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4.xml" ContentType="application/vnd.openxmlformats-officedocument.spreadsheetml.comment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1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drawings/drawing1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4.xml" ContentType="application/vnd.openxmlformats-officedocument.themeOverride+xml"/>
  <Override PartName="/xl/drawings/drawing2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5.xml" ContentType="application/vnd.openxmlformats-officedocument.themeOverride+xml"/>
  <Override PartName="/xl/drawings/drawing2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xml" ContentType="application/vnd.openxmlformats-officedocument.themeOverride+xml"/>
  <Override PartName="/xl/drawings/drawing22.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7.xml" ContentType="application/vnd.openxmlformats-officedocument.themeOverride+xml"/>
  <Override PartName="/xl/pivotTables/pivotTable3.xml" ContentType="application/vnd.openxmlformats-officedocument.spreadsheetml.pivotTable+xml"/>
  <Override PartName="/xl/tables/table1.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slicers/slicer1.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5.xml" ContentType="application/vnd.openxmlformats-officedocument.drawing+xml"/>
  <Override PartName="/xl/slicers/slicer2.xml" ContentType="application/vnd.ms-excel.slicer+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26.xml" ContentType="application/vnd.openxmlformats-officedocument.drawing+xml"/>
  <Override PartName="/xl/slicers/slicer3.xml" ContentType="application/vnd.ms-excel.slicer+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27.xml" ContentType="application/vnd.openxmlformats-officedocument.drawing+xml"/>
  <Override PartName="/xl/slicers/slicer4.xml" ContentType="application/vnd.ms-excel.slicer+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rawings/drawing28.xml" ContentType="application/vnd.openxmlformats-officedocument.drawing+xml"/>
  <Override PartName="/xl/slicers/slicer5.xml" ContentType="application/vnd.ms-excel.slicer+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29.xml" ContentType="application/vnd.openxmlformats-officedocument.drawing+xml"/>
  <Override PartName="/xl/slicers/slicer6.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slicers/slicer7.xml" ContentType="application/vnd.ms-excel.slicer+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31.xml" ContentType="application/vnd.openxmlformats-officedocument.drawing+xml"/>
  <Override PartName="/xl/slicers/slicer8.xml" ContentType="application/vnd.ms-excel.slicer+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32.xml" ContentType="application/vnd.openxmlformats-officedocument.drawing+xml"/>
  <Override PartName="/xl/drawings/drawing33.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34.xml" ContentType="application/vnd.openxmlformats-officedocument.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5.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2.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hidePivotFieldList="1" defaultThemeVersion="124226"/>
  <mc:AlternateContent xmlns:mc="http://schemas.openxmlformats.org/markup-compatibility/2006">
    <mc:Choice Requires="x15">
      <x15ac:absPath xmlns:x15ac="http://schemas.microsoft.com/office/spreadsheetml/2010/11/ac" url="T:\Temp\"/>
    </mc:Choice>
  </mc:AlternateContent>
  <bookViews>
    <workbookView xWindow="0" yWindow="0" windowWidth="20370" windowHeight="7080" tabRatio="924" firstSheet="42" activeTab="43"/>
  </bookViews>
  <sheets>
    <sheet name="Relatórios - SICCAU e IGEO" sheetId="141" state="hidden" r:id="rId1"/>
    <sheet name="JAN" sheetId="106" state="hidden" r:id="rId2"/>
    <sheet name="FEV" sheetId="107" state="hidden" r:id="rId3"/>
    <sheet name="MAR" sheetId="108" state="hidden" r:id="rId4"/>
    <sheet name="ABR" sheetId="109" state="hidden" r:id="rId5"/>
    <sheet name="MAI" sheetId="110" state="hidden" r:id="rId6"/>
    <sheet name="JUN" sheetId="111" state="hidden" r:id="rId7"/>
    <sheet name="JUL" sheetId="112" state="hidden" r:id="rId8"/>
    <sheet name="AGO" sheetId="113" state="hidden" r:id="rId9"/>
    <sheet name="SET" sheetId="114" state="hidden" r:id="rId10"/>
    <sheet name="OUT" sheetId="115" state="hidden" r:id="rId11"/>
    <sheet name="NOV" sheetId="116" state="hidden" r:id="rId12"/>
    <sheet name="DEZ" sheetId="117" state="hidden" r:id="rId13"/>
    <sheet name="TOTAL POR UF" sheetId="119" state="hidden" r:id="rId14"/>
    <sheet name="ARRECADAÇÃO MENSAL POR RECEITA" sheetId="118" state="hidden" r:id="rId15"/>
    <sheet name="EXERCÍCIOS ANTERIORES" sheetId="65" state="hidden" r:id="rId16"/>
    <sheet name="Médias por UF" sheetId="63" state="hidden" r:id="rId17"/>
    <sheet name="PF - Gênero" sheetId="140" state="hidden" r:id="rId18"/>
    <sheet name="Anuid PF" sheetId="121" state="hidden" r:id="rId19"/>
    <sheet name="Anuid PJ" sheetId="122" state="hidden" r:id="rId20"/>
    <sheet name="RRT" sheetId="123" state="hidden" r:id="rId21"/>
    <sheet name="TAXAS E MULTAS." sheetId="124" state="hidden" r:id="rId22"/>
    <sheet name="ARRECAD. TOTAL" sheetId="125" state="hidden" r:id="rId23"/>
    <sheet name="Comparativo YoY" sheetId="126" state="hidden" r:id="rId24"/>
    <sheet name="ADIMPLÊNCIA PF" sheetId="127" state="hidden" r:id="rId25"/>
    <sheet name="ADIMPLÊNCIA PJ" sheetId="128" state="hidden" r:id="rId26"/>
    <sheet name="RRT POR PROFISSIONAL" sheetId="129" state="hidden" r:id="rId27"/>
    <sheet name="Evolução das Receitas" sheetId="73" state="hidden" r:id="rId28"/>
    <sheet name="Lançamentos" sheetId="62" state="hidden" r:id="rId29"/>
    <sheet name="Gráficos" sheetId="64" state="hidden" r:id="rId30"/>
    <sheet name="Dados - Receita e Qntd" sheetId="66" state="hidden" r:id="rId31"/>
    <sheet name="RRT - Subgrupo - IGEO" sheetId="138" state="hidden" r:id="rId32"/>
    <sheet name="RRT - Subgrpupo - Gênero" sheetId="139" state="hidden" r:id="rId33"/>
    <sheet name="RRT - Atividades " sheetId="130" state="hidden" r:id="rId34"/>
    <sheet name="1 - Projeto" sheetId="131" state="hidden" r:id="rId35"/>
    <sheet name="2 - Execução " sheetId="132" state="hidden" r:id="rId36"/>
    <sheet name="3 - Gestão" sheetId="133" state="hidden" r:id="rId37"/>
    <sheet name="4 - Meio Amb. e Plan. " sheetId="134" state="hidden" r:id="rId38"/>
    <sheet name="5 - Atividades Especiais" sheetId="135" state="hidden" r:id="rId39"/>
    <sheet name="6 - Ensino e Pesquisa " sheetId="136" state="hidden" r:id="rId40"/>
    <sheet name="7 - Eng. Segurança " sheetId="137" state="hidden" r:id="rId41"/>
    <sheet name="Dados - RRT" sheetId="69" state="hidden" r:id="rId42"/>
    <sheet name="Índice" sheetId="83" r:id="rId43"/>
    <sheet name="PF - Qntd" sheetId="67" r:id="rId44"/>
    <sheet name="PF - Receita" sheetId="76" r:id="rId45"/>
    <sheet name="PJ - Qntd" sheetId="75" r:id="rId46"/>
    <sheet name="PJ - Receita" sheetId="77" r:id="rId47"/>
    <sheet name="RRT - Qntd e Receita" sheetId="78" r:id="rId48"/>
    <sheet name="RRT - Subgrupos" sheetId="81" r:id="rId49"/>
    <sheet name="Taxas e Multas" sheetId="79" r:id="rId50"/>
    <sheet name="CAU UF - Receita Total 80%" sheetId="103" r:id="rId51"/>
    <sheet name="CAU BR - PF e PJ" sheetId="80" r:id="rId52"/>
    <sheet name="CAU BR - RRT e Taxas" sheetId="82" r:id="rId53"/>
    <sheet name="CAU BR - Receita Total 20%" sheetId="105" r:id="rId54"/>
    <sheet name="Gráficos - 100%" sheetId="101" r:id="rId55"/>
    <sheet name="Gráficos - Arrec. Total" sheetId="85" r:id="rId56"/>
    <sheet name="Gráficos - PF" sheetId="95" r:id="rId57"/>
    <sheet name="Gráficos - PF - Ex. Ant." sheetId="96" r:id="rId58"/>
    <sheet name="Gráficos - PJ" sheetId="97" r:id="rId59"/>
    <sheet name="Gráficos - PJ - Ex. Ant." sheetId="98" r:id="rId60"/>
    <sheet name="Gráficos - RRT" sheetId="99" r:id="rId61"/>
    <sheet name="Gráficos - Taxas" sheetId="100" r:id="rId62"/>
  </sheets>
  <definedNames>
    <definedName name="_xlnm._FilterDatabase" localSheetId="34" hidden="1">'1 - Projeto'!$AX$20:$AZ$20</definedName>
    <definedName name="_xlnm._FilterDatabase" localSheetId="35" hidden="1">'2 - Execução '!$AP$20:$AR$28</definedName>
    <definedName name="_xlnm._FilterDatabase" localSheetId="24" hidden="1">'ADIMPLÊNCIA PF'!$L$4:$L$30</definedName>
    <definedName name="_xlnm._FilterDatabase" localSheetId="25" hidden="1">'ADIMPLÊNCIA PJ'!$A$4:$L$30</definedName>
    <definedName name="_xlnm._FilterDatabase" localSheetId="18" hidden="1">'Anuid PF'!$A$4:$AO$38</definedName>
    <definedName name="_xlnm._FilterDatabase" localSheetId="30" hidden="1">'Dados - Receita e Qntd'!$A$1:$AX$32</definedName>
    <definedName name="_xlnm._FilterDatabase" localSheetId="27" hidden="1">'Evolução das Receitas'!$A$245:$O$767</definedName>
    <definedName name="_xlnm._FilterDatabase" localSheetId="16" hidden="1">'Médias por UF'!$AT$2:$BE$180</definedName>
    <definedName name="_xlnm._FilterDatabase" localSheetId="20" hidden="1">RRT!$A$4:$W$34</definedName>
    <definedName name="_xlnm.Print_Area" localSheetId="18">'Anuid PF'!$A$1:$AP$74</definedName>
    <definedName name="_xlnm.Print_Area" localSheetId="19">'Anuid PJ'!$A$1:$AN$47</definedName>
    <definedName name="_xlnm.Print_Area" localSheetId="22">'ARRECAD. TOTAL'!$A$1:$Q$44</definedName>
    <definedName name="_xlnm.Print_Area" localSheetId="14">'ARRECADAÇÃO MENSAL POR RECEITA'!$A$1:$R$19</definedName>
    <definedName name="_xlnm.Print_Area" localSheetId="23">'Comparativo YoY'!$A$1:$EF$44</definedName>
    <definedName name="_xlnm.Print_Area" localSheetId="61">'Gráficos - Taxas'!$A$1:$AC$37</definedName>
    <definedName name="_xlnm.Print_Area" localSheetId="20">RRT!$A$1:$W$42</definedName>
    <definedName name="_xlnm.Print_Area" localSheetId="26">'RRT POR PROFISSIONAL'!$A$1:$J$36</definedName>
    <definedName name="_xlnm.Print_Area" localSheetId="21">'TAXAS E MULTAS.'!$A$1:$S$39</definedName>
    <definedName name="DEZEMBRO">#REF!</definedName>
    <definedName name="PJ" localSheetId="51">#REF!</definedName>
    <definedName name="PJ" localSheetId="53">#REF!</definedName>
    <definedName name="PJ" localSheetId="52">#REF!</definedName>
    <definedName name="PJ" localSheetId="50">#REF!</definedName>
    <definedName name="PJ" localSheetId="54">#REF!</definedName>
    <definedName name="PJ" localSheetId="55">#REF!</definedName>
    <definedName name="PJ" localSheetId="56">#REF!</definedName>
    <definedName name="PJ" localSheetId="57">#REF!</definedName>
    <definedName name="PJ" localSheetId="58">#REF!</definedName>
    <definedName name="PJ" localSheetId="59">#REF!</definedName>
    <definedName name="PJ" localSheetId="60">#REF!</definedName>
    <definedName name="PJ" localSheetId="61">#REF!</definedName>
    <definedName name="PJ" localSheetId="42">#REF!</definedName>
    <definedName name="PJ" localSheetId="47">#REF!</definedName>
    <definedName name="PJ" localSheetId="48">#REF!</definedName>
    <definedName name="PJ" localSheetId="49">#REF!</definedName>
    <definedName name="PJ">#REF!</definedName>
    <definedName name="SegmentaçãodeDados_Grupo">#N/A</definedName>
    <definedName name="SegmentaçãodeDados_UF">#N/A</definedName>
    <definedName name="_xlnm.Print_Titles" localSheetId="23">'Comparativo YoY'!$A:$A</definedName>
    <definedName name="X">#REF!</definedName>
    <definedName name="XFE1048575" localSheetId="4">#REF!</definedName>
    <definedName name="XFE1048575" localSheetId="8">#REF!</definedName>
    <definedName name="XFE1048575" localSheetId="51">#REF!</definedName>
    <definedName name="XFE1048575" localSheetId="53">#REF!</definedName>
    <definedName name="XFE1048575" localSheetId="52">#REF!</definedName>
    <definedName name="XFE1048575" localSheetId="50">#REF!</definedName>
    <definedName name="XFE1048575" localSheetId="12">#REF!</definedName>
    <definedName name="XFE1048575" localSheetId="2">#REF!</definedName>
    <definedName name="XFE1048575" localSheetId="54">#REF!</definedName>
    <definedName name="XFE1048575" localSheetId="55">#REF!</definedName>
    <definedName name="XFE1048575" localSheetId="56">#REF!</definedName>
    <definedName name="XFE1048575" localSheetId="57">#REF!</definedName>
    <definedName name="XFE1048575" localSheetId="58">#REF!</definedName>
    <definedName name="XFE1048575" localSheetId="59">#REF!</definedName>
    <definedName name="XFE1048575" localSheetId="60">#REF!</definedName>
    <definedName name="XFE1048575" localSheetId="61">#REF!</definedName>
    <definedName name="XFE1048575" localSheetId="42">#REF!</definedName>
    <definedName name="XFE1048575" localSheetId="7">#REF!</definedName>
    <definedName name="XFE1048575" localSheetId="6">#REF!</definedName>
    <definedName name="XFE1048575" localSheetId="5">#REF!</definedName>
    <definedName name="XFE1048575" localSheetId="3">#REF!</definedName>
    <definedName name="XFE1048575" localSheetId="11">#REF!</definedName>
    <definedName name="XFE1048575" localSheetId="10">#REF!</definedName>
    <definedName name="XFE1048575" localSheetId="44">#REF!</definedName>
    <definedName name="XFE1048575" localSheetId="45">#REF!</definedName>
    <definedName name="XFE1048575" localSheetId="46">#REF!</definedName>
    <definedName name="XFE1048575" localSheetId="47">#REF!</definedName>
    <definedName name="XFE1048575" localSheetId="48">#REF!</definedName>
    <definedName name="XFE1048575" localSheetId="9">#REF!</definedName>
    <definedName name="XFE1048575" localSheetId="49">#REF!</definedName>
    <definedName name="XFE1048575">#REF!</definedName>
    <definedName name="XFe1048576" localSheetId="4">#REF!</definedName>
    <definedName name="XFe1048576" localSheetId="8">#REF!</definedName>
    <definedName name="XFe1048576" localSheetId="51">#REF!</definedName>
    <definedName name="XFe1048576" localSheetId="53">#REF!</definedName>
    <definedName name="XFe1048576" localSheetId="52">#REF!</definedName>
    <definedName name="XFe1048576" localSheetId="50">#REF!</definedName>
    <definedName name="XFe1048576" localSheetId="12">#REF!</definedName>
    <definedName name="XFe1048576" localSheetId="2">#REF!</definedName>
    <definedName name="XFe1048576" localSheetId="54">#REF!</definedName>
    <definedName name="XFe1048576" localSheetId="55">#REF!</definedName>
    <definedName name="XFe1048576" localSheetId="56">#REF!</definedName>
    <definedName name="XFe1048576" localSheetId="57">#REF!</definedName>
    <definedName name="XFe1048576" localSheetId="58">#REF!</definedName>
    <definedName name="XFe1048576" localSheetId="59">#REF!</definedName>
    <definedName name="XFe1048576" localSheetId="60">#REF!</definedName>
    <definedName name="XFe1048576" localSheetId="61">#REF!</definedName>
    <definedName name="XFe1048576" localSheetId="42">#REF!</definedName>
    <definedName name="XFe1048576" localSheetId="7">#REF!</definedName>
    <definedName name="XFe1048576" localSheetId="6">#REF!</definedName>
    <definedName name="XFe1048576" localSheetId="5">#REF!</definedName>
    <definedName name="XFe1048576" localSheetId="3">#REF!</definedName>
    <definedName name="XFe1048576" localSheetId="11">#REF!</definedName>
    <definedName name="XFe1048576" localSheetId="10">#REF!</definedName>
    <definedName name="XFe1048576" localSheetId="44">#REF!</definedName>
    <definedName name="XFe1048576" localSheetId="45">#REF!</definedName>
    <definedName name="XFe1048576" localSheetId="46">#REF!</definedName>
    <definedName name="XFe1048576" localSheetId="47">#REF!</definedName>
    <definedName name="XFe1048576" localSheetId="48">#REF!</definedName>
    <definedName name="XFe1048576" localSheetId="9">#REF!</definedName>
    <definedName name="XFe1048576" localSheetId="49">#REF!</definedName>
    <definedName name="XFe1048576">#REF!</definedName>
  </definedNames>
  <calcPr calcId="152511"/>
  <pivotCaches>
    <pivotCache cacheId="0" r:id="rId63"/>
    <pivotCache cacheId="1" r:id="rId64"/>
    <pivotCache cacheId="2" r:id="rId65"/>
  </pivotCaches>
  <extLst>
    <ext xmlns:x14="http://schemas.microsoft.com/office/spreadsheetml/2009/9/main" uri="{BBE1A952-AA13-448e-AADC-164F8A28A991}">
      <x14:slicerCaches>
        <x14:slicerCache r:id="rId66"/>
        <x14:slicerCache r:id="rId67"/>
      </x14:slicerCaches>
    </ext>
    <ext xmlns:x14="http://schemas.microsoft.com/office/spreadsheetml/2009/9/main" uri="{79F54976-1DA5-4618-B147-4CDE4B953A38}">
      <x14:workbookPr/>
    </ext>
  </extLst>
</workbook>
</file>

<file path=xl/calcChain.xml><?xml version="1.0" encoding="utf-8"?>
<calcChain xmlns="http://schemas.openxmlformats.org/spreadsheetml/2006/main">
  <c r="B29" i="139" l="1"/>
  <c r="C29" i="139" s="1"/>
  <c r="D29" i="139"/>
  <c r="E29" i="139"/>
  <c r="F29" i="139"/>
  <c r="G29" i="139" s="1"/>
  <c r="H29" i="139"/>
  <c r="I29" i="139"/>
  <c r="J29" i="139"/>
  <c r="K29" i="139" s="1"/>
  <c r="L29" i="139"/>
  <c r="M29" i="139"/>
  <c r="N29" i="139"/>
  <c r="O29" i="139" s="1"/>
  <c r="P29" i="139"/>
  <c r="Q29" i="139"/>
  <c r="R29" i="139"/>
  <c r="S29" i="139" s="1"/>
  <c r="T29" i="139"/>
  <c r="U29" i="139"/>
  <c r="V29" i="139"/>
  <c r="W29" i="139" s="1"/>
  <c r="X29" i="139"/>
  <c r="Y29" i="139"/>
  <c r="Z29" i="139"/>
  <c r="AA29" i="139" s="1"/>
  <c r="AB29" i="139"/>
  <c r="AC29" i="139"/>
  <c r="AD29" i="139"/>
  <c r="AE29" i="139" s="1"/>
  <c r="AF29" i="139"/>
  <c r="AG29" i="139"/>
  <c r="AH29" i="139"/>
  <c r="AI29" i="139" s="1"/>
  <c r="AJ29" i="139"/>
  <c r="AK29" i="139"/>
  <c r="AL29" i="139"/>
  <c r="AM29" i="139" s="1"/>
  <c r="AN29" i="139"/>
  <c r="AO29" i="139"/>
  <c r="AP29" i="139"/>
  <c r="AQ29" i="139" s="1"/>
  <c r="AR29" i="139"/>
  <c r="AS29" i="139"/>
  <c r="AT29" i="139"/>
  <c r="AU29" i="139" s="1"/>
  <c r="AV29" i="139"/>
  <c r="AW29" i="139"/>
  <c r="AX29" i="139"/>
  <c r="AY29" i="139" s="1"/>
  <c r="AZ29" i="139"/>
  <c r="BA29" i="139"/>
  <c r="BB29" i="139"/>
  <c r="BC29" i="139" s="1"/>
  <c r="BD29" i="139"/>
  <c r="BE29" i="139"/>
  <c r="BF29" i="139"/>
  <c r="BG29" i="139" s="1"/>
  <c r="BH29" i="139"/>
  <c r="BI29" i="139"/>
  <c r="BJ29" i="139"/>
  <c r="BK29" i="139" s="1"/>
  <c r="BL29" i="139"/>
  <c r="BM29" i="139"/>
  <c r="BN29" i="139"/>
  <c r="BO29" i="139" s="1"/>
  <c r="BP29" i="139"/>
  <c r="BQ29" i="139"/>
  <c r="BR29" i="139"/>
  <c r="BS29" i="139" s="1"/>
  <c r="BT29" i="139"/>
  <c r="BU29" i="139"/>
  <c r="BV29" i="139"/>
  <c r="BW29" i="139" s="1"/>
  <c r="BX29" i="139"/>
  <c r="BY29" i="139"/>
  <c r="BZ29" i="139"/>
  <c r="CA29" i="139" s="1"/>
  <c r="CB29" i="139"/>
  <c r="CC29" i="139"/>
  <c r="CD29" i="139"/>
  <c r="CE29" i="139" s="1"/>
  <c r="CF29" i="139"/>
  <c r="CG29" i="139"/>
  <c r="CH29" i="139"/>
  <c r="CI29" i="139" s="1"/>
  <c r="CJ29" i="139"/>
  <c r="CK29" i="139"/>
  <c r="CL29" i="139"/>
  <c r="CM29" i="139" s="1"/>
  <c r="CN29" i="139"/>
  <c r="CO29" i="139"/>
  <c r="CP29" i="139"/>
  <c r="CQ29" i="139" s="1"/>
  <c r="CR29" i="139"/>
  <c r="CS29" i="139"/>
  <c r="CT29" i="139"/>
  <c r="CU29" i="139" s="1"/>
  <c r="CV29" i="139"/>
  <c r="CW29" i="139"/>
  <c r="CX29" i="139"/>
  <c r="CY29" i="139" s="1"/>
  <c r="CZ29" i="139"/>
  <c r="DA29" i="139"/>
  <c r="DB29" i="139"/>
  <c r="DC29" i="139" s="1"/>
  <c r="DD29" i="139"/>
  <c r="DE29" i="139"/>
  <c r="DF29" i="139"/>
  <c r="DG29" i="139" s="1"/>
  <c r="DH29" i="139"/>
  <c r="DI29" i="139"/>
  <c r="DJ29" i="139"/>
  <c r="DK29" i="139" s="1"/>
  <c r="DL29" i="139"/>
  <c r="DM29" i="139"/>
  <c r="DR29" i="139"/>
  <c r="DS29" i="139" s="1"/>
  <c r="DT29" i="139"/>
  <c r="DU29" i="139"/>
  <c r="DV29" i="139"/>
  <c r="DW29" i="139" s="1"/>
  <c r="DX29" i="139"/>
  <c r="DY29" i="139"/>
  <c r="DZ29" i="139"/>
  <c r="EA29" i="139" s="1"/>
  <c r="EB29" i="139"/>
  <c r="EC29" i="139"/>
  <c r="ED29" i="139"/>
  <c r="EE29" i="139" s="1"/>
  <c r="EF29" i="139"/>
  <c r="EG29" i="139"/>
  <c r="EH29" i="139"/>
  <c r="EI29" i="139" s="1"/>
  <c r="EJ29" i="139"/>
  <c r="EK29" i="139"/>
  <c r="EL29" i="139"/>
  <c r="EM29" i="139" s="1"/>
  <c r="EN29" i="139"/>
  <c r="EO29" i="139"/>
  <c r="EP29" i="139"/>
  <c r="EQ29" i="139" s="1"/>
  <c r="ER29" i="139"/>
  <c r="ES29" i="139"/>
  <c r="ET29" i="139"/>
  <c r="EU29" i="139" s="1"/>
  <c r="EV29" i="139"/>
  <c r="EW29" i="139"/>
  <c r="EX29" i="139"/>
  <c r="EY29" i="139" s="1"/>
  <c r="EZ29" i="139"/>
  <c r="FA29" i="139"/>
  <c r="FJ29" i="139"/>
  <c r="FK29" i="139" s="1"/>
  <c r="FL29" i="139"/>
  <c r="FM29" i="139"/>
  <c r="GD29" i="139"/>
  <c r="GE29" i="139" s="1"/>
  <c r="GF29" i="139"/>
  <c r="GG29" i="139"/>
  <c r="GH29" i="139"/>
  <c r="GI29" i="139" s="1"/>
  <c r="GJ29" i="139"/>
  <c r="GK29" i="139"/>
  <c r="GX29" i="139"/>
  <c r="GY29" i="139" s="1"/>
  <c r="GZ29" i="139"/>
  <c r="HA29" i="139"/>
  <c r="HB29" i="139"/>
  <c r="HC29" i="139" s="1"/>
  <c r="HD29" i="139"/>
  <c r="HE29" i="139"/>
  <c r="B3" i="139"/>
  <c r="C3" i="139" s="1"/>
  <c r="D3" i="139"/>
  <c r="E3" i="139"/>
  <c r="F3" i="139"/>
  <c r="G3" i="139" s="1"/>
  <c r="H3" i="139"/>
  <c r="I3" i="139"/>
  <c r="J3" i="139"/>
  <c r="K3" i="139" s="1"/>
  <c r="L3" i="139"/>
  <c r="M3" i="139"/>
  <c r="N3" i="139"/>
  <c r="O3" i="139" s="1"/>
  <c r="P3" i="139"/>
  <c r="Q3" i="139"/>
  <c r="R3" i="139"/>
  <c r="S3" i="139" s="1"/>
  <c r="T3" i="139"/>
  <c r="U3" i="139"/>
  <c r="V3" i="139"/>
  <c r="W3" i="139" s="1"/>
  <c r="X3" i="139"/>
  <c r="Y3" i="139"/>
  <c r="Z3" i="139"/>
  <c r="AA3" i="139" s="1"/>
  <c r="AB3" i="139"/>
  <c r="AC3" i="139"/>
  <c r="AD3" i="139"/>
  <c r="AE3" i="139" s="1"/>
  <c r="AF3" i="139"/>
  <c r="AG3" i="139"/>
  <c r="AH3" i="139"/>
  <c r="AI3" i="139" s="1"/>
  <c r="AJ3" i="139"/>
  <c r="AK3" i="139"/>
  <c r="AL3" i="139"/>
  <c r="AM3" i="139" s="1"/>
  <c r="AN3" i="139"/>
  <c r="AO3" i="139"/>
  <c r="AP3" i="139"/>
  <c r="AQ3" i="139" s="1"/>
  <c r="AR3" i="139"/>
  <c r="AS3" i="139"/>
  <c r="AT3" i="139"/>
  <c r="AU3" i="139" s="1"/>
  <c r="AV3" i="139"/>
  <c r="AW3" i="139"/>
  <c r="AX3" i="139"/>
  <c r="AY3" i="139" s="1"/>
  <c r="AZ3" i="139"/>
  <c r="BA3" i="139"/>
  <c r="BB3" i="139"/>
  <c r="BC3" i="139" s="1"/>
  <c r="BD3" i="139"/>
  <c r="BE3" i="139"/>
  <c r="BF3" i="139"/>
  <c r="BG3" i="139" s="1"/>
  <c r="BH3" i="139"/>
  <c r="BI3" i="139"/>
  <c r="BJ3" i="139"/>
  <c r="BK3" i="139" s="1"/>
  <c r="BL3" i="139"/>
  <c r="BM3" i="139"/>
  <c r="BN3" i="139"/>
  <c r="BO3" i="139" s="1"/>
  <c r="BP3" i="139"/>
  <c r="BQ3" i="139"/>
  <c r="BR3" i="139"/>
  <c r="BS3" i="139" s="1"/>
  <c r="BT3" i="139"/>
  <c r="BU3" i="139"/>
  <c r="BV3" i="139"/>
  <c r="BW3" i="139" s="1"/>
  <c r="BX3" i="139"/>
  <c r="BY3" i="139"/>
  <c r="BZ3" i="139"/>
  <c r="CA3" i="139" s="1"/>
  <c r="CB3" i="139"/>
  <c r="CC3" i="139"/>
  <c r="CD3" i="139"/>
  <c r="CE3" i="139" s="1"/>
  <c r="CF3" i="139"/>
  <c r="CG3" i="139"/>
  <c r="CH3" i="139"/>
  <c r="CI3" i="139" s="1"/>
  <c r="CJ3" i="139"/>
  <c r="CK3" i="139"/>
  <c r="CL3" i="139"/>
  <c r="CM3" i="139" s="1"/>
  <c r="CN3" i="139"/>
  <c r="CO3" i="139"/>
  <c r="CT3" i="139"/>
  <c r="CU3" i="139" s="1"/>
  <c r="CV3" i="139"/>
  <c r="CW3" i="139"/>
  <c r="CX3" i="139"/>
  <c r="CY3" i="139" s="1"/>
  <c r="CZ3" i="139"/>
  <c r="DA3" i="139"/>
  <c r="DB3" i="139"/>
  <c r="DC3" i="139" s="1"/>
  <c r="DD3" i="139"/>
  <c r="DE3" i="139"/>
  <c r="DF3" i="139"/>
  <c r="DG3" i="139" s="1"/>
  <c r="DH3" i="139"/>
  <c r="DI3" i="139"/>
  <c r="DJ3" i="139"/>
  <c r="DK3" i="139" s="1"/>
  <c r="DL3" i="139"/>
  <c r="DM3" i="139"/>
  <c r="DR3" i="139"/>
  <c r="DS3" i="139" s="1"/>
  <c r="DT3" i="139"/>
  <c r="DU3" i="139"/>
  <c r="DV3" i="139"/>
  <c r="DW3" i="139" s="1"/>
  <c r="DX3" i="139"/>
  <c r="DY3" i="139"/>
  <c r="DZ3" i="139"/>
  <c r="EA3" i="139" s="1"/>
  <c r="EB3" i="139"/>
  <c r="EC3" i="139"/>
  <c r="ED3" i="139"/>
  <c r="EE3" i="139" s="1"/>
  <c r="EF3" i="139"/>
  <c r="EG3" i="139"/>
  <c r="EH3" i="139"/>
  <c r="EI3" i="139" s="1"/>
  <c r="EJ3" i="139"/>
  <c r="EK3" i="139"/>
  <c r="EL3" i="139"/>
  <c r="EM3" i="139" s="1"/>
  <c r="EN3" i="139"/>
  <c r="EO3" i="139"/>
  <c r="EP3" i="139"/>
  <c r="EQ3" i="139" s="1"/>
  <c r="ER3" i="139"/>
  <c r="ES3" i="139"/>
  <c r="ET3" i="139"/>
  <c r="EU3" i="139" s="1"/>
  <c r="EV3" i="139"/>
  <c r="EW3" i="139"/>
  <c r="EX3" i="139"/>
  <c r="EY3" i="139" s="1"/>
  <c r="EZ3" i="139"/>
  <c r="FA3" i="139"/>
  <c r="FJ3" i="139"/>
  <c r="FK3" i="139" s="1"/>
  <c r="FL3" i="139"/>
  <c r="FM3" i="139"/>
  <c r="FN3" i="139"/>
  <c r="FO3" i="139" s="1"/>
  <c r="FP3" i="139"/>
  <c r="FQ3" i="139"/>
  <c r="FR3" i="139"/>
  <c r="FS3" i="139" s="1"/>
  <c r="FT3" i="139"/>
  <c r="FU3" i="139"/>
  <c r="FZ3" i="139"/>
  <c r="GA3" i="139" s="1"/>
  <c r="GB3" i="139"/>
  <c r="GC3" i="139"/>
  <c r="GD3" i="139"/>
  <c r="GE3" i="139" s="1"/>
  <c r="GF3" i="139"/>
  <c r="GG3" i="139"/>
  <c r="GX3" i="139"/>
  <c r="GY3" i="139" s="1"/>
  <c r="GZ3" i="139"/>
  <c r="HA3" i="139"/>
  <c r="HB3" i="139"/>
  <c r="HC3" i="139" s="1"/>
  <c r="HD3" i="139"/>
  <c r="HE3" i="139"/>
  <c r="B4" i="139"/>
  <c r="C4" i="139" s="1"/>
  <c r="D4" i="139"/>
  <c r="E4" i="139"/>
  <c r="F4" i="139"/>
  <c r="G4" i="139" s="1"/>
  <c r="H4" i="139"/>
  <c r="I4" i="139"/>
  <c r="J4" i="139"/>
  <c r="K4" i="139" s="1"/>
  <c r="L4" i="139"/>
  <c r="M4" i="139"/>
  <c r="N4" i="139"/>
  <c r="O4" i="139" s="1"/>
  <c r="P4" i="139"/>
  <c r="Q4" i="139"/>
  <c r="R4" i="139"/>
  <c r="S4" i="139" s="1"/>
  <c r="T4" i="139"/>
  <c r="U4" i="139"/>
  <c r="V4" i="139"/>
  <c r="W4" i="139" s="1"/>
  <c r="X4" i="139"/>
  <c r="Y4" i="139"/>
  <c r="Z4" i="139"/>
  <c r="AA4" i="139" s="1"/>
  <c r="AB4" i="139"/>
  <c r="AC4" i="139"/>
  <c r="AD4" i="139"/>
  <c r="AE4" i="139" s="1"/>
  <c r="AF4" i="139"/>
  <c r="AG4" i="139"/>
  <c r="AH4" i="139"/>
  <c r="AI4" i="139" s="1"/>
  <c r="AJ4" i="139"/>
  <c r="AK4" i="139"/>
  <c r="AL4" i="139"/>
  <c r="AM4" i="139" s="1"/>
  <c r="AN4" i="139"/>
  <c r="AP4" i="139"/>
  <c r="AR4" i="139"/>
  <c r="AS4" i="139"/>
  <c r="AT4" i="139"/>
  <c r="AV4" i="139"/>
  <c r="AW4" i="139"/>
  <c r="AX4" i="139"/>
  <c r="AZ4" i="139"/>
  <c r="BB4" i="139"/>
  <c r="BD4" i="139"/>
  <c r="BE4" i="139" s="1"/>
  <c r="BF4" i="139"/>
  <c r="BH4" i="139"/>
  <c r="BI4" i="139" s="1"/>
  <c r="BJ4" i="139"/>
  <c r="BL4" i="139"/>
  <c r="BM4" i="139"/>
  <c r="BN4" i="139"/>
  <c r="BP4" i="139"/>
  <c r="BR4" i="139"/>
  <c r="BT4" i="139"/>
  <c r="BU4" i="139" s="1"/>
  <c r="BV4" i="139"/>
  <c r="BX4" i="139"/>
  <c r="BY4" i="139"/>
  <c r="CD4" i="139"/>
  <c r="CF4" i="139"/>
  <c r="CH4" i="139"/>
  <c r="CJ4" i="139"/>
  <c r="CK4" i="139" s="1"/>
  <c r="CL4" i="139"/>
  <c r="CN4" i="139"/>
  <c r="CO4" i="139" s="1"/>
  <c r="CP4" i="139"/>
  <c r="CR4" i="139"/>
  <c r="CS4" i="139"/>
  <c r="CT4" i="139"/>
  <c r="CV4" i="139"/>
  <c r="CX4" i="139"/>
  <c r="CZ4" i="139"/>
  <c r="DA4" i="139" s="1"/>
  <c r="DB4" i="139"/>
  <c r="DD4" i="139"/>
  <c r="DE4" i="139"/>
  <c r="DF4" i="139"/>
  <c r="DH4" i="139"/>
  <c r="DI4" i="139"/>
  <c r="DJ4" i="139"/>
  <c r="DL4" i="139"/>
  <c r="DN4" i="139"/>
  <c r="DP4" i="139"/>
  <c r="DQ4" i="139" s="1"/>
  <c r="DR4" i="139"/>
  <c r="DT4" i="139"/>
  <c r="DU4" i="139" s="1"/>
  <c r="DV4" i="139"/>
  <c r="DX4" i="139"/>
  <c r="DY4" i="139"/>
  <c r="DZ4" i="139"/>
  <c r="EA4" i="139" s="1"/>
  <c r="EB4" i="139"/>
  <c r="EC4" i="139"/>
  <c r="ED4" i="139"/>
  <c r="EF4" i="139"/>
  <c r="EH4" i="139"/>
  <c r="EJ4" i="139"/>
  <c r="EP4" i="139"/>
  <c r="EQ4" i="139" s="1"/>
  <c r="ER4" i="139"/>
  <c r="ES4" i="139"/>
  <c r="ET4" i="139"/>
  <c r="EV4" i="139"/>
  <c r="EX4" i="139"/>
  <c r="EZ4" i="139"/>
  <c r="FJ4" i="139"/>
  <c r="FL4" i="139"/>
  <c r="FZ4" i="139"/>
  <c r="GB4" i="139"/>
  <c r="GD4" i="139"/>
  <c r="GF4" i="139"/>
  <c r="GH4" i="139"/>
  <c r="GI4" i="139" s="1"/>
  <c r="GJ4" i="139"/>
  <c r="GK4" i="139"/>
  <c r="GT4" i="139"/>
  <c r="GV4" i="139"/>
  <c r="GX4" i="139"/>
  <c r="GY4" i="139" s="1"/>
  <c r="GZ4" i="139"/>
  <c r="HA4" i="139"/>
  <c r="HB4" i="139"/>
  <c r="HC4" i="139" s="1"/>
  <c r="HD4" i="139"/>
  <c r="HE4" i="139"/>
  <c r="B5" i="139"/>
  <c r="D5" i="139"/>
  <c r="F5" i="139"/>
  <c r="H5" i="139"/>
  <c r="J5" i="139"/>
  <c r="K5" i="139" s="1"/>
  <c r="L5" i="139"/>
  <c r="M5" i="139"/>
  <c r="N5" i="139"/>
  <c r="O5" i="139" s="1"/>
  <c r="P5" i="139"/>
  <c r="Q5" i="139"/>
  <c r="R5" i="139"/>
  <c r="T5" i="139"/>
  <c r="V5" i="139"/>
  <c r="X5" i="139"/>
  <c r="Z5" i="139"/>
  <c r="AA5" i="139" s="1"/>
  <c r="AB5" i="139"/>
  <c r="AC5" i="139"/>
  <c r="AD5" i="139"/>
  <c r="AE5" i="139" s="1"/>
  <c r="AF5" i="139"/>
  <c r="AG5" i="139"/>
  <c r="AH5" i="139"/>
  <c r="AJ5" i="139"/>
  <c r="AL5" i="139"/>
  <c r="AN5" i="139"/>
  <c r="AP5" i="139"/>
  <c r="AQ5" i="139" s="1"/>
  <c r="AR5" i="139"/>
  <c r="AS5" i="139"/>
  <c r="AT5" i="139"/>
  <c r="AU5" i="139" s="1"/>
  <c r="AV5" i="139"/>
  <c r="AW5" i="139"/>
  <c r="AX5" i="139"/>
  <c r="AZ5" i="139"/>
  <c r="BB5" i="139"/>
  <c r="BD5" i="139"/>
  <c r="BF5" i="139"/>
  <c r="BG5" i="139" s="1"/>
  <c r="BH5" i="139"/>
  <c r="BI5" i="139"/>
  <c r="BJ5" i="139"/>
  <c r="BK5" i="139" s="1"/>
  <c r="BL5" i="139"/>
  <c r="BM5" i="139"/>
  <c r="BN5" i="139"/>
  <c r="BP5" i="139"/>
  <c r="BR5" i="139"/>
  <c r="BT5" i="139"/>
  <c r="BV5" i="139"/>
  <c r="BW5" i="139" s="1"/>
  <c r="BX5" i="139"/>
  <c r="BY5" i="139"/>
  <c r="BZ5" i="139"/>
  <c r="CA5" i="139" s="1"/>
  <c r="CB5" i="139"/>
  <c r="CC5" i="139"/>
  <c r="CD5" i="139"/>
  <c r="CF5" i="139"/>
  <c r="CH5" i="139"/>
  <c r="CI5" i="139" s="1"/>
  <c r="CJ5" i="139"/>
  <c r="CP5" i="139"/>
  <c r="CR5" i="139"/>
  <c r="CS5" i="139"/>
  <c r="CT5" i="139"/>
  <c r="CV5" i="139"/>
  <c r="CX5" i="139"/>
  <c r="CY5" i="139" s="1"/>
  <c r="CZ5" i="139"/>
  <c r="DB5" i="139"/>
  <c r="DD5" i="139"/>
  <c r="DE5" i="139" s="1"/>
  <c r="DF5" i="139"/>
  <c r="DH5" i="139"/>
  <c r="DI5" i="139"/>
  <c r="DJ5" i="139"/>
  <c r="DL5" i="139"/>
  <c r="DR5" i="139"/>
  <c r="DT5" i="139"/>
  <c r="DU5" i="139"/>
  <c r="DV5" i="139"/>
  <c r="DX5" i="139"/>
  <c r="DY5" i="139"/>
  <c r="DZ5" i="139"/>
  <c r="EB5" i="139"/>
  <c r="ED5" i="139"/>
  <c r="EE5" i="139" s="1"/>
  <c r="EF5" i="139"/>
  <c r="EH5" i="139"/>
  <c r="EJ5" i="139"/>
  <c r="EK5" i="139" s="1"/>
  <c r="EL5" i="139"/>
  <c r="EN5" i="139"/>
  <c r="EO5" i="139"/>
  <c r="EP5" i="139"/>
  <c r="ER5" i="139"/>
  <c r="ET5" i="139"/>
  <c r="EU5" i="139" s="1"/>
  <c r="EV5" i="139"/>
  <c r="EW5" i="139" s="1"/>
  <c r="EX5" i="139"/>
  <c r="EZ5" i="139"/>
  <c r="FA5" i="139"/>
  <c r="FJ5" i="139"/>
  <c r="FK5" i="139" s="1"/>
  <c r="FL5" i="139"/>
  <c r="FN5" i="139"/>
  <c r="FP5" i="139"/>
  <c r="FQ5" i="139" s="1"/>
  <c r="FZ5" i="139"/>
  <c r="GA5" i="139" s="1"/>
  <c r="GB5" i="139"/>
  <c r="GD5" i="139"/>
  <c r="GF5" i="139"/>
  <c r="GG5" i="139"/>
  <c r="GH5" i="139"/>
  <c r="GJ5" i="139"/>
  <c r="GK5" i="139"/>
  <c r="GL5" i="139"/>
  <c r="GN5" i="139"/>
  <c r="GP5" i="139"/>
  <c r="GQ5" i="139" s="1"/>
  <c r="GR5" i="139"/>
  <c r="GT5" i="139"/>
  <c r="GV5" i="139"/>
  <c r="GW5" i="139" s="1"/>
  <c r="GX5" i="139"/>
  <c r="GZ5" i="139"/>
  <c r="HA5" i="139"/>
  <c r="HB5" i="139"/>
  <c r="HC5" i="139" s="1"/>
  <c r="HD5" i="139"/>
  <c r="HE5" i="139"/>
  <c r="B6" i="139"/>
  <c r="D6" i="139"/>
  <c r="F6" i="139"/>
  <c r="H6" i="139"/>
  <c r="J6" i="139"/>
  <c r="K6" i="139" s="1"/>
  <c r="L6" i="139"/>
  <c r="M6" i="139"/>
  <c r="N6" i="139"/>
  <c r="O6" i="139" s="1"/>
  <c r="P6" i="139"/>
  <c r="Q6" i="139"/>
  <c r="R6" i="139"/>
  <c r="T6" i="139"/>
  <c r="V6" i="139"/>
  <c r="X6" i="139"/>
  <c r="Z6" i="139"/>
  <c r="AA6" i="139" s="1"/>
  <c r="AB6" i="139"/>
  <c r="AC6" i="139"/>
  <c r="AD6" i="139"/>
  <c r="AE6" i="139" s="1"/>
  <c r="AF6" i="139"/>
  <c r="AG6" i="139"/>
  <c r="AH6" i="139"/>
  <c r="AJ6" i="139"/>
  <c r="AL6" i="139"/>
  <c r="AN6" i="139"/>
  <c r="AP6" i="139"/>
  <c r="AQ6" i="139" s="1"/>
  <c r="AR6" i="139"/>
  <c r="AS6" i="139"/>
  <c r="AT6" i="139"/>
  <c r="AU6" i="139" s="1"/>
  <c r="AV6" i="139"/>
  <c r="AW6" i="139"/>
  <c r="AX6" i="139"/>
  <c r="AZ6" i="139"/>
  <c r="BB6" i="139"/>
  <c r="BD6" i="139"/>
  <c r="BF6" i="139"/>
  <c r="BG6" i="139" s="1"/>
  <c r="BH6" i="139"/>
  <c r="BI6" i="139"/>
  <c r="BJ6" i="139"/>
  <c r="BK6" i="139" s="1"/>
  <c r="BL6" i="139"/>
  <c r="BM6" i="139"/>
  <c r="BN6" i="139"/>
  <c r="BP6" i="139"/>
  <c r="BR6" i="139"/>
  <c r="BT6" i="139"/>
  <c r="BV6" i="139"/>
  <c r="BW6" i="139" s="1"/>
  <c r="BX6" i="139"/>
  <c r="BY6" i="139"/>
  <c r="BZ6" i="139"/>
  <c r="CA6" i="139" s="1"/>
  <c r="CB6" i="139"/>
  <c r="CC6" i="139"/>
  <c r="CD6" i="139"/>
  <c r="CF6" i="139"/>
  <c r="CH6" i="139"/>
  <c r="CJ6" i="139"/>
  <c r="CL6" i="139"/>
  <c r="CM6" i="139" s="1"/>
  <c r="CN6" i="139"/>
  <c r="CO6" i="139"/>
  <c r="CP6" i="139"/>
  <c r="CQ6" i="139" s="1"/>
  <c r="CR6" i="139"/>
  <c r="CS6" i="139"/>
  <c r="CT6" i="139"/>
  <c r="CV6" i="139"/>
  <c r="CX6" i="139"/>
  <c r="CZ6" i="139"/>
  <c r="DB6" i="139"/>
  <c r="DC6" i="139" s="1"/>
  <c r="DD6" i="139"/>
  <c r="DE6" i="139"/>
  <c r="DF6" i="139"/>
  <c r="DG6" i="139" s="1"/>
  <c r="DH6" i="139"/>
  <c r="DI6" i="139"/>
  <c r="DJ6" i="139"/>
  <c r="DL6" i="139"/>
  <c r="DZ6" i="139"/>
  <c r="EB6" i="139"/>
  <c r="ED6" i="139"/>
  <c r="EF6" i="139"/>
  <c r="EH6" i="139"/>
  <c r="EI6" i="139" s="1"/>
  <c r="EJ6" i="139"/>
  <c r="EK6" i="139"/>
  <c r="EP6" i="139"/>
  <c r="ER6" i="139"/>
  <c r="ET6" i="139"/>
  <c r="EV6" i="139"/>
  <c r="EX6" i="139"/>
  <c r="EY6" i="139" s="1"/>
  <c r="EZ6" i="139"/>
  <c r="FA6" i="139"/>
  <c r="FJ6" i="139"/>
  <c r="FL6" i="139"/>
  <c r="FZ6" i="139"/>
  <c r="GB6" i="139"/>
  <c r="GD6" i="139"/>
  <c r="GE6" i="139" s="1"/>
  <c r="GF6" i="139"/>
  <c r="GG6" i="139"/>
  <c r="GT6" i="139"/>
  <c r="GU6" i="139" s="1"/>
  <c r="GV6" i="139"/>
  <c r="GW6" i="139"/>
  <c r="GX6" i="139"/>
  <c r="GY6" i="139" s="1"/>
  <c r="GZ6" i="139"/>
  <c r="HA6" i="139"/>
  <c r="HB6" i="139"/>
  <c r="HD6" i="139"/>
  <c r="B7" i="139"/>
  <c r="D7" i="139"/>
  <c r="F7" i="139"/>
  <c r="G7" i="139" s="1"/>
  <c r="H7" i="139"/>
  <c r="I7" i="139"/>
  <c r="J7" i="139"/>
  <c r="K7" i="139" s="1"/>
  <c r="L7" i="139"/>
  <c r="M7" i="139"/>
  <c r="N7" i="139"/>
  <c r="P7" i="139"/>
  <c r="R7" i="139"/>
  <c r="T7" i="139"/>
  <c r="V7" i="139"/>
  <c r="W7" i="139" s="1"/>
  <c r="X7" i="139"/>
  <c r="Y7" i="139"/>
  <c r="Z7" i="139"/>
  <c r="AA7" i="139" s="1"/>
  <c r="AB7" i="139"/>
  <c r="AC7" i="139"/>
  <c r="AD7" i="139"/>
  <c r="AF7" i="139"/>
  <c r="AH7" i="139"/>
  <c r="AJ7" i="139"/>
  <c r="AL7" i="139"/>
  <c r="AM7" i="139" s="1"/>
  <c r="AN7" i="139"/>
  <c r="AO7" i="139"/>
  <c r="AP7" i="139"/>
  <c r="AQ7" i="139" s="1"/>
  <c r="AR7" i="139"/>
  <c r="AS7" i="139"/>
  <c r="AT7" i="139"/>
  <c r="AV7" i="139"/>
  <c r="AX7" i="139"/>
  <c r="AZ7" i="139"/>
  <c r="BB7" i="139"/>
  <c r="BC7" i="139" s="1"/>
  <c r="BD7" i="139"/>
  <c r="BE7" i="139"/>
  <c r="BF7" i="139"/>
  <c r="BG7" i="139" s="1"/>
  <c r="BH7" i="139"/>
  <c r="BI7" i="139"/>
  <c r="BJ7" i="139"/>
  <c r="BL7" i="139"/>
  <c r="BN7" i="139"/>
  <c r="BO7" i="139" s="1"/>
  <c r="BP7" i="139"/>
  <c r="BR7" i="139"/>
  <c r="BT7" i="139"/>
  <c r="BU7" i="139" s="1"/>
  <c r="BV7" i="139"/>
  <c r="BW7" i="139" s="1"/>
  <c r="BX7" i="139"/>
  <c r="BY7" i="139"/>
  <c r="BZ7" i="139"/>
  <c r="CA7" i="139" s="1"/>
  <c r="CB7" i="139"/>
  <c r="CD7" i="139"/>
  <c r="CF7" i="139"/>
  <c r="CG7" i="139" s="1"/>
  <c r="CH7" i="139"/>
  <c r="CJ7" i="139"/>
  <c r="CK7" i="139" s="1"/>
  <c r="CL7" i="139"/>
  <c r="CM7" i="139" s="1"/>
  <c r="CN7" i="139"/>
  <c r="CO7" i="139"/>
  <c r="CP7" i="139"/>
  <c r="CQ7" i="139" s="1"/>
  <c r="CR7" i="139"/>
  <c r="CS7" i="139" s="1"/>
  <c r="CT7" i="139"/>
  <c r="CU7" i="139" s="1"/>
  <c r="CV7" i="139"/>
  <c r="CX7" i="139"/>
  <c r="CZ7" i="139"/>
  <c r="DA7" i="139" s="1"/>
  <c r="DB7" i="139"/>
  <c r="DC7" i="139" s="1"/>
  <c r="DD7" i="139"/>
  <c r="DE7" i="139"/>
  <c r="DF7" i="139"/>
  <c r="DG7" i="139" s="1"/>
  <c r="DH7" i="139"/>
  <c r="DJ7" i="139"/>
  <c r="DL7" i="139"/>
  <c r="DM7" i="139" s="1"/>
  <c r="DN7" i="139"/>
  <c r="DP7" i="139"/>
  <c r="DQ7" i="139" s="1"/>
  <c r="DR7" i="139"/>
  <c r="DS7" i="139" s="1"/>
  <c r="DT7" i="139"/>
  <c r="DU7" i="139"/>
  <c r="DV7" i="139"/>
  <c r="DW7" i="139" s="1"/>
  <c r="DX7" i="139"/>
  <c r="DY7" i="139" s="1"/>
  <c r="DZ7" i="139"/>
  <c r="EA7" i="139" s="1"/>
  <c r="EB7" i="139"/>
  <c r="ED7" i="139"/>
  <c r="EF7" i="139"/>
  <c r="EG7" i="139" s="1"/>
  <c r="EH7" i="139"/>
  <c r="EI7" i="139" s="1"/>
  <c r="EJ7" i="139"/>
  <c r="EK7" i="139"/>
  <c r="EL7" i="139"/>
  <c r="EM7" i="139" s="1"/>
  <c r="EN7" i="139"/>
  <c r="EP7" i="139"/>
  <c r="ER7" i="139"/>
  <c r="ES7" i="139" s="1"/>
  <c r="ET7" i="139"/>
  <c r="EV7" i="139"/>
  <c r="EW7" i="139" s="1"/>
  <c r="EX7" i="139"/>
  <c r="EY7" i="139" s="1"/>
  <c r="EZ7" i="139"/>
  <c r="FA7" i="139"/>
  <c r="FF7" i="139"/>
  <c r="FG7" i="139" s="1"/>
  <c r="FH7" i="139"/>
  <c r="FJ7" i="139"/>
  <c r="FL7" i="139"/>
  <c r="FM7" i="139" s="1"/>
  <c r="FN7" i="139"/>
  <c r="FO7" i="139" s="1"/>
  <c r="FP7" i="139"/>
  <c r="FQ7" i="139"/>
  <c r="FR7" i="139"/>
  <c r="FS7" i="139" s="1"/>
  <c r="FT7" i="139"/>
  <c r="FV7" i="139"/>
  <c r="FX7" i="139"/>
  <c r="FY7" i="139" s="1"/>
  <c r="FZ7" i="139"/>
  <c r="GB7" i="139"/>
  <c r="GC7" i="139" s="1"/>
  <c r="GD7" i="139"/>
  <c r="GE7" i="139" s="1"/>
  <c r="GF7" i="139"/>
  <c r="GG7" i="139"/>
  <c r="GH7" i="139"/>
  <c r="GI7" i="139" s="1"/>
  <c r="GJ7" i="139"/>
  <c r="GK7" i="139" s="1"/>
  <c r="GL7" i="139"/>
  <c r="GM7" i="139" s="1"/>
  <c r="GN7" i="139"/>
  <c r="GP7" i="139"/>
  <c r="GR7" i="139"/>
  <c r="GS7" i="139" s="1"/>
  <c r="GT7" i="139"/>
  <c r="GU7" i="139" s="1"/>
  <c r="GV7" i="139"/>
  <c r="GW7" i="139"/>
  <c r="GX7" i="139"/>
  <c r="GY7" i="139" s="1"/>
  <c r="GZ7" i="139"/>
  <c r="HB7" i="139"/>
  <c r="HD7" i="139"/>
  <c r="HE7" i="139" s="1"/>
  <c r="B8" i="139"/>
  <c r="D8" i="139"/>
  <c r="E8" i="139" s="1"/>
  <c r="F8" i="139"/>
  <c r="G8" i="139" s="1"/>
  <c r="H8" i="139"/>
  <c r="I8" i="139"/>
  <c r="J8" i="139"/>
  <c r="L8" i="139"/>
  <c r="M8" i="139" s="1"/>
  <c r="N8" i="139"/>
  <c r="O8" i="139" s="1"/>
  <c r="P8" i="139"/>
  <c r="Q8" i="139" s="1"/>
  <c r="R8" i="139"/>
  <c r="T8" i="139"/>
  <c r="U8" i="139" s="1"/>
  <c r="V8" i="139"/>
  <c r="W8" i="139" s="1"/>
  <c r="X8" i="139"/>
  <c r="Y8" i="139"/>
  <c r="Z8" i="139"/>
  <c r="AA8" i="139" s="1"/>
  <c r="AB8" i="139"/>
  <c r="AC8" i="139" s="1"/>
  <c r="AD8" i="139"/>
  <c r="AE8" i="139" s="1"/>
  <c r="AF8" i="139"/>
  <c r="AG8" i="139" s="1"/>
  <c r="AH8" i="139"/>
  <c r="AJ8" i="139"/>
  <c r="AK8" i="139" s="1"/>
  <c r="AL8" i="139"/>
  <c r="AM8" i="139" s="1"/>
  <c r="AN8" i="139"/>
  <c r="AO8" i="139"/>
  <c r="AP8" i="139"/>
  <c r="AQ8" i="139" s="1"/>
  <c r="AR8" i="139"/>
  <c r="AT8" i="139"/>
  <c r="AV8" i="139"/>
  <c r="AW8" i="139" s="1"/>
  <c r="AX8" i="139"/>
  <c r="AZ8" i="139"/>
  <c r="BA8" i="139"/>
  <c r="BB8" i="139"/>
  <c r="BC8" i="139" s="1"/>
  <c r="BD8" i="139"/>
  <c r="BF8" i="139"/>
  <c r="BG8" i="139" s="1"/>
  <c r="BH8" i="139"/>
  <c r="BJ8" i="139"/>
  <c r="BK8" i="139" s="1"/>
  <c r="BL8" i="139"/>
  <c r="BM8" i="139"/>
  <c r="BN8" i="139"/>
  <c r="BP8" i="139"/>
  <c r="BQ8" i="139" s="1"/>
  <c r="BR8" i="139"/>
  <c r="BS8" i="139" s="1"/>
  <c r="BT8" i="139"/>
  <c r="BV8" i="139"/>
  <c r="BX8" i="139"/>
  <c r="BY8" i="139" s="1"/>
  <c r="BZ8" i="139"/>
  <c r="CA8" i="139" s="1"/>
  <c r="CB8" i="139"/>
  <c r="CC8" i="139" s="1"/>
  <c r="CD8" i="139"/>
  <c r="CF8" i="139"/>
  <c r="CG8" i="139" s="1"/>
  <c r="CH8" i="139"/>
  <c r="CI8" i="139" s="1"/>
  <c r="CJ8" i="139"/>
  <c r="CK8" i="139"/>
  <c r="CL8" i="139"/>
  <c r="CN8" i="139"/>
  <c r="CO8" i="139" s="1"/>
  <c r="CP8" i="139"/>
  <c r="CR8" i="139"/>
  <c r="CS8" i="139" s="1"/>
  <c r="CT8" i="139"/>
  <c r="CV8" i="139"/>
  <c r="CW8" i="139"/>
  <c r="CX8" i="139"/>
  <c r="CY8" i="139" s="1"/>
  <c r="CZ8" i="139"/>
  <c r="DA8" i="139"/>
  <c r="DB8" i="139"/>
  <c r="DC8" i="139" s="1"/>
  <c r="DD8" i="139"/>
  <c r="DF8" i="139"/>
  <c r="DH8" i="139"/>
  <c r="DI8" i="139"/>
  <c r="DJ8" i="139"/>
  <c r="DL8" i="139"/>
  <c r="DM8" i="139"/>
  <c r="DN8" i="139"/>
  <c r="DO8" i="139" s="1"/>
  <c r="DP8" i="139"/>
  <c r="DR8" i="139"/>
  <c r="DT8" i="139"/>
  <c r="DU8" i="139" s="1"/>
  <c r="DV8" i="139"/>
  <c r="DW8" i="139" s="1"/>
  <c r="DX8" i="139"/>
  <c r="DY8" i="139" s="1"/>
  <c r="DZ8" i="139"/>
  <c r="EA8" i="139" s="1"/>
  <c r="EB8" i="139"/>
  <c r="ED8" i="139"/>
  <c r="EE8" i="139"/>
  <c r="EF8" i="139"/>
  <c r="EH8" i="139"/>
  <c r="EJ8" i="139"/>
  <c r="EK8" i="139" s="1"/>
  <c r="EL8" i="139"/>
  <c r="EN8" i="139"/>
  <c r="EO8" i="139" s="1"/>
  <c r="EP8" i="139"/>
  <c r="EQ8" i="139" s="1"/>
  <c r="ER8" i="139"/>
  <c r="ET8" i="139"/>
  <c r="EU8" i="139"/>
  <c r="EV8" i="139"/>
  <c r="EX8" i="139"/>
  <c r="EZ8" i="139"/>
  <c r="FA8" i="139" s="1"/>
  <c r="FB8" i="139"/>
  <c r="FD8" i="139"/>
  <c r="FE8" i="139" s="1"/>
  <c r="FJ8" i="139"/>
  <c r="FK8" i="139"/>
  <c r="FL8" i="139"/>
  <c r="FR8" i="139"/>
  <c r="FT8" i="139"/>
  <c r="FU8" i="139" s="1"/>
  <c r="FV8" i="139"/>
  <c r="FW8" i="139" s="1"/>
  <c r="FX8" i="139"/>
  <c r="FZ8" i="139"/>
  <c r="GA8" i="139"/>
  <c r="GB8" i="139"/>
  <c r="GD8" i="139"/>
  <c r="GF8" i="139"/>
  <c r="GG8" i="139" s="1"/>
  <c r="GH8" i="139"/>
  <c r="GJ8" i="139"/>
  <c r="GK8" i="139" s="1"/>
  <c r="GL8" i="139"/>
  <c r="GM8" i="139" s="1"/>
  <c r="GN8" i="139"/>
  <c r="GX8" i="139"/>
  <c r="GZ8" i="139"/>
  <c r="HA8" i="139" s="1"/>
  <c r="HB8" i="139"/>
  <c r="HC8" i="139" s="1"/>
  <c r="HD8" i="139"/>
  <c r="B9" i="139"/>
  <c r="C9" i="139"/>
  <c r="D9" i="139"/>
  <c r="F9" i="139"/>
  <c r="H9" i="139"/>
  <c r="I9" i="139" s="1"/>
  <c r="J9" i="139"/>
  <c r="L9" i="139"/>
  <c r="M9" i="139" s="1"/>
  <c r="N9" i="139"/>
  <c r="O9" i="139" s="1"/>
  <c r="P9" i="139"/>
  <c r="R9" i="139"/>
  <c r="S9" i="139"/>
  <c r="T9" i="139"/>
  <c r="V9" i="139"/>
  <c r="X9" i="139"/>
  <c r="Y9" i="139" s="1"/>
  <c r="Z9" i="139"/>
  <c r="AB9" i="139"/>
  <c r="AC9" i="139" s="1"/>
  <c r="AD9" i="139"/>
  <c r="AE9" i="139" s="1"/>
  <c r="AF9" i="139"/>
  <c r="AH9" i="139"/>
  <c r="AI9" i="139"/>
  <c r="AJ9" i="139"/>
  <c r="AL9" i="139"/>
  <c r="AN9" i="139"/>
  <c r="AO9" i="139" s="1"/>
  <c r="AP9" i="139"/>
  <c r="AR9" i="139"/>
  <c r="AS9" i="139" s="1"/>
  <c r="AT9" i="139"/>
  <c r="AU9" i="139" s="1"/>
  <c r="AV9" i="139"/>
  <c r="AX9" i="139"/>
  <c r="AY9" i="139"/>
  <c r="AZ9" i="139"/>
  <c r="BB9" i="139"/>
  <c r="BD9" i="139"/>
  <c r="BE9" i="139" s="1"/>
  <c r="BF9" i="139"/>
  <c r="BG9" i="139" s="1"/>
  <c r="BH9" i="139"/>
  <c r="BI9" i="139" s="1"/>
  <c r="BJ9" i="139"/>
  <c r="BK9" i="139" s="1"/>
  <c r="BL9" i="139"/>
  <c r="BN9" i="139"/>
  <c r="BO9" i="139"/>
  <c r="BP9" i="139"/>
  <c r="BR9" i="139"/>
  <c r="BT9" i="139"/>
  <c r="BU9" i="139" s="1"/>
  <c r="BV9" i="139"/>
  <c r="BW9" i="139" s="1"/>
  <c r="BX9" i="139"/>
  <c r="BY9" i="139" s="1"/>
  <c r="BZ9" i="139"/>
  <c r="CA9" i="139" s="1"/>
  <c r="CB9" i="139"/>
  <c r="CD9" i="139"/>
  <c r="CE9" i="139"/>
  <c r="CF9" i="139"/>
  <c r="CH9" i="139"/>
  <c r="CJ9" i="139"/>
  <c r="CK9" i="139" s="1"/>
  <c r="CL9" i="139"/>
  <c r="CM9" i="139" s="1"/>
  <c r="CN9" i="139"/>
  <c r="CO9" i="139" s="1"/>
  <c r="CP9" i="139"/>
  <c r="CQ9" i="139" s="1"/>
  <c r="CR9" i="139"/>
  <c r="CT9" i="139"/>
  <c r="CU9" i="139"/>
  <c r="CV9" i="139"/>
  <c r="CX9" i="139"/>
  <c r="CZ9" i="139"/>
  <c r="DA9" i="139" s="1"/>
  <c r="DB9" i="139"/>
  <c r="DC9" i="139" s="1"/>
  <c r="DD9" i="139"/>
  <c r="DE9" i="139" s="1"/>
  <c r="DF9" i="139"/>
  <c r="DG9" i="139" s="1"/>
  <c r="DH9" i="139"/>
  <c r="DJ9" i="139"/>
  <c r="DK9" i="139"/>
  <c r="DL9" i="139"/>
  <c r="DR9" i="139"/>
  <c r="DS9" i="139" s="1"/>
  <c r="DT9" i="139"/>
  <c r="DU9" i="139" s="1"/>
  <c r="DV9" i="139"/>
  <c r="DW9" i="139" s="1"/>
  <c r="DX9" i="139"/>
  <c r="DZ9" i="139"/>
  <c r="EA9" i="139"/>
  <c r="EB9" i="139"/>
  <c r="ED9" i="139"/>
  <c r="EF9" i="139"/>
  <c r="EG9" i="139" s="1"/>
  <c r="EH9" i="139"/>
  <c r="EJ9" i="139"/>
  <c r="EK9" i="139" s="1"/>
  <c r="EL9" i="139"/>
  <c r="EM9" i="139" s="1"/>
  <c r="EN9" i="139"/>
  <c r="EP9" i="139"/>
  <c r="EQ9" i="139"/>
  <c r="ER9" i="139"/>
  <c r="ET9" i="139"/>
  <c r="EV9" i="139"/>
  <c r="EW9" i="139" s="1"/>
  <c r="EX9" i="139"/>
  <c r="EZ9" i="139"/>
  <c r="FA9" i="139" s="1"/>
  <c r="FJ9" i="139"/>
  <c r="FL9" i="139"/>
  <c r="FM9" i="139" s="1"/>
  <c r="FN9" i="139"/>
  <c r="FP9" i="139"/>
  <c r="FQ9" i="139" s="1"/>
  <c r="FR9" i="139"/>
  <c r="FS9" i="139" s="1"/>
  <c r="FT9" i="139"/>
  <c r="FV9" i="139"/>
  <c r="FW9" i="139"/>
  <c r="FX9" i="139"/>
  <c r="GD9" i="139"/>
  <c r="GF9" i="139"/>
  <c r="GG9" i="139" s="1"/>
  <c r="GX9" i="139"/>
  <c r="GY9" i="139" s="1"/>
  <c r="GZ9" i="139"/>
  <c r="HB9" i="139"/>
  <c r="HC9" i="139"/>
  <c r="HD9" i="139"/>
  <c r="B10" i="139"/>
  <c r="D10" i="139"/>
  <c r="E10" i="139" s="1"/>
  <c r="F10" i="139"/>
  <c r="H10" i="139"/>
  <c r="I10" i="139" s="1"/>
  <c r="J10" i="139"/>
  <c r="K10" i="139" s="1"/>
  <c r="L10" i="139"/>
  <c r="N10" i="139"/>
  <c r="O10" i="139"/>
  <c r="P10" i="139"/>
  <c r="R10" i="139"/>
  <c r="T10" i="139"/>
  <c r="U10" i="139" s="1"/>
  <c r="V10" i="139"/>
  <c r="X10" i="139"/>
  <c r="Y10" i="139" s="1"/>
  <c r="Z10" i="139"/>
  <c r="AA10" i="139" s="1"/>
  <c r="AB10" i="139"/>
  <c r="AD10" i="139"/>
  <c r="AE10" i="139"/>
  <c r="AF10" i="139"/>
  <c r="AH10" i="139"/>
  <c r="AJ10" i="139"/>
  <c r="AK10" i="139" s="1"/>
  <c r="AL10" i="139"/>
  <c r="AN10" i="139"/>
  <c r="AO10" i="139" s="1"/>
  <c r="AP10" i="139"/>
  <c r="AQ10" i="139" s="1"/>
  <c r="AR10" i="139"/>
  <c r="AT10" i="139"/>
  <c r="AU10" i="139"/>
  <c r="AV10" i="139"/>
  <c r="AX10" i="139"/>
  <c r="AZ10" i="139"/>
  <c r="BB10" i="139"/>
  <c r="BD10" i="139"/>
  <c r="BE10" i="139" s="1"/>
  <c r="BF10" i="139"/>
  <c r="BG10" i="139" s="1"/>
  <c r="BH10" i="139"/>
  <c r="BJ10" i="139"/>
  <c r="BK10" i="139"/>
  <c r="BL10" i="139"/>
  <c r="BN10" i="139"/>
  <c r="BP10" i="139"/>
  <c r="BR10" i="139"/>
  <c r="BT10" i="139"/>
  <c r="BU10" i="139" s="1"/>
  <c r="BV10" i="139"/>
  <c r="BW10" i="139" s="1"/>
  <c r="BX10" i="139"/>
  <c r="BZ10" i="139"/>
  <c r="CA10" i="139"/>
  <c r="CB10" i="139"/>
  <c r="CD10" i="139"/>
  <c r="CF10" i="139"/>
  <c r="CH10" i="139"/>
  <c r="CJ10" i="139"/>
  <c r="CK10" i="139" s="1"/>
  <c r="CL10" i="139"/>
  <c r="CM10" i="139" s="1"/>
  <c r="CN10" i="139"/>
  <c r="CP10" i="139"/>
  <c r="CQ10" i="139"/>
  <c r="CR10" i="139"/>
  <c r="CT10" i="139"/>
  <c r="CV10" i="139"/>
  <c r="CX10" i="139"/>
  <c r="CY10" i="139" s="1"/>
  <c r="CZ10" i="139"/>
  <c r="DA10" i="139" s="1"/>
  <c r="DB10" i="139"/>
  <c r="DC10" i="139" s="1"/>
  <c r="DD10" i="139"/>
  <c r="DF10" i="139"/>
  <c r="DG10" i="139"/>
  <c r="DH10" i="139"/>
  <c r="DJ10" i="139"/>
  <c r="DL10" i="139"/>
  <c r="DN10" i="139"/>
  <c r="DO10" i="139" s="1"/>
  <c r="DP10" i="139"/>
  <c r="DQ10" i="139" s="1"/>
  <c r="DR10" i="139"/>
  <c r="DS10" i="139" s="1"/>
  <c r="DT10" i="139"/>
  <c r="DV10" i="139"/>
  <c r="DW10" i="139"/>
  <c r="DX10" i="139"/>
  <c r="DZ10" i="139"/>
  <c r="EB10" i="139"/>
  <c r="ED10" i="139"/>
  <c r="EE10" i="139" s="1"/>
  <c r="EF10" i="139"/>
  <c r="EG10" i="139" s="1"/>
  <c r="EH10" i="139"/>
  <c r="EI10" i="139" s="1"/>
  <c r="EJ10" i="139"/>
  <c r="EL10" i="139"/>
  <c r="EM10" i="139"/>
  <c r="EN10" i="139"/>
  <c r="EP10" i="139"/>
  <c r="ER10" i="139"/>
  <c r="ET10" i="139"/>
  <c r="EU10" i="139" s="1"/>
  <c r="EV10" i="139"/>
  <c r="EW10" i="139" s="1"/>
  <c r="EX10" i="139"/>
  <c r="EZ10" i="139"/>
  <c r="FB10" i="139"/>
  <c r="FD10" i="139"/>
  <c r="FJ10" i="139"/>
  <c r="FL10" i="139"/>
  <c r="FN10" i="139"/>
  <c r="FP10" i="139"/>
  <c r="FV10" i="139"/>
  <c r="FX10" i="139"/>
  <c r="FZ10" i="139"/>
  <c r="GB10" i="139"/>
  <c r="GD10" i="139"/>
  <c r="GF10" i="139"/>
  <c r="GH10" i="139"/>
  <c r="GJ10" i="139"/>
  <c r="GL10" i="139"/>
  <c r="GN10" i="139"/>
  <c r="GT10" i="139"/>
  <c r="GV10" i="139"/>
  <c r="GX10" i="139"/>
  <c r="GZ10" i="139"/>
  <c r="HB10" i="139"/>
  <c r="HD10" i="139"/>
  <c r="B11" i="139"/>
  <c r="D11" i="139"/>
  <c r="F11" i="139"/>
  <c r="H11" i="139"/>
  <c r="J11" i="139"/>
  <c r="L11" i="139"/>
  <c r="N11" i="139"/>
  <c r="P11" i="139"/>
  <c r="R11" i="139"/>
  <c r="T11" i="139"/>
  <c r="V11" i="139"/>
  <c r="X11" i="139"/>
  <c r="Z11" i="139"/>
  <c r="AB11" i="139"/>
  <c r="AD11" i="139"/>
  <c r="AF11" i="139"/>
  <c r="AH11" i="139"/>
  <c r="AJ11" i="139"/>
  <c r="AL11" i="139"/>
  <c r="AN11" i="139"/>
  <c r="AP11" i="139"/>
  <c r="AR11" i="139"/>
  <c r="AT11" i="139"/>
  <c r="AV11" i="139"/>
  <c r="AX11" i="139"/>
  <c r="AZ11" i="139"/>
  <c r="BB11" i="139"/>
  <c r="BD11" i="139"/>
  <c r="BF11" i="139"/>
  <c r="BH11" i="139"/>
  <c r="BJ11" i="139"/>
  <c r="BL11" i="139"/>
  <c r="BN11" i="139"/>
  <c r="BP11" i="139"/>
  <c r="BR11" i="139"/>
  <c r="BT11" i="139"/>
  <c r="BV11" i="139"/>
  <c r="BX11" i="139"/>
  <c r="BZ11" i="139"/>
  <c r="CB11" i="139"/>
  <c r="CD11" i="139"/>
  <c r="CF11" i="139"/>
  <c r="CH11" i="139"/>
  <c r="CJ11" i="139"/>
  <c r="CL11" i="139"/>
  <c r="CN11" i="139"/>
  <c r="CP11" i="139"/>
  <c r="CR11" i="139"/>
  <c r="CT11" i="139"/>
  <c r="CV11" i="139"/>
  <c r="CX11" i="139"/>
  <c r="CZ11" i="139"/>
  <c r="DB11" i="139"/>
  <c r="DD11" i="139"/>
  <c r="DF11" i="139"/>
  <c r="DH11" i="139"/>
  <c r="DJ11" i="139"/>
  <c r="DL11" i="139"/>
  <c r="DN11" i="139"/>
  <c r="DP11" i="139"/>
  <c r="DR11" i="139"/>
  <c r="DT11" i="139"/>
  <c r="DV11" i="139"/>
  <c r="DX11" i="139"/>
  <c r="DZ11" i="139"/>
  <c r="EB11" i="139"/>
  <c r="ED11" i="139"/>
  <c r="EF11" i="139"/>
  <c r="EH11" i="139"/>
  <c r="EJ11" i="139"/>
  <c r="EL11" i="139"/>
  <c r="EN11" i="139"/>
  <c r="EP11" i="139"/>
  <c r="EQ11" i="139" s="1"/>
  <c r="ER11" i="139"/>
  <c r="ES11" i="139"/>
  <c r="ET11" i="139"/>
  <c r="EU11" i="139" s="1"/>
  <c r="EV11" i="139"/>
  <c r="EW11" i="139"/>
  <c r="EX11" i="139"/>
  <c r="EY11" i="139" s="1"/>
  <c r="EZ11" i="139"/>
  <c r="FJ11" i="139"/>
  <c r="FK11" i="139" s="1"/>
  <c r="FL11" i="139"/>
  <c r="FM11" i="139"/>
  <c r="FV11" i="139"/>
  <c r="FW11" i="139" s="1"/>
  <c r="FX11" i="139"/>
  <c r="FY11" i="139"/>
  <c r="FZ11" i="139"/>
  <c r="GA11" i="139" s="1"/>
  <c r="GB11" i="139"/>
  <c r="GC11" i="139"/>
  <c r="GD11" i="139"/>
  <c r="GE11" i="139" s="1"/>
  <c r="GF11" i="139"/>
  <c r="GH11" i="139"/>
  <c r="GJ11" i="139"/>
  <c r="GL11" i="139"/>
  <c r="GM11" i="139" s="1"/>
  <c r="GN11" i="139"/>
  <c r="GO11" i="139"/>
  <c r="GP11" i="139"/>
  <c r="GQ11" i="139" s="1"/>
  <c r="GR11" i="139"/>
  <c r="GS11" i="139"/>
  <c r="GT11" i="139"/>
  <c r="GU11" i="139" s="1"/>
  <c r="GV11" i="139"/>
  <c r="GX11" i="139"/>
  <c r="GZ11" i="139"/>
  <c r="HB11" i="139"/>
  <c r="HC11" i="139" s="1"/>
  <c r="HD11" i="139"/>
  <c r="HE11" i="139"/>
  <c r="B12" i="139"/>
  <c r="C12" i="139" s="1"/>
  <c r="D12" i="139"/>
  <c r="E12" i="139"/>
  <c r="F12" i="139"/>
  <c r="G12" i="139" s="1"/>
  <c r="H12" i="139"/>
  <c r="J12" i="139"/>
  <c r="L12" i="139"/>
  <c r="N12" i="139"/>
  <c r="O12" i="139" s="1"/>
  <c r="P12" i="139"/>
  <c r="Q12" i="139"/>
  <c r="R12" i="139"/>
  <c r="S12" i="139" s="1"/>
  <c r="T12" i="139"/>
  <c r="U12" i="139"/>
  <c r="V12" i="139"/>
  <c r="W12" i="139" s="1"/>
  <c r="X12" i="139"/>
  <c r="Z12" i="139"/>
  <c r="AB12" i="139"/>
  <c r="AD12" i="139"/>
  <c r="AE12" i="139" s="1"/>
  <c r="AF12" i="139"/>
  <c r="AG12" i="139"/>
  <c r="AH12" i="139"/>
  <c r="AI12" i="139" s="1"/>
  <c r="AJ12" i="139"/>
  <c r="AK12" i="139"/>
  <c r="AL12" i="139"/>
  <c r="AM12" i="139" s="1"/>
  <c r="AN12" i="139"/>
  <c r="AP12" i="139"/>
  <c r="AR12" i="139"/>
  <c r="AT12" i="139"/>
  <c r="AU12" i="139" s="1"/>
  <c r="AV12" i="139"/>
  <c r="AW12" i="139"/>
  <c r="AX12" i="139"/>
  <c r="AY12" i="139" s="1"/>
  <c r="AZ12" i="139"/>
  <c r="BA12" i="139"/>
  <c r="BB12" i="139"/>
  <c r="BC12" i="139" s="1"/>
  <c r="BD12" i="139"/>
  <c r="BF12" i="139"/>
  <c r="BH12" i="139"/>
  <c r="BJ12" i="139"/>
  <c r="BK12" i="139" s="1"/>
  <c r="BL12" i="139"/>
  <c r="BM12" i="139"/>
  <c r="BN12" i="139"/>
  <c r="BO12" i="139" s="1"/>
  <c r="BP12" i="139"/>
  <c r="BQ12" i="139"/>
  <c r="BR12" i="139"/>
  <c r="BS12" i="139" s="1"/>
  <c r="BT12" i="139"/>
  <c r="BV12" i="139"/>
  <c r="BW12" i="139" s="1"/>
  <c r="BX12" i="139"/>
  <c r="BY12" i="139" s="1"/>
  <c r="BZ12" i="139"/>
  <c r="CB12" i="139"/>
  <c r="CC12" i="139" s="1"/>
  <c r="CD12" i="139"/>
  <c r="CF12" i="139"/>
  <c r="CG12" i="139"/>
  <c r="CH12" i="139"/>
  <c r="CI12" i="139" s="1"/>
  <c r="CJ12" i="139"/>
  <c r="CL12" i="139"/>
  <c r="CM12" i="139" s="1"/>
  <c r="CN12" i="139"/>
  <c r="CP12" i="139"/>
  <c r="CR12" i="139"/>
  <c r="CS12" i="139" s="1"/>
  <c r="CT12" i="139"/>
  <c r="CV12" i="139"/>
  <c r="CW12" i="139"/>
  <c r="CX12" i="139"/>
  <c r="CY12" i="139" s="1"/>
  <c r="CZ12" i="139"/>
  <c r="DB12" i="139"/>
  <c r="DC12" i="139" s="1"/>
  <c r="DD12" i="139"/>
  <c r="DF12" i="139"/>
  <c r="DH12" i="139"/>
  <c r="DI12" i="139" s="1"/>
  <c r="DJ12" i="139"/>
  <c r="DL12" i="139"/>
  <c r="DM12" i="139"/>
  <c r="DR12" i="139"/>
  <c r="DS12" i="139" s="1"/>
  <c r="DT12" i="139"/>
  <c r="DU12" i="139" s="1"/>
  <c r="DV12" i="139"/>
  <c r="DX12" i="139"/>
  <c r="DY12" i="139" s="1"/>
  <c r="DZ12" i="139"/>
  <c r="EB12" i="139"/>
  <c r="EC12" i="139"/>
  <c r="ED12" i="139"/>
  <c r="EE12" i="139" s="1"/>
  <c r="EF12" i="139"/>
  <c r="EH12" i="139"/>
  <c r="EI12" i="139" s="1"/>
  <c r="EJ12" i="139"/>
  <c r="EK12" i="139" s="1"/>
  <c r="EL12" i="139"/>
  <c r="EN12" i="139"/>
  <c r="EO12" i="139" s="1"/>
  <c r="EP12" i="139"/>
  <c r="ER12" i="139"/>
  <c r="ES12" i="139"/>
  <c r="ET12" i="139"/>
  <c r="EU12" i="139" s="1"/>
  <c r="EV12" i="139"/>
  <c r="EX12" i="139"/>
  <c r="EY12" i="139" s="1"/>
  <c r="EZ12" i="139"/>
  <c r="FJ12" i="139"/>
  <c r="FK12" i="139" s="1"/>
  <c r="FL12" i="139"/>
  <c r="FN12" i="139"/>
  <c r="FO12" i="139" s="1"/>
  <c r="FP12" i="139"/>
  <c r="FQ12" i="139" s="1"/>
  <c r="FR12" i="139"/>
  <c r="FT12" i="139"/>
  <c r="FU12" i="139" s="1"/>
  <c r="FZ12" i="139"/>
  <c r="GA12" i="139" s="1"/>
  <c r="GB12" i="139"/>
  <c r="GD12" i="139"/>
  <c r="GE12" i="139" s="1"/>
  <c r="GF12" i="139"/>
  <c r="GG12" i="139" s="1"/>
  <c r="GH12" i="139"/>
  <c r="GJ12" i="139"/>
  <c r="GK12" i="139" s="1"/>
  <c r="GL12" i="139"/>
  <c r="GN12" i="139"/>
  <c r="GO12" i="139"/>
  <c r="GP12" i="139"/>
  <c r="GQ12" i="139" s="1"/>
  <c r="GR12" i="139"/>
  <c r="GT12" i="139"/>
  <c r="GU12" i="139" s="1"/>
  <c r="GV12" i="139"/>
  <c r="GW12" i="139" s="1"/>
  <c r="GX12" i="139"/>
  <c r="GZ12" i="139"/>
  <c r="HA12" i="139" s="1"/>
  <c r="HB12" i="139"/>
  <c r="HD12" i="139"/>
  <c r="HE12" i="139"/>
  <c r="B13" i="139"/>
  <c r="C13" i="139" s="1"/>
  <c r="D13" i="139"/>
  <c r="F13" i="139"/>
  <c r="G13" i="139" s="1"/>
  <c r="H13" i="139"/>
  <c r="J13" i="139"/>
  <c r="L13" i="139"/>
  <c r="M13" i="139" s="1"/>
  <c r="N13" i="139"/>
  <c r="P13" i="139"/>
  <c r="Q13" i="139"/>
  <c r="R13" i="139"/>
  <c r="S13" i="139" s="1"/>
  <c r="T13" i="139"/>
  <c r="V13" i="139"/>
  <c r="W13" i="139" s="1"/>
  <c r="X13" i="139"/>
  <c r="Y13" i="139" s="1"/>
  <c r="Z13" i="139"/>
  <c r="AB13" i="139"/>
  <c r="AC13" i="139" s="1"/>
  <c r="AD13" i="139"/>
  <c r="AF13" i="139"/>
  <c r="AG13" i="139"/>
  <c r="AH13" i="139"/>
  <c r="AI13" i="139" s="1"/>
  <c r="AJ13" i="139"/>
  <c r="AL13" i="139"/>
  <c r="AM13" i="139" s="1"/>
  <c r="AN13" i="139"/>
  <c r="AO13" i="139" s="1"/>
  <c r="AP13" i="139"/>
  <c r="AR13" i="139"/>
  <c r="AS13" i="139" s="1"/>
  <c r="AT13" i="139"/>
  <c r="AV13" i="139"/>
  <c r="AW13" i="139"/>
  <c r="AX13" i="139"/>
  <c r="AY13" i="139" s="1"/>
  <c r="AZ13" i="139"/>
  <c r="BB13" i="139"/>
  <c r="BC13" i="139" s="1"/>
  <c r="BD13" i="139"/>
  <c r="BE13" i="139" s="1"/>
  <c r="BF13" i="139"/>
  <c r="BH13" i="139"/>
  <c r="BI13" i="139" s="1"/>
  <c r="BJ13" i="139"/>
  <c r="BL13" i="139"/>
  <c r="BM13" i="139"/>
  <c r="BN13" i="139"/>
  <c r="BO13" i="139" s="1"/>
  <c r="BP13" i="139"/>
  <c r="BR13" i="139"/>
  <c r="BS13" i="139" s="1"/>
  <c r="BT13" i="139"/>
  <c r="BV13" i="139"/>
  <c r="BX13" i="139"/>
  <c r="BY13" i="139" s="1"/>
  <c r="BZ13" i="139"/>
  <c r="CB13" i="139"/>
  <c r="CC13" i="139"/>
  <c r="CD13" i="139"/>
  <c r="CE13" i="139" s="1"/>
  <c r="CF13" i="139"/>
  <c r="CH13" i="139"/>
  <c r="CI13" i="139" s="1"/>
  <c r="CJ13" i="139"/>
  <c r="CK13" i="139" s="1"/>
  <c r="CL13" i="139"/>
  <c r="CN13" i="139"/>
  <c r="CO13" i="139" s="1"/>
  <c r="CP13" i="139"/>
  <c r="CR13" i="139"/>
  <c r="CS13" i="139"/>
  <c r="CT13" i="139"/>
  <c r="CU13" i="139" s="1"/>
  <c r="CV13" i="139"/>
  <c r="CX13" i="139"/>
  <c r="CY13" i="139" s="1"/>
  <c r="CZ13" i="139"/>
  <c r="DA13" i="139" s="1"/>
  <c r="DB13" i="139"/>
  <c r="DD13" i="139"/>
  <c r="DE13" i="139" s="1"/>
  <c r="DF13" i="139"/>
  <c r="DH13" i="139"/>
  <c r="DI13" i="139"/>
  <c r="DJ13" i="139"/>
  <c r="DK13" i="139" s="1"/>
  <c r="DL13" i="139"/>
  <c r="DN13" i="139"/>
  <c r="DO13" i="139" s="1"/>
  <c r="DP13" i="139"/>
  <c r="DQ13" i="139" s="1"/>
  <c r="DR13" i="139"/>
  <c r="DT13" i="139"/>
  <c r="DU13" i="139" s="1"/>
  <c r="DV13" i="139"/>
  <c r="DX13" i="139"/>
  <c r="DY13" i="139"/>
  <c r="DZ13" i="139"/>
  <c r="EA13" i="139" s="1"/>
  <c r="EB13" i="139"/>
  <c r="ED13" i="139"/>
  <c r="EE13" i="139" s="1"/>
  <c r="EF13" i="139"/>
  <c r="EH13" i="139"/>
  <c r="EJ13" i="139"/>
  <c r="EK13" i="139" s="1"/>
  <c r="EL13" i="139"/>
  <c r="EN13" i="139"/>
  <c r="EO13" i="139"/>
  <c r="EP13" i="139"/>
  <c r="EQ13" i="139" s="1"/>
  <c r="ER13" i="139"/>
  <c r="ET13" i="139"/>
  <c r="EU13" i="139" s="1"/>
  <c r="EV13" i="139"/>
  <c r="EW13" i="139" s="1"/>
  <c r="EX13" i="139"/>
  <c r="EZ13" i="139"/>
  <c r="FA13" i="139" s="1"/>
  <c r="FB13" i="139"/>
  <c r="FD13" i="139"/>
  <c r="FE13" i="139"/>
  <c r="FF13" i="139"/>
  <c r="FG13" i="139" s="1"/>
  <c r="FH13" i="139"/>
  <c r="FJ13" i="139"/>
  <c r="FK13" i="139" s="1"/>
  <c r="FL13" i="139"/>
  <c r="FM13" i="139" s="1"/>
  <c r="FN13" i="139"/>
  <c r="FP13" i="139"/>
  <c r="FQ13" i="139" s="1"/>
  <c r="FR13" i="139"/>
  <c r="FT13" i="139"/>
  <c r="FU13" i="139"/>
  <c r="FV13" i="139"/>
  <c r="FW13" i="139" s="1"/>
  <c r="FX13" i="139"/>
  <c r="FZ13" i="139"/>
  <c r="GA13" i="139" s="1"/>
  <c r="GB13" i="139"/>
  <c r="GC13" i="139" s="1"/>
  <c r="GD13" i="139"/>
  <c r="GF13" i="139"/>
  <c r="GG13" i="139" s="1"/>
  <c r="GH13" i="139"/>
  <c r="GJ13" i="139"/>
  <c r="GK13" i="139"/>
  <c r="GL13" i="139"/>
  <c r="GM13" i="139" s="1"/>
  <c r="GN13" i="139"/>
  <c r="GP13" i="139"/>
  <c r="GQ13" i="139" s="1"/>
  <c r="GR13" i="139"/>
  <c r="GT13" i="139"/>
  <c r="GV13" i="139"/>
  <c r="GW13" i="139" s="1"/>
  <c r="GX13" i="139"/>
  <c r="GZ13" i="139"/>
  <c r="HA13" i="139"/>
  <c r="HB13" i="139"/>
  <c r="HC13" i="139" s="1"/>
  <c r="HD13" i="139"/>
  <c r="B14" i="139"/>
  <c r="C14" i="139" s="1"/>
  <c r="D14" i="139"/>
  <c r="E14" i="139" s="1"/>
  <c r="F14" i="139"/>
  <c r="H14" i="139"/>
  <c r="I14" i="139" s="1"/>
  <c r="J14" i="139"/>
  <c r="L14" i="139"/>
  <c r="M14" i="139"/>
  <c r="N14" i="139"/>
  <c r="O14" i="139" s="1"/>
  <c r="P14" i="139"/>
  <c r="R14" i="139"/>
  <c r="S14" i="139" s="1"/>
  <c r="T14" i="139"/>
  <c r="U14" i="139" s="1"/>
  <c r="V14" i="139"/>
  <c r="X14" i="139"/>
  <c r="Y14" i="139" s="1"/>
  <c r="Z14" i="139"/>
  <c r="AB14" i="139"/>
  <c r="AC14" i="139"/>
  <c r="AD14" i="139"/>
  <c r="AE14" i="139" s="1"/>
  <c r="AF14" i="139"/>
  <c r="AH14" i="139"/>
  <c r="AI14" i="139" s="1"/>
  <c r="AJ14" i="139"/>
  <c r="AK14" i="139" s="1"/>
  <c r="AL14" i="139"/>
  <c r="AN14" i="139"/>
  <c r="AO14" i="139" s="1"/>
  <c r="AP14" i="139"/>
  <c r="AR14" i="139"/>
  <c r="AS14" i="139"/>
  <c r="AT14" i="139"/>
  <c r="AU14" i="139" s="1"/>
  <c r="AV14" i="139"/>
  <c r="AX14" i="139"/>
  <c r="AY14" i="139" s="1"/>
  <c r="AZ14" i="139"/>
  <c r="BB14" i="139"/>
  <c r="BD14" i="139"/>
  <c r="BE14" i="139" s="1"/>
  <c r="BF14" i="139"/>
  <c r="BH14" i="139"/>
  <c r="BI14" i="139"/>
  <c r="BJ14" i="139"/>
  <c r="BK14" i="139" s="1"/>
  <c r="BL14" i="139"/>
  <c r="BN14" i="139"/>
  <c r="BO14" i="139" s="1"/>
  <c r="BP14" i="139"/>
  <c r="BQ14" i="139" s="1"/>
  <c r="BR14" i="139"/>
  <c r="BT14" i="139"/>
  <c r="BU14" i="139" s="1"/>
  <c r="BV14" i="139"/>
  <c r="BX14" i="139"/>
  <c r="BY14" i="139"/>
  <c r="BZ14" i="139"/>
  <c r="CA14" i="139" s="1"/>
  <c r="CB14" i="139"/>
  <c r="CD14" i="139"/>
  <c r="CF14" i="139"/>
  <c r="CG14" i="139" s="1"/>
  <c r="CH14" i="139"/>
  <c r="CJ14" i="139"/>
  <c r="CK14" i="139"/>
  <c r="CL14" i="139"/>
  <c r="CN14" i="139"/>
  <c r="CO14" i="139"/>
  <c r="CP14" i="139"/>
  <c r="CR14" i="139"/>
  <c r="CT14" i="139"/>
  <c r="CU14" i="139" s="1"/>
  <c r="CV14" i="139"/>
  <c r="CX14" i="139"/>
  <c r="CZ14" i="139"/>
  <c r="DA14" i="139"/>
  <c r="DB14" i="139"/>
  <c r="DD14" i="139"/>
  <c r="DE14" i="139"/>
  <c r="DF14" i="139"/>
  <c r="DH14" i="139"/>
  <c r="DJ14" i="139"/>
  <c r="DL14" i="139"/>
  <c r="DM14" i="139" s="1"/>
  <c r="DN14" i="139"/>
  <c r="DP14" i="139"/>
  <c r="DQ14" i="139"/>
  <c r="DR14" i="139"/>
  <c r="DT14" i="139"/>
  <c r="DU14" i="139"/>
  <c r="DV14" i="139"/>
  <c r="DX14" i="139"/>
  <c r="DZ14" i="139"/>
  <c r="EA14" i="139" s="1"/>
  <c r="EB14" i="139"/>
  <c r="ED14" i="139"/>
  <c r="EF14" i="139"/>
  <c r="EG14" i="139"/>
  <c r="EH14" i="139"/>
  <c r="EJ14" i="139"/>
  <c r="EK14" i="139"/>
  <c r="EL14" i="139"/>
  <c r="EN14" i="139"/>
  <c r="EP14" i="139"/>
  <c r="ES14" i="139" s="1"/>
  <c r="EQ14" i="139"/>
  <c r="ER14" i="139"/>
  <c r="ET14" i="139"/>
  <c r="EW14" i="139" s="1"/>
  <c r="EU14" i="139"/>
  <c r="EV14" i="139"/>
  <c r="EX14" i="139"/>
  <c r="FA14" i="139" s="1"/>
  <c r="EZ14" i="139"/>
  <c r="FB14" i="139"/>
  <c r="FE14" i="139" s="1"/>
  <c r="FC14" i="139"/>
  <c r="FD14" i="139"/>
  <c r="FJ14" i="139"/>
  <c r="FM14" i="139" s="1"/>
  <c r="FK14" i="139"/>
  <c r="FL14" i="139"/>
  <c r="FN14" i="139"/>
  <c r="FQ14" i="139" s="1"/>
  <c r="FP14" i="139"/>
  <c r="FR14" i="139"/>
  <c r="FU14" i="139" s="1"/>
  <c r="FS14" i="139"/>
  <c r="FT14" i="139"/>
  <c r="FZ14" i="139"/>
  <c r="GC14" i="139" s="1"/>
  <c r="GA14" i="139"/>
  <c r="GB14" i="139"/>
  <c r="GD14" i="139"/>
  <c r="GG14" i="139" s="1"/>
  <c r="GF14" i="139"/>
  <c r="GH14" i="139"/>
  <c r="GK14" i="139" s="1"/>
  <c r="GI14" i="139"/>
  <c r="GJ14" i="139"/>
  <c r="GL14" i="139"/>
  <c r="GO14" i="139" s="1"/>
  <c r="GM14" i="139"/>
  <c r="GN14" i="139"/>
  <c r="GT14" i="139"/>
  <c r="GW14" i="139" s="1"/>
  <c r="GV14" i="139"/>
  <c r="GX14" i="139"/>
  <c r="HA14" i="139" s="1"/>
  <c r="GY14" i="139"/>
  <c r="GZ14" i="139"/>
  <c r="HB14" i="139"/>
  <c r="HE14" i="139" s="1"/>
  <c r="HC14" i="139"/>
  <c r="HD14" i="139"/>
  <c r="B15" i="139"/>
  <c r="E15" i="139" s="1"/>
  <c r="C15" i="139"/>
  <c r="D15" i="139"/>
  <c r="F15" i="139"/>
  <c r="I15" i="139" s="1"/>
  <c r="H15" i="139"/>
  <c r="J15" i="139"/>
  <c r="M15" i="139" s="1"/>
  <c r="K15" i="139"/>
  <c r="L15" i="139"/>
  <c r="N15" i="139"/>
  <c r="Q15" i="139" s="1"/>
  <c r="O15" i="139"/>
  <c r="P15" i="139"/>
  <c r="R15" i="139"/>
  <c r="U15" i="139" s="1"/>
  <c r="S15" i="139"/>
  <c r="T15" i="139"/>
  <c r="V15" i="139"/>
  <c r="Y15" i="139" s="1"/>
  <c r="X15" i="139"/>
  <c r="Z15" i="139"/>
  <c r="AC15" i="139" s="1"/>
  <c r="AA15" i="139"/>
  <c r="AB15" i="139"/>
  <c r="AD15" i="139"/>
  <c r="AG15" i="139" s="1"/>
  <c r="AE15" i="139"/>
  <c r="AF15" i="139"/>
  <c r="AH15" i="139"/>
  <c r="AK15" i="139" s="1"/>
  <c r="AI15" i="139"/>
  <c r="AJ15" i="139"/>
  <c r="AL15" i="139"/>
  <c r="AO15" i="139" s="1"/>
  <c r="AN15" i="139"/>
  <c r="AP15" i="139"/>
  <c r="AS15" i="139" s="1"/>
  <c r="AQ15" i="139"/>
  <c r="AR15" i="139"/>
  <c r="AT15" i="139"/>
  <c r="AW15" i="139" s="1"/>
  <c r="AU15" i="139"/>
  <c r="AV15" i="139"/>
  <c r="AX15" i="139"/>
  <c r="BA15" i="139" s="1"/>
  <c r="AY15" i="139"/>
  <c r="AZ15" i="139"/>
  <c r="BB15" i="139"/>
  <c r="BE15" i="139" s="1"/>
  <c r="BD15" i="139"/>
  <c r="BF15" i="139"/>
  <c r="BI15" i="139" s="1"/>
  <c r="BG15" i="139"/>
  <c r="BH15" i="139"/>
  <c r="BJ15" i="139"/>
  <c r="BM15" i="139" s="1"/>
  <c r="BK15" i="139"/>
  <c r="BL15" i="139"/>
  <c r="BN15" i="139"/>
  <c r="BQ15" i="139" s="1"/>
  <c r="BO15" i="139"/>
  <c r="BP15" i="139"/>
  <c r="BR15" i="139"/>
  <c r="BU15" i="139" s="1"/>
  <c r="BT15" i="139"/>
  <c r="BV15" i="139"/>
  <c r="BY15" i="139" s="1"/>
  <c r="BW15" i="139"/>
  <c r="BX15" i="139"/>
  <c r="BZ15" i="139"/>
  <c r="CC15" i="139" s="1"/>
  <c r="CA15" i="139"/>
  <c r="CB15" i="139"/>
  <c r="CD15" i="139"/>
  <c r="CG15" i="139" s="1"/>
  <c r="CE15" i="139"/>
  <c r="CF15" i="139"/>
  <c r="CH15" i="139"/>
  <c r="CK15" i="139" s="1"/>
  <c r="CJ15" i="139"/>
  <c r="CL15" i="139"/>
  <c r="CO15" i="139" s="1"/>
  <c r="CM15" i="139"/>
  <c r="CN15" i="139"/>
  <c r="CP15" i="139"/>
  <c r="CS15" i="139" s="1"/>
  <c r="CQ15" i="139"/>
  <c r="CR15" i="139"/>
  <c r="CT15" i="139"/>
  <c r="CW15" i="139" s="1"/>
  <c r="CU15" i="139"/>
  <c r="CV15" i="139"/>
  <c r="CX15" i="139"/>
  <c r="DA15" i="139" s="1"/>
  <c r="CZ15" i="139"/>
  <c r="DB15" i="139"/>
  <c r="DE15" i="139" s="1"/>
  <c r="DC15" i="139"/>
  <c r="DD15" i="139"/>
  <c r="DF15" i="139"/>
  <c r="DI15" i="139" s="1"/>
  <c r="DG15" i="139"/>
  <c r="DH15" i="139"/>
  <c r="DJ15" i="139"/>
  <c r="DM15" i="139" s="1"/>
  <c r="DK15" i="139"/>
  <c r="DL15" i="139"/>
  <c r="DN15" i="139"/>
  <c r="DQ15" i="139" s="1"/>
  <c r="DP15" i="139"/>
  <c r="DR15" i="139"/>
  <c r="DU15" i="139" s="1"/>
  <c r="DS15" i="139"/>
  <c r="DT15" i="139"/>
  <c r="DV15" i="139"/>
  <c r="DY15" i="139" s="1"/>
  <c r="DW15" i="139"/>
  <c r="DX15" i="139"/>
  <c r="DZ15" i="139"/>
  <c r="EC15" i="139" s="1"/>
  <c r="EA15" i="139"/>
  <c r="EB15" i="139"/>
  <c r="ED15" i="139"/>
  <c r="EG15" i="139" s="1"/>
  <c r="EF15" i="139"/>
  <c r="EH15" i="139"/>
  <c r="EK15" i="139" s="1"/>
  <c r="EI15" i="139"/>
  <c r="EJ15" i="139"/>
  <c r="EL15" i="139"/>
  <c r="EO15" i="139" s="1"/>
  <c r="EM15" i="139"/>
  <c r="EN15" i="139"/>
  <c r="EP15" i="139"/>
  <c r="ES15" i="139" s="1"/>
  <c r="EQ15" i="139"/>
  <c r="ER15" i="139"/>
  <c r="ET15" i="139"/>
  <c r="EW15" i="139" s="1"/>
  <c r="EV15" i="139"/>
  <c r="EX15" i="139"/>
  <c r="FA15" i="139" s="1"/>
  <c r="EY15" i="139"/>
  <c r="EZ15" i="139"/>
  <c r="FB15" i="139"/>
  <c r="FE15" i="139" s="1"/>
  <c r="FC15" i="139"/>
  <c r="FD15" i="139"/>
  <c r="FF15" i="139"/>
  <c r="FI15" i="139" s="1"/>
  <c r="FG15" i="139"/>
  <c r="FH15" i="139"/>
  <c r="FJ15" i="139"/>
  <c r="FM15" i="139" s="1"/>
  <c r="FL15" i="139"/>
  <c r="FN15" i="139"/>
  <c r="FQ15" i="139" s="1"/>
  <c r="FO15" i="139"/>
  <c r="FP15" i="139"/>
  <c r="FR15" i="139"/>
  <c r="FU15" i="139" s="1"/>
  <c r="FS15" i="139"/>
  <c r="FT15" i="139"/>
  <c r="FV15" i="139"/>
  <c r="FY15" i="139" s="1"/>
  <c r="FW15" i="139"/>
  <c r="FX15" i="139"/>
  <c r="FZ15" i="139"/>
  <c r="GC15" i="139" s="1"/>
  <c r="GB15" i="139"/>
  <c r="GD15" i="139"/>
  <c r="GG15" i="139" s="1"/>
  <c r="GE15" i="139"/>
  <c r="GF15" i="139"/>
  <c r="GH15" i="139"/>
  <c r="GK15" i="139" s="1"/>
  <c r="GI15" i="139"/>
  <c r="GJ15" i="139"/>
  <c r="GX15" i="139"/>
  <c r="HA15" i="139" s="1"/>
  <c r="GY15" i="139"/>
  <c r="GZ15" i="139"/>
  <c r="HB15" i="139"/>
  <c r="HE15" i="139" s="1"/>
  <c r="HC15" i="139"/>
  <c r="HD15" i="139"/>
  <c r="B16" i="139"/>
  <c r="E16" i="139" s="1"/>
  <c r="D16" i="139"/>
  <c r="F16" i="139"/>
  <c r="I16" i="139" s="1"/>
  <c r="G16" i="139"/>
  <c r="H16" i="139"/>
  <c r="J16" i="139"/>
  <c r="M16" i="139" s="1"/>
  <c r="K16" i="139"/>
  <c r="L16" i="139"/>
  <c r="N16" i="139"/>
  <c r="Q16" i="139" s="1"/>
  <c r="O16" i="139"/>
  <c r="P16" i="139"/>
  <c r="R16" i="139"/>
  <c r="U16" i="139" s="1"/>
  <c r="T16" i="139"/>
  <c r="V16" i="139"/>
  <c r="Y16" i="139" s="1"/>
  <c r="W16" i="139"/>
  <c r="X16" i="139"/>
  <c r="Z16" i="139"/>
  <c r="AC16" i="139" s="1"/>
  <c r="AA16" i="139"/>
  <c r="AB16" i="139"/>
  <c r="AD16" i="139"/>
  <c r="AG16" i="139" s="1"/>
  <c r="AE16" i="139"/>
  <c r="AF16" i="139"/>
  <c r="AH16" i="139"/>
  <c r="AK16" i="139" s="1"/>
  <c r="AJ16" i="139"/>
  <c r="AL16" i="139"/>
  <c r="AO16" i="139" s="1"/>
  <c r="AM16" i="139"/>
  <c r="AN16" i="139"/>
  <c r="AP16" i="139"/>
  <c r="AS16" i="139" s="1"/>
  <c r="AQ16" i="139"/>
  <c r="AR16" i="139"/>
  <c r="AT16" i="139"/>
  <c r="AW16" i="139" s="1"/>
  <c r="AU16" i="139"/>
  <c r="AV16" i="139"/>
  <c r="AX16" i="139"/>
  <c r="BA16" i="139" s="1"/>
  <c r="AZ16" i="139"/>
  <c r="BB16" i="139"/>
  <c r="BC16" i="139"/>
  <c r="BD16" i="139"/>
  <c r="BF16" i="139"/>
  <c r="BG16" i="139"/>
  <c r="BH16" i="139"/>
  <c r="BI16" i="139" s="1"/>
  <c r="BJ16" i="139"/>
  <c r="BK16" i="139"/>
  <c r="BL16" i="139"/>
  <c r="BM16" i="139" s="1"/>
  <c r="BN16" i="139"/>
  <c r="BO16" i="139" s="1"/>
  <c r="BP16" i="139"/>
  <c r="BR16" i="139"/>
  <c r="BS16" i="139"/>
  <c r="BT16" i="139"/>
  <c r="BV16" i="139"/>
  <c r="BW16" i="139"/>
  <c r="BX16" i="139"/>
  <c r="BY16" i="139" s="1"/>
  <c r="BZ16" i="139"/>
  <c r="CB16" i="139"/>
  <c r="CC16" i="139" s="1"/>
  <c r="CD16" i="139"/>
  <c r="CE16" i="139" s="1"/>
  <c r="CF16" i="139"/>
  <c r="CH16" i="139"/>
  <c r="CK16" i="139" s="1"/>
  <c r="CI16" i="139"/>
  <c r="CJ16" i="139"/>
  <c r="CL16" i="139"/>
  <c r="CO16" i="139" s="1"/>
  <c r="CM16" i="139"/>
  <c r="CN16" i="139"/>
  <c r="CP16" i="139"/>
  <c r="CS16" i="139" s="1"/>
  <c r="CQ16" i="139"/>
  <c r="CR16" i="139"/>
  <c r="CT16" i="139"/>
  <c r="CW16" i="139" s="1"/>
  <c r="CU16" i="139"/>
  <c r="CV16" i="139"/>
  <c r="CX16" i="139"/>
  <c r="DA16" i="139" s="1"/>
  <c r="CY16" i="139"/>
  <c r="CZ16" i="139"/>
  <c r="DB16" i="139"/>
  <c r="DE16" i="139" s="1"/>
  <c r="DC16" i="139"/>
  <c r="DD16" i="139"/>
  <c r="DF16" i="139"/>
  <c r="DI16" i="139" s="1"/>
  <c r="DG16" i="139"/>
  <c r="DH16" i="139"/>
  <c r="DJ16" i="139"/>
  <c r="DM16" i="139" s="1"/>
  <c r="DK16" i="139"/>
  <c r="DL16" i="139"/>
  <c r="DN16" i="139"/>
  <c r="DQ16" i="139" s="1"/>
  <c r="DO16" i="139"/>
  <c r="DP16" i="139"/>
  <c r="DR16" i="139"/>
  <c r="DU16" i="139" s="1"/>
  <c r="DS16" i="139"/>
  <c r="DT16" i="139"/>
  <c r="DV16" i="139"/>
  <c r="DY16" i="139" s="1"/>
  <c r="DW16" i="139"/>
  <c r="DX16" i="139"/>
  <c r="DZ16" i="139"/>
  <c r="EC16" i="139" s="1"/>
  <c r="EA16" i="139"/>
  <c r="EB16" i="139"/>
  <c r="ED16" i="139"/>
  <c r="EG16" i="139" s="1"/>
  <c r="EE16" i="139"/>
  <c r="EF16" i="139"/>
  <c r="EH16" i="139"/>
  <c r="EK16" i="139" s="1"/>
  <c r="EI16" i="139"/>
  <c r="EJ16" i="139"/>
  <c r="EL16" i="139"/>
  <c r="EO16" i="139" s="1"/>
  <c r="EM16" i="139"/>
  <c r="EN16" i="139"/>
  <c r="EP16" i="139"/>
  <c r="ES16" i="139" s="1"/>
  <c r="EQ16" i="139"/>
  <c r="ER16" i="139"/>
  <c r="ET16" i="139"/>
  <c r="EW16" i="139" s="1"/>
  <c r="EU16" i="139"/>
  <c r="EV16" i="139"/>
  <c r="EX16" i="139"/>
  <c r="FA16" i="139" s="1"/>
  <c r="EY16" i="139"/>
  <c r="EZ16" i="139"/>
  <c r="FJ16" i="139"/>
  <c r="FM16" i="139" s="1"/>
  <c r="FK16" i="139"/>
  <c r="FL16" i="139"/>
  <c r="FN16" i="139"/>
  <c r="FQ16" i="139" s="1"/>
  <c r="FO16" i="139"/>
  <c r="FP16" i="139"/>
  <c r="FR16" i="139"/>
  <c r="FU16" i="139" s="1"/>
  <c r="FS16" i="139"/>
  <c r="FT16" i="139"/>
  <c r="FZ16" i="139"/>
  <c r="GC16" i="139" s="1"/>
  <c r="GA16" i="139"/>
  <c r="GB16" i="139"/>
  <c r="GD16" i="139"/>
  <c r="GG16" i="139" s="1"/>
  <c r="GE16" i="139"/>
  <c r="GF16" i="139"/>
  <c r="GH16" i="139"/>
  <c r="GK16" i="139" s="1"/>
  <c r="GI16" i="139"/>
  <c r="GJ16" i="139"/>
  <c r="GL16" i="139"/>
  <c r="GO16" i="139" s="1"/>
  <c r="GM16" i="139"/>
  <c r="GN16" i="139"/>
  <c r="GT16" i="139"/>
  <c r="GW16" i="139" s="1"/>
  <c r="GU16" i="139"/>
  <c r="GV16" i="139"/>
  <c r="GX16" i="139"/>
  <c r="HA16" i="139" s="1"/>
  <c r="GY16" i="139"/>
  <c r="GZ16" i="139"/>
  <c r="HB16" i="139"/>
  <c r="HE16" i="139" s="1"/>
  <c r="HC16" i="139"/>
  <c r="HD16" i="139"/>
  <c r="B17" i="139"/>
  <c r="E17" i="139" s="1"/>
  <c r="C17" i="139"/>
  <c r="D17" i="139"/>
  <c r="F17" i="139"/>
  <c r="I17" i="139" s="1"/>
  <c r="G17" i="139"/>
  <c r="H17" i="139"/>
  <c r="J17" i="139"/>
  <c r="M17" i="139" s="1"/>
  <c r="K17" i="139"/>
  <c r="L17" i="139"/>
  <c r="N17" i="139"/>
  <c r="Q17" i="139" s="1"/>
  <c r="O17" i="139"/>
  <c r="P17" i="139"/>
  <c r="R17" i="139"/>
  <c r="U17" i="139" s="1"/>
  <c r="S17" i="139"/>
  <c r="T17" i="139"/>
  <c r="V17" i="139"/>
  <c r="Y17" i="139" s="1"/>
  <c r="W17" i="139"/>
  <c r="X17" i="139"/>
  <c r="Z17" i="139"/>
  <c r="AC17" i="139" s="1"/>
  <c r="AA17" i="139"/>
  <c r="AB17" i="139"/>
  <c r="AD17" i="139"/>
  <c r="AG17" i="139" s="1"/>
  <c r="AE17" i="139"/>
  <c r="AF17" i="139"/>
  <c r="AH17" i="139"/>
  <c r="AK17" i="139" s="1"/>
  <c r="AI17" i="139"/>
  <c r="AJ17" i="139"/>
  <c r="AL17" i="139"/>
  <c r="AO17" i="139" s="1"/>
  <c r="AM17" i="139"/>
  <c r="AN17" i="139"/>
  <c r="AP17" i="139"/>
  <c r="AS17" i="139" s="1"/>
  <c r="AQ17" i="139"/>
  <c r="AR17" i="139"/>
  <c r="AT17" i="139"/>
  <c r="AW17" i="139" s="1"/>
  <c r="AU17" i="139"/>
  <c r="AV17" i="139"/>
  <c r="AX17" i="139"/>
  <c r="BA17" i="139" s="1"/>
  <c r="AY17" i="139"/>
  <c r="AZ17" i="139"/>
  <c r="BB17" i="139"/>
  <c r="BE17" i="139" s="1"/>
  <c r="BC17" i="139"/>
  <c r="BD17" i="139"/>
  <c r="BF17" i="139"/>
  <c r="BI17" i="139" s="1"/>
  <c r="BG17" i="139"/>
  <c r="BH17" i="139"/>
  <c r="BJ17" i="139"/>
  <c r="BM17" i="139" s="1"/>
  <c r="BK17" i="139"/>
  <c r="BL17" i="139"/>
  <c r="BN17" i="139"/>
  <c r="BQ17" i="139" s="1"/>
  <c r="BO17" i="139"/>
  <c r="BP17" i="139"/>
  <c r="BR17" i="139"/>
  <c r="BU17" i="139" s="1"/>
  <c r="BS17" i="139"/>
  <c r="BT17" i="139"/>
  <c r="BV17" i="139"/>
  <c r="BY17" i="139" s="1"/>
  <c r="BW17" i="139"/>
  <c r="BX17" i="139"/>
  <c r="BZ17" i="139"/>
  <c r="CC17" i="139" s="1"/>
  <c r="CA17" i="139"/>
  <c r="CB17" i="139"/>
  <c r="CD17" i="139"/>
  <c r="CG17" i="139" s="1"/>
  <c r="CE17" i="139"/>
  <c r="CF17" i="139"/>
  <c r="CH17" i="139"/>
  <c r="CK17" i="139" s="1"/>
  <c r="CI17" i="139"/>
  <c r="CJ17" i="139"/>
  <c r="CL17" i="139"/>
  <c r="CO17" i="139" s="1"/>
  <c r="CM17" i="139"/>
  <c r="CN17" i="139"/>
  <c r="CP17" i="139"/>
  <c r="CS17" i="139" s="1"/>
  <c r="CQ17" i="139"/>
  <c r="CR17" i="139"/>
  <c r="CT17" i="139"/>
  <c r="CW17" i="139" s="1"/>
  <c r="CU17" i="139"/>
  <c r="CV17" i="139"/>
  <c r="CX17" i="139"/>
  <c r="DA17" i="139" s="1"/>
  <c r="CY17" i="139"/>
  <c r="CZ17" i="139"/>
  <c r="DB17" i="139"/>
  <c r="DE17" i="139" s="1"/>
  <c r="DC17" i="139"/>
  <c r="DD17" i="139"/>
  <c r="DF17" i="139"/>
  <c r="DI17" i="139" s="1"/>
  <c r="DG17" i="139"/>
  <c r="DH17" i="139"/>
  <c r="DJ17" i="139"/>
  <c r="DM17" i="139" s="1"/>
  <c r="DK17" i="139"/>
  <c r="DL17" i="139"/>
  <c r="DR17" i="139"/>
  <c r="DU17" i="139" s="1"/>
  <c r="DS17" i="139"/>
  <c r="DT17" i="139"/>
  <c r="DV17" i="139"/>
  <c r="DY17" i="139" s="1"/>
  <c r="DW17" i="139"/>
  <c r="DX17" i="139"/>
  <c r="DZ17" i="139"/>
  <c r="EC17" i="139" s="1"/>
  <c r="EA17" i="139"/>
  <c r="EB17" i="139"/>
  <c r="ED17" i="139"/>
  <c r="EG17" i="139" s="1"/>
  <c r="EE17" i="139"/>
  <c r="EF17" i="139"/>
  <c r="EH17" i="139"/>
  <c r="EK17" i="139" s="1"/>
  <c r="EI17" i="139"/>
  <c r="EJ17" i="139"/>
  <c r="EL17" i="139"/>
  <c r="EO17" i="139" s="1"/>
  <c r="EM17" i="139"/>
  <c r="EN17" i="139"/>
  <c r="EP17" i="139"/>
  <c r="ES17" i="139" s="1"/>
  <c r="EQ17" i="139"/>
  <c r="ER17" i="139"/>
  <c r="ET17" i="139"/>
  <c r="EW17" i="139" s="1"/>
  <c r="EU17" i="139"/>
  <c r="EV17" i="139"/>
  <c r="EX17" i="139"/>
  <c r="FA17" i="139" s="1"/>
  <c r="EY17" i="139"/>
  <c r="EZ17" i="139"/>
  <c r="FB17" i="139"/>
  <c r="FE17" i="139" s="1"/>
  <c r="FC17" i="139"/>
  <c r="FD17" i="139"/>
  <c r="FJ17" i="139"/>
  <c r="FM17" i="139" s="1"/>
  <c r="FK17" i="139"/>
  <c r="FL17" i="139"/>
  <c r="FN17" i="139"/>
  <c r="FQ17" i="139" s="1"/>
  <c r="FO17" i="139"/>
  <c r="FP17" i="139"/>
  <c r="FR17" i="139"/>
  <c r="FU17" i="139" s="1"/>
  <c r="FS17" i="139"/>
  <c r="FT17" i="139"/>
  <c r="FZ17" i="139"/>
  <c r="GC17" i="139" s="1"/>
  <c r="GA17" i="139"/>
  <c r="GB17" i="139"/>
  <c r="GD17" i="139"/>
  <c r="GG17" i="139" s="1"/>
  <c r="GE17" i="139"/>
  <c r="GF17" i="139"/>
  <c r="GX17" i="139"/>
  <c r="HA17" i="139" s="1"/>
  <c r="GY17" i="139"/>
  <c r="GZ17" i="139"/>
  <c r="HB17" i="139"/>
  <c r="HE17" i="139" s="1"/>
  <c r="HC17" i="139"/>
  <c r="HD17" i="139"/>
  <c r="B18" i="139"/>
  <c r="E18" i="139" s="1"/>
  <c r="C18" i="139"/>
  <c r="D18" i="139"/>
  <c r="F18" i="139"/>
  <c r="I18" i="139" s="1"/>
  <c r="G18" i="139"/>
  <c r="H18" i="139"/>
  <c r="J18" i="139"/>
  <c r="M18" i="139" s="1"/>
  <c r="K18" i="139"/>
  <c r="L18" i="139"/>
  <c r="N18" i="139"/>
  <c r="Q18" i="139" s="1"/>
  <c r="O18" i="139"/>
  <c r="P18" i="139"/>
  <c r="R18" i="139"/>
  <c r="U18" i="139" s="1"/>
  <c r="S18" i="139"/>
  <c r="T18" i="139"/>
  <c r="V18" i="139"/>
  <c r="Y18" i="139" s="1"/>
  <c r="W18" i="139"/>
  <c r="X18" i="139"/>
  <c r="Z18" i="139"/>
  <c r="AC18" i="139" s="1"/>
  <c r="AA18" i="139"/>
  <c r="AB18" i="139"/>
  <c r="AD18" i="139"/>
  <c r="AE18" i="139"/>
  <c r="AF18" i="139"/>
  <c r="AG18" i="139" s="1"/>
  <c r="AH18" i="139"/>
  <c r="AI18" i="139"/>
  <c r="AJ18" i="139"/>
  <c r="AK18" i="139" s="1"/>
  <c r="AL18" i="139"/>
  <c r="AM18" i="139"/>
  <c r="AN18" i="139"/>
  <c r="AO18" i="139" s="1"/>
  <c r="AP18" i="139"/>
  <c r="AQ18" i="139"/>
  <c r="AR18" i="139"/>
  <c r="AS18" i="139" s="1"/>
  <c r="AT18" i="139"/>
  <c r="AU18" i="139"/>
  <c r="AV18" i="139"/>
  <c r="AW18" i="139" s="1"/>
  <c r="AX18" i="139"/>
  <c r="AY18" i="139"/>
  <c r="AZ18" i="139"/>
  <c r="BA18" i="139" s="1"/>
  <c r="BB18" i="139"/>
  <c r="BC18" i="139"/>
  <c r="BD18" i="139"/>
  <c r="BE18" i="139" s="1"/>
  <c r="BF18" i="139"/>
  <c r="BG18" i="139"/>
  <c r="BH18" i="139"/>
  <c r="BI18" i="139" s="1"/>
  <c r="BJ18" i="139"/>
  <c r="BK18" i="139"/>
  <c r="BL18" i="139"/>
  <c r="BM18" i="139" s="1"/>
  <c r="BN18" i="139"/>
  <c r="BO18" i="139"/>
  <c r="BP18" i="139"/>
  <c r="BQ18" i="139" s="1"/>
  <c r="BR18" i="139"/>
  <c r="BS18" i="139"/>
  <c r="BT18" i="139"/>
  <c r="BU18" i="139" s="1"/>
  <c r="BV18" i="139"/>
  <c r="BW18" i="139"/>
  <c r="BX18" i="139"/>
  <c r="BY18" i="139" s="1"/>
  <c r="BZ18" i="139"/>
  <c r="CA18" i="139"/>
  <c r="CB18" i="139"/>
  <c r="CC18" i="139" s="1"/>
  <c r="CD18" i="139"/>
  <c r="CE18" i="139"/>
  <c r="CF18" i="139"/>
  <c r="CG18" i="139" s="1"/>
  <c r="CH18" i="139"/>
  <c r="CI18" i="139"/>
  <c r="CJ18" i="139"/>
  <c r="CK18" i="139" s="1"/>
  <c r="CL18" i="139"/>
  <c r="CM18" i="139"/>
  <c r="CN18" i="139"/>
  <c r="CO18" i="139" s="1"/>
  <c r="CP18" i="139"/>
  <c r="CQ18" i="139"/>
  <c r="CR18" i="139"/>
  <c r="CS18" i="139" s="1"/>
  <c r="CT18" i="139"/>
  <c r="CU18" i="139"/>
  <c r="CV18" i="139"/>
  <c r="CW18" i="139" s="1"/>
  <c r="CX18" i="139"/>
  <c r="CY18" i="139"/>
  <c r="CZ18" i="139"/>
  <c r="DA18" i="139" s="1"/>
  <c r="DB18" i="139"/>
  <c r="DC18" i="139"/>
  <c r="DD18" i="139"/>
  <c r="DE18" i="139" s="1"/>
  <c r="DF18" i="139"/>
  <c r="DG18" i="139"/>
  <c r="DH18" i="139"/>
  <c r="DI18" i="139" s="1"/>
  <c r="DJ18" i="139"/>
  <c r="DK18" i="139"/>
  <c r="DL18" i="139"/>
  <c r="DM18" i="139" s="1"/>
  <c r="DR18" i="139"/>
  <c r="DS18" i="139"/>
  <c r="DT18" i="139"/>
  <c r="DU18" i="139" s="1"/>
  <c r="DV18" i="139"/>
  <c r="DW18" i="139"/>
  <c r="DX18" i="139"/>
  <c r="DY18" i="139" s="1"/>
  <c r="DZ18" i="139"/>
  <c r="EA18" i="139"/>
  <c r="EB18" i="139"/>
  <c r="EC18" i="139" s="1"/>
  <c r="ED18" i="139"/>
  <c r="EE18" i="139"/>
  <c r="EF18" i="139"/>
  <c r="EG18" i="139" s="1"/>
  <c r="EH18" i="139"/>
  <c r="EI18" i="139"/>
  <c r="EJ18" i="139"/>
  <c r="EK18" i="139" s="1"/>
  <c r="EL18" i="139"/>
  <c r="EM18" i="139"/>
  <c r="EN18" i="139"/>
  <c r="EO18" i="139" s="1"/>
  <c r="EP18" i="139"/>
  <c r="EQ18" i="139"/>
  <c r="ER18" i="139"/>
  <c r="ES18" i="139" s="1"/>
  <c r="ET18" i="139"/>
  <c r="EU18" i="139"/>
  <c r="EV18" i="139"/>
  <c r="EW18" i="139" s="1"/>
  <c r="EX18" i="139"/>
  <c r="EY18" i="139"/>
  <c r="EZ18" i="139"/>
  <c r="FA18" i="139" s="1"/>
  <c r="FJ18" i="139"/>
  <c r="FK18" i="139"/>
  <c r="FL18" i="139"/>
  <c r="FM18" i="139" s="1"/>
  <c r="FN18" i="139"/>
  <c r="FO18" i="139"/>
  <c r="FP18" i="139"/>
  <c r="FQ18" i="139" s="1"/>
  <c r="FR18" i="139"/>
  <c r="FS18" i="139"/>
  <c r="FT18" i="139"/>
  <c r="FU18" i="139" s="1"/>
  <c r="FV18" i="139"/>
  <c r="FW18" i="139"/>
  <c r="FX18" i="139"/>
  <c r="FY18" i="139" s="1"/>
  <c r="FZ18" i="139"/>
  <c r="GA18" i="139"/>
  <c r="GB18" i="139"/>
  <c r="GC18" i="139" s="1"/>
  <c r="GD18" i="139"/>
  <c r="GE18" i="139"/>
  <c r="GF18" i="139"/>
  <c r="GG18" i="139" s="1"/>
  <c r="GH18" i="139"/>
  <c r="GI18" i="139"/>
  <c r="GJ18" i="139"/>
  <c r="GK18" i="139" s="1"/>
  <c r="GT18" i="139"/>
  <c r="GU18" i="139"/>
  <c r="GV18" i="139"/>
  <c r="GW18" i="139" s="1"/>
  <c r="GX18" i="139"/>
  <c r="GY18" i="139"/>
  <c r="GZ18" i="139"/>
  <c r="HA18" i="139" s="1"/>
  <c r="HB18" i="139"/>
  <c r="HC18" i="139"/>
  <c r="HD18" i="139"/>
  <c r="HE18" i="139" s="1"/>
  <c r="B19" i="139"/>
  <c r="C19" i="139"/>
  <c r="D19" i="139"/>
  <c r="E19" i="139" s="1"/>
  <c r="F19" i="139"/>
  <c r="G19" i="139"/>
  <c r="H19" i="139"/>
  <c r="I19" i="139" s="1"/>
  <c r="J19" i="139"/>
  <c r="K19" i="139"/>
  <c r="L19" i="139"/>
  <c r="M19" i="139" s="1"/>
  <c r="N19" i="139"/>
  <c r="O19" i="139"/>
  <c r="P19" i="139"/>
  <c r="Q19" i="139" s="1"/>
  <c r="R19" i="139"/>
  <c r="S19" i="139"/>
  <c r="T19" i="139"/>
  <c r="U19" i="139" s="1"/>
  <c r="V19" i="139"/>
  <c r="W19" i="139"/>
  <c r="X19" i="139"/>
  <c r="Y19" i="139" s="1"/>
  <c r="Z19" i="139"/>
  <c r="AA19" i="139"/>
  <c r="AB19" i="139"/>
  <c r="AC19" i="139" s="1"/>
  <c r="AD19" i="139"/>
  <c r="AE19" i="139"/>
  <c r="AF19" i="139"/>
  <c r="AG19" i="139" s="1"/>
  <c r="AH19" i="139"/>
  <c r="AI19" i="139"/>
  <c r="AJ19" i="139"/>
  <c r="AK19" i="139" s="1"/>
  <c r="AL19" i="139"/>
  <c r="AM19" i="139"/>
  <c r="AN19" i="139"/>
  <c r="AO19" i="139" s="1"/>
  <c r="AP19" i="139"/>
  <c r="AQ19" i="139"/>
  <c r="AR19" i="139"/>
  <c r="AS19" i="139" s="1"/>
  <c r="AT19" i="139"/>
  <c r="AU19" i="139"/>
  <c r="AV19" i="139"/>
  <c r="AW19" i="139" s="1"/>
  <c r="AX19" i="139"/>
  <c r="AY19" i="139"/>
  <c r="AZ19" i="139"/>
  <c r="BA19" i="139" s="1"/>
  <c r="BB19" i="139"/>
  <c r="BC19" i="139"/>
  <c r="BD19" i="139"/>
  <c r="BE19" i="139" s="1"/>
  <c r="BF19" i="139"/>
  <c r="BG19" i="139"/>
  <c r="BH19" i="139"/>
  <c r="BI19" i="139" s="1"/>
  <c r="BJ19" i="139"/>
  <c r="BK19" i="139"/>
  <c r="BL19" i="139"/>
  <c r="BM19" i="139" s="1"/>
  <c r="BN19" i="139"/>
  <c r="BO19" i="139"/>
  <c r="BP19" i="139"/>
  <c r="BQ19" i="139" s="1"/>
  <c r="BR19" i="139"/>
  <c r="BS19" i="139"/>
  <c r="BT19" i="139"/>
  <c r="BU19" i="139" s="1"/>
  <c r="BV19" i="139"/>
  <c r="BW19" i="139"/>
  <c r="BX19" i="139"/>
  <c r="BY19" i="139" s="1"/>
  <c r="CD19" i="139"/>
  <c r="CE19" i="139"/>
  <c r="CF19" i="139"/>
  <c r="CG19" i="139" s="1"/>
  <c r="CH19" i="139"/>
  <c r="CI19" i="139"/>
  <c r="CJ19" i="139"/>
  <c r="CK19" i="139" s="1"/>
  <c r="CL19" i="139"/>
  <c r="CM19" i="139"/>
  <c r="CN19" i="139"/>
  <c r="CO19" i="139" s="1"/>
  <c r="CP19" i="139"/>
  <c r="CQ19" i="139"/>
  <c r="CR19" i="139"/>
  <c r="CS19" i="139" s="1"/>
  <c r="CT19" i="139"/>
  <c r="CU19" i="139"/>
  <c r="CV19" i="139"/>
  <c r="CW19" i="139" s="1"/>
  <c r="CX19" i="139"/>
  <c r="CY19" i="139"/>
  <c r="CZ19" i="139"/>
  <c r="DA19" i="139" s="1"/>
  <c r="DB19" i="139"/>
  <c r="DC19" i="139"/>
  <c r="DD19" i="139"/>
  <c r="DE19" i="139" s="1"/>
  <c r="DF19" i="139"/>
  <c r="DG19" i="139"/>
  <c r="DH19" i="139"/>
  <c r="DI19" i="139" s="1"/>
  <c r="DJ19" i="139"/>
  <c r="DK19" i="139"/>
  <c r="DL19" i="139"/>
  <c r="DM19" i="139" s="1"/>
  <c r="DN19" i="139"/>
  <c r="DO19" i="139"/>
  <c r="DP19" i="139"/>
  <c r="DQ19" i="139" s="1"/>
  <c r="DR19" i="139"/>
  <c r="DS19" i="139"/>
  <c r="DT19" i="139"/>
  <c r="DU19" i="139" s="1"/>
  <c r="DV19" i="139"/>
  <c r="DW19" i="139"/>
  <c r="DX19" i="139"/>
  <c r="DY19" i="139" s="1"/>
  <c r="DZ19" i="139"/>
  <c r="EA19" i="139"/>
  <c r="EB19" i="139"/>
  <c r="EC19" i="139" s="1"/>
  <c r="ED19" i="139"/>
  <c r="EE19" i="139"/>
  <c r="EF19" i="139"/>
  <c r="EG19" i="139" s="1"/>
  <c r="EH19" i="139"/>
  <c r="EI19" i="139"/>
  <c r="EJ19" i="139"/>
  <c r="EK19" i="139" s="1"/>
  <c r="EP19" i="139"/>
  <c r="EQ19" i="139"/>
  <c r="ER19" i="139"/>
  <c r="ES19" i="139" s="1"/>
  <c r="ET19" i="139"/>
  <c r="EU19" i="139"/>
  <c r="EV19" i="139"/>
  <c r="EW19" i="139" s="1"/>
  <c r="EX19" i="139"/>
  <c r="EY19" i="139"/>
  <c r="EZ19" i="139"/>
  <c r="FA19" i="139" s="1"/>
  <c r="FJ19" i="139"/>
  <c r="FK19" i="139"/>
  <c r="FL19" i="139"/>
  <c r="FM19" i="139" s="1"/>
  <c r="FN19" i="139"/>
  <c r="FO19" i="139"/>
  <c r="FP19" i="139"/>
  <c r="FQ19" i="139" s="1"/>
  <c r="FR19" i="139"/>
  <c r="FS19" i="139"/>
  <c r="FT19" i="139"/>
  <c r="FU19" i="139" s="1"/>
  <c r="FZ19" i="139"/>
  <c r="GA19" i="139"/>
  <c r="GB19" i="139"/>
  <c r="GC19" i="139" s="1"/>
  <c r="GD19" i="139"/>
  <c r="GE19" i="139"/>
  <c r="GF19" i="139"/>
  <c r="GG19" i="139" s="1"/>
  <c r="GH19" i="139"/>
  <c r="GI19" i="139"/>
  <c r="GJ19" i="139"/>
  <c r="GK19" i="139" s="1"/>
  <c r="GL19" i="139"/>
  <c r="GM19" i="139"/>
  <c r="GN19" i="139"/>
  <c r="GO19" i="139" s="1"/>
  <c r="GP19" i="139"/>
  <c r="GQ19" i="139"/>
  <c r="GR19" i="139"/>
  <c r="GS19" i="139" s="1"/>
  <c r="GT19" i="139"/>
  <c r="GU19" i="139"/>
  <c r="GV19" i="139"/>
  <c r="GW19" i="139" s="1"/>
  <c r="GX19" i="139"/>
  <c r="GY19" i="139"/>
  <c r="GZ19" i="139"/>
  <c r="HA19" i="139" s="1"/>
  <c r="HB19" i="139"/>
  <c r="HC19" i="139"/>
  <c r="HD19" i="139"/>
  <c r="HE19" i="139" s="1"/>
  <c r="B20" i="139"/>
  <c r="C20" i="139"/>
  <c r="D20" i="139"/>
  <c r="E20" i="139" s="1"/>
  <c r="F20" i="139"/>
  <c r="G20" i="139"/>
  <c r="H20" i="139"/>
  <c r="I20" i="139" s="1"/>
  <c r="J20" i="139"/>
  <c r="K20" i="139"/>
  <c r="L20" i="139"/>
  <c r="M20" i="139" s="1"/>
  <c r="N20" i="139"/>
  <c r="O20" i="139"/>
  <c r="P20" i="139"/>
  <c r="Q20" i="139" s="1"/>
  <c r="R20" i="139"/>
  <c r="S20" i="139"/>
  <c r="T20" i="139"/>
  <c r="U20" i="139" s="1"/>
  <c r="V20" i="139"/>
  <c r="W20" i="139"/>
  <c r="X20" i="139"/>
  <c r="Y20" i="139" s="1"/>
  <c r="Z20" i="139"/>
  <c r="AA20" i="139"/>
  <c r="AB20" i="139"/>
  <c r="AC20" i="139" s="1"/>
  <c r="AD20" i="139"/>
  <c r="AE20" i="139"/>
  <c r="AF20" i="139"/>
  <c r="AG20" i="139" s="1"/>
  <c r="AH20" i="139"/>
  <c r="AI20" i="139"/>
  <c r="AJ20" i="139"/>
  <c r="AK20" i="139" s="1"/>
  <c r="AL20" i="139"/>
  <c r="AM20" i="139"/>
  <c r="AN20" i="139"/>
  <c r="AO20" i="139" s="1"/>
  <c r="AP20" i="139"/>
  <c r="AQ20" i="139"/>
  <c r="AR20" i="139"/>
  <c r="AS20" i="139" s="1"/>
  <c r="AT20" i="139"/>
  <c r="AU20" i="139"/>
  <c r="AV20" i="139"/>
  <c r="AW20" i="139" s="1"/>
  <c r="AX20" i="139"/>
  <c r="AY20" i="139"/>
  <c r="AZ20" i="139"/>
  <c r="BA20" i="139" s="1"/>
  <c r="BB20" i="139"/>
  <c r="BC20" i="139"/>
  <c r="BD20" i="139"/>
  <c r="BE20" i="139" s="1"/>
  <c r="BF20" i="139"/>
  <c r="BG20" i="139"/>
  <c r="BH20" i="139"/>
  <c r="BI20" i="139" s="1"/>
  <c r="BJ20" i="139"/>
  <c r="BK20" i="139"/>
  <c r="BL20" i="139"/>
  <c r="BM20" i="139" s="1"/>
  <c r="BN20" i="139"/>
  <c r="BO20" i="139"/>
  <c r="BP20" i="139"/>
  <c r="BQ20" i="139" s="1"/>
  <c r="BR20" i="139"/>
  <c r="BS20" i="139" s="1"/>
  <c r="BT20" i="139"/>
  <c r="BU20" i="139" s="1"/>
  <c r="BV20" i="139"/>
  <c r="BW20" i="139" s="1"/>
  <c r="BX20" i="139"/>
  <c r="BZ20" i="139"/>
  <c r="CA20" i="139" s="1"/>
  <c r="CB20" i="139"/>
  <c r="CD20" i="139"/>
  <c r="CE20" i="139"/>
  <c r="CF20" i="139"/>
  <c r="CG20" i="139" s="1"/>
  <c r="CH20" i="139"/>
  <c r="CI20" i="139" s="1"/>
  <c r="CJ20" i="139"/>
  <c r="CK20" i="139" s="1"/>
  <c r="CL20" i="139"/>
  <c r="CM20" i="139" s="1"/>
  <c r="CN20" i="139"/>
  <c r="CP20" i="139"/>
  <c r="CQ20" i="139" s="1"/>
  <c r="CR20" i="139"/>
  <c r="CT20" i="139"/>
  <c r="CU20" i="139"/>
  <c r="CV20" i="139"/>
  <c r="CW20" i="139" s="1"/>
  <c r="CX20" i="139"/>
  <c r="CY20" i="139" s="1"/>
  <c r="CZ20" i="139"/>
  <c r="DA20" i="139" s="1"/>
  <c r="DB20" i="139"/>
  <c r="DC20" i="139" s="1"/>
  <c r="DD20" i="139"/>
  <c r="DF20" i="139"/>
  <c r="DG20" i="139" s="1"/>
  <c r="DH20" i="139"/>
  <c r="DJ20" i="139"/>
  <c r="DK20" i="139"/>
  <c r="DL20" i="139"/>
  <c r="DM20" i="139" s="1"/>
  <c r="DN20" i="139"/>
  <c r="DP20" i="139"/>
  <c r="DQ20" i="139" s="1"/>
  <c r="DR20" i="139"/>
  <c r="DS20" i="139" s="1"/>
  <c r="DT20" i="139"/>
  <c r="DV20" i="139"/>
  <c r="DW20" i="139" s="1"/>
  <c r="DX20" i="139"/>
  <c r="DZ20" i="139"/>
  <c r="EA20" i="139"/>
  <c r="EB20" i="139"/>
  <c r="EC20" i="139" s="1"/>
  <c r="ED20" i="139"/>
  <c r="EF20" i="139"/>
  <c r="EG20" i="139" s="1"/>
  <c r="EH20" i="139"/>
  <c r="EI20" i="139" s="1"/>
  <c r="EJ20" i="139"/>
  <c r="EL20" i="139"/>
  <c r="EM20" i="139"/>
  <c r="EN20" i="139"/>
  <c r="EP20" i="139"/>
  <c r="ER20" i="139"/>
  <c r="ES20" i="139" s="1"/>
  <c r="ET20" i="139"/>
  <c r="EU20" i="139" s="1"/>
  <c r="EV20" i="139"/>
  <c r="EW20" i="139" s="1"/>
  <c r="EX20" i="139"/>
  <c r="EY20" i="139" s="1"/>
  <c r="EZ20" i="139"/>
  <c r="FF20" i="139"/>
  <c r="FG20" i="139"/>
  <c r="FH20" i="139"/>
  <c r="FI20" i="139" s="1"/>
  <c r="FJ20" i="139"/>
  <c r="FL20" i="139"/>
  <c r="FM20" i="139" s="1"/>
  <c r="FN20" i="139"/>
  <c r="FO20" i="139" s="1"/>
  <c r="FP20" i="139"/>
  <c r="FR20" i="139"/>
  <c r="FS20" i="139"/>
  <c r="FT20" i="139"/>
  <c r="FV20" i="139"/>
  <c r="FX20" i="139"/>
  <c r="FY20" i="139" s="1"/>
  <c r="FZ20" i="139"/>
  <c r="GA20" i="139" s="1"/>
  <c r="GB20" i="139"/>
  <c r="GC20" i="139" s="1"/>
  <c r="GD20" i="139"/>
  <c r="GE20" i="139" s="1"/>
  <c r="GF20" i="139"/>
  <c r="GH20" i="139"/>
  <c r="GI20" i="139" s="1"/>
  <c r="GJ20" i="139"/>
  <c r="GL20" i="139"/>
  <c r="GM20" i="139"/>
  <c r="GN20" i="139"/>
  <c r="GO20" i="139" s="1"/>
  <c r="GP20" i="139"/>
  <c r="GR20" i="139"/>
  <c r="GS20" i="139" s="1"/>
  <c r="GT20" i="139"/>
  <c r="GU20" i="139" s="1"/>
  <c r="GV20" i="139"/>
  <c r="GX20" i="139"/>
  <c r="GY20" i="139"/>
  <c r="GZ20" i="139"/>
  <c r="HB20" i="139"/>
  <c r="HD20" i="139"/>
  <c r="HE20" i="139" s="1"/>
  <c r="B21" i="139"/>
  <c r="C21" i="139" s="1"/>
  <c r="D21" i="139"/>
  <c r="E21" i="139" s="1"/>
  <c r="F21" i="139"/>
  <c r="G21" i="139" s="1"/>
  <c r="H21" i="139"/>
  <c r="J21" i="139"/>
  <c r="K21" i="139" s="1"/>
  <c r="L21" i="139"/>
  <c r="N21" i="139"/>
  <c r="O21" i="139"/>
  <c r="P21" i="139"/>
  <c r="Q21" i="139" s="1"/>
  <c r="R21" i="139"/>
  <c r="T21" i="139"/>
  <c r="U21" i="139" s="1"/>
  <c r="V21" i="139"/>
  <c r="W21" i="139" s="1"/>
  <c r="X21" i="139"/>
  <c r="Z21" i="139"/>
  <c r="AA21" i="139"/>
  <c r="AB21" i="139"/>
  <c r="AD21" i="139"/>
  <c r="AF21" i="139"/>
  <c r="AG21" i="139" s="1"/>
  <c r="AH21" i="139"/>
  <c r="AI21" i="139" s="1"/>
  <c r="AJ21" i="139"/>
  <c r="AK21" i="139" s="1"/>
  <c r="AL21" i="139"/>
  <c r="AM21" i="139" s="1"/>
  <c r="AN21" i="139"/>
  <c r="AP21" i="139"/>
  <c r="AQ21" i="139" s="1"/>
  <c r="AR21" i="139"/>
  <c r="AT21" i="139"/>
  <c r="AU21" i="139"/>
  <c r="AV21" i="139"/>
  <c r="AW21" i="139" s="1"/>
  <c r="AX21" i="139"/>
  <c r="AZ21" i="139"/>
  <c r="BA21" i="139" s="1"/>
  <c r="BB21" i="139"/>
  <c r="BC21" i="139" s="1"/>
  <c r="BD21" i="139"/>
  <c r="BF21" i="139"/>
  <c r="BG21" i="139"/>
  <c r="BH21" i="139"/>
  <c r="BJ21" i="139"/>
  <c r="BL21" i="139"/>
  <c r="BM21" i="139" s="1"/>
  <c r="BN21" i="139"/>
  <c r="BO21" i="139" s="1"/>
  <c r="BP21" i="139"/>
  <c r="BQ21" i="139" s="1"/>
  <c r="BR21" i="139"/>
  <c r="BS21" i="139" s="1"/>
  <c r="BT21" i="139"/>
  <c r="BV21" i="139"/>
  <c r="BW21" i="139" s="1"/>
  <c r="BX21" i="139"/>
  <c r="BZ21" i="139"/>
  <c r="CA21" i="139"/>
  <c r="CB21" i="139"/>
  <c r="CC21" i="139" s="1"/>
  <c r="CD21" i="139"/>
  <c r="CF21" i="139"/>
  <c r="CG21" i="139" s="1"/>
  <c r="CH21" i="139"/>
  <c r="CI21" i="139" s="1"/>
  <c r="CJ21" i="139"/>
  <c r="CL21" i="139"/>
  <c r="CM21" i="139"/>
  <c r="CN21" i="139"/>
  <c r="CP21" i="139"/>
  <c r="CR21" i="139"/>
  <c r="CS21" i="139" s="1"/>
  <c r="CT21" i="139"/>
  <c r="CU21" i="139" s="1"/>
  <c r="CV21" i="139"/>
  <c r="CW21" i="139" s="1"/>
  <c r="CX21" i="139"/>
  <c r="CY21" i="139" s="1"/>
  <c r="CZ21" i="139"/>
  <c r="DB21" i="139"/>
  <c r="DC21" i="139" s="1"/>
  <c r="DD21" i="139"/>
  <c r="DF21" i="139"/>
  <c r="DG21" i="139"/>
  <c r="DH21" i="139"/>
  <c r="DI21" i="139" s="1"/>
  <c r="DJ21" i="139"/>
  <c r="DL21" i="139"/>
  <c r="DM21" i="139" s="1"/>
  <c r="DN21" i="139"/>
  <c r="DO21" i="139" s="1"/>
  <c r="DP21" i="139"/>
  <c r="DR21" i="139"/>
  <c r="DS21" i="139"/>
  <c r="DT21" i="139"/>
  <c r="DV21" i="139"/>
  <c r="DX21" i="139"/>
  <c r="DY21" i="139" s="1"/>
  <c r="DZ21" i="139"/>
  <c r="EA21" i="139" s="1"/>
  <c r="EB21" i="139"/>
  <c r="EC21" i="139" s="1"/>
  <c r="ED21" i="139"/>
  <c r="EE21" i="139" s="1"/>
  <c r="EF21" i="139"/>
  <c r="EH21" i="139"/>
  <c r="EI21" i="139" s="1"/>
  <c r="EJ21" i="139"/>
  <c r="EL21" i="139"/>
  <c r="EM21" i="139"/>
  <c r="EN21" i="139"/>
  <c r="EO21" i="139" s="1"/>
  <c r="EP21" i="139"/>
  <c r="ER21" i="139"/>
  <c r="ES21" i="139" s="1"/>
  <c r="ET21" i="139"/>
  <c r="EU21" i="139" s="1"/>
  <c r="EV21" i="139"/>
  <c r="EX21" i="139"/>
  <c r="EY21" i="139"/>
  <c r="EZ21" i="139"/>
  <c r="FB21" i="139"/>
  <c r="FD21" i="139"/>
  <c r="FE21" i="139" s="1"/>
  <c r="FF21" i="139"/>
  <c r="FG21" i="139" s="1"/>
  <c r="FH21" i="139"/>
  <c r="FI21" i="139" s="1"/>
  <c r="FJ21" i="139"/>
  <c r="FK21" i="139" s="1"/>
  <c r="FL21" i="139"/>
  <c r="FN21" i="139"/>
  <c r="FO21" i="139" s="1"/>
  <c r="FP21" i="139"/>
  <c r="FR21" i="139"/>
  <c r="FS21" i="139"/>
  <c r="FT21" i="139"/>
  <c r="FU21" i="139" s="1"/>
  <c r="FV21" i="139"/>
  <c r="FX21" i="139"/>
  <c r="FY21" i="139" s="1"/>
  <c r="FZ21" i="139"/>
  <c r="GA21" i="139" s="1"/>
  <c r="GB21" i="139"/>
  <c r="GD21" i="139"/>
  <c r="GE21" i="139"/>
  <c r="GF21" i="139"/>
  <c r="GH21" i="139"/>
  <c r="GJ21" i="139"/>
  <c r="GK21" i="139" s="1"/>
  <c r="GL21" i="139"/>
  <c r="GM21" i="139" s="1"/>
  <c r="GN21" i="139"/>
  <c r="GO21" i="139" s="1"/>
  <c r="GP21" i="139"/>
  <c r="GQ21" i="139" s="1"/>
  <c r="GR21" i="139"/>
  <c r="GT21" i="139"/>
  <c r="GU21" i="139" s="1"/>
  <c r="GV21" i="139"/>
  <c r="GX21" i="139"/>
  <c r="GY21" i="139"/>
  <c r="GZ21" i="139"/>
  <c r="HA21" i="139" s="1"/>
  <c r="HB21" i="139"/>
  <c r="HD21" i="139"/>
  <c r="HE21" i="139" s="1"/>
  <c r="B22" i="139"/>
  <c r="C22" i="139" s="1"/>
  <c r="D22" i="139"/>
  <c r="F22" i="139"/>
  <c r="G22" i="139"/>
  <c r="H22" i="139"/>
  <c r="J22" i="139"/>
  <c r="L22" i="139"/>
  <c r="M22" i="139" s="1"/>
  <c r="N22" i="139"/>
  <c r="O22" i="139" s="1"/>
  <c r="P22" i="139"/>
  <c r="Q22" i="139" s="1"/>
  <c r="R22" i="139"/>
  <c r="S22" i="139" s="1"/>
  <c r="T22" i="139"/>
  <c r="V22" i="139"/>
  <c r="W22" i="139" s="1"/>
  <c r="X22" i="139"/>
  <c r="Z22" i="139"/>
  <c r="AA22" i="139"/>
  <c r="AB22" i="139"/>
  <c r="AC22" i="139" s="1"/>
  <c r="AD22" i="139"/>
  <c r="AF22" i="139"/>
  <c r="AG22" i="139" s="1"/>
  <c r="AH22" i="139"/>
  <c r="AI22" i="139" s="1"/>
  <c r="AJ22" i="139"/>
  <c r="AL22" i="139"/>
  <c r="AM22" i="139"/>
  <c r="AN22" i="139"/>
  <c r="AP22" i="139"/>
  <c r="AR22" i="139"/>
  <c r="AS22" i="139" s="1"/>
  <c r="AT22" i="139"/>
  <c r="AU22" i="139" s="1"/>
  <c r="AV22" i="139"/>
  <c r="AW22" i="139" s="1"/>
  <c r="AX22" i="139"/>
  <c r="AY22" i="139" s="1"/>
  <c r="AZ22" i="139"/>
  <c r="BB22" i="139"/>
  <c r="BC22" i="139" s="1"/>
  <c r="BD22" i="139"/>
  <c r="BF22" i="139"/>
  <c r="BG22" i="139"/>
  <c r="BH22" i="139"/>
  <c r="BI22" i="139" s="1"/>
  <c r="BJ22" i="139"/>
  <c r="BL22" i="139"/>
  <c r="BM22" i="139" s="1"/>
  <c r="BN22" i="139"/>
  <c r="BO22" i="139" s="1"/>
  <c r="BP22" i="139"/>
  <c r="BR22" i="139"/>
  <c r="BS22" i="139"/>
  <c r="BT22" i="139"/>
  <c r="BV22" i="139"/>
  <c r="BX22" i="139"/>
  <c r="BY22" i="139" s="1"/>
  <c r="CD22" i="139"/>
  <c r="CE22" i="139" s="1"/>
  <c r="CF22" i="139"/>
  <c r="CH22" i="139"/>
  <c r="CI22" i="139" s="1"/>
  <c r="CJ22" i="139"/>
  <c r="CP22" i="139"/>
  <c r="CR22" i="139"/>
  <c r="CS22" i="139" s="1"/>
  <c r="CT22" i="139"/>
  <c r="CU22" i="139" s="1"/>
  <c r="CV22" i="139"/>
  <c r="CX22" i="139"/>
  <c r="CY22" i="139"/>
  <c r="CZ22" i="139"/>
  <c r="DB22" i="139"/>
  <c r="DD22" i="139"/>
  <c r="DE22" i="139" s="1"/>
  <c r="DF22" i="139"/>
  <c r="DG22" i="139" s="1"/>
  <c r="DH22" i="139"/>
  <c r="DI22" i="139" s="1"/>
  <c r="DJ22" i="139"/>
  <c r="DK22" i="139" s="1"/>
  <c r="DL22" i="139"/>
  <c r="DN22" i="139"/>
  <c r="DO22" i="139" s="1"/>
  <c r="DP22" i="139"/>
  <c r="DR22" i="139"/>
  <c r="DS22" i="139"/>
  <c r="DT22" i="139"/>
  <c r="DU22" i="139" s="1"/>
  <c r="DV22" i="139"/>
  <c r="DX22" i="139"/>
  <c r="DY22" i="139" s="1"/>
  <c r="DZ22" i="139"/>
  <c r="EA22" i="139" s="1"/>
  <c r="EB22" i="139"/>
  <c r="ED22" i="139"/>
  <c r="EE22" i="139"/>
  <c r="EF22" i="139"/>
  <c r="EH22" i="139"/>
  <c r="EJ22" i="139"/>
  <c r="EK22" i="139" s="1"/>
  <c r="EL22" i="139"/>
  <c r="EM22" i="139" s="1"/>
  <c r="EN22" i="139"/>
  <c r="EO22" i="139" s="1"/>
  <c r="EP22" i="139"/>
  <c r="EQ22" i="139" s="1"/>
  <c r="ER22" i="139"/>
  <c r="ET22" i="139"/>
  <c r="EU22" i="139" s="1"/>
  <c r="EV22" i="139"/>
  <c r="EX22" i="139"/>
  <c r="EY22" i="139" s="1"/>
  <c r="EZ22" i="139"/>
  <c r="FJ22" i="139"/>
  <c r="FK22" i="139" s="1"/>
  <c r="FL22" i="139"/>
  <c r="FN22" i="139"/>
  <c r="FO22" i="139" s="1"/>
  <c r="FP22" i="139"/>
  <c r="FR22" i="139"/>
  <c r="FS22" i="139"/>
  <c r="FT22" i="139"/>
  <c r="FU22" i="139" s="1"/>
  <c r="GD22" i="139"/>
  <c r="GE22" i="139" s="1"/>
  <c r="GF22" i="139"/>
  <c r="GX22" i="139"/>
  <c r="GY22" i="139"/>
  <c r="GZ22" i="139"/>
  <c r="HA22" i="139" s="1"/>
  <c r="HB22" i="139"/>
  <c r="HD22" i="139"/>
  <c r="HE22" i="139" s="1"/>
  <c r="B23" i="139"/>
  <c r="C23" i="139" s="1"/>
  <c r="D23" i="139"/>
  <c r="F23" i="139"/>
  <c r="G23" i="139" s="1"/>
  <c r="H23" i="139"/>
  <c r="J23" i="139"/>
  <c r="K23" i="139"/>
  <c r="L23" i="139"/>
  <c r="M23" i="139" s="1"/>
  <c r="N23" i="139"/>
  <c r="P23" i="139"/>
  <c r="Q23" i="139" s="1"/>
  <c r="R23" i="139"/>
  <c r="S23" i="139" s="1"/>
  <c r="T23" i="139"/>
  <c r="V23" i="139"/>
  <c r="W23" i="139" s="1"/>
  <c r="X23" i="139"/>
  <c r="Z23" i="139"/>
  <c r="AA23" i="139" s="1"/>
  <c r="AB23" i="139"/>
  <c r="AD23" i="139"/>
  <c r="AE23" i="139" s="1"/>
  <c r="AF23" i="139"/>
  <c r="AH23" i="139"/>
  <c r="AI23" i="139" s="1"/>
  <c r="AJ23" i="139"/>
  <c r="AL23" i="139"/>
  <c r="AM23" i="139" s="1"/>
  <c r="AN23" i="139"/>
  <c r="AT23" i="139"/>
  <c r="AU23" i="139" s="1"/>
  <c r="AV23" i="139"/>
  <c r="AX23" i="139"/>
  <c r="AY23" i="139" s="1"/>
  <c r="AZ23" i="139"/>
  <c r="BB23" i="139"/>
  <c r="BC23" i="139" s="1"/>
  <c r="BD23" i="139"/>
  <c r="BF23" i="139"/>
  <c r="BG23" i="139" s="1"/>
  <c r="BH23" i="139"/>
  <c r="BJ23" i="139"/>
  <c r="BK23" i="139" s="1"/>
  <c r="BL23" i="139"/>
  <c r="BN23" i="139"/>
  <c r="BO23" i="139" s="1"/>
  <c r="BP23" i="139"/>
  <c r="BR23" i="139"/>
  <c r="BS23" i="139" s="1"/>
  <c r="BT23" i="139"/>
  <c r="BV23" i="139"/>
  <c r="BW23" i="139" s="1"/>
  <c r="BX23" i="139"/>
  <c r="CD23" i="139"/>
  <c r="CE23" i="139" s="1"/>
  <c r="CF23" i="139"/>
  <c r="CH23" i="139"/>
  <c r="CI23" i="139" s="1"/>
  <c r="CJ23" i="139"/>
  <c r="CP23" i="139"/>
  <c r="CQ23" i="139" s="1"/>
  <c r="CR23" i="139"/>
  <c r="CT23" i="139"/>
  <c r="CU23" i="139" s="1"/>
  <c r="CV23" i="139"/>
  <c r="CX23" i="139"/>
  <c r="CY23" i="139" s="1"/>
  <c r="CZ23" i="139"/>
  <c r="DB23" i="139"/>
  <c r="DC23" i="139" s="1"/>
  <c r="DD23" i="139"/>
  <c r="DF23" i="139"/>
  <c r="DG23" i="139" s="1"/>
  <c r="DH23" i="139"/>
  <c r="DJ23" i="139"/>
  <c r="DK23" i="139" s="1"/>
  <c r="DL23" i="139"/>
  <c r="DN23" i="139"/>
  <c r="DO23" i="139" s="1"/>
  <c r="DP23" i="139"/>
  <c r="DR23" i="139"/>
  <c r="DS23" i="139" s="1"/>
  <c r="DT23" i="139"/>
  <c r="DV23" i="139"/>
  <c r="DW23" i="139" s="1"/>
  <c r="DX23" i="139"/>
  <c r="DZ23" i="139"/>
  <c r="EA23" i="139" s="1"/>
  <c r="EB23" i="139"/>
  <c r="ED23" i="139"/>
  <c r="EE23" i="139" s="1"/>
  <c r="EF23" i="139"/>
  <c r="EH23" i="139"/>
  <c r="EI23" i="139" s="1"/>
  <c r="EJ23" i="139"/>
  <c r="EP23" i="139"/>
  <c r="EQ23" i="139" s="1"/>
  <c r="ER23" i="139"/>
  <c r="ET23" i="139"/>
  <c r="EU23" i="139" s="1"/>
  <c r="EV23" i="139"/>
  <c r="EX23" i="139"/>
  <c r="EY23" i="139" s="1"/>
  <c r="EZ23" i="139"/>
  <c r="FJ23" i="139"/>
  <c r="FK23" i="139" s="1"/>
  <c r="FL23" i="139"/>
  <c r="FN23" i="139"/>
  <c r="FO23" i="139" s="1"/>
  <c r="FP23" i="139"/>
  <c r="FV23" i="139"/>
  <c r="FW23" i="139" s="1"/>
  <c r="FX23" i="139"/>
  <c r="FZ23" i="139"/>
  <c r="GA23" i="139" s="1"/>
  <c r="GB23" i="139"/>
  <c r="GD23" i="139"/>
  <c r="GE23" i="139" s="1"/>
  <c r="GF23" i="139"/>
  <c r="GH23" i="139"/>
  <c r="GI23" i="139" s="1"/>
  <c r="GJ23" i="139"/>
  <c r="GT23" i="139"/>
  <c r="GU23" i="139" s="1"/>
  <c r="GV23" i="139"/>
  <c r="GX23" i="139"/>
  <c r="GY23" i="139" s="1"/>
  <c r="GZ23" i="139"/>
  <c r="HB23" i="139"/>
  <c r="HC23" i="139" s="1"/>
  <c r="HD23" i="139"/>
  <c r="B24" i="139"/>
  <c r="C24" i="139" s="1"/>
  <c r="D24" i="139"/>
  <c r="F24" i="139"/>
  <c r="G24" i="139" s="1"/>
  <c r="H24" i="139"/>
  <c r="J24" i="139"/>
  <c r="K24" i="139" s="1"/>
  <c r="L24" i="139"/>
  <c r="N24" i="139"/>
  <c r="O24" i="139" s="1"/>
  <c r="P24" i="139"/>
  <c r="R24" i="139"/>
  <c r="S24" i="139" s="1"/>
  <c r="T24" i="139"/>
  <c r="V24" i="139"/>
  <c r="W24" i="139" s="1"/>
  <c r="X24" i="139"/>
  <c r="Z24" i="139"/>
  <c r="AA24" i="139" s="1"/>
  <c r="AB24" i="139"/>
  <c r="AD24" i="139"/>
  <c r="AE24" i="139" s="1"/>
  <c r="AF24" i="139"/>
  <c r="AH24" i="139"/>
  <c r="AI24" i="139" s="1"/>
  <c r="AJ24" i="139"/>
  <c r="AL24" i="139"/>
  <c r="AM24" i="139" s="1"/>
  <c r="AN24" i="139"/>
  <c r="AP24" i="139"/>
  <c r="AQ24" i="139" s="1"/>
  <c r="AR24" i="139"/>
  <c r="AT24" i="139"/>
  <c r="AU24" i="139" s="1"/>
  <c r="AV24" i="139"/>
  <c r="AX24" i="139"/>
  <c r="AY24" i="139" s="1"/>
  <c r="AZ24" i="139"/>
  <c r="BB24" i="139"/>
  <c r="BC24" i="139" s="1"/>
  <c r="BD24" i="139"/>
  <c r="BF24" i="139"/>
  <c r="BG24" i="139" s="1"/>
  <c r="BH24" i="139"/>
  <c r="BJ24" i="139"/>
  <c r="BK24" i="139" s="1"/>
  <c r="BL24" i="139"/>
  <c r="BR24" i="139"/>
  <c r="BS24" i="139" s="1"/>
  <c r="BT24" i="139"/>
  <c r="BV24" i="139"/>
  <c r="BW24" i="139" s="1"/>
  <c r="BX24" i="139"/>
  <c r="CD24" i="139"/>
  <c r="CE24" i="139" s="1"/>
  <c r="CF24" i="139"/>
  <c r="CH24" i="139"/>
  <c r="CI24" i="139" s="1"/>
  <c r="CJ24" i="139"/>
  <c r="CP24" i="139"/>
  <c r="CQ24" i="139" s="1"/>
  <c r="CR24" i="139"/>
  <c r="CT24" i="139"/>
  <c r="CU24" i="139" s="1"/>
  <c r="CV24" i="139"/>
  <c r="CX24" i="139"/>
  <c r="CY24" i="139" s="1"/>
  <c r="CZ24" i="139"/>
  <c r="DB24" i="139"/>
  <c r="DC24" i="139" s="1"/>
  <c r="DD24" i="139"/>
  <c r="DF24" i="139"/>
  <c r="DG24" i="139" s="1"/>
  <c r="DH24" i="139"/>
  <c r="DJ24" i="139"/>
  <c r="DK24" i="139" s="1"/>
  <c r="DL24" i="139"/>
  <c r="DN24" i="139"/>
  <c r="DO24" i="139" s="1"/>
  <c r="DP24" i="139"/>
  <c r="DR24" i="139"/>
  <c r="DS24" i="139" s="1"/>
  <c r="DT24" i="139"/>
  <c r="DZ24" i="139"/>
  <c r="EA24" i="139" s="1"/>
  <c r="EB24" i="139"/>
  <c r="ED24" i="139"/>
  <c r="EE24" i="139" s="1"/>
  <c r="EF24" i="139"/>
  <c r="EH24" i="139"/>
  <c r="EI24" i="139" s="1"/>
  <c r="EJ24" i="139"/>
  <c r="EL24" i="139"/>
  <c r="EM24" i="139" s="1"/>
  <c r="EN24" i="139"/>
  <c r="EP24" i="139"/>
  <c r="EQ24" i="139" s="1"/>
  <c r="ER24" i="139"/>
  <c r="ET24" i="139"/>
  <c r="EU24" i="139" s="1"/>
  <c r="EV24" i="139"/>
  <c r="EX24" i="139"/>
  <c r="EY24" i="139" s="1"/>
  <c r="EZ24" i="139"/>
  <c r="FJ24" i="139"/>
  <c r="FK24" i="139" s="1"/>
  <c r="FL24" i="139"/>
  <c r="FN24" i="139"/>
  <c r="FO24" i="139" s="1"/>
  <c r="FP24" i="139"/>
  <c r="FV24" i="139"/>
  <c r="FW24" i="139" s="1"/>
  <c r="FX24" i="139"/>
  <c r="FZ24" i="139"/>
  <c r="GA24" i="139" s="1"/>
  <c r="GB24" i="139"/>
  <c r="GD24" i="139"/>
  <c r="GE24" i="139" s="1"/>
  <c r="GF24" i="139"/>
  <c r="GX24" i="139"/>
  <c r="GY24" i="139" s="1"/>
  <c r="GZ24" i="139"/>
  <c r="HB24" i="139"/>
  <c r="HC24" i="139" s="1"/>
  <c r="HD24" i="139"/>
  <c r="B25" i="139"/>
  <c r="C25" i="139" s="1"/>
  <c r="D25" i="139"/>
  <c r="F25" i="139"/>
  <c r="G25" i="139" s="1"/>
  <c r="H25" i="139"/>
  <c r="J25" i="139"/>
  <c r="K25" i="139" s="1"/>
  <c r="L25" i="139"/>
  <c r="N25" i="139"/>
  <c r="O25" i="139" s="1"/>
  <c r="P25" i="139"/>
  <c r="R25" i="139"/>
  <c r="S25" i="139" s="1"/>
  <c r="T25" i="139"/>
  <c r="V25" i="139"/>
  <c r="W25" i="139" s="1"/>
  <c r="X25" i="139"/>
  <c r="Z25" i="139"/>
  <c r="AA25" i="139" s="1"/>
  <c r="AB25" i="139"/>
  <c r="AD25" i="139"/>
  <c r="AE25" i="139" s="1"/>
  <c r="AF25" i="139"/>
  <c r="AH25" i="139"/>
  <c r="AI25" i="139" s="1"/>
  <c r="AJ25" i="139"/>
  <c r="AL25" i="139"/>
  <c r="AM25" i="139" s="1"/>
  <c r="AN25" i="139"/>
  <c r="AP25" i="139"/>
  <c r="AQ25" i="139" s="1"/>
  <c r="AR25" i="139"/>
  <c r="AT25" i="139"/>
  <c r="AU25" i="139" s="1"/>
  <c r="AV25" i="139"/>
  <c r="AX25" i="139"/>
  <c r="AY25" i="139" s="1"/>
  <c r="AZ25" i="139"/>
  <c r="BB25" i="139"/>
  <c r="BC25" i="139" s="1"/>
  <c r="BD25" i="139"/>
  <c r="BF25" i="139"/>
  <c r="BG25" i="139" s="1"/>
  <c r="BH25" i="139"/>
  <c r="BJ25" i="139"/>
  <c r="BK25" i="139" s="1"/>
  <c r="BL25" i="139"/>
  <c r="BN25" i="139"/>
  <c r="BO25" i="139" s="1"/>
  <c r="BP25" i="139"/>
  <c r="BR25" i="139"/>
  <c r="BS25" i="139" s="1"/>
  <c r="BT25" i="139"/>
  <c r="BV25" i="139"/>
  <c r="BW25" i="139" s="1"/>
  <c r="BX25" i="139"/>
  <c r="BZ25" i="139"/>
  <c r="CA25" i="139" s="1"/>
  <c r="CB25" i="139"/>
  <c r="CD25" i="139"/>
  <c r="CE25" i="139" s="1"/>
  <c r="CF25" i="139"/>
  <c r="CH25" i="139"/>
  <c r="CI25" i="139" s="1"/>
  <c r="CJ25" i="139"/>
  <c r="CL25" i="139"/>
  <c r="CM25" i="139" s="1"/>
  <c r="CN25" i="139"/>
  <c r="CP25" i="139"/>
  <c r="CQ25" i="139" s="1"/>
  <c r="CR25" i="139"/>
  <c r="CT25" i="139"/>
  <c r="CU25" i="139" s="1"/>
  <c r="CV25" i="139"/>
  <c r="CX25" i="139"/>
  <c r="CY25" i="139" s="1"/>
  <c r="CZ25" i="139"/>
  <c r="DB25" i="139"/>
  <c r="DC25" i="139" s="1"/>
  <c r="DD25" i="139"/>
  <c r="DF25" i="139"/>
  <c r="DG25" i="139" s="1"/>
  <c r="DH25" i="139"/>
  <c r="DJ25" i="139"/>
  <c r="DK25" i="139" s="1"/>
  <c r="DL25" i="139"/>
  <c r="DN25" i="139"/>
  <c r="DO25" i="139" s="1"/>
  <c r="DP25" i="139"/>
  <c r="DR25" i="139"/>
  <c r="DS25" i="139" s="1"/>
  <c r="DT25" i="139"/>
  <c r="DV25" i="139"/>
  <c r="DW25" i="139" s="1"/>
  <c r="DX25" i="139"/>
  <c r="DZ25" i="139"/>
  <c r="EA25" i="139" s="1"/>
  <c r="EB25" i="139"/>
  <c r="ED25" i="139"/>
  <c r="EE25" i="139" s="1"/>
  <c r="EF25" i="139"/>
  <c r="EH25" i="139"/>
  <c r="EI25" i="139" s="1"/>
  <c r="EJ25" i="139"/>
  <c r="EL25" i="139"/>
  <c r="EM25" i="139" s="1"/>
  <c r="EN25" i="139"/>
  <c r="EP25" i="139"/>
  <c r="EQ25" i="139" s="1"/>
  <c r="ER25" i="139"/>
  <c r="ET25" i="139"/>
  <c r="EU25" i="139" s="1"/>
  <c r="EV25" i="139"/>
  <c r="EX25" i="139"/>
  <c r="EY25" i="139" s="1"/>
  <c r="EZ25" i="139"/>
  <c r="FB25" i="139"/>
  <c r="FC25" i="139" s="1"/>
  <c r="FD25" i="139"/>
  <c r="FF25" i="139"/>
  <c r="FG25" i="139" s="1"/>
  <c r="FH25" i="139"/>
  <c r="FJ25" i="139"/>
  <c r="FK25" i="139" s="1"/>
  <c r="FL25" i="139"/>
  <c r="FN25" i="139"/>
  <c r="FO25" i="139" s="1"/>
  <c r="FP25" i="139"/>
  <c r="FR25" i="139"/>
  <c r="FS25" i="139" s="1"/>
  <c r="FT25" i="139"/>
  <c r="FV25" i="139"/>
  <c r="FW25" i="139" s="1"/>
  <c r="FX25" i="139"/>
  <c r="FZ25" i="139"/>
  <c r="GA25" i="139" s="1"/>
  <c r="GB25" i="139"/>
  <c r="GD25" i="139"/>
  <c r="GE25" i="139" s="1"/>
  <c r="GF25" i="139"/>
  <c r="GH25" i="139"/>
  <c r="GI25" i="139" s="1"/>
  <c r="GJ25" i="139"/>
  <c r="GL25" i="139"/>
  <c r="GM25" i="139" s="1"/>
  <c r="GN25" i="139"/>
  <c r="GT25" i="139"/>
  <c r="GU25" i="139" s="1"/>
  <c r="GV25" i="139"/>
  <c r="GX25" i="139"/>
  <c r="GY25" i="139" s="1"/>
  <c r="GZ25" i="139"/>
  <c r="HB25" i="139"/>
  <c r="HC25" i="139" s="1"/>
  <c r="HD25" i="139"/>
  <c r="B26" i="139"/>
  <c r="C26" i="139" s="1"/>
  <c r="D26" i="139"/>
  <c r="F26" i="139"/>
  <c r="G26" i="139" s="1"/>
  <c r="H26" i="139"/>
  <c r="J26" i="139"/>
  <c r="K26" i="139" s="1"/>
  <c r="L26" i="139"/>
  <c r="N26" i="139"/>
  <c r="O26" i="139" s="1"/>
  <c r="P26" i="139"/>
  <c r="R26" i="139"/>
  <c r="S26" i="139" s="1"/>
  <c r="T26" i="139"/>
  <c r="V26" i="139"/>
  <c r="W26" i="139" s="1"/>
  <c r="X26" i="139"/>
  <c r="Z26" i="139"/>
  <c r="AA26" i="139" s="1"/>
  <c r="AB26" i="139"/>
  <c r="AD26" i="139"/>
  <c r="AE26" i="139" s="1"/>
  <c r="AF26" i="139"/>
  <c r="AH26" i="139"/>
  <c r="AI26" i="139" s="1"/>
  <c r="AJ26" i="139"/>
  <c r="AL26" i="139"/>
  <c r="AM26" i="139" s="1"/>
  <c r="AN26" i="139"/>
  <c r="AP26" i="139"/>
  <c r="AQ26" i="139" s="1"/>
  <c r="AR26" i="139"/>
  <c r="AT26" i="139"/>
  <c r="AU26" i="139" s="1"/>
  <c r="AV26" i="139"/>
  <c r="AX26" i="139"/>
  <c r="AY26" i="139" s="1"/>
  <c r="AZ26" i="139"/>
  <c r="BB26" i="139"/>
  <c r="BC26" i="139" s="1"/>
  <c r="BD26" i="139"/>
  <c r="BF26" i="139"/>
  <c r="BG26" i="139" s="1"/>
  <c r="BH26" i="139"/>
  <c r="BJ26" i="139"/>
  <c r="BK26" i="139" s="1"/>
  <c r="BL26" i="139"/>
  <c r="BN26" i="139"/>
  <c r="BO26" i="139" s="1"/>
  <c r="BP26" i="139"/>
  <c r="BR26" i="139"/>
  <c r="BS26" i="139" s="1"/>
  <c r="BT26" i="139"/>
  <c r="BV26" i="139"/>
  <c r="BW26" i="139" s="1"/>
  <c r="BX26" i="139"/>
  <c r="BZ26" i="139"/>
  <c r="CA26" i="139" s="1"/>
  <c r="CB26" i="139"/>
  <c r="CD26" i="139"/>
  <c r="CE26" i="139" s="1"/>
  <c r="CF26" i="139"/>
  <c r="CH26" i="139"/>
  <c r="CI26" i="139" s="1"/>
  <c r="CJ26" i="139"/>
  <c r="CL26" i="139"/>
  <c r="CM26" i="139" s="1"/>
  <c r="CN26" i="139"/>
  <c r="CP26" i="139"/>
  <c r="CQ26" i="139" s="1"/>
  <c r="CR26" i="139"/>
  <c r="CT26" i="139"/>
  <c r="CU26" i="139" s="1"/>
  <c r="CV26" i="139"/>
  <c r="CX26" i="139"/>
  <c r="CY26" i="139" s="1"/>
  <c r="CZ26" i="139"/>
  <c r="DB26" i="139"/>
  <c r="DC26" i="139" s="1"/>
  <c r="DD26" i="139"/>
  <c r="DF26" i="139"/>
  <c r="DG26" i="139" s="1"/>
  <c r="DH26" i="139"/>
  <c r="DJ26" i="139"/>
  <c r="DK26" i="139" s="1"/>
  <c r="DL26" i="139"/>
  <c r="DN26" i="139"/>
  <c r="DO26" i="139" s="1"/>
  <c r="DP26" i="139"/>
  <c r="DR26" i="139"/>
  <c r="DS26" i="139" s="1"/>
  <c r="DT26" i="139"/>
  <c r="DV26" i="139"/>
  <c r="DW26" i="139" s="1"/>
  <c r="DX26" i="139"/>
  <c r="DZ26" i="139"/>
  <c r="EA26" i="139" s="1"/>
  <c r="EB26" i="139"/>
  <c r="ED26" i="139"/>
  <c r="EE26" i="139" s="1"/>
  <c r="EF26" i="139"/>
  <c r="EH26" i="139"/>
  <c r="EI26" i="139" s="1"/>
  <c r="EJ26" i="139"/>
  <c r="EL26" i="139"/>
  <c r="EM26" i="139" s="1"/>
  <c r="EN26" i="139"/>
  <c r="EP26" i="139"/>
  <c r="EQ26" i="139" s="1"/>
  <c r="ER26" i="139"/>
  <c r="ET26" i="139"/>
  <c r="EU26" i="139" s="1"/>
  <c r="EV26" i="139"/>
  <c r="EX26" i="139"/>
  <c r="EY26" i="139" s="1"/>
  <c r="EZ26" i="139"/>
  <c r="FB26" i="139"/>
  <c r="FC26" i="139" s="1"/>
  <c r="FD26" i="139"/>
  <c r="FF26" i="139"/>
  <c r="FG26" i="139" s="1"/>
  <c r="FH26" i="139"/>
  <c r="FJ26" i="139"/>
  <c r="FK26" i="139" s="1"/>
  <c r="FL26" i="139"/>
  <c r="FV26" i="139"/>
  <c r="FW26" i="139" s="1"/>
  <c r="FX26" i="139"/>
  <c r="FZ26" i="139"/>
  <c r="GA26" i="139" s="1"/>
  <c r="GB26" i="139"/>
  <c r="GD26" i="139"/>
  <c r="GE26" i="139" s="1"/>
  <c r="GF26" i="139"/>
  <c r="GH26" i="139"/>
  <c r="GI26" i="139" s="1"/>
  <c r="GJ26" i="139"/>
  <c r="GL26" i="139"/>
  <c r="GM26" i="139" s="1"/>
  <c r="GN26" i="139"/>
  <c r="GP26" i="139"/>
  <c r="GQ26" i="139" s="1"/>
  <c r="GR26" i="139"/>
  <c r="GT26" i="139"/>
  <c r="GU26" i="139" s="1"/>
  <c r="GV26" i="139"/>
  <c r="GX26" i="139"/>
  <c r="GY26" i="139" s="1"/>
  <c r="GZ26" i="139"/>
  <c r="HB26" i="139"/>
  <c r="HC26" i="139" s="1"/>
  <c r="HD26" i="139"/>
  <c r="B27" i="139"/>
  <c r="C27" i="139" s="1"/>
  <c r="D27" i="139"/>
  <c r="F27" i="139"/>
  <c r="G27" i="139" s="1"/>
  <c r="H27" i="139"/>
  <c r="J27" i="139"/>
  <c r="K27" i="139" s="1"/>
  <c r="L27" i="139"/>
  <c r="N27" i="139"/>
  <c r="O27" i="139" s="1"/>
  <c r="P27" i="139"/>
  <c r="R27" i="139"/>
  <c r="S27" i="139" s="1"/>
  <c r="T27" i="139"/>
  <c r="V27" i="139"/>
  <c r="W27" i="139" s="1"/>
  <c r="X27" i="139"/>
  <c r="Z27" i="139"/>
  <c r="AA27" i="139" s="1"/>
  <c r="AB27" i="139"/>
  <c r="AD27" i="139"/>
  <c r="AE27" i="139" s="1"/>
  <c r="AF27" i="139"/>
  <c r="AH27" i="139"/>
  <c r="AI27" i="139" s="1"/>
  <c r="AJ27" i="139"/>
  <c r="AL27" i="139"/>
  <c r="AM27" i="139" s="1"/>
  <c r="AN27" i="139"/>
  <c r="AP27" i="139"/>
  <c r="AQ27" i="139" s="1"/>
  <c r="AR27" i="139"/>
  <c r="AT27" i="139"/>
  <c r="AU27" i="139" s="1"/>
  <c r="AV27" i="139"/>
  <c r="AX27" i="139"/>
  <c r="AY27" i="139" s="1"/>
  <c r="AZ27" i="139"/>
  <c r="BB27" i="139"/>
  <c r="BC27" i="139" s="1"/>
  <c r="BD27" i="139"/>
  <c r="BF27" i="139"/>
  <c r="BG27" i="139" s="1"/>
  <c r="BH27" i="139"/>
  <c r="BJ27" i="139"/>
  <c r="BK27" i="139" s="1"/>
  <c r="BL27" i="139"/>
  <c r="BN27" i="139"/>
  <c r="BO27" i="139" s="1"/>
  <c r="BP27" i="139"/>
  <c r="BR27" i="139"/>
  <c r="BS27" i="139" s="1"/>
  <c r="BT27" i="139"/>
  <c r="BV27" i="139"/>
  <c r="BW27" i="139" s="1"/>
  <c r="BX27" i="139"/>
  <c r="BZ27" i="139"/>
  <c r="CA27" i="139" s="1"/>
  <c r="CB27" i="139"/>
  <c r="CD27" i="139"/>
  <c r="CE27" i="139" s="1"/>
  <c r="CF27" i="139"/>
  <c r="CH27" i="139"/>
  <c r="CI27" i="139" s="1"/>
  <c r="CJ27" i="139"/>
  <c r="CL27" i="139"/>
  <c r="CM27" i="139" s="1"/>
  <c r="CN27" i="139"/>
  <c r="CP27" i="139"/>
  <c r="CQ27" i="139" s="1"/>
  <c r="CR27" i="139"/>
  <c r="CT27" i="139"/>
  <c r="CU27" i="139" s="1"/>
  <c r="CV27" i="139"/>
  <c r="CX27" i="139"/>
  <c r="CY27" i="139" s="1"/>
  <c r="CZ27" i="139"/>
  <c r="DB27" i="139"/>
  <c r="DC27" i="139" s="1"/>
  <c r="DD27" i="139"/>
  <c r="DF27" i="139"/>
  <c r="DG27" i="139" s="1"/>
  <c r="DH27" i="139"/>
  <c r="DJ27" i="139"/>
  <c r="DK27" i="139" s="1"/>
  <c r="DL27" i="139"/>
  <c r="DR27" i="139"/>
  <c r="DS27" i="139" s="1"/>
  <c r="DT27" i="139"/>
  <c r="DV27" i="139"/>
  <c r="DW27" i="139" s="1"/>
  <c r="DX27" i="139"/>
  <c r="DZ27" i="139"/>
  <c r="EA27" i="139" s="1"/>
  <c r="EB27" i="139"/>
  <c r="ED27" i="139"/>
  <c r="EE27" i="139" s="1"/>
  <c r="EF27" i="139"/>
  <c r="EH27" i="139"/>
  <c r="EI27" i="139" s="1"/>
  <c r="EJ27" i="139"/>
  <c r="EL27" i="139"/>
  <c r="EM27" i="139" s="1"/>
  <c r="EN27" i="139"/>
  <c r="EP27" i="139"/>
  <c r="EQ27" i="139" s="1"/>
  <c r="ER27" i="139"/>
  <c r="ET27" i="139"/>
  <c r="EU27" i="139" s="1"/>
  <c r="EV27" i="139"/>
  <c r="EX27" i="139"/>
  <c r="EY27" i="139" s="1"/>
  <c r="EZ27" i="139"/>
  <c r="FJ27" i="139"/>
  <c r="FK27" i="139" s="1"/>
  <c r="FL27" i="139"/>
  <c r="GD27" i="139"/>
  <c r="GE27" i="139" s="1"/>
  <c r="GF27" i="139"/>
  <c r="GH27" i="139"/>
  <c r="GI27" i="139" s="1"/>
  <c r="GJ27" i="139"/>
  <c r="HB27" i="139"/>
  <c r="HC27" i="139" s="1"/>
  <c r="HD27" i="139"/>
  <c r="T128" i="64"/>
  <c r="T129" i="64" s="1"/>
  <c r="AO10" i="64"/>
  <c r="AO9" i="64"/>
  <c r="AO8" i="64"/>
  <c r="AO7" i="64"/>
  <c r="AO6" i="64"/>
  <c r="AN10" i="64"/>
  <c r="AN9" i="64"/>
  <c r="AN8" i="64"/>
  <c r="AN7" i="64"/>
  <c r="AN6" i="64"/>
  <c r="AN5" i="64"/>
  <c r="AO5" i="64"/>
  <c r="S112" i="64"/>
  <c r="S64" i="64"/>
  <c r="S32" i="64"/>
  <c r="S16" i="64"/>
  <c r="R112" i="64"/>
  <c r="R96" i="64"/>
  <c r="R80" i="64"/>
  <c r="R64" i="64"/>
  <c r="R48" i="64"/>
  <c r="R32" i="64"/>
  <c r="R16" i="64"/>
  <c r="M44" i="64"/>
  <c r="M37" i="64"/>
  <c r="M31" i="64"/>
  <c r="M25" i="64"/>
  <c r="M18" i="64"/>
  <c r="M12" i="64"/>
  <c r="V7" i="62"/>
  <c r="V6" i="62"/>
  <c r="V5" i="62"/>
  <c r="V4" i="62"/>
  <c r="V3" i="62"/>
  <c r="V2" i="62"/>
  <c r="S2" i="62"/>
  <c r="R10" i="62"/>
  <c r="R9" i="62"/>
  <c r="R8" i="62"/>
  <c r="R7" i="62"/>
  <c r="R6" i="62"/>
  <c r="R5" i="62"/>
  <c r="R4" i="62"/>
  <c r="R3" i="62"/>
  <c r="R2" i="62"/>
  <c r="AQ209" i="73"/>
  <c r="AQ181" i="73"/>
  <c r="AQ182" i="73"/>
  <c r="AQ183" i="73"/>
  <c r="AQ184" i="73"/>
  <c r="AQ185" i="73"/>
  <c r="AQ186" i="73"/>
  <c r="AQ187" i="73"/>
  <c r="AQ188" i="73"/>
  <c r="AQ189" i="73"/>
  <c r="AQ190" i="73"/>
  <c r="AQ191" i="73"/>
  <c r="AQ192" i="73"/>
  <c r="AQ193" i="73"/>
  <c r="AQ194" i="73"/>
  <c r="AQ195" i="73"/>
  <c r="AQ196" i="73"/>
  <c r="AQ197" i="73"/>
  <c r="AQ198" i="73"/>
  <c r="AQ199" i="73"/>
  <c r="AQ200" i="73"/>
  <c r="AQ201" i="73"/>
  <c r="AQ202" i="73"/>
  <c r="AQ203" i="73"/>
  <c r="AQ204" i="73"/>
  <c r="AQ205" i="73"/>
  <c r="AQ206" i="73"/>
  <c r="AQ180" i="73"/>
  <c r="AQ175" i="73"/>
  <c r="AQ147" i="73"/>
  <c r="AQ148" i="73"/>
  <c r="AQ149" i="73"/>
  <c r="AQ150" i="73"/>
  <c r="AQ151" i="73"/>
  <c r="AQ152" i="73"/>
  <c r="AQ153" i="73"/>
  <c r="AQ154" i="73"/>
  <c r="AQ155" i="73"/>
  <c r="AQ156" i="73"/>
  <c r="AQ157" i="73"/>
  <c r="AQ158" i="73"/>
  <c r="AQ159" i="73"/>
  <c r="AQ160" i="73"/>
  <c r="AQ161" i="73"/>
  <c r="AQ162" i="73"/>
  <c r="AQ163" i="73"/>
  <c r="AQ164" i="73"/>
  <c r="AQ165" i="73"/>
  <c r="AQ166" i="73"/>
  <c r="AQ167" i="73"/>
  <c r="AQ168" i="73"/>
  <c r="AQ169" i="73"/>
  <c r="AQ170" i="73"/>
  <c r="AQ171" i="73"/>
  <c r="AQ172" i="73"/>
  <c r="AQ146" i="73"/>
  <c r="AQ139"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Q136" i="73"/>
  <c r="AQ110" i="73"/>
  <c r="AQ105"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76" i="73"/>
  <c r="AQ68"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39" i="73"/>
  <c r="AQ34" i="73"/>
  <c r="AQ6" i="73"/>
  <c r="AQ7" i="73"/>
  <c r="AQ8" i="73"/>
  <c r="AQ9" i="73"/>
  <c r="AQ10" i="73"/>
  <c r="AQ11" i="73"/>
  <c r="AQ12" i="73"/>
  <c r="AQ13" i="73"/>
  <c r="AQ14" i="73"/>
  <c r="AQ15" i="73"/>
  <c r="AQ16" i="73"/>
  <c r="AQ17" i="73"/>
  <c r="AQ18" i="73"/>
  <c r="AQ19" i="73"/>
  <c r="AQ20" i="73"/>
  <c r="AQ21" i="73"/>
  <c r="AQ22" i="73"/>
  <c r="AQ23" i="73"/>
  <c r="AQ24" i="73"/>
  <c r="AQ25" i="73"/>
  <c r="AQ26" i="73"/>
  <c r="AQ27" i="73"/>
  <c r="AQ28" i="73"/>
  <c r="AQ29" i="73"/>
  <c r="AQ30" i="73"/>
  <c r="AQ31" i="73"/>
  <c r="AQ5" i="73"/>
  <c r="DN36" i="126"/>
  <c r="DO36" i="126"/>
  <c r="DP36" i="126"/>
  <c r="DM36" i="126"/>
  <c r="DM9" i="126"/>
  <c r="DN9" i="126"/>
  <c r="DO9" i="126"/>
  <c r="DP9" i="126"/>
  <c r="DM10" i="126"/>
  <c r="DN10" i="126"/>
  <c r="DO10" i="126"/>
  <c r="DP10" i="126"/>
  <c r="DM11" i="126"/>
  <c r="DN11" i="126"/>
  <c r="DO11" i="126"/>
  <c r="DP11" i="126"/>
  <c r="DM12" i="126"/>
  <c r="DN12" i="126"/>
  <c r="DO12" i="126"/>
  <c r="DP12" i="126"/>
  <c r="DM13" i="126"/>
  <c r="DN13" i="126"/>
  <c r="DO13" i="126"/>
  <c r="DP13" i="126"/>
  <c r="DM14" i="126"/>
  <c r="DN14" i="126"/>
  <c r="DO14" i="126"/>
  <c r="DP14" i="126"/>
  <c r="DM15" i="126"/>
  <c r="DN15" i="126"/>
  <c r="DO15" i="126"/>
  <c r="DP15" i="126"/>
  <c r="DM16" i="126"/>
  <c r="DN16" i="126"/>
  <c r="DO16" i="126"/>
  <c r="DP16" i="126"/>
  <c r="DM17" i="126"/>
  <c r="DN17" i="126"/>
  <c r="DO17" i="126"/>
  <c r="DP17" i="126"/>
  <c r="DM18" i="126"/>
  <c r="DN18" i="126"/>
  <c r="DO18" i="126"/>
  <c r="DP18" i="126"/>
  <c r="DM19" i="126"/>
  <c r="DN19" i="126"/>
  <c r="DO19" i="126"/>
  <c r="DP19" i="126"/>
  <c r="DM20" i="126"/>
  <c r="DN20" i="126"/>
  <c r="DO20" i="126"/>
  <c r="DP20" i="126"/>
  <c r="DM21" i="126"/>
  <c r="DN21" i="126"/>
  <c r="DO21" i="126"/>
  <c r="DP21" i="126"/>
  <c r="DM22" i="126"/>
  <c r="DN22" i="126"/>
  <c r="DO22" i="126"/>
  <c r="DP22" i="126"/>
  <c r="DM23" i="126"/>
  <c r="DN23" i="126"/>
  <c r="DO23" i="126"/>
  <c r="DP23" i="126"/>
  <c r="DM24" i="126"/>
  <c r="DN24" i="126"/>
  <c r="DO24" i="126"/>
  <c r="DP24" i="126"/>
  <c r="DM25" i="126"/>
  <c r="DN25" i="126"/>
  <c r="DO25" i="126"/>
  <c r="DP25" i="126"/>
  <c r="DM26" i="126"/>
  <c r="DN26" i="126"/>
  <c r="DO26" i="126"/>
  <c r="DP26" i="126"/>
  <c r="DM27" i="126"/>
  <c r="DN27" i="126"/>
  <c r="DO27" i="126"/>
  <c r="DP27" i="126"/>
  <c r="DM28" i="126"/>
  <c r="DN28" i="126"/>
  <c r="DO28" i="126"/>
  <c r="DP28" i="126"/>
  <c r="DM29" i="126"/>
  <c r="DN29" i="126"/>
  <c r="DO29" i="126"/>
  <c r="DP29" i="126"/>
  <c r="DM30" i="126"/>
  <c r="DN30" i="126"/>
  <c r="DO30" i="126"/>
  <c r="DP30" i="126"/>
  <c r="DM31" i="126"/>
  <c r="DN31" i="126"/>
  <c r="DO31" i="126"/>
  <c r="DP31" i="126"/>
  <c r="DM32" i="126"/>
  <c r="DN32" i="126"/>
  <c r="DO32" i="126"/>
  <c r="DP32" i="126"/>
  <c r="DM33" i="126"/>
  <c r="DN33" i="126"/>
  <c r="DO33" i="126"/>
  <c r="DP33" i="126"/>
  <c r="DM34" i="126"/>
  <c r="DN34" i="126"/>
  <c r="DO34" i="126"/>
  <c r="DP34" i="126"/>
  <c r="DN8" i="126"/>
  <c r="DO8" i="126"/>
  <c r="DP8" i="126"/>
  <c r="DM8" i="126"/>
  <c r="N34" i="124"/>
  <c r="N32" i="124"/>
  <c r="N5" i="124"/>
  <c r="N6" i="124"/>
  <c r="N7" i="124"/>
  <c r="N8" i="124"/>
  <c r="N9" i="124"/>
  <c r="N10" i="124"/>
  <c r="N11" i="124"/>
  <c r="N12" i="124"/>
  <c r="N13" i="124"/>
  <c r="N14" i="124"/>
  <c r="N15" i="124"/>
  <c r="N16" i="124"/>
  <c r="N17" i="124"/>
  <c r="N18" i="124"/>
  <c r="N19" i="124"/>
  <c r="N20" i="124"/>
  <c r="N21" i="124"/>
  <c r="N22" i="124"/>
  <c r="N23" i="124"/>
  <c r="N24" i="124"/>
  <c r="N25" i="124"/>
  <c r="N26" i="124"/>
  <c r="N27" i="124"/>
  <c r="N28" i="124"/>
  <c r="N29" i="124"/>
  <c r="N30" i="124"/>
  <c r="N4" i="124"/>
  <c r="T35" i="123"/>
  <c r="T33" i="123"/>
  <c r="T6" i="123"/>
  <c r="T7" i="123"/>
  <c r="T8" i="123"/>
  <c r="T9" i="123"/>
  <c r="T10" i="123"/>
  <c r="T11" i="123"/>
  <c r="T12" i="123"/>
  <c r="T13" i="123"/>
  <c r="T14" i="123"/>
  <c r="T15" i="123"/>
  <c r="T16" i="123"/>
  <c r="T17" i="123"/>
  <c r="T18" i="123"/>
  <c r="T19" i="123"/>
  <c r="T20" i="123"/>
  <c r="T21" i="123"/>
  <c r="T22" i="123"/>
  <c r="T23" i="123"/>
  <c r="T24" i="123"/>
  <c r="T25" i="123"/>
  <c r="T26" i="123"/>
  <c r="T27" i="123"/>
  <c r="T28" i="123"/>
  <c r="T29" i="123"/>
  <c r="T30" i="123"/>
  <c r="T31" i="123"/>
  <c r="T5" i="123"/>
  <c r="AI36" i="122"/>
  <c r="AH36" i="122"/>
  <c r="AI34" i="122"/>
  <c r="AH34" i="122"/>
  <c r="AH7" i="122"/>
  <c r="AI7" i="122"/>
  <c r="AH8" i="122"/>
  <c r="AI8" i="122"/>
  <c r="AH9" i="122"/>
  <c r="AI9" i="122"/>
  <c r="AH10" i="122"/>
  <c r="AI10" i="122"/>
  <c r="AH11" i="122"/>
  <c r="AI11" i="122"/>
  <c r="AH12" i="122"/>
  <c r="AI12" i="122"/>
  <c r="AH13" i="122"/>
  <c r="AI13" i="122"/>
  <c r="AH14" i="122"/>
  <c r="AI14" i="122"/>
  <c r="AH15" i="122"/>
  <c r="AI15" i="122"/>
  <c r="AH16" i="122"/>
  <c r="AI16" i="122"/>
  <c r="AH17" i="122"/>
  <c r="AI17" i="122"/>
  <c r="AH18" i="122"/>
  <c r="AI18" i="122"/>
  <c r="AH19" i="122"/>
  <c r="AI19" i="122"/>
  <c r="AH20" i="122"/>
  <c r="AI20" i="122"/>
  <c r="AH21" i="122"/>
  <c r="AI21" i="122"/>
  <c r="AH22" i="122"/>
  <c r="AI22" i="122"/>
  <c r="AH23" i="122"/>
  <c r="AI23" i="122"/>
  <c r="AH24" i="122"/>
  <c r="AI24" i="122"/>
  <c r="AH25" i="122"/>
  <c r="AI25" i="122"/>
  <c r="AH26" i="122"/>
  <c r="AI26" i="122"/>
  <c r="AH27" i="122"/>
  <c r="AI27" i="122"/>
  <c r="AH28" i="122"/>
  <c r="AI28" i="122"/>
  <c r="AH29" i="122"/>
  <c r="AI29" i="122"/>
  <c r="AH30" i="122"/>
  <c r="AI30" i="122"/>
  <c r="AH31" i="122"/>
  <c r="AI31" i="122"/>
  <c r="AH32" i="122"/>
  <c r="AI32" i="122"/>
  <c r="AI6" i="122"/>
  <c r="AH6" i="122"/>
  <c r="AL37" i="121"/>
  <c r="AK37" i="121"/>
  <c r="AL35" i="121"/>
  <c r="AK35" i="121"/>
  <c r="AK8" i="121"/>
  <c r="AL8" i="121"/>
  <c r="AK9" i="121"/>
  <c r="AL9" i="121"/>
  <c r="AK10" i="121"/>
  <c r="AL10" i="121"/>
  <c r="AK11" i="121"/>
  <c r="AL11" i="121"/>
  <c r="AK12" i="121"/>
  <c r="AL12" i="121"/>
  <c r="AK13" i="121"/>
  <c r="AL13" i="121"/>
  <c r="AK14" i="121"/>
  <c r="AL14" i="121"/>
  <c r="AK15" i="121"/>
  <c r="AL15" i="121"/>
  <c r="AK16" i="121"/>
  <c r="AL16" i="121"/>
  <c r="AK17" i="121"/>
  <c r="AL17" i="121"/>
  <c r="AK18" i="121"/>
  <c r="AL18" i="121"/>
  <c r="AK19" i="121"/>
  <c r="AL19" i="121"/>
  <c r="AK20" i="121"/>
  <c r="AL20" i="121"/>
  <c r="AK21" i="121"/>
  <c r="AL21" i="121"/>
  <c r="AK22" i="121"/>
  <c r="AL22" i="121"/>
  <c r="AK23" i="121"/>
  <c r="AL23" i="121"/>
  <c r="AK24" i="121"/>
  <c r="AL24" i="121"/>
  <c r="AK25" i="121"/>
  <c r="AL25" i="121"/>
  <c r="AK26" i="121"/>
  <c r="AL26" i="121"/>
  <c r="AK27" i="121"/>
  <c r="AL27" i="121"/>
  <c r="AK28" i="121"/>
  <c r="AL28" i="121"/>
  <c r="AK29" i="121"/>
  <c r="AL29" i="121"/>
  <c r="AK30" i="121"/>
  <c r="AL30" i="121"/>
  <c r="AK31" i="121"/>
  <c r="AL31" i="121"/>
  <c r="AK32" i="121"/>
  <c r="AL32" i="121"/>
  <c r="AK33" i="121"/>
  <c r="AL33" i="121"/>
  <c r="AL7" i="121"/>
  <c r="AK7" i="121"/>
  <c r="AH9" i="65"/>
  <c r="AI9" i="65"/>
  <c r="AI10" i="65"/>
  <c r="AI16" i="65"/>
  <c r="AI21" i="65"/>
  <c r="AI22" i="65"/>
  <c r="AI23" i="65"/>
  <c r="AF9" i="65"/>
  <c r="AG10" i="65"/>
  <c r="AG16" i="65"/>
  <c r="AG21" i="65"/>
  <c r="AG22" i="65"/>
  <c r="AG23" i="65"/>
  <c r="AG27" i="65"/>
  <c r="AA32" i="65"/>
  <c r="Z32" i="65"/>
  <c r="Z5" i="65"/>
  <c r="AA5" i="65"/>
  <c r="Z6" i="65"/>
  <c r="AA6" i="65"/>
  <c r="Z7" i="65"/>
  <c r="AA7" i="65"/>
  <c r="Z8" i="65"/>
  <c r="AA8" i="65"/>
  <c r="Z9" i="65"/>
  <c r="AA9" i="65"/>
  <c r="Z10" i="65"/>
  <c r="AA10" i="65"/>
  <c r="Z11" i="65"/>
  <c r="AA11" i="65"/>
  <c r="Z12" i="65"/>
  <c r="AA12" i="65"/>
  <c r="Z13" i="65"/>
  <c r="AA13" i="65"/>
  <c r="Z14" i="65"/>
  <c r="AA14" i="65"/>
  <c r="Z15" i="65"/>
  <c r="AA15" i="65"/>
  <c r="Z16" i="65"/>
  <c r="AA16" i="65"/>
  <c r="Z17" i="65"/>
  <c r="AA17" i="65"/>
  <c r="Z18" i="65"/>
  <c r="AA18" i="65"/>
  <c r="Z19" i="65"/>
  <c r="AA19" i="65"/>
  <c r="Z20" i="65"/>
  <c r="AA20" i="65"/>
  <c r="Z21" i="65"/>
  <c r="AA21" i="65"/>
  <c r="Z22" i="65"/>
  <c r="AA22" i="65"/>
  <c r="Z23" i="65"/>
  <c r="AA23" i="65"/>
  <c r="Z24" i="65"/>
  <c r="AA24" i="65"/>
  <c r="Z25" i="65"/>
  <c r="AA25" i="65"/>
  <c r="Z26" i="65"/>
  <c r="AA26" i="65"/>
  <c r="Z27" i="65"/>
  <c r="AA27" i="65"/>
  <c r="Z28" i="65"/>
  <c r="AA28" i="65"/>
  <c r="Z29" i="65"/>
  <c r="AA29" i="65"/>
  <c r="Z30" i="65"/>
  <c r="AA30" i="65"/>
  <c r="AA4" i="65"/>
  <c r="Z4" i="65"/>
  <c r="HE27" i="139" l="1"/>
  <c r="GK27" i="139"/>
  <c r="GG27" i="139"/>
  <c r="FM27" i="139"/>
  <c r="FA27" i="139"/>
  <c r="EW27" i="139"/>
  <c r="ES27" i="139"/>
  <c r="EO27" i="139"/>
  <c r="EK27" i="139"/>
  <c r="EG27" i="139"/>
  <c r="EC27" i="139"/>
  <c r="DY27" i="139"/>
  <c r="DU27" i="139"/>
  <c r="DM27" i="139"/>
  <c r="DI27" i="139"/>
  <c r="DE27" i="139"/>
  <c r="DA27" i="139"/>
  <c r="CW27" i="139"/>
  <c r="CS27" i="139"/>
  <c r="CO27" i="139"/>
  <c r="CK27" i="139"/>
  <c r="CG27" i="139"/>
  <c r="CC27" i="139"/>
  <c r="BY27" i="139"/>
  <c r="BU27" i="139"/>
  <c r="BQ27" i="139"/>
  <c r="BM27" i="139"/>
  <c r="BI27" i="139"/>
  <c r="BE27" i="139"/>
  <c r="BA27" i="139"/>
  <c r="AW27" i="139"/>
  <c r="AS27" i="139"/>
  <c r="AO27" i="139"/>
  <c r="AK27" i="139"/>
  <c r="AG27" i="139"/>
  <c r="AC27" i="139"/>
  <c r="Y27" i="139"/>
  <c r="U27" i="139"/>
  <c r="Q27" i="139"/>
  <c r="M27" i="139"/>
  <c r="I27" i="139"/>
  <c r="E27" i="139"/>
  <c r="HE26" i="139"/>
  <c r="HA26" i="139"/>
  <c r="GW26" i="139"/>
  <c r="GS26" i="139"/>
  <c r="GO26" i="139"/>
  <c r="GK26" i="139"/>
  <c r="GG26" i="139"/>
  <c r="GC26" i="139"/>
  <c r="FY26" i="139"/>
  <c r="FM26" i="139"/>
  <c r="FI26" i="139"/>
  <c r="FE26" i="139"/>
  <c r="FA26" i="139"/>
  <c r="EW26" i="139"/>
  <c r="ES26" i="139"/>
  <c r="EO26" i="139"/>
  <c r="EK26" i="139"/>
  <c r="EG26" i="139"/>
  <c r="EC26" i="139"/>
  <c r="DY26" i="139"/>
  <c r="DU26" i="139"/>
  <c r="DQ26" i="139"/>
  <c r="DM26" i="139"/>
  <c r="DI26" i="139"/>
  <c r="DE26" i="139"/>
  <c r="DA26" i="139"/>
  <c r="CW26" i="139"/>
  <c r="CS26" i="139"/>
  <c r="CO26" i="139"/>
  <c r="CK26" i="139"/>
  <c r="CG26" i="139"/>
  <c r="CC26" i="139"/>
  <c r="BY26" i="139"/>
  <c r="BU26" i="139"/>
  <c r="BQ26" i="139"/>
  <c r="BM26" i="139"/>
  <c r="BI26" i="139"/>
  <c r="BE26" i="139"/>
  <c r="BA26" i="139"/>
  <c r="AW26" i="139"/>
  <c r="AS26" i="139"/>
  <c r="AO26" i="139"/>
  <c r="AK26" i="139"/>
  <c r="AG26" i="139"/>
  <c r="AC26" i="139"/>
  <c r="Y26" i="139"/>
  <c r="U26" i="139"/>
  <c r="Q26" i="139"/>
  <c r="M26" i="139"/>
  <c r="I26" i="139"/>
  <c r="E26" i="139"/>
  <c r="HE25" i="139"/>
  <c r="HA25" i="139"/>
  <c r="GW25" i="139"/>
  <c r="GO25" i="139"/>
  <c r="GK25" i="139"/>
  <c r="GG25" i="139"/>
  <c r="GC25" i="139"/>
  <c r="FY25" i="139"/>
  <c r="FU25" i="139"/>
  <c r="FQ25" i="139"/>
  <c r="FM25" i="139"/>
  <c r="FI25" i="139"/>
  <c r="FE25" i="139"/>
  <c r="FA25" i="139"/>
  <c r="EW25" i="139"/>
  <c r="ES25" i="139"/>
  <c r="EO25" i="139"/>
  <c r="EK25" i="139"/>
  <c r="EG25" i="139"/>
  <c r="EC25" i="139"/>
  <c r="DY25" i="139"/>
  <c r="DU25" i="139"/>
  <c r="DQ25" i="139"/>
  <c r="DM25" i="139"/>
  <c r="DI25" i="139"/>
  <c r="DE25" i="139"/>
  <c r="DA25" i="139"/>
  <c r="CW25" i="139"/>
  <c r="CS25" i="139"/>
  <c r="CO25" i="139"/>
  <c r="CK25" i="139"/>
  <c r="CG25" i="139"/>
  <c r="CC25" i="139"/>
  <c r="BY25" i="139"/>
  <c r="BU25" i="139"/>
  <c r="BQ25" i="139"/>
  <c r="BM25" i="139"/>
  <c r="BI25" i="139"/>
  <c r="BE25" i="139"/>
  <c r="BA25" i="139"/>
  <c r="AW25" i="139"/>
  <c r="AS25" i="139"/>
  <c r="AO25" i="139"/>
  <c r="AK25" i="139"/>
  <c r="AG25" i="139"/>
  <c r="AC25" i="139"/>
  <c r="Y25" i="139"/>
  <c r="U25" i="139"/>
  <c r="Q25" i="139"/>
  <c r="M25" i="139"/>
  <c r="I25" i="139"/>
  <c r="E25" i="139"/>
  <c r="HE24" i="139"/>
  <c r="HA24" i="139"/>
  <c r="GG24" i="139"/>
  <c r="GC24" i="139"/>
  <c r="FY24" i="139"/>
  <c r="FQ24" i="139"/>
  <c r="FM24" i="139"/>
  <c r="FA24" i="139"/>
  <c r="EW24" i="139"/>
  <c r="ES24" i="139"/>
  <c r="EO24" i="139"/>
  <c r="EK24" i="139"/>
  <c r="EG24" i="139"/>
  <c r="EC24" i="139"/>
  <c r="DU24" i="139"/>
  <c r="DQ24" i="139"/>
  <c r="DM24" i="139"/>
  <c r="DI24" i="139"/>
  <c r="DE24" i="139"/>
  <c r="DA24" i="139"/>
  <c r="CW24" i="139"/>
  <c r="CS24" i="139"/>
  <c r="CK24" i="139"/>
  <c r="CG24" i="139"/>
  <c r="BY24" i="139"/>
  <c r="BU24" i="139"/>
  <c r="BM24" i="139"/>
  <c r="BI24" i="139"/>
  <c r="BE24" i="139"/>
  <c r="BA24" i="139"/>
  <c r="AW24" i="139"/>
  <c r="AS24" i="139"/>
  <c r="AO24" i="139"/>
  <c r="AK24" i="139"/>
  <c r="AG24" i="139"/>
  <c r="AC24" i="139"/>
  <c r="Y24" i="139"/>
  <c r="U24" i="139"/>
  <c r="Q24" i="139"/>
  <c r="M24" i="139"/>
  <c r="I24" i="139"/>
  <c r="E24" i="139"/>
  <c r="HE23" i="139"/>
  <c r="HA23" i="139"/>
  <c r="GW23" i="139"/>
  <c r="GK23" i="139"/>
  <c r="GG23" i="139"/>
  <c r="GC23" i="139"/>
  <c r="FY23" i="139"/>
  <c r="FQ23" i="139"/>
  <c r="FM23" i="139"/>
  <c r="FA23" i="139"/>
  <c r="EW23" i="139"/>
  <c r="ES23" i="139"/>
  <c r="EK23" i="139"/>
  <c r="EG23" i="139"/>
  <c r="EC23" i="139"/>
  <c r="DY23" i="139"/>
  <c r="DU23" i="139"/>
  <c r="DQ23" i="139"/>
  <c r="DM23" i="139"/>
  <c r="DI23" i="139"/>
  <c r="DE23" i="139"/>
  <c r="DA23" i="139"/>
  <c r="CW23" i="139"/>
  <c r="CS23" i="139"/>
  <c r="CK23" i="139"/>
  <c r="CG23" i="139"/>
  <c r="BY23" i="139"/>
  <c r="BU23" i="139"/>
  <c r="BQ23" i="139"/>
  <c r="BM23" i="139"/>
  <c r="BI23" i="139"/>
  <c r="BE23" i="139"/>
  <c r="BA23" i="139"/>
  <c r="AW23" i="139"/>
  <c r="AO23" i="139"/>
  <c r="AK23" i="139"/>
  <c r="AG23" i="139"/>
  <c r="AC23" i="139"/>
  <c r="Y23" i="139"/>
  <c r="U23" i="139"/>
  <c r="O23" i="139"/>
  <c r="E23" i="139"/>
  <c r="HC22" i="139"/>
  <c r="FM22" i="139"/>
  <c r="EW22" i="139"/>
  <c r="EI22" i="139"/>
  <c r="DW22" i="139"/>
  <c r="DC22" i="139"/>
  <c r="CQ22" i="139"/>
  <c r="BW22" i="139"/>
  <c r="BK22" i="139"/>
  <c r="AQ22" i="139"/>
  <c r="AE22" i="139"/>
  <c r="K22" i="139"/>
  <c r="HC21" i="139"/>
  <c r="GI21" i="139"/>
  <c r="FW21" i="139"/>
  <c r="FC21" i="139"/>
  <c r="EQ21" i="139"/>
  <c r="DW21" i="139"/>
  <c r="DK21" i="139"/>
  <c r="CQ21" i="139"/>
  <c r="CE21" i="139"/>
  <c r="BK21" i="139"/>
  <c r="AY21" i="139"/>
  <c r="AE21" i="139"/>
  <c r="S21" i="139"/>
  <c r="HC20" i="139"/>
  <c r="GQ20" i="139"/>
  <c r="FW20" i="139"/>
  <c r="FK20" i="139"/>
  <c r="EQ20" i="139"/>
  <c r="EE20" i="139"/>
  <c r="I23" i="139"/>
  <c r="GG22" i="139"/>
  <c r="FQ22" i="139"/>
  <c r="FA22" i="139"/>
  <c r="DO20" i="139"/>
  <c r="ES22" i="139"/>
  <c r="EC22" i="139"/>
  <c r="DM22" i="139"/>
  <c r="CW22" i="139"/>
  <c r="CG22" i="139"/>
  <c r="BQ22" i="139"/>
  <c r="BA22" i="139"/>
  <c r="AK22" i="139"/>
  <c r="U22" i="139"/>
  <c r="E22" i="139"/>
  <c r="GS21" i="139"/>
  <c r="GC21" i="139"/>
  <c r="FM21" i="139"/>
  <c r="EW21" i="139"/>
  <c r="EG21" i="139"/>
  <c r="DQ21" i="139"/>
  <c r="DA21" i="139"/>
  <c r="CK21" i="139"/>
  <c r="BU21" i="139"/>
  <c r="BE21" i="139"/>
  <c r="AO21" i="139"/>
  <c r="Y21" i="139"/>
  <c r="I21" i="139"/>
  <c r="GW20" i="139"/>
  <c r="GG20" i="139"/>
  <c r="FQ20" i="139"/>
  <c r="FA20" i="139"/>
  <c r="EK20" i="139"/>
  <c r="DU20" i="139"/>
  <c r="DE20" i="139"/>
  <c r="CO20" i="139"/>
  <c r="BY20" i="139"/>
  <c r="EG22" i="139"/>
  <c r="DQ22" i="139"/>
  <c r="DA22" i="139"/>
  <c r="CK22" i="139"/>
  <c r="BU22" i="139"/>
  <c r="BE22" i="139"/>
  <c r="AO22" i="139"/>
  <c r="Y22" i="139"/>
  <c r="I22" i="139"/>
  <c r="GW21" i="139"/>
  <c r="GG21" i="139"/>
  <c r="FQ21" i="139"/>
  <c r="FA21" i="139"/>
  <c r="EK21" i="139"/>
  <c r="DU21" i="139"/>
  <c r="DE21" i="139"/>
  <c r="CO21" i="139"/>
  <c r="BY21" i="139"/>
  <c r="BI21" i="139"/>
  <c r="AS21" i="139"/>
  <c r="AC21" i="139"/>
  <c r="M21" i="139"/>
  <c r="HA20" i="139"/>
  <c r="GK20" i="139"/>
  <c r="FU20" i="139"/>
  <c r="EO20" i="139"/>
  <c r="DY20" i="139"/>
  <c r="DI20" i="139"/>
  <c r="CS20" i="139"/>
  <c r="CC20" i="139"/>
  <c r="EM14" i="139"/>
  <c r="EO14" i="139"/>
  <c r="DG14" i="139"/>
  <c r="DI14" i="139"/>
  <c r="DM10" i="139"/>
  <c r="DK10" i="139"/>
  <c r="BA10" i="139"/>
  <c r="AY10" i="139"/>
  <c r="AQ12" i="139"/>
  <c r="AS12" i="139"/>
  <c r="K12" i="139"/>
  <c r="M12" i="139"/>
  <c r="GI11" i="139"/>
  <c r="GK11" i="139"/>
  <c r="CG16" i="139"/>
  <c r="CA16" i="139"/>
  <c r="BQ16" i="139"/>
  <c r="DW14" i="139"/>
  <c r="DY14" i="139"/>
  <c r="DK14" i="139"/>
  <c r="CQ14" i="139"/>
  <c r="CS14" i="139"/>
  <c r="CE14" i="139"/>
  <c r="DE12" i="139"/>
  <c r="BU16" i="139"/>
  <c r="BE16" i="139"/>
  <c r="AY16" i="139"/>
  <c r="AI16" i="139"/>
  <c r="S16" i="139"/>
  <c r="C16" i="139"/>
  <c r="GA15" i="139"/>
  <c r="FK15" i="139"/>
  <c r="EU15" i="139"/>
  <c r="EE15" i="139"/>
  <c r="DO15" i="139"/>
  <c r="CY15" i="139"/>
  <c r="CI15" i="139"/>
  <c r="BS15" i="139"/>
  <c r="BC15" i="139"/>
  <c r="AM15" i="139"/>
  <c r="W15" i="139"/>
  <c r="G15" i="139"/>
  <c r="GU14" i="139"/>
  <c r="GE14" i="139"/>
  <c r="FO14" i="139"/>
  <c r="EY14" i="139"/>
  <c r="EC14" i="139"/>
  <c r="CW14" i="139"/>
  <c r="BA14" i="139"/>
  <c r="GS13" i="139"/>
  <c r="EG13" i="139"/>
  <c r="BU13" i="139"/>
  <c r="I13" i="139"/>
  <c r="FA12" i="139"/>
  <c r="CO12" i="139"/>
  <c r="BG12" i="139"/>
  <c r="BI12" i="139"/>
  <c r="AA12" i="139"/>
  <c r="AC12" i="139"/>
  <c r="GY11" i="139"/>
  <c r="HA11" i="139"/>
  <c r="EE14" i="139"/>
  <c r="DO14" i="139"/>
  <c r="CY14" i="139"/>
  <c r="CI14" i="139"/>
  <c r="CC14" i="139"/>
  <c r="BS14" i="139"/>
  <c r="BM14" i="139"/>
  <c r="BC14" i="139"/>
  <c r="AW14" i="139"/>
  <c r="AM14" i="139"/>
  <c r="AG14" i="139"/>
  <c r="W14" i="139"/>
  <c r="Q14" i="139"/>
  <c r="G14" i="139"/>
  <c r="HE13" i="139"/>
  <c r="GU13" i="139"/>
  <c r="GO13" i="139"/>
  <c r="GE13" i="139"/>
  <c r="FY13" i="139"/>
  <c r="FO13" i="139"/>
  <c r="FI13" i="139"/>
  <c r="EY13" i="139"/>
  <c r="ES13" i="139"/>
  <c r="EI13" i="139"/>
  <c r="EC13" i="139"/>
  <c r="DS13" i="139"/>
  <c r="DM13" i="139"/>
  <c r="DC13" i="139"/>
  <c r="CW13" i="139"/>
  <c r="CM13" i="139"/>
  <c r="CG13" i="139"/>
  <c r="BW13" i="139"/>
  <c r="BQ13" i="139"/>
  <c r="BG13" i="139"/>
  <c r="BA13" i="139"/>
  <c r="AQ13" i="139"/>
  <c r="AK13" i="139"/>
  <c r="AA13" i="139"/>
  <c r="U13" i="139"/>
  <c r="K13" i="139"/>
  <c r="E13" i="139"/>
  <c r="GY12" i="139"/>
  <c r="GS12" i="139"/>
  <c r="GI12" i="139"/>
  <c r="GC12" i="139"/>
  <c r="FS12" i="139"/>
  <c r="FM12" i="139"/>
  <c r="EW12" i="139"/>
  <c r="EM12" i="139"/>
  <c r="EG12" i="139"/>
  <c r="DW12" i="139"/>
  <c r="DG12" i="139"/>
  <c r="DA12" i="139"/>
  <c r="CQ12" i="139"/>
  <c r="CK12" i="139"/>
  <c r="CA12" i="139"/>
  <c r="BU12" i="139"/>
  <c r="BE12" i="139"/>
  <c r="AO12" i="139"/>
  <c r="Y12" i="139"/>
  <c r="I12" i="139"/>
  <c r="GW11" i="139"/>
  <c r="GG11" i="139"/>
  <c r="FA11" i="139"/>
  <c r="EI11" i="139"/>
  <c r="EK11" i="139"/>
  <c r="EA11" i="139"/>
  <c r="EC11" i="139"/>
  <c r="DS11" i="139"/>
  <c r="DU11" i="139"/>
  <c r="DK11" i="139"/>
  <c r="DM11" i="139"/>
  <c r="DC11" i="139"/>
  <c r="DE11" i="139"/>
  <c r="CU11" i="139"/>
  <c r="CW11" i="139"/>
  <c r="CM11" i="139"/>
  <c r="CO11" i="139"/>
  <c r="CE11" i="139"/>
  <c r="CG11" i="139"/>
  <c r="BW11" i="139"/>
  <c r="BY11" i="139"/>
  <c r="BO11" i="139"/>
  <c r="BQ11" i="139"/>
  <c r="BG11" i="139"/>
  <c r="BI11" i="139"/>
  <c r="AY11" i="139"/>
  <c r="BA11" i="139"/>
  <c r="AQ11" i="139"/>
  <c r="AS11" i="139"/>
  <c r="AI11" i="139"/>
  <c r="AK11" i="139"/>
  <c r="AA11" i="139"/>
  <c r="AC11" i="139"/>
  <c r="S11" i="139"/>
  <c r="U11" i="139"/>
  <c r="K11" i="139"/>
  <c r="M11" i="139"/>
  <c r="C11" i="139"/>
  <c r="E11" i="139"/>
  <c r="GY10" i="139"/>
  <c r="HA10" i="139"/>
  <c r="GI10" i="139"/>
  <c r="GK10" i="139"/>
  <c r="GA10" i="139"/>
  <c r="GC10" i="139"/>
  <c r="FK10" i="139"/>
  <c r="FM10" i="139"/>
  <c r="FC10" i="139"/>
  <c r="FE10" i="139"/>
  <c r="CW10" i="139"/>
  <c r="CU10" i="139"/>
  <c r="EI14" i="139"/>
  <c r="DS14" i="139"/>
  <c r="DC14" i="139"/>
  <c r="CM14" i="139"/>
  <c r="BW14" i="139"/>
  <c r="BG14" i="139"/>
  <c r="AQ14" i="139"/>
  <c r="AA14" i="139"/>
  <c r="K14" i="139"/>
  <c r="GY13" i="139"/>
  <c r="GI13" i="139"/>
  <c r="FS13" i="139"/>
  <c r="FC13" i="139"/>
  <c r="EM13" i="139"/>
  <c r="DW13" i="139"/>
  <c r="DG13" i="139"/>
  <c r="CQ13" i="139"/>
  <c r="CA13" i="139"/>
  <c r="BK13" i="139"/>
  <c r="AU13" i="139"/>
  <c r="AE13" i="139"/>
  <c r="O13" i="139"/>
  <c r="HC12" i="139"/>
  <c r="GM12" i="139"/>
  <c r="EQ12" i="139"/>
  <c r="EA12" i="139"/>
  <c r="DK12" i="139"/>
  <c r="CU12" i="139"/>
  <c r="CE12" i="139"/>
  <c r="ES10" i="139"/>
  <c r="EQ10" i="139"/>
  <c r="CG10" i="139"/>
  <c r="CE10" i="139"/>
  <c r="EM11" i="139"/>
  <c r="EO11" i="139"/>
  <c r="EE11" i="139"/>
  <c r="EG11" i="139"/>
  <c r="DW11" i="139"/>
  <c r="DY11" i="139"/>
  <c r="DO11" i="139"/>
  <c r="DQ11" i="139"/>
  <c r="DG11" i="139"/>
  <c r="DI11" i="139"/>
  <c r="CY11" i="139"/>
  <c r="DA11" i="139"/>
  <c r="CQ11" i="139"/>
  <c r="CS11" i="139"/>
  <c r="CI11" i="139"/>
  <c r="CK11" i="139"/>
  <c r="CA11" i="139"/>
  <c r="CC11" i="139"/>
  <c r="BS11" i="139"/>
  <c r="BU11" i="139"/>
  <c r="BK11" i="139"/>
  <c r="BM11" i="139"/>
  <c r="BC11" i="139"/>
  <c r="BE11" i="139"/>
  <c r="AU11" i="139"/>
  <c r="AW11" i="139"/>
  <c r="AM11" i="139"/>
  <c r="AO11" i="139"/>
  <c r="AE11" i="139"/>
  <c r="AG11" i="139"/>
  <c r="W11" i="139"/>
  <c r="Y11" i="139"/>
  <c r="O11" i="139"/>
  <c r="Q11" i="139"/>
  <c r="G11" i="139"/>
  <c r="I11" i="139"/>
  <c r="HC10" i="139"/>
  <c r="HE10" i="139"/>
  <c r="GU10" i="139"/>
  <c r="GW10" i="139"/>
  <c r="GM10" i="139"/>
  <c r="GO10" i="139"/>
  <c r="GE10" i="139"/>
  <c r="GG10" i="139"/>
  <c r="FW10" i="139"/>
  <c r="FY10" i="139"/>
  <c r="FO10" i="139"/>
  <c r="FQ10" i="139"/>
  <c r="EY10" i="139"/>
  <c r="FA10" i="139"/>
  <c r="EC10" i="139"/>
  <c r="EA10" i="139"/>
  <c r="BQ10" i="139"/>
  <c r="BO10" i="139"/>
  <c r="BI8" i="139"/>
  <c r="AU7" i="139"/>
  <c r="AW7" i="139"/>
  <c r="AI7" i="139"/>
  <c r="AK7" i="139"/>
  <c r="O7" i="139"/>
  <c r="Q7" i="139"/>
  <c r="C7" i="139"/>
  <c r="E7" i="139"/>
  <c r="GA6" i="139"/>
  <c r="GC6" i="139"/>
  <c r="EU6" i="139"/>
  <c r="EW6" i="139"/>
  <c r="EA6" i="139"/>
  <c r="EC6" i="139"/>
  <c r="CU6" i="139"/>
  <c r="CW6" i="139"/>
  <c r="CI6" i="139"/>
  <c r="CK6" i="139"/>
  <c r="BO6" i="139"/>
  <c r="BQ6" i="139"/>
  <c r="BC6" i="139"/>
  <c r="BE6" i="139"/>
  <c r="AI6" i="139"/>
  <c r="AK6" i="139"/>
  <c r="W6" i="139"/>
  <c r="Y6" i="139"/>
  <c r="C6" i="139"/>
  <c r="E6" i="139"/>
  <c r="GM5" i="139"/>
  <c r="GO5" i="139"/>
  <c r="CK5" i="139"/>
  <c r="AO4" i="139"/>
  <c r="AI10" i="139"/>
  <c r="S10" i="139"/>
  <c r="C10" i="139"/>
  <c r="FK9" i="139"/>
  <c r="EU9" i="139"/>
  <c r="EE9" i="139"/>
  <c r="CY9" i="139"/>
  <c r="CI9" i="139"/>
  <c r="BS9" i="139"/>
  <c r="BC9" i="139"/>
  <c r="AM9" i="139"/>
  <c r="W9" i="139"/>
  <c r="G9" i="139"/>
  <c r="GE8" i="139"/>
  <c r="EY8" i="139"/>
  <c r="EI8" i="139"/>
  <c r="DS8" i="139"/>
  <c r="CQ8" i="139"/>
  <c r="CU5" i="139"/>
  <c r="CW5" i="139"/>
  <c r="BO5" i="139"/>
  <c r="BQ5" i="139"/>
  <c r="BC5" i="139"/>
  <c r="BE5" i="139"/>
  <c r="AI5" i="139"/>
  <c r="AK5" i="139"/>
  <c r="W5" i="139"/>
  <c r="Y5" i="139"/>
  <c r="C5" i="139"/>
  <c r="E5" i="139"/>
  <c r="GU4" i="139"/>
  <c r="GW4" i="139"/>
  <c r="GA4" i="139"/>
  <c r="GC4" i="139"/>
  <c r="EU4" i="139"/>
  <c r="EW4" i="139"/>
  <c r="EI4" i="139"/>
  <c r="EK4" i="139"/>
  <c r="AY4" i="139"/>
  <c r="BA4" i="139"/>
  <c r="EK10" i="139"/>
  <c r="DU10" i="139"/>
  <c r="DE10" i="139"/>
  <c r="CO10" i="139"/>
  <c r="CI10" i="139"/>
  <c r="BY10" i="139"/>
  <c r="BS10" i="139"/>
  <c r="BI10" i="139"/>
  <c r="BC10" i="139"/>
  <c r="AS10" i="139"/>
  <c r="AM10" i="139"/>
  <c r="AC10" i="139"/>
  <c r="W10" i="139"/>
  <c r="M10" i="139"/>
  <c r="G10" i="139"/>
  <c r="HA9" i="139"/>
  <c r="GE9" i="139"/>
  <c r="FU9" i="139"/>
  <c r="FO9" i="139"/>
  <c r="EY9" i="139"/>
  <c r="EO9" i="139"/>
  <c r="EI9" i="139"/>
  <c r="DY9" i="139"/>
  <c r="DI9" i="139"/>
  <c r="CS9" i="139"/>
  <c r="CC9" i="139"/>
  <c r="BM9" i="139"/>
  <c r="AW9" i="139"/>
  <c r="AQ9" i="139"/>
  <c r="AG9" i="139"/>
  <c r="AA9" i="139"/>
  <c r="Q9" i="139"/>
  <c r="K9" i="139"/>
  <c r="HE8" i="139"/>
  <c r="GY8" i="139"/>
  <c r="GO8" i="139"/>
  <c r="GI8" i="139"/>
  <c r="FY8" i="139"/>
  <c r="FS8" i="139"/>
  <c r="FC8" i="139"/>
  <c r="ES8" i="139"/>
  <c r="EM8" i="139"/>
  <c r="EC8" i="139"/>
  <c r="DQ8" i="139"/>
  <c r="DG8" i="139"/>
  <c r="BW8" i="139"/>
  <c r="BE8" i="139"/>
  <c r="AU8" i="139"/>
  <c r="K8" i="139"/>
  <c r="HC7" i="139"/>
  <c r="FW7" i="139"/>
  <c r="EQ7" i="139"/>
  <c r="DK7" i="139"/>
  <c r="CE7" i="139"/>
  <c r="BK7" i="139"/>
  <c r="BM7" i="139"/>
  <c r="AY7" i="139"/>
  <c r="BA7" i="139"/>
  <c r="AE7" i="139"/>
  <c r="AG7" i="139"/>
  <c r="S7" i="139"/>
  <c r="U7" i="139"/>
  <c r="HC6" i="139"/>
  <c r="HE6" i="139"/>
  <c r="FK6" i="139"/>
  <c r="FM6" i="139"/>
  <c r="EQ6" i="139"/>
  <c r="ES6" i="139"/>
  <c r="EE6" i="139"/>
  <c r="EG6" i="139"/>
  <c r="DK6" i="139"/>
  <c r="DM6" i="139"/>
  <c r="CY6" i="139"/>
  <c r="DA6" i="139"/>
  <c r="CE6" i="139"/>
  <c r="CG6" i="139"/>
  <c r="BS6" i="139"/>
  <c r="BU6" i="139"/>
  <c r="AY6" i="139"/>
  <c r="BA6" i="139"/>
  <c r="AM6" i="139"/>
  <c r="AO6" i="139"/>
  <c r="S6" i="139"/>
  <c r="U6" i="139"/>
  <c r="G6" i="139"/>
  <c r="I6" i="139"/>
  <c r="EA5" i="139"/>
  <c r="EC5" i="139"/>
  <c r="EO10" i="139"/>
  <c r="DY10" i="139"/>
  <c r="DI10" i="139"/>
  <c r="CS10" i="139"/>
  <c r="CC10" i="139"/>
  <c r="BM10" i="139"/>
  <c r="AW10" i="139"/>
  <c r="AG10" i="139"/>
  <c r="Q10" i="139"/>
  <c r="HE9" i="139"/>
  <c r="FY9" i="139"/>
  <c r="ES9" i="139"/>
  <c r="EC9" i="139"/>
  <c r="DM9" i="139"/>
  <c r="CW9" i="139"/>
  <c r="CG9" i="139"/>
  <c r="BQ9" i="139"/>
  <c r="BA9" i="139"/>
  <c r="AK9" i="139"/>
  <c r="U9" i="139"/>
  <c r="E9" i="139"/>
  <c r="GC8" i="139"/>
  <c r="FM8" i="139"/>
  <c r="EW8" i="139"/>
  <c r="EG8" i="139"/>
  <c r="DE8" i="139"/>
  <c r="CM8" i="139"/>
  <c r="BU8" i="139"/>
  <c r="AS8" i="139"/>
  <c r="HA7" i="139"/>
  <c r="GO7" i="139"/>
  <c r="FU7" i="139"/>
  <c r="FI7" i="139"/>
  <c r="EO7" i="139"/>
  <c r="EC7" i="139"/>
  <c r="DI7" i="139"/>
  <c r="CW7" i="139"/>
  <c r="CC7" i="139"/>
  <c r="BQ7" i="139"/>
  <c r="GC5" i="139"/>
  <c r="DK8" i="139"/>
  <c r="CU8" i="139"/>
  <c r="CE8" i="139"/>
  <c r="BO8" i="139"/>
  <c r="AY8" i="139"/>
  <c r="AI8" i="139"/>
  <c r="S8" i="139"/>
  <c r="C8" i="139"/>
  <c r="GQ7" i="139"/>
  <c r="GA7" i="139"/>
  <c r="FK7" i="139"/>
  <c r="EU7" i="139"/>
  <c r="EE7" i="139"/>
  <c r="DO7" i="139"/>
  <c r="CY7" i="139"/>
  <c r="CI7" i="139"/>
  <c r="BS7" i="139"/>
  <c r="GS5" i="139"/>
  <c r="FM5" i="139"/>
  <c r="EG5" i="139"/>
  <c r="DA5" i="139"/>
  <c r="CE4" i="139"/>
  <c r="CG4" i="139"/>
  <c r="BS4" i="139"/>
  <c r="EQ5" i="139"/>
  <c r="ES5" i="139"/>
  <c r="DK5" i="139"/>
  <c r="DM5" i="139"/>
  <c r="CE5" i="139"/>
  <c r="CG5" i="139"/>
  <c r="BS5" i="139"/>
  <c r="BU5" i="139"/>
  <c r="AY5" i="139"/>
  <c r="BA5" i="139"/>
  <c r="AM5" i="139"/>
  <c r="AO5" i="139"/>
  <c r="S5" i="139"/>
  <c r="U5" i="139"/>
  <c r="G5" i="139"/>
  <c r="I5" i="139"/>
  <c r="GE4" i="139"/>
  <c r="GG4" i="139"/>
  <c r="FK4" i="139"/>
  <c r="FM4" i="139"/>
  <c r="EY4" i="139"/>
  <c r="FA4" i="139"/>
  <c r="EE4" i="139"/>
  <c r="EG4" i="139"/>
  <c r="DK4" i="139"/>
  <c r="DM4" i="139"/>
  <c r="CY4" i="139"/>
  <c r="GU5" i="139"/>
  <c r="GE5" i="139"/>
  <c r="FO5" i="139"/>
  <c r="EY5" i="139"/>
  <c r="EI5" i="139"/>
  <c r="DS5" i="139"/>
  <c r="DC5" i="139"/>
  <c r="GY5" i="139"/>
  <c r="GI5" i="139"/>
  <c r="EM5" i="139"/>
  <c r="DW5" i="139"/>
  <c r="DG5" i="139"/>
  <c r="CQ5" i="139"/>
  <c r="DO4" i="139"/>
  <c r="CU4" i="139"/>
  <c r="CW4" i="139"/>
  <c r="CI4" i="139"/>
  <c r="BO4" i="139"/>
  <c r="BQ4" i="139"/>
  <c r="BC4" i="139"/>
  <c r="DS4" i="139"/>
  <c r="DC4" i="139"/>
  <c r="CM4" i="139"/>
  <c r="BW4" i="139"/>
  <c r="BG4" i="139"/>
  <c r="AQ4" i="139"/>
  <c r="DW4" i="139"/>
  <c r="DG4" i="139"/>
  <c r="CQ4" i="139"/>
  <c r="BK4" i="139"/>
  <c r="AU4" i="139"/>
  <c r="EL28" i="139" l="1"/>
  <c r="EN28" i="139"/>
  <c r="EO28" i="139" s="1"/>
  <c r="EP28" i="139"/>
  <c r="ER28" i="139"/>
  <c r="ET28" i="139"/>
  <c r="EV28" i="139"/>
  <c r="EW28" i="139" s="1"/>
  <c r="EX28" i="139"/>
  <c r="EZ28" i="139"/>
  <c r="FA28" i="139"/>
  <c r="DN28" i="139"/>
  <c r="DP28" i="139"/>
  <c r="DQ28" i="139" s="1"/>
  <c r="DR28" i="139"/>
  <c r="DS28" i="139" s="1"/>
  <c r="DT28" i="139"/>
  <c r="DU28" i="139"/>
  <c r="DV28" i="139"/>
  <c r="DX28" i="139"/>
  <c r="DZ28" i="139"/>
  <c r="EB28" i="139"/>
  <c r="ED28" i="139"/>
  <c r="EF28" i="139"/>
  <c r="EG28" i="139" s="1"/>
  <c r="EH28" i="139"/>
  <c r="EJ28" i="139"/>
  <c r="EK28" i="139" s="1"/>
  <c r="BZ28" i="139"/>
  <c r="CB28" i="139"/>
  <c r="CA28" i="139" s="1"/>
  <c r="CD28" i="139"/>
  <c r="CF28" i="139"/>
  <c r="CG28" i="139"/>
  <c r="CH28" i="139"/>
  <c r="CJ28" i="139"/>
  <c r="CL28" i="139"/>
  <c r="CN28" i="139"/>
  <c r="CO28" i="139"/>
  <c r="CP28" i="139"/>
  <c r="CR28" i="139"/>
  <c r="CQ28" i="139" s="1"/>
  <c r="CT28" i="139"/>
  <c r="CV28" i="139"/>
  <c r="CW28" i="139" s="1"/>
  <c r="CX28" i="139"/>
  <c r="CZ28" i="139"/>
  <c r="CY28" i="139" s="1"/>
  <c r="DB28" i="139"/>
  <c r="DE28" i="139" s="1"/>
  <c r="DD28" i="139"/>
  <c r="DF28" i="139"/>
  <c r="DH28" i="139"/>
  <c r="DG28" i="139" s="1"/>
  <c r="DJ28" i="139"/>
  <c r="DL28" i="139"/>
  <c r="DM28" i="139" s="1"/>
  <c r="B28" i="139"/>
  <c r="D28" i="139"/>
  <c r="E28" i="139" s="1"/>
  <c r="F28" i="139"/>
  <c r="G28" i="139" s="1"/>
  <c r="H28" i="139"/>
  <c r="J28" i="139"/>
  <c r="L28" i="139"/>
  <c r="M28" i="139" s="1"/>
  <c r="N28" i="139"/>
  <c r="O28" i="139" s="1"/>
  <c r="P28" i="139"/>
  <c r="R28" i="139"/>
  <c r="T28" i="139"/>
  <c r="U28" i="139" s="1"/>
  <c r="V28" i="139"/>
  <c r="W28" i="139" s="1"/>
  <c r="X28" i="139"/>
  <c r="Z28" i="139"/>
  <c r="AB28" i="139"/>
  <c r="AC28" i="139" s="1"/>
  <c r="AD28" i="139"/>
  <c r="AE28" i="139" s="1"/>
  <c r="AF28" i="139"/>
  <c r="AH28" i="139"/>
  <c r="AJ28" i="139"/>
  <c r="AK28" i="139" s="1"/>
  <c r="AL28" i="139"/>
  <c r="AM28" i="139" s="1"/>
  <c r="AN28" i="139"/>
  <c r="AP28" i="139"/>
  <c r="AR28" i="139"/>
  <c r="AS28" i="139" s="1"/>
  <c r="AT28" i="139"/>
  <c r="AU28" i="139" s="1"/>
  <c r="AV28" i="139"/>
  <c r="AX28" i="139"/>
  <c r="AZ28" i="139"/>
  <c r="BA28" i="139" s="1"/>
  <c r="BB28" i="139"/>
  <c r="BC28" i="139" s="1"/>
  <c r="BD28" i="139"/>
  <c r="BF28" i="139"/>
  <c r="BH28" i="139"/>
  <c r="BI28" i="139" s="1"/>
  <c r="BJ28" i="139"/>
  <c r="BK28" i="139" s="1"/>
  <c r="BL28" i="139"/>
  <c r="BN28" i="139"/>
  <c r="BP28" i="139"/>
  <c r="BQ28" i="139" s="1"/>
  <c r="BR28" i="139"/>
  <c r="BS28" i="139" s="1"/>
  <c r="BT28" i="139"/>
  <c r="BV28" i="139"/>
  <c r="BX28" i="139"/>
  <c r="BY28" i="139" s="1"/>
  <c r="DD36" i="126"/>
  <c r="DE36" i="126"/>
  <c r="DF36" i="126"/>
  <c r="DC36" i="126"/>
  <c r="DC9" i="126"/>
  <c r="DD9" i="126"/>
  <c r="DE9" i="126"/>
  <c r="DF9" i="126"/>
  <c r="DC10" i="126"/>
  <c r="DD10" i="126"/>
  <c r="DE10" i="126"/>
  <c r="DF10" i="126"/>
  <c r="DC11" i="126"/>
  <c r="DD11" i="126"/>
  <c r="DE11" i="126"/>
  <c r="DF11" i="126"/>
  <c r="DC12" i="126"/>
  <c r="DD12" i="126"/>
  <c r="DE12" i="126"/>
  <c r="DF12" i="126"/>
  <c r="DC13" i="126"/>
  <c r="DD13" i="126"/>
  <c r="DE13" i="126"/>
  <c r="DF13" i="126"/>
  <c r="DC14" i="126"/>
  <c r="DD14" i="126"/>
  <c r="DE14" i="126"/>
  <c r="DF14" i="126"/>
  <c r="DC15" i="126"/>
  <c r="DD15" i="126"/>
  <c r="DE15" i="126"/>
  <c r="DF15" i="126"/>
  <c r="DC16" i="126"/>
  <c r="DD16" i="126"/>
  <c r="DE16" i="126"/>
  <c r="DF16" i="126"/>
  <c r="DC17" i="126"/>
  <c r="DD17" i="126"/>
  <c r="DE17" i="126"/>
  <c r="DF17" i="126"/>
  <c r="DC18" i="126"/>
  <c r="DD18" i="126"/>
  <c r="DE18" i="126"/>
  <c r="DF18" i="126"/>
  <c r="DC19" i="126"/>
  <c r="DD19" i="126"/>
  <c r="DE19" i="126"/>
  <c r="DF19" i="126"/>
  <c r="DC20" i="126"/>
  <c r="DD20" i="126"/>
  <c r="DE20" i="126"/>
  <c r="DF20" i="126"/>
  <c r="DC21" i="126"/>
  <c r="DD21" i="126"/>
  <c r="DE21" i="126"/>
  <c r="DF21" i="126"/>
  <c r="DC22" i="126"/>
  <c r="DD22" i="126"/>
  <c r="DE22" i="126"/>
  <c r="DF22" i="126"/>
  <c r="DC23" i="126"/>
  <c r="DD23" i="126"/>
  <c r="DE23" i="126"/>
  <c r="DF23" i="126"/>
  <c r="DC24" i="126"/>
  <c r="DD24" i="126"/>
  <c r="DE24" i="126"/>
  <c r="DF24" i="126"/>
  <c r="DC25" i="126"/>
  <c r="DD25" i="126"/>
  <c r="DE25" i="126"/>
  <c r="DF25" i="126"/>
  <c r="DC26" i="126"/>
  <c r="DD26" i="126"/>
  <c r="DE26" i="126"/>
  <c r="DF26" i="126"/>
  <c r="DC27" i="126"/>
  <c r="DD27" i="126"/>
  <c r="DE27" i="126"/>
  <c r="DF27" i="126"/>
  <c r="DC28" i="126"/>
  <c r="DD28" i="126"/>
  <c r="DE28" i="126"/>
  <c r="DF28" i="126"/>
  <c r="DC29" i="126"/>
  <c r="DD29" i="126"/>
  <c r="DE29" i="126"/>
  <c r="DF29" i="126"/>
  <c r="DC30" i="126"/>
  <c r="DD30" i="126"/>
  <c r="DE30" i="126"/>
  <c r="DF30" i="126"/>
  <c r="DC31" i="126"/>
  <c r="DD31" i="126"/>
  <c r="DE31" i="126"/>
  <c r="DF31" i="126"/>
  <c r="DC32" i="126"/>
  <c r="DD32" i="126"/>
  <c r="DE32" i="126"/>
  <c r="DF32" i="126"/>
  <c r="DC33" i="126"/>
  <c r="DD33" i="126"/>
  <c r="DE33" i="126"/>
  <c r="DF33" i="126"/>
  <c r="DC34" i="126"/>
  <c r="DD34" i="126"/>
  <c r="DE34" i="126"/>
  <c r="DF34" i="126"/>
  <c r="DD8" i="126"/>
  <c r="DE8" i="126"/>
  <c r="DF8" i="126"/>
  <c r="DC8" i="126"/>
  <c r="EI28" i="139" l="1"/>
  <c r="EY28" i="139"/>
  <c r="EQ28" i="139"/>
  <c r="CI28" i="139"/>
  <c r="DK28" i="139"/>
  <c r="DA28" i="139"/>
  <c r="CU28" i="139"/>
  <c r="CK28" i="139"/>
  <c r="CE28" i="139"/>
  <c r="DI28" i="139"/>
  <c r="DC28" i="139"/>
  <c r="CS28" i="139"/>
  <c r="CM28" i="139"/>
  <c r="CC28" i="139"/>
  <c r="EE28" i="139"/>
  <c r="DW28" i="139"/>
  <c r="EA28" i="139"/>
  <c r="DO28" i="139"/>
  <c r="EM28" i="139"/>
  <c r="EU28" i="139"/>
  <c r="ES28" i="139"/>
  <c r="DY28" i="139"/>
  <c r="EC28" i="139"/>
  <c r="BW28" i="139"/>
  <c r="BO28" i="139"/>
  <c r="BG28" i="139"/>
  <c r="AY28" i="139"/>
  <c r="AQ28" i="139"/>
  <c r="AI28" i="139"/>
  <c r="AA28" i="139"/>
  <c r="S28" i="139"/>
  <c r="K28" i="139"/>
  <c r="C28" i="139"/>
  <c r="BU28" i="139"/>
  <c r="BM28" i="139"/>
  <c r="BE28" i="139"/>
  <c r="AW28" i="139"/>
  <c r="AO28" i="139"/>
  <c r="AG28" i="139"/>
  <c r="Y28" i="139"/>
  <c r="Q28" i="139"/>
  <c r="I28" i="139"/>
  <c r="DB77" i="126"/>
  <c r="C13" i="129" l="1"/>
  <c r="C14" i="129"/>
  <c r="C15" i="129"/>
  <c r="C16" i="129"/>
  <c r="C17" i="129"/>
  <c r="C18" i="129"/>
  <c r="C19" i="129"/>
  <c r="B13" i="129"/>
  <c r="B14" i="129"/>
  <c r="B15" i="129"/>
  <c r="B16" i="129"/>
  <c r="B17" i="129"/>
  <c r="B18" i="129"/>
  <c r="B19" i="129"/>
  <c r="B20" i="129"/>
  <c r="CV36" i="126"/>
  <c r="CU36" i="126"/>
  <c r="CT36" i="126"/>
  <c r="CS36" i="126"/>
  <c r="CS9" i="126"/>
  <c r="CT9" i="126"/>
  <c r="CU9" i="126"/>
  <c r="CV9" i="126"/>
  <c r="CS10" i="126"/>
  <c r="CT10" i="126"/>
  <c r="CU10" i="126"/>
  <c r="CV10" i="126"/>
  <c r="CS11" i="126"/>
  <c r="CT11" i="126"/>
  <c r="CU11" i="126"/>
  <c r="CV11" i="126"/>
  <c r="CS12" i="126"/>
  <c r="CT12" i="126"/>
  <c r="CU12" i="126"/>
  <c r="CV12" i="126"/>
  <c r="CS13" i="126"/>
  <c r="CT13" i="126"/>
  <c r="CU13" i="126"/>
  <c r="CV13" i="126"/>
  <c r="CS14" i="126"/>
  <c r="CT14" i="126"/>
  <c r="CU14" i="126"/>
  <c r="CV14" i="126"/>
  <c r="CS15" i="126"/>
  <c r="CT15" i="126"/>
  <c r="CU15" i="126"/>
  <c r="CV15" i="126"/>
  <c r="CS16" i="126"/>
  <c r="CT16" i="126"/>
  <c r="CU16" i="126"/>
  <c r="CV16" i="126"/>
  <c r="CS17" i="126"/>
  <c r="CT17" i="126"/>
  <c r="CU17" i="126"/>
  <c r="CV17" i="126"/>
  <c r="CS18" i="126"/>
  <c r="CT18" i="126"/>
  <c r="CU18" i="126"/>
  <c r="CV18" i="126"/>
  <c r="CS19" i="126"/>
  <c r="CT19" i="126"/>
  <c r="CU19" i="126"/>
  <c r="CV19" i="126"/>
  <c r="CS20" i="126"/>
  <c r="CT20" i="126"/>
  <c r="CU20" i="126"/>
  <c r="CV20" i="126"/>
  <c r="CS21" i="126"/>
  <c r="CT21" i="126"/>
  <c r="CU21" i="126"/>
  <c r="CV21" i="126"/>
  <c r="CS22" i="126"/>
  <c r="CT22" i="126"/>
  <c r="CU22" i="126"/>
  <c r="CV22" i="126"/>
  <c r="CS23" i="126"/>
  <c r="CT23" i="126"/>
  <c r="CU23" i="126"/>
  <c r="CV23" i="126"/>
  <c r="CS24" i="126"/>
  <c r="CT24" i="126"/>
  <c r="CU24" i="126"/>
  <c r="CV24" i="126"/>
  <c r="CS25" i="126"/>
  <c r="CT25" i="126"/>
  <c r="CU25" i="126"/>
  <c r="CV25" i="126"/>
  <c r="CS26" i="126"/>
  <c r="CT26" i="126"/>
  <c r="CU26" i="126"/>
  <c r="CV26" i="126"/>
  <c r="CS27" i="126"/>
  <c r="CT27" i="126"/>
  <c r="CU27" i="126"/>
  <c r="CV27" i="126"/>
  <c r="CS28" i="126"/>
  <c r="CT28" i="126"/>
  <c r="CU28" i="126"/>
  <c r="CV28" i="126"/>
  <c r="CS29" i="126"/>
  <c r="CT29" i="126"/>
  <c r="CU29" i="126"/>
  <c r="CV29" i="126"/>
  <c r="CS30" i="126"/>
  <c r="CT30" i="126"/>
  <c r="CU30" i="126"/>
  <c r="CV30" i="126"/>
  <c r="CS31" i="126"/>
  <c r="CT31" i="126"/>
  <c r="CU31" i="126"/>
  <c r="CV31" i="126"/>
  <c r="CS32" i="126"/>
  <c r="CT32" i="126"/>
  <c r="CU32" i="126"/>
  <c r="CV32" i="126"/>
  <c r="CS33" i="126"/>
  <c r="CT33" i="126"/>
  <c r="CU33" i="126"/>
  <c r="CV33" i="126"/>
  <c r="CS34" i="126"/>
  <c r="CT34" i="126"/>
  <c r="CU34" i="126"/>
  <c r="CV34" i="126"/>
  <c r="CT8" i="126"/>
  <c r="CU8" i="126"/>
  <c r="CV8" i="126"/>
  <c r="CS8" i="126"/>
  <c r="AZ32" i="131" l="1"/>
  <c r="AR29" i="132"/>
  <c r="AQ29" i="132"/>
  <c r="GN28" i="139"/>
  <c r="GP28" i="139"/>
  <c r="GR28" i="139"/>
  <c r="GL28" i="139"/>
  <c r="FV28" i="139"/>
  <c r="FX28" i="139"/>
  <c r="FF28" i="139"/>
  <c r="FH28" i="139"/>
  <c r="FB28" i="139"/>
  <c r="FD28" i="139"/>
  <c r="FI28" i="139" l="1"/>
  <c r="FC28" i="139"/>
  <c r="GS28" i="139"/>
  <c r="GM28" i="139"/>
  <c r="FE28" i="139"/>
  <c r="FW28" i="139"/>
  <c r="GQ28" i="139"/>
  <c r="FG28" i="139"/>
  <c r="FY28" i="139"/>
  <c r="GO28" i="139"/>
  <c r="AP32" i="66"/>
  <c r="D15" i="129"/>
  <c r="B7" i="129"/>
  <c r="C7" i="129"/>
  <c r="CJ36" i="126"/>
  <c r="CK36" i="126"/>
  <c r="CL36" i="126"/>
  <c r="CI36" i="126"/>
  <c r="CI9" i="126"/>
  <c r="CJ9" i="126"/>
  <c r="CK9" i="126"/>
  <c r="CL9" i="126"/>
  <c r="CI10" i="126"/>
  <c r="CJ10" i="126"/>
  <c r="CK10" i="126"/>
  <c r="CL10" i="126"/>
  <c r="CI11" i="126"/>
  <c r="CJ11" i="126"/>
  <c r="CK11" i="126"/>
  <c r="CL11" i="126"/>
  <c r="CI12" i="126"/>
  <c r="CJ12" i="126"/>
  <c r="CK12" i="126"/>
  <c r="CL12" i="126"/>
  <c r="CI13" i="126"/>
  <c r="CJ13" i="126"/>
  <c r="CK13" i="126"/>
  <c r="CL13" i="126"/>
  <c r="CI14" i="126"/>
  <c r="CJ14" i="126"/>
  <c r="CK14" i="126"/>
  <c r="CL14" i="126"/>
  <c r="CI15" i="126"/>
  <c r="CJ15" i="126"/>
  <c r="CK15" i="126"/>
  <c r="CL15" i="126"/>
  <c r="CI16" i="126"/>
  <c r="CJ16" i="126"/>
  <c r="CK16" i="126"/>
  <c r="CL16" i="126"/>
  <c r="CI17" i="126"/>
  <c r="CJ17" i="126"/>
  <c r="CK17" i="126"/>
  <c r="CL17" i="126"/>
  <c r="CI18" i="126"/>
  <c r="CJ18" i="126"/>
  <c r="CK18" i="126"/>
  <c r="CL18" i="126"/>
  <c r="CI19" i="126"/>
  <c r="CJ19" i="126"/>
  <c r="CK19" i="126"/>
  <c r="CL19" i="126"/>
  <c r="CI20" i="126"/>
  <c r="CJ20" i="126"/>
  <c r="CK20" i="126"/>
  <c r="CL20" i="126"/>
  <c r="CI21" i="126"/>
  <c r="CJ21" i="126"/>
  <c r="CK21" i="126"/>
  <c r="CL21" i="126"/>
  <c r="CI22" i="126"/>
  <c r="CJ22" i="126"/>
  <c r="CK22" i="126"/>
  <c r="CL22" i="126"/>
  <c r="CI23" i="126"/>
  <c r="CJ23" i="126"/>
  <c r="CK23" i="126"/>
  <c r="CL23" i="126"/>
  <c r="CI24" i="126"/>
  <c r="CJ24" i="126"/>
  <c r="CK24" i="126"/>
  <c r="CL24" i="126"/>
  <c r="CI25" i="126"/>
  <c r="CJ25" i="126"/>
  <c r="CK25" i="126"/>
  <c r="CL25" i="126"/>
  <c r="CI26" i="126"/>
  <c r="CJ26" i="126"/>
  <c r="CK26" i="126"/>
  <c r="CL26" i="126"/>
  <c r="CI27" i="126"/>
  <c r="CJ27" i="126"/>
  <c r="CK27" i="126"/>
  <c r="CL27" i="126"/>
  <c r="CI28" i="126"/>
  <c r="CJ28" i="126"/>
  <c r="CK28" i="126"/>
  <c r="CL28" i="126"/>
  <c r="CI29" i="126"/>
  <c r="CJ29" i="126"/>
  <c r="CK29" i="126"/>
  <c r="CL29" i="126"/>
  <c r="CI30" i="126"/>
  <c r="CJ30" i="126"/>
  <c r="CK30" i="126"/>
  <c r="CL30" i="126"/>
  <c r="CI31" i="126"/>
  <c r="CJ31" i="126"/>
  <c r="CK31" i="126"/>
  <c r="CL31" i="126"/>
  <c r="CI32" i="126"/>
  <c r="CJ32" i="126"/>
  <c r="CK32" i="126"/>
  <c r="CL32" i="126"/>
  <c r="CI33" i="126"/>
  <c r="CJ33" i="126"/>
  <c r="CK33" i="126"/>
  <c r="CL33" i="126"/>
  <c r="CI34" i="126"/>
  <c r="CJ34" i="126"/>
  <c r="CK34" i="126"/>
  <c r="CL34" i="126"/>
  <c r="CJ8" i="126"/>
  <c r="CK8" i="126"/>
  <c r="CL8" i="126"/>
  <c r="CI8" i="126"/>
  <c r="D7" i="129" l="1"/>
  <c r="AH7" i="66"/>
  <c r="AH14" i="66"/>
  <c r="AF5" i="66"/>
  <c r="AF6" i="66"/>
  <c r="AF7" i="66"/>
  <c r="AF8" i="66"/>
  <c r="AF9" i="66"/>
  <c r="AF10" i="66"/>
  <c r="AF11" i="66"/>
  <c r="AF12" i="66"/>
  <c r="AF13" i="66"/>
  <c r="AF14" i="66"/>
  <c r="AF15" i="66"/>
  <c r="AF16" i="66"/>
  <c r="AF17" i="66"/>
  <c r="AF18" i="66"/>
  <c r="AF19" i="66"/>
  <c r="AF20" i="66"/>
  <c r="AF21" i="66"/>
  <c r="AF22" i="66"/>
  <c r="AF23" i="66"/>
  <c r="AF24" i="66"/>
  <c r="AF25" i="66"/>
  <c r="AF26" i="66"/>
  <c r="AF27" i="66"/>
  <c r="AF28" i="66"/>
  <c r="AF29" i="66"/>
  <c r="AF30" i="66"/>
  <c r="AF4" i="66"/>
  <c r="AC5" i="66"/>
  <c r="AC6" i="66"/>
  <c r="AC7" i="66"/>
  <c r="AC8" i="66"/>
  <c r="AC9" i="66"/>
  <c r="AC10" i="66"/>
  <c r="AC11" i="66"/>
  <c r="AC12" i="66"/>
  <c r="AC13" i="66"/>
  <c r="AC14" i="66"/>
  <c r="AC15" i="66"/>
  <c r="AC16" i="66"/>
  <c r="AC17" i="66"/>
  <c r="AC18" i="66"/>
  <c r="AC19" i="66"/>
  <c r="AC20" i="66"/>
  <c r="AC21" i="66"/>
  <c r="AC22" i="66"/>
  <c r="AC23" i="66"/>
  <c r="AC24" i="66"/>
  <c r="AC25" i="66"/>
  <c r="AC26" i="66"/>
  <c r="AC27" i="66"/>
  <c r="AC28" i="66"/>
  <c r="AC29" i="66"/>
  <c r="AC30" i="66"/>
  <c r="AC4" i="66"/>
  <c r="Y5" i="66"/>
  <c r="Y6" i="66"/>
  <c r="Y7" i="66"/>
  <c r="Y8" i="66"/>
  <c r="Y9" i="66"/>
  <c r="Y10" i="66"/>
  <c r="Y11" i="66"/>
  <c r="Y12" i="66"/>
  <c r="Y13" i="66"/>
  <c r="Y14" i="66"/>
  <c r="Y15" i="66"/>
  <c r="Y16" i="66"/>
  <c r="Y17" i="66"/>
  <c r="Y18" i="66"/>
  <c r="Y19" i="66"/>
  <c r="Y20" i="66"/>
  <c r="Y21" i="66"/>
  <c r="Y22" i="66"/>
  <c r="Y23" i="66"/>
  <c r="Y24" i="66"/>
  <c r="Y25" i="66"/>
  <c r="Y26" i="66"/>
  <c r="Y27" i="66"/>
  <c r="Y28" i="66"/>
  <c r="Y29" i="66"/>
  <c r="Y30" i="66"/>
  <c r="Y4" i="66"/>
  <c r="B242" i="73"/>
  <c r="AA2" i="62" s="1"/>
  <c r="D242" i="73"/>
  <c r="P62" i="119" l="1"/>
  <c r="Q62" i="119"/>
  <c r="CB36" i="126"/>
  <c r="CA36" i="126"/>
  <c r="BZ36" i="126"/>
  <c r="BY36" i="126"/>
  <c r="BY9" i="126"/>
  <c r="BZ9" i="126"/>
  <c r="CA9" i="126"/>
  <c r="CB9" i="126"/>
  <c r="BY10" i="126"/>
  <c r="BZ10" i="126"/>
  <c r="CA10" i="126"/>
  <c r="CB10" i="126"/>
  <c r="BY11" i="126"/>
  <c r="BZ11" i="126"/>
  <c r="CA11" i="126"/>
  <c r="CB11" i="126"/>
  <c r="BY12" i="126"/>
  <c r="BZ12" i="126"/>
  <c r="CA12" i="126"/>
  <c r="CB12" i="126"/>
  <c r="BY13" i="126"/>
  <c r="BZ13" i="126"/>
  <c r="CA13" i="126"/>
  <c r="CB13" i="126"/>
  <c r="BY14" i="126"/>
  <c r="BZ14" i="126"/>
  <c r="CA14" i="126"/>
  <c r="CB14" i="126"/>
  <c r="BY15" i="126"/>
  <c r="BZ15" i="126"/>
  <c r="CA15" i="126"/>
  <c r="CB15" i="126"/>
  <c r="BY16" i="126"/>
  <c r="BZ16" i="126"/>
  <c r="CA16" i="126"/>
  <c r="CB16" i="126"/>
  <c r="BY17" i="126"/>
  <c r="BZ17" i="126"/>
  <c r="CA17" i="126"/>
  <c r="CB17" i="126"/>
  <c r="BY18" i="126"/>
  <c r="BZ18" i="126"/>
  <c r="CA18" i="126"/>
  <c r="CB18" i="126"/>
  <c r="BY19" i="126"/>
  <c r="BZ19" i="126"/>
  <c r="CA19" i="126"/>
  <c r="CB19" i="126"/>
  <c r="BY20" i="126"/>
  <c r="BZ20" i="126"/>
  <c r="CA20" i="126"/>
  <c r="CB20" i="126"/>
  <c r="BY21" i="126"/>
  <c r="BZ21" i="126"/>
  <c r="CA21" i="126"/>
  <c r="CB21" i="126"/>
  <c r="BY22" i="126"/>
  <c r="BZ22" i="126"/>
  <c r="CA22" i="126"/>
  <c r="CB22" i="126"/>
  <c r="BY23" i="126"/>
  <c r="BZ23" i="126"/>
  <c r="CA23" i="126"/>
  <c r="CB23" i="126"/>
  <c r="BY24" i="126"/>
  <c r="BZ24" i="126"/>
  <c r="CA24" i="126"/>
  <c r="CB24" i="126"/>
  <c r="BY25" i="126"/>
  <c r="BZ25" i="126"/>
  <c r="CA25" i="126"/>
  <c r="CB25" i="126"/>
  <c r="BY26" i="126"/>
  <c r="BZ26" i="126"/>
  <c r="CA26" i="126"/>
  <c r="CB26" i="126"/>
  <c r="BY27" i="126"/>
  <c r="BZ27" i="126"/>
  <c r="CA27" i="126"/>
  <c r="CB27" i="126"/>
  <c r="BY28" i="126"/>
  <c r="BZ28" i="126"/>
  <c r="CA28" i="126"/>
  <c r="CB28" i="126"/>
  <c r="BY29" i="126"/>
  <c r="BZ29" i="126"/>
  <c r="CA29" i="126"/>
  <c r="CB29" i="126"/>
  <c r="BY30" i="126"/>
  <c r="BZ30" i="126"/>
  <c r="CA30" i="126"/>
  <c r="CB30" i="126"/>
  <c r="BY31" i="126"/>
  <c r="BZ31" i="126"/>
  <c r="CA31" i="126"/>
  <c r="CB31" i="126"/>
  <c r="BY32" i="126"/>
  <c r="BZ32" i="126"/>
  <c r="CA32" i="126"/>
  <c r="CB32" i="126"/>
  <c r="BY33" i="126"/>
  <c r="BZ33" i="126"/>
  <c r="CA33" i="126"/>
  <c r="CB33" i="126"/>
  <c r="BY34" i="126"/>
  <c r="BZ34" i="126"/>
  <c r="CA34" i="126"/>
  <c r="CB34" i="126"/>
  <c r="BZ8" i="126"/>
  <c r="CA8" i="126"/>
  <c r="CB8" i="126"/>
  <c r="BY8" i="126"/>
  <c r="E34" i="121" l="1"/>
  <c r="E36" i="121" s="1"/>
  <c r="S99" i="112" l="1"/>
  <c r="J18" i="141" l="1"/>
  <c r="BR36" i="126" l="1"/>
  <c r="BQ36" i="126"/>
  <c r="BP36" i="126"/>
  <c r="BO36" i="126"/>
  <c r="BP8" i="126"/>
  <c r="BQ8" i="126"/>
  <c r="BR8" i="126"/>
  <c r="BP9" i="126"/>
  <c r="BQ9" i="126"/>
  <c r="BR9" i="126"/>
  <c r="BP10" i="126"/>
  <c r="BQ10" i="126"/>
  <c r="BR10" i="126"/>
  <c r="BP11" i="126"/>
  <c r="BQ11" i="126"/>
  <c r="BR11" i="126"/>
  <c r="BP12" i="126"/>
  <c r="BQ12" i="126"/>
  <c r="BR12" i="126"/>
  <c r="BP13" i="126"/>
  <c r="BQ13" i="126"/>
  <c r="BR13" i="126"/>
  <c r="BP14" i="126"/>
  <c r="BQ14" i="126"/>
  <c r="BR14" i="126"/>
  <c r="BP15" i="126"/>
  <c r="BQ15" i="126"/>
  <c r="BR15" i="126"/>
  <c r="BP16" i="126"/>
  <c r="BQ16" i="126"/>
  <c r="BR16" i="126"/>
  <c r="BP17" i="126"/>
  <c r="BQ17" i="126"/>
  <c r="BR17" i="126"/>
  <c r="BP18" i="126"/>
  <c r="BQ18" i="126"/>
  <c r="BR18" i="126"/>
  <c r="BP19" i="126"/>
  <c r="BQ19" i="126"/>
  <c r="BR19" i="126"/>
  <c r="BP20" i="126"/>
  <c r="BQ20" i="126"/>
  <c r="BR20" i="126"/>
  <c r="BP21" i="126"/>
  <c r="BQ21" i="126"/>
  <c r="BR21" i="126"/>
  <c r="BP22" i="126"/>
  <c r="BQ22" i="126"/>
  <c r="BR22" i="126"/>
  <c r="BP23" i="126"/>
  <c r="BQ23" i="126"/>
  <c r="BR23" i="126"/>
  <c r="BP24" i="126"/>
  <c r="BQ24" i="126"/>
  <c r="BR24" i="126"/>
  <c r="BP25" i="126"/>
  <c r="BQ25" i="126"/>
  <c r="BR25" i="126"/>
  <c r="BP26" i="126"/>
  <c r="BQ26" i="126"/>
  <c r="BR26" i="126"/>
  <c r="BP27" i="126"/>
  <c r="BQ27" i="126"/>
  <c r="BR27" i="126"/>
  <c r="BP28" i="126"/>
  <c r="BQ28" i="126"/>
  <c r="BR28" i="126"/>
  <c r="BP29" i="126"/>
  <c r="BQ29" i="126"/>
  <c r="BR29" i="126"/>
  <c r="BP30" i="126"/>
  <c r="BQ30" i="126"/>
  <c r="BR30" i="126"/>
  <c r="BP31" i="126"/>
  <c r="BQ31" i="126"/>
  <c r="BR31" i="126"/>
  <c r="BP32" i="126"/>
  <c r="BQ32" i="126"/>
  <c r="BR32" i="126"/>
  <c r="BP33" i="126"/>
  <c r="BQ33" i="126"/>
  <c r="BR33" i="126"/>
  <c r="BP34" i="126"/>
  <c r="BQ34" i="126"/>
  <c r="BR34" i="126"/>
  <c r="BO9" i="126"/>
  <c r="BO10" i="126"/>
  <c r="BO11" i="126"/>
  <c r="BO12" i="126"/>
  <c r="BO13" i="126"/>
  <c r="BO14" i="126"/>
  <c r="BO15" i="126"/>
  <c r="BO16" i="126"/>
  <c r="BO17" i="126"/>
  <c r="BO18" i="126"/>
  <c r="BO19" i="126"/>
  <c r="BO20" i="126"/>
  <c r="BO21" i="126"/>
  <c r="BO22" i="126"/>
  <c r="BO23" i="126"/>
  <c r="BO24" i="126"/>
  <c r="BO25" i="126"/>
  <c r="BO26" i="126"/>
  <c r="BO27" i="126"/>
  <c r="BO28" i="126"/>
  <c r="BO29" i="126"/>
  <c r="BO30" i="126"/>
  <c r="BO31" i="126"/>
  <c r="BO32" i="126"/>
  <c r="BO33" i="126"/>
  <c r="BO34" i="126"/>
  <c r="BO8" i="126"/>
  <c r="Z6" i="111" l="1"/>
  <c r="Z7" i="111"/>
  <c r="Z8" i="111"/>
  <c r="Z9" i="111"/>
  <c r="Z10" i="111"/>
  <c r="Z11" i="111"/>
  <c r="Z12" i="111"/>
  <c r="Z13" i="111"/>
  <c r="Z14" i="111"/>
  <c r="Z15" i="111"/>
  <c r="Z16" i="111"/>
  <c r="Z17" i="111"/>
  <c r="Z18" i="111"/>
  <c r="Z19" i="111"/>
  <c r="Z20" i="111"/>
  <c r="Z21" i="111"/>
  <c r="Z22" i="111"/>
  <c r="Z23" i="111"/>
  <c r="Z25" i="111"/>
  <c r="Z26" i="111"/>
  <c r="Z27" i="111"/>
  <c r="Z28" i="111"/>
  <c r="Z29" i="111"/>
  <c r="Z30" i="111"/>
  <c r="Z31" i="111"/>
  <c r="Z33" i="111"/>
  <c r="Z5" i="111"/>
  <c r="Z24" i="111" l="1"/>
  <c r="Z32" i="111" l="1"/>
  <c r="FJ28" i="139" l="1"/>
  <c r="FL28" i="139"/>
  <c r="FN28" i="139"/>
  <c r="FP28" i="139"/>
  <c r="FR28" i="139"/>
  <c r="FU28" i="139" s="1"/>
  <c r="FT28" i="139"/>
  <c r="FZ28" i="139"/>
  <c r="GB28" i="139"/>
  <c r="GD28" i="139"/>
  <c r="GF28" i="139"/>
  <c r="GH28" i="139"/>
  <c r="GJ28" i="139"/>
  <c r="GT28" i="139"/>
  <c r="GV28" i="139"/>
  <c r="GX28" i="139"/>
  <c r="GZ28" i="139"/>
  <c r="HB28" i="139"/>
  <c r="HD28" i="139"/>
  <c r="BF36" i="126"/>
  <c r="BG36" i="126"/>
  <c r="BH36" i="126"/>
  <c r="BE36" i="126"/>
  <c r="BE9" i="126"/>
  <c r="BF9" i="126"/>
  <c r="BG9" i="126"/>
  <c r="BH9" i="126"/>
  <c r="BE10" i="126"/>
  <c r="BF10" i="126"/>
  <c r="BG10" i="126"/>
  <c r="BH10" i="126"/>
  <c r="BE11" i="126"/>
  <c r="BF11" i="126"/>
  <c r="BG11" i="126"/>
  <c r="BH11" i="126"/>
  <c r="BE12" i="126"/>
  <c r="BF12" i="126"/>
  <c r="BG12" i="126"/>
  <c r="BH12" i="126"/>
  <c r="BE13" i="126"/>
  <c r="BF13" i="126"/>
  <c r="BG13" i="126"/>
  <c r="BH13" i="126"/>
  <c r="BE14" i="126"/>
  <c r="BF14" i="126"/>
  <c r="BG14" i="126"/>
  <c r="BH14" i="126"/>
  <c r="BE15" i="126"/>
  <c r="BF15" i="126"/>
  <c r="BG15" i="126"/>
  <c r="BH15" i="126"/>
  <c r="BE16" i="126"/>
  <c r="BF16" i="126"/>
  <c r="BG16" i="126"/>
  <c r="BH16" i="126"/>
  <c r="BE17" i="126"/>
  <c r="BF17" i="126"/>
  <c r="BG17" i="126"/>
  <c r="BH17" i="126"/>
  <c r="BE18" i="126"/>
  <c r="BF18" i="126"/>
  <c r="BG18" i="126"/>
  <c r="BH18" i="126"/>
  <c r="BE19" i="126"/>
  <c r="BF19" i="126"/>
  <c r="BG19" i="126"/>
  <c r="BH19" i="126"/>
  <c r="BE20" i="126"/>
  <c r="BF20" i="126"/>
  <c r="BG20" i="126"/>
  <c r="BH20" i="126"/>
  <c r="BE21" i="126"/>
  <c r="BF21" i="126"/>
  <c r="BG21" i="126"/>
  <c r="BH21" i="126"/>
  <c r="BE22" i="126"/>
  <c r="BF22" i="126"/>
  <c r="BG22" i="126"/>
  <c r="BH22" i="126"/>
  <c r="BE23" i="126"/>
  <c r="BF23" i="126"/>
  <c r="BG23" i="126"/>
  <c r="BH23" i="126"/>
  <c r="BE24" i="126"/>
  <c r="BF24" i="126"/>
  <c r="BG24" i="126"/>
  <c r="BH24" i="126"/>
  <c r="BE25" i="126"/>
  <c r="BF25" i="126"/>
  <c r="BG25" i="126"/>
  <c r="BH25" i="126"/>
  <c r="BE26" i="126"/>
  <c r="BF26" i="126"/>
  <c r="BG26" i="126"/>
  <c r="BH26" i="126"/>
  <c r="BE27" i="126"/>
  <c r="BF27" i="126"/>
  <c r="BG27" i="126"/>
  <c r="BH27" i="126"/>
  <c r="BE28" i="126"/>
  <c r="BF28" i="126"/>
  <c r="BG28" i="126"/>
  <c r="BH28" i="126"/>
  <c r="BE29" i="126"/>
  <c r="BF29" i="126"/>
  <c r="BG29" i="126"/>
  <c r="BH29" i="126"/>
  <c r="BE30" i="126"/>
  <c r="BF30" i="126"/>
  <c r="BG30" i="126"/>
  <c r="BH30" i="126"/>
  <c r="BE31" i="126"/>
  <c r="BF31" i="126"/>
  <c r="BG31" i="126"/>
  <c r="BH31" i="126"/>
  <c r="BE32" i="126"/>
  <c r="BF32" i="126"/>
  <c r="BG32" i="126"/>
  <c r="BH32" i="126"/>
  <c r="BE33" i="126"/>
  <c r="BF33" i="126"/>
  <c r="BG33" i="126"/>
  <c r="BH33" i="126"/>
  <c r="BE34" i="126"/>
  <c r="BF34" i="126"/>
  <c r="BG34" i="126"/>
  <c r="BH34" i="126"/>
  <c r="BF8" i="126"/>
  <c r="BG8" i="126"/>
  <c r="BH8" i="126"/>
  <c r="BE8" i="126"/>
  <c r="B29" i="140"/>
  <c r="C29" i="140"/>
  <c r="GK28" i="139" l="1"/>
  <c r="GA28" i="139"/>
  <c r="GW28" i="139"/>
  <c r="HE28" i="139"/>
  <c r="GG28" i="139"/>
  <c r="FM28" i="139"/>
  <c r="GY28" i="139"/>
  <c r="HA28" i="139"/>
  <c r="GC28" i="139"/>
  <c r="FS28" i="139"/>
  <c r="GU28" i="139"/>
  <c r="FO28" i="139"/>
  <c r="FQ28" i="139"/>
  <c r="GI28" i="139"/>
  <c r="HC28" i="139"/>
  <c r="GE28" i="139"/>
  <c r="FK28" i="139"/>
  <c r="CU32" i="66" l="1"/>
  <c r="H33" i="122" l="1"/>
  <c r="G33" i="122"/>
  <c r="K34" i="121" l="1"/>
  <c r="J34" i="121"/>
  <c r="D30" i="139" l="1"/>
  <c r="AV36" i="126"/>
  <c r="AW36" i="126"/>
  <c r="AX36" i="126"/>
  <c r="AU36" i="126"/>
  <c r="AU9" i="126"/>
  <c r="AV9" i="126"/>
  <c r="AW9" i="126"/>
  <c r="AX9" i="126"/>
  <c r="AU10" i="126"/>
  <c r="AV10" i="126"/>
  <c r="AW10" i="126"/>
  <c r="AX10" i="126"/>
  <c r="AU11" i="126"/>
  <c r="AV11" i="126"/>
  <c r="AW11" i="126"/>
  <c r="AX11" i="126"/>
  <c r="AU12" i="126"/>
  <c r="AV12" i="126"/>
  <c r="AW12" i="126"/>
  <c r="AX12" i="126"/>
  <c r="AU13" i="126"/>
  <c r="AV13" i="126"/>
  <c r="AW13" i="126"/>
  <c r="AX13" i="126"/>
  <c r="AU14" i="126"/>
  <c r="AV14" i="126"/>
  <c r="AW14" i="126"/>
  <c r="AX14" i="126"/>
  <c r="AU15" i="126"/>
  <c r="AV15" i="126"/>
  <c r="AW15" i="126"/>
  <c r="AX15" i="126"/>
  <c r="AU16" i="126"/>
  <c r="AV16" i="126"/>
  <c r="AW16" i="126"/>
  <c r="AX16" i="126"/>
  <c r="AU17" i="126"/>
  <c r="AV17" i="126"/>
  <c r="AW17" i="126"/>
  <c r="AX17" i="126"/>
  <c r="AU18" i="126"/>
  <c r="AV18" i="126"/>
  <c r="AW18" i="126"/>
  <c r="AX18" i="126"/>
  <c r="AU19" i="126"/>
  <c r="AV19" i="126"/>
  <c r="AW19" i="126"/>
  <c r="AX19" i="126"/>
  <c r="AU20" i="126"/>
  <c r="AV20" i="126"/>
  <c r="AW20" i="126"/>
  <c r="AX20" i="126"/>
  <c r="AU21" i="126"/>
  <c r="AV21" i="126"/>
  <c r="AW21" i="126"/>
  <c r="AX21" i="126"/>
  <c r="AU22" i="126"/>
  <c r="AV22" i="126"/>
  <c r="AW22" i="126"/>
  <c r="AX22" i="126"/>
  <c r="AU23" i="126"/>
  <c r="AV23" i="126"/>
  <c r="AW23" i="126"/>
  <c r="AX23" i="126"/>
  <c r="AU24" i="126"/>
  <c r="AV24" i="126"/>
  <c r="AW24" i="126"/>
  <c r="AX24" i="126"/>
  <c r="AU25" i="126"/>
  <c r="AV25" i="126"/>
  <c r="AW25" i="126"/>
  <c r="AX25" i="126"/>
  <c r="AU26" i="126"/>
  <c r="AV26" i="126"/>
  <c r="AW26" i="126"/>
  <c r="AX26" i="126"/>
  <c r="AU27" i="126"/>
  <c r="AV27" i="126"/>
  <c r="AW27" i="126"/>
  <c r="AX27" i="126"/>
  <c r="AU28" i="126"/>
  <c r="AV28" i="126"/>
  <c r="AW28" i="126"/>
  <c r="AX28" i="126"/>
  <c r="AU29" i="126"/>
  <c r="AV29" i="126"/>
  <c r="AW29" i="126"/>
  <c r="AX29" i="126"/>
  <c r="AU30" i="126"/>
  <c r="AV30" i="126"/>
  <c r="AW30" i="126"/>
  <c r="AX30" i="126"/>
  <c r="AU31" i="126"/>
  <c r="AV31" i="126"/>
  <c r="AW31" i="126"/>
  <c r="AX31" i="126"/>
  <c r="AU32" i="126"/>
  <c r="AV32" i="126"/>
  <c r="AW32" i="126"/>
  <c r="AX32" i="126"/>
  <c r="AU33" i="126"/>
  <c r="AV33" i="126"/>
  <c r="AW33" i="126"/>
  <c r="AX33" i="126"/>
  <c r="AU34" i="126"/>
  <c r="AV34" i="126"/>
  <c r="AW34" i="126"/>
  <c r="AX34" i="126"/>
  <c r="AV8" i="126"/>
  <c r="AW8" i="126"/>
  <c r="AX8" i="126"/>
  <c r="AU8" i="126"/>
  <c r="AL36" i="126"/>
  <c r="AM36" i="126"/>
  <c r="AN36" i="126"/>
  <c r="AK36" i="126"/>
  <c r="AK9" i="126"/>
  <c r="AL9" i="126"/>
  <c r="AM9" i="126"/>
  <c r="AN9" i="126"/>
  <c r="AK10" i="126"/>
  <c r="AL10" i="126"/>
  <c r="AM10" i="126"/>
  <c r="AN10" i="126"/>
  <c r="AK11" i="126"/>
  <c r="AL11" i="126"/>
  <c r="AM11" i="126"/>
  <c r="AN11" i="126"/>
  <c r="AK12" i="126"/>
  <c r="AL12" i="126"/>
  <c r="AM12" i="126"/>
  <c r="AN12" i="126"/>
  <c r="AK13" i="126"/>
  <c r="AL13" i="126"/>
  <c r="AM13" i="126"/>
  <c r="AN13" i="126"/>
  <c r="AK14" i="126"/>
  <c r="AL14" i="126"/>
  <c r="AM14" i="126"/>
  <c r="AN14" i="126"/>
  <c r="AK15" i="126"/>
  <c r="AL15" i="126"/>
  <c r="AM15" i="126"/>
  <c r="AN15" i="126"/>
  <c r="AK16" i="126"/>
  <c r="AL16" i="126"/>
  <c r="AM16" i="126"/>
  <c r="AN16" i="126"/>
  <c r="AK17" i="126"/>
  <c r="AL17" i="126"/>
  <c r="AM17" i="126"/>
  <c r="AN17" i="126"/>
  <c r="AK18" i="126"/>
  <c r="AL18" i="126"/>
  <c r="AM18" i="126"/>
  <c r="AN18" i="126"/>
  <c r="AK19" i="126"/>
  <c r="AL19" i="126"/>
  <c r="AM19" i="126"/>
  <c r="AN19" i="126"/>
  <c r="AK20" i="126"/>
  <c r="AL20" i="126"/>
  <c r="AM20" i="126"/>
  <c r="AN20" i="126"/>
  <c r="AK21" i="126"/>
  <c r="AL21" i="126"/>
  <c r="AM21" i="126"/>
  <c r="AN21" i="126"/>
  <c r="AK22" i="126"/>
  <c r="AL22" i="126"/>
  <c r="AM22" i="126"/>
  <c r="AN22" i="126"/>
  <c r="AK23" i="126"/>
  <c r="AL23" i="126"/>
  <c r="AM23" i="126"/>
  <c r="AN23" i="126"/>
  <c r="AK24" i="126"/>
  <c r="AL24" i="126"/>
  <c r="AM24" i="126"/>
  <c r="AN24" i="126"/>
  <c r="AK25" i="126"/>
  <c r="AL25" i="126"/>
  <c r="AM25" i="126"/>
  <c r="AN25" i="126"/>
  <c r="AK26" i="126"/>
  <c r="AL26" i="126"/>
  <c r="AM26" i="126"/>
  <c r="AN26" i="126"/>
  <c r="AK27" i="126"/>
  <c r="AL27" i="126"/>
  <c r="AM27" i="126"/>
  <c r="AN27" i="126"/>
  <c r="AK28" i="126"/>
  <c r="AL28" i="126"/>
  <c r="AM28" i="126"/>
  <c r="AN28" i="126"/>
  <c r="AK29" i="126"/>
  <c r="AL29" i="126"/>
  <c r="AM29" i="126"/>
  <c r="AN29" i="126"/>
  <c r="AK30" i="126"/>
  <c r="AL30" i="126"/>
  <c r="AM30" i="126"/>
  <c r="AN30" i="126"/>
  <c r="AK31" i="126"/>
  <c r="AL31" i="126"/>
  <c r="AM31" i="126"/>
  <c r="AN31" i="126"/>
  <c r="AK32" i="126"/>
  <c r="AL32" i="126"/>
  <c r="AM32" i="126"/>
  <c r="AN32" i="126"/>
  <c r="AK33" i="126"/>
  <c r="AL33" i="126"/>
  <c r="AM33" i="126"/>
  <c r="AN33" i="126"/>
  <c r="AK34" i="126"/>
  <c r="AL34" i="126"/>
  <c r="AM34" i="126"/>
  <c r="AN34" i="126"/>
  <c r="AL8" i="126"/>
  <c r="AM8" i="126"/>
  <c r="AN8" i="126"/>
  <c r="AK8" i="126"/>
  <c r="F6" i="123"/>
  <c r="F7" i="123"/>
  <c r="F8" i="123"/>
  <c r="F9" i="123"/>
  <c r="F10" i="123"/>
  <c r="F11" i="123"/>
  <c r="F12" i="123"/>
  <c r="F13" i="123"/>
  <c r="F14" i="123"/>
  <c r="F15" i="123"/>
  <c r="F16" i="123"/>
  <c r="F17" i="123"/>
  <c r="F18" i="123"/>
  <c r="F19" i="123"/>
  <c r="F20" i="123"/>
  <c r="F21" i="123"/>
  <c r="F22" i="123"/>
  <c r="F23" i="123"/>
  <c r="F24" i="123"/>
  <c r="F25" i="123"/>
  <c r="F26" i="123"/>
  <c r="F27" i="123"/>
  <c r="F28" i="123"/>
  <c r="F29" i="123"/>
  <c r="F30" i="123"/>
  <c r="F31" i="123"/>
  <c r="F5" i="123"/>
  <c r="G20" i="123" l="1"/>
  <c r="G8" i="123"/>
  <c r="G31" i="123"/>
  <c r="G27" i="123"/>
  <c r="G23" i="123"/>
  <c r="G19" i="123"/>
  <c r="G15" i="123"/>
  <c r="G11" i="123"/>
  <c r="G7" i="123"/>
  <c r="G24" i="123"/>
  <c r="G16" i="123"/>
  <c r="G30" i="123"/>
  <c r="G26" i="123"/>
  <c r="G22" i="123"/>
  <c r="G18" i="123"/>
  <c r="G14" i="123"/>
  <c r="G10" i="123"/>
  <c r="G6" i="123"/>
  <c r="G28" i="123"/>
  <c r="G12" i="123"/>
  <c r="G29" i="123"/>
  <c r="G25" i="123"/>
  <c r="G21" i="123"/>
  <c r="G17" i="123"/>
  <c r="G13" i="123"/>
  <c r="G9" i="123"/>
  <c r="AO5" i="66"/>
  <c r="AO6" i="66"/>
  <c r="AO7" i="66"/>
  <c r="AO8" i="66"/>
  <c r="AO9" i="66"/>
  <c r="AO10" i="66"/>
  <c r="AO11" i="66"/>
  <c r="AO12" i="66"/>
  <c r="AO13" i="66"/>
  <c r="AO14" i="66"/>
  <c r="AO15" i="66"/>
  <c r="AO16" i="66"/>
  <c r="AO17" i="66"/>
  <c r="AO18" i="66"/>
  <c r="AO19" i="66"/>
  <c r="AO20" i="66"/>
  <c r="AO21" i="66"/>
  <c r="AO22" i="66"/>
  <c r="AO23" i="66"/>
  <c r="AO24" i="66"/>
  <c r="AO25" i="66"/>
  <c r="AO26" i="66"/>
  <c r="AO27" i="66"/>
  <c r="AO28" i="66"/>
  <c r="AO29" i="66"/>
  <c r="AO30" i="66"/>
  <c r="AQ30" i="66" s="1"/>
  <c r="AO4" i="66"/>
  <c r="AO31" i="66" l="1"/>
  <c r="E23" i="141"/>
  <c r="X8" i="66" s="1"/>
  <c r="E21" i="141"/>
  <c r="X26" i="66" s="1"/>
  <c r="E20" i="141"/>
  <c r="X28" i="66" s="1"/>
  <c r="E19" i="141"/>
  <c r="X17" i="66" s="1"/>
  <c r="E17" i="141"/>
  <c r="X15" i="66" s="1"/>
  <c r="E16" i="141"/>
  <c r="X7" i="66" s="1"/>
  <c r="E14" i="141"/>
  <c r="X22" i="66" s="1"/>
  <c r="E12" i="141"/>
  <c r="X14" i="66" s="1"/>
  <c r="E10" i="141"/>
  <c r="X24" i="66" s="1"/>
  <c r="E8" i="141"/>
  <c r="X13" i="66" s="1"/>
  <c r="E4" i="141"/>
  <c r="X11" i="66" s="1"/>
  <c r="C30" i="141" l="1"/>
  <c r="D30" i="141"/>
  <c r="E5" i="141"/>
  <c r="X5" i="66" s="1"/>
  <c r="E7" i="141"/>
  <c r="X12" i="66" s="1"/>
  <c r="E24" i="141"/>
  <c r="X9" i="66" s="1"/>
  <c r="E26" i="141"/>
  <c r="X30" i="66" s="1"/>
  <c r="E28" i="141"/>
  <c r="X27" i="66" s="1"/>
  <c r="E3" i="141"/>
  <c r="X4" i="66" s="1"/>
  <c r="E9" i="141"/>
  <c r="X20" i="66" s="1"/>
  <c r="E11" i="141"/>
  <c r="X21" i="66" s="1"/>
  <c r="E18" i="141"/>
  <c r="X16" i="66" s="1"/>
  <c r="E25" i="141"/>
  <c r="X29" i="66" s="1"/>
  <c r="E27" i="141"/>
  <c r="X19" i="66" s="1"/>
  <c r="E6" i="141"/>
  <c r="X6" i="66" s="1"/>
  <c r="E13" i="141"/>
  <c r="X25" i="66" s="1"/>
  <c r="E15" i="141"/>
  <c r="X23" i="66" s="1"/>
  <c r="E22" i="141"/>
  <c r="X18" i="66" s="1"/>
  <c r="E29" i="141"/>
  <c r="X10" i="66" s="1"/>
  <c r="I30" i="141"/>
  <c r="J5" i="141" l="1"/>
  <c r="AB5" i="66" s="1"/>
  <c r="F8" i="122"/>
  <c r="J9" i="141"/>
  <c r="AB20" i="66" s="1"/>
  <c r="F12" i="122"/>
  <c r="J21" i="141"/>
  <c r="AB26" i="66" s="1"/>
  <c r="F24" i="122"/>
  <c r="J29" i="141"/>
  <c r="AB10" i="66" s="1"/>
  <c r="F32" i="122"/>
  <c r="J6" i="141"/>
  <c r="AB6" i="66" s="1"/>
  <c r="F9" i="122"/>
  <c r="AB16" i="66"/>
  <c r="F21" i="122"/>
  <c r="J26" i="141"/>
  <c r="AB30" i="66" s="1"/>
  <c r="F29" i="122"/>
  <c r="J11" i="141"/>
  <c r="AB21" i="66" s="1"/>
  <c r="F14" i="122"/>
  <c r="J13" i="141"/>
  <c r="AB25" i="66" s="1"/>
  <c r="F16" i="122"/>
  <c r="J17" i="141"/>
  <c r="AB15" i="66" s="1"/>
  <c r="F20" i="122"/>
  <c r="J25" i="141"/>
  <c r="AB29" i="66" s="1"/>
  <c r="F28" i="122"/>
  <c r="J10" i="141"/>
  <c r="AB24" i="66" s="1"/>
  <c r="F13" i="122"/>
  <c r="J14" i="141"/>
  <c r="AB22" i="66" s="1"/>
  <c r="F17" i="122"/>
  <c r="J22" i="141"/>
  <c r="AB18" i="66" s="1"/>
  <c r="F25" i="122"/>
  <c r="J3" i="141"/>
  <c r="AB4" i="66" s="1"/>
  <c r="F6" i="122"/>
  <c r="J7" i="141"/>
  <c r="AB12" i="66" s="1"/>
  <c r="F10" i="122"/>
  <c r="J15" i="141"/>
  <c r="AB23" i="66" s="1"/>
  <c r="F18" i="122"/>
  <c r="J19" i="141"/>
  <c r="AB17" i="66" s="1"/>
  <c r="F22" i="122"/>
  <c r="J23" i="141"/>
  <c r="AB8" i="66" s="1"/>
  <c r="F26" i="122"/>
  <c r="J27" i="141"/>
  <c r="AB19" i="66" s="1"/>
  <c r="F30" i="122"/>
  <c r="J4" i="141"/>
  <c r="AB11" i="66" s="1"/>
  <c r="F7" i="122"/>
  <c r="J8" i="141"/>
  <c r="AB13" i="66" s="1"/>
  <c r="F11" i="122"/>
  <c r="J12" i="141"/>
  <c r="AB14" i="66" s="1"/>
  <c r="F15" i="122"/>
  <c r="J16" i="141"/>
  <c r="AB7" i="66" s="1"/>
  <c r="F19" i="122"/>
  <c r="J20" i="141"/>
  <c r="AB28" i="66" s="1"/>
  <c r="F23" i="122"/>
  <c r="J24" i="141"/>
  <c r="AB9" i="66" s="1"/>
  <c r="F27" i="122"/>
  <c r="J28" i="141"/>
  <c r="AB27" i="66" s="1"/>
  <c r="F31" i="122"/>
  <c r="E30" i="141"/>
  <c r="X31" i="66" s="1"/>
  <c r="X32" i="66" s="1"/>
  <c r="H30" i="141"/>
  <c r="F30" i="141"/>
  <c r="AO32" i="66" s="1"/>
  <c r="J30" i="141" l="1"/>
  <c r="AB31" i="66" s="1"/>
  <c r="AB32" i="66" s="1"/>
  <c r="F36" i="122"/>
  <c r="H8" i="121"/>
  <c r="H9" i="121"/>
  <c r="H10" i="121"/>
  <c r="H11" i="121"/>
  <c r="H12" i="121"/>
  <c r="H13" i="121"/>
  <c r="H14" i="121"/>
  <c r="H15" i="121"/>
  <c r="H16" i="121"/>
  <c r="H17" i="121"/>
  <c r="H18" i="121"/>
  <c r="H19" i="121"/>
  <c r="H20" i="121"/>
  <c r="H21" i="121"/>
  <c r="H22" i="121"/>
  <c r="H23" i="121"/>
  <c r="H24" i="121"/>
  <c r="H25" i="121"/>
  <c r="H26" i="121"/>
  <c r="H27" i="121"/>
  <c r="H28" i="121"/>
  <c r="H29" i="121"/>
  <c r="H30" i="121"/>
  <c r="H31" i="121"/>
  <c r="H32" i="121"/>
  <c r="H33" i="121"/>
  <c r="H7" i="121"/>
  <c r="C4" i="130"/>
  <c r="C5" i="130"/>
  <c r="C6" i="130"/>
  <c r="C7" i="130"/>
  <c r="C8" i="130"/>
  <c r="C9" i="130"/>
  <c r="C10" i="130"/>
  <c r="C11" i="130"/>
  <c r="C12" i="130"/>
  <c r="C13" i="130"/>
  <c r="C14" i="130"/>
  <c r="C15" i="130"/>
  <c r="C16" i="130"/>
  <c r="C17" i="130"/>
  <c r="C18" i="130"/>
  <c r="C19" i="130"/>
  <c r="C20" i="130"/>
  <c r="C21" i="130"/>
  <c r="C22" i="130"/>
  <c r="C23" i="130"/>
  <c r="C24" i="130"/>
  <c r="C25" i="130"/>
  <c r="C26" i="130"/>
  <c r="C27" i="130"/>
  <c r="C28" i="130"/>
  <c r="C29" i="130"/>
  <c r="C3" i="130"/>
  <c r="G30" i="141" l="1"/>
  <c r="F35" i="123" s="1"/>
  <c r="B30" i="141" l="1"/>
  <c r="H37" i="121" s="1"/>
  <c r="BB32" i="66" l="1"/>
  <c r="AZ34" i="66" s="1"/>
  <c r="O34" i="128" l="1"/>
  <c r="O35" i="128"/>
  <c r="N5" i="128"/>
  <c r="N6" i="128"/>
  <c r="N9" i="128"/>
  <c r="N7" i="128"/>
  <c r="N10" i="128"/>
  <c r="N11" i="128"/>
  <c r="N8" i="128"/>
  <c r="N13" i="128"/>
  <c r="N12" i="128"/>
  <c r="N17" i="128"/>
  <c r="N14" i="128"/>
  <c r="N15" i="128"/>
  <c r="N16" i="128"/>
  <c r="N18" i="128"/>
  <c r="N21" i="128"/>
  <c r="N19" i="128"/>
  <c r="N25" i="128"/>
  <c r="N20" i="128"/>
  <c r="N23" i="128"/>
  <c r="N22" i="128"/>
  <c r="N24" i="128"/>
  <c r="N26" i="128"/>
  <c r="N27" i="128"/>
  <c r="N28" i="128"/>
  <c r="N29" i="128"/>
  <c r="N30" i="128"/>
  <c r="N31" i="128"/>
  <c r="N4" i="128"/>
  <c r="Q5" i="127"/>
  <c r="Q7" i="127"/>
  <c r="Q8" i="127"/>
  <c r="Q6" i="127"/>
  <c r="Q10" i="127"/>
  <c r="Q11" i="127"/>
  <c r="Q9" i="127"/>
  <c r="Q13" i="127"/>
  <c r="Q12" i="127"/>
  <c r="Q14" i="127"/>
  <c r="Q15" i="127"/>
  <c r="Q16" i="127"/>
  <c r="Q17" i="127"/>
  <c r="Q18" i="127"/>
  <c r="Q19" i="127"/>
  <c r="Q20" i="127"/>
  <c r="Q23" i="127"/>
  <c r="Q21" i="127"/>
  <c r="Q22" i="127"/>
  <c r="Q25" i="127"/>
  <c r="Q24" i="127"/>
  <c r="Q26" i="127"/>
  <c r="Q29" i="127"/>
  <c r="Q27" i="127"/>
  <c r="Q28" i="127"/>
  <c r="Q30" i="127"/>
  <c r="Q4" i="127"/>
  <c r="FE4" i="138" l="1"/>
  <c r="FE5" i="138"/>
  <c r="FE6" i="138"/>
  <c r="FE7" i="138"/>
  <c r="FE8" i="138"/>
  <c r="FE9" i="138"/>
  <c r="FE10" i="138"/>
  <c r="FE11" i="138"/>
  <c r="FE12" i="138"/>
  <c r="FE13" i="138"/>
  <c r="FE14" i="138"/>
  <c r="FE15" i="138"/>
  <c r="FE16" i="138"/>
  <c r="FE17" i="138"/>
  <c r="FE18" i="138"/>
  <c r="FE19" i="138"/>
  <c r="FE20" i="138"/>
  <c r="FE21" i="138"/>
  <c r="FE22" i="138"/>
  <c r="FE23" i="138"/>
  <c r="FE24" i="138"/>
  <c r="FE25" i="138"/>
  <c r="FE26" i="138"/>
  <c r="FE27" i="138"/>
  <c r="FE28" i="138"/>
  <c r="FE29" i="138"/>
  <c r="FE3" i="138"/>
  <c r="E33" i="138"/>
  <c r="B33" i="138"/>
  <c r="AY33" i="135"/>
  <c r="AZ33" i="135"/>
  <c r="B30" i="133"/>
  <c r="B5" i="133"/>
  <c r="B6" i="133"/>
  <c r="B7" i="133"/>
  <c r="B8" i="133"/>
  <c r="B9" i="133"/>
  <c r="B10" i="133"/>
  <c r="B11" i="133"/>
  <c r="B12" i="133"/>
  <c r="B13" i="133"/>
  <c r="B14" i="133"/>
  <c r="B15" i="133"/>
  <c r="B16" i="133"/>
  <c r="B17" i="133"/>
  <c r="B18" i="133"/>
  <c r="B19" i="133"/>
  <c r="B20" i="133"/>
  <c r="B21" i="133"/>
  <c r="B22" i="133"/>
  <c r="B23" i="133"/>
  <c r="B24" i="133"/>
  <c r="B25" i="133"/>
  <c r="B26" i="133"/>
  <c r="B27" i="133"/>
  <c r="B28" i="133"/>
  <c r="B29" i="133"/>
  <c r="F5" i="133"/>
  <c r="F6" i="133"/>
  <c r="F7" i="133"/>
  <c r="F8" i="133"/>
  <c r="F9" i="133"/>
  <c r="F10" i="133"/>
  <c r="F11" i="133"/>
  <c r="F12" i="133"/>
  <c r="F13" i="133"/>
  <c r="F14" i="133"/>
  <c r="F15" i="133"/>
  <c r="F16" i="133"/>
  <c r="F17" i="133"/>
  <c r="F18" i="133"/>
  <c r="F19" i="133"/>
  <c r="F20" i="133"/>
  <c r="F21" i="133"/>
  <c r="F22" i="133"/>
  <c r="F23" i="133"/>
  <c r="F24" i="133"/>
  <c r="F25" i="133"/>
  <c r="F26" i="133"/>
  <c r="F27" i="133"/>
  <c r="F28" i="133"/>
  <c r="F29" i="133"/>
  <c r="F30" i="133"/>
  <c r="J5" i="133"/>
  <c r="J6" i="133"/>
  <c r="J7" i="133"/>
  <c r="J8" i="133"/>
  <c r="J9" i="133"/>
  <c r="J10" i="133"/>
  <c r="J11" i="133"/>
  <c r="J12" i="133"/>
  <c r="J13" i="133"/>
  <c r="J14" i="133"/>
  <c r="J15" i="133"/>
  <c r="J16" i="133"/>
  <c r="J17" i="133"/>
  <c r="J18" i="133"/>
  <c r="J19" i="133"/>
  <c r="J20" i="133"/>
  <c r="J21" i="133"/>
  <c r="J22" i="133"/>
  <c r="J23" i="133"/>
  <c r="J24" i="133"/>
  <c r="J25" i="133"/>
  <c r="J26" i="133"/>
  <c r="J27" i="133"/>
  <c r="J28" i="133"/>
  <c r="J29" i="133"/>
  <c r="J30" i="133"/>
  <c r="N5" i="133"/>
  <c r="N6" i="133"/>
  <c r="N7" i="133"/>
  <c r="N8" i="133"/>
  <c r="N9" i="133"/>
  <c r="N10" i="133"/>
  <c r="N11" i="133"/>
  <c r="N12" i="133"/>
  <c r="N13" i="133"/>
  <c r="N14" i="133"/>
  <c r="N15" i="133"/>
  <c r="N16" i="133"/>
  <c r="N17" i="133"/>
  <c r="N18" i="133"/>
  <c r="N19" i="133"/>
  <c r="N20" i="133"/>
  <c r="N21" i="133"/>
  <c r="N22" i="133"/>
  <c r="N23" i="133"/>
  <c r="N24" i="133"/>
  <c r="N25" i="133"/>
  <c r="N26" i="133"/>
  <c r="N27" i="133"/>
  <c r="N28" i="133"/>
  <c r="N29" i="133"/>
  <c r="N30" i="133"/>
  <c r="R5" i="133"/>
  <c r="R6" i="133"/>
  <c r="R7" i="133"/>
  <c r="R8" i="133"/>
  <c r="R9" i="133"/>
  <c r="R10" i="133"/>
  <c r="R11" i="133"/>
  <c r="R12" i="133"/>
  <c r="R13" i="133"/>
  <c r="R14" i="133"/>
  <c r="R15" i="133"/>
  <c r="R16" i="133"/>
  <c r="R17" i="133"/>
  <c r="R18" i="133"/>
  <c r="R19" i="133"/>
  <c r="R20" i="133"/>
  <c r="R21" i="133"/>
  <c r="R22" i="133"/>
  <c r="R23" i="133"/>
  <c r="R24" i="133"/>
  <c r="R25" i="133"/>
  <c r="R26" i="133"/>
  <c r="R27" i="133"/>
  <c r="R28" i="133"/>
  <c r="R29" i="133"/>
  <c r="R30" i="133"/>
  <c r="V5" i="133"/>
  <c r="V6" i="133"/>
  <c r="V7" i="133"/>
  <c r="V8" i="133"/>
  <c r="V9" i="133"/>
  <c r="V10" i="133"/>
  <c r="V11" i="133"/>
  <c r="V12" i="133"/>
  <c r="V13" i="133"/>
  <c r="V14" i="133"/>
  <c r="V15" i="133"/>
  <c r="V16" i="133"/>
  <c r="V17" i="133"/>
  <c r="V18" i="133"/>
  <c r="V19" i="133"/>
  <c r="V20" i="133"/>
  <c r="V21" i="133"/>
  <c r="V22" i="133"/>
  <c r="V23" i="133"/>
  <c r="V24" i="133"/>
  <c r="V25" i="133"/>
  <c r="V26" i="133"/>
  <c r="V27" i="133"/>
  <c r="V28" i="133"/>
  <c r="V29" i="133"/>
  <c r="V30" i="133"/>
  <c r="Z5" i="133"/>
  <c r="Z6" i="133"/>
  <c r="Z7" i="133"/>
  <c r="Z8" i="133"/>
  <c r="Z9" i="133"/>
  <c r="Z10" i="133"/>
  <c r="Z11" i="133"/>
  <c r="Z12" i="133"/>
  <c r="Z13" i="133"/>
  <c r="Z14" i="133"/>
  <c r="Z15" i="133"/>
  <c r="Z16" i="133"/>
  <c r="Z17" i="133"/>
  <c r="Z18" i="133"/>
  <c r="Z19" i="133"/>
  <c r="Z20" i="133"/>
  <c r="Z21" i="133"/>
  <c r="Z22" i="133"/>
  <c r="Z23" i="133"/>
  <c r="Z24" i="133"/>
  <c r="Z25" i="133"/>
  <c r="Z26" i="133"/>
  <c r="Z27" i="133"/>
  <c r="Z28" i="133"/>
  <c r="Z29" i="133"/>
  <c r="Z30" i="133"/>
  <c r="B5" i="134"/>
  <c r="B6" i="134"/>
  <c r="B7" i="134"/>
  <c r="B8" i="134"/>
  <c r="B9" i="134"/>
  <c r="B10" i="134"/>
  <c r="B11" i="134"/>
  <c r="B12" i="134"/>
  <c r="B13" i="134"/>
  <c r="B14" i="134"/>
  <c r="B15" i="134"/>
  <c r="B16" i="134"/>
  <c r="B17" i="134"/>
  <c r="B18" i="134"/>
  <c r="B19" i="134"/>
  <c r="B20" i="134"/>
  <c r="B21" i="134"/>
  <c r="B22" i="134"/>
  <c r="B23" i="134"/>
  <c r="B24" i="134"/>
  <c r="B25" i="134"/>
  <c r="B26" i="134"/>
  <c r="B27" i="134"/>
  <c r="B28" i="134"/>
  <c r="B29" i="134"/>
  <c r="B30" i="134"/>
  <c r="F5" i="134"/>
  <c r="F6" i="134"/>
  <c r="F7" i="134"/>
  <c r="F8" i="134"/>
  <c r="F9" i="134"/>
  <c r="F10" i="134"/>
  <c r="F11" i="134"/>
  <c r="F12" i="134"/>
  <c r="F13" i="134"/>
  <c r="F14" i="134"/>
  <c r="F15" i="134"/>
  <c r="F16" i="134"/>
  <c r="F17" i="134"/>
  <c r="F18" i="134"/>
  <c r="F19" i="134"/>
  <c r="F20" i="134"/>
  <c r="F21" i="134"/>
  <c r="F22" i="134"/>
  <c r="F23" i="134"/>
  <c r="F24" i="134"/>
  <c r="F25" i="134"/>
  <c r="F26" i="134"/>
  <c r="F27" i="134"/>
  <c r="F28" i="134"/>
  <c r="F29" i="134"/>
  <c r="F30" i="134"/>
  <c r="J5" i="134"/>
  <c r="J6" i="134"/>
  <c r="J7" i="134"/>
  <c r="J8" i="134"/>
  <c r="J9" i="134"/>
  <c r="J10" i="134"/>
  <c r="J11" i="134"/>
  <c r="J12" i="134"/>
  <c r="J13" i="134"/>
  <c r="J14" i="134"/>
  <c r="J15" i="134"/>
  <c r="J16" i="134"/>
  <c r="J17" i="134"/>
  <c r="J18" i="134"/>
  <c r="J19" i="134"/>
  <c r="J20" i="134"/>
  <c r="J21" i="134"/>
  <c r="J22" i="134"/>
  <c r="J23" i="134"/>
  <c r="J24" i="134"/>
  <c r="J25" i="134"/>
  <c r="J26" i="134"/>
  <c r="J27" i="134"/>
  <c r="J28" i="134"/>
  <c r="J29" i="134"/>
  <c r="J30" i="134"/>
  <c r="N5" i="134"/>
  <c r="N6" i="134"/>
  <c r="N7" i="134"/>
  <c r="N8" i="134"/>
  <c r="N9" i="134"/>
  <c r="N10" i="134"/>
  <c r="N11" i="134"/>
  <c r="N12" i="134"/>
  <c r="N13" i="134"/>
  <c r="N14" i="134"/>
  <c r="N15" i="134"/>
  <c r="N16" i="134"/>
  <c r="N17" i="134"/>
  <c r="N18" i="134"/>
  <c r="N19" i="134"/>
  <c r="N20" i="134"/>
  <c r="N21" i="134"/>
  <c r="N22" i="134"/>
  <c r="N23" i="134"/>
  <c r="N24" i="134"/>
  <c r="N25" i="134"/>
  <c r="N26" i="134"/>
  <c r="N27" i="134"/>
  <c r="N28" i="134"/>
  <c r="N29" i="134"/>
  <c r="N30" i="134"/>
  <c r="B5" i="135"/>
  <c r="B6" i="135"/>
  <c r="B7" i="135"/>
  <c r="B8" i="135"/>
  <c r="B9" i="135"/>
  <c r="B10" i="135"/>
  <c r="B11" i="135"/>
  <c r="B12" i="135"/>
  <c r="B13" i="135"/>
  <c r="B14" i="135"/>
  <c r="B15" i="135"/>
  <c r="B16" i="135"/>
  <c r="B17" i="135"/>
  <c r="B18" i="135"/>
  <c r="B19" i="135"/>
  <c r="B20" i="135"/>
  <c r="B21" i="135"/>
  <c r="B22" i="135"/>
  <c r="B23" i="135"/>
  <c r="B24" i="135"/>
  <c r="B25" i="135"/>
  <c r="B26" i="135"/>
  <c r="B27" i="135"/>
  <c r="B28" i="135"/>
  <c r="B29" i="135"/>
  <c r="B30" i="135"/>
  <c r="F5" i="135"/>
  <c r="F6" i="135"/>
  <c r="F7" i="135"/>
  <c r="F8" i="135"/>
  <c r="F9" i="135"/>
  <c r="F10" i="135"/>
  <c r="F11" i="135"/>
  <c r="F12" i="135"/>
  <c r="F13" i="135"/>
  <c r="F14" i="135"/>
  <c r="F15" i="135"/>
  <c r="F16" i="135"/>
  <c r="F17" i="135"/>
  <c r="F18" i="135"/>
  <c r="F19" i="135"/>
  <c r="F20" i="135"/>
  <c r="F21" i="135"/>
  <c r="F22" i="135"/>
  <c r="F23" i="135"/>
  <c r="F24" i="135"/>
  <c r="F25" i="135"/>
  <c r="F26" i="135"/>
  <c r="F27" i="135"/>
  <c r="F28" i="135"/>
  <c r="F29" i="135"/>
  <c r="F30" i="135"/>
  <c r="J5" i="135"/>
  <c r="J6" i="135"/>
  <c r="J7" i="135"/>
  <c r="J8" i="135"/>
  <c r="J9" i="135"/>
  <c r="J10" i="135"/>
  <c r="J11" i="135"/>
  <c r="J12" i="135"/>
  <c r="J13" i="135"/>
  <c r="J14" i="135"/>
  <c r="J15" i="135"/>
  <c r="J16" i="135"/>
  <c r="J17" i="135"/>
  <c r="J18" i="135"/>
  <c r="J19" i="135"/>
  <c r="J20" i="135"/>
  <c r="J21" i="135"/>
  <c r="J22" i="135"/>
  <c r="J23" i="135"/>
  <c r="J24" i="135"/>
  <c r="J25" i="135"/>
  <c r="J26" i="135"/>
  <c r="J27" i="135"/>
  <c r="J28" i="135"/>
  <c r="J29" i="135"/>
  <c r="J30" i="135"/>
  <c r="N5" i="135"/>
  <c r="N6" i="135"/>
  <c r="N7" i="135"/>
  <c r="N8" i="135"/>
  <c r="N9" i="135"/>
  <c r="N10" i="135"/>
  <c r="N11" i="135"/>
  <c r="N12" i="135"/>
  <c r="N13" i="135"/>
  <c r="N14" i="135"/>
  <c r="N15" i="135"/>
  <c r="N16" i="135"/>
  <c r="N17" i="135"/>
  <c r="N18" i="135"/>
  <c r="N19" i="135"/>
  <c r="N20" i="135"/>
  <c r="N21" i="135"/>
  <c r="N22" i="135"/>
  <c r="N23" i="135"/>
  <c r="N24" i="135"/>
  <c r="N25" i="135"/>
  <c r="N26" i="135"/>
  <c r="N27" i="135"/>
  <c r="N28" i="135"/>
  <c r="N29" i="135"/>
  <c r="N30" i="135"/>
  <c r="R5" i="135"/>
  <c r="R6" i="135"/>
  <c r="R7" i="135"/>
  <c r="R8" i="135"/>
  <c r="R9" i="135"/>
  <c r="R10" i="135"/>
  <c r="R11" i="135"/>
  <c r="R12" i="135"/>
  <c r="R13" i="135"/>
  <c r="R14" i="135"/>
  <c r="R15" i="135"/>
  <c r="R16" i="135"/>
  <c r="R17" i="135"/>
  <c r="R18" i="135"/>
  <c r="R19" i="135"/>
  <c r="R20" i="135"/>
  <c r="R21" i="135"/>
  <c r="R22" i="135"/>
  <c r="R23" i="135"/>
  <c r="R24" i="135"/>
  <c r="R25" i="135"/>
  <c r="R26" i="135"/>
  <c r="R27" i="135"/>
  <c r="R28" i="135"/>
  <c r="R29" i="135"/>
  <c r="R30" i="135"/>
  <c r="V5" i="135"/>
  <c r="V6" i="135"/>
  <c r="V7" i="135"/>
  <c r="V8" i="135"/>
  <c r="V9" i="135"/>
  <c r="V10" i="135"/>
  <c r="V11" i="135"/>
  <c r="V12" i="135"/>
  <c r="V13" i="135"/>
  <c r="V14" i="135"/>
  <c r="V15" i="135"/>
  <c r="V16" i="135"/>
  <c r="V17" i="135"/>
  <c r="V18" i="135"/>
  <c r="V19" i="135"/>
  <c r="V20" i="135"/>
  <c r="V21" i="135"/>
  <c r="V22" i="135"/>
  <c r="V23" i="135"/>
  <c r="V24" i="135"/>
  <c r="V25" i="135"/>
  <c r="V26" i="135"/>
  <c r="V27" i="135"/>
  <c r="V28" i="135"/>
  <c r="V29" i="135"/>
  <c r="V30" i="135"/>
  <c r="Z5" i="135"/>
  <c r="Z6" i="135"/>
  <c r="Z7" i="135"/>
  <c r="Z8" i="135"/>
  <c r="Z9" i="135"/>
  <c r="Z10" i="135"/>
  <c r="Z11" i="135"/>
  <c r="Z12" i="135"/>
  <c r="Z13" i="135"/>
  <c r="Z14" i="135"/>
  <c r="Z15" i="135"/>
  <c r="Z16" i="135"/>
  <c r="Z17" i="135"/>
  <c r="Z18" i="135"/>
  <c r="Z19" i="135"/>
  <c r="Z20" i="135"/>
  <c r="Z21" i="135"/>
  <c r="Z22" i="135"/>
  <c r="Z23" i="135"/>
  <c r="Z24" i="135"/>
  <c r="Z25" i="135"/>
  <c r="Z26" i="135"/>
  <c r="Z27" i="135"/>
  <c r="Z28" i="135"/>
  <c r="Z29" i="135"/>
  <c r="Z30" i="135"/>
  <c r="AD5" i="135"/>
  <c r="AD6" i="135"/>
  <c r="AD7" i="135"/>
  <c r="AD8" i="135"/>
  <c r="AD9" i="135"/>
  <c r="AD10" i="135"/>
  <c r="AD11" i="135"/>
  <c r="AD12" i="135"/>
  <c r="AD13" i="135"/>
  <c r="AD14" i="135"/>
  <c r="AD15" i="135"/>
  <c r="AD16" i="135"/>
  <c r="AD17" i="135"/>
  <c r="AD18" i="135"/>
  <c r="AD19" i="135"/>
  <c r="AD20" i="135"/>
  <c r="AD21" i="135"/>
  <c r="AD22" i="135"/>
  <c r="AD23" i="135"/>
  <c r="AD24" i="135"/>
  <c r="AD25" i="135"/>
  <c r="AD26" i="135"/>
  <c r="AD27" i="135"/>
  <c r="AD28" i="135"/>
  <c r="AD29" i="135"/>
  <c r="AD30" i="135"/>
  <c r="AH5" i="135"/>
  <c r="AH6" i="135"/>
  <c r="AH7" i="135"/>
  <c r="AH8" i="135"/>
  <c r="AH9" i="135"/>
  <c r="AH10" i="135"/>
  <c r="AH11" i="135"/>
  <c r="AH12" i="135"/>
  <c r="AH13" i="135"/>
  <c r="AH14" i="135"/>
  <c r="AH15" i="135"/>
  <c r="AH16" i="135"/>
  <c r="AH17" i="135"/>
  <c r="AH18" i="135"/>
  <c r="AH19" i="135"/>
  <c r="AH20" i="135"/>
  <c r="AH21" i="135"/>
  <c r="AH22" i="135"/>
  <c r="AH23" i="135"/>
  <c r="AH24" i="135"/>
  <c r="AH25" i="135"/>
  <c r="AH26" i="135"/>
  <c r="AH27" i="135"/>
  <c r="AH28" i="135"/>
  <c r="AH29" i="135"/>
  <c r="AH30" i="135"/>
  <c r="AL5" i="135"/>
  <c r="AL6" i="135"/>
  <c r="AL7" i="135"/>
  <c r="AL8" i="135"/>
  <c r="AL9" i="135"/>
  <c r="AL10" i="135"/>
  <c r="AL11" i="135"/>
  <c r="AL12" i="135"/>
  <c r="AL13" i="135"/>
  <c r="AL14" i="135"/>
  <c r="AL15" i="135"/>
  <c r="AL16" i="135"/>
  <c r="AL17" i="135"/>
  <c r="AL18" i="135"/>
  <c r="AL19" i="135"/>
  <c r="AL20" i="135"/>
  <c r="AL21" i="135"/>
  <c r="AL22" i="135"/>
  <c r="AL23" i="135"/>
  <c r="AL24" i="135"/>
  <c r="AL25" i="135"/>
  <c r="AL26" i="135"/>
  <c r="AL27" i="135"/>
  <c r="AL28" i="135"/>
  <c r="AL29" i="135"/>
  <c r="AL30" i="135"/>
  <c r="AP5" i="135"/>
  <c r="AP6" i="135"/>
  <c r="AP7" i="135"/>
  <c r="AP8" i="135"/>
  <c r="AP9" i="135"/>
  <c r="AP10" i="135"/>
  <c r="AP11" i="135"/>
  <c r="AP12" i="135"/>
  <c r="AP13" i="135"/>
  <c r="AP14" i="135"/>
  <c r="AP15" i="135"/>
  <c r="AP16" i="135"/>
  <c r="AP17" i="135"/>
  <c r="AP18" i="135"/>
  <c r="AP19" i="135"/>
  <c r="AP20" i="135"/>
  <c r="AP21" i="135"/>
  <c r="AP22" i="135"/>
  <c r="AP23" i="135"/>
  <c r="AP24" i="135"/>
  <c r="AP25" i="135"/>
  <c r="AP26" i="135"/>
  <c r="AP27" i="135"/>
  <c r="AP28" i="135"/>
  <c r="AP29" i="135"/>
  <c r="AP30" i="135"/>
  <c r="B5" i="136"/>
  <c r="B6" i="136"/>
  <c r="B7" i="136"/>
  <c r="B8" i="136"/>
  <c r="B9" i="136"/>
  <c r="B10" i="136"/>
  <c r="B11" i="136"/>
  <c r="B12" i="136"/>
  <c r="B13" i="136"/>
  <c r="B14" i="136"/>
  <c r="B15" i="136"/>
  <c r="B16" i="136"/>
  <c r="B17" i="136"/>
  <c r="B18" i="136"/>
  <c r="B19" i="136"/>
  <c r="B20" i="136"/>
  <c r="B21" i="136"/>
  <c r="B22" i="136"/>
  <c r="B23" i="136"/>
  <c r="B24" i="136"/>
  <c r="B25" i="136"/>
  <c r="B26" i="136"/>
  <c r="B27" i="136"/>
  <c r="B28" i="136"/>
  <c r="B29" i="136"/>
  <c r="B30" i="136"/>
  <c r="F5" i="136"/>
  <c r="F6" i="136"/>
  <c r="F7" i="136"/>
  <c r="F8" i="136"/>
  <c r="F9" i="136"/>
  <c r="F10" i="136"/>
  <c r="F11" i="136"/>
  <c r="F12" i="136"/>
  <c r="F13" i="136"/>
  <c r="F14" i="136"/>
  <c r="F15" i="136"/>
  <c r="F16" i="136"/>
  <c r="F17" i="136"/>
  <c r="F18" i="136"/>
  <c r="F19" i="136"/>
  <c r="F20" i="136"/>
  <c r="F21" i="136"/>
  <c r="F22" i="136"/>
  <c r="F23" i="136"/>
  <c r="F24" i="136"/>
  <c r="F25" i="136"/>
  <c r="F26" i="136"/>
  <c r="F27" i="136"/>
  <c r="F28" i="136"/>
  <c r="F29" i="136"/>
  <c r="F30" i="136"/>
  <c r="J5" i="136"/>
  <c r="J6" i="136"/>
  <c r="J7" i="136"/>
  <c r="J8" i="136"/>
  <c r="J9" i="136"/>
  <c r="J10" i="136"/>
  <c r="J11" i="136"/>
  <c r="J12" i="136"/>
  <c r="J13" i="136"/>
  <c r="J14" i="136"/>
  <c r="J15" i="136"/>
  <c r="J16" i="136"/>
  <c r="J17" i="136"/>
  <c r="J18" i="136"/>
  <c r="J19" i="136"/>
  <c r="J20" i="136"/>
  <c r="J21" i="136"/>
  <c r="J22" i="136"/>
  <c r="J23" i="136"/>
  <c r="J24" i="136"/>
  <c r="J25" i="136"/>
  <c r="J26" i="136"/>
  <c r="J27" i="136"/>
  <c r="J28" i="136"/>
  <c r="J29" i="136"/>
  <c r="J30" i="136"/>
  <c r="B5" i="137"/>
  <c r="B6" i="137"/>
  <c r="B7" i="137"/>
  <c r="B8" i="137"/>
  <c r="B9" i="137"/>
  <c r="B10" i="137"/>
  <c r="B11" i="137"/>
  <c r="B12" i="137"/>
  <c r="B13" i="137"/>
  <c r="B14" i="137"/>
  <c r="B15" i="137"/>
  <c r="B16" i="137"/>
  <c r="B17" i="137"/>
  <c r="B18" i="137"/>
  <c r="B19" i="137"/>
  <c r="B20" i="137"/>
  <c r="B21" i="137"/>
  <c r="B22" i="137"/>
  <c r="B23" i="137"/>
  <c r="B24" i="137"/>
  <c r="B25" i="137"/>
  <c r="B26" i="137"/>
  <c r="B27" i="137"/>
  <c r="B28" i="137"/>
  <c r="B29" i="137"/>
  <c r="B30" i="137"/>
  <c r="F5" i="137"/>
  <c r="F6" i="137"/>
  <c r="F7" i="137"/>
  <c r="F8" i="137"/>
  <c r="F9" i="137"/>
  <c r="F10" i="137"/>
  <c r="F11" i="137"/>
  <c r="F12" i="137"/>
  <c r="F13" i="137"/>
  <c r="F14" i="137"/>
  <c r="F15" i="137"/>
  <c r="F16" i="137"/>
  <c r="F17" i="137"/>
  <c r="F18" i="137"/>
  <c r="F19" i="137"/>
  <c r="F20" i="137"/>
  <c r="F21" i="137"/>
  <c r="F22" i="137"/>
  <c r="F23" i="137"/>
  <c r="F24" i="137"/>
  <c r="F25" i="137"/>
  <c r="F26" i="137"/>
  <c r="F27" i="137"/>
  <c r="F28" i="137"/>
  <c r="F29" i="137"/>
  <c r="F30" i="137"/>
  <c r="J5" i="137"/>
  <c r="J6" i="137"/>
  <c r="J7" i="137"/>
  <c r="J8" i="137"/>
  <c r="J9" i="137"/>
  <c r="J10" i="137"/>
  <c r="J11" i="137"/>
  <c r="J12" i="137"/>
  <c r="J13" i="137"/>
  <c r="J14" i="137"/>
  <c r="J15" i="137"/>
  <c r="J16" i="137"/>
  <c r="J17" i="137"/>
  <c r="J18" i="137"/>
  <c r="J19" i="137"/>
  <c r="J20" i="137"/>
  <c r="J21" i="137"/>
  <c r="J22" i="137"/>
  <c r="J23" i="137"/>
  <c r="J24" i="137"/>
  <c r="J25" i="137"/>
  <c r="J26" i="137"/>
  <c r="J27" i="137"/>
  <c r="J28" i="137"/>
  <c r="J29" i="137"/>
  <c r="J30" i="137"/>
  <c r="N5" i="137"/>
  <c r="N6" i="137"/>
  <c r="N7" i="137"/>
  <c r="N8" i="137"/>
  <c r="N9" i="137"/>
  <c r="N10" i="137"/>
  <c r="N11" i="137"/>
  <c r="N12" i="137"/>
  <c r="N13" i="137"/>
  <c r="N14" i="137"/>
  <c r="N15" i="137"/>
  <c r="N16" i="137"/>
  <c r="N17" i="137"/>
  <c r="N18" i="137"/>
  <c r="N19" i="137"/>
  <c r="N20" i="137"/>
  <c r="N21" i="137"/>
  <c r="N22" i="137"/>
  <c r="N23" i="137"/>
  <c r="N24" i="137"/>
  <c r="N25" i="137"/>
  <c r="N26" i="137"/>
  <c r="N27" i="137"/>
  <c r="N28" i="137"/>
  <c r="N29" i="137"/>
  <c r="N30" i="137"/>
  <c r="R5" i="137"/>
  <c r="R6" i="137"/>
  <c r="R7" i="137"/>
  <c r="R8" i="137"/>
  <c r="R9" i="137"/>
  <c r="R10" i="137"/>
  <c r="R11" i="137"/>
  <c r="R12" i="137"/>
  <c r="R13" i="137"/>
  <c r="R14" i="137"/>
  <c r="R15" i="137"/>
  <c r="R16" i="137"/>
  <c r="R17" i="137"/>
  <c r="R18" i="137"/>
  <c r="R19" i="137"/>
  <c r="R20" i="137"/>
  <c r="R21" i="137"/>
  <c r="R22" i="137"/>
  <c r="R23" i="137"/>
  <c r="R24" i="137"/>
  <c r="R25" i="137"/>
  <c r="R26" i="137"/>
  <c r="R27" i="137"/>
  <c r="R28" i="137"/>
  <c r="R29" i="137"/>
  <c r="R30" i="137"/>
  <c r="V5" i="137"/>
  <c r="V6" i="137"/>
  <c r="V7" i="137"/>
  <c r="V8" i="137"/>
  <c r="V9" i="137"/>
  <c r="V10" i="137"/>
  <c r="V11" i="137"/>
  <c r="V12" i="137"/>
  <c r="V13" i="137"/>
  <c r="V14" i="137"/>
  <c r="V15" i="137"/>
  <c r="V16" i="137"/>
  <c r="V17" i="137"/>
  <c r="V18" i="137"/>
  <c r="V19" i="137"/>
  <c r="V20" i="137"/>
  <c r="V21" i="137"/>
  <c r="V22" i="137"/>
  <c r="V23" i="137"/>
  <c r="V24" i="137"/>
  <c r="V25" i="137"/>
  <c r="V26" i="137"/>
  <c r="V27" i="137"/>
  <c r="V28" i="137"/>
  <c r="V29" i="137"/>
  <c r="V30" i="137"/>
  <c r="Z5" i="137"/>
  <c r="Z6" i="137"/>
  <c r="Z7" i="137"/>
  <c r="Z8" i="137"/>
  <c r="Z9" i="137"/>
  <c r="Z10" i="137"/>
  <c r="Z11" i="137"/>
  <c r="Z12" i="137"/>
  <c r="Z13" i="137"/>
  <c r="Z14" i="137"/>
  <c r="Z15" i="137"/>
  <c r="Z16" i="137"/>
  <c r="Z17" i="137"/>
  <c r="Z18" i="137"/>
  <c r="Z19" i="137"/>
  <c r="Z20" i="137"/>
  <c r="Z21" i="137"/>
  <c r="Z22" i="137"/>
  <c r="Z23" i="137"/>
  <c r="Z24" i="137"/>
  <c r="Z25" i="137"/>
  <c r="Z26" i="137"/>
  <c r="Z27" i="137"/>
  <c r="Z28" i="137"/>
  <c r="Z29" i="137"/>
  <c r="Z30" i="137"/>
  <c r="AD5" i="137"/>
  <c r="AD6" i="137"/>
  <c r="AD7" i="137"/>
  <c r="AD8" i="137"/>
  <c r="AD9" i="137"/>
  <c r="AD10" i="137"/>
  <c r="AD11" i="137"/>
  <c r="AD12" i="137"/>
  <c r="AD13" i="137"/>
  <c r="AD14" i="137"/>
  <c r="AD15" i="137"/>
  <c r="AD16" i="137"/>
  <c r="AD17" i="137"/>
  <c r="AD18" i="137"/>
  <c r="AD19" i="137"/>
  <c r="AD20" i="137"/>
  <c r="AD21" i="137"/>
  <c r="AD22" i="137"/>
  <c r="AD23" i="137"/>
  <c r="AD24" i="137"/>
  <c r="AD25" i="137"/>
  <c r="AD26" i="137"/>
  <c r="AD27" i="137"/>
  <c r="AD28" i="137"/>
  <c r="AD29" i="137"/>
  <c r="AD30" i="137"/>
  <c r="AD4" i="137"/>
  <c r="Z4" i="137"/>
  <c r="V4" i="137"/>
  <c r="R4" i="137"/>
  <c r="N4" i="137"/>
  <c r="J4" i="137"/>
  <c r="F4" i="137"/>
  <c r="B4" i="137"/>
  <c r="J4" i="136"/>
  <c r="F4" i="136"/>
  <c r="B4" i="136"/>
  <c r="AP4" i="135"/>
  <c r="AL4" i="135"/>
  <c r="AH4" i="135"/>
  <c r="AD4" i="135"/>
  <c r="Z4" i="135"/>
  <c r="V4" i="135"/>
  <c r="R4" i="135"/>
  <c r="N4" i="135"/>
  <c r="J4" i="135"/>
  <c r="F4" i="135"/>
  <c r="B4" i="135"/>
  <c r="N4" i="134"/>
  <c r="J4" i="134"/>
  <c r="F4" i="134"/>
  <c r="B4" i="134"/>
  <c r="Z4" i="133"/>
  <c r="V4" i="133"/>
  <c r="R4" i="133"/>
  <c r="N4" i="133"/>
  <c r="J4" i="133"/>
  <c r="F4" i="133"/>
  <c r="B4" i="133"/>
  <c r="AH5" i="132"/>
  <c r="AH6" i="132"/>
  <c r="AH7" i="132"/>
  <c r="AH8" i="132"/>
  <c r="AH9" i="132"/>
  <c r="AH10" i="132"/>
  <c r="AH11" i="132"/>
  <c r="AH12" i="132"/>
  <c r="AH13" i="132"/>
  <c r="AH14" i="132"/>
  <c r="AH15" i="132"/>
  <c r="AH16" i="132"/>
  <c r="AH17" i="132"/>
  <c r="AH18" i="132"/>
  <c r="AH19" i="132"/>
  <c r="AH20" i="132"/>
  <c r="AH21" i="132"/>
  <c r="AH22" i="132"/>
  <c r="AH23" i="132"/>
  <c r="AH24" i="132"/>
  <c r="AH25" i="132"/>
  <c r="AH26" i="132"/>
  <c r="AH27" i="132"/>
  <c r="AH28" i="132"/>
  <c r="AH29" i="132"/>
  <c r="AH30" i="132"/>
  <c r="AD5" i="132"/>
  <c r="AD6" i="132"/>
  <c r="AD7" i="132"/>
  <c r="AD8" i="132"/>
  <c r="AD9" i="132"/>
  <c r="AD10" i="132"/>
  <c r="AD11" i="132"/>
  <c r="AD12" i="132"/>
  <c r="AD13" i="132"/>
  <c r="AD14" i="132"/>
  <c r="AD15" i="132"/>
  <c r="AD16" i="132"/>
  <c r="AD17" i="132"/>
  <c r="AD18" i="132"/>
  <c r="AD19" i="132"/>
  <c r="AD20" i="132"/>
  <c r="AD21" i="132"/>
  <c r="AD22" i="132"/>
  <c r="AD23" i="132"/>
  <c r="AD24" i="132"/>
  <c r="AD25" i="132"/>
  <c r="AD26" i="132"/>
  <c r="AD27" i="132"/>
  <c r="AD28" i="132"/>
  <c r="AD29" i="132"/>
  <c r="AD30" i="132"/>
  <c r="Z5" i="132"/>
  <c r="Z6" i="132"/>
  <c r="Z7" i="132"/>
  <c r="Z8" i="132"/>
  <c r="Z9" i="132"/>
  <c r="Z10" i="132"/>
  <c r="Z11" i="132"/>
  <c r="Z12" i="132"/>
  <c r="Z13" i="132"/>
  <c r="Z14" i="132"/>
  <c r="Z15" i="132"/>
  <c r="Z16" i="132"/>
  <c r="Z17" i="132"/>
  <c r="Z18" i="132"/>
  <c r="Z19" i="132"/>
  <c r="Z20" i="132"/>
  <c r="Z21" i="132"/>
  <c r="Z22" i="132"/>
  <c r="Z23" i="132"/>
  <c r="Z24" i="132"/>
  <c r="Z25" i="132"/>
  <c r="Z26" i="132"/>
  <c r="Z27" i="132"/>
  <c r="Z28" i="132"/>
  <c r="Z29" i="132"/>
  <c r="Z30" i="132"/>
  <c r="V5" i="132"/>
  <c r="V6" i="132"/>
  <c r="V7" i="132"/>
  <c r="V8" i="132"/>
  <c r="V9" i="132"/>
  <c r="V10" i="132"/>
  <c r="V11" i="132"/>
  <c r="V12" i="132"/>
  <c r="V13" i="132"/>
  <c r="V14" i="132"/>
  <c r="V15" i="132"/>
  <c r="V16" i="132"/>
  <c r="V17" i="132"/>
  <c r="V18" i="132"/>
  <c r="V19" i="132"/>
  <c r="V20" i="132"/>
  <c r="V21" i="132"/>
  <c r="V22" i="132"/>
  <c r="V23" i="132"/>
  <c r="V24" i="132"/>
  <c r="V25" i="132"/>
  <c r="V26" i="132"/>
  <c r="V27" i="132"/>
  <c r="V28" i="132"/>
  <c r="V29" i="132"/>
  <c r="V30" i="132"/>
  <c r="R5" i="132"/>
  <c r="R6" i="132"/>
  <c r="R7" i="132"/>
  <c r="R8" i="132"/>
  <c r="R9" i="132"/>
  <c r="R10" i="132"/>
  <c r="R11" i="132"/>
  <c r="R12" i="132"/>
  <c r="R13" i="132"/>
  <c r="R14" i="132"/>
  <c r="R15" i="132"/>
  <c r="R16" i="132"/>
  <c r="R17" i="132"/>
  <c r="R18" i="132"/>
  <c r="R19" i="132"/>
  <c r="R20" i="132"/>
  <c r="R21" i="132"/>
  <c r="R22" i="132"/>
  <c r="R23" i="132"/>
  <c r="R24" i="132"/>
  <c r="R25" i="132"/>
  <c r="R26" i="132"/>
  <c r="R27" i="132"/>
  <c r="R28" i="132"/>
  <c r="R29" i="132"/>
  <c r="R30" i="132"/>
  <c r="N5" i="132"/>
  <c r="N6" i="132"/>
  <c r="N7" i="132"/>
  <c r="N8" i="132"/>
  <c r="N9" i="132"/>
  <c r="N10" i="132"/>
  <c r="N11" i="132"/>
  <c r="N12" i="132"/>
  <c r="N13" i="132"/>
  <c r="N14" i="132"/>
  <c r="N15" i="132"/>
  <c r="N16" i="132"/>
  <c r="N17" i="132"/>
  <c r="N18" i="132"/>
  <c r="N19" i="132"/>
  <c r="N20" i="132"/>
  <c r="N21" i="132"/>
  <c r="N22" i="132"/>
  <c r="N23" i="132"/>
  <c r="N24" i="132"/>
  <c r="N25" i="132"/>
  <c r="N26" i="132"/>
  <c r="N27" i="132"/>
  <c r="N28" i="132"/>
  <c r="N29" i="132"/>
  <c r="N30" i="132"/>
  <c r="J5" i="132"/>
  <c r="J6" i="132"/>
  <c r="J7" i="132"/>
  <c r="J8" i="132"/>
  <c r="J9" i="132"/>
  <c r="J10" i="132"/>
  <c r="J11" i="132"/>
  <c r="J12" i="132"/>
  <c r="J13" i="132"/>
  <c r="J14" i="132"/>
  <c r="J15" i="132"/>
  <c r="J16" i="132"/>
  <c r="J17" i="132"/>
  <c r="J18" i="132"/>
  <c r="J19" i="132"/>
  <c r="J20" i="132"/>
  <c r="J21" i="132"/>
  <c r="J22" i="132"/>
  <c r="J23" i="132"/>
  <c r="J24" i="132"/>
  <c r="J25" i="132"/>
  <c r="J26" i="132"/>
  <c r="J27" i="132"/>
  <c r="J28" i="132"/>
  <c r="J29" i="132"/>
  <c r="J30" i="132"/>
  <c r="F5" i="132"/>
  <c r="F6" i="132"/>
  <c r="F7" i="132"/>
  <c r="F8" i="132"/>
  <c r="F9" i="132"/>
  <c r="F10" i="132"/>
  <c r="F11" i="132"/>
  <c r="F12" i="132"/>
  <c r="F13" i="132"/>
  <c r="F14" i="132"/>
  <c r="F15" i="132"/>
  <c r="F16" i="132"/>
  <c r="F17" i="132"/>
  <c r="F18" i="132"/>
  <c r="F19" i="132"/>
  <c r="F20" i="132"/>
  <c r="F21" i="132"/>
  <c r="F22" i="132"/>
  <c r="F23" i="132"/>
  <c r="F24" i="132"/>
  <c r="F25" i="132"/>
  <c r="F26" i="132"/>
  <c r="F27" i="132"/>
  <c r="F28" i="132"/>
  <c r="F29" i="132"/>
  <c r="F30" i="132"/>
  <c r="B5" i="132"/>
  <c r="B6" i="132"/>
  <c r="B7" i="132"/>
  <c r="B8" i="132"/>
  <c r="B9" i="132"/>
  <c r="B10" i="132"/>
  <c r="B11" i="132"/>
  <c r="B12" i="132"/>
  <c r="B13" i="132"/>
  <c r="B14" i="132"/>
  <c r="B15" i="132"/>
  <c r="B16" i="132"/>
  <c r="B17" i="132"/>
  <c r="B18" i="132"/>
  <c r="B19" i="132"/>
  <c r="B20" i="132"/>
  <c r="B21" i="132"/>
  <c r="B22" i="132"/>
  <c r="B23" i="132"/>
  <c r="B24" i="132"/>
  <c r="B25" i="132"/>
  <c r="B26" i="132"/>
  <c r="B27" i="132"/>
  <c r="B28" i="132"/>
  <c r="B29" i="132"/>
  <c r="B30" i="132"/>
  <c r="AH4" i="132"/>
  <c r="AD4" i="132"/>
  <c r="Z4" i="132"/>
  <c r="V4" i="132"/>
  <c r="R4" i="132"/>
  <c r="N4" i="132"/>
  <c r="J4" i="132"/>
  <c r="F4" i="132"/>
  <c r="B4" i="132"/>
  <c r="AP5" i="131"/>
  <c r="AP6" i="131"/>
  <c r="AP7" i="131"/>
  <c r="AP8" i="131"/>
  <c r="AP9" i="131"/>
  <c r="AP10" i="131"/>
  <c r="AP11" i="131"/>
  <c r="AP12" i="131"/>
  <c r="AP13" i="131"/>
  <c r="AP14" i="131"/>
  <c r="AP15" i="131"/>
  <c r="AP16" i="131"/>
  <c r="AP17" i="131"/>
  <c r="AP18" i="131"/>
  <c r="AP19" i="131"/>
  <c r="AP20" i="131"/>
  <c r="AP21" i="131"/>
  <c r="AP22" i="131"/>
  <c r="AP23" i="131"/>
  <c r="AP24" i="131"/>
  <c r="AP25" i="131"/>
  <c r="AP26" i="131"/>
  <c r="AP27" i="131"/>
  <c r="AP28" i="131"/>
  <c r="AP29" i="131"/>
  <c r="AP30" i="131"/>
  <c r="AL5" i="131"/>
  <c r="AL6" i="131"/>
  <c r="AL7" i="131"/>
  <c r="AL8" i="131"/>
  <c r="AL9" i="131"/>
  <c r="AL10" i="131"/>
  <c r="AL11" i="131"/>
  <c r="AL12" i="131"/>
  <c r="AL13" i="131"/>
  <c r="AL14" i="131"/>
  <c r="AL15" i="131"/>
  <c r="AL16" i="131"/>
  <c r="AL17" i="131"/>
  <c r="AL18" i="131"/>
  <c r="AL19" i="131"/>
  <c r="AL20" i="131"/>
  <c r="AL21" i="131"/>
  <c r="AL22" i="131"/>
  <c r="AL23" i="131"/>
  <c r="AL24" i="131"/>
  <c r="AL25" i="131"/>
  <c r="AL26" i="131"/>
  <c r="AL27" i="131"/>
  <c r="AL28" i="131"/>
  <c r="AL29" i="131"/>
  <c r="AL30" i="131"/>
  <c r="AH5" i="131"/>
  <c r="AH6" i="131"/>
  <c r="AH7" i="131"/>
  <c r="AH8" i="131"/>
  <c r="AH9" i="131"/>
  <c r="AH10" i="131"/>
  <c r="AH11" i="131"/>
  <c r="AH12" i="131"/>
  <c r="AH13" i="131"/>
  <c r="AH14" i="131"/>
  <c r="AH15" i="131"/>
  <c r="AH16" i="131"/>
  <c r="AH17" i="131"/>
  <c r="AH18" i="131"/>
  <c r="AH19" i="131"/>
  <c r="AH20" i="131"/>
  <c r="AH21" i="131"/>
  <c r="AH22" i="131"/>
  <c r="AH23" i="131"/>
  <c r="AH24" i="131"/>
  <c r="AH25" i="131"/>
  <c r="AH26" i="131"/>
  <c r="AH27" i="131"/>
  <c r="AH28" i="131"/>
  <c r="AH29" i="131"/>
  <c r="AH30" i="131"/>
  <c r="AD5" i="131"/>
  <c r="AD6" i="131"/>
  <c r="AD7" i="131"/>
  <c r="AD8" i="131"/>
  <c r="AD9" i="131"/>
  <c r="AD10" i="131"/>
  <c r="AD11" i="131"/>
  <c r="AD12" i="131"/>
  <c r="AD13" i="131"/>
  <c r="AD14" i="131"/>
  <c r="AD15" i="131"/>
  <c r="AD16" i="131"/>
  <c r="AD17" i="131"/>
  <c r="AD18" i="131"/>
  <c r="AD19" i="131"/>
  <c r="AD20" i="131"/>
  <c r="AD21" i="131"/>
  <c r="AD22" i="131"/>
  <c r="AD23" i="131"/>
  <c r="AD24" i="131"/>
  <c r="AD25" i="131"/>
  <c r="AD26" i="131"/>
  <c r="AD27" i="131"/>
  <c r="AD28" i="131"/>
  <c r="AD29" i="131"/>
  <c r="AD30" i="131"/>
  <c r="Z5" i="131"/>
  <c r="Z6" i="131"/>
  <c r="Z7" i="131"/>
  <c r="Z8" i="131"/>
  <c r="Z9" i="131"/>
  <c r="Z10" i="131"/>
  <c r="Z11" i="131"/>
  <c r="Z12" i="131"/>
  <c r="Z13" i="131"/>
  <c r="Z14" i="131"/>
  <c r="Z15" i="131"/>
  <c r="Z16" i="131"/>
  <c r="Z17" i="131"/>
  <c r="Z18" i="131"/>
  <c r="Z19" i="131"/>
  <c r="Z20" i="131"/>
  <c r="Z21" i="131"/>
  <c r="Z22" i="131"/>
  <c r="Z23" i="131"/>
  <c r="Z24" i="131"/>
  <c r="Z25" i="131"/>
  <c r="Z26" i="131"/>
  <c r="Z27" i="131"/>
  <c r="Z28" i="131"/>
  <c r="Z29" i="131"/>
  <c r="Z30" i="131"/>
  <c r="V5" i="131"/>
  <c r="V6" i="131"/>
  <c r="V7" i="131"/>
  <c r="V8" i="131"/>
  <c r="V9" i="131"/>
  <c r="V10" i="131"/>
  <c r="V11" i="131"/>
  <c r="V12" i="131"/>
  <c r="V13" i="131"/>
  <c r="V14" i="131"/>
  <c r="V15" i="131"/>
  <c r="V16" i="131"/>
  <c r="V17" i="131"/>
  <c r="V18" i="131"/>
  <c r="V19" i="131"/>
  <c r="V20" i="131"/>
  <c r="V21" i="131"/>
  <c r="V22" i="131"/>
  <c r="V23" i="131"/>
  <c r="V24" i="131"/>
  <c r="V25" i="131"/>
  <c r="V26" i="131"/>
  <c r="V27" i="131"/>
  <c r="V28" i="131"/>
  <c r="V29" i="131"/>
  <c r="V30" i="131"/>
  <c r="R5" i="131"/>
  <c r="R6" i="131"/>
  <c r="R7" i="131"/>
  <c r="R8" i="131"/>
  <c r="R9" i="131"/>
  <c r="R10" i="131"/>
  <c r="R11" i="131"/>
  <c r="R12" i="131"/>
  <c r="R13" i="131"/>
  <c r="R14" i="131"/>
  <c r="R15" i="131"/>
  <c r="R16" i="131"/>
  <c r="R17" i="131"/>
  <c r="R18" i="131"/>
  <c r="R19" i="131"/>
  <c r="R20" i="131"/>
  <c r="R21" i="131"/>
  <c r="R22" i="131"/>
  <c r="R23" i="131"/>
  <c r="R24" i="131"/>
  <c r="R25" i="131"/>
  <c r="R26" i="131"/>
  <c r="R27" i="131"/>
  <c r="R28" i="131"/>
  <c r="R29" i="131"/>
  <c r="R30" i="131"/>
  <c r="N5" i="131"/>
  <c r="N6" i="131"/>
  <c r="N7" i="131"/>
  <c r="N8" i="131"/>
  <c r="N9" i="131"/>
  <c r="N10" i="131"/>
  <c r="N11" i="131"/>
  <c r="N12" i="131"/>
  <c r="N13" i="131"/>
  <c r="N14" i="131"/>
  <c r="N15" i="131"/>
  <c r="N16" i="131"/>
  <c r="N17" i="131"/>
  <c r="N18" i="131"/>
  <c r="N19" i="131"/>
  <c r="N20" i="131"/>
  <c r="N21" i="131"/>
  <c r="N22" i="131"/>
  <c r="N23" i="131"/>
  <c r="N24" i="131"/>
  <c r="N25" i="131"/>
  <c r="N26" i="131"/>
  <c r="N27" i="131"/>
  <c r="N28" i="131"/>
  <c r="N29" i="131"/>
  <c r="N30" i="131"/>
  <c r="J5" i="131"/>
  <c r="J6" i="131"/>
  <c r="J7" i="131"/>
  <c r="J8" i="131"/>
  <c r="J9" i="131"/>
  <c r="J10" i="131"/>
  <c r="J11" i="131"/>
  <c r="J12" i="131"/>
  <c r="J13" i="131"/>
  <c r="J14" i="131"/>
  <c r="J15" i="131"/>
  <c r="J16" i="131"/>
  <c r="J17" i="131"/>
  <c r="J18" i="131"/>
  <c r="J19" i="131"/>
  <c r="J20" i="131"/>
  <c r="J21" i="131"/>
  <c r="J22" i="131"/>
  <c r="J23" i="131"/>
  <c r="J24" i="131"/>
  <c r="J25" i="131"/>
  <c r="J26" i="131"/>
  <c r="J27" i="131"/>
  <c r="J28" i="131"/>
  <c r="J29" i="131"/>
  <c r="J30" i="131"/>
  <c r="F5" i="131"/>
  <c r="F6" i="131"/>
  <c r="F7" i="131"/>
  <c r="F8" i="131"/>
  <c r="F9" i="131"/>
  <c r="F10" i="131"/>
  <c r="F11" i="131"/>
  <c r="F12" i="131"/>
  <c r="F13" i="131"/>
  <c r="F14" i="131"/>
  <c r="F15" i="131"/>
  <c r="F16" i="131"/>
  <c r="F17" i="131"/>
  <c r="F18" i="131"/>
  <c r="F19" i="131"/>
  <c r="F20" i="131"/>
  <c r="F21" i="131"/>
  <c r="F22" i="131"/>
  <c r="F23" i="131"/>
  <c r="F24" i="131"/>
  <c r="F25" i="131"/>
  <c r="F26" i="131"/>
  <c r="F27" i="131"/>
  <c r="F28" i="131"/>
  <c r="F29" i="131"/>
  <c r="F30" i="131"/>
  <c r="B5" i="131"/>
  <c r="B6" i="131"/>
  <c r="B7" i="131"/>
  <c r="B8" i="131"/>
  <c r="B9" i="131"/>
  <c r="B10" i="131"/>
  <c r="B11" i="131"/>
  <c r="B12" i="131"/>
  <c r="B13" i="131"/>
  <c r="B14" i="131"/>
  <c r="B15" i="131"/>
  <c r="B16" i="131"/>
  <c r="B17" i="131"/>
  <c r="B18" i="131"/>
  <c r="B19" i="131"/>
  <c r="B20" i="131"/>
  <c r="B21" i="131"/>
  <c r="B22" i="131"/>
  <c r="B23" i="131"/>
  <c r="B24" i="131"/>
  <c r="B25" i="131"/>
  <c r="B26" i="131"/>
  <c r="B27" i="131"/>
  <c r="B28" i="131"/>
  <c r="B29" i="131"/>
  <c r="B30" i="131"/>
  <c r="AP4" i="131"/>
  <c r="AL4" i="131"/>
  <c r="AH4" i="131"/>
  <c r="AD4" i="131"/>
  <c r="Z4" i="131"/>
  <c r="V4" i="131"/>
  <c r="R4" i="131"/>
  <c r="N4" i="131"/>
  <c r="J4" i="131"/>
  <c r="F4" i="131"/>
  <c r="B4" i="131"/>
  <c r="AI76" i="109" l="1"/>
  <c r="AI77" i="109"/>
  <c r="AI78" i="109"/>
  <c r="AI79" i="109"/>
  <c r="AI80" i="109"/>
  <c r="AI81" i="109"/>
  <c r="AI82" i="109"/>
  <c r="AI83" i="109"/>
  <c r="AI84" i="109"/>
  <c r="AI85" i="109"/>
  <c r="AI86" i="109"/>
  <c r="AI87" i="109"/>
  <c r="AI88" i="109"/>
  <c r="AI89" i="109"/>
  <c r="AI90" i="109"/>
  <c r="AI91" i="109"/>
  <c r="AI92" i="109"/>
  <c r="AI93" i="109"/>
  <c r="AI94" i="109"/>
  <c r="AI95" i="109"/>
  <c r="AI96" i="109"/>
  <c r="AI97" i="109"/>
  <c r="AI98" i="109"/>
  <c r="AI99" i="109"/>
  <c r="AI100" i="109"/>
  <c r="AI101" i="109"/>
  <c r="AI75" i="109"/>
  <c r="AI102" i="109" l="1"/>
  <c r="Y100" i="110"/>
  <c r="P102" i="111"/>
  <c r="O10" i="118" s="1"/>
  <c r="Y101" i="111"/>
  <c r="Y75" i="112"/>
  <c r="P102" i="110"/>
  <c r="O9" i="118" s="1"/>
  <c r="P102" i="112"/>
  <c r="O11" i="118" s="1"/>
  <c r="AF102" i="109"/>
  <c r="O8" i="118" s="1"/>
  <c r="P66" i="110"/>
  <c r="P65" i="110"/>
  <c r="P64" i="110"/>
  <c r="P63" i="110"/>
  <c r="P62" i="110"/>
  <c r="P61" i="110"/>
  <c r="P60" i="110"/>
  <c r="P59" i="110"/>
  <c r="P58" i="110"/>
  <c r="P57" i="110"/>
  <c r="P56" i="110"/>
  <c r="P55" i="110"/>
  <c r="P54" i="110"/>
  <c r="P53" i="110"/>
  <c r="P52" i="110"/>
  <c r="P51" i="110"/>
  <c r="P50" i="110"/>
  <c r="P49" i="110"/>
  <c r="P48" i="110"/>
  <c r="P47" i="110"/>
  <c r="P46" i="110"/>
  <c r="P45" i="110"/>
  <c r="P44" i="110"/>
  <c r="P43" i="110"/>
  <c r="P42" i="110"/>
  <c r="P41" i="110"/>
  <c r="P40" i="110"/>
  <c r="P66" i="111"/>
  <c r="P65" i="111"/>
  <c r="P64" i="111"/>
  <c r="P63" i="111"/>
  <c r="P62" i="111"/>
  <c r="P61" i="111"/>
  <c r="P60" i="111"/>
  <c r="P59" i="111"/>
  <c r="P58" i="111"/>
  <c r="P57" i="111"/>
  <c r="P56" i="111"/>
  <c r="P55" i="111"/>
  <c r="P54" i="111"/>
  <c r="P53" i="111"/>
  <c r="P52" i="111"/>
  <c r="P51" i="111"/>
  <c r="P50" i="111"/>
  <c r="P49" i="111"/>
  <c r="P48" i="111"/>
  <c r="P47" i="111"/>
  <c r="P46" i="111"/>
  <c r="P45" i="111"/>
  <c r="P44" i="111"/>
  <c r="P43" i="111"/>
  <c r="P42" i="111"/>
  <c r="P41" i="111"/>
  <c r="P40" i="111"/>
  <c r="P66" i="112"/>
  <c r="P65" i="112"/>
  <c r="P64" i="112"/>
  <c r="P63" i="112"/>
  <c r="P62" i="112"/>
  <c r="P61" i="112"/>
  <c r="P60" i="112"/>
  <c r="P59" i="112"/>
  <c r="P58" i="112"/>
  <c r="P57" i="112"/>
  <c r="P56" i="112"/>
  <c r="P55" i="112"/>
  <c r="P54" i="112"/>
  <c r="P53" i="112"/>
  <c r="P52" i="112"/>
  <c r="P51" i="112"/>
  <c r="P50" i="112"/>
  <c r="P49" i="112"/>
  <c r="P48" i="112"/>
  <c r="P47" i="112"/>
  <c r="P46" i="112"/>
  <c r="P45" i="112"/>
  <c r="P44" i="112"/>
  <c r="P43" i="112"/>
  <c r="P42" i="112"/>
  <c r="P41" i="112"/>
  <c r="P40" i="112"/>
  <c r="AF66" i="109"/>
  <c r="AF65" i="109"/>
  <c r="AF64" i="109"/>
  <c r="AF63" i="109"/>
  <c r="AF62" i="109"/>
  <c r="AF61" i="109"/>
  <c r="AF60" i="109"/>
  <c r="AF59" i="109"/>
  <c r="AF58" i="109"/>
  <c r="AF57" i="109"/>
  <c r="AF56" i="109"/>
  <c r="AF55" i="109"/>
  <c r="AF54" i="109"/>
  <c r="AF53" i="109"/>
  <c r="AF52" i="109"/>
  <c r="AF51" i="109"/>
  <c r="AF50" i="109"/>
  <c r="AF49" i="109"/>
  <c r="AF48" i="109"/>
  <c r="AF47" i="109"/>
  <c r="AF46" i="109"/>
  <c r="AF45" i="109"/>
  <c r="AF44" i="109"/>
  <c r="AF43" i="109"/>
  <c r="AF42" i="109"/>
  <c r="AF41" i="109"/>
  <c r="AF40" i="109"/>
  <c r="P31" i="110"/>
  <c r="P30" i="110"/>
  <c r="P29" i="110"/>
  <c r="P28" i="110"/>
  <c r="P27" i="110"/>
  <c r="P26" i="110"/>
  <c r="P25" i="110"/>
  <c r="P24" i="110"/>
  <c r="P23" i="110"/>
  <c r="P22" i="110"/>
  <c r="P21" i="110"/>
  <c r="P20" i="110"/>
  <c r="P19" i="110"/>
  <c r="P18" i="110"/>
  <c r="P17" i="110"/>
  <c r="P16" i="110"/>
  <c r="P15" i="110"/>
  <c r="P14" i="110"/>
  <c r="P13" i="110"/>
  <c r="P12" i="110"/>
  <c r="P11" i="110"/>
  <c r="P10" i="110"/>
  <c r="P9" i="110"/>
  <c r="P8" i="110"/>
  <c r="P7" i="110"/>
  <c r="P6" i="110"/>
  <c r="P5" i="110"/>
  <c r="P31" i="111"/>
  <c r="P30" i="111"/>
  <c r="P29" i="111"/>
  <c r="P28" i="111"/>
  <c r="P27" i="111"/>
  <c r="P26" i="111"/>
  <c r="P25" i="111"/>
  <c r="P24" i="111"/>
  <c r="P23" i="111"/>
  <c r="P22" i="111"/>
  <c r="P21" i="111"/>
  <c r="P20" i="111"/>
  <c r="P19" i="111"/>
  <c r="P18" i="111"/>
  <c r="P17" i="111"/>
  <c r="P16" i="111"/>
  <c r="P15" i="111"/>
  <c r="P14" i="111"/>
  <c r="P13" i="111"/>
  <c r="P12" i="111"/>
  <c r="P11" i="111"/>
  <c r="P10" i="111"/>
  <c r="P9" i="111"/>
  <c r="P8" i="111"/>
  <c r="P7" i="111"/>
  <c r="P6" i="111"/>
  <c r="P5" i="111"/>
  <c r="P31" i="112"/>
  <c r="P30" i="112"/>
  <c r="P29" i="112"/>
  <c r="P28" i="112"/>
  <c r="P27" i="112"/>
  <c r="P26" i="112"/>
  <c r="P25" i="112"/>
  <c r="P24" i="112"/>
  <c r="P23" i="112"/>
  <c r="P22" i="112"/>
  <c r="P21" i="112"/>
  <c r="P20" i="112"/>
  <c r="P19" i="112"/>
  <c r="P18" i="112"/>
  <c r="P17" i="112"/>
  <c r="P16" i="112"/>
  <c r="P15" i="112"/>
  <c r="P14" i="112"/>
  <c r="P13" i="112"/>
  <c r="P12" i="112"/>
  <c r="P11" i="112"/>
  <c r="P10" i="112"/>
  <c r="P9" i="112"/>
  <c r="P8" i="112"/>
  <c r="P7" i="112"/>
  <c r="P6" i="112"/>
  <c r="P5" i="112"/>
  <c r="AF31" i="109"/>
  <c r="AF30" i="109"/>
  <c r="AF29" i="109"/>
  <c r="AF28" i="109"/>
  <c r="AF27" i="109"/>
  <c r="AF26" i="109"/>
  <c r="AF25" i="109"/>
  <c r="AF24" i="109"/>
  <c r="AF23" i="109"/>
  <c r="AF22" i="109"/>
  <c r="AF21" i="109"/>
  <c r="AF20" i="109"/>
  <c r="AF19" i="109"/>
  <c r="AF18" i="109"/>
  <c r="AF17" i="109"/>
  <c r="AF16" i="109"/>
  <c r="AF15" i="109"/>
  <c r="AF14" i="109"/>
  <c r="AF13" i="109"/>
  <c r="AF12" i="109"/>
  <c r="AF11" i="109"/>
  <c r="AF10" i="109"/>
  <c r="AF9" i="109"/>
  <c r="AF8" i="109"/>
  <c r="AF7" i="109"/>
  <c r="AF6" i="109"/>
  <c r="AF5" i="109"/>
  <c r="AF67" i="109" l="1"/>
  <c r="P67" i="110"/>
  <c r="AF32" i="109"/>
  <c r="P32" i="110"/>
  <c r="P67" i="111"/>
  <c r="P32" i="111"/>
  <c r="P67" i="112"/>
  <c r="P32" i="112"/>
  <c r="A59" i="140" l="1"/>
  <c r="A58" i="140"/>
  <c r="D58" i="140" s="1"/>
  <c r="A57" i="140"/>
  <c r="D57" i="140" s="1"/>
  <c r="A56" i="140"/>
  <c r="D56" i="140" s="1"/>
  <c r="A55" i="140"/>
  <c r="D55" i="140" s="1"/>
  <c r="A54" i="140"/>
  <c r="D54" i="140" s="1"/>
  <c r="A53" i="140"/>
  <c r="D53" i="140" s="1"/>
  <c r="A52" i="140"/>
  <c r="D52" i="140" s="1"/>
  <c r="A51" i="140"/>
  <c r="D51" i="140" s="1"/>
  <c r="A50" i="140"/>
  <c r="D50" i="140" s="1"/>
  <c r="A49" i="140"/>
  <c r="D49" i="140" s="1"/>
  <c r="A48" i="140"/>
  <c r="D48" i="140" s="1"/>
  <c r="A47" i="140"/>
  <c r="D47" i="140" s="1"/>
  <c r="A46" i="140"/>
  <c r="D46" i="140" s="1"/>
  <c r="A45" i="140"/>
  <c r="D45" i="140" s="1"/>
  <c r="A44" i="140"/>
  <c r="D44" i="140" s="1"/>
  <c r="A43" i="140"/>
  <c r="D43" i="140" s="1"/>
  <c r="A42" i="140"/>
  <c r="D42" i="140" s="1"/>
  <c r="A41" i="140"/>
  <c r="D41" i="140" s="1"/>
  <c r="A40" i="140"/>
  <c r="D40" i="140" s="1"/>
  <c r="A39" i="140"/>
  <c r="D39" i="140" s="1"/>
  <c r="A38" i="140"/>
  <c r="D38" i="140" s="1"/>
  <c r="A37" i="140"/>
  <c r="D37" i="140" s="1"/>
  <c r="A36" i="140"/>
  <c r="D36" i="140" s="1"/>
  <c r="A35" i="140"/>
  <c r="D35" i="140" s="1"/>
  <c r="A34" i="140"/>
  <c r="D34" i="140" s="1"/>
  <c r="A33" i="140"/>
  <c r="D33" i="140" s="1"/>
  <c r="A32" i="140"/>
  <c r="D32" i="140" s="1"/>
  <c r="D23" i="140"/>
  <c r="D19" i="140"/>
  <c r="D15" i="140"/>
  <c r="D11" i="140"/>
  <c r="D7" i="140"/>
  <c r="D59" i="140" l="1"/>
  <c r="G37" i="121" s="1"/>
  <c r="E15" i="140"/>
  <c r="C45" i="140" s="1"/>
  <c r="AN7" i="66" s="1"/>
  <c r="B45" i="140"/>
  <c r="AM7" i="66" s="1"/>
  <c r="E19" i="140"/>
  <c r="C49" i="140" s="1"/>
  <c r="B49" i="140"/>
  <c r="AM28" i="66" s="1"/>
  <c r="E23" i="140"/>
  <c r="C53" i="140" s="1"/>
  <c r="AN9" i="66" s="1"/>
  <c r="B53" i="140"/>
  <c r="AM9" i="66" s="1"/>
  <c r="AN28" i="66"/>
  <c r="G9" i="121"/>
  <c r="G17" i="121"/>
  <c r="G25" i="121"/>
  <c r="G33" i="121"/>
  <c r="G10" i="121"/>
  <c r="G18" i="121"/>
  <c r="G26" i="121"/>
  <c r="G7" i="121"/>
  <c r="G11" i="121"/>
  <c r="G19" i="121"/>
  <c r="G27" i="121"/>
  <c r="G12" i="121"/>
  <c r="G20" i="121"/>
  <c r="G28" i="121"/>
  <c r="G13" i="121"/>
  <c r="G21" i="121"/>
  <c r="G29" i="121"/>
  <c r="G14" i="121"/>
  <c r="G22" i="121"/>
  <c r="G30" i="121"/>
  <c r="G15" i="121"/>
  <c r="G23" i="121"/>
  <c r="G31" i="121"/>
  <c r="G8" i="121"/>
  <c r="G16" i="121"/>
  <c r="G24" i="121"/>
  <c r="G32" i="121"/>
  <c r="E11" i="140"/>
  <c r="C41" i="140" s="1"/>
  <c r="AN14" i="66" s="1"/>
  <c r="B41" i="140"/>
  <c r="E7" i="140"/>
  <c r="C37" i="140" s="1"/>
  <c r="AN13" i="66" s="1"/>
  <c r="B37" i="140"/>
  <c r="D22" i="140"/>
  <c r="D26" i="140"/>
  <c r="D27" i="140"/>
  <c r="D6" i="140"/>
  <c r="D10" i="140"/>
  <c r="D14" i="140"/>
  <c r="D18" i="140"/>
  <c r="D3" i="140"/>
  <c r="D2" i="140"/>
  <c r="D4" i="140"/>
  <c r="D5" i="140"/>
  <c r="D8" i="140"/>
  <c r="D9" i="140"/>
  <c r="D12" i="140"/>
  <c r="D13" i="140"/>
  <c r="D16" i="140"/>
  <c r="D17" i="140"/>
  <c r="D20" i="140"/>
  <c r="D21" i="140"/>
  <c r="D24" i="140"/>
  <c r="D25" i="140"/>
  <c r="D28" i="140"/>
  <c r="E41" i="140" l="1"/>
  <c r="E37" i="140"/>
  <c r="E22" i="140"/>
  <c r="C52" i="140" s="1"/>
  <c r="AN8" i="66" s="1"/>
  <c r="B52" i="140"/>
  <c r="E25" i="140"/>
  <c r="C55" i="140" s="1"/>
  <c r="AN30" i="66" s="1"/>
  <c r="B55" i="140"/>
  <c r="E3" i="140"/>
  <c r="C33" i="140" s="1"/>
  <c r="AN11" i="66" s="1"/>
  <c r="B33" i="140"/>
  <c r="E8" i="140"/>
  <c r="C38" i="140" s="1"/>
  <c r="AN20" i="66" s="1"/>
  <c r="B38" i="140"/>
  <c r="E21" i="140"/>
  <c r="C51" i="140" s="1"/>
  <c r="AN18" i="66" s="1"/>
  <c r="B51" i="140"/>
  <c r="AM14" i="66"/>
  <c r="E20" i="140"/>
  <c r="C50" i="140" s="1"/>
  <c r="AN26" i="66" s="1"/>
  <c r="B50" i="140"/>
  <c r="E10" i="140"/>
  <c r="C40" i="140" s="1"/>
  <c r="AN21" i="66" s="1"/>
  <c r="B40" i="140"/>
  <c r="E9" i="140"/>
  <c r="C39" i="140" s="1"/>
  <c r="AN24" i="66" s="1"/>
  <c r="B39" i="140"/>
  <c r="E5" i="140"/>
  <c r="C35" i="140" s="1"/>
  <c r="AN6" i="66" s="1"/>
  <c r="B35" i="140"/>
  <c r="E14" i="140"/>
  <c r="C44" i="140" s="1"/>
  <c r="AN23" i="66" s="1"/>
  <c r="B44" i="140"/>
  <c r="E17" i="140"/>
  <c r="C47" i="140" s="1"/>
  <c r="AN16" i="66" s="1"/>
  <c r="B47" i="140"/>
  <c r="E6" i="140"/>
  <c r="C36" i="140" s="1"/>
  <c r="AN12" i="66" s="1"/>
  <c r="B36" i="140"/>
  <c r="E16" i="140"/>
  <c r="C46" i="140" s="1"/>
  <c r="AN15" i="66" s="1"/>
  <c r="B46" i="140"/>
  <c r="E27" i="140"/>
  <c r="C57" i="140" s="1"/>
  <c r="AN27" i="66" s="1"/>
  <c r="B57" i="140"/>
  <c r="E53" i="140"/>
  <c r="E28" i="140"/>
  <c r="C58" i="140" s="1"/>
  <c r="AN10" i="66" s="1"/>
  <c r="B58" i="140"/>
  <c r="E49" i="140"/>
  <c r="E13" i="140"/>
  <c r="C43" i="140" s="1"/>
  <c r="AN22" i="66" s="1"/>
  <c r="B43" i="140"/>
  <c r="AM13" i="66"/>
  <c r="E26" i="140"/>
  <c r="C56" i="140" s="1"/>
  <c r="AN19" i="66" s="1"/>
  <c r="B56" i="140"/>
  <c r="E12" i="140"/>
  <c r="C42" i="140" s="1"/>
  <c r="AN25" i="66" s="1"/>
  <c r="B42" i="140"/>
  <c r="E24" i="140"/>
  <c r="C54" i="140" s="1"/>
  <c r="AN29" i="66" s="1"/>
  <c r="B54" i="140"/>
  <c r="E18" i="140"/>
  <c r="C48" i="140" s="1"/>
  <c r="AN17" i="66" s="1"/>
  <c r="B48" i="140"/>
  <c r="E45" i="140"/>
  <c r="E4" i="140"/>
  <c r="C34" i="140" s="1"/>
  <c r="AN5" i="66" s="1"/>
  <c r="B34" i="140"/>
  <c r="E2" i="140"/>
  <c r="C32" i="140" s="1"/>
  <c r="B32" i="140"/>
  <c r="D29" i="140"/>
  <c r="E29" i="140" s="1"/>
  <c r="E32" i="140" l="1"/>
  <c r="B59" i="140"/>
  <c r="C59" i="140"/>
  <c r="AN4" i="66"/>
  <c r="E42" i="140"/>
  <c r="AM25" i="66"/>
  <c r="E58" i="140"/>
  <c r="AM10" i="66"/>
  <c r="E38" i="140"/>
  <c r="AM20" i="66"/>
  <c r="E47" i="140"/>
  <c r="AM16" i="66"/>
  <c r="E40" i="140"/>
  <c r="AM21" i="66"/>
  <c r="E48" i="140"/>
  <c r="AM17" i="66"/>
  <c r="E34" i="140"/>
  <c r="AM5" i="66"/>
  <c r="E56" i="140"/>
  <c r="AM19" i="66"/>
  <c r="E33" i="140"/>
  <c r="AM11" i="66"/>
  <c r="E57" i="140"/>
  <c r="AM27" i="66"/>
  <c r="E44" i="140"/>
  <c r="AM23" i="66"/>
  <c r="E50" i="140"/>
  <c r="AM26" i="66"/>
  <c r="E55" i="140"/>
  <c r="AM30" i="66"/>
  <c r="E43" i="140"/>
  <c r="AM22" i="66"/>
  <c r="E46" i="140"/>
  <c r="AM15" i="66"/>
  <c r="E35" i="140"/>
  <c r="AM6" i="66"/>
  <c r="E54" i="140"/>
  <c r="AM29" i="66"/>
  <c r="E51" i="140"/>
  <c r="AM18" i="66"/>
  <c r="E52" i="140"/>
  <c r="AM8" i="66"/>
  <c r="AM4" i="66"/>
  <c r="E36" i="140"/>
  <c r="AM12" i="66"/>
  <c r="E39" i="140"/>
  <c r="AM24" i="66"/>
  <c r="FF30" i="139"/>
  <c r="CD30" i="139"/>
  <c r="ET30" i="139"/>
  <c r="DR30" i="139"/>
  <c r="DB30" i="139"/>
  <c r="CT30" i="139"/>
  <c r="CN30" i="139"/>
  <c r="T59" i="138"/>
  <c r="Q59" i="138"/>
  <c r="N59" i="138"/>
  <c r="K59" i="138"/>
  <c r="H59" i="138"/>
  <c r="E59" i="138"/>
  <c r="B59" i="138"/>
  <c r="T58" i="138"/>
  <c r="Q58" i="138"/>
  <c r="N58" i="138"/>
  <c r="K58" i="138"/>
  <c r="H58" i="138"/>
  <c r="E58" i="138"/>
  <c r="B58" i="138"/>
  <c r="T57" i="138"/>
  <c r="Q57" i="138"/>
  <c r="N57" i="138"/>
  <c r="K57" i="138"/>
  <c r="H57" i="138"/>
  <c r="E57" i="138"/>
  <c r="B57" i="138"/>
  <c r="T56" i="138"/>
  <c r="Q56" i="138"/>
  <c r="N56" i="138"/>
  <c r="K56" i="138"/>
  <c r="H56" i="138"/>
  <c r="E56" i="138"/>
  <c r="B56" i="138"/>
  <c r="T55" i="138"/>
  <c r="Q55" i="138"/>
  <c r="N55" i="138"/>
  <c r="K55" i="138"/>
  <c r="H55" i="138"/>
  <c r="E55" i="138"/>
  <c r="B55" i="138"/>
  <c r="T54" i="138"/>
  <c r="Q54" i="138"/>
  <c r="N54" i="138"/>
  <c r="K54" i="138"/>
  <c r="H54" i="138"/>
  <c r="E54" i="138"/>
  <c r="B54" i="138"/>
  <c r="T53" i="138"/>
  <c r="Q53" i="138"/>
  <c r="N53" i="138"/>
  <c r="K53" i="138"/>
  <c r="H53" i="138"/>
  <c r="E53" i="138"/>
  <c r="B53" i="138"/>
  <c r="T52" i="138"/>
  <c r="Q52" i="138"/>
  <c r="N52" i="138"/>
  <c r="K52" i="138"/>
  <c r="H52" i="138"/>
  <c r="E52" i="138"/>
  <c r="B52" i="138"/>
  <c r="T51" i="138"/>
  <c r="Q51" i="138"/>
  <c r="N51" i="138"/>
  <c r="K51" i="138"/>
  <c r="H51" i="138"/>
  <c r="E51" i="138"/>
  <c r="B51" i="138"/>
  <c r="T50" i="138"/>
  <c r="Q50" i="138"/>
  <c r="N50" i="138"/>
  <c r="K50" i="138"/>
  <c r="H50" i="138"/>
  <c r="E50" i="138"/>
  <c r="B50" i="138"/>
  <c r="T49" i="138"/>
  <c r="Q49" i="138"/>
  <c r="N49" i="138"/>
  <c r="K49" i="138"/>
  <c r="H49" i="138"/>
  <c r="E49" i="138"/>
  <c r="B49" i="138"/>
  <c r="T48" i="138"/>
  <c r="Q48" i="138"/>
  <c r="N48" i="138"/>
  <c r="K48" i="138"/>
  <c r="H48" i="138"/>
  <c r="E48" i="138"/>
  <c r="B48" i="138"/>
  <c r="T47" i="138"/>
  <c r="Q47" i="138"/>
  <c r="N47" i="138"/>
  <c r="K47" i="138"/>
  <c r="H47" i="138"/>
  <c r="E47" i="138"/>
  <c r="B47" i="138"/>
  <c r="T46" i="138"/>
  <c r="Q46" i="138"/>
  <c r="N46" i="138"/>
  <c r="K46" i="138"/>
  <c r="H46" i="138"/>
  <c r="E46" i="138"/>
  <c r="B46" i="138"/>
  <c r="T45" i="138"/>
  <c r="Q45" i="138"/>
  <c r="N45" i="138"/>
  <c r="K45" i="138"/>
  <c r="H45" i="138"/>
  <c r="E45" i="138"/>
  <c r="B45" i="138"/>
  <c r="T44" i="138"/>
  <c r="Q44" i="138"/>
  <c r="N44" i="138"/>
  <c r="K44" i="138"/>
  <c r="H44" i="138"/>
  <c r="E44" i="138"/>
  <c r="B44" i="138"/>
  <c r="T43" i="138"/>
  <c r="Q43" i="138"/>
  <c r="N43" i="138"/>
  <c r="K43" i="138"/>
  <c r="H43" i="138"/>
  <c r="E43" i="138"/>
  <c r="B43" i="138"/>
  <c r="T42" i="138"/>
  <c r="Q42" i="138"/>
  <c r="N42" i="138"/>
  <c r="K42" i="138"/>
  <c r="H42" i="138"/>
  <c r="E42" i="138"/>
  <c r="B42" i="138"/>
  <c r="T41" i="138"/>
  <c r="Q41" i="138"/>
  <c r="N41" i="138"/>
  <c r="K41" i="138"/>
  <c r="H41" i="138"/>
  <c r="E41" i="138"/>
  <c r="B41" i="138"/>
  <c r="T40" i="138"/>
  <c r="Q40" i="138"/>
  <c r="N40" i="138"/>
  <c r="K40" i="138"/>
  <c r="H40" i="138"/>
  <c r="E40" i="138"/>
  <c r="B40" i="138"/>
  <c r="T39" i="138"/>
  <c r="Q39" i="138"/>
  <c r="N39" i="138"/>
  <c r="K39" i="138"/>
  <c r="H39" i="138"/>
  <c r="E39" i="138"/>
  <c r="B39" i="138"/>
  <c r="T38" i="138"/>
  <c r="Q38" i="138"/>
  <c r="N38" i="138"/>
  <c r="K38" i="138"/>
  <c r="H38" i="138"/>
  <c r="E38" i="138"/>
  <c r="B38" i="138"/>
  <c r="T37" i="138"/>
  <c r="Q37" i="138"/>
  <c r="N37" i="138"/>
  <c r="K37" i="138"/>
  <c r="H37" i="138"/>
  <c r="E37" i="138"/>
  <c r="B37" i="138"/>
  <c r="T36" i="138"/>
  <c r="Q36" i="138"/>
  <c r="N36" i="138"/>
  <c r="K36" i="138"/>
  <c r="H36" i="138"/>
  <c r="E36" i="138"/>
  <c r="B36" i="138"/>
  <c r="T35" i="138"/>
  <c r="Q35" i="138"/>
  <c r="N35" i="138"/>
  <c r="K35" i="138"/>
  <c r="H35" i="138"/>
  <c r="E35" i="138"/>
  <c r="B35" i="138"/>
  <c r="T34" i="138"/>
  <c r="Q34" i="138"/>
  <c r="N34" i="138"/>
  <c r="K34" i="138"/>
  <c r="H34" i="138"/>
  <c r="E34" i="138"/>
  <c r="B34" i="138"/>
  <c r="T33" i="138"/>
  <c r="Q33" i="138"/>
  <c r="N33" i="138"/>
  <c r="K33" i="138"/>
  <c r="H33" i="138"/>
  <c r="FD30" i="138"/>
  <c r="FC30" i="138"/>
  <c r="FB30" i="138"/>
  <c r="AD32" i="137" s="1"/>
  <c r="FA30" i="138"/>
  <c r="EZ30" i="138"/>
  <c r="EY30" i="138"/>
  <c r="Z32" i="137" s="1"/>
  <c r="EX30" i="138"/>
  <c r="EW30" i="138"/>
  <c r="EV30" i="138"/>
  <c r="V32" i="137" s="1"/>
  <c r="EU30" i="138"/>
  <c r="ET30" i="138"/>
  <c r="ES30" i="138"/>
  <c r="R32" i="137" s="1"/>
  <c r="ER30" i="138"/>
  <c r="EQ30" i="138"/>
  <c r="EP30" i="138"/>
  <c r="N32" i="137" s="1"/>
  <c r="EO30" i="138"/>
  <c r="EN30" i="138"/>
  <c r="EM30" i="138"/>
  <c r="J32" i="137" s="1"/>
  <c r="EL30" i="138"/>
  <c r="EK30" i="138"/>
  <c r="EJ30" i="138"/>
  <c r="F32" i="137" s="1"/>
  <c r="EI30" i="138"/>
  <c r="EH30" i="138"/>
  <c r="EG30" i="138"/>
  <c r="B32" i="137" s="1"/>
  <c r="EF30" i="138"/>
  <c r="EE30" i="138"/>
  <c r="ED30" i="138"/>
  <c r="J32" i="136" s="1"/>
  <c r="EC30" i="138"/>
  <c r="EB30" i="138"/>
  <c r="EA30" i="138"/>
  <c r="F32" i="136" s="1"/>
  <c r="DZ30" i="138"/>
  <c r="DY30" i="138"/>
  <c r="DX30" i="138"/>
  <c r="B32" i="136" s="1"/>
  <c r="DW30" i="138"/>
  <c r="DV30" i="138"/>
  <c r="DU30" i="138"/>
  <c r="AP32" i="135" s="1"/>
  <c r="DT30" i="138"/>
  <c r="DS30" i="138"/>
  <c r="DR30" i="138"/>
  <c r="AL32" i="135" s="1"/>
  <c r="DQ30" i="138"/>
  <c r="DP30" i="138"/>
  <c r="DO30" i="138"/>
  <c r="AH32" i="135" s="1"/>
  <c r="DN30" i="138"/>
  <c r="DM30" i="138"/>
  <c r="DL30" i="138"/>
  <c r="AD32" i="135" s="1"/>
  <c r="DK30" i="138"/>
  <c r="DJ30" i="138"/>
  <c r="DI30" i="138"/>
  <c r="Z32" i="135" s="1"/>
  <c r="DH30" i="138"/>
  <c r="DG30" i="138"/>
  <c r="DF30" i="138"/>
  <c r="V32" i="135" s="1"/>
  <c r="DE30" i="138"/>
  <c r="DD30" i="138"/>
  <c r="DC30" i="138"/>
  <c r="R32" i="135" s="1"/>
  <c r="DB30" i="138"/>
  <c r="DA30" i="138"/>
  <c r="CZ30" i="138"/>
  <c r="N32" i="135" s="1"/>
  <c r="CY30" i="138"/>
  <c r="CX30" i="138"/>
  <c r="CW30" i="138"/>
  <c r="J32" i="135" s="1"/>
  <c r="CV30" i="138"/>
  <c r="CU30" i="138"/>
  <c r="CT30" i="138"/>
  <c r="F32" i="135" s="1"/>
  <c r="CS30" i="138"/>
  <c r="CR30" i="138"/>
  <c r="CQ30" i="138"/>
  <c r="B32" i="135" s="1"/>
  <c r="CP30" i="138"/>
  <c r="CO30" i="138"/>
  <c r="CN30" i="138"/>
  <c r="N32" i="134" s="1"/>
  <c r="CM30" i="138"/>
  <c r="CL30" i="138"/>
  <c r="CK30" i="138"/>
  <c r="J32" i="134" s="1"/>
  <c r="CJ30" i="138"/>
  <c r="CI30" i="138"/>
  <c r="CH30" i="138"/>
  <c r="F32" i="134" s="1"/>
  <c r="CG30" i="138"/>
  <c r="CF30" i="138"/>
  <c r="CE30" i="138"/>
  <c r="B32" i="134" s="1"/>
  <c r="CD30" i="138"/>
  <c r="CC30" i="138"/>
  <c r="CB30" i="138"/>
  <c r="Z32" i="133" s="1"/>
  <c r="CA30" i="138"/>
  <c r="BZ30" i="138"/>
  <c r="BY30" i="138"/>
  <c r="V32" i="133" s="1"/>
  <c r="BX30" i="138"/>
  <c r="BW30" i="138"/>
  <c r="BV30" i="138"/>
  <c r="R32" i="133" s="1"/>
  <c r="BU30" i="138"/>
  <c r="BT30" i="138"/>
  <c r="BS30" i="138"/>
  <c r="N32" i="133" s="1"/>
  <c r="BR30" i="138"/>
  <c r="BQ30" i="138"/>
  <c r="BP30" i="138"/>
  <c r="J32" i="133" s="1"/>
  <c r="BO30" i="138"/>
  <c r="BN30" i="138"/>
  <c r="BM30" i="138"/>
  <c r="F32" i="133" s="1"/>
  <c r="BL30" i="138"/>
  <c r="BK30" i="138"/>
  <c r="BJ30" i="138"/>
  <c r="B32" i="133" s="1"/>
  <c r="BI30" i="138"/>
  <c r="BH30" i="138"/>
  <c r="BG30" i="138"/>
  <c r="AH32" i="132" s="1"/>
  <c r="BF30" i="138"/>
  <c r="BE30" i="138"/>
  <c r="BD30" i="138"/>
  <c r="AD32" i="132" s="1"/>
  <c r="BC30" i="138"/>
  <c r="BB30" i="138"/>
  <c r="BA30" i="138"/>
  <c r="Z32" i="132" s="1"/>
  <c r="AZ30" i="138"/>
  <c r="AY30" i="138"/>
  <c r="AX30" i="138"/>
  <c r="V32" i="132" s="1"/>
  <c r="AW30" i="138"/>
  <c r="AV30" i="138"/>
  <c r="AU30" i="138"/>
  <c r="R32" i="132" s="1"/>
  <c r="AT30" i="138"/>
  <c r="AS30" i="138"/>
  <c r="AR30" i="138"/>
  <c r="N32" i="132" s="1"/>
  <c r="AQ30" i="138"/>
  <c r="AP30" i="138"/>
  <c r="AO30" i="138"/>
  <c r="J32" i="132" s="1"/>
  <c r="AN30" i="138"/>
  <c r="AM30" i="138"/>
  <c r="AL30" i="138"/>
  <c r="F32" i="132" s="1"/>
  <c r="AK30" i="138"/>
  <c r="AJ30" i="138"/>
  <c r="AI30" i="138"/>
  <c r="B32" i="132" s="1"/>
  <c r="AH30" i="138"/>
  <c r="AG30" i="138"/>
  <c r="AF30" i="138"/>
  <c r="AP32" i="131" s="1"/>
  <c r="AE30" i="138"/>
  <c r="AD30" i="138"/>
  <c r="AC30" i="138"/>
  <c r="AL32" i="131" s="1"/>
  <c r="AB30" i="138"/>
  <c r="AA30" i="138"/>
  <c r="Z30" i="138"/>
  <c r="AH32" i="131" s="1"/>
  <c r="Y30" i="138"/>
  <c r="X30" i="138"/>
  <c r="W30" i="138"/>
  <c r="AD32" i="131" s="1"/>
  <c r="V30" i="138"/>
  <c r="U30" i="138"/>
  <c r="T30" i="138"/>
  <c r="Z32" i="131" s="1"/>
  <c r="S30" i="138"/>
  <c r="R30" i="138"/>
  <c r="Q30" i="138"/>
  <c r="V32" i="131" s="1"/>
  <c r="P30" i="138"/>
  <c r="O30" i="138"/>
  <c r="N30" i="138"/>
  <c r="R32" i="131" s="1"/>
  <c r="M30" i="138"/>
  <c r="L30" i="138"/>
  <c r="K30" i="138"/>
  <c r="N32" i="131" s="1"/>
  <c r="J30" i="138"/>
  <c r="I30" i="138"/>
  <c r="H30" i="138"/>
  <c r="J32" i="131" s="1"/>
  <c r="G30" i="138"/>
  <c r="F30" i="138"/>
  <c r="E30" i="138"/>
  <c r="F32" i="131" s="1"/>
  <c r="D30" i="138"/>
  <c r="C30" i="138"/>
  <c r="B30" i="138"/>
  <c r="E30" i="139" l="1"/>
  <c r="B30" i="139"/>
  <c r="E59" i="140"/>
  <c r="W33" i="138"/>
  <c r="B3" i="130" s="1"/>
  <c r="DN30" i="139"/>
  <c r="B60" i="138"/>
  <c r="FN30" i="139"/>
  <c r="EN30" i="139"/>
  <c r="W42" i="138"/>
  <c r="FF12" i="138" s="1"/>
  <c r="BV30" i="139"/>
  <c r="EP30" i="139"/>
  <c r="GD30" i="139"/>
  <c r="CH30" i="139"/>
  <c r="DL30" i="139"/>
  <c r="GV30" i="139"/>
  <c r="W34" i="138"/>
  <c r="FF4" i="138" s="1"/>
  <c r="W50" i="138"/>
  <c r="FF20" i="138" s="1"/>
  <c r="W58" i="138"/>
  <c r="FF28" i="138" s="1"/>
  <c r="X30" i="139"/>
  <c r="BX30" i="139"/>
  <c r="J30" i="139"/>
  <c r="R30" i="139"/>
  <c r="Z30" i="139"/>
  <c r="AH30" i="139"/>
  <c r="AP30" i="139"/>
  <c r="AX30" i="139"/>
  <c r="BF30" i="139"/>
  <c r="BN30" i="139"/>
  <c r="CL30" i="139"/>
  <c r="CX30" i="139"/>
  <c r="EH30" i="139"/>
  <c r="FR30" i="139"/>
  <c r="GX30" i="139"/>
  <c r="CP30" i="139"/>
  <c r="DJ30" i="139"/>
  <c r="DV30" i="139"/>
  <c r="DZ30" i="139"/>
  <c r="EX30" i="139"/>
  <c r="FJ30" i="139"/>
  <c r="GT30" i="139"/>
  <c r="HB30" i="139"/>
  <c r="BZ30" i="139"/>
  <c r="ED30" i="139"/>
  <c r="EL30" i="139"/>
  <c r="FZ30" i="139"/>
  <c r="GH30" i="139"/>
  <c r="FV30" i="139"/>
  <c r="GL30" i="139"/>
  <c r="GP30" i="139"/>
  <c r="FB30" i="139"/>
  <c r="HA30" i="139"/>
  <c r="E92" i="139" s="1"/>
  <c r="FF3" i="138"/>
  <c r="N60" i="138"/>
  <c r="W44" i="138"/>
  <c r="W35" i="138"/>
  <c r="W43" i="138"/>
  <c r="W51" i="138"/>
  <c r="W59" i="138"/>
  <c r="F30" i="139"/>
  <c r="B20" i="130"/>
  <c r="B32" i="131"/>
  <c r="FE30" i="138"/>
  <c r="W41" i="138"/>
  <c r="W49" i="138"/>
  <c r="W57" i="138"/>
  <c r="W48" i="138"/>
  <c r="W56" i="138"/>
  <c r="L30" i="139"/>
  <c r="AR30" i="139"/>
  <c r="H60" i="138"/>
  <c r="W40" i="138"/>
  <c r="K60" i="138"/>
  <c r="W39" i="138"/>
  <c r="W47" i="138"/>
  <c r="W55" i="138"/>
  <c r="W54" i="138"/>
  <c r="Q60" i="138"/>
  <c r="W37" i="138"/>
  <c r="W45" i="138"/>
  <c r="W53" i="138"/>
  <c r="W38" i="138"/>
  <c r="W46" i="138"/>
  <c r="T60" i="138"/>
  <c r="W36" i="138"/>
  <c r="W52" i="138"/>
  <c r="T30" i="139"/>
  <c r="BP30" i="139"/>
  <c r="DF30" i="139"/>
  <c r="C30" i="139"/>
  <c r="AZ30" i="139"/>
  <c r="H30" i="139"/>
  <c r="P30" i="139"/>
  <c r="AB30" i="139"/>
  <c r="AF30" i="139"/>
  <c r="AJ30" i="139"/>
  <c r="AN30" i="139"/>
  <c r="AV30" i="139"/>
  <c r="BD30" i="139"/>
  <c r="BH30" i="139"/>
  <c r="BL30" i="139"/>
  <c r="CV30" i="139"/>
  <c r="CZ30" i="139"/>
  <c r="DD30" i="139"/>
  <c r="DH30" i="139"/>
  <c r="DT30" i="139"/>
  <c r="EJ30" i="139"/>
  <c r="ER30" i="139"/>
  <c r="EV30" i="139"/>
  <c r="FP30" i="139"/>
  <c r="FT30" i="139"/>
  <c r="GF30" i="139"/>
  <c r="GZ30" i="139"/>
  <c r="BT30" i="139"/>
  <c r="CF30" i="139"/>
  <c r="CJ30" i="139"/>
  <c r="CR30" i="139"/>
  <c r="DX30" i="139"/>
  <c r="EB30" i="139"/>
  <c r="EZ30" i="139"/>
  <c r="FL30" i="139"/>
  <c r="HD30" i="139"/>
  <c r="CB30" i="139"/>
  <c r="EF30" i="139"/>
  <c r="GB30" i="139"/>
  <c r="GJ30" i="139"/>
  <c r="DP30" i="139"/>
  <c r="FX30" i="139"/>
  <c r="GN30" i="139"/>
  <c r="GR30" i="139"/>
  <c r="FD30" i="139"/>
  <c r="FH30" i="139"/>
  <c r="GO30" i="139"/>
  <c r="E89" i="139" s="1"/>
  <c r="F50" i="69" s="1"/>
  <c r="E60" i="138"/>
  <c r="N30" i="139"/>
  <c r="V30" i="139"/>
  <c r="AD30" i="139"/>
  <c r="AL30" i="139"/>
  <c r="AT30" i="139"/>
  <c r="BB30" i="139"/>
  <c r="BJ30" i="139"/>
  <c r="BR30" i="139"/>
  <c r="B4" i="130" l="1"/>
  <c r="B12" i="130"/>
  <c r="AC30" i="139"/>
  <c r="E41" i="139" s="1"/>
  <c r="F8" i="69" s="1"/>
  <c r="AE30" i="139"/>
  <c r="C42" i="139" s="1"/>
  <c r="D9" i="69" s="1"/>
  <c r="W60" i="138"/>
  <c r="B31" i="130" s="1"/>
  <c r="CI30" i="139"/>
  <c r="C58" i="139" s="1"/>
  <c r="D23" i="69" s="1"/>
  <c r="FG30" i="139"/>
  <c r="C79" i="139" s="1"/>
  <c r="D42" i="69" s="1"/>
  <c r="FC30" i="139"/>
  <c r="C78" i="139" s="1"/>
  <c r="D41" i="69" s="1"/>
  <c r="B28" i="130"/>
  <c r="GU30" i="139"/>
  <c r="C91" i="139" s="1"/>
  <c r="D52" i="69" s="1"/>
  <c r="CY30" i="139"/>
  <c r="C62" i="139" s="1"/>
  <c r="D27" i="69" s="1"/>
  <c r="GE30" i="139"/>
  <c r="AQ30" i="139"/>
  <c r="C45" i="139" s="1"/>
  <c r="D12" i="69" s="1"/>
  <c r="BY30" i="139"/>
  <c r="E54" i="139" s="1"/>
  <c r="F20" i="69" s="1"/>
  <c r="DE30" i="139"/>
  <c r="E63" i="139" s="1"/>
  <c r="F28" i="69" s="1"/>
  <c r="AS30" i="139"/>
  <c r="E45" i="139" s="1"/>
  <c r="F12" i="69" s="1"/>
  <c r="GK30" i="139"/>
  <c r="GW30" i="139"/>
  <c r="E91" i="139" s="1"/>
  <c r="F52" i="69" s="1"/>
  <c r="DM30" i="139"/>
  <c r="E66" i="139" s="1"/>
  <c r="CE30" i="139"/>
  <c r="DO30" i="139"/>
  <c r="C67" i="139" s="1"/>
  <c r="D31" i="69" s="1"/>
  <c r="BK30" i="139"/>
  <c r="GI30" i="139"/>
  <c r="C88" i="139" s="1"/>
  <c r="D49" i="69" s="1"/>
  <c r="FY30" i="139"/>
  <c r="E84" i="139" s="1"/>
  <c r="F46" i="69" s="1"/>
  <c r="S30" i="139"/>
  <c r="C39" i="139" s="1"/>
  <c r="D6" i="69" s="1"/>
  <c r="BG30" i="139"/>
  <c r="C50" i="139" s="1"/>
  <c r="D16" i="69" s="1"/>
  <c r="EM30" i="139"/>
  <c r="C74" i="139" s="1"/>
  <c r="D37" i="69" s="1"/>
  <c r="EK30" i="139"/>
  <c r="E73" i="139" s="1"/>
  <c r="F36" i="69" s="1"/>
  <c r="EE30" i="139"/>
  <c r="C72" i="139" s="1"/>
  <c r="D35" i="69" s="1"/>
  <c r="B15" i="130"/>
  <c r="FF15" i="138"/>
  <c r="FF17" i="138"/>
  <c r="B17" i="130"/>
  <c r="FF29" i="138"/>
  <c r="B29" i="130"/>
  <c r="DW30" i="139"/>
  <c r="C70" i="139" s="1"/>
  <c r="D33" i="69" s="1"/>
  <c r="GQ30" i="139"/>
  <c r="C90" i="139" s="1"/>
  <c r="D51" i="69" s="1"/>
  <c r="FF22" i="138"/>
  <c r="B22" i="130"/>
  <c r="FF7" i="138"/>
  <c r="B7" i="130"/>
  <c r="B9" i="130"/>
  <c r="FF9" i="138"/>
  <c r="B26" i="130"/>
  <c r="FF26" i="138"/>
  <c r="FF27" i="138"/>
  <c r="B27" i="130"/>
  <c r="FF21" i="138"/>
  <c r="B21" i="130"/>
  <c r="GA30" i="139"/>
  <c r="C86" i="139" s="1"/>
  <c r="D47" i="69" s="1"/>
  <c r="EQ30" i="139"/>
  <c r="B6" i="130"/>
  <c r="FF6" i="138"/>
  <c r="FF18" i="138"/>
  <c r="B18" i="130"/>
  <c r="B19" i="130"/>
  <c r="FF19" i="138"/>
  <c r="FF13" i="138"/>
  <c r="B13" i="130"/>
  <c r="FF24" i="138"/>
  <c r="B24" i="130"/>
  <c r="FF10" i="138"/>
  <c r="B10" i="130"/>
  <c r="FF11" i="138"/>
  <c r="B11" i="130"/>
  <c r="FF5" i="138"/>
  <c r="B5" i="130"/>
  <c r="GG30" i="139"/>
  <c r="E87" i="139" s="1"/>
  <c r="F48" i="69" s="1"/>
  <c r="K30" i="139"/>
  <c r="C37" i="139" s="1"/>
  <c r="D4" i="69" s="1"/>
  <c r="U30" i="139"/>
  <c r="E39" i="139" s="1"/>
  <c r="F6" i="69" s="1"/>
  <c r="FU30" i="139"/>
  <c r="E83" i="139" s="1"/>
  <c r="F45" i="69" s="1"/>
  <c r="AK30" i="139"/>
  <c r="E43" i="139" s="1"/>
  <c r="F10" i="69" s="1"/>
  <c r="FF16" i="138"/>
  <c r="B16" i="130"/>
  <c r="B14" i="130"/>
  <c r="FF14" i="138"/>
  <c r="DI30" i="139"/>
  <c r="E65" i="139" s="1"/>
  <c r="FF8" i="138"/>
  <c r="B8" i="130"/>
  <c r="O30" i="139"/>
  <c r="C38" i="139" s="1"/>
  <c r="D5" i="69" s="1"/>
  <c r="EC30" i="139"/>
  <c r="E71" i="139" s="1"/>
  <c r="F34" i="69" s="1"/>
  <c r="FI30" i="139"/>
  <c r="E79" i="139" s="1"/>
  <c r="F42" i="69" s="1"/>
  <c r="FF23" i="138"/>
  <c r="B23" i="130"/>
  <c r="FF25" i="138"/>
  <c r="B25" i="130"/>
  <c r="F30" i="69"/>
  <c r="DQ30" i="139"/>
  <c r="E67" i="139" s="1"/>
  <c r="EU30" i="139"/>
  <c r="C76" i="139" s="1"/>
  <c r="D39" i="69" s="1"/>
  <c r="W30" i="139"/>
  <c r="C40" i="139" s="1"/>
  <c r="D7" i="69" s="1"/>
  <c r="G30" i="139"/>
  <c r="C36" i="139" s="1"/>
  <c r="D3" i="69" s="1"/>
  <c r="EI30" i="139"/>
  <c r="C73" i="139" s="1"/>
  <c r="D36" i="69" s="1"/>
  <c r="CO30" i="139"/>
  <c r="E59" i="139" s="1"/>
  <c r="FQ30" i="139"/>
  <c r="E82" i="139" s="1"/>
  <c r="DA30" i="139"/>
  <c r="E62" i="139" s="1"/>
  <c r="AO30" i="139"/>
  <c r="E44" i="139" s="1"/>
  <c r="GC30" i="139"/>
  <c r="E86" i="139" s="1"/>
  <c r="CS30" i="139"/>
  <c r="E60" i="139" s="1"/>
  <c r="Y30" i="139"/>
  <c r="E40" i="139" s="1"/>
  <c r="ES30" i="139"/>
  <c r="E75" i="139" s="1"/>
  <c r="CU30" i="139"/>
  <c r="C61" i="139" s="1"/>
  <c r="D26" i="69" s="1"/>
  <c r="AI30" i="139"/>
  <c r="C43" i="139" s="1"/>
  <c r="D10" i="69" s="1"/>
  <c r="CM30" i="139"/>
  <c r="C59" i="139" s="1"/>
  <c r="D24" i="69" s="1"/>
  <c r="DC30" i="139"/>
  <c r="C63" i="139" s="1"/>
  <c r="D28" i="69" s="1"/>
  <c r="BC30" i="139"/>
  <c r="C49" i="139" s="1"/>
  <c r="D15" i="69" s="1"/>
  <c r="BS30" i="139"/>
  <c r="C53" i="139" s="1"/>
  <c r="D19" i="69" s="1"/>
  <c r="HE30" i="139"/>
  <c r="E93" i="139" s="1"/>
  <c r="AW30" i="139"/>
  <c r="E47" i="139" s="1"/>
  <c r="FM30" i="139"/>
  <c r="E80" i="139" s="1"/>
  <c r="HC30" i="139"/>
  <c r="C93" i="139" s="1"/>
  <c r="D54" i="69" s="1"/>
  <c r="FA30" i="139"/>
  <c r="E77" i="139" s="1"/>
  <c r="M30" i="139"/>
  <c r="E37" i="139" s="1"/>
  <c r="CK30" i="139"/>
  <c r="E58" i="139" s="1"/>
  <c r="EW30" i="139"/>
  <c r="E76" i="139" s="1"/>
  <c r="BU30" i="139"/>
  <c r="E53" i="139" s="1"/>
  <c r="I30" i="139"/>
  <c r="E36" i="139" s="1"/>
  <c r="GY30" i="139"/>
  <c r="C92" i="139" s="1"/>
  <c r="D53" i="69" s="1"/>
  <c r="AG30" i="139"/>
  <c r="E42" i="139" s="1"/>
  <c r="FW30" i="139"/>
  <c r="C84" i="139" s="1"/>
  <c r="D46" i="69" s="1"/>
  <c r="CG30" i="139"/>
  <c r="E57" i="139" s="1"/>
  <c r="BQ30" i="139"/>
  <c r="E52" i="139" s="1"/>
  <c r="E35" i="139"/>
  <c r="EO30" i="139"/>
  <c r="E74" i="139" s="1"/>
  <c r="CC30" i="139"/>
  <c r="E55" i="139" s="1"/>
  <c r="Q30" i="139"/>
  <c r="E38" i="139" s="1"/>
  <c r="BM30" i="139"/>
  <c r="E51" i="139" s="1"/>
  <c r="DK30" i="139"/>
  <c r="C66" i="139" s="1"/>
  <c r="D30" i="69" s="1"/>
  <c r="AY30" i="139"/>
  <c r="C48" i="139" s="1"/>
  <c r="D14" i="69" s="1"/>
  <c r="FK30" i="139"/>
  <c r="C80" i="139" s="1"/>
  <c r="D43" i="69" s="1"/>
  <c r="AU30" i="139"/>
  <c r="DS30" i="139"/>
  <c r="C68" i="139" s="1"/>
  <c r="D32" i="69" s="1"/>
  <c r="CQ30" i="139"/>
  <c r="C60" i="139" s="1"/>
  <c r="D25" i="69" s="1"/>
  <c r="DG30" i="139"/>
  <c r="C65" i="139" s="1"/>
  <c r="D29" i="69" s="1"/>
  <c r="FS30" i="139"/>
  <c r="C83" i="139" s="1"/>
  <c r="D45" i="69" s="1"/>
  <c r="BW30" i="139"/>
  <c r="C54" i="139" s="1"/>
  <c r="D20" i="69" s="1"/>
  <c r="F53" i="69"/>
  <c r="BO30" i="139"/>
  <c r="CW30" i="139"/>
  <c r="E61" i="139" s="1"/>
  <c r="BI30" i="139"/>
  <c r="E50" i="139" s="1"/>
  <c r="EG30" i="139"/>
  <c r="E72" i="139" s="1"/>
  <c r="BE30" i="139"/>
  <c r="E49" i="139" s="1"/>
  <c r="GS30" i="139"/>
  <c r="E90" i="139" s="1"/>
  <c r="F51" i="69" s="1"/>
  <c r="GM30" i="139"/>
  <c r="GM31" i="139" s="1"/>
  <c r="EA30" i="139"/>
  <c r="C71" i="139" s="1"/>
  <c r="D34" i="69" s="1"/>
  <c r="C35" i="139"/>
  <c r="D2" i="69" s="1"/>
  <c r="CA30" i="139"/>
  <c r="C55" i="139" s="1"/>
  <c r="D21" i="69" s="1"/>
  <c r="EY30" i="139"/>
  <c r="C77" i="139" s="1"/>
  <c r="D40" i="69" s="1"/>
  <c r="AA30" i="139"/>
  <c r="C41" i="139" s="1"/>
  <c r="D8" i="69" s="1"/>
  <c r="FE30" i="139"/>
  <c r="BA30" i="139"/>
  <c r="E48" i="139" s="1"/>
  <c r="DY30" i="139"/>
  <c r="DU30" i="139"/>
  <c r="E68" i="139" s="1"/>
  <c r="FO30" i="139"/>
  <c r="C82" i="139" s="1"/>
  <c r="D44" i="69" s="1"/>
  <c r="AM30" i="139"/>
  <c r="C44" i="139" s="1"/>
  <c r="D11" i="69" s="1"/>
  <c r="C75" i="139"/>
  <c r="D38" i="69" s="1"/>
  <c r="C51" i="139"/>
  <c r="D17" i="69" s="1"/>
  <c r="G76" i="139" l="1"/>
  <c r="GU31" i="139"/>
  <c r="FG31" i="139"/>
  <c r="FC31" i="139"/>
  <c r="EI31" i="139"/>
  <c r="GY31" i="139"/>
  <c r="G86" i="139"/>
  <c r="GA31" i="139"/>
  <c r="CI31" i="139"/>
  <c r="BO31" i="139"/>
  <c r="BC31" i="139"/>
  <c r="GI31" i="139"/>
  <c r="FK31" i="139"/>
  <c r="DC31" i="139"/>
  <c r="E88" i="139"/>
  <c r="F49" i="69" s="1"/>
  <c r="C89" i="139"/>
  <c r="D50" i="69" s="1"/>
  <c r="GQ31" i="139"/>
  <c r="GE31" i="139"/>
  <c r="G65" i="139"/>
  <c r="EQ31" i="139"/>
  <c r="CQ31" i="139"/>
  <c r="DG31" i="139"/>
  <c r="G60" i="139"/>
  <c r="CE31" i="139"/>
  <c r="K31" i="139"/>
  <c r="O31" i="139"/>
  <c r="AU31" i="139"/>
  <c r="AI31" i="139"/>
  <c r="G31" i="139"/>
  <c r="FF30" i="138"/>
  <c r="DK31" i="139"/>
  <c r="G67" i="139"/>
  <c r="DO31" i="139"/>
  <c r="BG31" i="139"/>
  <c r="S31" i="139"/>
  <c r="C47" i="139"/>
  <c r="D13" i="69" s="1"/>
  <c r="AA31" i="139"/>
  <c r="BS31" i="139"/>
  <c r="C52" i="139"/>
  <c r="D18" i="69" s="1"/>
  <c r="FW31" i="139"/>
  <c r="C31" i="139"/>
  <c r="C57" i="139"/>
  <c r="D22" i="69" s="1"/>
  <c r="DS31" i="139"/>
  <c r="HC31" i="139"/>
  <c r="AQ31" i="139"/>
  <c r="EA31" i="139"/>
  <c r="CU31" i="139"/>
  <c r="C87" i="139"/>
  <c r="D48" i="69" s="1"/>
  <c r="DW31" i="139"/>
  <c r="EY31" i="139"/>
  <c r="BK31" i="139"/>
  <c r="G83" i="139"/>
  <c r="FS31" i="139"/>
  <c r="AE31" i="139"/>
  <c r="E78" i="139"/>
  <c r="G78" i="139" s="1"/>
  <c r="F29" i="69"/>
  <c r="G82" i="139"/>
  <c r="CA31" i="139"/>
  <c r="E70" i="139"/>
  <c r="G70" i="139" s="1"/>
  <c r="AM31" i="139"/>
  <c r="G90" i="139"/>
  <c r="F35" i="69"/>
  <c r="G72" i="139"/>
  <c r="F7" i="69"/>
  <c r="G40" i="139"/>
  <c r="F37" i="69"/>
  <c r="G74" i="139"/>
  <c r="F19" i="69"/>
  <c r="G53" i="139"/>
  <c r="F14" i="69"/>
  <c r="F40" i="69"/>
  <c r="F24" i="69"/>
  <c r="F16" i="69"/>
  <c r="F17" i="69"/>
  <c r="F2" i="69"/>
  <c r="F9" i="69"/>
  <c r="F54" i="69"/>
  <c r="F27" i="69"/>
  <c r="G44" i="139"/>
  <c r="F15" i="69"/>
  <c r="F25" i="69"/>
  <c r="F11" i="69"/>
  <c r="CY31" i="139"/>
  <c r="AY31" i="139"/>
  <c r="EM31" i="139"/>
  <c r="EU31" i="139"/>
  <c r="EE31" i="139"/>
  <c r="CM31" i="139"/>
  <c r="W31" i="139"/>
  <c r="FO31" i="139"/>
  <c r="BW31" i="139"/>
  <c r="F32" i="69"/>
  <c r="F26" i="69"/>
  <c r="F5" i="69"/>
  <c r="F18" i="69"/>
  <c r="F23" i="69"/>
  <c r="F43" i="69"/>
  <c r="F39" i="69"/>
  <c r="F47" i="69"/>
  <c r="F44" i="69"/>
  <c r="F31" i="69"/>
  <c r="F21" i="69"/>
  <c r="F22" i="69"/>
  <c r="F3" i="69"/>
  <c r="F4" i="69"/>
  <c r="F13" i="69"/>
  <c r="F38" i="69"/>
  <c r="G68" i="139"/>
  <c r="G80" i="139"/>
  <c r="G38" i="139"/>
  <c r="G93" i="139"/>
  <c r="G45" i="139"/>
  <c r="G55" i="139"/>
  <c r="G63" i="139"/>
  <c r="G79" i="139"/>
  <c r="G62" i="139"/>
  <c r="G75" i="139"/>
  <c r="G43" i="139"/>
  <c r="G73" i="139"/>
  <c r="G35" i="139"/>
  <c r="G49" i="139"/>
  <c r="G39" i="139"/>
  <c r="G48" i="139"/>
  <c r="G58" i="139"/>
  <c r="G51" i="139"/>
  <c r="G66" i="139"/>
  <c r="G42" i="139"/>
  <c r="G84" i="139"/>
  <c r="G50" i="139"/>
  <c r="G37" i="139"/>
  <c r="G92" i="139"/>
  <c r="G91" i="139"/>
  <c r="G41" i="139"/>
  <c r="G71" i="139"/>
  <c r="G59" i="139"/>
  <c r="G61" i="139"/>
  <c r="G36" i="139"/>
  <c r="G54" i="139"/>
  <c r="G77" i="139"/>
  <c r="G89" i="139"/>
  <c r="F41" i="69" l="1"/>
  <c r="G52" i="139"/>
  <c r="G87" i="139"/>
  <c r="G88" i="139"/>
  <c r="G57" i="139"/>
  <c r="G47" i="139"/>
  <c r="F33" i="69"/>
  <c r="T96" i="64"/>
  <c r="AD31" i="137" l="1"/>
  <c r="Z31" i="137"/>
  <c r="Z65" i="137" s="1"/>
  <c r="V31" i="137"/>
  <c r="V33" i="137" s="1"/>
  <c r="R31" i="137"/>
  <c r="N31" i="137"/>
  <c r="J31" i="137"/>
  <c r="J65" i="137" s="1"/>
  <c r="F31" i="137"/>
  <c r="F33" i="137" s="1"/>
  <c r="B31" i="137"/>
  <c r="AH30" i="137"/>
  <c r="AH29" i="137"/>
  <c r="Q28" i="130" s="1"/>
  <c r="AH28" i="137"/>
  <c r="Q27" i="130" s="1"/>
  <c r="S27" i="130" s="1"/>
  <c r="R27" i="130" s="1"/>
  <c r="AI28" i="137" s="1"/>
  <c r="AN27" i="137"/>
  <c r="AM27" i="137"/>
  <c r="AH27" i="137"/>
  <c r="AH26" i="137"/>
  <c r="AH25" i="137"/>
  <c r="AH24" i="137"/>
  <c r="AH23" i="137"/>
  <c r="AH22" i="137"/>
  <c r="Q21" i="130" s="1"/>
  <c r="AH21" i="137"/>
  <c r="AH20" i="137"/>
  <c r="AH19" i="137"/>
  <c r="AH18" i="137"/>
  <c r="Q17" i="130" s="1"/>
  <c r="AH17" i="137"/>
  <c r="AH16" i="137"/>
  <c r="Q15" i="130" s="1"/>
  <c r="AH15" i="137"/>
  <c r="Q14" i="130" s="1"/>
  <c r="AH14" i="137"/>
  <c r="AH13" i="137"/>
  <c r="Q12" i="130" s="1"/>
  <c r="S12" i="130" s="1"/>
  <c r="R12" i="130" s="1"/>
  <c r="AI13" i="137" s="1"/>
  <c r="AL12" i="137"/>
  <c r="AH12" i="137"/>
  <c r="Q11" i="130" s="1"/>
  <c r="AL11" i="137"/>
  <c r="AH11" i="137"/>
  <c r="Q10" i="130" s="1"/>
  <c r="S10" i="130" s="1"/>
  <c r="R10" i="130" s="1"/>
  <c r="AI11" i="137" s="1"/>
  <c r="AL10" i="137"/>
  <c r="AH10" i="137"/>
  <c r="AL9" i="137"/>
  <c r="AH9" i="137"/>
  <c r="Q8" i="130" s="1"/>
  <c r="S8" i="130" s="1"/>
  <c r="R8" i="130" s="1"/>
  <c r="AI9" i="137" s="1"/>
  <c r="AL8" i="137"/>
  <c r="AH8" i="137"/>
  <c r="Q7" i="130" s="1"/>
  <c r="AL7" i="137"/>
  <c r="AH7" i="137"/>
  <c r="Q6" i="130" s="1"/>
  <c r="S6" i="130" s="1"/>
  <c r="R6" i="130" s="1"/>
  <c r="AI7" i="137" s="1"/>
  <c r="AL6" i="137"/>
  <c r="AH6" i="137"/>
  <c r="Q5" i="130" s="1"/>
  <c r="AL5" i="137"/>
  <c r="AH5" i="137"/>
  <c r="Q4" i="130" s="1"/>
  <c r="S4" i="130" s="1"/>
  <c r="R4" i="130" s="1"/>
  <c r="AI5" i="137" s="1"/>
  <c r="AH4" i="137"/>
  <c r="Q3" i="130" s="1"/>
  <c r="J31" i="136"/>
  <c r="F31" i="136"/>
  <c r="F33" i="136" s="1"/>
  <c r="B31" i="136"/>
  <c r="N30" i="136"/>
  <c r="N61" i="136" s="1"/>
  <c r="N29" i="136"/>
  <c r="N60" i="136" s="1"/>
  <c r="N28" i="136"/>
  <c r="N59" i="136" s="1"/>
  <c r="N27" i="136"/>
  <c r="N58" i="136" s="1"/>
  <c r="N26" i="136"/>
  <c r="N57" i="136" s="1"/>
  <c r="N25" i="136"/>
  <c r="N56" i="136" s="1"/>
  <c r="N24" i="136"/>
  <c r="E23" i="130" s="1"/>
  <c r="G23" i="130" s="1"/>
  <c r="F23" i="130" s="1"/>
  <c r="N23" i="136"/>
  <c r="N54" i="136" s="1"/>
  <c r="N22" i="136"/>
  <c r="N53" i="136" s="1"/>
  <c r="N21" i="136"/>
  <c r="N52" i="136" s="1"/>
  <c r="N20" i="136"/>
  <c r="E19" i="130" s="1"/>
  <c r="G19" i="130" s="1"/>
  <c r="F19" i="130" s="1"/>
  <c r="N19" i="136"/>
  <c r="N50" i="136" s="1"/>
  <c r="T18" i="136"/>
  <c r="S18" i="136"/>
  <c r="N18" i="136"/>
  <c r="E17" i="130" s="1"/>
  <c r="G17" i="130" s="1"/>
  <c r="F17" i="130" s="1"/>
  <c r="O18" i="136" s="1"/>
  <c r="N17" i="136"/>
  <c r="N48" i="136" s="1"/>
  <c r="N16" i="136"/>
  <c r="N15" i="136"/>
  <c r="N46" i="136" s="1"/>
  <c r="N14" i="136"/>
  <c r="E13" i="130" s="1"/>
  <c r="G13" i="130" s="1"/>
  <c r="F13" i="130" s="1"/>
  <c r="N13" i="136"/>
  <c r="E12" i="130" s="1"/>
  <c r="G12" i="130" s="1"/>
  <c r="F12" i="130" s="1"/>
  <c r="N12" i="136"/>
  <c r="N11" i="136"/>
  <c r="E10" i="130" s="1"/>
  <c r="G10" i="130" s="1"/>
  <c r="F10" i="130" s="1"/>
  <c r="N10" i="136"/>
  <c r="E9" i="130" s="1"/>
  <c r="G9" i="130" s="1"/>
  <c r="F9" i="130" s="1"/>
  <c r="N9" i="136"/>
  <c r="E8" i="130" s="1"/>
  <c r="G8" i="130" s="1"/>
  <c r="F8" i="130" s="1"/>
  <c r="N8" i="136"/>
  <c r="E7" i="130" s="1"/>
  <c r="G7" i="130" s="1"/>
  <c r="F7" i="130" s="1"/>
  <c r="R7" i="136"/>
  <c r="N7" i="136"/>
  <c r="E6" i="130" s="1"/>
  <c r="G6" i="130" s="1"/>
  <c r="F6" i="130" s="1"/>
  <c r="R6" i="136"/>
  <c r="N6" i="136"/>
  <c r="E5" i="130" s="1"/>
  <c r="G5" i="130" s="1"/>
  <c r="F5" i="130" s="1"/>
  <c r="R5" i="136"/>
  <c r="N5" i="136"/>
  <c r="N4" i="136"/>
  <c r="E3" i="130" s="1"/>
  <c r="G3" i="130" s="1"/>
  <c r="F3" i="130" s="1"/>
  <c r="AP31" i="135"/>
  <c r="AL31" i="135"/>
  <c r="AH31" i="135"/>
  <c r="AD31" i="135"/>
  <c r="Z31" i="135"/>
  <c r="V31" i="135"/>
  <c r="R31" i="135"/>
  <c r="N31" i="135"/>
  <c r="J31" i="135"/>
  <c r="F31" i="135"/>
  <c r="B31" i="135"/>
  <c r="B33" i="135" s="1"/>
  <c r="AT30" i="135"/>
  <c r="J61" i="135" s="1"/>
  <c r="AT29" i="135"/>
  <c r="AH60" i="135" s="1"/>
  <c r="AT28" i="135"/>
  <c r="W27" i="130" s="1"/>
  <c r="Y27" i="130" s="1"/>
  <c r="X27" i="130" s="1"/>
  <c r="AU28" i="135" s="1"/>
  <c r="AT27" i="135"/>
  <c r="Z58" i="135" s="1"/>
  <c r="AT26" i="135"/>
  <c r="AP57" i="135" s="1"/>
  <c r="AT25" i="135"/>
  <c r="AT24" i="135"/>
  <c r="AT23" i="135"/>
  <c r="Z54" i="135" s="1"/>
  <c r="AT22" i="135"/>
  <c r="W21" i="130" s="1"/>
  <c r="Y21" i="130" s="1"/>
  <c r="X21" i="130" s="1"/>
  <c r="AU22" i="135" s="1"/>
  <c r="AT21" i="135"/>
  <c r="AT20" i="135"/>
  <c r="W19" i="130" s="1"/>
  <c r="Y19" i="130" s="1"/>
  <c r="X19" i="130" s="1"/>
  <c r="AU20" i="135" s="1"/>
  <c r="AT19" i="135"/>
  <c r="Z50" i="135" s="1"/>
  <c r="AT18" i="135"/>
  <c r="AL49" i="135" s="1"/>
  <c r="AT17" i="135"/>
  <c r="V48" i="135" s="1"/>
  <c r="AT16" i="135"/>
  <c r="V47" i="135" s="1"/>
  <c r="AX15" i="135"/>
  <c r="AT15" i="135"/>
  <c r="F46" i="135" s="1"/>
  <c r="AX14" i="135"/>
  <c r="AT14" i="135"/>
  <c r="AL45" i="135" s="1"/>
  <c r="AX13" i="135"/>
  <c r="AT13" i="135"/>
  <c r="V44" i="135" s="1"/>
  <c r="AX12" i="135"/>
  <c r="AT12" i="135"/>
  <c r="W11" i="130" s="1"/>
  <c r="Y11" i="130" s="1"/>
  <c r="X11" i="130" s="1"/>
  <c r="AU12" i="135" s="1"/>
  <c r="AX11" i="135"/>
  <c r="AT11" i="135"/>
  <c r="W10" i="130" s="1"/>
  <c r="Y10" i="130" s="1"/>
  <c r="X10" i="130" s="1"/>
  <c r="AU11" i="135" s="1"/>
  <c r="AX10" i="135"/>
  <c r="AT10" i="135"/>
  <c r="W9" i="130" s="1"/>
  <c r="Y9" i="130" s="1"/>
  <c r="X9" i="130" s="1"/>
  <c r="AU10" i="135" s="1"/>
  <c r="AX9" i="135"/>
  <c r="AT9" i="135"/>
  <c r="W8" i="130" s="1"/>
  <c r="Y8" i="130" s="1"/>
  <c r="X8" i="130" s="1"/>
  <c r="AU9" i="135" s="1"/>
  <c r="AX8" i="135"/>
  <c r="AT8" i="135"/>
  <c r="W7" i="130" s="1"/>
  <c r="Y7" i="130" s="1"/>
  <c r="X7" i="130" s="1"/>
  <c r="AU8" i="135" s="1"/>
  <c r="AX7" i="135"/>
  <c r="AT7" i="135"/>
  <c r="W6" i="130" s="1"/>
  <c r="Y6" i="130" s="1"/>
  <c r="X6" i="130" s="1"/>
  <c r="AU7" i="135" s="1"/>
  <c r="AX6" i="135"/>
  <c r="AT6" i="135"/>
  <c r="W5" i="130" s="1"/>
  <c r="Y5" i="130" s="1"/>
  <c r="X5" i="130" s="1"/>
  <c r="AU6" i="135" s="1"/>
  <c r="AX5" i="135"/>
  <c r="AT5" i="135"/>
  <c r="W4" i="130" s="1"/>
  <c r="Y4" i="130" s="1"/>
  <c r="X4" i="130" s="1"/>
  <c r="AU5" i="135" s="1"/>
  <c r="AT4" i="135"/>
  <c r="W3" i="130" s="1"/>
  <c r="Y3" i="130" s="1"/>
  <c r="X3" i="130" s="1"/>
  <c r="N31" i="134"/>
  <c r="J31" i="134"/>
  <c r="J65" i="134" s="1"/>
  <c r="F31" i="134"/>
  <c r="B31" i="134"/>
  <c r="R30" i="134"/>
  <c r="R61" i="134" s="1"/>
  <c r="R29" i="134"/>
  <c r="F60" i="134" s="1"/>
  <c r="R28" i="134"/>
  <c r="J59" i="134" s="1"/>
  <c r="R27" i="134"/>
  <c r="N58" i="134" s="1"/>
  <c r="R26" i="134"/>
  <c r="R57" i="134" s="1"/>
  <c r="R25" i="134"/>
  <c r="F56" i="134" s="1"/>
  <c r="R24" i="134"/>
  <c r="J55" i="134" s="1"/>
  <c r="R23" i="134"/>
  <c r="N54" i="134" s="1"/>
  <c r="R22" i="134"/>
  <c r="R53" i="134" s="1"/>
  <c r="R21" i="134"/>
  <c r="F52" i="134" s="1"/>
  <c r="R20" i="134"/>
  <c r="J51" i="134" s="1"/>
  <c r="X19" i="134"/>
  <c r="W19" i="134"/>
  <c r="R19" i="134"/>
  <c r="N50" i="134" s="1"/>
  <c r="R18" i="134"/>
  <c r="R49" i="134" s="1"/>
  <c r="R17" i="134"/>
  <c r="F48" i="134" s="1"/>
  <c r="R16" i="134"/>
  <c r="J47" i="134" s="1"/>
  <c r="R15" i="134"/>
  <c r="N46" i="134" s="1"/>
  <c r="R14" i="134"/>
  <c r="R45" i="134" s="1"/>
  <c r="R13" i="134"/>
  <c r="F44" i="134" s="1"/>
  <c r="R12" i="134"/>
  <c r="J43" i="134" s="1"/>
  <c r="R11" i="134"/>
  <c r="N42" i="134" s="1"/>
  <c r="R10" i="134"/>
  <c r="R41" i="134" s="1"/>
  <c r="R9" i="134"/>
  <c r="V8" i="134"/>
  <c r="R8" i="134"/>
  <c r="Z7" i="130" s="1"/>
  <c r="AB7" i="130" s="1"/>
  <c r="AA7" i="130" s="1"/>
  <c r="S8" i="134" s="1"/>
  <c r="V7" i="134"/>
  <c r="R7" i="134"/>
  <c r="V6" i="134"/>
  <c r="R6" i="134"/>
  <c r="Z5" i="130" s="1"/>
  <c r="AB5" i="130" s="1"/>
  <c r="AA5" i="130" s="1"/>
  <c r="S6" i="134" s="1"/>
  <c r="V5" i="134"/>
  <c r="R5" i="134"/>
  <c r="R4" i="134"/>
  <c r="Z3" i="130" s="1"/>
  <c r="AB3" i="130" s="1"/>
  <c r="AA3" i="130" s="1"/>
  <c r="Z31" i="133"/>
  <c r="V31" i="133"/>
  <c r="R31" i="133"/>
  <c r="R33" i="133" s="1"/>
  <c r="N31" i="133"/>
  <c r="N33" i="133" s="1"/>
  <c r="J31" i="133"/>
  <c r="F31" i="133"/>
  <c r="B31" i="133"/>
  <c r="B33" i="133" s="1"/>
  <c r="AD30" i="133"/>
  <c r="AD61" i="133" s="1"/>
  <c r="AD29" i="133"/>
  <c r="AD60" i="133" s="1"/>
  <c r="AD28" i="133"/>
  <c r="AD59" i="133" s="1"/>
  <c r="AD27" i="133"/>
  <c r="AD58" i="133" s="1"/>
  <c r="AD26" i="133"/>
  <c r="AD57" i="133" s="1"/>
  <c r="AJ25" i="133"/>
  <c r="AI25" i="133"/>
  <c r="AD25" i="133"/>
  <c r="AD56" i="133" s="1"/>
  <c r="AD24" i="133"/>
  <c r="AD55" i="133" s="1"/>
  <c r="AD23" i="133"/>
  <c r="AD54" i="133" s="1"/>
  <c r="AD22" i="133"/>
  <c r="AD53" i="133" s="1"/>
  <c r="AD21" i="133"/>
  <c r="AD52" i="133" s="1"/>
  <c r="AD20" i="133"/>
  <c r="AD51" i="133" s="1"/>
  <c r="AD19" i="133"/>
  <c r="AD50" i="133" s="1"/>
  <c r="AD18" i="133"/>
  <c r="T17" i="130" s="1"/>
  <c r="V17" i="130" s="1"/>
  <c r="U17" i="130" s="1"/>
  <c r="AE18" i="133" s="1"/>
  <c r="AD17" i="133"/>
  <c r="T16" i="130" s="1"/>
  <c r="V16" i="130" s="1"/>
  <c r="U16" i="130" s="1"/>
  <c r="AE17" i="133" s="1"/>
  <c r="AD16" i="133"/>
  <c r="T15" i="130" s="1"/>
  <c r="V15" i="130" s="1"/>
  <c r="U15" i="130" s="1"/>
  <c r="AE16" i="133" s="1"/>
  <c r="AD15" i="133"/>
  <c r="T14" i="130" s="1"/>
  <c r="V14" i="130" s="1"/>
  <c r="U14" i="130" s="1"/>
  <c r="AE15" i="133" s="1"/>
  <c r="AD14" i="133"/>
  <c r="T13" i="130" s="1"/>
  <c r="V13" i="130" s="1"/>
  <c r="U13" i="130" s="1"/>
  <c r="AE14" i="133" s="1"/>
  <c r="AD13" i="133"/>
  <c r="T12" i="130" s="1"/>
  <c r="V12" i="130" s="1"/>
  <c r="U12" i="130" s="1"/>
  <c r="AE13" i="133" s="1"/>
  <c r="AD12" i="133"/>
  <c r="AH11" i="133"/>
  <c r="AD11" i="133"/>
  <c r="T10" i="130" s="1"/>
  <c r="V10" i="130" s="1"/>
  <c r="U10" i="130" s="1"/>
  <c r="AE11" i="133" s="1"/>
  <c r="AH10" i="133"/>
  <c r="AD10" i="133"/>
  <c r="AH9" i="133"/>
  <c r="AD9" i="133"/>
  <c r="T8" i="130" s="1"/>
  <c r="V8" i="130" s="1"/>
  <c r="U8" i="130" s="1"/>
  <c r="AE9" i="133" s="1"/>
  <c r="AH8" i="133"/>
  <c r="AD8" i="133"/>
  <c r="T7" i="130" s="1"/>
  <c r="V7" i="130" s="1"/>
  <c r="U7" i="130" s="1"/>
  <c r="AE8" i="133" s="1"/>
  <c r="AH7" i="133"/>
  <c r="AD7" i="133"/>
  <c r="T6" i="130" s="1"/>
  <c r="V6" i="130" s="1"/>
  <c r="U6" i="130" s="1"/>
  <c r="AE7" i="133" s="1"/>
  <c r="AH6" i="133"/>
  <c r="AD6" i="133"/>
  <c r="AH5" i="133"/>
  <c r="AD5" i="133"/>
  <c r="T4" i="130" s="1"/>
  <c r="V4" i="130" s="1"/>
  <c r="U4" i="130" s="1"/>
  <c r="AE5" i="133" s="1"/>
  <c r="AD4" i="133"/>
  <c r="T3" i="130" s="1"/>
  <c r="V3" i="130" s="1"/>
  <c r="U3" i="130" s="1"/>
  <c r="AH31" i="132"/>
  <c r="AD31" i="132"/>
  <c r="Z31" i="132"/>
  <c r="V31" i="132"/>
  <c r="R31" i="132"/>
  <c r="R33" i="132" s="1"/>
  <c r="N31" i="132"/>
  <c r="N33" i="132" s="1"/>
  <c r="J31" i="132"/>
  <c r="F31" i="132"/>
  <c r="B31" i="132"/>
  <c r="AL30" i="132"/>
  <c r="H29" i="130" s="1"/>
  <c r="J29" i="130" s="1"/>
  <c r="I29" i="130" s="1"/>
  <c r="AM30" i="132" s="1"/>
  <c r="AL29" i="132"/>
  <c r="H28" i="130" s="1"/>
  <c r="J28" i="130" s="1"/>
  <c r="I28" i="130" s="1"/>
  <c r="AM29" i="132" s="1"/>
  <c r="AL28" i="132"/>
  <c r="Z59" i="132" s="1"/>
  <c r="AL27" i="132"/>
  <c r="AH58" i="132" s="1"/>
  <c r="AL26" i="132"/>
  <c r="H25" i="130" s="1"/>
  <c r="J25" i="130" s="1"/>
  <c r="I25" i="130" s="1"/>
  <c r="AM26" i="132" s="1"/>
  <c r="AL25" i="132"/>
  <c r="H24" i="130" s="1"/>
  <c r="J24" i="130" s="1"/>
  <c r="I24" i="130" s="1"/>
  <c r="AM25" i="132" s="1"/>
  <c r="AL24" i="132"/>
  <c r="Z55" i="132" s="1"/>
  <c r="AL23" i="132"/>
  <c r="H22" i="130" s="1"/>
  <c r="J22" i="130" s="1"/>
  <c r="I22" i="130" s="1"/>
  <c r="AM23" i="132" s="1"/>
  <c r="AL22" i="132"/>
  <c r="H21" i="130" s="1"/>
  <c r="J21" i="130" s="1"/>
  <c r="I21" i="130" s="1"/>
  <c r="AM22" i="132" s="1"/>
  <c r="AL21" i="132"/>
  <c r="H20" i="130" s="1"/>
  <c r="J20" i="130" s="1"/>
  <c r="I20" i="130" s="1"/>
  <c r="AM21" i="132" s="1"/>
  <c r="AL20" i="132"/>
  <c r="H19" i="130" s="1"/>
  <c r="J19" i="130" s="1"/>
  <c r="I19" i="130" s="1"/>
  <c r="AM20" i="132" s="1"/>
  <c r="AL19" i="132"/>
  <c r="H18" i="130" s="1"/>
  <c r="J18" i="130" s="1"/>
  <c r="I18" i="130" s="1"/>
  <c r="AM19" i="132" s="1"/>
  <c r="AL18" i="132"/>
  <c r="H17" i="130" s="1"/>
  <c r="J17" i="130" s="1"/>
  <c r="I17" i="130" s="1"/>
  <c r="AM18" i="132" s="1"/>
  <c r="AL17" i="132"/>
  <c r="H16" i="130" s="1"/>
  <c r="J16" i="130" s="1"/>
  <c r="I16" i="130" s="1"/>
  <c r="AM17" i="132" s="1"/>
  <c r="AL16" i="132"/>
  <c r="H15" i="130" s="1"/>
  <c r="J15" i="130" s="1"/>
  <c r="I15" i="130" s="1"/>
  <c r="AM16" i="132" s="1"/>
  <c r="AL15" i="132"/>
  <c r="H14" i="130" s="1"/>
  <c r="J14" i="130" s="1"/>
  <c r="I14" i="130" s="1"/>
  <c r="AM15" i="132" s="1"/>
  <c r="AL14" i="132"/>
  <c r="H13" i="130" s="1"/>
  <c r="J13" i="130" s="1"/>
  <c r="I13" i="130" s="1"/>
  <c r="AM14" i="132" s="1"/>
  <c r="AP13" i="132"/>
  <c r="AL13" i="132"/>
  <c r="H12" i="130" s="1"/>
  <c r="J12" i="130" s="1"/>
  <c r="I12" i="130" s="1"/>
  <c r="AM13" i="132" s="1"/>
  <c r="AP12" i="132"/>
  <c r="AL12" i="132"/>
  <c r="H11" i="130" s="1"/>
  <c r="J11" i="130" s="1"/>
  <c r="I11" i="130" s="1"/>
  <c r="AM12" i="132" s="1"/>
  <c r="AP11" i="132"/>
  <c r="AL11" i="132"/>
  <c r="H10" i="130" s="1"/>
  <c r="J10" i="130" s="1"/>
  <c r="I10" i="130" s="1"/>
  <c r="AM11" i="132" s="1"/>
  <c r="AP10" i="132"/>
  <c r="AL10" i="132"/>
  <c r="H9" i="130" s="1"/>
  <c r="J9" i="130" s="1"/>
  <c r="I9" i="130" s="1"/>
  <c r="AM10" i="132" s="1"/>
  <c r="AP9" i="132"/>
  <c r="AL9" i="132"/>
  <c r="H8" i="130" s="1"/>
  <c r="J8" i="130" s="1"/>
  <c r="I8" i="130" s="1"/>
  <c r="AM9" i="132" s="1"/>
  <c r="AP8" i="132"/>
  <c r="AL8" i="132"/>
  <c r="H7" i="130" s="1"/>
  <c r="J7" i="130" s="1"/>
  <c r="I7" i="130" s="1"/>
  <c r="AM8" i="132" s="1"/>
  <c r="AP7" i="132"/>
  <c r="AL7" i="132"/>
  <c r="H6" i="130" s="1"/>
  <c r="J6" i="130" s="1"/>
  <c r="I6" i="130" s="1"/>
  <c r="AM7" i="132" s="1"/>
  <c r="AP6" i="132"/>
  <c r="AL6" i="132"/>
  <c r="H5" i="130" s="1"/>
  <c r="J5" i="130" s="1"/>
  <c r="I5" i="130" s="1"/>
  <c r="AM6" i="132" s="1"/>
  <c r="AP5" i="132"/>
  <c r="AL5" i="132"/>
  <c r="H4" i="130" s="1"/>
  <c r="J4" i="130" s="1"/>
  <c r="I4" i="130" s="1"/>
  <c r="AM5" i="132" s="1"/>
  <c r="AL4" i="132"/>
  <c r="H3" i="130" s="1"/>
  <c r="J3" i="130" s="1"/>
  <c r="I3" i="130" s="1"/>
  <c r="AY32" i="131"/>
  <c r="AP31" i="131"/>
  <c r="AL31" i="131"/>
  <c r="AH31" i="131"/>
  <c r="AH33" i="131" s="1"/>
  <c r="AD31" i="131"/>
  <c r="AD33" i="131" s="1"/>
  <c r="Z31" i="131"/>
  <c r="V31" i="131"/>
  <c r="R31" i="131"/>
  <c r="N31" i="131"/>
  <c r="J31" i="131"/>
  <c r="F31" i="131"/>
  <c r="B31" i="131"/>
  <c r="AT30" i="131"/>
  <c r="AL61" i="131" s="1"/>
  <c r="AT29" i="131"/>
  <c r="AL60" i="131" s="1"/>
  <c r="AT28" i="131"/>
  <c r="K27" i="130" s="1"/>
  <c r="P27" i="130" s="1"/>
  <c r="L27" i="130" s="1"/>
  <c r="AU28" i="131" s="1"/>
  <c r="AT27" i="131"/>
  <c r="N58" i="131" s="1"/>
  <c r="AT26" i="131"/>
  <c r="AP57" i="131" s="1"/>
  <c r="AT25" i="131"/>
  <c r="AP56" i="131" s="1"/>
  <c r="AT24" i="131"/>
  <c r="K23" i="130" s="1"/>
  <c r="P23" i="130" s="1"/>
  <c r="L23" i="130" s="1"/>
  <c r="AU24" i="131" s="1"/>
  <c r="AT23" i="131"/>
  <c r="AD54" i="131" s="1"/>
  <c r="AT22" i="131"/>
  <c r="N53" i="131" s="1"/>
  <c r="AT21" i="131"/>
  <c r="AT52" i="131" s="1"/>
  <c r="AT20" i="131"/>
  <c r="K19" i="130" s="1"/>
  <c r="P19" i="130" s="1"/>
  <c r="L19" i="130" s="1"/>
  <c r="AU20" i="131" s="1"/>
  <c r="AT19" i="131"/>
  <c r="AD50" i="131" s="1"/>
  <c r="AT18" i="131"/>
  <c r="N49" i="131" s="1"/>
  <c r="AT17" i="131"/>
  <c r="AT48" i="131" s="1"/>
  <c r="AT16" i="131"/>
  <c r="Z47" i="131" s="1"/>
  <c r="AX15" i="131"/>
  <c r="AT15" i="131"/>
  <c r="AP46" i="131" s="1"/>
  <c r="AX14" i="131"/>
  <c r="AT14" i="131"/>
  <c r="K13" i="130" s="1"/>
  <c r="P13" i="130" s="1"/>
  <c r="L13" i="130" s="1"/>
  <c r="AU14" i="131" s="1"/>
  <c r="AX13" i="131"/>
  <c r="AT13" i="131"/>
  <c r="K12" i="130" s="1"/>
  <c r="P12" i="130" s="1"/>
  <c r="L12" i="130" s="1"/>
  <c r="AU13" i="131" s="1"/>
  <c r="AX12" i="131"/>
  <c r="AT12" i="131"/>
  <c r="K11" i="130" s="1"/>
  <c r="P11" i="130" s="1"/>
  <c r="L11" i="130" s="1"/>
  <c r="AU12" i="131" s="1"/>
  <c r="AX11" i="131"/>
  <c r="AT11" i="131"/>
  <c r="K10" i="130" s="1"/>
  <c r="P10" i="130" s="1"/>
  <c r="L10" i="130" s="1"/>
  <c r="AU11" i="131" s="1"/>
  <c r="AX10" i="131"/>
  <c r="AT10" i="131"/>
  <c r="K9" i="130" s="1"/>
  <c r="P9" i="130" s="1"/>
  <c r="L9" i="130" s="1"/>
  <c r="AU10" i="131" s="1"/>
  <c r="AX9" i="131"/>
  <c r="AT9" i="131"/>
  <c r="K8" i="130" s="1"/>
  <c r="P8" i="130" s="1"/>
  <c r="L8" i="130" s="1"/>
  <c r="AU9" i="131" s="1"/>
  <c r="AX8" i="131"/>
  <c r="AT8" i="131"/>
  <c r="K7" i="130" s="1"/>
  <c r="P7" i="130" s="1"/>
  <c r="L7" i="130" s="1"/>
  <c r="AU8" i="131" s="1"/>
  <c r="AX7" i="131"/>
  <c r="AT7" i="131"/>
  <c r="K6" i="130" s="1"/>
  <c r="P6" i="130" s="1"/>
  <c r="L6" i="130" s="1"/>
  <c r="AU7" i="131" s="1"/>
  <c r="AX6" i="131"/>
  <c r="AT6" i="131"/>
  <c r="K5" i="130" s="1"/>
  <c r="P5" i="130" s="1"/>
  <c r="L5" i="130" s="1"/>
  <c r="AU6" i="131" s="1"/>
  <c r="AX5" i="131"/>
  <c r="AT5" i="131"/>
  <c r="K4" i="130" s="1"/>
  <c r="P4" i="130" s="1"/>
  <c r="L4" i="130" s="1"/>
  <c r="AU5" i="131" s="1"/>
  <c r="AT4" i="131"/>
  <c r="AT35" i="131" s="1"/>
  <c r="I81" i="130"/>
  <c r="H81" i="130"/>
  <c r="G81" i="130"/>
  <c r="F81" i="130"/>
  <c r="E81" i="130"/>
  <c r="D81" i="130"/>
  <c r="C81" i="130"/>
  <c r="L80" i="130"/>
  <c r="L79" i="130"/>
  <c r="L78" i="130"/>
  <c r="L77" i="130"/>
  <c r="L76" i="130"/>
  <c r="L75" i="130"/>
  <c r="L74" i="130"/>
  <c r="L73" i="130"/>
  <c r="L72" i="130"/>
  <c r="L71" i="130"/>
  <c r="L70" i="130"/>
  <c r="L69" i="130"/>
  <c r="L68" i="130"/>
  <c r="L67" i="130"/>
  <c r="L66" i="130"/>
  <c r="L65" i="130"/>
  <c r="L64" i="130"/>
  <c r="L63" i="130"/>
  <c r="L62" i="130"/>
  <c r="L60" i="130"/>
  <c r="L59" i="130"/>
  <c r="L58" i="130"/>
  <c r="L57" i="130"/>
  <c r="L56" i="130"/>
  <c r="L55" i="130"/>
  <c r="L54" i="130"/>
  <c r="L53" i="130"/>
  <c r="L52" i="130"/>
  <c r="L51" i="130"/>
  <c r="L50" i="130"/>
  <c r="L49" i="130"/>
  <c r="L48" i="130"/>
  <c r="L47" i="130"/>
  <c r="L46" i="130"/>
  <c r="L45" i="130"/>
  <c r="C30" i="130"/>
  <c r="B30" i="130"/>
  <c r="Z29" i="130"/>
  <c r="AB29" i="130" s="1"/>
  <c r="AA29" i="130" s="1"/>
  <c r="S30" i="134" s="1"/>
  <c r="D29" i="130"/>
  <c r="W28" i="130"/>
  <c r="Y28" i="130" s="1"/>
  <c r="X28" i="130" s="1"/>
  <c r="AU29" i="135" s="1"/>
  <c r="S28" i="130"/>
  <c r="R28" i="130" s="1"/>
  <c r="AI29" i="137" s="1"/>
  <c r="D28" i="130"/>
  <c r="D27" i="130"/>
  <c r="Z26" i="130"/>
  <c r="AB26" i="130" s="1"/>
  <c r="AA26" i="130" s="1"/>
  <c r="S27" i="134" s="1"/>
  <c r="D26" i="130"/>
  <c r="Z25" i="130"/>
  <c r="AB25" i="130" s="1"/>
  <c r="AA25" i="130" s="1"/>
  <c r="S26" i="134" s="1"/>
  <c r="E25" i="130"/>
  <c r="G25" i="130" s="1"/>
  <c r="F25" i="130" s="1"/>
  <c r="D25" i="130"/>
  <c r="W24" i="130"/>
  <c r="Y24" i="130" s="1"/>
  <c r="X24" i="130" s="1"/>
  <c r="AU25" i="135" s="1"/>
  <c r="D24" i="130"/>
  <c r="W23" i="130"/>
  <c r="Y23" i="130" s="1"/>
  <c r="X23" i="130" s="1"/>
  <c r="AU24" i="135" s="1"/>
  <c r="D23" i="130"/>
  <c r="AG22" i="130"/>
  <c r="AF22" i="130"/>
  <c r="Z22" i="130"/>
  <c r="AB22" i="130" s="1"/>
  <c r="AA22" i="130" s="1"/>
  <c r="S23" i="134" s="1"/>
  <c r="D22" i="130"/>
  <c r="S21" i="130"/>
  <c r="R21" i="130" s="1"/>
  <c r="AI22" i="137" s="1"/>
  <c r="E21" i="130"/>
  <c r="G21" i="130" s="1"/>
  <c r="F21" i="130" s="1"/>
  <c r="D21" i="130"/>
  <c r="W20" i="130"/>
  <c r="Y20" i="130" s="1"/>
  <c r="X20" i="130" s="1"/>
  <c r="AU21" i="135" s="1"/>
  <c r="D20" i="130"/>
  <c r="D19" i="130"/>
  <c r="D18" i="130"/>
  <c r="S17" i="130"/>
  <c r="R17" i="130" s="1"/>
  <c r="AI18" i="137" s="1"/>
  <c r="D17" i="130"/>
  <c r="Z16" i="130"/>
  <c r="AB16" i="130" s="1"/>
  <c r="AA16" i="130" s="1"/>
  <c r="S17" i="134" s="1"/>
  <c r="W16" i="130"/>
  <c r="Y16" i="130" s="1"/>
  <c r="X16" i="130" s="1"/>
  <c r="AU17" i="135" s="1"/>
  <c r="D16" i="130"/>
  <c r="S15" i="130"/>
  <c r="R15" i="130" s="1"/>
  <c r="AI16" i="137" s="1"/>
  <c r="E15" i="130"/>
  <c r="G15" i="130" s="1"/>
  <c r="F15" i="130" s="1"/>
  <c r="D15" i="130"/>
  <c r="S14" i="130"/>
  <c r="R14" i="130" s="1"/>
  <c r="AI15" i="137" s="1"/>
  <c r="E14" i="130"/>
  <c r="G14" i="130" s="1"/>
  <c r="F14" i="130" s="1"/>
  <c r="D14" i="130"/>
  <c r="W13" i="130"/>
  <c r="Y13" i="130" s="1"/>
  <c r="X13" i="130" s="1"/>
  <c r="AU14" i="135" s="1"/>
  <c r="D13" i="130"/>
  <c r="Z12" i="130"/>
  <c r="AB12" i="130" s="1"/>
  <c r="AA12" i="130" s="1"/>
  <c r="S13" i="134" s="1"/>
  <c r="D12" i="130"/>
  <c r="T11" i="130"/>
  <c r="V11" i="130" s="1"/>
  <c r="U11" i="130" s="1"/>
  <c r="AE12" i="133" s="1"/>
  <c r="S11" i="130"/>
  <c r="R11" i="130" s="1"/>
  <c r="AI12" i="137" s="1"/>
  <c r="E11" i="130"/>
  <c r="G11" i="130" s="1"/>
  <c r="F11" i="130" s="1"/>
  <c r="D11" i="130"/>
  <c r="AE10" i="130"/>
  <c r="D10" i="130"/>
  <c r="AE9" i="130"/>
  <c r="T9" i="130"/>
  <c r="V9" i="130" s="1"/>
  <c r="U9" i="130" s="1"/>
  <c r="AE10" i="133" s="1"/>
  <c r="D9" i="130"/>
  <c r="AE8" i="130"/>
  <c r="Z8" i="130"/>
  <c r="AB8" i="130" s="1"/>
  <c r="AA8" i="130" s="1"/>
  <c r="S9" i="134" s="1"/>
  <c r="D8" i="130"/>
  <c r="AE7" i="130"/>
  <c r="S7" i="130"/>
  <c r="R7" i="130" s="1"/>
  <c r="AI8" i="137" s="1"/>
  <c r="D7" i="130"/>
  <c r="AE6" i="130"/>
  <c r="Z6" i="130"/>
  <c r="AB6" i="130" s="1"/>
  <c r="AA6" i="130" s="1"/>
  <c r="S7" i="134" s="1"/>
  <c r="D6" i="130"/>
  <c r="AE5" i="130"/>
  <c r="T5" i="130"/>
  <c r="V5" i="130" s="1"/>
  <c r="U5" i="130" s="1"/>
  <c r="AE6" i="133" s="1"/>
  <c r="S5" i="130"/>
  <c r="R5" i="130" s="1"/>
  <c r="AI6" i="137" s="1"/>
  <c r="D5" i="130"/>
  <c r="AE4" i="130"/>
  <c r="Z4" i="130"/>
  <c r="AB4" i="130" s="1"/>
  <c r="AA4" i="130" s="1"/>
  <c r="S5" i="134" s="1"/>
  <c r="E4" i="130"/>
  <c r="G4" i="130" s="1"/>
  <c r="F4" i="130" s="1"/>
  <c r="D4" i="130"/>
  <c r="S3" i="130"/>
  <c r="R3" i="130" s="1"/>
  <c r="AI4" i="137" s="1"/>
  <c r="D3" i="130"/>
  <c r="T19" i="130" l="1"/>
  <c r="V19" i="130" s="1"/>
  <c r="U19" i="130" s="1"/>
  <c r="AE20" i="133" s="1"/>
  <c r="K28" i="130"/>
  <c r="P28" i="130" s="1"/>
  <c r="L28" i="130" s="1"/>
  <c r="AU29" i="131" s="1"/>
  <c r="AM29" i="131" s="1"/>
  <c r="T18" i="130"/>
  <c r="V18" i="130" s="1"/>
  <c r="U18" i="130" s="1"/>
  <c r="AE19" i="133" s="1"/>
  <c r="K3" i="130"/>
  <c r="P3" i="130" s="1"/>
  <c r="L3" i="130" s="1"/>
  <c r="AD3" i="130" s="1"/>
  <c r="K16" i="130"/>
  <c r="P16" i="130" s="1"/>
  <c r="L16" i="130" s="1"/>
  <c r="AU17" i="131" s="1"/>
  <c r="T22" i="130"/>
  <c r="V22" i="130" s="1"/>
  <c r="U22" i="130" s="1"/>
  <c r="AE23" i="133" s="1"/>
  <c r="E27" i="130"/>
  <c r="G27" i="130" s="1"/>
  <c r="F27" i="130" s="1"/>
  <c r="O28" i="136" s="1"/>
  <c r="K18" i="130"/>
  <c r="P18" i="130" s="1"/>
  <c r="L18" i="130" s="1"/>
  <c r="AU19" i="131" s="1"/>
  <c r="AE19" i="131" s="1"/>
  <c r="H26" i="130"/>
  <c r="J26" i="130" s="1"/>
  <c r="I26" i="130" s="1"/>
  <c r="AM27" i="132" s="1"/>
  <c r="AI27" i="132" s="1"/>
  <c r="T28" i="130"/>
  <c r="V28" i="130" s="1"/>
  <c r="U28" i="130" s="1"/>
  <c r="AE29" i="133" s="1"/>
  <c r="Z15" i="130"/>
  <c r="AB15" i="130" s="1"/>
  <c r="AA15" i="130" s="1"/>
  <c r="S16" i="134" s="1"/>
  <c r="K16" i="134" s="1"/>
  <c r="Z21" i="130"/>
  <c r="AB21" i="130" s="1"/>
  <c r="AA21" i="130" s="1"/>
  <c r="S22" i="134" s="1"/>
  <c r="T23" i="130"/>
  <c r="V23" i="130" s="1"/>
  <c r="U23" i="130" s="1"/>
  <c r="AE24" i="133" s="1"/>
  <c r="T29" i="130"/>
  <c r="V29" i="130" s="1"/>
  <c r="U29" i="130" s="1"/>
  <c r="AE30" i="133" s="1"/>
  <c r="Z11" i="130"/>
  <c r="AB11" i="130" s="1"/>
  <c r="AA11" i="130" s="1"/>
  <c r="S12" i="134" s="1"/>
  <c r="K12" i="134" s="1"/>
  <c r="T25" i="130"/>
  <c r="V25" i="130" s="1"/>
  <c r="U25" i="130" s="1"/>
  <c r="AE26" i="133" s="1"/>
  <c r="K15" i="130"/>
  <c r="P15" i="130" s="1"/>
  <c r="L15" i="130" s="1"/>
  <c r="AU16" i="131" s="1"/>
  <c r="AA16" i="131" s="1"/>
  <c r="T27" i="130"/>
  <c r="V27" i="130" s="1"/>
  <c r="U27" i="130" s="1"/>
  <c r="AE28" i="133" s="1"/>
  <c r="Z20" i="130"/>
  <c r="AB20" i="130" s="1"/>
  <c r="AA20" i="130" s="1"/>
  <c r="S21" i="134" s="1"/>
  <c r="G21" i="134" s="1"/>
  <c r="Z27" i="130"/>
  <c r="AB27" i="130" s="1"/>
  <c r="AA27" i="130" s="1"/>
  <c r="S28" i="134" s="1"/>
  <c r="K28" i="134" s="1"/>
  <c r="K20" i="130"/>
  <c r="P20" i="130" s="1"/>
  <c r="L20" i="130" s="1"/>
  <c r="AU21" i="131" s="1"/>
  <c r="K24" i="130"/>
  <c r="P24" i="130" s="1"/>
  <c r="L24" i="130" s="1"/>
  <c r="AU25" i="131" s="1"/>
  <c r="AQ25" i="131" s="1"/>
  <c r="AD35" i="131"/>
  <c r="AD48" i="137"/>
  <c r="Q16" i="130"/>
  <c r="S16" i="130" s="1"/>
  <c r="R16" i="130" s="1"/>
  <c r="N56" i="137"/>
  <c r="Q24" i="130"/>
  <c r="S24" i="130" s="1"/>
  <c r="R24" i="130" s="1"/>
  <c r="AI25" i="137" s="1"/>
  <c r="Z57" i="137"/>
  <c r="Q25" i="130"/>
  <c r="S25" i="130" s="1"/>
  <c r="R25" i="130" s="1"/>
  <c r="AI26" i="137" s="1"/>
  <c r="V50" i="137"/>
  <c r="Q18" i="130"/>
  <c r="S18" i="130" s="1"/>
  <c r="R18" i="130" s="1"/>
  <c r="AI19" i="137" s="1"/>
  <c r="F58" i="137"/>
  <c r="Q26" i="130"/>
  <c r="S26" i="130" s="1"/>
  <c r="R26" i="130" s="1"/>
  <c r="AI27" i="137" s="1"/>
  <c r="B51" i="137"/>
  <c r="Q19" i="130"/>
  <c r="S19" i="130" s="1"/>
  <c r="R19" i="130" s="1"/>
  <c r="AI20" i="137" s="1"/>
  <c r="AD52" i="137"/>
  <c r="Q20" i="130"/>
  <c r="S20" i="130" s="1"/>
  <c r="R20" i="130" s="1"/>
  <c r="AI21" i="137" s="1"/>
  <c r="J45" i="137"/>
  <c r="Q13" i="130"/>
  <c r="S13" i="130" s="1"/>
  <c r="R13" i="130" s="1"/>
  <c r="AI14" i="137" s="1"/>
  <c r="Z41" i="137"/>
  <c r="Q9" i="130"/>
  <c r="S9" i="130" s="1"/>
  <c r="R9" i="130" s="1"/>
  <c r="AI10" i="137" s="1"/>
  <c r="V54" i="137"/>
  <c r="Q22" i="130"/>
  <c r="S22" i="130" s="1"/>
  <c r="R22" i="130" s="1"/>
  <c r="AI23" i="137" s="1"/>
  <c r="AH55" i="137"/>
  <c r="Q23" i="130"/>
  <c r="S23" i="130" s="1"/>
  <c r="R23" i="130" s="1"/>
  <c r="Z61" i="137"/>
  <c r="Q29" i="130"/>
  <c r="S29" i="130" s="1"/>
  <c r="R29" i="130" s="1"/>
  <c r="AI30" i="137" s="1"/>
  <c r="T24" i="130"/>
  <c r="V24" i="130" s="1"/>
  <c r="U24" i="130" s="1"/>
  <c r="AE25" i="133" s="1"/>
  <c r="T26" i="130"/>
  <c r="V26" i="130" s="1"/>
  <c r="U26" i="130" s="1"/>
  <c r="AE27" i="133" s="1"/>
  <c r="T20" i="130"/>
  <c r="V20" i="130" s="1"/>
  <c r="U20" i="130" s="1"/>
  <c r="AE21" i="133" s="1"/>
  <c r="Z19" i="130"/>
  <c r="AB19" i="130" s="1"/>
  <c r="AA19" i="130" s="1"/>
  <c r="S20" i="134" s="1"/>
  <c r="K20" i="134" s="1"/>
  <c r="Z9" i="130"/>
  <c r="AB9" i="130" s="1"/>
  <c r="AA9" i="130" s="1"/>
  <c r="S10" i="134" s="1"/>
  <c r="Z13" i="130"/>
  <c r="AB13" i="130" s="1"/>
  <c r="AA13" i="130" s="1"/>
  <c r="S14" i="134" s="1"/>
  <c r="Z17" i="130"/>
  <c r="AB17" i="130" s="1"/>
  <c r="AA17" i="130" s="1"/>
  <c r="S18" i="134" s="1"/>
  <c r="Z23" i="130"/>
  <c r="AB23" i="130" s="1"/>
  <c r="AA23" i="130" s="1"/>
  <c r="S24" i="134" s="1"/>
  <c r="K24" i="134" s="1"/>
  <c r="W12" i="130"/>
  <c r="Y12" i="130" s="1"/>
  <c r="X12" i="130" s="1"/>
  <c r="AU13" i="135" s="1"/>
  <c r="W13" i="135" s="1"/>
  <c r="W17" i="130"/>
  <c r="Y17" i="130" s="1"/>
  <c r="X17" i="130" s="1"/>
  <c r="AU18" i="135" s="1"/>
  <c r="AM18" i="135" s="1"/>
  <c r="W14" i="130"/>
  <c r="Y14" i="130" s="1"/>
  <c r="X14" i="130" s="1"/>
  <c r="AU15" i="135" s="1"/>
  <c r="G15" i="135" s="1"/>
  <c r="W25" i="130"/>
  <c r="Y25" i="130" s="1"/>
  <c r="X25" i="130" s="1"/>
  <c r="AU26" i="135" s="1"/>
  <c r="AQ26" i="135" s="1"/>
  <c r="W29" i="130"/>
  <c r="Y29" i="130" s="1"/>
  <c r="X29" i="130" s="1"/>
  <c r="AU30" i="135" s="1"/>
  <c r="K30" i="135" s="1"/>
  <c r="J57" i="135"/>
  <c r="W18" i="130"/>
  <c r="Y18" i="130" s="1"/>
  <c r="X18" i="130" s="1"/>
  <c r="AU19" i="135" s="1"/>
  <c r="AA19" i="135" s="1"/>
  <c r="W15" i="130"/>
  <c r="Y15" i="130" s="1"/>
  <c r="X15" i="130" s="1"/>
  <c r="AU16" i="135" s="1"/>
  <c r="W16" i="135" s="1"/>
  <c r="F47" i="135"/>
  <c r="E29" i="130"/>
  <c r="G29" i="130" s="1"/>
  <c r="F29" i="130" s="1"/>
  <c r="O30" i="136" s="1"/>
  <c r="E16" i="130"/>
  <c r="G16" i="130" s="1"/>
  <c r="F16" i="130" s="1"/>
  <c r="O17" i="136" s="1"/>
  <c r="E18" i="130"/>
  <c r="G18" i="130" s="1"/>
  <c r="F18" i="130" s="1"/>
  <c r="O19" i="136" s="1"/>
  <c r="E22" i="130"/>
  <c r="G22" i="130" s="1"/>
  <c r="F22" i="130" s="1"/>
  <c r="O23" i="136" s="1"/>
  <c r="E26" i="130"/>
  <c r="G26" i="130" s="1"/>
  <c r="F26" i="130" s="1"/>
  <c r="O27" i="136" s="1"/>
  <c r="H23" i="130"/>
  <c r="J23" i="130" s="1"/>
  <c r="I23" i="130" s="1"/>
  <c r="AM24" i="132" s="1"/>
  <c r="AA24" i="132" s="1"/>
  <c r="H27" i="130"/>
  <c r="J27" i="130" s="1"/>
  <c r="I27" i="130" s="1"/>
  <c r="AM28" i="132" s="1"/>
  <c r="AA28" i="132" s="1"/>
  <c r="K14" i="130"/>
  <c r="P14" i="130" s="1"/>
  <c r="L14" i="130" s="1"/>
  <c r="AU15" i="131" s="1"/>
  <c r="AQ15" i="131" s="1"/>
  <c r="K17" i="130"/>
  <c r="P17" i="130" s="1"/>
  <c r="L17" i="130" s="1"/>
  <c r="AU18" i="131" s="1"/>
  <c r="O18" i="131" s="1"/>
  <c r="K21" i="130"/>
  <c r="P21" i="130" s="1"/>
  <c r="L21" i="130" s="1"/>
  <c r="AU22" i="131" s="1"/>
  <c r="O22" i="131" s="1"/>
  <c r="K25" i="130"/>
  <c r="P25" i="130" s="1"/>
  <c r="L25" i="130" s="1"/>
  <c r="AU26" i="131" s="1"/>
  <c r="K29" i="130"/>
  <c r="P29" i="130" s="1"/>
  <c r="L29" i="130" s="1"/>
  <c r="AU30" i="131" s="1"/>
  <c r="AM30" i="131" s="1"/>
  <c r="Z61" i="131"/>
  <c r="N57" i="131"/>
  <c r="J60" i="131"/>
  <c r="AP60" i="131"/>
  <c r="AT31" i="131"/>
  <c r="K31" i="130" s="1"/>
  <c r="L61" i="130"/>
  <c r="N65" i="134"/>
  <c r="AD33" i="135"/>
  <c r="Z18" i="130"/>
  <c r="AB18" i="130" s="1"/>
  <c r="AA18" i="130" s="1"/>
  <c r="S19" i="134" s="1"/>
  <c r="O19" i="134" s="1"/>
  <c r="E20" i="130"/>
  <c r="G20" i="130" s="1"/>
  <c r="F20" i="130" s="1"/>
  <c r="O21" i="136" s="1"/>
  <c r="Z28" i="130"/>
  <c r="AB28" i="130" s="1"/>
  <c r="AA28" i="130" s="1"/>
  <c r="S29" i="134" s="1"/>
  <c r="G29" i="134" s="1"/>
  <c r="F33" i="131"/>
  <c r="AL33" i="131"/>
  <c r="J33" i="131"/>
  <c r="Z33" i="131"/>
  <c r="AP33" i="131"/>
  <c r="N48" i="131"/>
  <c r="O17" i="131" s="1"/>
  <c r="N56" i="131"/>
  <c r="AD57" i="131"/>
  <c r="N60" i="131"/>
  <c r="AT60" i="131"/>
  <c r="AD61" i="131"/>
  <c r="J33" i="133"/>
  <c r="AD31" i="133"/>
  <c r="T31" i="130" s="1"/>
  <c r="Z60" i="135"/>
  <c r="AA29" i="135" s="1"/>
  <c r="F60" i="136"/>
  <c r="Z33" i="137"/>
  <c r="AT54" i="131"/>
  <c r="F54" i="137"/>
  <c r="Z10" i="130"/>
  <c r="AB10" i="130" s="1"/>
  <c r="AA10" i="130" s="1"/>
  <c r="S11" i="134" s="1"/>
  <c r="O11" i="134" s="1"/>
  <c r="Z14" i="130"/>
  <c r="AB14" i="130" s="1"/>
  <c r="AA14" i="130" s="1"/>
  <c r="S15" i="134" s="1"/>
  <c r="O15" i="134" s="1"/>
  <c r="T21" i="130"/>
  <c r="K22" i="130"/>
  <c r="P22" i="130" s="1"/>
  <c r="L22" i="130" s="1"/>
  <c r="AU23" i="131" s="1"/>
  <c r="AE23" i="131" s="1"/>
  <c r="W22" i="130"/>
  <c r="Y22" i="130" s="1"/>
  <c r="X22" i="130" s="1"/>
  <c r="AU23" i="135" s="1"/>
  <c r="AA23" i="135" s="1"/>
  <c r="K26" i="130"/>
  <c r="P26" i="130" s="1"/>
  <c r="L26" i="130" s="1"/>
  <c r="AU27" i="131" s="1"/>
  <c r="O27" i="131" s="1"/>
  <c r="W26" i="130"/>
  <c r="N33" i="131"/>
  <c r="AT50" i="131"/>
  <c r="AD56" i="131"/>
  <c r="AT57" i="131"/>
  <c r="Z60" i="131"/>
  <c r="J61" i="131"/>
  <c r="AP61" i="131"/>
  <c r="N31" i="136"/>
  <c r="E31" i="130" s="1"/>
  <c r="E24" i="130"/>
  <c r="G24" i="130" s="1"/>
  <c r="F24" i="130" s="1"/>
  <c r="O25" i="136" s="1"/>
  <c r="Z24" i="130"/>
  <c r="AB24" i="130" s="1"/>
  <c r="AA24" i="130" s="1"/>
  <c r="S25" i="134" s="1"/>
  <c r="G25" i="134" s="1"/>
  <c r="E28" i="130"/>
  <c r="G28" i="130" s="1"/>
  <c r="F28" i="130" s="1"/>
  <c r="O29" i="136" s="1"/>
  <c r="N52" i="131"/>
  <c r="AT56" i="131"/>
  <c r="AT58" i="131"/>
  <c r="AD60" i="131"/>
  <c r="N61" i="131"/>
  <c r="AT61" i="131"/>
  <c r="AH33" i="135"/>
  <c r="N52" i="137"/>
  <c r="J61" i="137"/>
  <c r="F33" i="132"/>
  <c r="AL32" i="132"/>
  <c r="R32" i="134"/>
  <c r="J33" i="132"/>
  <c r="J33" i="136"/>
  <c r="V33" i="132"/>
  <c r="J33" i="135"/>
  <c r="AP33" i="135"/>
  <c r="N32" i="136"/>
  <c r="Z33" i="132"/>
  <c r="AD33" i="132"/>
  <c r="B33" i="134"/>
  <c r="R33" i="131"/>
  <c r="F65" i="134"/>
  <c r="N33" i="135"/>
  <c r="V33" i="131"/>
  <c r="R33" i="135"/>
  <c r="AH32" i="137"/>
  <c r="B33" i="132"/>
  <c r="AH33" i="132"/>
  <c r="F33" i="133"/>
  <c r="V33" i="133"/>
  <c r="AD32" i="133"/>
  <c r="V37" i="137"/>
  <c r="W6" i="137" s="1"/>
  <c r="F37" i="137"/>
  <c r="G6" i="137" s="1"/>
  <c r="AH37" i="137"/>
  <c r="R37" i="137"/>
  <c r="S6" i="137" s="1"/>
  <c r="B37" i="137"/>
  <c r="C6" i="137" s="1"/>
  <c r="AD37" i="137"/>
  <c r="AE6" i="137" s="1"/>
  <c r="N37" i="137"/>
  <c r="O6" i="137" s="1"/>
  <c r="Z37" i="137"/>
  <c r="AA6" i="137" s="1"/>
  <c r="J37" i="137"/>
  <c r="K6" i="137" s="1"/>
  <c r="V41" i="137"/>
  <c r="W10" i="137" s="1"/>
  <c r="F41" i="137"/>
  <c r="AH41" i="137"/>
  <c r="R41" i="137"/>
  <c r="B41" i="137"/>
  <c r="C10" i="137" s="1"/>
  <c r="AD41" i="137"/>
  <c r="N41" i="137"/>
  <c r="J41" i="137"/>
  <c r="AD35" i="137"/>
  <c r="AE4" i="137" s="1"/>
  <c r="N35" i="137"/>
  <c r="O4" i="137" s="1"/>
  <c r="Z35" i="137"/>
  <c r="AA4" i="137" s="1"/>
  <c r="J35" i="137"/>
  <c r="K4" i="137" s="1"/>
  <c r="V35" i="137"/>
  <c r="W4" i="137" s="1"/>
  <c r="F35" i="137"/>
  <c r="G4" i="137" s="1"/>
  <c r="AH35" i="137"/>
  <c r="R35" i="137"/>
  <c r="S4" i="137" s="1"/>
  <c r="B35" i="137"/>
  <c r="C4" i="137" s="1"/>
  <c r="Z36" i="137"/>
  <c r="AA5" i="137" s="1"/>
  <c r="J36" i="137"/>
  <c r="K5" i="137" s="1"/>
  <c r="V36" i="137"/>
  <c r="W5" i="137" s="1"/>
  <c r="F36" i="137"/>
  <c r="G5" i="137" s="1"/>
  <c r="AH36" i="137"/>
  <c r="R36" i="137"/>
  <c r="S5" i="137" s="1"/>
  <c r="B36" i="137"/>
  <c r="C5" i="137" s="1"/>
  <c r="AD36" i="137"/>
  <c r="AE5" i="137" s="1"/>
  <c r="N36" i="137"/>
  <c r="O5" i="137" s="1"/>
  <c r="Z40" i="137"/>
  <c r="AA9" i="137" s="1"/>
  <c r="J40" i="137"/>
  <c r="K9" i="137" s="1"/>
  <c r="V40" i="137"/>
  <c r="W9" i="137" s="1"/>
  <c r="F40" i="137"/>
  <c r="G9" i="137" s="1"/>
  <c r="AH40" i="137"/>
  <c r="R40" i="137"/>
  <c r="S9" i="137" s="1"/>
  <c r="B40" i="137"/>
  <c r="C9" i="137" s="1"/>
  <c r="AD40" i="137"/>
  <c r="AE9" i="137" s="1"/>
  <c r="N40" i="137"/>
  <c r="O9" i="137" s="1"/>
  <c r="AH42" i="137"/>
  <c r="R42" i="137"/>
  <c r="S11" i="137" s="1"/>
  <c r="B42" i="137"/>
  <c r="C11" i="137" s="1"/>
  <c r="AD42" i="137"/>
  <c r="AE11" i="137" s="1"/>
  <c r="N42" i="137"/>
  <c r="O11" i="137" s="1"/>
  <c r="Z42" i="137"/>
  <c r="AA11" i="137" s="1"/>
  <c r="J42" i="137"/>
  <c r="K11" i="137" s="1"/>
  <c r="V42" i="137"/>
  <c r="W11" i="137" s="1"/>
  <c r="F42" i="137"/>
  <c r="G11" i="137" s="1"/>
  <c r="AH38" i="137"/>
  <c r="R38" i="137"/>
  <c r="S7" i="137" s="1"/>
  <c r="B38" i="137"/>
  <c r="C7" i="137" s="1"/>
  <c r="AD38" i="137"/>
  <c r="AE7" i="137" s="1"/>
  <c r="N38" i="137"/>
  <c r="O7" i="137" s="1"/>
  <c r="Z38" i="137"/>
  <c r="AA7" i="137" s="1"/>
  <c r="J38" i="137"/>
  <c r="K7" i="137" s="1"/>
  <c r="V38" i="137"/>
  <c r="W7" i="137" s="1"/>
  <c r="F38" i="137"/>
  <c r="G7" i="137" s="1"/>
  <c r="AD39" i="137"/>
  <c r="AE8" i="137" s="1"/>
  <c r="N39" i="137"/>
  <c r="O8" i="137" s="1"/>
  <c r="Z39" i="137"/>
  <c r="AA8" i="137" s="1"/>
  <c r="J39" i="137"/>
  <c r="K8" i="137" s="1"/>
  <c r="V39" i="137"/>
  <c r="W8" i="137" s="1"/>
  <c r="F39" i="137"/>
  <c r="G8" i="137" s="1"/>
  <c r="R39" i="137"/>
  <c r="S8" i="137" s="1"/>
  <c r="B39" i="137"/>
  <c r="C8" i="137" s="1"/>
  <c r="AH39" i="137"/>
  <c r="AD43" i="137"/>
  <c r="AE12" i="137" s="1"/>
  <c r="N43" i="137"/>
  <c r="O12" i="137" s="1"/>
  <c r="Z43" i="137"/>
  <c r="AA12" i="137" s="1"/>
  <c r="J43" i="137"/>
  <c r="K12" i="137" s="1"/>
  <c r="V43" i="137"/>
  <c r="W12" i="137" s="1"/>
  <c r="F43" i="137"/>
  <c r="G12" i="137" s="1"/>
  <c r="B43" i="137"/>
  <c r="C12" i="137" s="1"/>
  <c r="AH43" i="137"/>
  <c r="R43" i="137"/>
  <c r="S12" i="137" s="1"/>
  <c r="Z44" i="137"/>
  <c r="AA13" i="137" s="1"/>
  <c r="J44" i="137"/>
  <c r="K13" i="137" s="1"/>
  <c r="V44" i="137"/>
  <c r="W13" i="137" s="1"/>
  <c r="F44" i="137"/>
  <c r="G13" i="137" s="1"/>
  <c r="AH44" i="137"/>
  <c r="R44" i="137"/>
  <c r="S13" i="137" s="1"/>
  <c r="B44" i="137"/>
  <c r="C13" i="137" s="1"/>
  <c r="AD44" i="137"/>
  <c r="AE13" i="137" s="1"/>
  <c r="N44" i="137"/>
  <c r="O13" i="137" s="1"/>
  <c r="AD59" i="137"/>
  <c r="AE28" i="137" s="1"/>
  <c r="N59" i="137"/>
  <c r="O28" i="137" s="1"/>
  <c r="Z59" i="137"/>
  <c r="AA28" i="137" s="1"/>
  <c r="J59" i="137"/>
  <c r="K28" i="137" s="1"/>
  <c r="V59" i="137"/>
  <c r="W28" i="137" s="1"/>
  <c r="F59" i="137"/>
  <c r="G28" i="137" s="1"/>
  <c r="B59" i="137"/>
  <c r="C28" i="137" s="1"/>
  <c r="AH59" i="137"/>
  <c r="B65" i="137"/>
  <c r="B33" i="137"/>
  <c r="R65" i="137"/>
  <c r="R33" i="137"/>
  <c r="AH31" i="137"/>
  <c r="R59" i="137"/>
  <c r="S28" i="137" s="1"/>
  <c r="V45" i="137"/>
  <c r="W14" i="137" s="1"/>
  <c r="F45" i="137"/>
  <c r="AH45" i="137"/>
  <c r="R45" i="137"/>
  <c r="B45" i="137"/>
  <c r="C14" i="137" s="1"/>
  <c r="AD45" i="137"/>
  <c r="N45" i="137"/>
  <c r="Z45" i="137"/>
  <c r="AH46" i="137"/>
  <c r="R46" i="137"/>
  <c r="S15" i="137" s="1"/>
  <c r="B46" i="137"/>
  <c r="C15" i="137" s="1"/>
  <c r="AD46" i="137"/>
  <c r="AE15" i="137" s="1"/>
  <c r="N46" i="137"/>
  <c r="O15" i="137" s="1"/>
  <c r="Z46" i="137"/>
  <c r="AA15" i="137" s="1"/>
  <c r="J46" i="137"/>
  <c r="K15" i="137" s="1"/>
  <c r="V46" i="137"/>
  <c r="W15" i="137" s="1"/>
  <c r="F46" i="137"/>
  <c r="G15" i="137" s="1"/>
  <c r="AD47" i="137"/>
  <c r="AE16" i="137" s="1"/>
  <c r="N47" i="137"/>
  <c r="O16" i="137" s="1"/>
  <c r="Z47" i="137"/>
  <c r="AA16" i="137" s="1"/>
  <c r="J47" i="137"/>
  <c r="K16" i="137" s="1"/>
  <c r="V47" i="137"/>
  <c r="W16" i="137" s="1"/>
  <c r="F47" i="137"/>
  <c r="G16" i="137" s="1"/>
  <c r="AH47" i="137"/>
  <c r="R47" i="137"/>
  <c r="S16" i="137" s="1"/>
  <c r="Z48" i="137"/>
  <c r="J48" i="137"/>
  <c r="V48" i="137"/>
  <c r="F48" i="137"/>
  <c r="AH48" i="137"/>
  <c r="R48" i="137"/>
  <c r="B48" i="137"/>
  <c r="N48" i="137"/>
  <c r="V49" i="137"/>
  <c r="W18" i="137" s="1"/>
  <c r="F49" i="137"/>
  <c r="G18" i="137" s="1"/>
  <c r="AH49" i="137"/>
  <c r="R49" i="137"/>
  <c r="S18" i="137" s="1"/>
  <c r="B49" i="137"/>
  <c r="C18" i="137" s="1"/>
  <c r="AD49" i="137"/>
  <c r="AE18" i="137" s="1"/>
  <c r="N49" i="137"/>
  <c r="O18" i="137" s="1"/>
  <c r="Z49" i="137"/>
  <c r="AA18" i="137" s="1"/>
  <c r="J49" i="137"/>
  <c r="K18" i="137" s="1"/>
  <c r="B47" i="137"/>
  <c r="C16" i="137" s="1"/>
  <c r="AH50" i="137"/>
  <c r="R50" i="137"/>
  <c r="B50" i="137"/>
  <c r="AD50" i="137"/>
  <c r="N50" i="137"/>
  <c r="Z50" i="137"/>
  <c r="J50" i="137"/>
  <c r="AD51" i="137"/>
  <c r="N51" i="137"/>
  <c r="Z51" i="137"/>
  <c r="J51" i="137"/>
  <c r="V51" i="137"/>
  <c r="F51" i="137"/>
  <c r="Z52" i="137"/>
  <c r="J52" i="137"/>
  <c r="V52" i="137"/>
  <c r="F52" i="137"/>
  <c r="AH52" i="137"/>
  <c r="R52" i="137"/>
  <c r="B52" i="137"/>
  <c r="V53" i="137"/>
  <c r="W22" i="137" s="1"/>
  <c r="F53" i="137"/>
  <c r="G22" i="137" s="1"/>
  <c r="AH53" i="137"/>
  <c r="R53" i="137"/>
  <c r="S22" i="137" s="1"/>
  <c r="B53" i="137"/>
  <c r="C22" i="137" s="1"/>
  <c r="AD53" i="137"/>
  <c r="AE22" i="137" s="1"/>
  <c r="N53" i="137"/>
  <c r="O22" i="137" s="1"/>
  <c r="AH54" i="137"/>
  <c r="R54" i="137"/>
  <c r="B54" i="137"/>
  <c r="AD54" i="137"/>
  <c r="N54" i="137"/>
  <c r="Z54" i="137"/>
  <c r="J54" i="137"/>
  <c r="AD55" i="137"/>
  <c r="N55" i="137"/>
  <c r="Z55" i="137"/>
  <c r="J55" i="137"/>
  <c r="V55" i="137"/>
  <c r="F55" i="137"/>
  <c r="Z56" i="137"/>
  <c r="J56" i="137"/>
  <c r="V56" i="137"/>
  <c r="F56" i="137"/>
  <c r="AH56" i="137"/>
  <c r="R56" i="137"/>
  <c r="B56" i="137"/>
  <c r="V57" i="137"/>
  <c r="F57" i="137"/>
  <c r="AH57" i="137"/>
  <c r="R57" i="137"/>
  <c r="B57" i="137"/>
  <c r="AD57" i="137"/>
  <c r="N57" i="137"/>
  <c r="AH58" i="137"/>
  <c r="R58" i="137"/>
  <c r="B58" i="137"/>
  <c r="AD58" i="137"/>
  <c r="N58" i="137"/>
  <c r="Z58" i="137"/>
  <c r="J58" i="137"/>
  <c r="Z60" i="137"/>
  <c r="AA29" i="137" s="1"/>
  <c r="J60" i="137"/>
  <c r="K29" i="137" s="1"/>
  <c r="V60" i="137"/>
  <c r="W29" i="137" s="1"/>
  <c r="F60" i="137"/>
  <c r="G29" i="137" s="1"/>
  <c r="AH60" i="137"/>
  <c r="R60" i="137"/>
  <c r="S29" i="137" s="1"/>
  <c r="B60" i="137"/>
  <c r="C29" i="137" s="1"/>
  <c r="V61" i="137"/>
  <c r="F61" i="137"/>
  <c r="AH61" i="137"/>
  <c r="R61" i="137"/>
  <c r="B61" i="137"/>
  <c r="AD61" i="137"/>
  <c r="N61" i="137"/>
  <c r="R51" i="137"/>
  <c r="J53" i="137"/>
  <c r="K22" i="137" s="1"/>
  <c r="B55" i="137"/>
  <c r="AD56" i="137"/>
  <c r="V58" i="137"/>
  <c r="N60" i="137"/>
  <c r="O29" i="137" s="1"/>
  <c r="F65" i="137"/>
  <c r="N65" i="137"/>
  <c r="N33" i="137"/>
  <c r="AD65" i="137"/>
  <c r="AD33" i="137"/>
  <c r="J33" i="137"/>
  <c r="F50" i="137"/>
  <c r="AH51" i="137"/>
  <c r="Z53" i="137"/>
  <c r="AA22" i="137" s="1"/>
  <c r="R55" i="137"/>
  <c r="J57" i="137"/>
  <c r="AD60" i="137"/>
  <c r="AE29" i="137" s="1"/>
  <c r="V65" i="137"/>
  <c r="S4" i="134"/>
  <c r="O6" i="136"/>
  <c r="AC5" i="130"/>
  <c r="AD5" i="130"/>
  <c r="O23" i="134"/>
  <c r="O26" i="136"/>
  <c r="AM4" i="132"/>
  <c r="O7" i="136"/>
  <c r="AD6" i="130"/>
  <c r="AC6" i="130"/>
  <c r="O27" i="134"/>
  <c r="O10" i="136"/>
  <c r="O13" i="136"/>
  <c r="O14" i="136"/>
  <c r="AM14" i="135"/>
  <c r="O15" i="136"/>
  <c r="O16" i="136"/>
  <c r="G17" i="134"/>
  <c r="O20" i="136"/>
  <c r="G13" i="134"/>
  <c r="O22" i="136"/>
  <c r="O8" i="136"/>
  <c r="AC7" i="130"/>
  <c r="AD7" i="130"/>
  <c r="W17" i="135"/>
  <c r="AE4" i="133"/>
  <c r="O9" i="136"/>
  <c r="AD8" i="130"/>
  <c r="AC8" i="130"/>
  <c r="O4" i="136"/>
  <c r="AU4" i="135"/>
  <c r="O5" i="136"/>
  <c r="AD4" i="130"/>
  <c r="AC4" i="130"/>
  <c r="O11" i="136"/>
  <c r="O12" i="136"/>
  <c r="O24" i="136"/>
  <c r="AI29" i="135"/>
  <c r="AL37" i="131"/>
  <c r="AM6" i="131" s="1"/>
  <c r="V37" i="131"/>
  <c r="W6" i="131" s="1"/>
  <c r="F37" i="131"/>
  <c r="G6" i="131" s="1"/>
  <c r="AH37" i="131"/>
  <c r="AI6" i="131" s="1"/>
  <c r="R37" i="131"/>
  <c r="S6" i="131" s="1"/>
  <c r="B37" i="131"/>
  <c r="C6" i="131" s="1"/>
  <c r="AP37" i="131"/>
  <c r="AQ6" i="131" s="1"/>
  <c r="J37" i="131"/>
  <c r="K6" i="131" s="1"/>
  <c r="AD37" i="131"/>
  <c r="AE6" i="131" s="1"/>
  <c r="Z37" i="131"/>
  <c r="AA6" i="131" s="1"/>
  <c r="AT37" i="131"/>
  <c r="N37" i="131"/>
  <c r="O6" i="131" s="1"/>
  <c r="AL39" i="131"/>
  <c r="AM8" i="131" s="1"/>
  <c r="V39" i="131"/>
  <c r="W8" i="131" s="1"/>
  <c r="F39" i="131"/>
  <c r="G8" i="131" s="1"/>
  <c r="AH39" i="131"/>
  <c r="AI8" i="131" s="1"/>
  <c r="R39" i="131"/>
  <c r="S8" i="131" s="1"/>
  <c r="B39" i="131"/>
  <c r="C8" i="131" s="1"/>
  <c r="AP39" i="131"/>
  <c r="AQ8" i="131" s="1"/>
  <c r="J39" i="131"/>
  <c r="K8" i="131" s="1"/>
  <c r="AD39" i="131"/>
  <c r="AE8" i="131" s="1"/>
  <c r="Z39" i="131"/>
  <c r="AA8" i="131" s="1"/>
  <c r="AT39" i="131"/>
  <c r="N39" i="131"/>
  <c r="O8" i="131" s="1"/>
  <c r="AL41" i="131"/>
  <c r="AM10" i="131" s="1"/>
  <c r="V41" i="131"/>
  <c r="W10" i="131" s="1"/>
  <c r="F41" i="131"/>
  <c r="G10" i="131" s="1"/>
  <c r="AH41" i="131"/>
  <c r="AI10" i="131" s="1"/>
  <c r="R41" i="131"/>
  <c r="S10" i="131" s="1"/>
  <c r="B41" i="131"/>
  <c r="C10" i="131" s="1"/>
  <c r="AP41" i="131"/>
  <c r="AQ10" i="131" s="1"/>
  <c r="J41" i="131"/>
  <c r="K10" i="131" s="1"/>
  <c r="AD41" i="131"/>
  <c r="AE10" i="131" s="1"/>
  <c r="Z41" i="131"/>
  <c r="AA10" i="131" s="1"/>
  <c r="AT41" i="131"/>
  <c r="N41" i="131"/>
  <c r="O10" i="131" s="1"/>
  <c r="AL43" i="131"/>
  <c r="AM12" i="131" s="1"/>
  <c r="V43" i="131"/>
  <c r="W12" i="131" s="1"/>
  <c r="F43" i="131"/>
  <c r="G12" i="131" s="1"/>
  <c r="AH43" i="131"/>
  <c r="AI12" i="131" s="1"/>
  <c r="R43" i="131"/>
  <c r="S12" i="131" s="1"/>
  <c r="B43" i="131"/>
  <c r="C12" i="131" s="1"/>
  <c r="AP43" i="131"/>
  <c r="AQ12" i="131" s="1"/>
  <c r="J43" i="131"/>
  <c r="K12" i="131" s="1"/>
  <c r="AD43" i="131"/>
  <c r="AE12" i="131" s="1"/>
  <c r="Z43" i="131"/>
  <c r="AA12" i="131" s="1"/>
  <c r="AT43" i="131"/>
  <c r="N43" i="131"/>
  <c r="O12" i="131" s="1"/>
  <c r="AL45" i="131"/>
  <c r="AM14" i="131" s="1"/>
  <c r="V45" i="131"/>
  <c r="W14" i="131" s="1"/>
  <c r="F45" i="131"/>
  <c r="G14" i="131" s="1"/>
  <c r="AH45" i="131"/>
  <c r="AI14" i="131" s="1"/>
  <c r="R45" i="131"/>
  <c r="S14" i="131" s="1"/>
  <c r="B45" i="131"/>
  <c r="C14" i="131" s="1"/>
  <c r="AP45" i="131"/>
  <c r="AQ14" i="131" s="1"/>
  <c r="J45" i="131"/>
  <c r="K14" i="131" s="1"/>
  <c r="AD45" i="131"/>
  <c r="AE14" i="131" s="1"/>
  <c r="Z45" i="131"/>
  <c r="AA14" i="131" s="1"/>
  <c r="AT45" i="131"/>
  <c r="N45" i="131"/>
  <c r="O14" i="131" s="1"/>
  <c r="D30" i="130"/>
  <c r="AL36" i="131"/>
  <c r="AM5" i="131" s="1"/>
  <c r="V36" i="131"/>
  <c r="W5" i="131" s="1"/>
  <c r="F36" i="131"/>
  <c r="G5" i="131" s="1"/>
  <c r="AH36" i="131"/>
  <c r="AI5" i="131" s="1"/>
  <c r="R36" i="131"/>
  <c r="S5" i="131" s="1"/>
  <c r="B36" i="131"/>
  <c r="C5" i="131" s="1"/>
  <c r="Z36" i="131"/>
  <c r="AA5" i="131" s="1"/>
  <c r="AT36" i="131"/>
  <c r="N36" i="131"/>
  <c r="O5" i="131" s="1"/>
  <c r="AP36" i="131"/>
  <c r="AQ5" i="131" s="1"/>
  <c r="J36" i="131"/>
  <c r="K5" i="131" s="1"/>
  <c r="AD36" i="131"/>
  <c r="AE5" i="131" s="1"/>
  <c r="AL38" i="131"/>
  <c r="AM7" i="131" s="1"/>
  <c r="V38" i="131"/>
  <c r="W7" i="131" s="1"/>
  <c r="F38" i="131"/>
  <c r="G7" i="131" s="1"/>
  <c r="AH38" i="131"/>
  <c r="AI7" i="131" s="1"/>
  <c r="R38" i="131"/>
  <c r="S7" i="131" s="1"/>
  <c r="B38" i="131"/>
  <c r="C7" i="131" s="1"/>
  <c r="Z38" i="131"/>
  <c r="AA7" i="131" s="1"/>
  <c r="AT38" i="131"/>
  <c r="N38" i="131"/>
  <c r="O7" i="131" s="1"/>
  <c r="AP38" i="131"/>
  <c r="AQ7" i="131" s="1"/>
  <c r="J38" i="131"/>
  <c r="K7" i="131" s="1"/>
  <c r="AD38" i="131"/>
  <c r="AE7" i="131" s="1"/>
  <c r="AL40" i="131"/>
  <c r="AM9" i="131" s="1"/>
  <c r="V40" i="131"/>
  <c r="W9" i="131" s="1"/>
  <c r="F40" i="131"/>
  <c r="G9" i="131" s="1"/>
  <c r="AH40" i="131"/>
  <c r="AI9" i="131" s="1"/>
  <c r="R40" i="131"/>
  <c r="S9" i="131" s="1"/>
  <c r="B40" i="131"/>
  <c r="C9" i="131" s="1"/>
  <c r="Z40" i="131"/>
  <c r="AA9" i="131" s="1"/>
  <c r="AT40" i="131"/>
  <c r="N40" i="131"/>
  <c r="O9" i="131" s="1"/>
  <c r="AP40" i="131"/>
  <c r="AQ9" i="131" s="1"/>
  <c r="J40" i="131"/>
  <c r="K9" i="131" s="1"/>
  <c r="AD40" i="131"/>
  <c r="AE9" i="131" s="1"/>
  <c r="AL42" i="131"/>
  <c r="AM11" i="131" s="1"/>
  <c r="V42" i="131"/>
  <c r="W11" i="131" s="1"/>
  <c r="F42" i="131"/>
  <c r="G11" i="131" s="1"/>
  <c r="AH42" i="131"/>
  <c r="AI11" i="131" s="1"/>
  <c r="R42" i="131"/>
  <c r="S11" i="131" s="1"/>
  <c r="B42" i="131"/>
  <c r="C11" i="131" s="1"/>
  <c r="Z42" i="131"/>
  <c r="AA11" i="131" s="1"/>
  <c r="AT42" i="131"/>
  <c r="N42" i="131"/>
  <c r="O11" i="131" s="1"/>
  <c r="AP42" i="131"/>
  <c r="AQ11" i="131" s="1"/>
  <c r="J42" i="131"/>
  <c r="K11" i="131" s="1"/>
  <c r="AD42" i="131"/>
  <c r="AE11" i="131" s="1"/>
  <c r="AL44" i="131"/>
  <c r="AM13" i="131" s="1"/>
  <c r="V44" i="131"/>
  <c r="W13" i="131" s="1"/>
  <c r="F44" i="131"/>
  <c r="G13" i="131" s="1"/>
  <c r="AH44" i="131"/>
  <c r="AI13" i="131" s="1"/>
  <c r="R44" i="131"/>
  <c r="S13" i="131" s="1"/>
  <c r="B44" i="131"/>
  <c r="C13" i="131" s="1"/>
  <c r="Z44" i="131"/>
  <c r="AA13" i="131" s="1"/>
  <c r="AT44" i="131"/>
  <c r="N44" i="131"/>
  <c r="O13" i="131" s="1"/>
  <c r="AP44" i="131"/>
  <c r="AQ13" i="131" s="1"/>
  <c r="J44" i="131"/>
  <c r="K13" i="131" s="1"/>
  <c r="AD44" i="131"/>
  <c r="AE13" i="131" s="1"/>
  <c r="AP51" i="131"/>
  <c r="AQ20" i="131" s="1"/>
  <c r="Z51" i="131"/>
  <c r="AA20" i="131" s="1"/>
  <c r="J51" i="131"/>
  <c r="K20" i="131" s="1"/>
  <c r="AL51" i="131"/>
  <c r="AM20" i="131" s="1"/>
  <c r="V51" i="131"/>
  <c r="W20" i="131" s="1"/>
  <c r="F51" i="131"/>
  <c r="G20" i="131" s="1"/>
  <c r="AH51" i="131"/>
  <c r="AI20" i="131" s="1"/>
  <c r="R51" i="131"/>
  <c r="S20" i="131" s="1"/>
  <c r="B51" i="131"/>
  <c r="C20" i="131" s="1"/>
  <c r="AP55" i="131"/>
  <c r="AQ24" i="131" s="1"/>
  <c r="Z55" i="131"/>
  <c r="AA24" i="131" s="1"/>
  <c r="J55" i="131"/>
  <c r="K24" i="131" s="1"/>
  <c r="AL55" i="131"/>
  <c r="AM24" i="131" s="1"/>
  <c r="V55" i="131"/>
  <c r="W24" i="131" s="1"/>
  <c r="F55" i="131"/>
  <c r="G24" i="131" s="1"/>
  <c r="AH55" i="131"/>
  <c r="AI24" i="131" s="1"/>
  <c r="R55" i="131"/>
  <c r="S24" i="131" s="1"/>
  <c r="B55" i="131"/>
  <c r="C24" i="131" s="1"/>
  <c r="AP59" i="131"/>
  <c r="AQ28" i="131" s="1"/>
  <c r="Z59" i="131"/>
  <c r="AA28" i="131" s="1"/>
  <c r="J59" i="131"/>
  <c r="K28" i="131" s="1"/>
  <c r="AL59" i="131"/>
  <c r="AM28" i="131" s="1"/>
  <c r="V59" i="131"/>
  <c r="W28" i="131" s="1"/>
  <c r="F59" i="131"/>
  <c r="G28" i="131" s="1"/>
  <c r="AH59" i="131"/>
  <c r="AI28" i="131" s="1"/>
  <c r="R59" i="131"/>
  <c r="S28" i="131" s="1"/>
  <c r="B59" i="131"/>
  <c r="C28" i="131" s="1"/>
  <c r="N35" i="131"/>
  <c r="AD46" i="131"/>
  <c r="N47" i="131"/>
  <c r="AT47" i="131"/>
  <c r="N50" i="131"/>
  <c r="AD51" i="131"/>
  <c r="AE20" i="131" s="1"/>
  <c r="N54" i="131"/>
  <c r="AD55" i="131"/>
  <c r="AE24" i="131" s="1"/>
  <c r="AD59" i="131"/>
  <c r="AE28" i="131" s="1"/>
  <c r="Z35" i="132"/>
  <c r="J35" i="132"/>
  <c r="AL35" i="132"/>
  <c r="V35" i="132"/>
  <c r="F35" i="132"/>
  <c r="AH35" i="132"/>
  <c r="R35" i="132"/>
  <c r="B35" i="132"/>
  <c r="AD35" i="132"/>
  <c r="N35" i="132"/>
  <c r="Z61" i="132"/>
  <c r="AA30" i="132" s="1"/>
  <c r="J61" i="132"/>
  <c r="K30" i="132" s="1"/>
  <c r="AL61" i="132"/>
  <c r="V61" i="132"/>
  <c r="W30" i="132" s="1"/>
  <c r="F61" i="132"/>
  <c r="G30" i="132" s="1"/>
  <c r="AH61" i="132"/>
  <c r="AI30" i="132" s="1"/>
  <c r="R61" i="132"/>
  <c r="S30" i="132" s="1"/>
  <c r="B61" i="132"/>
  <c r="C30" i="132" s="1"/>
  <c r="AD61" i="132"/>
  <c r="AE30" i="132" s="1"/>
  <c r="N61" i="132"/>
  <c r="O30" i="132" s="1"/>
  <c r="AL35" i="131"/>
  <c r="V35" i="131"/>
  <c r="F35" i="131"/>
  <c r="AH35" i="131"/>
  <c r="R35" i="131"/>
  <c r="B35" i="131"/>
  <c r="AP48" i="131"/>
  <c r="Z48" i="131"/>
  <c r="AL48" i="131"/>
  <c r="V48" i="131"/>
  <c r="F48" i="131"/>
  <c r="AH48" i="131"/>
  <c r="R48" i="131"/>
  <c r="B48" i="131"/>
  <c r="AP52" i="131"/>
  <c r="Z52" i="131"/>
  <c r="J52" i="131"/>
  <c r="AL52" i="131"/>
  <c r="V52" i="131"/>
  <c r="F52" i="131"/>
  <c r="AH52" i="131"/>
  <c r="R52" i="131"/>
  <c r="B52" i="131"/>
  <c r="AP58" i="131"/>
  <c r="Z58" i="131"/>
  <c r="J58" i="131"/>
  <c r="AL58" i="131"/>
  <c r="V58" i="131"/>
  <c r="F58" i="131"/>
  <c r="AH58" i="131"/>
  <c r="R58" i="131"/>
  <c r="B58" i="131"/>
  <c r="AT32" i="131"/>
  <c r="Z35" i="131"/>
  <c r="J46" i="131"/>
  <c r="J48" i="131"/>
  <c r="AT51" i="131"/>
  <c r="AT55" i="131"/>
  <c r="AD58" i="131"/>
  <c r="AT59" i="131"/>
  <c r="AH48" i="132"/>
  <c r="AI17" i="132" s="1"/>
  <c r="R48" i="132"/>
  <c r="S17" i="132" s="1"/>
  <c r="B48" i="132"/>
  <c r="C17" i="132" s="1"/>
  <c r="AD48" i="132"/>
  <c r="AE17" i="132" s="1"/>
  <c r="N48" i="132"/>
  <c r="O17" i="132" s="1"/>
  <c r="Z48" i="132"/>
  <c r="AA17" i="132" s="1"/>
  <c r="J48" i="132"/>
  <c r="K17" i="132" s="1"/>
  <c r="AL48" i="132"/>
  <c r="V48" i="132"/>
  <c r="W17" i="132" s="1"/>
  <c r="F48" i="132"/>
  <c r="G17" i="132" s="1"/>
  <c r="AH56" i="132"/>
  <c r="AI25" i="132" s="1"/>
  <c r="R56" i="132"/>
  <c r="S25" i="132" s="1"/>
  <c r="B56" i="132"/>
  <c r="C25" i="132" s="1"/>
  <c r="AD56" i="132"/>
  <c r="AE25" i="132" s="1"/>
  <c r="N56" i="132"/>
  <c r="O25" i="132" s="1"/>
  <c r="Z56" i="132"/>
  <c r="AA25" i="132" s="1"/>
  <c r="J56" i="132"/>
  <c r="K25" i="132" s="1"/>
  <c r="AL56" i="132"/>
  <c r="V56" i="132"/>
  <c r="W25" i="132" s="1"/>
  <c r="F56" i="132"/>
  <c r="G25" i="132" s="1"/>
  <c r="AL46" i="131"/>
  <c r="V46" i="131"/>
  <c r="F46" i="131"/>
  <c r="AH46" i="131"/>
  <c r="R46" i="131"/>
  <c r="B46" i="131"/>
  <c r="AL47" i="131"/>
  <c r="V47" i="131"/>
  <c r="F47" i="131"/>
  <c r="AH47" i="131"/>
  <c r="R47" i="131"/>
  <c r="B47" i="131"/>
  <c r="AP49" i="131"/>
  <c r="Z49" i="131"/>
  <c r="J49" i="131"/>
  <c r="AL49" i="131"/>
  <c r="V49" i="131"/>
  <c r="F49" i="131"/>
  <c r="AH49" i="131"/>
  <c r="R49" i="131"/>
  <c r="B49" i="131"/>
  <c r="AP53" i="131"/>
  <c r="Z53" i="131"/>
  <c r="J53" i="131"/>
  <c r="AL53" i="131"/>
  <c r="V53" i="131"/>
  <c r="F53" i="131"/>
  <c r="AH53" i="131"/>
  <c r="R53" i="131"/>
  <c r="B53" i="131"/>
  <c r="N46" i="131"/>
  <c r="AT46" i="131"/>
  <c r="AD47" i="131"/>
  <c r="AD49" i="131"/>
  <c r="AD53" i="131"/>
  <c r="AL31" i="132"/>
  <c r="AP50" i="131"/>
  <c r="Z50" i="131"/>
  <c r="J50" i="131"/>
  <c r="AL50" i="131"/>
  <c r="V50" i="131"/>
  <c r="F50" i="131"/>
  <c r="AH50" i="131"/>
  <c r="R50" i="131"/>
  <c r="B50" i="131"/>
  <c r="AP54" i="131"/>
  <c r="Z54" i="131"/>
  <c r="J54" i="131"/>
  <c r="AL54" i="131"/>
  <c r="V54" i="131"/>
  <c r="F54" i="131"/>
  <c r="AH54" i="131"/>
  <c r="R54" i="131"/>
  <c r="B54" i="131"/>
  <c r="J35" i="131"/>
  <c r="AP35" i="131"/>
  <c r="Z46" i="131"/>
  <c r="J47" i="131"/>
  <c r="AP47" i="131"/>
  <c r="AD48" i="131"/>
  <c r="AT49" i="131"/>
  <c r="N51" i="131"/>
  <c r="O20" i="131" s="1"/>
  <c r="AD52" i="131"/>
  <c r="AT53" i="131"/>
  <c r="N55" i="131"/>
  <c r="O24" i="131" s="1"/>
  <c r="N59" i="131"/>
  <c r="O28" i="131" s="1"/>
  <c r="AH52" i="132"/>
  <c r="AI21" i="132" s="1"/>
  <c r="R52" i="132"/>
  <c r="S21" i="132" s="1"/>
  <c r="B52" i="132"/>
  <c r="C21" i="132" s="1"/>
  <c r="AD52" i="132"/>
  <c r="AE21" i="132" s="1"/>
  <c r="N52" i="132"/>
  <c r="O21" i="132" s="1"/>
  <c r="Z52" i="132"/>
  <c r="AA21" i="132" s="1"/>
  <c r="J52" i="132"/>
  <c r="K21" i="132" s="1"/>
  <c r="AL52" i="132"/>
  <c r="V52" i="132"/>
  <c r="W21" i="132" s="1"/>
  <c r="F52" i="132"/>
  <c r="G21" i="132" s="1"/>
  <c r="AH60" i="132"/>
  <c r="AI29" i="132" s="1"/>
  <c r="R60" i="132"/>
  <c r="S29" i="132" s="1"/>
  <c r="B60" i="132"/>
  <c r="C29" i="132" s="1"/>
  <c r="AD60" i="132"/>
  <c r="AE29" i="132" s="1"/>
  <c r="N60" i="132"/>
  <c r="O29" i="132" s="1"/>
  <c r="Z60" i="132"/>
  <c r="AA29" i="132" s="1"/>
  <c r="J60" i="132"/>
  <c r="K29" i="132" s="1"/>
  <c r="AL60" i="132"/>
  <c r="V60" i="132"/>
  <c r="W29" i="132" s="1"/>
  <c r="F60" i="132"/>
  <c r="G29" i="132" s="1"/>
  <c r="B33" i="131"/>
  <c r="B56" i="131"/>
  <c r="R56" i="131"/>
  <c r="AH56" i="131"/>
  <c r="B57" i="131"/>
  <c r="R57" i="131"/>
  <c r="AH57" i="131"/>
  <c r="B60" i="131"/>
  <c r="R60" i="131"/>
  <c r="S29" i="131" s="1"/>
  <c r="AH60" i="131"/>
  <c r="B61" i="131"/>
  <c r="R61" i="131"/>
  <c r="AH61" i="131"/>
  <c r="Z37" i="132"/>
  <c r="AA6" i="132" s="1"/>
  <c r="J37" i="132"/>
  <c r="K6" i="132" s="1"/>
  <c r="AL37" i="132"/>
  <c r="V37" i="132"/>
  <c r="W6" i="132" s="1"/>
  <c r="F37" i="132"/>
  <c r="G6" i="132" s="1"/>
  <c r="AH37" i="132"/>
  <c r="AI6" i="132" s="1"/>
  <c r="R37" i="132"/>
  <c r="S6" i="132" s="1"/>
  <c r="B37" i="132"/>
  <c r="C6" i="132" s="1"/>
  <c r="AD37" i="132"/>
  <c r="AE6" i="132" s="1"/>
  <c r="N37" i="132"/>
  <c r="O6" i="132" s="1"/>
  <c r="Z39" i="132"/>
  <c r="AA8" i="132" s="1"/>
  <c r="J39" i="132"/>
  <c r="K8" i="132" s="1"/>
  <c r="AL39" i="132"/>
  <c r="V39" i="132"/>
  <c r="W8" i="132" s="1"/>
  <c r="F39" i="132"/>
  <c r="G8" i="132" s="1"/>
  <c r="AH39" i="132"/>
  <c r="AI8" i="132" s="1"/>
  <c r="R39" i="132"/>
  <c r="S8" i="132" s="1"/>
  <c r="B39" i="132"/>
  <c r="C8" i="132" s="1"/>
  <c r="AD39" i="132"/>
  <c r="AE8" i="132" s="1"/>
  <c r="N39" i="132"/>
  <c r="O8" i="132" s="1"/>
  <c r="Z41" i="132"/>
  <c r="AA10" i="132" s="1"/>
  <c r="J41" i="132"/>
  <c r="K10" i="132" s="1"/>
  <c r="AL41" i="132"/>
  <c r="V41" i="132"/>
  <c r="W10" i="132" s="1"/>
  <c r="F41" i="132"/>
  <c r="G10" i="132" s="1"/>
  <c r="AH41" i="132"/>
  <c r="AI10" i="132" s="1"/>
  <c r="R41" i="132"/>
  <c r="S10" i="132" s="1"/>
  <c r="B41" i="132"/>
  <c r="C10" i="132" s="1"/>
  <c r="AD41" i="132"/>
  <c r="AE10" i="132" s="1"/>
  <c r="N41" i="132"/>
  <c r="O10" i="132" s="1"/>
  <c r="Z43" i="132"/>
  <c r="AA12" i="132" s="1"/>
  <c r="J43" i="132"/>
  <c r="K12" i="132" s="1"/>
  <c r="AL43" i="132"/>
  <c r="V43" i="132"/>
  <c r="W12" i="132" s="1"/>
  <c r="F43" i="132"/>
  <c r="G12" i="132" s="1"/>
  <c r="AH43" i="132"/>
  <c r="AI12" i="132" s="1"/>
  <c r="R43" i="132"/>
  <c r="S12" i="132" s="1"/>
  <c r="B43" i="132"/>
  <c r="C12" i="132" s="1"/>
  <c r="AD43" i="132"/>
  <c r="AE12" i="132" s="1"/>
  <c r="N43" i="132"/>
  <c r="O12" i="132" s="1"/>
  <c r="Z45" i="132"/>
  <c r="AA14" i="132" s="1"/>
  <c r="J45" i="132"/>
  <c r="K14" i="132" s="1"/>
  <c r="AL45" i="132"/>
  <c r="V45" i="132"/>
  <c r="W14" i="132" s="1"/>
  <c r="F45" i="132"/>
  <c r="G14" i="132" s="1"/>
  <c r="AH45" i="132"/>
  <c r="AI14" i="132" s="1"/>
  <c r="R45" i="132"/>
  <c r="S14" i="132" s="1"/>
  <c r="B45" i="132"/>
  <c r="C14" i="132" s="1"/>
  <c r="AD45" i="132"/>
  <c r="AE14" i="132" s="1"/>
  <c r="N45" i="132"/>
  <c r="O14" i="132" s="1"/>
  <c r="Z47" i="132"/>
  <c r="AA16" i="132" s="1"/>
  <c r="J47" i="132"/>
  <c r="K16" i="132" s="1"/>
  <c r="AL47" i="132"/>
  <c r="V47" i="132"/>
  <c r="W16" i="132" s="1"/>
  <c r="F47" i="132"/>
  <c r="G16" i="132" s="1"/>
  <c r="AH47" i="132"/>
  <c r="AI16" i="132" s="1"/>
  <c r="R47" i="132"/>
  <c r="S16" i="132" s="1"/>
  <c r="B47" i="132"/>
  <c r="C16" i="132" s="1"/>
  <c r="AD47" i="132"/>
  <c r="AE16" i="132" s="1"/>
  <c r="N47" i="132"/>
  <c r="O16" i="132" s="1"/>
  <c r="Z51" i="132"/>
  <c r="AA20" i="132" s="1"/>
  <c r="J51" i="132"/>
  <c r="K20" i="132" s="1"/>
  <c r="AL51" i="132"/>
  <c r="V51" i="132"/>
  <c r="W20" i="132" s="1"/>
  <c r="F51" i="132"/>
  <c r="G20" i="132" s="1"/>
  <c r="AH51" i="132"/>
  <c r="AI20" i="132" s="1"/>
  <c r="R51" i="132"/>
  <c r="S20" i="132" s="1"/>
  <c r="B51" i="132"/>
  <c r="C20" i="132" s="1"/>
  <c r="AD51" i="132"/>
  <c r="AE20" i="132" s="1"/>
  <c r="N51" i="132"/>
  <c r="O20" i="132" s="1"/>
  <c r="AH54" i="132"/>
  <c r="AI23" i="132" s="1"/>
  <c r="R54" i="132"/>
  <c r="S23" i="132" s="1"/>
  <c r="B54" i="132"/>
  <c r="C23" i="132" s="1"/>
  <c r="AD54" i="132"/>
  <c r="AE23" i="132" s="1"/>
  <c r="N54" i="132"/>
  <c r="O23" i="132" s="1"/>
  <c r="Z54" i="132"/>
  <c r="AA23" i="132" s="1"/>
  <c r="J54" i="132"/>
  <c r="K23" i="132" s="1"/>
  <c r="AL54" i="132"/>
  <c r="V54" i="132"/>
  <c r="W23" i="132" s="1"/>
  <c r="F54" i="132"/>
  <c r="G23" i="132" s="1"/>
  <c r="F56" i="131"/>
  <c r="V56" i="131"/>
  <c r="AL56" i="131"/>
  <c r="F57" i="131"/>
  <c r="V57" i="131"/>
  <c r="AL57" i="131"/>
  <c r="F60" i="131"/>
  <c r="V60" i="131"/>
  <c r="W29" i="131" s="1"/>
  <c r="F61" i="131"/>
  <c r="V61" i="131"/>
  <c r="AH46" i="132"/>
  <c r="AI15" i="132" s="1"/>
  <c r="R46" i="132"/>
  <c r="S15" i="132" s="1"/>
  <c r="B46" i="132"/>
  <c r="C15" i="132" s="1"/>
  <c r="AD46" i="132"/>
  <c r="AE15" i="132" s="1"/>
  <c r="N46" i="132"/>
  <c r="O15" i="132" s="1"/>
  <c r="Z46" i="132"/>
  <c r="AA15" i="132" s="1"/>
  <c r="J46" i="132"/>
  <c r="K15" i="132" s="1"/>
  <c r="AL46" i="132"/>
  <c r="V46" i="132"/>
  <c r="W15" i="132" s="1"/>
  <c r="F46" i="132"/>
  <c r="G15" i="132" s="1"/>
  <c r="AH50" i="132"/>
  <c r="AI19" i="132" s="1"/>
  <c r="R50" i="132"/>
  <c r="S19" i="132" s="1"/>
  <c r="B50" i="132"/>
  <c r="C19" i="132" s="1"/>
  <c r="AD50" i="132"/>
  <c r="AE19" i="132" s="1"/>
  <c r="N50" i="132"/>
  <c r="O19" i="132" s="1"/>
  <c r="Z50" i="132"/>
  <c r="AA19" i="132" s="1"/>
  <c r="J50" i="132"/>
  <c r="K19" i="132" s="1"/>
  <c r="AL50" i="132"/>
  <c r="V50" i="132"/>
  <c r="W19" i="132" s="1"/>
  <c r="F50" i="132"/>
  <c r="G19" i="132" s="1"/>
  <c r="Z53" i="132"/>
  <c r="AA22" i="132" s="1"/>
  <c r="J53" i="132"/>
  <c r="K22" i="132" s="1"/>
  <c r="AL53" i="132"/>
  <c r="V53" i="132"/>
  <c r="W22" i="132" s="1"/>
  <c r="F53" i="132"/>
  <c r="G22" i="132" s="1"/>
  <c r="AH53" i="132"/>
  <c r="AI22" i="132" s="1"/>
  <c r="R53" i="132"/>
  <c r="S22" i="132" s="1"/>
  <c r="B53" i="132"/>
  <c r="C22" i="132" s="1"/>
  <c r="AD53" i="132"/>
  <c r="AE22" i="132" s="1"/>
  <c r="N53" i="132"/>
  <c r="O22" i="132" s="1"/>
  <c r="J56" i="131"/>
  <c r="Z56" i="131"/>
  <c r="J57" i="131"/>
  <c r="Z57" i="131"/>
  <c r="AH36" i="132"/>
  <c r="AI5" i="132" s="1"/>
  <c r="R36" i="132"/>
  <c r="S5" i="132" s="1"/>
  <c r="B36" i="132"/>
  <c r="C5" i="132" s="1"/>
  <c r="AD36" i="132"/>
  <c r="AE5" i="132" s="1"/>
  <c r="N36" i="132"/>
  <c r="O5" i="132" s="1"/>
  <c r="Z36" i="132"/>
  <c r="AA5" i="132" s="1"/>
  <c r="J36" i="132"/>
  <c r="K5" i="132" s="1"/>
  <c r="AL36" i="132"/>
  <c r="V36" i="132"/>
  <c r="W5" i="132" s="1"/>
  <c r="F36" i="132"/>
  <c r="G5" i="132" s="1"/>
  <c r="AH38" i="132"/>
  <c r="AI7" i="132" s="1"/>
  <c r="R38" i="132"/>
  <c r="S7" i="132" s="1"/>
  <c r="B38" i="132"/>
  <c r="C7" i="132" s="1"/>
  <c r="AD38" i="132"/>
  <c r="AE7" i="132" s="1"/>
  <c r="N38" i="132"/>
  <c r="O7" i="132" s="1"/>
  <c r="Z38" i="132"/>
  <c r="AA7" i="132" s="1"/>
  <c r="J38" i="132"/>
  <c r="K7" i="132" s="1"/>
  <c r="AL38" i="132"/>
  <c r="V38" i="132"/>
  <c r="W7" i="132" s="1"/>
  <c r="F38" i="132"/>
  <c r="G7" i="132" s="1"/>
  <c r="AH40" i="132"/>
  <c r="AI9" i="132" s="1"/>
  <c r="R40" i="132"/>
  <c r="S9" i="132" s="1"/>
  <c r="B40" i="132"/>
  <c r="C9" i="132" s="1"/>
  <c r="AD40" i="132"/>
  <c r="AE9" i="132" s="1"/>
  <c r="N40" i="132"/>
  <c r="O9" i="132" s="1"/>
  <c r="Z40" i="132"/>
  <c r="AA9" i="132" s="1"/>
  <c r="J40" i="132"/>
  <c r="K9" i="132" s="1"/>
  <c r="AL40" i="132"/>
  <c r="V40" i="132"/>
  <c r="W9" i="132" s="1"/>
  <c r="F40" i="132"/>
  <c r="G9" i="132" s="1"/>
  <c r="AH42" i="132"/>
  <c r="AI11" i="132" s="1"/>
  <c r="R42" i="132"/>
  <c r="S11" i="132" s="1"/>
  <c r="B42" i="132"/>
  <c r="C11" i="132" s="1"/>
  <c r="AD42" i="132"/>
  <c r="AE11" i="132" s="1"/>
  <c r="N42" i="132"/>
  <c r="O11" i="132" s="1"/>
  <c r="Z42" i="132"/>
  <c r="AA11" i="132" s="1"/>
  <c r="J42" i="132"/>
  <c r="K11" i="132" s="1"/>
  <c r="AL42" i="132"/>
  <c r="V42" i="132"/>
  <c r="W11" i="132" s="1"/>
  <c r="F42" i="132"/>
  <c r="G11" i="132" s="1"/>
  <c r="AH44" i="132"/>
  <c r="AI13" i="132" s="1"/>
  <c r="R44" i="132"/>
  <c r="S13" i="132" s="1"/>
  <c r="B44" i="132"/>
  <c r="C13" i="132" s="1"/>
  <c r="AD44" i="132"/>
  <c r="AE13" i="132" s="1"/>
  <c r="N44" i="132"/>
  <c r="O13" i="132" s="1"/>
  <c r="Z44" i="132"/>
  <c r="AA13" i="132" s="1"/>
  <c r="J44" i="132"/>
  <c r="K13" i="132" s="1"/>
  <c r="AL44" i="132"/>
  <c r="V44" i="132"/>
  <c r="W13" i="132" s="1"/>
  <c r="F44" i="132"/>
  <c r="G13" i="132" s="1"/>
  <c r="Z49" i="132"/>
  <c r="AA18" i="132" s="1"/>
  <c r="J49" i="132"/>
  <c r="K18" i="132" s="1"/>
  <c r="AL49" i="132"/>
  <c r="V49" i="132"/>
  <c r="W18" i="132" s="1"/>
  <c r="F49" i="132"/>
  <c r="G18" i="132" s="1"/>
  <c r="AH49" i="132"/>
  <c r="AI18" i="132" s="1"/>
  <c r="R49" i="132"/>
  <c r="S18" i="132" s="1"/>
  <c r="B49" i="132"/>
  <c r="C18" i="132" s="1"/>
  <c r="AD49" i="132"/>
  <c r="AE18" i="132" s="1"/>
  <c r="N49" i="132"/>
  <c r="O18" i="132" s="1"/>
  <c r="Z57" i="132"/>
  <c r="AA26" i="132" s="1"/>
  <c r="J57" i="132"/>
  <c r="K26" i="132" s="1"/>
  <c r="AL57" i="132"/>
  <c r="V57" i="132"/>
  <c r="W26" i="132" s="1"/>
  <c r="F57" i="132"/>
  <c r="G26" i="132" s="1"/>
  <c r="AH57" i="132"/>
  <c r="AI26" i="132" s="1"/>
  <c r="R57" i="132"/>
  <c r="S26" i="132" s="1"/>
  <c r="B57" i="132"/>
  <c r="C26" i="132" s="1"/>
  <c r="AD57" i="132"/>
  <c r="AE26" i="132" s="1"/>
  <c r="N57" i="132"/>
  <c r="O26" i="132" s="1"/>
  <c r="N55" i="132"/>
  <c r="AD55" i="132"/>
  <c r="F58" i="132"/>
  <c r="V58" i="132"/>
  <c r="AL58" i="132"/>
  <c r="N59" i="132"/>
  <c r="AD59" i="132"/>
  <c r="AD35" i="133"/>
  <c r="N35" i="133"/>
  <c r="Z35" i="133"/>
  <c r="J35" i="133"/>
  <c r="V35" i="133"/>
  <c r="F35" i="133"/>
  <c r="R35" i="133"/>
  <c r="B35" i="133"/>
  <c r="AD44" i="133"/>
  <c r="N44" i="133"/>
  <c r="O13" i="133" s="1"/>
  <c r="Z44" i="133"/>
  <c r="AA13" i="133" s="1"/>
  <c r="J44" i="133"/>
  <c r="K13" i="133" s="1"/>
  <c r="V44" i="133"/>
  <c r="W13" i="133" s="1"/>
  <c r="F44" i="133"/>
  <c r="G13" i="133" s="1"/>
  <c r="R44" i="133"/>
  <c r="S13" i="133" s="1"/>
  <c r="B44" i="133"/>
  <c r="C13" i="133" s="1"/>
  <c r="B55" i="132"/>
  <c r="R55" i="132"/>
  <c r="AH55" i="132"/>
  <c r="J58" i="132"/>
  <c r="Z58" i="132"/>
  <c r="B59" i="132"/>
  <c r="R59" i="132"/>
  <c r="AH59" i="132"/>
  <c r="AD36" i="133"/>
  <c r="N36" i="133"/>
  <c r="O5" i="133" s="1"/>
  <c r="Z36" i="133"/>
  <c r="AA5" i="133" s="1"/>
  <c r="J36" i="133"/>
  <c r="K5" i="133" s="1"/>
  <c r="V36" i="133"/>
  <c r="W5" i="133" s="1"/>
  <c r="F36" i="133"/>
  <c r="G5" i="133" s="1"/>
  <c r="R36" i="133"/>
  <c r="S5" i="133" s="1"/>
  <c r="B36" i="133"/>
  <c r="C5" i="133" s="1"/>
  <c r="AD37" i="133"/>
  <c r="N37" i="133"/>
  <c r="O6" i="133" s="1"/>
  <c r="Z37" i="133"/>
  <c r="AA6" i="133" s="1"/>
  <c r="J37" i="133"/>
  <c r="K6" i="133" s="1"/>
  <c r="V37" i="133"/>
  <c r="W6" i="133" s="1"/>
  <c r="F37" i="133"/>
  <c r="G6" i="133" s="1"/>
  <c r="R37" i="133"/>
  <c r="S6" i="133" s="1"/>
  <c r="B37" i="133"/>
  <c r="C6" i="133" s="1"/>
  <c r="AD38" i="133"/>
  <c r="N38" i="133"/>
  <c r="O7" i="133" s="1"/>
  <c r="Z38" i="133"/>
  <c r="AA7" i="133" s="1"/>
  <c r="J38" i="133"/>
  <c r="K7" i="133" s="1"/>
  <c r="V38" i="133"/>
  <c r="W7" i="133" s="1"/>
  <c r="F38" i="133"/>
  <c r="G7" i="133" s="1"/>
  <c r="R38" i="133"/>
  <c r="S7" i="133" s="1"/>
  <c r="B38" i="133"/>
  <c r="C7" i="133" s="1"/>
  <c r="AD39" i="133"/>
  <c r="N39" i="133"/>
  <c r="O8" i="133" s="1"/>
  <c r="Z39" i="133"/>
  <c r="AA8" i="133" s="1"/>
  <c r="J39" i="133"/>
  <c r="K8" i="133" s="1"/>
  <c r="V39" i="133"/>
  <c r="W8" i="133" s="1"/>
  <c r="F39" i="133"/>
  <c r="G8" i="133" s="1"/>
  <c r="R39" i="133"/>
  <c r="S8" i="133" s="1"/>
  <c r="B39" i="133"/>
  <c r="C8" i="133" s="1"/>
  <c r="AD40" i="133"/>
  <c r="N40" i="133"/>
  <c r="O9" i="133" s="1"/>
  <c r="Z40" i="133"/>
  <c r="AA9" i="133" s="1"/>
  <c r="J40" i="133"/>
  <c r="K9" i="133" s="1"/>
  <c r="V40" i="133"/>
  <c r="W9" i="133" s="1"/>
  <c r="F40" i="133"/>
  <c r="G9" i="133" s="1"/>
  <c r="R40" i="133"/>
  <c r="S9" i="133" s="1"/>
  <c r="B40" i="133"/>
  <c r="C9" i="133" s="1"/>
  <c r="AD41" i="133"/>
  <c r="N41" i="133"/>
  <c r="O10" i="133" s="1"/>
  <c r="Z41" i="133"/>
  <c r="AA10" i="133" s="1"/>
  <c r="J41" i="133"/>
  <c r="K10" i="133" s="1"/>
  <c r="V41" i="133"/>
  <c r="W10" i="133" s="1"/>
  <c r="F41" i="133"/>
  <c r="G10" i="133" s="1"/>
  <c r="R41" i="133"/>
  <c r="S10" i="133" s="1"/>
  <c r="B41" i="133"/>
  <c r="C10" i="133" s="1"/>
  <c r="AD42" i="133"/>
  <c r="N42" i="133"/>
  <c r="O11" i="133" s="1"/>
  <c r="Z42" i="133"/>
  <c r="AA11" i="133" s="1"/>
  <c r="J42" i="133"/>
  <c r="K11" i="133" s="1"/>
  <c r="V42" i="133"/>
  <c r="W11" i="133" s="1"/>
  <c r="F42" i="133"/>
  <c r="G11" i="133" s="1"/>
  <c r="R42" i="133"/>
  <c r="S11" i="133" s="1"/>
  <c r="B42" i="133"/>
  <c r="C11" i="133" s="1"/>
  <c r="AD43" i="133"/>
  <c r="N43" i="133"/>
  <c r="O12" i="133" s="1"/>
  <c r="Z43" i="133"/>
  <c r="AA12" i="133" s="1"/>
  <c r="J43" i="133"/>
  <c r="K12" i="133" s="1"/>
  <c r="V43" i="133"/>
  <c r="W12" i="133" s="1"/>
  <c r="F43" i="133"/>
  <c r="G12" i="133" s="1"/>
  <c r="R43" i="133"/>
  <c r="S12" i="133" s="1"/>
  <c r="B43" i="133"/>
  <c r="C12" i="133" s="1"/>
  <c r="AD45" i="133"/>
  <c r="N45" i="133"/>
  <c r="O14" i="133" s="1"/>
  <c r="Z45" i="133"/>
  <c r="AA14" i="133" s="1"/>
  <c r="J45" i="133"/>
  <c r="K14" i="133" s="1"/>
  <c r="V45" i="133"/>
  <c r="W14" i="133" s="1"/>
  <c r="F45" i="133"/>
  <c r="G14" i="133" s="1"/>
  <c r="R45" i="133"/>
  <c r="S14" i="133" s="1"/>
  <c r="B45" i="133"/>
  <c r="C14" i="133" s="1"/>
  <c r="F55" i="132"/>
  <c r="V55" i="132"/>
  <c r="AL55" i="132"/>
  <c r="N58" i="132"/>
  <c r="AD58" i="132"/>
  <c r="F59" i="132"/>
  <c r="V59" i="132"/>
  <c r="AL59" i="132"/>
  <c r="AD46" i="133"/>
  <c r="N46" i="133"/>
  <c r="O15" i="133" s="1"/>
  <c r="Z46" i="133"/>
  <c r="AA15" i="133" s="1"/>
  <c r="J46" i="133"/>
  <c r="K15" i="133" s="1"/>
  <c r="V46" i="133"/>
  <c r="W15" i="133" s="1"/>
  <c r="F46" i="133"/>
  <c r="G15" i="133" s="1"/>
  <c r="R46" i="133"/>
  <c r="S15" i="133" s="1"/>
  <c r="B46" i="133"/>
  <c r="C15" i="133" s="1"/>
  <c r="AD49" i="133"/>
  <c r="N49" i="133"/>
  <c r="O18" i="133" s="1"/>
  <c r="Z49" i="133"/>
  <c r="AA18" i="133" s="1"/>
  <c r="J49" i="133"/>
  <c r="K18" i="133" s="1"/>
  <c r="V49" i="133"/>
  <c r="W18" i="133" s="1"/>
  <c r="F49" i="133"/>
  <c r="G18" i="133" s="1"/>
  <c r="R49" i="133"/>
  <c r="S18" i="133" s="1"/>
  <c r="B49" i="133"/>
  <c r="C18" i="133" s="1"/>
  <c r="J55" i="132"/>
  <c r="B58" i="132"/>
  <c r="R58" i="132"/>
  <c r="J59" i="132"/>
  <c r="AD47" i="133"/>
  <c r="N47" i="133"/>
  <c r="O16" i="133" s="1"/>
  <c r="Z47" i="133"/>
  <c r="AA16" i="133" s="1"/>
  <c r="J47" i="133"/>
  <c r="K16" i="133" s="1"/>
  <c r="V47" i="133"/>
  <c r="W16" i="133" s="1"/>
  <c r="F47" i="133"/>
  <c r="G16" i="133" s="1"/>
  <c r="R47" i="133"/>
  <c r="S16" i="133" s="1"/>
  <c r="B47" i="133"/>
  <c r="C16" i="133" s="1"/>
  <c r="AD48" i="133"/>
  <c r="N48" i="133"/>
  <c r="O17" i="133" s="1"/>
  <c r="Z48" i="133"/>
  <c r="AA17" i="133" s="1"/>
  <c r="J48" i="133"/>
  <c r="K17" i="133" s="1"/>
  <c r="V48" i="133"/>
  <c r="W17" i="133" s="1"/>
  <c r="F48" i="133"/>
  <c r="G17" i="133" s="1"/>
  <c r="R48" i="133"/>
  <c r="S17" i="133" s="1"/>
  <c r="B48" i="133"/>
  <c r="C17" i="133" s="1"/>
  <c r="B50" i="133"/>
  <c r="R50" i="133"/>
  <c r="B51" i="133"/>
  <c r="C20" i="133" s="1"/>
  <c r="R51" i="133"/>
  <c r="B52" i="133"/>
  <c r="R52" i="133"/>
  <c r="B53" i="133"/>
  <c r="R53" i="133"/>
  <c r="B54" i="133"/>
  <c r="R54" i="133"/>
  <c r="B55" i="133"/>
  <c r="R55" i="133"/>
  <c r="B56" i="133"/>
  <c r="R56" i="133"/>
  <c r="B57" i="133"/>
  <c r="R57" i="133"/>
  <c r="B58" i="133"/>
  <c r="R58" i="133"/>
  <c r="B59" i="133"/>
  <c r="R59" i="133"/>
  <c r="B60" i="133"/>
  <c r="R60" i="133"/>
  <c r="B61" i="133"/>
  <c r="R61" i="133"/>
  <c r="J35" i="134"/>
  <c r="F35" i="134"/>
  <c r="R35" i="134"/>
  <c r="B35" i="134"/>
  <c r="N35" i="134"/>
  <c r="F36" i="134"/>
  <c r="G5" i="134" s="1"/>
  <c r="R36" i="134"/>
  <c r="B36" i="134"/>
  <c r="C5" i="134" s="1"/>
  <c r="N36" i="134"/>
  <c r="O5" i="134" s="1"/>
  <c r="J36" i="134"/>
  <c r="K5" i="134" s="1"/>
  <c r="F50" i="133"/>
  <c r="V50" i="133"/>
  <c r="F51" i="133"/>
  <c r="V51" i="133"/>
  <c r="W20" i="133" s="1"/>
  <c r="F52" i="133"/>
  <c r="V52" i="133"/>
  <c r="F53" i="133"/>
  <c r="V53" i="133"/>
  <c r="F54" i="133"/>
  <c r="V54" i="133"/>
  <c r="F55" i="133"/>
  <c r="V55" i="133"/>
  <c r="F56" i="133"/>
  <c r="V56" i="133"/>
  <c r="F57" i="133"/>
  <c r="V57" i="133"/>
  <c r="F58" i="133"/>
  <c r="V58" i="133"/>
  <c r="F59" i="133"/>
  <c r="V59" i="133"/>
  <c r="F60" i="133"/>
  <c r="V60" i="133"/>
  <c r="F61" i="133"/>
  <c r="V61" i="133"/>
  <c r="J39" i="134"/>
  <c r="K8" i="134" s="1"/>
  <c r="F39" i="134"/>
  <c r="G8" i="134" s="1"/>
  <c r="R39" i="134"/>
  <c r="B39" i="134"/>
  <c r="C8" i="134" s="1"/>
  <c r="N39" i="134"/>
  <c r="O8" i="134" s="1"/>
  <c r="Z33" i="133"/>
  <c r="J50" i="133"/>
  <c r="Z50" i="133"/>
  <c r="J51" i="133"/>
  <c r="K20" i="133" s="1"/>
  <c r="Z51" i="133"/>
  <c r="J52" i="133"/>
  <c r="Z52" i="133"/>
  <c r="J53" i="133"/>
  <c r="Z53" i="133"/>
  <c r="J54" i="133"/>
  <c r="Z54" i="133"/>
  <c r="J55" i="133"/>
  <c r="Z55" i="133"/>
  <c r="J56" i="133"/>
  <c r="Z56" i="133"/>
  <c r="J57" i="133"/>
  <c r="Z57" i="133"/>
  <c r="J58" i="133"/>
  <c r="Z58" i="133"/>
  <c r="J59" i="133"/>
  <c r="Z59" i="133"/>
  <c r="J60" i="133"/>
  <c r="Z60" i="133"/>
  <c r="J61" i="133"/>
  <c r="Z61" i="133"/>
  <c r="N38" i="134"/>
  <c r="O7" i="134" s="1"/>
  <c r="J38" i="134"/>
  <c r="K7" i="134" s="1"/>
  <c r="F38" i="134"/>
  <c r="G7" i="134" s="1"/>
  <c r="R38" i="134"/>
  <c r="B38" i="134"/>
  <c r="C7" i="134" s="1"/>
  <c r="N50" i="133"/>
  <c r="N51" i="133"/>
  <c r="O20" i="133" s="1"/>
  <c r="N52" i="133"/>
  <c r="N53" i="133"/>
  <c r="N54" i="133"/>
  <c r="N55" i="133"/>
  <c r="N56" i="133"/>
  <c r="N57" i="133"/>
  <c r="N58" i="133"/>
  <c r="N59" i="133"/>
  <c r="N60" i="133"/>
  <c r="N61" i="133"/>
  <c r="R37" i="134"/>
  <c r="B37" i="134"/>
  <c r="C6" i="134" s="1"/>
  <c r="N37" i="134"/>
  <c r="O6" i="134" s="1"/>
  <c r="J37" i="134"/>
  <c r="K6" i="134" s="1"/>
  <c r="F37" i="134"/>
  <c r="G6" i="134" s="1"/>
  <c r="F40" i="134"/>
  <c r="G9" i="134" s="1"/>
  <c r="R40" i="134"/>
  <c r="B40" i="134"/>
  <c r="C9" i="134" s="1"/>
  <c r="N40" i="134"/>
  <c r="O9" i="134" s="1"/>
  <c r="J40" i="134"/>
  <c r="K9" i="134" s="1"/>
  <c r="F33" i="134"/>
  <c r="F41" i="134"/>
  <c r="B42" i="134"/>
  <c r="R42" i="134"/>
  <c r="N43" i="134"/>
  <c r="J44" i="134"/>
  <c r="K13" i="134" s="1"/>
  <c r="F45" i="134"/>
  <c r="B46" i="134"/>
  <c r="R46" i="134"/>
  <c r="N47" i="134"/>
  <c r="J48" i="134"/>
  <c r="K17" i="134" s="1"/>
  <c r="F49" i="134"/>
  <c r="B50" i="134"/>
  <c r="R50" i="134"/>
  <c r="N51" i="134"/>
  <c r="J52" i="134"/>
  <c r="F53" i="134"/>
  <c r="B54" i="134"/>
  <c r="C23" i="134" s="1"/>
  <c r="R54" i="134"/>
  <c r="N55" i="134"/>
  <c r="J56" i="134"/>
  <c r="F57" i="134"/>
  <c r="G26" i="134" s="1"/>
  <c r="B58" i="134"/>
  <c r="C27" i="134" s="1"/>
  <c r="R58" i="134"/>
  <c r="N59" i="134"/>
  <c r="J60" i="134"/>
  <c r="F61" i="134"/>
  <c r="G30" i="134" s="1"/>
  <c r="B65" i="134"/>
  <c r="AH36" i="135"/>
  <c r="AI5" i="135" s="1"/>
  <c r="R36" i="135"/>
  <c r="S5" i="135" s="1"/>
  <c r="B36" i="135"/>
  <c r="C5" i="135" s="1"/>
  <c r="AT36" i="135"/>
  <c r="AD36" i="135"/>
  <c r="AE5" i="135" s="1"/>
  <c r="N36" i="135"/>
  <c r="O5" i="135" s="1"/>
  <c r="AP36" i="135"/>
  <c r="AQ5" i="135" s="1"/>
  <c r="Z36" i="135"/>
  <c r="AA5" i="135" s="1"/>
  <c r="J36" i="135"/>
  <c r="K5" i="135" s="1"/>
  <c r="F36" i="135"/>
  <c r="G5" i="135" s="1"/>
  <c r="AL36" i="135"/>
  <c r="AM5" i="135" s="1"/>
  <c r="V36" i="135"/>
  <c r="W5" i="135" s="1"/>
  <c r="AH37" i="135"/>
  <c r="AI6" i="135" s="1"/>
  <c r="R37" i="135"/>
  <c r="S6" i="135" s="1"/>
  <c r="B37" i="135"/>
  <c r="C6" i="135" s="1"/>
  <c r="AT37" i="135"/>
  <c r="AD37" i="135"/>
  <c r="AE6" i="135" s="1"/>
  <c r="N37" i="135"/>
  <c r="O6" i="135" s="1"/>
  <c r="AP37" i="135"/>
  <c r="AQ6" i="135" s="1"/>
  <c r="Z37" i="135"/>
  <c r="AA6" i="135" s="1"/>
  <c r="J37" i="135"/>
  <c r="K6" i="135" s="1"/>
  <c r="V37" i="135"/>
  <c r="W6" i="135" s="1"/>
  <c r="F37" i="135"/>
  <c r="G6" i="135" s="1"/>
  <c r="AL37" i="135"/>
  <c r="AM6" i="135" s="1"/>
  <c r="AH38" i="135"/>
  <c r="AI7" i="135" s="1"/>
  <c r="R38" i="135"/>
  <c r="S7" i="135" s="1"/>
  <c r="B38" i="135"/>
  <c r="C7" i="135" s="1"/>
  <c r="AT38" i="135"/>
  <c r="AD38" i="135"/>
  <c r="AE7" i="135" s="1"/>
  <c r="N38" i="135"/>
  <c r="O7" i="135" s="1"/>
  <c r="AP38" i="135"/>
  <c r="AQ7" i="135" s="1"/>
  <c r="Z38" i="135"/>
  <c r="AA7" i="135" s="1"/>
  <c r="J38" i="135"/>
  <c r="K7" i="135" s="1"/>
  <c r="AL38" i="135"/>
  <c r="AM7" i="135" s="1"/>
  <c r="V38" i="135"/>
  <c r="W7" i="135" s="1"/>
  <c r="F38" i="135"/>
  <c r="G7" i="135" s="1"/>
  <c r="AH39" i="135"/>
  <c r="AI8" i="135" s="1"/>
  <c r="R39" i="135"/>
  <c r="S8" i="135" s="1"/>
  <c r="B39" i="135"/>
  <c r="C8" i="135" s="1"/>
  <c r="AT39" i="135"/>
  <c r="AD39" i="135"/>
  <c r="AE8" i="135" s="1"/>
  <c r="N39" i="135"/>
  <c r="O8" i="135" s="1"/>
  <c r="AP39" i="135"/>
  <c r="AQ8" i="135" s="1"/>
  <c r="Z39" i="135"/>
  <c r="AA8" i="135" s="1"/>
  <c r="J39" i="135"/>
  <c r="K8" i="135" s="1"/>
  <c r="AL39" i="135"/>
  <c r="AM8" i="135" s="1"/>
  <c r="V39" i="135"/>
  <c r="W8" i="135" s="1"/>
  <c r="F39" i="135"/>
  <c r="G8" i="135" s="1"/>
  <c r="AH40" i="135"/>
  <c r="AI9" i="135" s="1"/>
  <c r="R40" i="135"/>
  <c r="S9" i="135" s="1"/>
  <c r="B40" i="135"/>
  <c r="C9" i="135" s="1"/>
  <c r="AT40" i="135"/>
  <c r="AD40" i="135"/>
  <c r="AE9" i="135" s="1"/>
  <c r="N40" i="135"/>
  <c r="O9" i="135" s="1"/>
  <c r="AP40" i="135"/>
  <c r="AQ9" i="135" s="1"/>
  <c r="Z40" i="135"/>
  <c r="AA9" i="135" s="1"/>
  <c r="J40" i="135"/>
  <c r="K9" i="135" s="1"/>
  <c r="F40" i="135"/>
  <c r="G9" i="135" s="1"/>
  <c r="AL40" i="135"/>
  <c r="AM9" i="135" s="1"/>
  <c r="V40" i="135"/>
  <c r="W9" i="135" s="1"/>
  <c r="R31" i="134"/>
  <c r="J33" i="134"/>
  <c r="J41" i="134"/>
  <c r="F42" i="134"/>
  <c r="B43" i="134"/>
  <c r="R43" i="134"/>
  <c r="N44" i="134"/>
  <c r="O13" i="134" s="1"/>
  <c r="J45" i="134"/>
  <c r="F46" i="134"/>
  <c r="B47" i="134"/>
  <c r="R47" i="134"/>
  <c r="N48" i="134"/>
  <c r="O17" i="134" s="1"/>
  <c r="J49" i="134"/>
  <c r="F50" i="134"/>
  <c r="B51" i="134"/>
  <c r="R51" i="134"/>
  <c r="N52" i="134"/>
  <c r="J53" i="134"/>
  <c r="F54" i="134"/>
  <c r="G23" i="134" s="1"/>
  <c r="B55" i="134"/>
  <c r="R55" i="134"/>
  <c r="N56" i="134"/>
  <c r="J57" i="134"/>
  <c r="K26" i="134" s="1"/>
  <c r="F58" i="134"/>
  <c r="G27" i="134" s="1"/>
  <c r="B59" i="134"/>
  <c r="R59" i="134"/>
  <c r="N60" i="134"/>
  <c r="J61" i="134"/>
  <c r="K30" i="134" s="1"/>
  <c r="N33" i="134"/>
  <c r="N41" i="134"/>
  <c r="J42" i="134"/>
  <c r="F43" i="134"/>
  <c r="B44" i="134"/>
  <c r="C13" i="134" s="1"/>
  <c r="R44" i="134"/>
  <c r="N45" i="134"/>
  <c r="J46" i="134"/>
  <c r="F47" i="134"/>
  <c r="B48" i="134"/>
  <c r="C17" i="134" s="1"/>
  <c r="R48" i="134"/>
  <c r="N49" i="134"/>
  <c r="J50" i="134"/>
  <c r="F51" i="134"/>
  <c r="B52" i="134"/>
  <c r="R52" i="134"/>
  <c r="N53" i="134"/>
  <c r="J54" i="134"/>
  <c r="K23" i="134" s="1"/>
  <c r="F55" i="134"/>
  <c r="B56" i="134"/>
  <c r="R56" i="134"/>
  <c r="N57" i="134"/>
  <c r="O26" i="134" s="1"/>
  <c r="J58" i="134"/>
  <c r="K27" i="134" s="1"/>
  <c r="F59" i="134"/>
  <c r="B60" i="134"/>
  <c r="R60" i="134"/>
  <c r="N61" i="134"/>
  <c r="O30" i="134" s="1"/>
  <c r="AH41" i="135"/>
  <c r="AI10" i="135" s="1"/>
  <c r="R41" i="135"/>
  <c r="S10" i="135" s="1"/>
  <c r="B41" i="135"/>
  <c r="C10" i="135" s="1"/>
  <c r="AT41" i="135"/>
  <c r="AD41" i="135"/>
  <c r="AE10" i="135" s="1"/>
  <c r="N41" i="135"/>
  <c r="O10" i="135" s="1"/>
  <c r="AP41" i="135"/>
  <c r="AQ10" i="135" s="1"/>
  <c r="Z41" i="135"/>
  <c r="AA10" i="135" s="1"/>
  <c r="J41" i="135"/>
  <c r="K10" i="135" s="1"/>
  <c r="V41" i="135"/>
  <c r="W10" i="135" s="1"/>
  <c r="F41" i="135"/>
  <c r="G10" i="135" s="1"/>
  <c r="AL41" i="135"/>
  <c r="AM10" i="135" s="1"/>
  <c r="B41" i="134"/>
  <c r="B45" i="134"/>
  <c r="B49" i="134"/>
  <c r="B53" i="134"/>
  <c r="B57" i="134"/>
  <c r="C26" i="134" s="1"/>
  <c r="B61" i="134"/>
  <c r="C30" i="134" s="1"/>
  <c r="AT51" i="135"/>
  <c r="AD51" i="135"/>
  <c r="AE20" i="135" s="1"/>
  <c r="N51" i="135"/>
  <c r="O20" i="135" s="1"/>
  <c r="AL51" i="135"/>
  <c r="AM20" i="135" s="1"/>
  <c r="V51" i="135"/>
  <c r="W20" i="135" s="1"/>
  <c r="F51" i="135"/>
  <c r="G20" i="135" s="1"/>
  <c r="AH51" i="135"/>
  <c r="AI20" i="135" s="1"/>
  <c r="B51" i="135"/>
  <c r="C20" i="135" s="1"/>
  <c r="Z51" i="135"/>
  <c r="AA20" i="135" s="1"/>
  <c r="R51" i="135"/>
  <c r="S20" i="135" s="1"/>
  <c r="J51" i="135"/>
  <c r="K20" i="135" s="1"/>
  <c r="AT55" i="135"/>
  <c r="AD55" i="135"/>
  <c r="AE24" i="135" s="1"/>
  <c r="N55" i="135"/>
  <c r="O24" i="135" s="1"/>
  <c r="AL55" i="135"/>
  <c r="AM24" i="135" s="1"/>
  <c r="V55" i="135"/>
  <c r="W24" i="135" s="1"/>
  <c r="F55" i="135"/>
  <c r="G24" i="135" s="1"/>
  <c r="AH55" i="135"/>
  <c r="AI24" i="135" s="1"/>
  <c r="B55" i="135"/>
  <c r="C24" i="135" s="1"/>
  <c r="Z55" i="135"/>
  <c r="AA24" i="135" s="1"/>
  <c r="R55" i="135"/>
  <c r="S24" i="135" s="1"/>
  <c r="AP55" i="135"/>
  <c r="AQ24" i="135" s="1"/>
  <c r="J55" i="135"/>
  <c r="K24" i="135" s="1"/>
  <c r="AT59" i="135"/>
  <c r="AD59" i="135"/>
  <c r="AE28" i="135" s="1"/>
  <c r="N59" i="135"/>
  <c r="O28" i="135" s="1"/>
  <c r="AL59" i="135"/>
  <c r="AM28" i="135" s="1"/>
  <c r="V59" i="135"/>
  <c r="W28" i="135" s="1"/>
  <c r="F59" i="135"/>
  <c r="G28" i="135" s="1"/>
  <c r="AH59" i="135"/>
  <c r="AI28" i="135" s="1"/>
  <c r="B59" i="135"/>
  <c r="C28" i="135" s="1"/>
  <c r="Z59" i="135"/>
  <c r="AA28" i="135" s="1"/>
  <c r="R59" i="135"/>
  <c r="S28" i="135" s="1"/>
  <c r="J59" i="135"/>
  <c r="K28" i="135" s="1"/>
  <c r="AP59" i="135"/>
  <c r="AQ28" i="135" s="1"/>
  <c r="AH35" i="135"/>
  <c r="R35" i="135"/>
  <c r="B35" i="135"/>
  <c r="AT35" i="135"/>
  <c r="AD35" i="135"/>
  <c r="N35" i="135"/>
  <c r="AP35" i="135"/>
  <c r="Z35" i="135"/>
  <c r="J35" i="135"/>
  <c r="AL35" i="135"/>
  <c r="V35" i="135"/>
  <c r="F35" i="135"/>
  <c r="AP51" i="135"/>
  <c r="AQ20" i="135" s="1"/>
  <c r="AH42" i="135"/>
  <c r="AI11" i="135" s="1"/>
  <c r="R42" i="135"/>
  <c r="S11" i="135" s="1"/>
  <c r="B42" i="135"/>
  <c r="C11" i="135" s="1"/>
  <c r="AT42" i="135"/>
  <c r="AD42" i="135"/>
  <c r="AE11" i="135" s="1"/>
  <c r="N42" i="135"/>
  <c r="O11" i="135" s="1"/>
  <c r="AP42" i="135"/>
  <c r="AQ11" i="135" s="1"/>
  <c r="Z42" i="135"/>
  <c r="AA11" i="135" s="1"/>
  <c r="J42" i="135"/>
  <c r="K11" i="135" s="1"/>
  <c r="AL42" i="135"/>
  <c r="AM11" i="135" s="1"/>
  <c r="V42" i="135"/>
  <c r="W11" i="135" s="1"/>
  <c r="F42" i="135"/>
  <c r="G11" i="135" s="1"/>
  <c r="AH43" i="135"/>
  <c r="AI12" i="135" s="1"/>
  <c r="R43" i="135"/>
  <c r="S12" i="135" s="1"/>
  <c r="B43" i="135"/>
  <c r="C12" i="135" s="1"/>
  <c r="AT43" i="135"/>
  <c r="AD43" i="135"/>
  <c r="AE12" i="135" s="1"/>
  <c r="N43" i="135"/>
  <c r="O12" i="135" s="1"/>
  <c r="AP43" i="135"/>
  <c r="AQ12" i="135" s="1"/>
  <c r="Z43" i="135"/>
  <c r="AA12" i="135" s="1"/>
  <c r="J43" i="135"/>
  <c r="K12" i="135" s="1"/>
  <c r="AL43" i="135"/>
  <c r="AM12" i="135" s="1"/>
  <c r="V43" i="135"/>
  <c r="W12" i="135" s="1"/>
  <c r="AH44" i="135"/>
  <c r="R44" i="135"/>
  <c r="B44" i="135"/>
  <c r="AT44" i="135"/>
  <c r="AD44" i="135"/>
  <c r="N44" i="135"/>
  <c r="AP44" i="135"/>
  <c r="Z44" i="135"/>
  <c r="J44" i="135"/>
  <c r="F44" i="135"/>
  <c r="AL44" i="135"/>
  <c r="AH45" i="135"/>
  <c r="AI14" i="135" s="1"/>
  <c r="R45" i="135"/>
  <c r="S14" i="135" s="1"/>
  <c r="B45" i="135"/>
  <c r="C14" i="135" s="1"/>
  <c r="AT45" i="135"/>
  <c r="AD45" i="135"/>
  <c r="AE14" i="135" s="1"/>
  <c r="N45" i="135"/>
  <c r="O14" i="135" s="1"/>
  <c r="AP45" i="135"/>
  <c r="AQ14" i="135" s="1"/>
  <c r="Z45" i="135"/>
  <c r="AA14" i="135" s="1"/>
  <c r="J45" i="135"/>
  <c r="K14" i="135" s="1"/>
  <c r="V45" i="135"/>
  <c r="W14" i="135" s="1"/>
  <c r="F45" i="135"/>
  <c r="G14" i="135" s="1"/>
  <c r="AT31" i="135"/>
  <c r="F43" i="135"/>
  <c r="G12" i="135" s="1"/>
  <c r="AH48" i="135"/>
  <c r="AI17" i="135" s="1"/>
  <c r="R48" i="135"/>
  <c r="S17" i="135" s="1"/>
  <c r="B48" i="135"/>
  <c r="C17" i="135" s="1"/>
  <c r="AT48" i="135"/>
  <c r="AD48" i="135"/>
  <c r="AE17" i="135" s="1"/>
  <c r="N48" i="135"/>
  <c r="O17" i="135" s="1"/>
  <c r="AP48" i="135"/>
  <c r="AQ17" i="135" s="1"/>
  <c r="Z48" i="135"/>
  <c r="AA17" i="135" s="1"/>
  <c r="J48" i="135"/>
  <c r="K17" i="135" s="1"/>
  <c r="AT52" i="135"/>
  <c r="AD52" i="135"/>
  <c r="AE21" i="135" s="1"/>
  <c r="N52" i="135"/>
  <c r="O21" i="135" s="1"/>
  <c r="AL52" i="135"/>
  <c r="AM21" i="135" s="1"/>
  <c r="V52" i="135"/>
  <c r="W21" i="135" s="1"/>
  <c r="F52" i="135"/>
  <c r="G21" i="135" s="1"/>
  <c r="R52" i="135"/>
  <c r="S21" i="135" s="1"/>
  <c r="AP52" i="135"/>
  <c r="AQ21" i="135" s="1"/>
  <c r="J52" i="135"/>
  <c r="K21" i="135" s="1"/>
  <c r="AH52" i="135"/>
  <c r="AI21" i="135" s="1"/>
  <c r="B52" i="135"/>
  <c r="C21" i="135" s="1"/>
  <c r="AT56" i="135"/>
  <c r="AD56" i="135"/>
  <c r="AE25" i="135" s="1"/>
  <c r="N56" i="135"/>
  <c r="O25" i="135" s="1"/>
  <c r="AL56" i="135"/>
  <c r="AM25" i="135" s="1"/>
  <c r="V56" i="135"/>
  <c r="W25" i="135" s="1"/>
  <c r="F56" i="135"/>
  <c r="G25" i="135" s="1"/>
  <c r="R56" i="135"/>
  <c r="S25" i="135" s="1"/>
  <c r="AP56" i="135"/>
  <c r="AQ25" i="135" s="1"/>
  <c r="J56" i="135"/>
  <c r="K25" i="135" s="1"/>
  <c r="AH56" i="135"/>
  <c r="AI25" i="135" s="1"/>
  <c r="B56" i="135"/>
  <c r="C25" i="135" s="1"/>
  <c r="F33" i="135"/>
  <c r="AL48" i="135"/>
  <c r="AM17" i="135" s="1"/>
  <c r="F50" i="135"/>
  <c r="Z52" i="135"/>
  <c r="AA21" i="135" s="1"/>
  <c r="AH46" i="135"/>
  <c r="R46" i="135"/>
  <c r="B46" i="135"/>
  <c r="AT46" i="135"/>
  <c r="AD46" i="135"/>
  <c r="N46" i="135"/>
  <c r="AP46" i="135"/>
  <c r="Z46" i="135"/>
  <c r="J46" i="135"/>
  <c r="AH47" i="135"/>
  <c r="R47" i="135"/>
  <c r="B47" i="135"/>
  <c r="AT47" i="135"/>
  <c r="AD47" i="135"/>
  <c r="N47" i="135"/>
  <c r="AP47" i="135"/>
  <c r="Z47" i="135"/>
  <c r="J47" i="135"/>
  <c r="AH49" i="135"/>
  <c r="R49" i="135"/>
  <c r="B49" i="135"/>
  <c r="AT49" i="135"/>
  <c r="AD49" i="135"/>
  <c r="N49" i="135"/>
  <c r="AP49" i="135"/>
  <c r="Z49" i="135"/>
  <c r="J49" i="135"/>
  <c r="AT53" i="135"/>
  <c r="AD53" i="135"/>
  <c r="AE22" i="135" s="1"/>
  <c r="N53" i="135"/>
  <c r="O22" i="135" s="1"/>
  <c r="AL53" i="135"/>
  <c r="AM22" i="135" s="1"/>
  <c r="V53" i="135"/>
  <c r="W22" i="135" s="1"/>
  <c r="F53" i="135"/>
  <c r="G22" i="135" s="1"/>
  <c r="AH53" i="135"/>
  <c r="AI22" i="135" s="1"/>
  <c r="B53" i="135"/>
  <c r="C22" i="135" s="1"/>
  <c r="Z53" i="135"/>
  <c r="AA22" i="135" s="1"/>
  <c r="R53" i="135"/>
  <c r="S22" i="135" s="1"/>
  <c r="AT57" i="135"/>
  <c r="AD57" i="135"/>
  <c r="N57" i="135"/>
  <c r="AL57" i="135"/>
  <c r="V57" i="135"/>
  <c r="F57" i="135"/>
  <c r="AH57" i="135"/>
  <c r="B57" i="135"/>
  <c r="Z57" i="135"/>
  <c r="R57" i="135"/>
  <c r="V33" i="135"/>
  <c r="AL33" i="135"/>
  <c r="V46" i="135"/>
  <c r="AL47" i="135"/>
  <c r="F49" i="135"/>
  <c r="J53" i="135"/>
  <c r="K22" i="135" s="1"/>
  <c r="AT50" i="135"/>
  <c r="AD50" i="135"/>
  <c r="AL50" i="135"/>
  <c r="V50" i="135"/>
  <c r="R50" i="135"/>
  <c r="B50" i="135"/>
  <c r="AP50" i="135"/>
  <c r="N50" i="135"/>
  <c r="AH50" i="135"/>
  <c r="J50" i="135"/>
  <c r="AT54" i="135"/>
  <c r="AD54" i="135"/>
  <c r="N54" i="135"/>
  <c r="AL54" i="135"/>
  <c r="V54" i="135"/>
  <c r="F54" i="135"/>
  <c r="R54" i="135"/>
  <c r="AP54" i="135"/>
  <c r="J54" i="135"/>
  <c r="AH54" i="135"/>
  <c r="B54" i="135"/>
  <c r="AT58" i="135"/>
  <c r="AD58" i="135"/>
  <c r="N58" i="135"/>
  <c r="AL58" i="135"/>
  <c r="V58" i="135"/>
  <c r="F58" i="135"/>
  <c r="R58" i="135"/>
  <c r="AP58" i="135"/>
  <c r="J58" i="135"/>
  <c r="AH58" i="135"/>
  <c r="B58" i="135"/>
  <c r="AT61" i="135"/>
  <c r="AD61" i="135"/>
  <c r="N61" i="135"/>
  <c r="AP61" i="135"/>
  <c r="AL61" i="135"/>
  <c r="V61" i="135"/>
  <c r="F61" i="135"/>
  <c r="AH61" i="135"/>
  <c r="B61" i="135"/>
  <c r="Z61" i="135"/>
  <c r="R61" i="135"/>
  <c r="AT32" i="135"/>
  <c r="AL46" i="135"/>
  <c r="F48" i="135"/>
  <c r="G17" i="135" s="1"/>
  <c r="V49" i="135"/>
  <c r="AP53" i="135"/>
  <c r="AQ22" i="135" s="1"/>
  <c r="Z56" i="135"/>
  <c r="AA25" i="135" s="1"/>
  <c r="B60" i="135"/>
  <c r="C29" i="135" s="1"/>
  <c r="N49" i="136"/>
  <c r="J49" i="136"/>
  <c r="K18" i="136" s="1"/>
  <c r="F49" i="136"/>
  <c r="G18" i="136" s="1"/>
  <c r="B49" i="136"/>
  <c r="C18" i="136" s="1"/>
  <c r="AT60" i="135"/>
  <c r="AD60" i="135"/>
  <c r="AE29" i="135" s="1"/>
  <c r="N60" i="135"/>
  <c r="O29" i="135" s="1"/>
  <c r="AL60" i="135"/>
  <c r="AM29" i="135" s="1"/>
  <c r="V60" i="135"/>
  <c r="W29" i="135" s="1"/>
  <c r="F60" i="135"/>
  <c r="G29" i="135" s="1"/>
  <c r="Z33" i="135"/>
  <c r="J60" i="135"/>
  <c r="K29" i="135" s="1"/>
  <c r="AP60" i="135"/>
  <c r="AQ29" i="135" s="1"/>
  <c r="N43" i="136"/>
  <c r="J43" i="136"/>
  <c r="F43" i="136"/>
  <c r="B43" i="136"/>
  <c r="R60" i="135"/>
  <c r="S29" i="135" s="1"/>
  <c r="N35" i="136"/>
  <c r="J35" i="136"/>
  <c r="F35" i="136"/>
  <c r="B35" i="136"/>
  <c r="N40" i="136"/>
  <c r="J40" i="136"/>
  <c r="F40" i="136"/>
  <c r="B40" i="136"/>
  <c r="N44" i="136"/>
  <c r="J44" i="136"/>
  <c r="F44" i="136"/>
  <c r="B44" i="136"/>
  <c r="N51" i="136"/>
  <c r="J51" i="136"/>
  <c r="F51" i="136"/>
  <c r="B51" i="136"/>
  <c r="N55" i="136"/>
  <c r="J55" i="136"/>
  <c r="F55" i="136"/>
  <c r="B55" i="136"/>
  <c r="N36" i="136"/>
  <c r="J36" i="136"/>
  <c r="F36" i="136"/>
  <c r="B36" i="136"/>
  <c r="N37" i="136"/>
  <c r="J37" i="136"/>
  <c r="F37" i="136"/>
  <c r="B37" i="136"/>
  <c r="N38" i="136"/>
  <c r="J38" i="136"/>
  <c r="F38" i="136"/>
  <c r="B38" i="136"/>
  <c r="N39" i="136"/>
  <c r="J39" i="136"/>
  <c r="F39" i="136"/>
  <c r="B39" i="136"/>
  <c r="N41" i="136"/>
  <c r="J41" i="136"/>
  <c r="F41" i="136"/>
  <c r="B41" i="136"/>
  <c r="N42" i="136"/>
  <c r="J42" i="136"/>
  <c r="F42" i="136"/>
  <c r="B42" i="136"/>
  <c r="N45" i="136"/>
  <c r="J45" i="136"/>
  <c r="F45" i="136"/>
  <c r="B45" i="136"/>
  <c r="N47" i="136"/>
  <c r="J47" i="136"/>
  <c r="F47" i="136"/>
  <c r="B47" i="136"/>
  <c r="B33" i="136"/>
  <c r="B46" i="136"/>
  <c r="B48" i="136"/>
  <c r="B50" i="136"/>
  <c r="B52" i="136"/>
  <c r="B53" i="136"/>
  <c r="B54" i="136"/>
  <c r="B56" i="136"/>
  <c r="B57" i="136"/>
  <c r="B58" i="136"/>
  <c r="B59" i="136"/>
  <c r="B60" i="136"/>
  <c r="B61" i="136"/>
  <c r="F46" i="136"/>
  <c r="F48" i="136"/>
  <c r="F50" i="136"/>
  <c r="F52" i="136"/>
  <c r="F53" i="136"/>
  <c r="F54" i="136"/>
  <c r="F56" i="136"/>
  <c r="F57" i="136"/>
  <c r="F58" i="136"/>
  <c r="F59" i="136"/>
  <c r="F61" i="136"/>
  <c r="J46" i="136"/>
  <c r="J48" i="136"/>
  <c r="J50" i="136"/>
  <c r="J52" i="136"/>
  <c r="J53" i="136"/>
  <c r="J54" i="136"/>
  <c r="J56" i="136"/>
  <c r="J57" i="136"/>
  <c r="J58" i="136"/>
  <c r="J59" i="136"/>
  <c r="J60" i="136"/>
  <c r="J61" i="136"/>
  <c r="AA5"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4" i="66"/>
  <c r="W5" i="66"/>
  <c r="W6" i="66"/>
  <c r="W7" i="66"/>
  <c r="W8" i="66"/>
  <c r="W9" i="66"/>
  <c r="W10" i="66"/>
  <c r="W11" i="66"/>
  <c r="W12" i="66"/>
  <c r="W13" i="66"/>
  <c r="W14" i="66"/>
  <c r="W15" i="66"/>
  <c r="W16" i="66"/>
  <c r="W17" i="66"/>
  <c r="W18" i="66"/>
  <c r="W19" i="66"/>
  <c r="W20" i="66"/>
  <c r="W21" i="66"/>
  <c r="W22" i="66"/>
  <c r="W23" i="66"/>
  <c r="W24" i="66"/>
  <c r="W25" i="66"/>
  <c r="W26" i="66"/>
  <c r="W27" i="66"/>
  <c r="W28" i="66"/>
  <c r="W29" i="66"/>
  <c r="W30" i="66"/>
  <c r="W4" i="66"/>
  <c r="Z4" i="66" s="1"/>
  <c r="F34" i="129"/>
  <c r="L34" i="129" s="1"/>
  <c r="F33" i="129"/>
  <c r="L33" i="129" s="1"/>
  <c r="F32" i="129"/>
  <c r="L32" i="129" s="1"/>
  <c r="F30" i="129"/>
  <c r="L30" i="129" s="1"/>
  <c r="F29" i="129"/>
  <c r="L29" i="129" s="1"/>
  <c r="F28" i="129"/>
  <c r="L28" i="129" s="1"/>
  <c r="F27" i="129"/>
  <c r="L27" i="129" s="1"/>
  <c r="F25" i="129"/>
  <c r="L25" i="129" s="1"/>
  <c r="F24" i="129"/>
  <c r="L24" i="129" s="1"/>
  <c r="F23" i="129"/>
  <c r="L23" i="129" s="1"/>
  <c r="F22" i="129"/>
  <c r="L22" i="129" s="1"/>
  <c r="F20" i="129"/>
  <c r="L20" i="129" s="1"/>
  <c r="F19" i="129"/>
  <c r="L19" i="129" s="1"/>
  <c r="F18" i="129"/>
  <c r="L18" i="129" s="1"/>
  <c r="F17" i="129"/>
  <c r="L17" i="129" s="1"/>
  <c r="F16" i="129"/>
  <c r="L16" i="129" s="1"/>
  <c r="F15" i="129"/>
  <c r="L15" i="129" s="1"/>
  <c r="F14" i="129"/>
  <c r="L14" i="129" s="1"/>
  <c r="F13" i="129"/>
  <c r="L13" i="129" s="1"/>
  <c r="F12" i="129"/>
  <c r="L12" i="129" s="1"/>
  <c r="F10" i="129"/>
  <c r="L10" i="129" s="1"/>
  <c r="F9" i="129"/>
  <c r="L9" i="129" s="1"/>
  <c r="F8" i="129"/>
  <c r="L8" i="129" s="1"/>
  <c r="F7" i="129"/>
  <c r="F6" i="129"/>
  <c r="L6" i="129" s="1"/>
  <c r="F5" i="129"/>
  <c r="L5" i="129" s="1"/>
  <c r="F4" i="129"/>
  <c r="L4" i="129" s="1"/>
  <c r="I3" i="129"/>
  <c r="H3" i="129"/>
  <c r="G3" i="129"/>
  <c r="J3" i="129" s="1"/>
  <c r="E4" i="128"/>
  <c r="E6" i="128"/>
  <c r="E5" i="128"/>
  <c r="E11" i="128"/>
  <c r="E9" i="128"/>
  <c r="E7" i="128"/>
  <c r="E8" i="128"/>
  <c r="E12" i="128"/>
  <c r="E15" i="128"/>
  <c r="E10" i="128"/>
  <c r="E14" i="128"/>
  <c r="E16" i="128"/>
  <c r="C13" i="128"/>
  <c r="E13" i="128"/>
  <c r="E17" i="128"/>
  <c r="E20" i="128"/>
  <c r="E19" i="128"/>
  <c r="E27" i="128"/>
  <c r="E21" i="128"/>
  <c r="E18" i="128"/>
  <c r="E25" i="128"/>
  <c r="E22" i="128"/>
  <c r="E23" i="128"/>
  <c r="E26" i="128"/>
  <c r="E24" i="128"/>
  <c r="E29" i="128"/>
  <c r="E30" i="128"/>
  <c r="E28" i="128"/>
  <c r="D32" i="128"/>
  <c r="H32" i="128"/>
  <c r="I32" i="128"/>
  <c r="O32" i="128" s="1"/>
  <c r="J32" i="128"/>
  <c r="K32" i="128"/>
  <c r="D33" i="128"/>
  <c r="H33" i="128"/>
  <c r="I33" i="128"/>
  <c r="O33" i="128" s="1"/>
  <c r="J33" i="128"/>
  <c r="K33" i="128"/>
  <c r="F4" i="127"/>
  <c r="F7" i="127"/>
  <c r="F15" i="127"/>
  <c r="F13" i="127"/>
  <c r="F5" i="127"/>
  <c r="F6" i="127"/>
  <c r="F9" i="127"/>
  <c r="F10" i="127"/>
  <c r="F12" i="127"/>
  <c r="F11" i="127"/>
  <c r="F8" i="127"/>
  <c r="F22" i="127"/>
  <c r="F24" i="127"/>
  <c r="F16" i="127"/>
  <c r="F19" i="127"/>
  <c r="F14" i="127"/>
  <c r="F17" i="127"/>
  <c r="F27" i="127"/>
  <c r="F20" i="127"/>
  <c r="F26" i="127"/>
  <c r="F18" i="127"/>
  <c r="F23" i="127"/>
  <c r="F25" i="127"/>
  <c r="F30" i="127"/>
  <c r="F21" i="127"/>
  <c r="F29" i="127"/>
  <c r="F28" i="127"/>
  <c r="K8" i="126"/>
  <c r="U8" i="126"/>
  <c r="AE8" i="126"/>
  <c r="AO8" i="126"/>
  <c r="AY8" i="126"/>
  <c r="BI8" i="126"/>
  <c r="BS8" i="126"/>
  <c r="CC8" i="126"/>
  <c r="CM8" i="126"/>
  <c r="CW8" i="126"/>
  <c r="DG8" i="126"/>
  <c r="DH8" i="126"/>
  <c r="DI8" i="126"/>
  <c r="DJ8" i="126"/>
  <c r="DK8" i="126"/>
  <c r="DQ8" i="126"/>
  <c r="DW8" i="126"/>
  <c r="DX8" i="126"/>
  <c r="DY8" i="126"/>
  <c r="DZ8" i="126"/>
  <c r="K9" i="126"/>
  <c r="U9" i="126"/>
  <c r="AE9" i="126"/>
  <c r="AO9" i="126"/>
  <c r="AY9" i="126"/>
  <c r="BI9" i="126"/>
  <c r="BS9" i="126"/>
  <c r="CC9" i="126"/>
  <c r="CM9" i="126"/>
  <c r="CW9" i="126"/>
  <c r="DG9" i="126"/>
  <c r="DH9" i="126"/>
  <c r="DI9" i="126"/>
  <c r="DJ9" i="126"/>
  <c r="DK9" i="126"/>
  <c r="DQ9" i="126"/>
  <c r="DW9" i="126"/>
  <c r="DX9" i="126"/>
  <c r="DY9" i="126"/>
  <c r="DZ9" i="126"/>
  <c r="K10" i="126"/>
  <c r="U10" i="126"/>
  <c r="AE10" i="126"/>
  <c r="AO10" i="126"/>
  <c r="AY10" i="126"/>
  <c r="BI10" i="126"/>
  <c r="BS10" i="126"/>
  <c r="CC10" i="126"/>
  <c r="CM10" i="126"/>
  <c r="CW10" i="126"/>
  <c r="DG10" i="126"/>
  <c r="DH10" i="126"/>
  <c r="DI10" i="126"/>
  <c r="DJ10" i="126"/>
  <c r="DK10" i="126"/>
  <c r="DQ10" i="126"/>
  <c r="DW10" i="126"/>
  <c r="DX10" i="126"/>
  <c r="DY10" i="126"/>
  <c r="DZ10" i="126"/>
  <c r="K11" i="126"/>
  <c r="U11" i="126"/>
  <c r="AE11" i="126"/>
  <c r="AO11" i="126"/>
  <c r="AY11" i="126"/>
  <c r="BI11" i="126"/>
  <c r="BS11" i="126"/>
  <c r="CC11" i="126"/>
  <c r="CM11" i="126"/>
  <c r="CW11" i="126"/>
  <c r="DG11" i="126"/>
  <c r="DH11" i="126"/>
  <c r="DI11" i="126"/>
  <c r="DJ11" i="126"/>
  <c r="DK11" i="126"/>
  <c r="DQ11" i="126"/>
  <c r="DW11" i="126"/>
  <c r="DX11" i="126"/>
  <c r="DY11" i="126"/>
  <c r="DZ11" i="126"/>
  <c r="K12" i="126"/>
  <c r="U12" i="126"/>
  <c r="AE12" i="126"/>
  <c r="AO12" i="126"/>
  <c r="AY12" i="126"/>
  <c r="BI12" i="126"/>
  <c r="BS12" i="126"/>
  <c r="CC12" i="126"/>
  <c r="CM12" i="126"/>
  <c r="CW12" i="126"/>
  <c r="DG12" i="126"/>
  <c r="DH12" i="126"/>
  <c r="DI12" i="126"/>
  <c r="DJ12" i="126"/>
  <c r="DK12" i="126"/>
  <c r="DQ12" i="126"/>
  <c r="DW12" i="126"/>
  <c r="DX12" i="126"/>
  <c r="DY12" i="126"/>
  <c r="DZ12" i="126"/>
  <c r="K13" i="126"/>
  <c r="U13" i="126"/>
  <c r="AE13" i="126"/>
  <c r="AO13" i="126"/>
  <c r="AY13" i="126"/>
  <c r="BI13" i="126"/>
  <c r="BS13" i="126"/>
  <c r="CC13" i="126"/>
  <c r="CM13" i="126"/>
  <c r="CW13" i="126"/>
  <c r="DG13" i="126"/>
  <c r="DH13" i="126"/>
  <c r="DI13" i="126"/>
  <c r="DJ13" i="126"/>
  <c r="DK13" i="126"/>
  <c r="DQ13" i="126"/>
  <c r="DW13" i="126"/>
  <c r="DX13" i="126"/>
  <c r="DY13" i="126"/>
  <c r="DZ13" i="126"/>
  <c r="K14" i="126"/>
  <c r="U14" i="126"/>
  <c r="AE14" i="126"/>
  <c r="AO14" i="126"/>
  <c r="AY14" i="126"/>
  <c r="BI14" i="126"/>
  <c r="BS14" i="126"/>
  <c r="CC14" i="126"/>
  <c r="CM14" i="126"/>
  <c r="CW14" i="126"/>
  <c r="DG14" i="126"/>
  <c r="DH14" i="126"/>
  <c r="DI14" i="126"/>
  <c r="DJ14" i="126"/>
  <c r="DK14" i="126"/>
  <c r="DQ14" i="126"/>
  <c r="DW14" i="126"/>
  <c r="DX14" i="126"/>
  <c r="DY14" i="126"/>
  <c r="DZ14" i="126"/>
  <c r="K15" i="126"/>
  <c r="U15" i="126"/>
  <c r="AE15" i="126"/>
  <c r="AO15" i="126"/>
  <c r="AY15" i="126"/>
  <c r="BI15" i="126"/>
  <c r="BS15" i="126"/>
  <c r="CC15" i="126"/>
  <c r="CM15" i="126"/>
  <c r="CW15" i="126"/>
  <c r="DG15" i="126"/>
  <c r="DH15" i="126"/>
  <c r="DI15" i="126"/>
  <c r="DJ15" i="126"/>
  <c r="DK15" i="126"/>
  <c r="DQ15" i="126"/>
  <c r="DW15" i="126"/>
  <c r="DX15" i="126"/>
  <c r="DY15" i="126"/>
  <c r="DZ15" i="126"/>
  <c r="K16" i="126"/>
  <c r="U16" i="126"/>
  <c r="AE16" i="126"/>
  <c r="AO16" i="126"/>
  <c r="AY16" i="126"/>
  <c r="BI16" i="126"/>
  <c r="BS16" i="126"/>
  <c r="CC16" i="126"/>
  <c r="CM16" i="126"/>
  <c r="CW16" i="126"/>
  <c r="DG16" i="126"/>
  <c r="DH16" i="126"/>
  <c r="DI16" i="126"/>
  <c r="DJ16" i="126"/>
  <c r="DK16" i="126"/>
  <c r="DQ16" i="126"/>
  <c r="DW16" i="126"/>
  <c r="DX16" i="126"/>
  <c r="DY16" i="126"/>
  <c r="DZ16" i="126"/>
  <c r="K17" i="126"/>
  <c r="U17" i="126"/>
  <c r="AE17" i="126"/>
  <c r="AO17" i="126"/>
  <c r="AY17" i="126"/>
  <c r="BI17" i="126"/>
  <c r="BS17" i="126"/>
  <c r="CC17" i="126"/>
  <c r="CM17" i="126"/>
  <c r="CW17" i="126"/>
  <c r="DG17" i="126"/>
  <c r="DH17" i="126"/>
  <c r="DI17" i="126"/>
  <c r="DJ17" i="126"/>
  <c r="DK17" i="126"/>
  <c r="DQ17" i="126"/>
  <c r="DW17" i="126"/>
  <c r="DX17" i="126"/>
  <c r="DY17" i="126"/>
  <c r="DZ17" i="126"/>
  <c r="K18" i="126"/>
  <c r="U18" i="126"/>
  <c r="AE18" i="126"/>
  <c r="AO18" i="126"/>
  <c r="AY18" i="126"/>
  <c r="BI18" i="126"/>
  <c r="BS18" i="126"/>
  <c r="CC18" i="126"/>
  <c r="CM18" i="126"/>
  <c r="CW18" i="126"/>
  <c r="DG18" i="126"/>
  <c r="DH18" i="126"/>
  <c r="DI18" i="126"/>
  <c r="DJ18" i="126"/>
  <c r="DK18" i="126"/>
  <c r="DQ18" i="126"/>
  <c r="DW18" i="126"/>
  <c r="DX18" i="126"/>
  <c r="DY18" i="126"/>
  <c r="DZ18" i="126"/>
  <c r="K19" i="126"/>
  <c r="U19" i="126"/>
  <c r="AE19" i="126"/>
  <c r="AO19" i="126"/>
  <c r="AY19" i="126"/>
  <c r="BI19" i="126"/>
  <c r="BS19" i="126"/>
  <c r="CC19" i="126"/>
  <c r="CM19" i="126"/>
  <c r="CW19" i="126"/>
  <c r="DG19" i="126"/>
  <c r="DH19" i="126"/>
  <c r="DI19" i="126"/>
  <c r="DJ19" i="126"/>
  <c r="DK19" i="126"/>
  <c r="DQ19" i="126"/>
  <c r="DW19" i="126"/>
  <c r="DX19" i="126"/>
  <c r="DY19" i="126"/>
  <c r="DZ19" i="126"/>
  <c r="K20" i="126"/>
  <c r="U20" i="126"/>
  <c r="AE20" i="126"/>
  <c r="AO20" i="126"/>
  <c r="AY20" i="126"/>
  <c r="BI20" i="126"/>
  <c r="BS20" i="126"/>
  <c r="CC20" i="126"/>
  <c r="CM20" i="126"/>
  <c r="CW20" i="126"/>
  <c r="DG20" i="126"/>
  <c r="DH20" i="126"/>
  <c r="DI20" i="126"/>
  <c r="DJ20" i="126"/>
  <c r="DK20" i="126"/>
  <c r="DQ20" i="126"/>
  <c r="DW20" i="126"/>
  <c r="DX20" i="126"/>
  <c r="DY20" i="126"/>
  <c r="DZ20" i="126"/>
  <c r="K21" i="126"/>
  <c r="U21" i="126"/>
  <c r="AE21" i="126"/>
  <c r="AO21" i="126"/>
  <c r="AY21" i="126"/>
  <c r="BI21" i="126"/>
  <c r="BS21" i="126"/>
  <c r="CC21" i="126"/>
  <c r="CM21" i="126"/>
  <c r="CW21" i="126"/>
  <c r="DG21" i="126"/>
  <c r="DH21" i="126"/>
  <c r="DI21" i="126"/>
  <c r="DJ21" i="126"/>
  <c r="DK21" i="126"/>
  <c r="DQ21" i="126"/>
  <c r="DW21" i="126"/>
  <c r="DX21" i="126"/>
  <c r="DY21" i="126"/>
  <c r="DZ21" i="126"/>
  <c r="K22" i="126"/>
  <c r="U22" i="126"/>
  <c r="AE22" i="126"/>
  <c r="AO22" i="126"/>
  <c r="AY22" i="126"/>
  <c r="BI22" i="126"/>
  <c r="BS22" i="126"/>
  <c r="CC22" i="126"/>
  <c r="CM22" i="126"/>
  <c r="CW22" i="126"/>
  <c r="DG22" i="126"/>
  <c r="DH22" i="126"/>
  <c r="DI22" i="126"/>
  <c r="DJ22" i="126"/>
  <c r="DK22" i="126"/>
  <c r="DQ22" i="126"/>
  <c r="DW22" i="126"/>
  <c r="DX22" i="126"/>
  <c r="DY22" i="126"/>
  <c r="DZ22" i="126"/>
  <c r="K23" i="126"/>
  <c r="U23" i="126"/>
  <c r="AE23" i="126"/>
  <c r="AO23" i="126"/>
  <c r="AY23" i="126"/>
  <c r="BI23" i="126"/>
  <c r="BS23" i="126"/>
  <c r="CC23" i="126"/>
  <c r="CM23" i="126"/>
  <c r="CW23" i="126"/>
  <c r="DG23" i="126"/>
  <c r="DH23" i="126"/>
  <c r="DI23" i="126"/>
  <c r="DJ23" i="126"/>
  <c r="DK23" i="126"/>
  <c r="DQ23" i="126"/>
  <c r="DW23" i="126"/>
  <c r="DX23" i="126"/>
  <c r="DY23" i="126"/>
  <c r="DZ23" i="126"/>
  <c r="K24" i="126"/>
  <c r="U24" i="126"/>
  <c r="AE24" i="126"/>
  <c r="AO24" i="126"/>
  <c r="AY24" i="126"/>
  <c r="BI24" i="126"/>
  <c r="BS24" i="126"/>
  <c r="CC24" i="126"/>
  <c r="CM24" i="126"/>
  <c r="CW24" i="126"/>
  <c r="DG24" i="126"/>
  <c r="DH24" i="126"/>
  <c r="DI24" i="126"/>
  <c r="DJ24" i="126"/>
  <c r="DK24" i="126"/>
  <c r="DQ24" i="126"/>
  <c r="DW24" i="126"/>
  <c r="DX24" i="126"/>
  <c r="DY24" i="126"/>
  <c r="DZ24" i="126"/>
  <c r="K25" i="126"/>
  <c r="U25" i="126"/>
  <c r="AE25" i="126"/>
  <c r="AO25" i="126"/>
  <c r="AY25" i="126"/>
  <c r="BI25" i="126"/>
  <c r="BS25" i="126"/>
  <c r="CC25" i="126"/>
  <c r="CM25" i="126"/>
  <c r="CW25" i="126"/>
  <c r="DG25" i="126"/>
  <c r="DH25" i="126"/>
  <c r="DI25" i="126"/>
  <c r="DJ25" i="126"/>
  <c r="DK25" i="126"/>
  <c r="DQ25" i="126"/>
  <c r="DW25" i="126"/>
  <c r="DX25" i="126"/>
  <c r="DY25" i="126"/>
  <c r="DZ25" i="126"/>
  <c r="K26" i="126"/>
  <c r="U26" i="126"/>
  <c r="AE26" i="126"/>
  <c r="AO26" i="126"/>
  <c r="AY26" i="126"/>
  <c r="BI26" i="126"/>
  <c r="BS26" i="126"/>
  <c r="CC26" i="126"/>
  <c r="CM26" i="126"/>
  <c r="CW26" i="126"/>
  <c r="DG26" i="126"/>
  <c r="DH26" i="126"/>
  <c r="DI26" i="126"/>
  <c r="DJ26" i="126"/>
  <c r="DK26" i="126"/>
  <c r="DQ26" i="126"/>
  <c r="DW26" i="126"/>
  <c r="DX26" i="126"/>
  <c r="DY26" i="126"/>
  <c r="DZ26" i="126"/>
  <c r="K27" i="126"/>
  <c r="U27" i="126"/>
  <c r="AE27" i="126"/>
  <c r="AO27" i="126"/>
  <c r="AY27" i="126"/>
  <c r="BI27" i="126"/>
  <c r="BS27" i="126"/>
  <c r="CC27" i="126"/>
  <c r="CM27" i="126"/>
  <c r="CW27" i="126"/>
  <c r="DG27" i="126"/>
  <c r="DH27" i="126"/>
  <c r="DI27" i="126"/>
  <c r="DJ27" i="126"/>
  <c r="DK27" i="126"/>
  <c r="DQ27" i="126"/>
  <c r="DW27" i="126"/>
  <c r="DX27" i="126"/>
  <c r="DY27" i="126"/>
  <c r="DZ27" i="126"/>
  <c r="K28" i="126"/>
  <c r="U28" i="126"/>
  <c r="AE28" i="126"/>
  <c r="AO28" i="126"/>
  <c r="AY28" i="126"/>
  <c r="BI28" i="126"/>
  <c r="BS28" i="126"/>
  <c r="CC28" i="126"/>
  <c r="CM28" i="126"/>
  <c r="CW28" i="126"/>
  <c r="DG28" i="126"/>
  <c r="DH28" i="126"/>
  <c r="DI28" i="126"/>
  <c r="DJ28" i="126"/>
  <c r="DK28" i="126"/>
  <c r="DQ28" i="126"/>
  <c r="DW28" i="126"/>
  <c r="DX28" i="126"/>
  <c r="DY28" i="126"/>
  <c r="DZ28" i="126"/>
  <c r="K29" i="126"/>
  <c r="U29" i="126"/>
  <c r="AE29" i="126"/>
  <c r="AO29" i="126"/>
  <c r="AY29" i="126"/>
  <c r="BI29" i="126"/>
  <c r="BS29" i="126"/>
  <c r="CC29" i="126"/>
  <c r="CM29" i="126"/>
  <c r="CW29" i="126"/>
  <c r="DG29" i="126"/>
  <c r="DH29" i="126"/>
  <c r="DI29" i="126"/>
  <c r="DJ29" i="126"/>
  <c r="DK29" i="126"/>
  <c r="DQ29" i="126"/>
  <c r="DW29" i="126"/>
  <c r="DX29" i="126"/>
  <c r="DY29" i="126"/>
  <c r="DZ29" i="126"/>
  <c r="K30" i="126"/>
  <c r="U30" i="126"/>
  <c r="AE30" i="126"/>
  <c r="AO30" i="126"/>
  <c r="AY30" i="126"/>
  <c r="BI30" i="126"/>
  <c r="BS30" i="126"/>
  <c r="CC30" i="126"/>
  <c r="CM30" i="126"/>
  <c r="CW30" i="126"/>
  <c r="DG30" i="126"/>
  <c r="DH30" i="126"/>
  <c r="DI30" i="126"/>
  <c r="DJ30" i="126"/>
  <c r="DK30" i="126"/>
  <c r="DQ30" i="126"/>
  <c r="DW30" i="126"/>
  <c r="DX30" i="126"/>
  <c r="DY30" i="126"/>
  <c r="DZ30" i="126"/>
  <c r="K31" i="126"/>
  <c r="U31" i="126"/>
  <c r="AE31" i="126"/>
  <c r="AO31" i="126"/>
  <c r="AY31" i="126"/>
  <c r="BI31" i="126"/>
  <c r="BS31" i="126"/>
  <c r="CC31" i="126"/>
  <c r="CM31" i="126"/>
  <c r="CW31" i="126"/>
  <c r="DG31" i="126"/>
  <c r="DH31" i="126"/>
  <c r="DI31" i="126"/>
  <c r="DJ31" i="126"/>
  <c r="DK31" i="126"/>
  <c r="DQ31" i="126"/>
  <c r="DW31" i="126"/>
  <c r="DX31" i="126"/>
  <c r="DY31" i="126"/>
  <c r="DZ31" i="126"/>
  <c r="K32" i="126"/>
  <c r="U32" i="126"/>
  <c r="AE32" i="126"/>
  <c r="AO32" i="126"/>
  <c r="AY32" i="126"/>
  <c r="BI32" i="126"/>
  <c r="BS32" i="126"/>
  <c r="CC32" i="126"/>
  <c r="CM32" i="126"/>
  <c r="CW32" i="126"/>
  <c r="DG32" i="126"/>
  <c r="DH32" i="126"/>
  <c r="DI32" i="126"/>
  <c r="DJ32" i="126"/>
  <c r="DK32" i="126"/>
  <c r="DQ32" i="126"/>
  <c r="DW32" i="126"/>
  <c r="DX32" i="126"/>
  <c r="DY32" i="126"/>
  <c r="DZ32" i="126"/>
  <c r="K33" i="126"/>
  <c r="U33" i="126"/>
  <c r="AE33" i="126"/>
  <c r="AO33" i="126"/>
  <c r="AY33" i="126"/>
  <c r="BI33" i="126"/>
  <c r="BS33" i="126"/>
  <c r="CC33" i="126"/>
  <c r="CM33" i="126"/>
  <c r="CW33" i="126"/>
  <c r="DG33" i="126"/>
  <c r="DH33" i="126"/>
  <c r="DI33" i="126"/>
  <c r="DJ33" i="126"/>
  <c r="DK33" i="126"/>
  <c r="DQ33" i="126"/>
  <c r="DW33" i="126"/>
  <c r="DX33" i="126"/>
  <c r="DY33" i="126"/>
  <c r="DZ33" i="126"/>
  <c r="K34" i="126"/>
  <c r="U34" i="126"/>
  <c r="AE34" i="126"/>
  <c r="AO34" i="126"/>
  <c r="AY34" i="126"/>
  <c r="BI34" i="126"/>
  <c r="BS34" i="126"/>
  <c r="CC34" i="126"/>
  <c r="CM34" i="126"/>
  <c r="CW34" i="126"/>
  <c r="DG34" i="126"/>
  <c r="DH34" i="126"/>
  <c r="DI34" i="126"/>
  <c r="DJ34" i="126"/>
  <c r="DK34" i="126"/>
  <c r="DQ34" i="126"/>
  <c r="DW34" i="126"/>
  <c r="DX34" i="126"/>
  <c r="DY34" i="126"/>
  <c r="DZ34" i="126"/>
  <c r="G35" i="126"/>
  <c r="G37" i="126" s="1"/>
  <c r="H35" i="126"/>
  <c r="H37" i="126" s="1"/>
  <c r="I35" i="126"/>
  <c r="I37" i="126" s="1"/>
  <c r="J35" i="126"/>
  <c r="J37" i="126" s="1"/>
  <c r="Q35" i="126"/>
  <c r="Q37" i="126" s="1"/>
  <c r="R35" i="126"/>
  <c r="R37" i="126" s="1"/>
  <c r="S35" i="126"/>
  <c r="S37" i="126" s="1"/>
  <c r="T35" i="126"/>
  <c r="T37" i="126" s="1"/>
  <c r="AA35" i="126"/>
  <c r="AA37" i="126" s="1"/>
  <c r="AB35" i="126"/>
  <c r="AB37" i="126" s="1"/>
  <c r="AC35" i="126"/>
  <c r="AC37" i="126" s="1"/>
  <c r="AD35" i="126"/>
  <c r="AD37" i="126" s="1"/>
  <c r="AK35" i="126"/>
  <c r="AK37" i="126" s="1"/>
  <c r="AL35" i="126"/>
  <c r="AL37" i="126" s="1"/>
  <c r="AM35" i="126"/>
  <c r="AM37" i="126" s="1"/>
  <c r="AN35" i="126"/>
  <c r="AN37" i="126" s="1"/>
  <c r="AU35" i="126"/>
  <c r="AU37" i="126" s="1"/>
  <c r="AV35" i="126"/>
  <c r="AV37" i="126" s="1"/>
  <c r="AW35" i="126"/>
  <c r="AW37" i="126" s="1"/>
  <c r="AX35" i="126"/>
  <c r="AX37" i="126" s="1"/>
  <c r="BE35" i="126"/>
  <c r="BE37" i="126" s="1"/>
  <c r="BF35" i="126"/>
  <c r="BF37" i="126" s="1"/>
  <c r="BG35" i="126"/>
  <c r="BG37" i="126" s="1"/>
  <c r="BH35" i="126"/>
  <c r="BH37" i="126" s="1"/>
  <c r="BO35" i="126"/>
  <c r="BO37" i="126" s="1"/>
  <c r="BP35" i="126"/>
  <c r="BP37" i="126" s="1"/>
  <c r="BQ35" i="126"/>
  <c r="BQ37" i="126" s="1"/>
  <c r="BR35" i="126"/>
  <c r="BR37" i="126" s="1"/>
  <c r="BY35" i="126"/>
  <c r="BY37" i="126" s="1"/>
  <c r="BZ35" i="126"/>
  <c r="BZ37" i="126" s="1"/>
  <c r="CA35" i="126"/>
  <c r="CA37" i="126" s="1"/>
  <c r="CB35" i="126"/>
  <c r="CB37" i="126" s="1"/>
  <c r="CI35" i="126"/>
  <c r="CI37" i="126" s="1"/>
  <c r="CJ35" i="126"/>
  <c r="CJ37" i="126" s="1"/>
  <c r="CK35" i="126"/>
  <c r="CK37" i="126" s="1"/>
  <c r="CL35" i="126"/>
  <c r="CL37" i="126" s="1"/>
  <c r="CS35" i="126"/>
  <c r="CT35" i="126"/>
  <c r="CT37" i="126" s="1"/>
  <c r="CU35" i="126"/>
  <c r="CU37" i="126" s="1"/>
  <c r="CV35" i="126"/>
  <c r="CV37" i="126" s="1"/>
  <c r="DC35" i="126"/>
  <c r="DC37" i="126" s="1"/>
  <c r="DD35" i="126"/>
  <c r="DD37" i="126" s="1"/>
  <c r="DE35" i="126"/>
  <c r="DE37" i="126" s="1"/>
  <c r="DF35" i="126"/>
  <c r="DF37" i="126" s="1"/>
  <c r="DM35" i="126"/>
  <c r="DM37" i="126" s="1"/>
  <c r="DN35" i="126"/>
  <c r="DN37" i="126" s="1"/>
  <c r="DO35" i="126"/>
  <c r="DO37" i="126" s="1"/>
  <c r="DP35" i="126"/>
  <c r="DP37" i="126" s="1"/>
  <c r="K36" i="126"/>
  <c r="U36" i="126"/>
  <c r="AE36" i="126"/>
  <c r="AO36" i="126"/>
  <c r="AY36" i="126"/>
  <c r="BI36" i="126"/>
  <c r="BS36" i="126"/>
  <c r="CC36" i="126"/>
  <c r="CM36" i="126"/>
  <c r="CW36" i="126"/>
  <c r="DG36" i="126"/>
  <c r="DH36" i="126"/>
  <c r="DI36" i="126"/>
  <c r="DJ36" i="126"/>
  <c r="DK36" i="126"/>
  <c r="DQ36" i="126"/>
  <c r="DW36" i="126"/>
  <c r="DX36" i="126"/>
  <c r="DY36" i="126"/>
  <c r="DZ36" i="126"/>
  <c r="CS37" i="126"/>
  <c r="N7" i="125"/>
  <c r="N8" i="125"/>
  <c r="N9" i="125"/>
  <c r="N10" i="125"/>
  <c r="N11" i="125"/>
  <c r="N12" i="125"/>
  <c r="N13" i="125"/>
  <c r="N14" i="125"/>
  <c r="N15" i="125"/>
  <c r="N16" i="125"/>
  <c r="N17" i="125"/>
  <c r="N18" i="125"/>
  <c r="N19" i="125"/>
  <c r="N20" i="125"/>
  <c r="N21" i="125"/>
  <c r="N22" i="125"/>
  <c r="N23" i="125"/>
  <c r="N24" i="125"/>
  <c r="N25" i="125"/>
  <c r="N26" i="125"/>
  <c r="N27" i="125"/>
  <c r="N28" i="125"/>
  <c r="N29" i="125"/>
  <c r="N30" i="125"/>
  <c r="N31" i="125"/>
  <c r="N32" i="125"/>
  <c r="N33" i="125"/>
  <c r="N35" i="125"/>
  <c r="R37" i="125"/>
  <c r="S37" i="125"/>
  <c r="R38" i="125"/>
  <c r="S38" i="125"/>
  <c r="A50" i="125"/>
  <c r="N31" i="124"/>
  <c r="N33" i="124" s="1"/>
  <c r="N35" i="124" s="1"/>
  <c r="B4" i="129"/>
  <c r="B5" i="129"/>
  <c r="B6" i="129"/>
  <c r="AE6" i="66"/>
  <c r="B22" i="129"/>
  <c r="B27" i="129"/>
  <c r="B23" i="129"/>
  <c r="B28" i="129"/>
  <c r="B24" i="129"/>
  <c r="B25" i="129"/>
  <c r="B32" i="129"/>
  <c r="B29" i="129"/>
  <c r="B8" i="129"/>
  <c r="B9" i="129"/>
  <c r="B33" i="129"/>
  <c r="B34" i="129"/>
  <c r="B30" i="129"/>
  <c r="B10" i="129"/>
  <c r="T32" i="123"/>
  <c r="T34" i="123" s="1"/>
  <c r="T36" i="123" s="1"/>
  <c r="Y35" i="123"/>
  <c r="Y36" i="123"/>
  <c r="A45" i="123"/>
  <c r="B22" i="128"/>
  <c r="C22" i="128"/>
  <c r="F22" i="128"/>
  <c r="G22" i="128"/>
  <c r="B19" i="128"/>
  <c r="C19" i="128"/>
  <c r="I7" i="122"/>
  <c r="G19" i="128"/>
  <c r="B18" i="128"/>
  <c r="C18" i="128"/>
  <c r="G18" i="128"/>
  <c r="B28" i="128"/>
  <c r="C28" i="128"/>
  <c r="F28" i="128"/>
  <c r="G28" i="128"/>
  <c r="B17" i="128"/>
  <c r="C17" i="128"/>
  <c r="B9" i="128"/>
  <c r="C9" i="128"/>
  <c r="B20" i="128"/>
  <c r="C20" i="128"/>
  <c r="J12" i="122"/>
  <c r="G20" i="128"/>
  <c r="B4" i="128"/>
  <c r="C4" i="128"/>
  <c r="F4" i="128"/>
  <c r="G4" i="128"/>
  <c r="B13" i="128"/>
  <c r="G13" i="128"/>
  <c r="J14" i="122"/>
  <c r="B29" i="128"/>
  <c r="C29" i="128"/>
  <c r="G29" i="128"/>
  <c r="B5" i="128"/>
  <c r="C5" i="128"/>
  <c r="F5" i="128"/>
  <c r="G5" i="128"/>
  <c r="B21" i="128"/>
  <c r="C21" i="128"/>
  <c r="G21" i="128"/>
  <c r="B16" i="128"/>
  <c r="C16" i="128"/>
  <c r="F16" i="128"/>
  <c r="G16" i="128"/>
  <c r="J18" i="122"/>
  <c r="B26" i="128"/>
  <c r="C26" i="128"/>
  <c r="G26" i="128"/>
  <c r="J19" i="122"/>
  <c r="B30" i="128"/>
  <c r="C30" i="128"/>
  <c r="F30" i="128"/>
  <c r="G30" i="128"/>
  <c r="B8" i="128"/>
  <c r="C8" i="128"/>
  <c r="F8" i="128"/>
  <c r="G8" i="128"/>
  <c r="B14" i="128"/>
  <c r="C14" i="128"/>
  <c r="I22" i="122"/>
  <c r="G14" i="128"/>
  <c r="B7" i="128"/>
  <c r="C7" i="128"/>
  <c r="G7" i="128"/>
  <c r="B11" i="128"/>
  <c r="C11" i="128"/>
  <c r="F11" i="128"/>
  <c r="G11" i="128"/>
  <c r="B25" i="128"/>
  <c r="C25" i="128"/>
  <c r="B23" i="128"/>
  <c r="C23" i="128"/>
  <c r="G23" i="128"/>
  <c r="J26" i="122"/>
  <c r="B27" i="128"/>
  <c r="C27" i="128"/>
  <c r="F27" i="128"/>
  <c r="G27" i="128"/>
  <c r="B10" i="128"/>
  <c r="C10" i="128"/>
  <c r="F10" i="128"/>
  <c r="G10" i="128"/>
  <c r="B12" i="128"/>
  <c r="C12" i="128"/>
  <c r="F12" i="128"/>
  <c r="B15" i="128"/>
  <c r="C15" i="128"/>
  <c r="G15" i="128"/>
  <c r="B6" i="128"/>
  <c r="C6" i="128"/>
  <c r="F6" i="128"/>
  <c r="G6" i="128"/>
  <c r="B24" i="128"/>
  <c r="C24" i="128"/>
  <c r="J32" i="122"/>
  <c r="F33" i="122"/>
  <c r="F35" i="122" s="1"/>
  <c r="AH33" i="122"/>
  <c r="AH35" i="122" s="1"/>
  <c r="AH37" i="122" s="1"/>
  <c r="AI33" i="122"/>
  <c r="AI35" i="122" s="1"/>
  <c r="AI37" i="122" s="1"/>
  <c r="AP36" i="122"/>
  <c r="A53" i="122"/>
  <c r="A54" i="122"/>
  <c r="A55" i="122"/>
  <c r="N76" i="122"/>
  <c r="P76" i="122"/>
  <c r="G77" i="122"/>
  <c r="J77" i="122"/>
  <c r="C20" i="127"/>
  <c r="D20" i="127"/>
  <c r="G20" i="127"/>
  <c r="J20" i="127"/>
  <c r="C25" i="127"/>
  <c r="D25" i="127"/>
  <c r="G25" i="127"/>
  <c r="I25" i="127"/>
  <c r="L8" i="121"/>
  <c r="C5" i="129"/>
  <c r="C21" i="127"/>
  <c r="D21" i="127"/>
  <c r="I9" i="121"/>
  <c r="I21" i="127"/>
  <c r="B28" i="127"/>
  <c r="C28" i="127"/>
  <c r="D28" i="127"/>
  <c r="G28" i="127"/>
  <c r="I28" i="127"/>
  <c r="C16" i="127"/>
  <c r="D16" i="127"/>
  <c r="G16" i="127"/>
  <c r="I16" i="127"/>
  <c r="J16" i="127"/>
  <c r="C12" i="127"/>
  <c r="D12" i="127"/>
  <c r="G12" i="127"/>
  <c r="I12" i="127"/>
  <c r="J12" i="127"/>
  <c r="C13" i="127"/>
  <c r="D13" i="127"/>
  <c r="G13" i="127"/>
  <c r="I13" i="127"/>
  <c r="C4" i="127"/>
  <c r="D4" i="127"/>
  <c r="G4" i="127"/>
  <c r="I4" i="127"/>
  <c r="B19" i="127"/>
  <c r="C19" i="127"/>
  <c r="D19" i="127"/>
  <c r="G19" i="127"/>
  <c r="I19" i="127"/>
  <c r="J19" i="127"/>
  <c r="C26" i="127"/>
  <c r="D26" i="127"/>
  <c r="I16" i="121"/>
  <c r="I26" i="127"/>
  <c r="C11" i="127"/>
  <c r="D11" i="127"/>
  <c r="G11" i="127"/>
  <c r="J11" i="127"/>
  <c r="C27" i="127"/>
  <c r="D27" i="127"/>
  <c r="G27" i="127"/>
  <c r="J27" i="127"/>
  <c r="B5" i="127"/>
  <c r="C5" i="127"/>
  <c r="D5" i="127"/>
  <c r="G5" i="127"/>
  <c r="J5" i="127"/>
  <c r="C29" i="127"/>
  <c r="D29" i="127"/>
  <c r="G29" i="127"/>
  <c r="I29" i="127"/>
  <c r="C17" i="127"/>
  <c r="D17" i="127"/>
  <c r="G17" i="127"/>
  <c r="I17" i="127"/>
  <c r="C6" i="127"/>
  <c r="D6" i="127"/>
  <c r="G6" i="127"/>
  <c r="I6" i="127"/>
  <c r="J6" i="127"/>
  <c r="C8" i="127"/>
  <c r="D8" i="127"/>
  <c r="G8" i="127"/>
  <c r="I8" i="127"/>
  <c r="C32" i="129"/>
  <c r="C10" i="127"/>
  <c r="G10" i="127"/>
  <c r="I24" i="121"/>
  <c r="I10" i="127"/>
  <c r="C29" i="129"/>
  <c r="C22" i="127"/>
  <c r="D22" i="127"/>
  <c r="G22" i="127"/>
  <c r="I22" i="127"/>
  <c r="B24" i="127"/>
  <c r="C24" i="127"/>
  <c r="D24" i="127"/>
  <c r="G24" i="127"/>
  <c r="I24" i="127"/>
  <c r="C8" i="129"/>
  <c r="C23" i="127"/>
  <c r="D23" i="127"/>
  <c r="G23" i="127"/>
  <c r="I23" i="127"/>
  <c r="J23" i="127"/>
  <c r="C30" i="127"/>
  <c r="D30" i="127"/>
  <c r="I28" i="121"/>
  <c r="I30" i="127"/>
  <c r="C9" i="127"/>
  <c r="D9" i="127"/>
  <c r="I29" i="121"/>
  <c r="I9" i="127"/>
  <c r="C7" i="127"/>
  <c r="D7" i="127"/>
  <c r="G7" i="127"/>
  <c r="J7" i="127"/>
  <c r="C20" i="129"/>
  <c r="C18" i="127"/>
  <c r="D18" i="127"/>
  <c r="I31" i="121"/>
  <c r="H18" i="127" s="1"/>
  <c r="J18" i="127"/>
  <c r="C15" i="127"/>
  <c r="D15" i="127"/>
  <c r="G15" i="127"/>
  <c r="J15" i="127"/>
  <c r="B14" i="127"/>
  <c r="C14" i="127"/>
  <c r="D14" i="127"/>
  <c r="G14" i="127"/>
  <c r="J14" i="127"/>
  <c r="G34" i="121"/>
  <c r="G36" i="121" s="1"/>
  <c r="AK34" i="121"/>
  <c r="AK36" i="121" s="1"/>
  <c r="AK38" i="121" s="1"/>
  <c r="AL34" i="121"/>
  <c r="AL36" i="121" s="1"/>
  <c r="AL38" i="121" s="1"/>
  <c r="AV37" i="121"/>
  <c r="AV38" i="121"/>
  <c r="AM47" i="121"/>
  <c r="O49" i="121"/>
  <c r="Q49" i="121"/>
  <c r="S49" i="121"/>
  <c r="U49" i="121"/>
  <c r="W49" i="121"/>
  <c r="Y49" i="121"/>
  <c r="AM49" i="121"/>
  <c r="O50" i="121"/>
  <c r="Q50" i="121"/>
  <c r="S50" i="121"/>
  <c r="U50" i="121"/>
  <c r="W50" i="121"/>
  <c r="Y50" i="121"/>
  <c r="O52" i="121"/>
  <c r="Q52" i="121"/>
  <c r="S52" i="121"/>
  <c r="U52" i="121"/>
  <c r="W52" i="121"/>
  <c r="Y52" i="121"/>
  <c r="O53" i="121"/>
  <c r="Q53" i="121"/>
  <c r="S53" i="121"/>
  <c r="U53" i="121"/>
  <c r="W53" i="121"/>
  <c r="Y53" i="121"/>
  <c r="M70" i="121"/>
  <c r="G20" i="133" l="1"/>
  <c r="I20" i="133" s="1"/>
  <c r="S17" i="131"/>
  <c r="AM17" i="131"/>
  <c r="AO17" i="131" s="1"/>
  <c r="AA20" i="133"/>
  <c r="S20" i="133"/>
  <c r="U20" i="133" s="1"/>
  <c r="AE29" i="131"/>
  <c r="K29" i="131"/>
  <c r="M29" i="131" s="1"/>
  <c r="G29" i="131"/>
  <c r="I29" i="131" s="1"/>
  <c r="C29" i="131"/>
  <c r="E29" i="131" s="1"/>
  <c r="G19" i="133"/>
  <c r="W19" i="133"/>
  <c r="Y19" i="133" s="1"/>
  <c r="AI29" i="131"/>
  <c r="AK29" i="131" s="1"/>
  <c r="O29" i="131"/>
  <c r="M28" i="130" s="1"/>
  <c r="N28" i="130" s="1"/>
  <c r="AQ29" i="131"/>
  <c r="K19" i="133"/>
  <c r="M19" i="133" s="1"/>
  <c r="C19" i="133"/>
  <c r="E19" i="133" s="1"/>
  <c r="AA29" i="131"/>
  <c r="AC29" i="131" s="1"/>
  <c r="C21" i="134"/>
  <c r="E21" i="134" s="1"/>
  <c r="O29" i="134"/>
  <c r="Q29" i="134" s="1"/>
  <c r="C20" i="134"/>
  <c r="E20" i="134" s="1"/>
  <c r="O20" i="134"/>
  <c r="Q20" i="134" s="1"/>
  <c r="O19" i="133"/>
  <c r="Q19" i="133" s="1"/>
  <c r="AA19" i="133"/>
  <c r="AC19" i="133" s="1"/>
  <c r="S19" i="133"/>
  <c r="U19" i="133" s="1"/>
  <c r="K26" i="133"/>
  <c r="M26" i="133" s="1"/>
  <c r="C26" i="133"/>
  <c r="E26" i="133" s="1"/>
  <c r="AI19" i="131"/>
  <c r="AK19" i="131" s="1"/>
  <c r="K19" i="131"/>
  <c r="M19" i="131" s="1"/>
  <c r="AE17" i="131"/>
  <c r="AG17" i="131" s="1"/>
  <c r="K17" i="131"/>
  <c r="M17" i="131" s="1"/>
  <c r="AI17" i="131"/>
  <c r="AK17" i="131" s="1"/>
  <c r="AA17" i="131"/>
  <c r="AC17" i="131" s="1"/>
  <c r="D32" i="129"/>
  <c r="AH28" i="66" s="1"/>
  <c r="D20" i="129"/>
  <c r="AH19" i="66" s="1"/>
  <c r="D8" i="129"/>
  <c r="AH8" i="66" s="1"/>
  <c r="D18" i="129"/>
  <c r="AH17" i="66" s="1"/>
  <c r="D17" i="129"/>
  <c r="AH16" i="66" s="1"/>
  <c r="D14" i="129"/>
  <c r="AH13" i="66" s="1"/>
  <c r="D5" i="129"/>
  <c r="AH5" i="66" s="1"/>
  <c r="D29" i="129"/>
  <c r="AH26" i="66" s="1"/>
  <c r="K29" i="133"/>
  <c r="M29" i="133" s="1"/>
  <c r="K23" i="133"/>
  <c r="M23" i="133" s="1"/>
  <c r="C29" i="133"/>
  <c r="E29" i="133" s="1"/>
  <c r="C23" i="133"/>
  <c r="E23" i="133" s="1"/>
  <c r="AD11" i="130"/>
  <c r="G16" i="134"/>
  <c r="I16" i="134" s="1"/>
  <c r="C12" i="134"/>
  <c r="E12" i="134" s="1"/>
  <c r="O12" i="134"/>
  <c r="C16" i="134"/>
  <c r="E16" i="134" s="1"/>
  <c r="O16" i="134"/>
  <c r="Q16" i="134" s="1"/>
  <c r="AC11" i="130"/>
  <c r="AA25" i="137"/>
  <c r="AC25" i="137" s="1"/>
  <c r="O19" i="137"/>
  <c r="Q19" i="137" s="1"/>
  <c r="G12" i="134"/>
  <c r="I12" i="134" s="1"/>
  <c r="O29" i="133"/>
  <c r="Q29" i="133" s="1"/>
  <c r="W23" i="133"/>
  <c r="Y23" i="133" s="1"/>
  <c r="AQ17" i="131"/>
  <c r="AS17" i="131" s="1"/>
  <c r="O23" i="133"/>
  <c r="Q23" i="133" s="1"/>
  <c r="AA29" i="133"/>
  <c r="AC29" i="133" s="1"/>
  <c r="AA23" i="133"/>
  <c r="AC23" i="133" s="1"/>
  <c r="S29" i="133"/>
  <c r="U29" i="133" s="1"/>
  <c r="S23" i="133"/>
  <c r="U23" i="133" s="1"/>
  <c r="C17" i="131"/>
  <c r="E17" i="131" s="1"/>
  <c r="W17" i="131"/>
  <c r="Y17" i="131" s="1"/>
  <c r="W29" i="133"/>
  <c r="Y29" i="133" s="1"/>
  <c r="G29" i="133"/>
  <c r="G23" i="133"/>
  <c r="I23" i="133" s="1"/>
  <c r="G17" i="131"/>
  <c r="L7" i="129"/>
  <c r="W26" i="133"/>
  <c r="Y26" i="133" s="1"/>
  <c r="G19" i="131"/>
  <c r="I19" i="131" s="1"/>
  <c r="AA19" i="131"/>
  <c r="AC19" i="131" s="1"/>
  <c r="O26" i="133"/>
  <c r="Q26" i="133" s="1"/>
  <c r="G26" i="133"/>
  <c r="I26" i="133" s="1"/>
  <c r="C19" i="131"/>
  <c r="E19" i="131" s="1"/>
  <c r="W19" i="131"/>
  <c r="Y19" i="131" s="1"/>
  <c r="AQ19" i="131"/>
  <c r="S19" i="131"/>
  <c r="U19" i="131" s="1"/>
  <c r="AM19" i="131"/>
  <c r="AO19" i="131" s="1"/>
  <c r="O19" i="131"/>
  <c r="Q19" i="131" s="1"/>
  <c r="C27" i="132"/>
  <c r="E27" i="132" s="1"/>
  <c r="K16" i="131"/>
  <c r="M16" i="131" s="1"/>
  <c r="AI16" i="131"/>
  <c r="AK16" i="131" s="1"/>
  <c r="O16" i="131"/>
  <c r="Q16" i="131" s="1"/>
  <c r="K22" i="134"/>
  <c r="M22" i="134" s="1"/>
  <c r="C22" i="134"/>
  <c r="E22" i="134" s="1"/>
  <c r="W24" i="133"/>
  <c r="Y24" i="133" s="1"/>
  <c r="AE27" i="132"/>
  <c r="AG27" i="132" s="1"/>
  <c r="AA27" i="132"/>
  <c r="AC27" i="132" s="1"/>
  <c r="W27" i="132"/>
  <c r="Y27" i="132" s="1"/>
  <c r="O27" i="132"/>
  <c r="Q27" i="132" s="1"/>
  <c r="K27" i="132"/>
  <c r="M27" i="132" s="1"/>
  <c r="G27" i="132"/>
  <c r="I27" i="132" s="1"/>
  <c r="S27" i="132"/>
  <c r="U27" i="132" s="1"/>
  <c r="O22" i="134"/>
  <c r="Q22" i="134" s="1"/>
  <c r="G22" i="134"/>
  <c r="AA26" i="133"/>
  <c r="AC26" i="133" s="1"/>
  <c r="S26" i="133"/>
  <c r="U26" i="133" s="1"/>
  <c r="D12" i="128"/>
  <c r="AL30" i="66" s="1"/>
  <c r="G24" i="133"/>
  <c r="I24" i="133" s="1"/>
  <c r="AE16" i="131"/>
  <c r="AG16" i="131" s="1"/>
  <c r="G16" i="131"/>
  <c r="I16" i="131" s="1"/>
  <c r="AA24" i="133"/>
  <c r="AC24" i="133" s="1"/>
  <c r="S24" i="133"/>
  <c r="U24" i="133" s="1"/>
  <c r="C16" i="131"/>
  <c r="E16" i="131" s="1"/>
  <c r="W16" i="131"/>
  <c r="Y16" i="131" s="1"/>
  <c r="O24" i="133"/>
  <c r="Q24" i="133" s="1"/>
  <c r="K24" i="133"/>
  <c r="M24" i="133" s="1"/>
  <c r="C24" i="133"/>
  <c r="E24" i="133" s="1"/>
  <c r="AQ16" i="131"/>
  <c r="AS16" i="131" s="1"/>
  <c r="S16" i="131"/>
  <c r="U16" i="131" s="1"/>
  <c r="AM16" i="131"/>
  <c r="AO16" i="131" s="1"/>
  <c r="AA30" i="133"/>
  <c r="AC30" i="133" s="1"/>
  <c r="AA28" i="133"/>
  <c r="AC28" i="133" s="1"/>
  <c r="S30" i="133"/>
  <c r="U30" i="133" s="1"/>
  <c r="S28" i="133"/>
  <c r="U28" i="133" s="1"/>
  <c r="K30" i="133"/>
  <c r="M30" i="133" s="1"/>
  <c r="C30" i="133"/>
  <c r="E30" i="133" s="1"/>
  <c r="W30" i="133"/>
  <c r="Y30" i="133" s="1"/>
  <c r="AI27" i="131"/>
  <c r="AK27" i="131" s="1"/>
  <c r="K27" i="131"/>
  <c r="M27" i="131" s="1"/>
  <c r="O30" i="133"/>
  <c r="Q30" i="133" s="1"/>
  <c r="G30" i="133"/>
  <c r="I30" i="133" s="1"/>
  <c r="O26" i="131"/>
  <c r="Q26" i="131" s="1"/>
  <c r="K30" i="137"/>
  <c r="M30" i="137" s="1"/>
  <c r="O30" i="131"/>
  <c r="Q30" i="131" s="1"/>
  <c r="C30" i="137"/>
  <c r="E30" i="137" s="1"/>
  <c r="W30" i="137"/>
  <c r="Y30" i="137" s="1"/>
  <c r="AA23" i="137"/>
  <c r="AC23" i="137" s="1"/>
  <c r="S23" i="137"/>
  <c r="U23" i="137" s="1"/>
  <c r="G20" i="137"/>
  <c r="I20" i="137" s="1"/>
  <c r="O20" i="137"/>
  <c r="Q20" i="137" s="1"/>
  <c r="AA14" i="137"/>
  <c r="AC14" i="137" s="1"/>
  <c r="S14" i="137"/>
  <c r="U14" i="137" s="1"/>
  <c r="AD33" i="133"/>
  <c r="O28" i="133"/>
  <c r="Q28" i="133" s="1"/>
  <c r="C28" i="133"/>
  <c r="E28" i="133" s="1"/>
  <c r="W28" i="133"/>
  <c r="Y28" i="133" s="1"/>
  <c r="K28" i="133"/>
  <c r="G28" i="133"/>
  <c r="I28" i="133" s="1"/>
  <c r="O27" i="137"/>
  <c r="Q27" i="137" s="1"/>
  <c r="S26" i="137"/>
  <c r="U26" i="137" s="1"/>
  <c r="S21" i="137"/>
  <c r="U21" i="137" s="1"/>
  <c r="K21" i="137"/>
  <c r="M21" i="137" s="1"/>
  <c r="AT33" i="131"/>
  <c r="G27" i="131"/>
  <c r="I27" i="131" s="1"/>
  <c r="AA27" i="131"/>
  <c r="AC27" i="131" s="1"/>
  <c r="AE30" i="131"/>
  <c r="AG30" i="131" s="1"/>
  <c r="O21" i="134"/>
  <c r="Q21" i="134" s="1"/>
  <c r="K30" i="131"/>
  <c r="M30" i="131" s="1"/>
  <c r="G23" i="137"/>
  <c r="I23" i="137" s="1"/>
  <c r="W18" i="135"/>
  <c r="Y18" i="135" s="1"/>
  <c r="G18" i="135"/>
  <c r="I18" i="135" s="1"/>
  <c r="O18" i="135"/>
  <c r="Q18" i="135" s="1"/>
  <c r="S18" i="135"/>
  <c r="U18" i="135" s="1"/>
  <c r="O14" i="134"/>
  <c r="Q14" i="134" s="1"/>
  <c r="G14" i="134"/>
  <c r="I14" i="134" s="1"/>
  <c r="O27" i="133"/>
  <c r="Q27" i="133" s="1"/>
  <c r="AA27" i="133"/>
  <c r="AC27" i="133" s="1"/>
  <c r="S27" i="133"/>
  <c r="U27" i="133" s="1"/>
  <c r="AE18" i="131"/>
  <c r="AG18" i="131" s="1"/>
  <c r="G18" i="131"/>
  <c r="I18" i="131" s="1"/>
  <c r="AA18" i="131"/>
  <c r="AC18" i="131" s="1"/>
  <c r="S21" i="131"/>
  <c r="U21" i="131" s="1"/>
  <c r="AM21" i="131"/>
  <c r="AO21" i="131" s="1"/>
  <c r="K18" i="135"/>
  <c r="M18" i="135" s="1"/>
  <c r="AE18" i="135"/>
  <c r="AG18" i="135" s="1"/>
  <c r="AI18" i="135"/>
  <c r="AK18" i="135" s="1"/>
  <c r="K27" i="133"/>
  <c r="M27" i="133" s="1"/>
  <c r="C27" i="133"/>
  <c r="E27" i="133" s="1"/>
  <c r="C18" i="131"/>
  <c r="E18" i="131" s="1"/>
  <c r="W18" i="131"/>
  <c r="Y18" i="131" s="1"/>
  <c r="AQ18" i="131"/>
  <c r="AS18" i="131" s="1"/>
  <c r="AI21" i="131"/>
  <c r="AK21" i="131" s="1"/>
  <c r="K21" i="131"/>
  <c r="M21" i="131" s="1"/>
  <c r="K19" i="135"/>
  <c r="M19" i="135" s="1"/>
  <c r="C19" i="135"/>
  <c r="E19" i="135" s="1"/>
  <c r="AE19" i="135"/>
  <c r="AG19" i="135" s="1"/>
  <c r="AQ15" i="135"/>
  <c r="AS15" i="135" s="1"/>
  <c r="C15" i="135"/>
  <c r="E15" i="135" s="1"/>
  <c r="G19" i="135"/>
  <c r="I19" i="135" s="1"/>
  <c r="K21" i="133"/>
  <c r="M21" i="133" s="1"/>
  <c r="C21" i="133"/>
  <c r="E21" i="133" s="1"/>
  <c r="AA25" i="131"/>
  <c r="AC25" i="131" s="1"/>
  <c r="W25" i="131"/>
  <c r="Y25" i="131" s="1"/>
  <c r="S25" i="131"/>
  <c r="U25" i="131" s="1"/>
  <c r="AM15" i="135"/>
  <c r="AO15" i="135" s="1"/>
  <c r="AI19" i="135"/>
  <c r="AK19" i="135" s="1"/>
  <c r="S19" i="135"/>
  <c r="U19" i="135" s="1"/>
  <c r="W15" i="135"/>
  <c r="Y15" i="135" s="1"/>
  <c r="O15" i="135"/>
  <c r="Q15" i="135" s="1"/>
  <c r="S15" i="135"/>
  <c r="U15" i="135" s="1"/>
  <c r="O21" i="133"/>
  <c r="Q21" i="133" s="1"/>
  <c r="W21" i="133"/>
  <c r="O25" i="131"/>
  <c r="Q25" i="131" s="1"/>
  <c r="O19" i="135"/>
  <c r="Q19" i="135" s="1"/>
  <c r="W19" i="135"/>
  <c r="Y19" i="135" s="1"/>
  <c r="K15" i="135"/>
  <c r="M15" i="135" s="1"/>
  <c r="AE15" i="135"/>
  <c r="AG15" i="135" s="1"/>
  <c r="AI15" i="135"/>
  <c r="AK15" i="135" s="1"/>
  <c r="G21" i="133"/>
  <c r="I21" i="133" s="1"/>
  <c r="AI24" i="132"/>
  <c r="AK24" i="132" s="1"/>
  <c r="AE24" i="132"/>
  <c r="AG24" i="132" s="1"/>
  <c r="AE22" i="131"/>
  <c r="AG22" i="131" s="1"/>
  <c r="G22" i="131"/>
  <c r="I22" i="131" s="1"/>
  <c r="AA22" i="131"/>
  <c r="AC22" i="131" s="1"/>
  <c r="AE25" i="131"/>
  <c r="AG25" i="131" s="1"/>
  <c r="AQ19" i="135"/>
  <c r="AS19" i="135" s="1"/>
  <c r="AM19" i="135"/>
  <c r="AO19" i="135" s="1"/>
  <c r="AA15" i="135"/>
  <c r="AC15" i="135" s="1"/>
  <c r="AA21" i="133"/>
  <c r="AC21" i="133" s="1"/>
  <c r="S21" i="133"/>
  <c r="U21" i="133" s="1"/>
  <c r="W24" i="132"/>
  <c r="Y24" i="132" s="1"/>
  <c r="S24" i="132"/>
  <c r="U24" i="132" s="1"/>
  <c r="O24" i="132"/>
  <c r="Q24" i="132" s="1"/>
  <c r="AM25" i="131"/>
  <c r="AO25" i="131" s="1"/>
  <c r="AI25" i="131"/>
  <c r="AK25" i="131" s="1"/>
  <c r="C22" i="131"/>
  <c r="E22" i="131" s="1"/>
  <c r="W22" i="131"/>
  <c r="Y22" i="131" s="1"/>
  <c r="AQ22" i="131"/>
  <c r="AS22" i="131" s="1"/>
  <c r="AI24" i="137"/>
  <c r="S24" i="137" s="1"/>
  <c r="U24" i="137" s="1"/>
  <c r="AD23" i="130"/>
  <c r="AI17" i="137"/>
  <c r="O17" i="137" s="1"/>
  <c r="Q17" i="137" s="1"/>
  <c r="AD16" i="130"/>
  <c r="AE27" i="137"/>
  <c r="AG27" i="137" s="1"/>
  <c r="O26" i="137"/>
  <c r="Q26" i="137" s="1"/>
  <c r="AA21" i="137"/>
  <c r="AC21" i="137" s="1"/>
  <c r="K10" i="137"/>
  <c r="M10" i="137" s="1"/>
  <c r="S10" i="137"/>
  <c r="U10" i="137" s="1"/>
  <c r="O21" i="131"/>
  <c r="M20" i="130" s="1"/>
  <c r="N20" i="130" s="1"/>
  <c r="AA10" i="137"/>
  <c r="AC10" i="137" s="1"/>
  <c r="AE21" i="137"/>
  <c r="AG21" i="137" s="1"/>
  <c r="AA26" i="137"/>
  <c r="AC26" i="137" s="1"/>
  <c r="AA18" i="135"/>
  <c r="AC18" i="135" s="1"/>
  <c r="C14" i="134"/>
  <c r="E14" i="134" s="1"/>
  <c r="C28" i="134"/>
  <c r="E28" i="134" s="1"/>
  <c r="O28" i="134"/>
  <c r="Q28" i="134" s="1"/>
  <c r="W27" i="133"/>
  <c r="Y27" i="133" s="1"/>
  <c r="G21" i="131"/>
  <c r="I21" i="131" s="1"/>
  <c r="AA21" i="131"/>
  <c r="AC21" i="131" s="1"/>
  <c r="K27" i="137"/>
  <c r="M27" i="137" s="1"/>
  <c r="C27" i="137"/>
  <c r="E27" i="137" s="1"/>
  <c r="AE26" i="137"/>
  <c r="AG26" i="137" s="1"/>
  <c r="G26" i="137"/>
  <c r="I26" i="137" s="1"/>
  <c r="G21" i="137"/>
  <c r="O10" i="137"/>
  <c r="Q10" i="137" s="1"/>
  <c r="O21" i="137"/>
  <c r="Q21" i="137" s="1"/>
  <c r="AQ18" i="135"/>
  <c r="AS18" i="135" s="1"/>
  <c r="C18" i="135"/>
  <c r="E18" i="135" s="1"/>
  <c r="AA13" i="135"/>
  <c r="AC13" i="135" s="1"/>
  <c r="C10" i="134"/>
  <c r="E10" i="134" s="1"/>
  <c r="G28" i="134"/>
  <c r="I28" i="134" s="1"/>
  <c r="C24" i="134"/>
  <c r="E24" i="134" s="1"/>
  <c r="K14" i="134"/>
  <c r="O24" i="134"/>
  <c r="Q24" i="134" s="1"/>
  <c r="K21" i="134"/>
  <c r="M21" i="134" s="1"/>
  <c r="G27" i="133"/>
  <c r="G25" i="133"/>
  <c r="I25" i="133" s="1"/>
  <c r="W28" i="132"/>
  <c r="Y28" i="132" s="1"/>
  <c r="S28" i="132"/>
  <c r="U28" i="132" s="1"/>
  <c r="O28" i="132"/>
  <c r="Q28" i="132" s="1"/>
  <c r="AI30" i="131"/>
  <c r="AK30" i="131" s="1"/>
  <c r="AE21" i="131"/>
  <c r="AG21" i="131" s="1"/>
  <c r="O15" i="131"/>
  <c r="M14" i="130" s="1"/>
  <c r="N14" i="130" s="1"/>
  <c r="AI18" i="131"/>
  <c r="AK18" i="131" s="1"/>
  <c r="K18" i="131"/>
  <c r="M18" i="131" s="1"/>
  <c r="G15" i="131"/>
  <c r="I15" i="131" s="1"/>
  <c r="AE27" i="131"/>
  <c r="AG27" i="131" s="1"/>
  <c r="K15" i="131"/>
  <c r="M15" i="131" s="1"/>
  <c r="S27" i="131"/>
  <c r="U27" i="131" s="1"/>
  <c r="AM27" i="131"/>
  <c r="AO27" i="131" s="1"/>
  <c r="C21" i="131"/>
  <c r="E21" i="131" s="1"/>
  <c r="W21" i="131"/>
  <c r="Y21" i="131" s="1"/>
  <c r="AQ21" i="131"/>
  <c r="AS21" i="131" s="1"/>
  <c r="K26" i="137"/>
  <c r="M26" i="137" s="1"/>
  <c r="G19" i="137"/>
  <c r="I19" i="137" s="1"/>
  <c r="W27" i="137"/>
  <c r="Y27" i="137" s="1"/>
  <c r="S20" i="137"/>
  <c r="U20" i="137" s="1"/>
  <c r="S30" i="137"/>
  <c r="U30" i="137" s="1"/>
  <c r="AA27" i="137"/>
  <c r="AC27" i="137" s="1"/>
  <c r="S27" i="137"/>
  <c r="U27" i="137" s="1"/>
  <c r="C26" i="137"/>
  <c r="E26" i="137" s="1"/>
  <c r="W26" i="137"/>
  <c r="Y26" i="137" s="1"/>
  <c r="O23" i="137"/>
  <c r="Q23" i="137" s="1"/>
  <c r="C21" i="137"/>
  <c r="E21" i="137" s="1"/>
  <c r="W21" i="137"/>
  <c r="Y21" i="137" s="1"/>
  <c r="W20" i="137"/>
  <c r="Y20" i="137" s="1"/>
  <c r="AE20" i="137"/>
  <c r="AG20" i="137" s="1"/>
  <c r="AE19" i="137"/>
  <c r="AG19" i="137" s="1"/>
  <c r="AE10" i="137"/>
  <c r="AG10" i="137" s="1"/>
  <c r="G10" i="137"/>
  <c r="I10" i="137" s="1"/>
  <c r="AC16" i="130"/>
  <c r="S30" i="131"/>
  <c r="U30" i="131" s="1"/>
  <c r="C15" i="131"/>
  <c r="E15" i="131" s="1"/>
  <c r="W15" i="131"/>
  <c r="Y15" i="131" s="1"/>
  <c r="AQ30" i="131"/>
  <c r="W30" i="131"/>
  <c r="Y30" i="131" s="1"/>
  <c r="C30" i="131"/>
  <c r="E30" i="131" s="1"/>
  <c r="AA15" i="131"/>
  <c r="S15" i="131"/>
  <c r="U15" i="131" s="1"/>
  <c r="AM15" i="131"/>
  <c r="AO15" i="131" s="1"/>
  <c r="AE15" i="131"/>
  <c r="AG15" i="131" s="1"/>
  <c r="AD9" i="130"/>
  <c r="AA30" i="131"/>
  <c r="AC30" i="131" s="1"/>
  <c r="G30" i="131"/>
  <c r="I30" i="131" s="1"/>
  <c r="AI15" i="131"/>
  <c r="AK15" i="131" s="1"/>
  <c r="DL23" i="126"/>
  <c r="S30" i="135"/>
  <c r="U30" i="135" s="1"/>
  <c r="O30" i="135"/>
  <c r="Q30" i="135" s="1"/>
  <c r="AM13" i="135"/>
  <c r="AO13" i="135" s="1"/>
  <c r="AQ13" i="135"/>
  <c r="AS13" i="135" s="1"/>
  <c r="G28" i="132"/>
  <c r="I28" i="132" s="1"/>
  <c r="C28" i="132"/>
  <c r="E28" i="132" s="1"/>
  <c r="L33" i="128"/>
  <c r="G13" i="135"/>
  <c r="I13" i="135" s="1"/>
  <c r="O13" i="135"/>
  <c r="Q13" i="135" s="1"/>
  <c r="S13" i="135"/>
  <c r="G20" i="134"/>
  <c r="O10" i="134"/>
  <c r="Q10" i="134" s="1"/>
  <c r="G19" i="134"/>
  <c r="I19" i="134" s="1"/>
  <c r="G10" i="134"/>
  <c r="K25" i="133"/>
  <c r="M25" i="133" s="1"/>
  <c r="C25" i="133"/>
  <c r="E25" i="133" s="1"/>
  <c r="K24" i="132"/>
  <c r="M24" i="132" s="1"/>
  <c r="G24" i="132"/>
  <c r="I24" i="132" s="1"/>
  <c r="C24" i="132"/>
  <c r="E24" i="132" s="1"/>
  <c r="S22" i="131"/>
  <c r="U22" i="131" s="1"/>
  <c r="AM22" i="131"/>
  <c r="AO22" i="131" s="1"/>
  <c r="AC27" i="130"/>
  <c r="AC19" i="130"/>
  <c r="AD13" i="130"/>
  <c r="AC12" i="130"/>
  <c r="AE25" i="137"/>
  <c r="AG25" i="137" s="1"/>
  <c r="O30" i="137"/>
  <c r="C25" i="137"/>
  <c r="E25" i="137" s="1"/>
  <c r="W25" i="137"/>
  <c r="Y25" i="137" s="1"/>
  <c r="AE23" i="137"/>
  <c r="AG23" i="137" s="1"/>
  <c r="K20" i="137"/>
  <c r="M20" i="137" s="1"/>
  <c r="K19" i="137"/>
  <c r="M19" i="137" s="1"/>
  <c r="C19" i="137"/>
  <c r="E19" i="137" s="1"/>
  <c r="O14" i="137"/>
  <c r="Q14" i="137" s="1"/>
  <c r="K14" i="137"/>
  <c r="M14" i="137" s="1"/>
  <c r="R30" i="130"/>
  <c r="AI32" i="137" s="1"/>
  <c r="AA30" i="137"/>
  <c r="AC30" i="137" s="1"/>
  <c r="W19" i="137"/>
  <c r="Y19" i="137" s="1"/>
  <c r="G30" i="135"/>
  <c r="I30" i="135" s="1"/>
  <c r="C13" i="135"/>
  <c r="E13" i="135" s="1"/>
  <c r="K10" i="134"/>
  <c r="M10" i="134" s="1"/>
  <c r="AA25" i="133"/>
  <c r="AC25" i="133" s="1"/>
  <c r="S25" i="133"/>
  <c r="U25" i="133" s="1"/>
  <c r="AD12" i="130"/>
  <c r="AC9" i="130"/>
  <c r="I30" i="130"/>
  <c r="AM32" i="132" s="1"/>
  <c r="G25" i="137"/>
  <c r="I25" i="137" s="1"/>
  <c r="K13" i="135"/>
  <c r="M13" i="135" s="1"/>
  <c r="AE13" i="135"/>
  <c r="AG13" i="135" s="1"/>
  <c r="AI13" i="135"/>
  <c r="AK13" i="135" s="1"/>
  <c r="K19" i="134"/>
  <c r="M19" i="134" s="1"/>
  <c r="C19" i="134"/>
  <c r="E19" i="134" s="1"/>
  <c r="O25" i="133"/>
  <c r="Q25" i="133" s="1"/>
  <c r="W25" i="133"/>
  <c r="K28" i="132"/>
  <c r="M28" i="132" s="1"/>
  <c r="AI28" i="132"/>
  <c r="AK28" i="132" s="1"/>
  <c r="AE28" i="132"/>
  <c r="AG28" i="132" s="1"/>
  <c r="K25" i="131"/>
  <c r="M25" i="131" s="1"/>
  <c r="G25" i="131"/>
  <c r="C25" i="131"/>
  <c r="E25" i="131" s="1"/>
  <c r="AI22" i="131"/>
  <c r="AK22" i="131" s="1"/>
  <c r="K22" i="131"/>
  <c r="S18" i="131"/>
  <c r="U18" i="131" s="1"/>
  <c r="AM18" i="131"/>
  <c r="AO18" i="131" s="1"/>
  <c r="C27" i="131"/>
  <c r="E27" i="131" s="1"/>
  <c r="W27" i="131"/>
  <c r="Y27" i="131" s="1"/>
  <c r="AQ27" i="131"/>
  <c r="Q30" i="130"/>
  <c r="S30" i="130" s="1"/>
  <c r="F37" i="130" s="1"/>
  <c r="F82" i="130" s="1"/>
  <c r="H30" i="130"/>
  <c r="J30" i="130" s="1"/>
  <c r="F35" i="130" s="1"/>
  <c r="D82" i="130" s="1"/>
  <c r="AD27" i="130"/>
  <c r="AD19" i="130"/>
  <c r="AC13" i="130"/>
  <c r="AE30" i="137"/>
  <c r="AG30" i="137" s="1"/>
  <c r="G30" i="137"/>
  <c r="I30" i="137" s="1"/>
  <c r="S25" i="137"/>
  <c r="K25" i="137"/>
  <c r="M25" i="137" s="1"/>
  <c r="K23" i="137"/>
  <c r="M23" i="137" s="1"/>
  <c r="C23" i="137"/>
  <c r="E23" i="137" s="1"/>
  <c r="AA20" i="137"/>
  <c r="AC20" i="137" s="1"/>
  <c r="AA19" i="137"/>
  <c r="AC19" i="137" s="1"/>
  <c r="S19" i="137"/>
  <c r="U19" i="137" s="1"/>
  <c r="AE14" i="137"/>
  <c r="AG14" i="137" s="1"/>
  <c r="G14" i="137"/>
  <c r="I14" i="137" s="1"/>
  <c r="DL34" i="126"/>
  <c r="AY35" i="126"/>
  <c r="L32" i="128"/>
  <c r="W23" i="137"/>
  <c r="Y23" i="137" s="1"/>
  <c r="C20" i="137"/>
  <c r="E20" i="137" s="1"/>
  <c r="O25" i="137"/>
  <c r="Q25" i="137" s="1"/>
  <c r="AC3" i="130"/>
  <c r="DL21" i="126"/>
  <c r="G27" i="137"/>
  <c r="I27" i="137" s="1"/>
  <c r="EA36" i="126"/>
  <c r="AV31" i="66" s="1"/>
  <c r="M24" i="127"/>
  <c r="J12" i="128"/>
  <c r="AC14" i="130"/>
  <c r="AD28" i="130"/>
  <c r="AC17" i="130"/>
  <c r="C18" i="134"/>
  <c r="K29" i="134"/>
  <c r="M29" i="134" s="1"/>
  <c r="AC28" i="130"/>
  <c r="AD14" i="130"/>
  <c r="C29" i="134"/>
  <c r="K18" i="134"/>
  <c r="M18" i="134" s="1"/>
  <c r="G15" i="134"/>
  <c r="I15" i="134" s="1"/>
  <c r="AD17" i="130"/>
  <c r="O18" i="134"/>
  <c r="Q18" i="134" s="1"/>
  <c r="K15" i="134"/>
  <c r="M15" i="134" s="1"/>
  <c r="G18" i="134"/>
  <c r="I18" i="134" s="1"/>
  <c r="C15" i="134"/>
  <c r="E15" i="134" s="1"/>
  <c r="G24" i="134"/>
  <c r="I24" i="134" s="1"/>
  <c r="Z30" i="130"/>
  <c r="AB30" i="130" s="1"/>
  <c r="F40" i="130" s="1"/>
  <c r="I82" i="130" s="1"/>
  <c r="AC23" i="130"/>
  <c r="AI26" i="135"/>
  <c r="AK26" i="135" s="1"/>
  <c r="O26" i="135"/>
  <c r="Q26" i="135" s="1"/>
  <c r="AQ16" i="135"/>
  <c r="AS16" i="135" s="1"/>
  <c r="C16" i="135"/>
  <c r="E16" i="135" s="1"/>
  <c r="AM16" i="135"/>
  <c r="AO16" i="135" s="1"/>
  <c r="S26" i="135"/>
  <c r="U26" i="135" s="1"/>
  <c r="G26" i="135"/>
  <c r="I26" i="135" s="1"/>
  <c r="AE26" i="135"/>
  <c r="AG26" i="135" s="1"/>
  <c r="O16" i="135"/>
  <c r="Q16" i="135" s="1"/>
  <c r="S16" i="135"/>
  <c r="U16" i="135" s="1"/>
  <c r="AC15" i="130"/>
  <c r="AA26" i="135"/>
  <c r="W26" i="135"/>
  <c r="Y26" i="135" s="1"/>
  <c r="K16" i="135"/>
  <c r="M16" i="135" s="1"/>
  <c r="AE16" i="135"/>
  <c r="AG16" i="135" s="1"/>
  <c r="AI16" i="135"/>
  <c r="K26" i="135"/>
  <c r="M26" i="135" s="1"/>
  <c r="AD15" i="130"/>
  <c r="C26" i="135"/>
  <c r="E26" i="135" s="1"/>
  <c r="AM26" i="135"/>
  <c r="AO26" i="135" s="1"/>
  <c r="AA16" i="135"/>
  <c r="AC16" i="135" s="1"/>
  <c r="G16" i="135"/>
  <c r="I16" i="135" s="1"/>
  <c r="AA30" i="135"/>
  <c r="AC30" i="135" s="1"/>
  <c r="W30" i="135"/>
  <c r="Y30" i="135" s="1"/>
  <c r="AE30" i="135"/>
  <c r="AG30" i="135" s="1"/>
  <c r="C30" i="135"/>
  <c r="AM30" i="135"/>
  <c r="AO30" i="135" s="1"/>
  <c r="AC29" i="130"/>
  <c r="AI30" i="135"/>
  <c r="AK30" i="135" s="1"/>
  <c r="AQ30" i="135"/>
  <c r="AS30" i="135" s="1"/>
  <c r="AD29" i="130"/>
  <c r="E30" i="130"/>
  <c r="G30" i="130" s="1"/>
  <c r="F34" i="130" s="1"/>
  <c r="W26" i="131"/>
  <c r="Y26" i="131" s="1"/>
  <c r="S26" i="131"/>
  <c r="U26" i="131" s="1"/>
  <c r="K23" i="131"/>
  <c r="M23" i="131" s="1"/>
  <c r="AE26" i="131"/>
  <c r="AG26" i="131" s="1"/>
  <c r="AA26" i="131"/>
  <c r="AC26" i="131" s="1"/>
  <c r="G26" i="131"/>
  <c r="I26" i="131" s="1"/>
  <c r="C26" i="131"/>
  <c r="E26" i="131" s="1"/>
  <c r="AC25" i="130"/>
  <c r="K26" i="131"/>
  <c r="M26" i="131" s="1"/>
  <c r="AQ26" i="131"/>
  <c r="AS26" i="131" s="1"/>
  <c r="AD25" i="130"/>
  <c r="AM26" i="131"/>
  <c r="AI26" i="131"/>
  <c r="AK26" i="131" s="1"/>
  <c r="S23" i="131"/>
  <c r="U23" i="131" s="1"/>
  <c r="AM23" i="131"/>
  <c r="AO23" i="131" s="1"/>
  <c r="AI23" i="131"/>
  <c r="AK23" i="131" s="1"/>
  <c r="K30" i="130"/>
  <c r="P30" i="130" s="1"/>
  <c r="F36" i="130" s="1"/>
  <c r="E82" i="130" s="1"/>
  <c r="O25" i="134"/>
  <c r="Q25" i="134" s="1"/>
  <c r="G23" i="131"/>
  <c r="I23" i="131" s="1"/>
  <c r="AA23" i="131"/>
  <c r="AC23" i="131" s="1"/>
  <c r="AC18" i="130"/>
  <c r="C23" i="131"/>
  <c r="E23" i="131" s="1"/>
  <c r="W23" i="131"/>
  <c r="Y23" i="131" s="1"/>
  <c r="AQ23" i="131"/>
  <c r="AS23" i="131" s="1"/>
  <c r="O23" i="131"/>
  <c r="M22" i="130" s="1"/>
  <c r="N22" i="130" s="1"/>
  <c r="AD18" i="130"/>
  <c r="AI23" i="135"/>
  <c r="AK23" i="135" s="1"/>
  <c r="G23" i="135"/>
  <c r="I23" i="135" s="1"/>
  <c r="AE23" i="135"/>
  <c r="AG23" i="135" s="1"/>
  <c r="C25" i="134"/>
  <c r="G11" i="134"/>
  <c r="I11" i="134" s="1"/>
  <c r="AD22" i="130"/>
  <c r="K23" i="135"/>
  <c r="M23" i="135" s="1"/>
  <c r="W23" i="135"/>
  <c r="Y23" i="135" s="1"/>
  <c r="K11" i="134"/>
  <c r="M11" i="134" s="1"/>
  <c r="C11" i="134"/>
  <c r="AD20" i="130"/>
  <c r="AQ23" i="135"/>
  <c r="AS23" i="135" s="1"/>
  <c r="AM23" i="135"/>
  <c r="AO23" i="135" s="1"/>
  <c r="AC10" i="130"/>
  <c r="AC20" i="130"/>
  <c r="AC24" i="130"/>
  <c r="AA30" i="130"/>
  <c r="S32" i="134" s="1"/>
  <c r="C23" i="135"/>
  <c r="S23" i="135"/>
  <c r="U23" i="135" s="1"/>
  <c r="O23" i="135"/>
  <c r="Q23" i="135" s="1"/>
  <c r="K25" i="134"/>
  <c r="M25" i="134" s="1"/>
  <c r="AD10" i="130"/>
  <c r="F30" i="130"/>
  <c r="O32" i="136" s="1"/>
  <c r="AC22" i="130"/>
  <c r="AD24" i="130"/>
  <c r="AO37" i="126"/>
  <c r="EA11" i="126"/>
  <c r="AV6" i="66" s="1"/>
  <c r="J17" i="128"/>
  <c r="J25" i="128"/>
  <c r="DL12" i="126"/>
  <c r="DL29" i="126"/>
  <c r="DL28" i="126"/>
  <c r="DL22" i="126"/>
  <c r="DL8" i="126"/>
  <c r="M19" i="127"/>
  <c r="I13" i="121"/>
  <c r="H13" i="127" s="1"/>
  <c r="L13" i="127" s="1"/>
  <c r="I26" i="121"/>
  <c r="M26" i="121" s="1"/>
  <c r="D24" i="128"/>
  <c r="AL10" i="66" s="1"/>
  <c r="I11" i="122"/>
  <c r="G9" i="128"/>
  <c r="W31" i="66"/>
  <c r="F34" i="127"/>
  <c r="I30" i="122"/>
  <c r="I23" i="122"/>
  <c r="F9" i="128"/>
  <c r="I9" i="128" s="1"/>
  <c r="J11" i="122"/>
  <c r="DQ37" i="126"/>
  <c r="AA31" i="66"/>
  <c r="E38" i="128"/>
  <c r="BS35" i="126"/>
  <c r="K35" i="126"/>
  <c r="L30" i="121"/>
  <c r="L17" i="121"/>
  <c r="I11" i="127"/>
  <c r="K11" i="127" s="1"/>
  <c r="J31" i="122"/>
  <c r="J30" i="122"/>
  <c r="J29" i="122"/>
  <c r="I26" i="122"/>
  <c r="F23" i="128"/>
  <c r="I23" i="128" s="1"/>
  <c r="J23" i="122"/>
  <c r="I14" i="122"/>
  <c r="F13" i="128"/>
  <c r="H13" i="128" s="1"/>
  <c r="J10" i="122"/>
  <c r="F17" i="128"/>
  <c r="K17" i="128" s="1"/>
  <c r="N34" i="125"/>
  <c r="N36" i="125" s="1"/>
  <c r="DH35" i="126"/>
  <c r="DH37" i="126" s="1"/>
  <c r="EA32" i="126"/>
  <c r="AV19" i="66" s="1"/>
  <c r="AO35" i="126"/>
  <c r="DL17" i="126"/>
  <c r="DL14" i="126"/>
  <c r="DL36" i="126"/>
  <c r="DL31" i="126"/>
  <c r="EA20" i="126"/>
  <c r="AV23" i="66" s="1"/>
  <c r="EA19" i="126"/>
  <c r="AV22" i="66" s="1"/>
  <c r="EA18" i="126"/>
  <c r="AV25" i="66" s="1"/>
  <c r="DL16" i="126"/>
  <c r="EA15" i="126"/>
  <c r="AV24" i="66" s="1"/>
  <c r="DL13" i="126"/>
  <c r="E9" i="129"/>
  <c r="K9" i="129" s="1"/>
  <c r="E23" i="129"/>
  <c r="CW37" i="126"/>
  <c r="CC37" i="126"/>
  <c r="U37" i="126"/>
  <c r="BS37" i="126"/>
  <c r="DL10" i="126"/>
  <c r="EA34" i="126"/>
  <c r="AV10" i="66" s="1"/>
  <c r="EA31" i="126"/>
  <c r="AV30" i="66" s="1"/>
  <c r="EA30" i="126"/>
  <c r="AV29" i="66" s="1"/>
  <c r="DL30" i="126"/>
  <c r="DL26" i="126"/>
  <c r="EA24" i="126"/>
  <c r="AV17" i="66" s="1"/>
  <c r="DL20" i="126"/>
  <c r="DL19" i="126"/>
  <c r="DL15" i="126"/>
  <c r="EA14" i="126"/>
  <c r="AV20" i="66" s="1"/>
  <c r="EA13" i="126"/>
  <c r="AV13" i="66" s="1"/>
  <c r="EA12" i="126"/>
  <c r="AV12" i="66" s="1"/>
  <c r="Y26" i="130"/>
  <c r="X26" i="130" s="1"/>
  <c r="W30" i="130"/>
  <c r="Y30" i="130" s="1"/>
  <c r="F39" i="130" s="1"/>
  <c r="H82" i="130" s="1"/>
  <c r="V21" i="130"/>
  <c r="U21" i="130" s="1"/>
  <c r="T30" i="130"/>
  <c r="V30" i="130" s="1"/>
  <c r="F38" i="130" s="1"/>
  <c r="G82" i="130" s="1"/>
  <c r="DW35" i="126"/>
  <c r="DW37" i="126" s="1"/>
  <c r="EA29" i="126"/>
  <c r="AV9" i="66" s="1"/>
  <c r="EA28" i="126"/>
  <c r="AV8" i="66" s="1"/>
  <c r="EA27" i="126"/>
  <c r="AV18" i="66" s="1"/>
  <c r="EA23" i="126"/>
  <c r="AV16" i="66" s="1"/>
  <c r="EA17" i="126"/>
  <c r="AV14" i="66" s="1"/>
  <c r="EA16" i="126"/>
  <c r="AV21" i="66" s="1"/>
  <c r="DL11" i="126"/>
  <c r="EA10" i="126"/>
  <c r="AV5" i="66" s="1"/>
  <c r="DL9" i="126"/>
  <c r="EA9" i="126"/>
  <c r="AV11" i="66" s="1"/>
  <c r="N33" i="136"/>
  <c r="I15" i="121"/>
  <c r="M15" i="121" s="1"/>
  <c r="AE10" i="66"/>
  <c r="E4" i="129"/>
  <c r="K4" i="129" s="1"/>
  <c r="F37" i="122"/>
  <c r="M5" i="127"/>
  <c r="L29" i="121"/>
  <c r="I32" i="122"/>
  <c r="G24" i="128"/>
  <c r="I19" i="122"/>
  <c r="F26" i="128"/>
  <c r="H26" i="128" s="1"/>
  <c r="I15" i="122"/>
  <c r="F29" i="128"/>
  <c r="H29" i="128" s="1"/>
  <c r="J15" i="122"/>
  <c r="J7" i="122"/>
  <c r="F19" i="128"/>
  <c r="H19" i="128" s="1"/>
  <c r="F25" i="128"/>
  <c r="I25" i="128" s="1"/>
  <c r="J25" i="122"/>
  <c r="L21" i="121"/>
  <c r="J17" i="127"/>
  <c r="K17" i="127" s="1"/>
  <c r="L20" i="121"/>
  <c r="J29" i="127"/>
  <c r="K29" i="127" s="1"/>
  <c r="L22" i="121"/>
  <c r="L19" i="121"/>
  <c r="I5" i="127"/>
  <c r="K5" i="127" s="1"/>
  <c r="L18" i="121"/>
  <c r="L16" i="121"/>
  <c r="J26" i="127"/>
  <c r="K26" i="127" s="1"/>
  <c r="L15" i="121"/>
  <c r="B13" i="125"/>
  <c r="J22" i="122"/>
  <c r="F14" i="128"/>
  <c r="H14" i="128" s="1"/>
  <c r="F15" i="128"/>
  <c r="I15" i="128" s="1"/>
  <c r="F21" i="128"/>
  <c r="I21" i="128" s="1"/>
  <c r="J17" i="122"/>
  <c r="I18" i="121"/>
  <c r="M18" i="121" s="1"/>
  <c r="L14" i="121"/>
  <c r="J4" i="127"/>
  <c r="K4" i="127" s="1"/>
  <c r="I10" i="122"/>
  <c r="G17" i="128"/>
  <c r="I27" i="127"/>
  <c r="N27" i="127" s="1"/>
  <c r="I7" i="127"/>
  <c r="K7" i="127" s="1"/>
  <c r="L28" i="121"/>
  <c r="J30" i="127"/>
  <c r="K30" i="127" s="1"/>
  <c r="L31" i="121"/>
  <c r="I18" i="127"/>
  <c r="L18" i="127" s="1"/>
  <c r="I6" i="122"/>
  <c r="J6" i="122"/>
  <c r="J25" i="127"/>
  <c r="K25" i="127" s="1"/>
  <c r="J9" i="127"/>
  <c r="L7" i="121"/>
  <c r="I20" i="127"/>
  <c r="N20" i="127" s="1"/>
  <c r="L32" i="121"/>
  <c r="I15" i="127"/>
  <c r="L26" i="121"/>
  <c r="J24" i="127"/>
  <c r="K24" i="127" s="1"/>
  <c r="L25" i="121"/>
  <c r="J22" i="127"/>
  <c r="K22" i="127" s="1"/>
  <c r="L24" i="121"/>
  <c r="J10" i="127"/>
  <c r="K10" i="127" s="1"/>
  <c r="L23" i="121"/>
  <c r="J8" i="127"/>
  <c r="K8" i="127" s="1"/>
  <c r="L33" i="121"/>
  <c r="I14" i="127"/>
  <c r="N14" i="127" s="1"/>
  <c r="I14" i="121"/>
  <c r="H4" i="127" s="1"/>
  <c r="L4" i="127" s="1"/>
  <c r="L13" i="121"/>
  <c r="J13" i="127"/>
  <c r="K13" i="127" s="1"/>
  <c r="L10" i="121"/>
  <c r="J28" i="127"/>
  <c r="K28" i="127" s="1"/>
  <c r="L9" i="121"/>
  <c r="J21" i="127"/>
  <c r="K21" i="127" s="1"/>
  <c r="I29" i="122"/>
  <c r="G12" i="128"/>
  <c r="H12" i="128" s="1"/>
  <c r="I25" i="122"/>
  <c r="G25" i="128"/>
  <c r="J21" i="122"/>
  <c r="I8" i="122"/>
  <c r="F18" i="128"/>
  <c r="I18" i="128" s="1"/>
  <c r="F7" i="128"/>
  <c r="K7" i="128" s="1"/>
  <c r="F24" i="128"/>
  <c r="AE28" i="66"/>
  <c r="E22" i="129"/>
  <c r="K22" i="129" s="1"/>
  <c r="D14" i="128"/>
  <c r="AL17" i="66" s="1"/>
  <c r="K9" i="122"/>
  <c r="D26" i="128"/>
  <c r="AL7" i="66" s="1"/>
  <c r="J16" i="128"/>
  <c r="I17" i="122"/>
  <c r="D5" i="128"/>
  <c r="AL25" i="66" s="1"/>
  <c r="I12" i="122"/>
  <c r="F20" i="128"/>
  <c r="I20" i="128" s="1"/>
  <c r="L12" i="121"/>
  <c r="L11" i="121"/>
  <c r="I18" i="122"/>
  <c r="J8" i="122"/>
  <c r="H30" i="127"/>
  <c r="L30" i="127" s="1"/>
  <c r="M28" i="121"/>
  <c r="B31" i="125"/>
  <c r="I17" i="121"/>
  <c r="M17" i="121" s="1"/>
  <c r="I11" i="121"/>
  <c r="AE25" i="66"/>
  <c r="G30" i="127"/>
  <c r="I5" i="128"/>
  <c r="N29" i="127"/>
  <c r="AE23" i="66"/>
  <c r="K6" i="127"/>
  <c r="E20" i="129"/>
  <c r="K20" i="129" s="1"/>
  <c r="AE7" i="66"/>
  <c r="I8" i="128"/>
  <c r="I32" i="121"/>
  <c r="AE17" i="66"/>
  <c r="E17" i="129"/>
  <c r="K17" i="129" s="1"/>
  <c r="I21" i="121"/>
  <c r="I12" i="121"/>
  <c r="D25" i="128"/>
  <c r="AL18" i="66" s="1"/>
  <c r="AE26" i="66"/>
  <c r="G9" i="127"/>
  <c r="B31" i="124"/>
  <c r="D19" i="128"/>
  <c r="AL11" i="66" s="1"/>
  <c r="I28" i="128"/>
  <c r="H5" i="128"/>
  <c r="J30" i="128"/>
  <c r="B34" i="121"/>
  <c r="B36" i="121" s="1"/>
  <c r="I12" i="128"/>
  <c r="K23" i="127"/>
  <c r="J22" i="128"/>
  <c r="D20" i="128"/>
  <c r="AL20" i="66" s="1"/>
  <c r="D9" i="128"/>
  <c r="AL13" i="66" s="1"/>
  <c r="B35" i="129"/>
  <c r="D29" i="128"/>
  <c r="AL14" i="66" s="1"/>
  <c r="E17" i="127"/>
  <c r="AJ15" i="66" s="1"/>
  <c r="E29" i="127"/>
  <c r="AJ7" i="66" s="1"/>
  <c r="D11" i="128"/>
  <c r="AL26" i="66" s="1"/>
  <c r="D4" i="128"/>
  <c r="AL24" i="66" s="1"/>
  <c r="B10" i="127"/>
  <c r="M10" i="127" s="1"/>
  <c r="B8" i="125"/>
  <c r="B7" i="125"/>
  <c r="J19" i="128"/>
  <c r="E9" i="127"/>
  <c r="AJ29" i="66" s="1"/>
  <c r="E8" i="127"/>
  <c r="AJ17" i="66" s="1"/>
  <c r="M28" i="127"/>
  <c r="E5" i="127"/>
  <c r="AJ23" i="66" s="1"/>
  <c r="B18" i="125"/>
  <c r="B22" i="125"/>
  <c r="B20" i="125"/>
  <c r="F34" i="121"/>
  <c r="F36" i="121" s="1"/>
  <c r="I16" i="128"/>
  <c r="B33" i="125"/>
  <c r="E24" i="127"/>
  <c r="AJ18" i="66" s="1"/>
  <c r="B10" i="125"/>
  <c r="J23" i="128"/>
  <c r="J7" i="128"/>
  <c r="B17" i="125"/>
  <c r="B21" i="125"/>
  <c r="E18" i="127"/>
  <c r="AJ19" i="66" s="1"/>
  <c r="E23" i="127"/>
  <c r="AJ8" i="66" s="1"/>
  <c r="E19" i="127"/>
  <c r="AJ21" i="66" s="1"/>
  <c r="B14" i="125"/>
  <c r="B19" i="125"/>
  <c r="B25" i="125"/>
  <c r="I4" i="128"/>
  <c r="M29" i="121"/>
  <c r="H9" i="127"/>
  <c r="L9" i="127" s="1"/>
  <c r="M16" i="121"/>
  <c r="H26" i="127"/>
  <c r="L26" i="127" s="1"/>
  <c r="E27" i="127"/>
  <c r="AJ22" i="66" s="1"/>
  <c r="B31" i="128"/>
  <c r="J6" i="128"/>
  <c r="H21" i="127"/>
  <c r="L21" i="127" s="1"/>
  <c r="M9" i="121"/>
  <c r="E7" i="127"/>
  <c r="AJ30" i="66" s="1"/>
  <c r="D28" i="128"/>
  <c r="AL6" i="66" s="1"/>
  <c r="E15" i="129"/>
  <c r="K15" i="129" s="1"/>
  <c r="AE14" i="66"/>
  <c r="D21" i="128"/>
  <c r="AL22" i="66" s="1"/>
  <c r="E21" i="127"/>
  <c r="AJ5" i="66" s="1"/>
  <c r="D8" i="128"/>
  <c r="AL16" i="66" s="1"/>
  <c r="K8" i="128"/>
  <c r="AE9" i="66"/>
  <c r="C31" i="127"/>
  <c r="E4" i="127"/>
  <c r="AJ24" i="66" s="1"/>
  <c r="B25" i="127"/>
  <c r="M25" i="127" s="1"/>
  <c r="C12" i="129"/>
  <c r="B16" i="125"/>
  <c r="E13" i="127"/>
  <c r="AJ20" i="66" s="1"/>
  <c r="B28" i="125"/>
  <c r="M24" i="121"/>
  <c r="H10" i="127"/>
  <c r="L10" i="127" s="1"/>
  <c r="B11" i="127"/>
  <c r="M11" i="127" s="1"/>
  <c r="C28" i="129"/>
  <c r="I28" i="129" s="1"/>
  <c r="B15" i="125"/>
  <c r="B13" i="127"/>
  <c r="M13" i="127" s="1"/>
  <c r="C22" i="129"/>
  <c r="I22" i="129" s="1"/>
  <c r="B12" i="125"/>
  <c r="B32" i="123"/>
  <c r="B34" i="123" s="1"/>
  <c r="AF31" i="66" s="1"/>
  <c r="B12" i="129"/>
  <c r="B12" i="127"/>
  <c r="M12" i="127" s="1"/>
  <c r="J20" i="128"/>
  <c r="J5" i="128"/>
  <c r="I17" i="129"/>
  <c r="C23" i="129"/>
  <c r="I23" i="129" s="1"/>
  <c r="E28" i="127"/>
  <c r="AJ6" i="66" s="1"/>
  <c r="E20" i="127"/>
  <c r="AJ4" i="66" s="1"/>
  <c r="B11" i="129"/>
  <c r="G21" i="127"/>
  <c r="B8" i="127"/>
  <c r="M8" i="127" s="1"/>
  <c r="J26" i="128"/>
  <c r="B15" i="127"/>
  <c r="M15" i="127" s="1"/>
  <c r="C30" i="129"/>
  <c r="I30" i="129" s="1"/>
  <c r="B26" i="125"/>
  <c r="B17" i="127"/>
  <c r="M17" i="127" s="1"/>
  <c r="I16" i="129"/>
  <c r="I33" i="121"/>
  <c r="C34" i="129"/>
  <c r="I34" i="129" s="1"/>
  <c r="B7" i="127"/>
  <c r="M7" i="127" s="1"/>
  <c r="C33" i="129"/>
  <c r="I33" i="129" s="1"/>
  <c r="B9" i="127"/>
  <c r="M9" i="127" s="1"/>
  <c r="B27" i="125"/>
  <c r="I23" i="121"/>
  <c r="I22" i="121"/>
  <c r="E26" i="127"/>
  <c r="AJ14" i="66" s="1"/>
  <c r="E12" i="127"/>
  <c r="AJ13" i="66" s="1"/>
  <c r="B9" i="125"/>
  <c r="I8" i="121"/>
  <c r="B20" i="127"/>
  <c r="M20" i="127" s="1"/>
  <c r="C4" i="129"/>
  <c r="D4" i="129" s="1"/>
  <c r="AH4" i="66" s="1"/>
  <c r="D6" i="128"/>
  <c r="AL27" i="66" s="1"/>
  <c r="D16" i="128"/>
  <c r="AL23" i="66" s="1"/>
  <c r="E33" i="122"/>
  <c r="G18" i="127"/>
  <c r="G26" i="127"/>
  <c r="K16" i="127"/>
  <c r="N16" i="127"/>
  <c r="B22" i="127"/>
  <c r="M22" i="127" s="1"/>
  <c r="N13" i="127"/>
  <c r="J15" i="128"/>
  <c r="C6" i="129"/>
  <c r="I6" i="129" s="1"/>
  <c r="I15" i="129"/>
  <c r="B26" i="127"/>
  <c r="M26" i="127" s="1"/>
  <c r="D10" i="128"/>
  <c r="AL29" i="66" s="1"/>
  <c r="J10" i="128"/>
  <c r="AE24" i="66"/>
  <c r="E27" i="129"/>
  <c r="K27" i="129" s="1"/>
  <c r="B6" i="127"/>
  <c r="M6" i="127" s="1"/>
  <c r="J21" i="128"/>
  <c r="D15" i="128"/>
  <c r="AL19" i="66" s="1"/>
  <c r="E6" i="129"/>
  <c r="K6" i="129" s="1"/>
  <c r="C10" i="129"/>
  <c r="I10" i="129" s="1"/>
  <c r="H34" i="121"/>
  <c r="H36" i="121" s="1"/>
  <c r="I30" i="121"/>
  <c r="H7" i="127" s="1"/>
  <c r="B30" i="127"/>
  <c r="M30" i="127" s="1"/>
  <c r="C9" i="129"/>
  <c r="I9" i="129" s="1"/>
  <c r="B24" i="125"/>
  <c r="B11" i="125"/>
  <c r="I10" i="121"/>
  <c r="I7" i="121"/>
  <c r="D22" i="128"/>
  <c r="AL4" i="66" s="1"/>
  <c r="B26" i="129"/>
  <c r="B21" i="127"/>
  <c r="M21" i="127" s="1"/>
  <c r="K30" i="128"/>
  <c r="J24" i="128"/>
  <c r="E10" i="129"/>
  <c r="K10" i="129" s="1"/>
  <c r="I19" i="129"/>
  <c r="E30" i="127"/>
  <c r="AJ9" i="66" s="1"/>
  <c r="N28" i="127"/>
  <c r="D34" i="121"/>
  <c r="D36" i="121" s="1"/>
  <c r="B23" i="125"/>
  <c r="I20" i="121"/>
  <c r="E16" i="127"/>
  <c r="AJ12" i="66" s="1"/>
  <c r="B31" i="129"/>
  <c r="E12" i="129"/>
  <c r="K12" i="129" s="1"/>
  <c r="AE11" i="66"/>
  <c r="AE4" i="66"/>
  <c r="B29" i="127"/>
  <c r="M29" i="127" s="1"/>
  <c r="N25" i="127"/>
  <c r="K22" i="128"/>
  <c r="I11" i="128"/>
  <c r="H11" i="128"/>
  <c r="I7" i="129"/>
  <c r="C25" i="129"/>
  <c r="I25" i="129" s="1"/>
  <c r="I29" i="129"/>
  <c r="D32" i="123"/>
  <c r="D34" i="123" s="1"/>
  <c r="D36" i="123" s="1"/>
  <c r="E14" i="127"/>
  <c r="AJ10" i="66" s="1"/>
  <c r="E6" i="127"/>
  <c r="AJ16" i="66" s="1"/>
  <c r="N6" i="127"/>
  <c r="C27" i="129"/>
  <c r="D27" i="129" s="1"/>
  <c r="AH24" i="66" s="1"/>
  <c r="B4" i="127"/>
  <c r="M4" i="127" s="1"/>
  <c r="E25" i="127"/>
  <c r="AJ11" i="66" s="1"/>
  <c r="D18" i="128"/>
  <c r="AL5" i="66" s="1"/>
  <c r="AE16" i="66"/>
  <c r="B18" i="127"/>
  <c r="M18" i="127" s="1"/>
  <c r="N12" i="127"/>
  <c r="K10" i="128"/>
  <c r="J11" i="128"/>
  <c r="F21" i="129"/>
  <c r="I20" i="129"/>
  <c r="E22" i="127"/>
  <c r="AJ26" i="66" s="1"/>
  <c r="B35" i="125"/>
  <c r="B32" i="125"/>
  <c r="C34" i="121"/>
  <c r="C36" i="121" s="1"/>
  <c r="E15" i="127"/>
  <c r="AJ27" i="66" s="1"/>
  <c r="B30" i="125"/>
  <c r="B29" i="125"/>
  <c r="I27" i="121"/>
  <c r="I25" i="121"/>
  <c r="I19" i="121"/>
  <c r="C24" i="129"/>
  <c r="I24" i="129" s="1"/>
  <c r="B27" i="127"/>
  <c r="M27" i="127" s="1"/>
  <c r="E11" i="127"/>
  <c r="AJ25" i="66" s="1"/>
  <c r="B16" i="127"/>
  <c r="M16" i="127" s="1"/>
  <c r="I13" i="129"/>
  <c r="D27" i="128"/>
  <c r="AL9" i="66" s="1"/>
  <c r="B23" i="127"/>
  <c r="M23" i="127" s="1"/>
  <c r="N22" i="127"/>
  <c r="D10" i="127"/>
  <c r="D31" i="127" s="1"/>
  <c r="J18" i="128"/>
  <c r="K27" i="128"/>
  <c r="K4" i="128"/>
  <c r="F31" i="127"/>
  <c r="N19" i="127"/>
  <c r="J29" i="128"/>
  <c r="H22" i="128"/>
  <c r="H16" i="128"/>
  <c r="J9" i="128"/>
  <c r="I14" i="129"/>
  <c r="F35" i="129"/>
  <c r="N21" i="127"/>
  <c r="N30" i="127"/>
  <c r="M14" i="127"/>
  <c r="N8" i="127"/>
  <c r="H27" i="128"/>
  <c r="J14" i="128"/>
  <c r="H4" i="128"/>
  <c r="I5" i="129"/>
  <c r="N17" i="127"/>
  <c r="N4" i="127"/>
  <c r="H28" i="128"/>
  <c r="J27" i="128"/>
  <c r="H8" i="128"/>
  <c r="K6" i="128"/>
  <c r="J4" i="128"/>
  <c r="N9" i="127"/>
  <c r="J13" i="128"/>
  <c r="F11" i="129"/>
  <c r="I8" i="129"/>
  <c r="I18" i="129"/>
  <c r="N24" i="127"/>
  <c r="J28" i="128"/>
  <c r="D13" i="128"/>
  <c r="AL21" i="66" s="1"/>
  <c r="J8" i="128"/>
  <c r="F31" i="129"/>
  <c r="Q18" i="137"/>
  <c r="AC16" i="137"/>
  <c r="Y15" i="137"/>
  <c r="AC13" i="137"/>
  <c r="AJ8" i="137"/>
  <c r="AK8" i="137" s="1"/>
  <c r="E8" i="137"/>
  <c r="M8" i="137"/>
  <c r="E10" i="137"/>
  <c r="AJ16" i="137"/>
  <c r="AK16" i="137" s="1"/>
  <c r="E16" i="137"/>
  <c r="I18" i="137"/>
  <c r="I16" i="137"/>
  <c r="Q16" i="137"/>
  <c r="M15" i="137"/>
  <c r="AJ15" i="137"/>
  <c r="AK15" i="137" s="1"/>
  <c r="E15" i="137"/>
  <c r="U8" i="137"/>
  <c r="AC8" i="137"/>
  <c r="M6" i="137"/>
  <c r="AJ6" i="137"/>
  <c r="AK6" i="137" s="1"/>
  <c r="E6" i="137"/>
  <c r="M18" i="137"/>
  <c r="Y18" i="137"/>
  <c r="AC15" i="137"/>
  <c r="U15" i="137"/>
  <c r="Y28" i="137"/>
  <c r="AJ13" i="137"/>
  <c r="AK13" i="137" s="1"/>
  <c r="E13" i="137"/>
  <c r="I8" i="137"/>
  <c r="AC6" i="137"/>
  <c r="U6" i="137"/>
  <c r="U18" i="137"/>
  <c r="U16" i="137"/>
  <c r="M16" i="137"/>
  <c r="I15" i="137"/>
  <c r="Q15" i="137"/>
  <c r="Y14" i="137"/>
  <c r="M13" i="137"/>
  <c r="Y8" i="137"/>
  <c r="AG8" i="137"/>
  <c r="U29" i="137"/>
  <c r="AJ22" i="137"/>
  <c r="AK22" i="137" s="1"/>
  <c r="E22" i="137"/>
  <c r="AG28" i="137"/>
  <c r="U13" i="137"/>
  <c r="Y7" i="137"/>
  <c r="Q7" i="137"/>
  <c r="AJ18" i="137"/>
  <c r="AK18" i="137" s="1"/>
  <c r="E18" i="137"/>
  <c r="M11" i="137"/>
  <c r="AG9" i="137"/>
  <c r="AG5" i="137"/>
  <c r="I5" i="137"/>
  <c r="Y4" i="137"/>
  <c r="Y6" i="137"/>
  <c r="AC29" i="137"/>
  <c r="U22" i="137"/>
  <c r="AG16" i="137"/>
  <c r="AH65" i="137"/>
  <c r="AH33" i="137"/>
  <c r="Y13" i="137"/>
  <c r="AJ12" i="137"/>
  <c r="AK12" i="137" s="1"/>
  <c r="E12" i="137"/>
  <c r="AC12" i="137"/>
  <c r="Q8" i="137"/>
  <c r="AG7" i="137"/>
  <c r="U11" i="137"/>
  <c r="AJ9" i="137"/>
  <c r="AK9" i="137" s="1"/>
  <c r="E9" i="137"/>
  <c r="Y9" i="137"/>
  <c r="AJ5" i="137"/>
  <c r="AK5" i="137" s="1"/>
  <c r="E5" i="137"/>
  <c r="Y5" i="137"/>
  <c r="U4" i="137"/>
  <c r="M4" i="137"/>
  <c r="I13" i="137"/>
  <c r="AC11" i="137"/>
  <c r="AC18" i="137"/>
  <c r="Q29" i="137"/>
  <c r="M22" i="137"/>
  <c r="I29" i="137"/>
  <c r="AC28" i="137"/>
  <c r="Q22" i="137"/>
  <c r="AJ28" i="137"/>
  <c r="AK28" i="137" s="1"/>
  <c r="E28" i="137"/>
  <c r="Y12" i="137"/>
  <c r="I12" i="137"/>
  <c r="Q12" i="137"/>
  <c r="M7" i="137"/>
  <c r="AJ7" i="137"/>
  <c r="AK7" i="137" s="1"/>
  <c r="E7" i="137"/>
  <c r="I11" i="137"/>
  <c r="Q11" i="137"/>
  <c r="U9" i="137"/>
  <c r="M9" i="137"/>
  <c r="U5" i="137"/>
  <c r="M5" i="137"/>
  <c r="AC4" i="137"/>
  <c r="Q6" i="137"/>
  <c r="AG29" i="137"/>
  <c r="I28" i="137"/>
  <c r="M29" i="137"/>
  <c r="Y22" i="137"/>
  <c r="AG18" i="137"/>
  <c r="U28" i="137"/>
  <c r="AG13" i="137"/>
  <c r="M12" i="137"/>
  <c r="I7" i="137"/>
  <c r="Y16" i="137"/>
  <c r="E14" i="137"/>
  <c r="AJ11" i="137"/>
  <c r="AK11" i="137" s="1"/>
  <c r="E11" i="137"/>
  <c r="I9" i="137"/>
  <c r="AJ4" i="137"/>
  <c r="AK4" i="137" s="1"/>
  <c r="E4" i="137"/>
  <c r="AG4" i="137"/>
  <c r="AC22" i="137"/>
  <c r="E29" i="137"/>
  <c r="AJ29" i="137"/>
  <c r="AK29" i="137" s="1"/>
  <c r="Y29" i="137"/>
  <c r="M28" i="137"/>
  <c r="AG22" i="137"/>
  <c r="I22" i="137"/>
  <c r="AG15" i="137"/>
  <c r="Q28" i="137"/>
  <c r="Q13" i="137"/>
  <c r="U12" i="137"/>
  <c r="AG12" i="137"/>
  <c r="AC7" i="137"/>
  <c r="U7" i="137"/>
  <c r="Y11" i="137"/>
  <c r="AG11" i="137"/>
  <c r="Q9" i="137"/>
  <c r="AC9" i="137"/>
  <c r="Q5" i="137"/>
  <c r="AC5" i="137"/>
  <c r="I4" i="137"/>
  <c r="Q4" i="137"/>
  <c r="Y10" i="137"/>
  <c r="AG6" i="137"/>
  <c r="I6" i="137"/>
  <c r="AG29" i="135"/>
  <c r="AS25" i="135"/>
  <c r="I12" i="135"/>
  <c r="AO28" i="135"/>
  <c r="M30" i="134"/>
  <c r="U17" i="133"/>
  <c r="AG9" i="132"/>
  <c r="Y29" i="131"/>
  <c r="M16" i="132"/>
  <c r="M8" i="132"/>
  <c r="Y21" i="132"/>
  <c r="AK21" i="132"/>
  <c r="M17" i="132"/>
  <c r="AG24" i="131"/>
  <c r="I24" i="131"/>
  <c r="M5" i="131"/>
  <c r="I29" i="135"/>
  <c r="I22" i="135"/>
  <c r="AO25" i="135"/>
  <c r="Q21" i="135"/>
  <c r="AG14" i="135"/>
  <c r="Y12" i="135"/>
  <c r="Y11" i="135"/>
  <c r="AV28" i="135"/>
  <c r="AW28" i="135" s="1"/>
  <c r="E28" i="135"/>
  <c r="AO24" i="135"/>
  <c r="T26" i="134"/>
  <c r="U26" i="134" s="1"/>
  <c r="E26" i="134"/>
  <c r="AG10" i="135"/>
  <c r="I8" i="135"/>
  <c r="AC7" i="135"/>
  <c r="T6" i="134"/>
  <c r="U6" i="134" s="1"/>
  <c r="E6" i="134"/>
  <c r="Q20" i="133"/>
  <c r="M20" i="133"/>
  <c r="E20" i="133"/>
  <c r="U15" i="133"/>
  <c r="U12" i="133"/>
  <c r="AC11" i="133"/>
  <c r="U9" i="133"/>
  <c r="U7" i="133"/>
  <c r="U5" i="133"/>
  <c r="AC13" i="133"/>
  <c r="Q18" i="132"/>
  <c r="AG13" i="132"/>
  <c r="U11" i="132"/>
  <c r="I7" i="132"/>
  <c r="AG5" i="132"/>
  <c r="M22" i="132"/>
  <c r="I15" i="132"/>
  <c r="AN20" i="132"/>
  <c r="AO20" i="132" s="1"/>
  <c r="E20" i="132"/>
  <c r="AK16" i="132"/>
  <c r="Y14" i="132"/>
  <c r="M12" i="132"/>
  <c r="Q8" i="132"/>
  <c r="M29" i="132"/>
  <c r="AK25" i="132"/>
  <c r="I30" i="132"/>
  <c r="AV28" i="131"/>
  <c r="AW28" i="131" s="1"/>
  <c r="E28" i="131"/>
  <c r="O27" i="130"/>
  <c r="AC24" i="131"/>
  <c r="M13" i="131"/>
  <c r="M11" i="131"/>
  <c r="M9" i="131"/>
  <c r="M7" i="131"/>
  <c r="AC28" i="131"/>
  <c r="I14" i="131"/>
  <c r="AS10" i="131"/>
  <c r="AS8" i="131"/>
  <c r="I6" i="131"/>
  <c r="Q29" i="132"/>
  <c r="U20" i="132"/>
  <c r="AC13" i="132"/>
  <c r="AK9" i="132"/>
  <c r="AE4" i="135"/>
  <c r="W4" i="135"/>
  <c r="G4" i="135"/>
  <c r="AQ4" i="135"/>
  <c r="AI4" i="135"/>
  <c r="K4" i="135"/>
  <c r="AA4" i="135"/>
  <c r="O4" i="135"/>
  <c r="AM4" i="135"/>
  <c r="S4" i="135"/>
  <c r="C4" i="135"/>
  <c r="AK12" i="131"/>
  <c r="Q7" i="132"/>
  <c r="Y29" i="135"/>
  <c r="AC22" i="135"/>
  <c r="Y22" i="135"/>
  <c r="AV25" i="135"/>
  <c r="AW25" i="135" s="1"/>
  <c r="E25" i="135"/>
  <c r="AK21" i="135"/>
  <c r="I21" i="135"/>
  <c r="AG21" i="135"/>
  <c r="AV17" i="135"/>
  <c r="AW17" i="135" s="1"/>
  <c r="E17" i="135"/>
  <c r="AC14" i="135"/>
  <c r="AO12" i="135"/>
  <c r="Q12" i="135"/>
  <c r="AO11" i="135"/>
  <c r="Q11" i="135"/>
  <c r="U11" i="135"/>
  <c r="M28" i="135"/>
  <c r="AK28" i="135"/>
  <c r="Q28" i="135"/>
  <c r="AS24" i="135"/>
  <c r="AK24" i="135"/>
  <c r="U20" i="135"/>
  <c r="I20" i="135"/>
  <c r="AG20" i="135"/>
  <c r="AO10" i="135"/>
  <c r="Q30" i="134"/>
  <c r="M27" i="134"/>
  <c r="M26" i="134"/>
  <c r="AO9" i="135"/>
  <c r="AS9" i="135"/>
  <c r="AS8" i="135"/>
  <c r="E8" i="135"/>
  <c r="AV8" i="135"/>
  <c r="AW8" i="135" s="1"/>
  <c r="Y7" i="135"/>
  <c r="AS7" i="135"/>
  <c r="E7" i="135"/>
  <c r="AV7" i="135"/>
  <c r="AW7" i="135" s="1"/>
  <c r="AS6" i="135"/>
  <c r="AO5" i="135"/>
  <c r="AS5" i="135"/>
  <c r="E5" i="135"/>
  <c r="AV5" i="135"/>
  <c r="AW5" i="135" s="1"/>
  <c r="T27" i="134"/>
  <c r="U27" i="134" s="1"/>
  <c r="E27" i="134"/>
  <c r="M17" i="134"/>
  <c r="Q9" i="134"/>
  <c r="T8" i="134"/>
  <c r="U8" i="134" s="1"/>
  <c r="E8" i="134"/>
  <c r="M5" i="134"/>
  <c r="I5" i="134"/>
  <c r="I17" i="133"/>
  <c r="Q17" i="133"/>
  <c r="I16" i="133"/>
  <c r="Q16" i="133"/>
  <c r="I18" i="133"/>
  <c r="Q18" i="133"/>
  <c r="Q15" i="133"/>
  <c r="I14" i="133"/>
  <c r="Q14" i="133"/>
  <c r="I12" i="133"/>
  <c r="Q12" i="133"/>
  <c r="I11" i="133"/>
  <c r="Q11" i="133"/>
  <c r="Q10" i="133"/>
  <c r="Q9" i="133"/>
  <c r="Q8" i="133"/>
  <c r="I7" i="133"/>
  <c r="Q7" i="133"/>
  <c r="I6" i="133"/>
  <c r="Q6" i="133"/>
  <c r="I5" i="133"/>
  <c r="I13" i="133"/>
  <c r="Q13" i="133"/>
  <c r="U26" i="132"/>
  <c r="AC18" i="132"/>
  <c r="M13" i="132"/>
  <c r="E13" i="132"/>
  <c r="AN13" i="132"/>
  <c r="AO13" i="132" s="1"/>
  <c r="Q11" i="132"/>
  <c r="M9" i="132"/>
  <c r="E9" i="132"/>
  <c r="AN9" i="132"/>
  <c r="AO9" i="132" s="1"/>
  <c r="Y7" i="132"/>
  <c r="AK7" i="132"/>
  <c r="M5" i="132"/>
  <c r="E5" i="132"/>
  <c r="AN5" i="132"/>
  <c r="AO5" i="132" s="1"/>
  <c r="AG22" i="132"/>
  <c r="I22" i="132"/>
  <c r="AC22" i="132"/>
  <c r="E19" i="132"/>
  <c r="AN19" i="132"/>
  <c r="AO19" i="132" s="1"/>
  <c r="Q15" i="132"/>
  <c r="AK15" i="132"/>
  <c r="Y23" i="132"/>
  <c r="Q23" i="132"/>
  <c r="AK23" i="132"/>
  <c r="AG16" i="132"/>
  <c r="I16" i="132"/>
  <c r="AC16" i="132"/>
  <c r="U14" i="132"/>
  <c r="AG12" i="132"/>
  <c r="AC12" i="132"/>
  <c r="U10" i="132"/>
  <c r="AG8" i="132"/>
  <c r="I8" i="132"/>
  <c r="AC8" i="132"/>
  <c r="U6" i="132"/>
  <c r="U29" i="132"/>
  <c r="AG21" i="132"/>
  <c r="Q28" i="131"/>
  <c r="M27" i="130"/>
  <c r="N27" i="130" s="1"/>
  <c r="AG25" i="132"/>
  <c r="I17" i="132"/>
  <c r="AC17" i="132"/>
  <c r="AN30" i="132"/>
  <c r="AO30" i="132" s="1"/>
  <c r="E30" i="132"/>
  <c r="U28" i="131"/>
  <c r="AV24" i="131"/>
  <c r="AW24" i="131" s="1"/>
  <c r="E24" i="131"/>
  <c r="O23" i="130"/>
  <c r="Y24" i="131"/>
  <c r="AS24" i="131"/>
  <c r="I20" i="131"/>
  <c r="AC20" i="131"/>
  <c r="E13" i="131"/>
  <c r="AV13" i="131"/>
  <c r="AW13" i="131" s="1"/>
  <c r="O12" i="130"/>
  <c r="E11" i="131"/>
  <c r="AV11" i="131"/>
  <c r="AW11" i="131" s="1"/>
  <c r="O10" i="130"/>
  <c r="AS9" i="131"/>
  <c r="E9" i="131"/>
  <c r="AV9" i="131"/>
  <c r="AW9" i="131" s="1"/>
  <c r="O8" i="130"/>
  <c r="Y9" i="131"/>
  <c r="AS7" i="131"/>
  <c r="Y7" i="131"/>
  <c r="AS5" i="131"/>
  <c r="AV5" i="131"/>
  <c r="AW5" i="131" s="1"/>
  <c r="O4" i="130"/>
  <c r="E5" i="131"/>
  <c r="I29" i="134"/>
  <c r="Y13" i="131"/>
  <c r="Y30" i="132"/>
  <c r="AO28" i="131"/>
  <c r="L30" i="130"/>
  <c r="AU4" i="131"/>
  <c r="AC14" i="131"/>
  <c r="E14" i="131"/>
  <c r="AV14" i="131"/>
  <c r="AW14" i="131" s="1"/>
  <c r="O13" i="130"/>
  <c r="Y14" i="131"/>
  <c r="AC12" i="131"/>
  <c r="E12" i="131"/>
  <c r="AV12" i="131"/>
  <c r="AW12" i="131" s="1"/>
  <c r="O11" i="130"/>
  <c r="AC10" i="131"/>
  <c r="E10" i="131"/>
  <c r="AV10" i="131"/>
  <c r="AW10" i="131" s="1"/>
  <c r="O9" i="130"/>
  <c r="Y10" i="131"/>
  <c r="AC8" i="131"/>
  <c r="E8" i="131"/>
  <c r="AV8" i="131"/>
  <c r="AW8" i="131" s="1"/>
  <c r="O7" i="130"/>
  <c r="Y8" i="131"/>
  <c r="AC6" i="131"/>
  <c r="E6" i="131"/>
  <c r="AV6" i="131"/>
  <c r="AW6" i="131" s="1"/>
  <c r="O5" i="130"/>
  <c r="Y6" i="131"/>
  <c r="Q19" i="134"/>
  <c r="U25" i="135"/>
  <c r="AC21" i="132"/>
  <c r="AO18" i="135"/>
  <c r="U8" i="132"/>
  <c r="M5" i="135"/>
  <c r="AS12" i="131"/>
  <c r="AK11" i="131"/>
  <c r="AS22" i="135"/>
  <c r="M22" i="135"/>
  <c r="AG22" i="135"/>
  <c r="AV21" i="135"/>
  <c r="AW21" i="135" s="1"/>
  <c r="E21" i="135"/>
  <c r="AC17" i="135"/>
  <c r="AK14" i="135"/>
  <c r="AS12" i="135"/>
  <c r="AS11" i="135"/>
  <c r="AS28" i="135"/>
  <c r="AV24" i="135"/>
  <c r="AW24" i="135" s="1"/>
  <c r="E24" i="135"/>
  <c r="AK20" i="135"/>
  <c r="AK10" i="135"/>
  <c r="Y9" i="135"/>
  <c r="I7" i="135"/>
  <c r="AO6" i="135"/>
  <c r="AC5" i="135"/>
  <c r="I9" i="134"/>
  <c r="M8" i="134"/>
  <c r="I19" i="133"/>
  <c r="U16" i="133"/>
  <c r="AC18" i="133"/>
  <c r="AC14" i="133"/>
  <c r="U11" i="133"/>
  <c r="AC10" i="133"/>
  <c r="AC9" i="133"/>
  <c r="AC8" i="133"/>
  <c r="U6" i="133"/>
  <c r="AC5" i="133"/>
  <c r="U13" i="133"/>
  <c r="E26" i="132"/>
  <c r="AN26" i="132"/>
  <c r="AO26" i="132" s="1"/>
  <c r="AK18" i="132"/>
  <c r="I11" i="132"/>
  <c r="AC7" i="132"/>
  <c r="AK22" i="132"/>
  <c r="U15" i="132"/>
  <c r="I23" i="132"/>
  <c r="U23" i="132"/>
  <c r="Q16" i="132"/>
  <c r="Q12" i="132"/>
  <c r="AN10" i="132"/>
  <c r="AO10" i="132" s="1"/>
  <c r="E10" i="132"/>
  <c r="AK8" i="132"/>
  <c r="Y6" i="132"/>
  <c r="AN29" i="132"/>
  <c r="AO29" i="132" s="1"/>
  <c r="E29" i="132"/>
  <c r="Q25" i="132"/>
  <c r="AC30" i="132"/>
  <c r="Y28" i="131"/>
  <c r="M20" i="131"/>
  <c r="I13" i="131"/>
  <c r="I11" i="131"/>
  <c r="I9" i="131"/>
  <c r="I7" i="131"/>
  <c r="I5" i="131"/>
  <c r="AC28" i="135"/>
  <c r="Q22" i="131"/>
  <c r="M21" i="130"/>
  <c r="N21" i="130" s="1"/>
  <c r="Y5" i="131"/>
  <c r="I12" i="131"/>
  <c r="I8" i="131"/>
  <c r="AS29" i="135"/>
  <c r="Q20" i="131"/>
  <c r="M19" i="130"/>
  <c r="N19" i="130" s="1"/>
  <c r="I30" i="134"/>
  <c r="Q24" i="131"/>
  <c r="M23" i="130"/>
  <c r="N23" i="130" s="1"/>
  <c r="U17" i="131"/>
  <c r="AG6" i="131"/>
  <c r="M29" i="135"/>
  <c r="AO29" i="135"/>
  <c r="P18" i="136"/>
  <c r="Q18" i="136" s="1"/>
  <c r="E18" i="136"/>
  <c r="E29" i="135"/>
  <c r="AV29" i="135"/>
  <c r="AW29" i="135" s="1"/>
  <c r="I17" i="135"/>
  <c r="E22" i="135"/>
  <c r="AV22" i="135"/>
  <c r="AW22" i="135" s="1"/>
  <c r="AK25" i="135"/>
  <c r="I25" i="135"/>
  <c r="AG25" i="135"/>
  <c r="M21" i="135"/>
  <c r="Y21" i="135"/>
  <c r="AS14" i="135"/>
  <c r="E14" i="135"/>
  <c r="AV14" i="135"/>
  <c r="AW14" i="135" s="1"/>
  <c r="M12" i="135"/>
  <c r="AK12" i="135"/>
  <c r="M11" i="135"/>
  <c r="AG11" i="135"/>
  <c r="U28" i="135"/>
  <c r="I28" i="135"/>
  <c r="AG24" i="135"/>
  <c r="AC20" i="135"/>
  <c r="I10" i="135"/>
  <c r="AS10" i="135"/>
  <c r="E10" i="135"/>
  <c r="AV10" i="135"/>
  <c r="AW10" i="135" s="1"/>
  <c r="Q26" i="134"/>
  <c r="T17" i="134"/>
  <c r="U17" i="134" s="1"/>
  <c r="E17" i="134"/>
  <c r="Q9" i="135"/>
  <c r="U9" i="135"/>
  <c r="AO8" i="135"/>
  <c r="U8" i="135"/>
  <c r="Q7" i="135"/>
  <c r="Y6" i="135"/>
  <c r="Q6" i="135"/>
  <c r="U6" i="135"/>
  <c r="I5" i="135"/>
  <c r="U5" i="135"/>
  <c r="I26" i="134"/>
  <c r="T23" i="134"/>
  <c r="U23" i="134" s="1"/>
  <c r="E23" i="134"/>
  <c r="M13" i="134"/>
  <c r="M6" i="134"/>
  <c r="T7" i="134"/>
  <c r="U7" i="134" s="1"/>
  <c r="E7" i="134"/>
  <c r="Y17" i="133"/>
  <c r="Y16" i="133"/>
  <c r="Y15" i="133"/>
  <c r="Y14" i="133"/>
  <c r="Y12" i="133"/>
  <c r="Y11" i="133"/>
  <c r="Y10" i="133"/>
  <c r="Y9" i="133"/>
  <c r="Y7" i="133"/>
  <c r="Y6" i="133"/>
  <c r="Y13" i="133"/>
  <c r="AK26" i="132"/>
  <c r="M26" i="132"/>
  <c r="E18" i="132"/>
  <c r="AN18" i="132"/>
  <c r="AO18" i="132" s="1"/>
  <c r="Y18" i="132"/>
  <c r="I13" i="132"/>
  <c r="U13" i="132"/>
  <c r="AG11" i="132"/>
  <c r="AC9" i="132"/>
  <c r="I5" i="132"/>
  <c r="U5" i="132"/>
  <c r="Y22" i="132"/>
  <c r="I19" i="132"/>
  <c r="AC19" i="132"/>
  <c r="U19" i="132"/>
  <c r="AG15" i="132"/>
  <c r="Q20" i="132"/>
  <c r="AN16" i="132"/>
  <c r="AO16" i="132" s="1"/>
  <c r="E16" i="132"/>
  <c r="Y16" i="132"/>
  <c r="AK14" i="132"/>
  <c r="M14" i="132"/>
  <c r="AN12" i="132"/>
  <c r="AO12" i="132" s="1"/>
  <c r="E12" i="132"/>
  <c r="Y12" i="132"/>
  <c r="Q10" i="132"/>
  <c r="M10" i="132"/>
  <c r="AN8" i="132"/>
  <c r="AO8" i="132" s="1"/>
  <c r="E8" i="132"/>
  <c r="Y8" i="132"/>
  <c r="Q6" i="132"/>
  <c r="AK6" i="132"/>
  <c r="Y29" i="132"/>
  <c r="AK29" i="132"/>
  <c r="M21" i="132"/>
  <c r="E21" i="132"/>
  <c r="AN21" i="132"/>
  <c r="AO21" i="132" s="1"/>
  <c r="AN25" i="132"/>
  <c r="AO25" i="132" s="1"/>
  <c r="E25" i="132"/>
  <c r="Q17" i="132"/>
  <c r="U30" i="132"/>
  <c r="AK28" i="131"/>
  <c r="M28" i="131"/>
  <c r="U24" i="131"/>
  <c r="Y20" i="131"/>
  <c r="U13" i="131"/>
  <c r="U11" i="131"/>
  <c r="U9" i="131"/>
  <c r="Q7" i="131"/>
  <c r="M6" i="130"/>
  <c r="N6" i="130" s="1"/>
  <c r="U7" i="131"/>
  <c r="AO7" i="131"/>
  <c r="Q5" i="131"/>
  <c r="M4" i="130"/>
  <c r="N4" i="130" s="1"/>
  <c r="U5" i="131"/>
  <c r="AK30" i="132"/>
  <c r="Y16" i="135"/>
  <c r="AC28" i="132"/>
  <c r="AK5" i="131"/>
  <c r="U14" i="131"/>
  <c r="AG12" i="131"/>
  <c r="U12" i="131"/>
  <c r="AO12" i="131"/>
  <c r="U10" i="131"/>
  <c r="AG8" i="131"/>
  <c r="U8" i="131"/>
  <c r="AO8" i="131"/>
  <c r="U6" i="131"/>
  <c r="I29" i="132"/>
  <c r="AS20" i="131"/>
  <c r="Q25" i="135"/>
  <c r="M20" i="132"/>
  <c r="U16" i="132"/>
  <c r="AK13" i="132"/>
  <c r="U12" i="135"/>
  <c r="I8" i="133"/>
  <c r="AF7" i="133"/>
  <c r="AG7" i="133" s="1"/>
  <c r="E7" i="133"/>
  <c r="AO6" i="131"/>
  <c r="Q5" i="135"/>
  <c r="O31" i="136"/>
  <c r="G4" i="136"/>
  <c r="K4" i="136"/>
  <c r="C4" i="136"/>
  <c r="AS11" i="131"/>
  <c r="M7" i="134"/>
  <c r="U29" i="135"/>
  <c r="M18" i="136"/>
  <c r="U22" i="135"/>
  <c r="U21" i="135"/>
  <c r="M14" i="135"/>
  <c r="E12" i="135"/>
  <c r="AV12" i="135"/>
  <c r="AW12" i="135" s="1"/>
  <c r="E11" i="135"/>
  <c r="AV11" i="135"/>
  <c r="AW11" i="135" s="1"/>
  <c r="M24" i="135"/>
  <c r="M20" i="135"/>
  <c r="Q20" i="135"/>
  <c r="M10" i="135"/>
  <c r="I27" i="134"/>
  <c r="Q17" i="134"/>
  <c r="AC9" i="135"/>
  <c r="AC8" i="135"/>
  <c r="AC6" i="135"/>
  <c r="Y5" i="135"/>
  <c r="M9" i="134"/>
  <c r="I7" i="134"/>
  <c r="Q8" i="134"/>
  <c r="AC17" i="133"/>
  <c r="AC16" i="133"/>
  <c r="U18" i="133"/>
  <c r="AC15" i="133"/>
  <c r="U14" i="133"/>
  <c r="AC12" i="133"/>
  <c r="U10" i="133"/>
  <c r="U8" i="133"/>
  <c r="AC7" i="133"/>
  <c r="AC6" i="133"/>
  <c r="Y26" i="132"/>
  <c r="M18" i="132"/>
  <c r="AC11" i="132"/>
  <c r="U7" i="132"/>
  <c r="Q22" i="132"/>
  <c r="AG19" i="132"/>
  <c r="AC15" i="132"/>
  <c r="AC23" i="132"/>
  <c r="Y20" i="132"/>
  <c r="AN14" i="132"/>
  <c r="AO14" i="132" s="1"/>
  <c r="E14" i="132"/>
  <c r="AK12" i="132"/>
  <c r="Y10" i="132"/>
  <c r="AN6" i="132"/>
  <c r="AO6" i="132" s="1"/>
  <c r="E6" i="132"/>
  <c r="U29" i="131"/>
  <c r="Q21" i="132"/>
  <c r="Y25" i="132"/>
  <c r="E17" i="132"/>
  <c r="AN17" i="132"/>
  <c r="AO17" i="132" s="1"/>
  <c r="AG30" i="132"/>
  <c r="AS28" i="131"/>
  <c r="AK20" i="131"/>
  <c r="AC13" i="131"/>
  <c r="AC11" i="131"/>
  <c r="AC9" i="131"/>
  <c r="AC7" i="131"/>
  <c r="AC5" i="131"/>
  <c r="AS13" i="131"/>
  <c r="AS14" i="131"/>
  <c r="I10" i="131"/>
  <c r="AS6" i="131"/>
  <c r="I18" i="136"/>
  <c r="Q29" i="135"/>
  <c r="AC25" i="135"/>
  <c r="Q22" i="135"/>
  <c r="AO17" i="135"/>
  <c r="M25" i="135"/>
  <c r="Y25" i="135"/>
  <c r="AS21" i="135"/>
  <c r="M17" i="135"/>
  <c r="AG17" i="135"/>
  <c r="AK17" i="135"/>
  <c r="Y14" i="135"/>
  <c r="Q14" i="135"/>
  <c r="AC12" i="135"/>
  <c r="I11" i="135"/>
  <c r="AS20" i="135"/>
  <c r="Y28" i="135"/>
  <c r="AC24" i="135"/>
  <c r="Y24" i="135"/>
  <c r="AV20" i="135"/>
  <c r="AW20" i="135" s="1"/>
  <c r="E20" i="135"/>
  <c r="AO20" i="135"/>
  <c r="T30" i="134"/>
  <c r="U30" i="134" s="1"/>
  <c r="E30" i="134"/>
  <c r="Y10" i="135"/>
  <c r="Q10" i="135"/>
  <c r="AG9" i="135"/>
  <c r="AK9" i="135"/>
  <c r="M8" i="135"/>
  <c r="AG8" i="135"/>
  <c r="AK8" i="135"/>
  <c r="M7" i="135"/>
  <c r="AG7" i="135"/>
  <c r="AK7" i="135"/>
  <c r="AG6" i="135"/>
  <c r="AK6" i="135"/>
  <c r="AG5" i="135"/>
  <c r="Q6" i="134"/>
  <c r="I8" i="134"/>
  <c r="T5" i="134"/>
  <c r="U5" i="134" s="1"/>
  <c r="E5" i="134"/>
  <c r="AF17" i="133"/>
  <c r="AG17" i="133" s="1"/>
  <c r="E17" i="133"/>
  <c r="M17" i="133"/>
  <c r="E18" i="133"/>
  <c r="AF18" i="133"/>
  <c r="AG18" i="133" s="1"/>
  <c r="M18" i="133"/>
  <c r="E15" i="133"/>
  <c r="AF15" i="133"/>
  <c r="AG15" i="133" s="1"/>
  <c r="M15" i="133"/>
  <c r="AF11" i="133"/>
  <c r="AG11" i="133" s="1"/>
  <c r="E11" i="133"/>
  <c r="M11" i="133"/>
  <c r="AF10" i="133"/>
  <c r="AG10" i="133" s="1"/>
  <c r="E10" i="133"/>
  <c r="M10" i="133"/>
  <c r="AF9" i="133"/>
  <c r="AG9" i="133" s="1"/>
  <c r="E9" i="133"/>
  <c r="M9" i="133"/>
  <c r="AF8" i="133"/>
  <c r="AG8" i="133" s="1"/>
  <c r="E8" i="133"/>
  <c r="M8" i="133"/>
  <c r="AF6" i="133"/>
  <c r="AG6" i="133" s="1"/>
  <c r="E6" i="133"/>
  <c r="M6" i="133"/>
  <c r="AF5" i="133"/>
  <c r="AG5" i="133" s="1"/>
  <c r="E5" i="133"/>
  <c r="M5" i="133"/>
  <c r="AF13" i="133"/>
  <c r="AG13" i="133" s="1"/>
  <c r="E13" i="133"/>
  <c r="M13" i="133"/>
  <c r="AG26" i="132"/>
  <c r="I26" i="132"/>
  <c r="AC26" i="132"/>
  <c r="U18" i="132"/>
  <c r="Y13" i="132"/>
  <c r="E11" i="132"/>
  <c r="AN11" i="132"/>
  <c r="AO11" i="132" s="1"/>
  <c r="Q9" i="132"/>
  <c r="M7" i="132"/>
  <c r="E7" i="132"/>
  <c r="AN7" i="132"/>
  <c r="AO7" i="132" s="1"/>
  <c r="Y5" i="132"/>
  <c r="Q5" i="132"/>
  <c r="U22" i="132"/>
  <c r="Q19" i="132"/>
  <c r="AK19" i="132"/>
  <c r="E15" i="132"/>
  <c r="AN15" i="132"/>
  <c r="AO15" i="132" s="1"/>
  <c r="E23" i="132"/>
  <c r="AN23" i="132"/>
  <c r="AO23" i="132" s="1"/>
  <c r="AG20" i="132"/>
  <c r="AC20" i="132"/>
  <c r="AG14" i="132"/>
  <c r="I14" i="132"/>
  <c r="U12" i="132"/>
  <c r="AG10" i="132"/>
  <c r="AC10" i="132"/>
  <c r="I6" i="132"/>
  <c r="AC6" i="132"/>
  <c r="U21" i="132"/>
  <c r="I25" i="132"/>
  <c r="U25" i="132"/>
  <c r="AG17" i="132"/>
  <c r="M30" i="132"/>
  <c r="I28" i="131"/>
  <c r="AK24" i="131"/>
  <c r="AO20" i="131"/>
  <c r="AG11" i="131"/>
  <c r="AK9" i="131"/>
  <c r="AK7" i="131"/>
  <c r="AG5" i="131"/>
  <c r="AK13" i="131"/>
  <c r="U17" i="132"/>
  <c r="AG28" i="131"/>
  <c r="AK14" i="131"/>
  <c r="Q12" i="131"/>
  <c r="M11" i="130"/>
  <c r="N11" i="130" s="1"/>
  <c r="M12" i="131"/>
  <c r="AK10" i="131"/>
  <c r="AK8" i="131"/>
  <c r="AK6" i="131"/>
  <c r="AC29" i="132"/>
  <c r="AV20" i="131"/>
  <c r="AW20" i="131" s="1"/>
  <c r="E20" i="131"/>
  <c r="O19" i="130"/>
  <c r="Q15" i="134"/>
  <c r="AG12" i="135"/>
  <c r="T9" i="134"/>
  <c r="U9" i="134" s="1"/>
  <c r="E9" i="134"/>
  <c r="I9" i="132"/>
  <c r="M7" i="133"/>
  <c r="AK5" i="135"/>
  <c r="Y12" i="131"/>
  <c r="Y11" i="131"/>
  <c r="Q7" i="134"/>
  <c r="Q5" i="133"/>
  <c r="Q17" i="135"/>
  <c r="M12" i="133"/>
  <c r="Q9" i="131"/>
  <c r="M8" i="130"/>
  <c r="N8" i="130" s="1"/>
  <c r="Q8" i="135"/>
  <c r="M16" i="133"/>
  <c r="M14" i="133"/>
  <c r="U7" i="135"/>
  <c r="M23" i="132"/>
  <c r="G20" i="136"/>
  <c r="K20" i="136"/>
  <c r="C20" i="136"/>
  <c r="C16" i="136"/>
  <c r="K16" i="136"/>
  <c r="G16" i="136"/>
  <c r="U14" i="135"/>
  <c r="U10" i="135"/>
  <c r="AO22" i="135"/>
  <c r="I12" i="132"/>
  <c r="AG18" i="132"/>
  <c r="Y15" i="132"/>
  <c r="M11" i="132"/>
  <c r="AK5" i="132"/>
  <c r="AT33" i="135"/>
  <c r="W31" i="130"/>
  <c r="AG28" i="135"/>
  <c r="AO13" i="131"/>
  <c r="Q30" i="132"/>
  <c r="Y17" i="132"/>
  <c r="AK17" i="132"/>
  <c r="AC16" i="131"/>
  <c r="AO5" i="131"/>
  <c r="AO29" i="131"/>
  <c r="AG29" i="132"/>
  <c r="AG20" i="131"/>
  <c r="U20" i="131"/>
  <c r="M24" i="131"/>
  <c r="AO24" i="131"/>
  <c r="AC23" i="135"/>
  <c r="I21" i="132"/>
  <c r="I20" i="132"/>
  <c r="AK20" i="132"/>
  <c r="G17" i="136"/>
  <c r="K17" i="136"/>
  <c r="C17" i="136"/>
  <c r="Q13" i="132"/>
  <c r="C11" i="136"/>
  <c r="G11" i="136"/>
  <c r="K11" i="136"/>
  <c r="U9" i="132"/>
  <c r="Y9" i="132"/>
  <c r="Y8" i="133"/>
  <c r="Q6" i="131"/>
  <c r="M5" i="130"/>
  <c r="N5" i="130" s="1"/>
  <c r="M6" i="131"/>
  <c r="Q11" i="131"/>
  <c r="M10" i="130"/>
  <c r="N10" i="130" s="1"/>
  <c r="AO11" i="131"/>
  <c r="AG7" i="132"/>
  <c r="M6" i="132"/>
  <c r="M30" i="135"/>
  <c r="K29" i="136"/>
  <c r="C29" i="136"/>
  <c r="G29" i="136"/>
  <c r="Q14" i="131"/>
  <c r="M13" i="130"/>
  <c r="N13" i="130" s="1"/>
  <c r="M14" i="131"/>
  <c r="Q10" i="131"/>
  <c r="M9" i="130"/>
  <c r="N9" i="130" s="1"/>
  <c r="M10" i="131"/>
  <c r="AG9" i="131"/>
  <c r="K21" i="136"/>
  <c r="G21" i="136"/>
  <c r="C21" i="136"/>
  <c r="G13" i="136"/>
  <c r="K13" i="136"/>
  <c r="C13" i="136"/>
  <c r="K7" i="136"/>
  <c r="C7" i="136"/>
  <c r="G7" i="136"/>
  <c r="M20" i="134"/>
  <c r="K6" i="136"/>
  <c r="C6" i="136"/>
  <c r="G6" i="136"/>
  <c r="S31" i="134"/>
  <c r="G4" i="134"/>
  <c r="K4" i="134"/>
  <c r="O4" i="134"/>
  <c r="C4" i="134"/>
  <c r="Y5" i="133"/>
  <c r="Q26" i="132"/>
  <c r="Y20" i="133"/>
  <c r="AS17" i="135"/>
  <c r="AG14" i="131"/>
  <c r="AF12" i="133"/>
  <c r="AG12" i="133" s="1"/>
  <c r="E12" i="133"/>
  <c r="AO10" i="131"/>
  <c r="AO9" i="131"/>
  <c r="AF16" i="133"/>
  <c r="AG16" i="133" s="1"/>
  <c r="E16" i="133"/>
  <c r="Q13" i="134"/>
  <c r="AO7" i="135"/>
  <c r="AK27" i="132"/>
  <c r="M25" i="132"/>
  <c r="AC24" i="132"/>
  <c r="AG23" i="132"/>
  <c r="I15" i="135"/>
  <c r="I14" i="135"/>
  <c r="AK11" i="135"/>
  <c r="K10" i="136"/>
  <c r="C10" i="136"/>
  <c r="G10" i="136"/>
  <c r="AO30" i="131"/>
  <c r="I24" i="135"/>
  <c r="AK22" i="135"/>
  <c r="AC19" i="135"/>
  <c r="M16" i="134"/>
  <c r="Q13" i="131"/>
  <c r="M12" i="130"/>
  <c r="N12" i="130" s="1"/>
  <c r="I9" i="135"/>
  <c r="M9" i="135"/>
  <c r="AM31" i="132"/>
  <c r="AA4" i="132"/>
  <c r="K4" i="132"/>
  <c r="AE4" i="132"/>
  <c r="O4" i="132"/>
  <c r="AI4" i="132"/>
  <c r="S4" i="132"/>
  <c r="C4" i="132"/>
  <c r="G4" i="132"/>
  <c r="W4" i="132"/>
  <c r="I23" i="134"/>
  <c r="AC21" i="135"/>
  <c r="M19" i="132"/>
  <c r="M15" i="132"/>
  <c r="Q14" i="132"/>
  <c r="I10" i="132"/>
  <c r="Q8" i="131"/>
  <c r="M7" i="130"/>
  <c r="N7" i="130" s="1"/>
  <c r="M8" i="131"/>
  <c r="E7" i="131"/>
  <c r="AV7" i="131"/>
  <c r="AW7" i="131" s="1"/>
  <c r="O6" i="130"/>
  <c r="I6" i="135"/>
  <c r="AC5" i="132"/>
  <c r="I25" i="134"/>
  <c r="AK29" i="135"/>
  <c r="AC29" i="135"/>
  <c r="C19" i="136"/>
  <c r="G19" i="136"/>
  <c r="K19" i="136"/>
  <c r="C12" i="136"/>
  <c r="G12" i="136"/>
  <c r="K12" i="136"/>
  <c r="K5" i="136"/>
  <c r="C5" i="136"/>
  <c r="G5" i="136"/>
  <c r="Y13" i="135"/>
  <c r="S4" i="133"/>
  <c r="C4" i="133"/>
  <c r="W4" i="133"/>
  <c r="G4" i="133"/>
  <c r="AA4" i="133"/>
  <c r="K4" i="133"/>
  <c r="O4" i="133"/>
  <c r="Y17" i="135"/>
  <c r="K8" i="136"/>
  <c r="C8" i="136"/>
  <c r="G8" i="136"/>
  <c r="Q27" i="131"/>
  <c r="M26" i="130"/>
  <c r="N26" i="130" s="1"/>
  <c r="C22" i="136"/>
  <c r="K22" i="136"/>
  <c r="G22" i="136"/>
  <c r="I13" i="134"/>
  <c r="M12" i="134"/>
  <c r="M24" i="134"/>
  <c r="I21" i="134"/>
  <c r="AO14" i="135"/>
  <c r="K14" i="136"/>
  <c r="G14" i="136"/>
  <c r="C14" i="136"/>
  <c r="Q27" i="134"/>
  <c r="K25" i="136"/>
  <c r="G25" i="136"/>
  <c r="C25" i="136"/>
  <c r="Q18" i="131"/>
  <c r="M17" i="130"/>
  <c r="N17" i="130" s="1"/>
  <c r="AG6" i="132"/>
  <c r="U17" i="135"/>
  <c r="I15" i="133"/>
  <c r="AO14" i="131"/>
  <c r="AG10" i="131"/>
  <c r="Y8" i="135"/>
  <c r="Q5" i="134"/>
  <c r="AF14" i="133"/>
  <c r="AG14" i="133" s="1"/>
  <c r="E14" i="133"/>
  <c r="T13" i="134"/>
  <c r="U13" i="134" s="1"/>
  <c r="E13" i="134"/>
  <c r="I10" i="133"/>
  <c r="I9" i="133"/>
  <c r="AC25" i="132"/>
  <c r="AN22" i="132"/>
  <c r="AO22" i="132" s="1"/>
  <c r="E22" i="132"/>
  <c r="Y20" i="135"/>
  <c r="Y18" i="133"/>
  <c r="AC11" i="135"/>
  <c r="AC10" i="135"/>
  <c r="Q24" i="135"/>
  <c r="U24" i="135"/>
  <c r="E9" i="135"/>
  <c r="AV9" i="135"/>
  <c r="AW9" i="135" s="1"/>
  <c r="I6" i="134"/>
  <c r="M23" i="134"/>
  <c r="AO21" i="135"/>
  <c r="Y19" i="132"/>
  <c r="I18" i="132"/>
  <c r="AC14" i="132"/>
  <c r="AK11" i="132"/>
  <c r="Y11" i="132"/>
  <c r="AK10" i="132"/>
  <c r="AG7" i="131"/>
  <c r="E6" i="135"/>
  <c r="AV6" i="135"/>
  <c r="AW6" i="135" s="1"/>
  <c r="M6" i="135"/>
  <c r="R33" i="134"/>
  <c r="Z31" i="130"/>
  <c r="AL33" i="132"/>
  <c r="H31" i="130"/>
  <c r="AG13" i="131"/>
  <c r="C30" i="136"/>
  <c r="G30" i="136"/>
  <c r="K30" i="136"/>
  <c r="M28" i="134"/>
  <c r="AG29" i="131"/>
  <c r="C27" i="136"/>
  <c r="G27" i="136"/>
  <c r="K27" i="136"/>
  <c r="G24" i="136"/>
  <c r="K24" i="136"/>
  <c r="C24" i="136"/>
  <c r="G28" i="136"/>
  <c r="K28" i="136"/>
  <c r="C28" i="136"/>
  <c r="AS26" i="135"/>
  <c r="AS25" i="131"/>
  <c r="AG23" i="131"/>
  <c r="Q17" i="131"/>
  <c r="M16" i="130"/>
  <c r="N16" i="130" s="1"/>
  <c r="G9" i="136"/>
  <c r="K9" i="136"/>
  <c r="C9" i="136"/>
  <c r="C23" i="136"/>
  <c r="G23" i="136"/>
  <c r="K23" i="136"/>
  <c r="AG19" i="131"/>
  <c r="I17" i="134"/>
  <c r="K15" i="136"/>
  <c r="C15" i="136"/>
  <c r="G15" i="136"/>
  <c r="AS15" i="131"/>
  <c r="C26" i="136"/>
  <c r="K26" i="136"/>
  <c r="G26" i="136"/>
  <c r="Q23" i="134"/>
  <c r="Q11" i="134"/>
  <c r="F26" i="129"/>
  <c r="I32" i="129"/>
  <c r="C31" i="128"/>
  <c r="I30" i="128"/>
  <c r="K16" i="128"/>
  <c r="I10" i="128"/>
  <c r="K12" i="128"/>
  <c r="K11" i="128"/>
  <c r="I6" i="128"/>
  <c r="K28" i="128"/>
  <c r="I22" i="128"/>
  <c r="I27" i="128"/>
  <c r="K5" i="128"/>
  <c r="H30" i="128"/>
  <c r="D30" i="128"/>
  <c r="AL15" i="66" s="1"/>
  <c r="D23" i="128"/>
  <c r="AL8" i="66" s="1"/>
  <c r="D17" i="128"/>
  <c r="AL12" i="66" s="1"/>
  <c r="H10" i="128"/>
  <c r="D7" i="128"/>
  <c r="AL28" i="66" s="1"/>
  <c r="H6" i="128"/>
  <c r="E31" i="128"/>
  <c r="N23" i="127"/>
  <c r="N26" i="127"/>
  <c r="K19" i="127"/>
  <c r="K12" i="127"/>
  <c r="EA33" i="126"/>
  <c r="AV27" i="66" s="1"/>
  <c r="DL27" i="126"/>
  <c r="DK35" i="126"/>
  <c r="DK37" i="126" s="1"/>
  <c r="BI37" i="126"/>
  <c r="AY37" i="126"/>
  <c r="DL33" i="126"/>
  <c r="DL18" i="126"/>
  <c r="DI35" i="126"/>
  <c r="DI37" i="126" s="1"/>
  <c r="DX35" i="126"/>
  <c r="DX37" i="126" s="1"/>
  <c r="DJ35" i="126"/>
  <c r="DJ37" i="126" s="1"/>
  <c r="DL32" i="126"/>
  <c r="DG35" i="126"/>
  <c r="CM35" i="126"/>
  <c r="AE35" i="126"/>
  <c r="DZ35" i="126"/>
  <c r="DZ37" i="126" s="1"/>
  <c r="DG37" i="126"/>
  <c r="AE37" i="126"/>
  <c r="DL24" i="126"/>
  <c r="DQ35" i="126"/>
  <c r="CW35" i="126"/>
  <c r="CM37" i="126"/>
  <c r="K37" i="126"/>
  <c r="DL25" i="126"/>
  <c r="BI35" i="126"/>
  <c r="U35" i="126"/>
  <c r="DY35" i="126"/>
  <c r="DY37" i="126" s="1"/>
  <c r="CC35" i="126"/>
  <c r="EA26" i="126"/>
  <c r="AV26" i="66" s="1"/>
  <c r="EA22" i="126"/>
  <c r="AV15" i="66" s="1"/>
  <c r="EA25" i="126"/>
  <c r="AV28" i="66" s="1"/>
  <c r="EA21" i="126"/>
  <c r="AV7" i="66" s="1"/>
  <c r="EA8" i="126"/>
  <c r="AV4" i="66" s="1"/>
  <c r="C32" i="123"/>
  <c r="C34" i="123" s="1"/>
  <c r="E32" i="123"/>
  <c r="E34" i="123" s="1"/>
  <c r="E36" i="123" s="1"/>
  <c r="I21" i="122"/>
  <c r="H35" i="122"/>
  <c r="H37" i="122" s="1"/>
  <c r="D33" i="122"/>
  <c r="K21" i="122"/>
  <c r="C33" i="122"/>
  <c r="C35" i="122" s="1"/>
  <c r="I27" i="122"/>
  <c r="J27" i="122"/>
  <c r="I31" i="122"/>
  <c r="I28" i="122"/>
  <c r="J28" i="122"/>
  <c r="I16" i="122"/>
  <c r="J16" i="122"/>
  <c r="I13" i="122"/>
  <c r="J13" i="122"/>
  <c r="I9" i="122"/>
  <c r="J9" i="122"/>
  <c r="B33" i="122"/>
  <c r="B35" i="122" s="1"/>
  <c r="AC31" i="66" s="1"/>
  <c r="I20" i="122"/>
  <c r="J20" i="122"/>
  <c r="I24" i="122"/>
  <c r="J24" i="122"/>
  <c r="L27" i="121"/>
  <c r="K36" i="121"/>
  <c r="N30" i="121"/>
  <c r="G38" i="121"/>
  <c r="M31" i="121"/>
  <c r="AF20" i="133" l="1"/>
  <c r="AG20" i="133" s="1"/>
  <c r="Q29" i="131"/>
  <c r="AC20" i="133"/>
  <c r="AV29" i="131"/>
  <c r="AW29" i="131" s="1"/>
  <c r="O28" i="130"/>
  <c r="T12" i="134"/>
  <c r="U12" i="134" s="1"/>
  <c r="AS29" i="131"/>
  <c r="AF19" i="133"/>
  <c r="AG19" i="133" s="1"/>
  <c r="T20" i="134"/>
  <c r="U20" i="134" s="1"/>
  <c r="E35" i="122"/>
  <c r="AV17" i="131"/>
  <c r="AW17" i="131" s="1"/>
  <c r="D34" i="129"/>
  <c r="AH30" i="66" s="1"/>
  <c r="D25" i="129"/>
  <c r="AH23" i="66" s="1"/>
  <c r="D13" i="129"/>
  <c r="AH12" i="66" s="1"/>
  <c r="D33" i="129"/>
  <c r="AH29" i="66" s="1"/>
  <c r="D28" i="129"/>
  <c r="AH25" i="66" s="1"/>
  <c r="D6" i="129"/>
  <c r="AH6" i="66" s="1"/>
  <c r="D23" i="129"/>
  <c r="AH21" i="66" s="1"/>
  <c r="D10" i="129"/>
  <c r="AH10" i="66" s="1"/>
  <c r="D22" i="129"/>
  <c r="AH20" i="66" s="1"/>
  <c r="D9" i="129"/>
  <c r="AH9" i="66" s="1"/>
  <c r="B21" i="129"/>
  <c r="B36" i="129" s="1"/>
  <c r="D12" i="129"/>
  <c r="AH11" i="66" s="1"/>
  <c r="D16" i="129"/>
  <c r="AH15" i="66" s="1"/>
  <c r="D19" i="129"/>
  <c r="AH18" i="66" s="1"/>
  <c r="D24" i="129"/>
  <c r="AH22" i="66" s="1"/>
  <c r="D30" i="129"/>
  <c r="AH27" i="66" s="1"/>
  <c r="I17" i="131"/>
  <c r="Q12" i="134"/>
  <c r="T16" i="134"/>
  <c r="U16" i="134" s="1"/>
  <c r="AV19" i="131"/>
  <c r="AW19" i="131" s="1"/>
  <c r="AF29" i="133"/>
  <c r="AG29" i="133" s="1"/>
  <c r="I29" i="133"/>
  <c r="O16" i="130"/>
  <c r="AF23" i="133"/>
  <c r="AG23" i="133" s="1"/>
  <c r="O5" i="128"/>
  <c r="AS19" i="131"/>
  <c r="O23" i="128"/>
  <c r="T22" i="134"/>
  <c r="U22" i="134" s="1"/>
  <c r="M18" i="130"/>
  <c r="N18" i="130" s="1"/>
  <c r="O18" i="130"/>
  <c r="I22" i="134"/>
  <c r="M15" i="130"/>
  <c r="N15" i="130" s="1"/>
  <c r="AN27" i="132"/>
  <c r="AO27" i="132" s="1"/>
  <c r="B34" i="127"/>
  <c r="Y31" i="66"/>
  <c r="Y32" i="66" s="1"/>
  <c r="D34" i="127"/>
  <c r="K23" i="129"/>
  <c r="G23" i="129"/>
  <c r="C34" i="127"/>
  <c r="C35" i="127" s="1"/>
  <c r="D42" i="126"/>
  <c r="AF26" i="133"/>
  <c r="AG26" i="133" s="1"/>
  <c r="O11" i="128"/>
  <c r="O9" i="128"/>
  <c r="AV16" i="131"/>
  <c r="AW16" i="131" s="1"/>
  <c r="H19" i="127"/>
  <c r="L19" i="127" s="1"/>
  <c r="O19" i="127" s="1"/>
  <c r="AF24" i="133"/>
  <c r="AG24" i="133" s="1"/>
  <c r="O15" i="130"/>
  <c r="M29" i="130"/>
  <c r="N29" i="130" s="1"/>
  <c r="M25" i="130"/>
  <c r="N25" i="130" s="1"/>
  <c r="K13" i="128"/>
  <c r="N15" i="127"/>
  <c r="AF30" i="133"/>
  <c r="AG30" i="133" s="1"/>
  <c r="H24" i="128"/>
  <c r="K15" i="128"/>
  <c r="AF7" i="130"/>
  <c r="AF28" i="133"/>
  <c r="AG28" i="133" s="1"/>
  <c r="M28" i="133"/>
  <c r="H17" i="128"/>
  <c r="K15" i="127"/>
  <c r="H27" i="127"/>
  <c r="L27" i="127" s="1"/>
  <c r="I13" i="128"/>
  <c r="I19" i="128"/>
  <c r="T14" i="134"/>
  <c r="U14" i="134" s="1"/>
  <c r="T21" i="134"/>
  <c r="U21" i="134" s="1"/>
  <c r="AV19" i="135"/>
  <c r="AW19" i="135" s="1"/>
  <c r="O24" i="137"/>
  <c r="Q24" i="137" s="1"/>
  <c r="AJ21" i="137"/>
  <c r="AK21" i="137" s="1"/>
  <c r="C24" i="137"/>
  <c r="E24" i="137" s="1"/>
  <c r="G24" i="137"/>
  <c r="I24" i="137" s="1"/>
  <c r="AA24" i="137"/>
  <c r="AC24" i="137" s="1"/>
  <c r="I21" i="137"/>
  <c r="M24" i="130"/>
  <c r="N24" i="130" s="1"/>
  <c r="M14" i="134"/>
  <c r="AJ23" i="137"/>
  <c r="AK23" i="137" s="1"/>
  <c r="AI31" i="137"/>
  <c r="R31" i="130" s="1"/>
  <c r="K17" i="137"/>
  <c r="M17" i="137" s="1"/>
  <c r="W17" i="137"/>
  <c r="Y17" i="137" s="1"/>
  <c r="AF21" i="133"/>
  <c r="AG21" i="133" s="1"/>
  <c r="S17" i="137"/>
  <c r="U17" i="137" s="1"/>
  <c r="C17" i="137"/>
  <c r="E17" i="137" s="1"/>
  <c r="G17" i="137"/>
  <c r="I17" i="137" s="1"/>
  <c r="AE17" i="137"/>
  <c r="AG17" i="137" s="1"/>
  <c r="Y21" i="133"/>
  <c r="AV15" i="135"/>
  <c r="AW15" i="135" s="1"/>
  <c r="AJ26" i="137"/>
  <c r="AK26" i="137" s="1"/>
  <c r="H17" i="129"/>
  <c r="H23" i="129"/>
  <c r="AV22" i="131"/>
  <c r="AW22" i="131" s="1"/>
  <c r="H27" i="129"/>
  <c r="AV18" i="135"/>
  <c r="AW18" i="135" s="1"/>
  <c r="AJ19" i="137"/>
  <c r="AK19" i="137" s="1"/>
  <c r="G22" i="129"/>
  <c r="J22" i="129" s="1"/>
  <c r="Q21" i="131"/>
  <c r="O26" i="130"/>
  <c r="K24" i="137"/>
  <c r="M24" i="137" s="1"/>
  <c r="AA17" i="137"/>
  <c r="AC17" i="137" s="1"/>
  <c r="T19" i="134"/>
  <c r="U19" i="134" s="1"/>
  <c r="AF27" i="133"/>
  <c r="AG27" i="133" s="1"/>
  <c r="T28" i="134"/>
  <c r="U28" i="134" s="1"/>
  <c r="AJ10" i="137"/>
  <c r="AK10" i="137" s="1"/>
  <c r="AE24" i="137"/>
  <c r="AG24" i="137" s="1"/>
  <c r="AV21" i="131"/>
  <c r="AW21" i="131" s="1"/>
  <c r="M22" i="131"/>
  <c r="AS27" i="131"/>
  <c r="Q15" i="131"/>
  <c r="AV30" i="131"/>
  <c r="AW30" i="131" s="1"/>
  <c r="AV18" i="131"/>
  <c r="AW18" i="131" s="1"/>
  <c r="O17" i="130"/>
  <c r="AV15" i="131"/>
  <c r="AW15" i="131" s="1"/>
  <c r="O29" i="130"/>
  <c r="O20" i="130"/>
  <c r="O21" i="130"/>
  <c r="W24" i="137"/>
  <c r="Y24" i="137" s="1"/>
  <c r="I27" i="133"/>
  <c r="O24" i="130"/>
  <c r="E37" i="130"/>
  <c r="F83" i="130" s="1"/>
  <c r="AV25" i="131"/>
  <c r="AW25" i="131" s="1"/>
  <c r="AF25" i="133"/>
  <c r="AG25" i="133" s="1"/>
  <c r="T10" i="134"/>
  <c r="U10" i="134" s="1"/>
  <c r="AV13" i="135"/>
  <c r="AW13" i="135" s="1"/>
  <c r="AF5" i="130"/>
  <c r="I25" i="131"/>
  <c r="AC15" i="131"/>
  <c r="U25" i="137"/>
  <c r="AN24" i="132"/>
  <c r="AO24" i="132" s="1"/>
  <c r="I20" i="134"/>
  <c r="O14" i="130"/>
  <c r="Q30" i="137"/>
  <c r="E35" i="130"/>
  <c r="D83" i="130" s="1"/>
  <c r="AS30" i="131"/>
  <c r="AJ20" i="137"/>
  <c r="AK20" i="137" s="1"/>
  <c r="I10" i="134"/>
  <c r="U13" i="135"/>
  <c r="AJ14" i="137"/>
  <c r="AK14" i="137" s="1"/>
  <c r="AJ30" i="137"/>
  <c r="AK30" i="137" s="1"/>
  <c r="AV27" i="131"/>
  <c r="AW27" i="131" s="1"/>
  <c r="Y25" i="133"/>
  <c r="T15" i="134"/>
  <c r="U15" i="134" s="1"/>
  <c r="AJ27" i="137"/>
  <c r="AK27" i="137" s="1"/>
  <c r="AN28" i="132"/>
  <c r="AO28" i="132" s="1"/>
  <c r="AJ25" i="137"/>
  <c r="AK25" i="137" s="1"/>
  <c r="T29" i="134"/>
  <c r="U29" i="134" s="1"/>
  <c r="K20" i="127"/>
  <c r="AK23" i="66"/>
  <c r="AK6" i="66"/>
  <c r="AK24" i="66"/>
  <c r="O4" i="128"/>
  <c r="AK30" i="66"/>
  <c r="AK8" i="66"/>
  <c r="AK16" i="66"/>
  <c r="O10" i="128"/>
  <c r="AI28" i="66"/>
  <c r="AK25" i="66"/>
  <c r="AK5" i="66"/>
  <c r="AI20" i="66"/>
  <c r="G27" i="129"/>
  <c r="J27" i="129" s="1"/>
  <c r="AE20" i="66"/>
  <c r="E29" i="129"/>
  <c r="K29" i="129" s="1"/>
  <c r="I7" i="128"/>
  <c r="L7" i="128" s="1"/>
  <c r="K19" i="128"/>
  <c r="T18" i="134"/>
  <c r="U18" i="134" s="1"/>
  <c r="E29" i="134"/>
  <c r="E18" i="134"/>
  <c r="T24" i="134"/>
  <c r="U24" i="134" s="1"/>
  <c r="T11" i="134"/>
  <c r="U11" i="134" s="1"/>
  <c r="AV26" i="135"/>
  <c r="AW26" i="135" s="1"/>
  <c r="AV16" i="135"/>
  <c r="AW16" i="135" s="1"/>
  <c r="AK16" i="135"/>
  <c r="AC26" i="135"/>
  <c r="AV30" i="135"/>
  <c r="AW30" i="135" s="1"/>
  <c r="E30" i="135"/>
  <c r="AF4" i="130"/>
  <c r="AF10" i="130"/>
  <c r="E40" i="130"/>
  <c r="I83" i="130" s="1"/>
  <c r="O25" i="130"/>
  <c r="AV26" i="131"/>
  <c r="AW26" i="131" s="1"/>
  <c r="AO26" i="131"/>
  <c r="Q23" i="131"/>
  <c r="O22" i="130"/>
  <c r="E34" i="130"/>
  <c r="C83" i="130" s="1"/>
  <c r="AV23" i="131"/>
  <c r="AW23" i="131" s="1"/>
  <c r="E11" i="134"/>
  <c r="T25" i="134"/>
  <c r="U25" i="134" s="1"/>
  <c r="E25" i="134"/>
  <c r="AV23" i="135"/>
  <c r="AW23" i="135" s="1"/>
  <c r="AE27" i="66"/>
  <c r="G5" i="123"/>
  <c r="E30" i="129"/>
  <c r="K30" i="129" s="1"/>
  <c r="E23" i="135"/>
  <c r="AB32" i="130"/>
  <c r="K24" i="128"/>
  <c r="K18" i="128"/>
  <c r="I26" i="128"/>
  <c r="K26" i="128"/>
  <c r="H18" i="128"/>
  <c r="AE21" i="66"/>
  <c r="K22" i="122"/>
  <c r="K7" i="122"/>
  <c r="K30" i="122"/>
  <c r="K12" i="122"/>
  <c r="K18" i="122"/>
  <c r="K20" i="122"/>
  <c r="K27" i="122"/>
  <c r="J33" i="122"/>
  <c r="K8" i="122"/>
  <c r="K32" i="122"/>
  <c r="K24" i="122"/>
  <c r="K29" i="122"/>
  <c r="K10" i="122"/>
  <c r="K14" i="122"/>
  <c r="K19" i="122"/>
  <c r="K6" i="122"/>
  <c r="K31" i="122"/>
  <c r="G35" i="122"/>
  <c r="G37" i="122" s="1"/>
  <c r="K17" i="122"/>
  <c r="K23" i="122"/>
  <c r="K13" i="122"/>
  <c r="K28" i="122"/>
  <c r="K33" i="122"/>
  <c r="K25" i="122"/>
  <c r="K26" i="122"/>
  <c r="K11" i="122"/>
  <c r="K15" i="122"/>
  <c r="K16" i="122"/>
  <c r="K9" i="128"/>
  <c r="K21" i="128"/>
  <c r="K23" i="128"/>
  <c r="I17" i="128"/>
  <c r="O8" i="128" s="1"/>
  <c r="H21" i="128"/>
  <c r="H7" i="128"/>
  <c r="L12" i="128"/>
  <c r="H9" i="128"/>
  <c r="H23" i="128"/>
  <c r="N11" i="127"/>
  <c r="M13" i="121"/>
  <c r="K18" i="127"/>
  <c r="L34" i="121"/>
  <c r="L36" i="121" s="1"/>
  <c r="K34" i="127" s="1"/>
  <c r="N32" i="121"/>
  <c r="N5" i="127"/>
  <c r="K27" i="127"/>
  <c r="L18" i="128"/>
  <c r="M14" i="121"/>
  <c r="H24" i="127"/>
  <c r="L24" i="127" s="1"/>
  <c r="E25" i="129"/>
  <c r="K25" i="129" s="1"/>
  <c r="N7" i="127"/>
  <c r="F31" i="128"/>
  <c r="I31" i="128" s="1"/>
  <c r="AU27" i="135"/>
  <c r="AC26" i="130"/>
  <c r="X30" i="130"/>
  <c r="AD26" i="130"/>
  <c r="I24" i="128"/>
  <c r="L24" i="128" s="1"/>
  <c r="E28" i="129"/>
  <c r="K28" i="129" s="1"/>
  <c r="G17" i="129"/>
  <c r="J17" i="129" s="1"/>
  <c r="L7" i="127"/>
  <c r="AE22" i="133"/>
  <c r="U30" i="130"/>
  <c r="AC21" i="130"/>
  <c r="AD21" i="130"/>
  <c r="L20" i="128"/>
  <c r="AK20" i="66"/>
  <c r="K14" i="128"/>
  <c r="I14" i="128"/>
  <c r="O15" i="128" s="1"/>
  <c r="K20" i="128"/>
  <c r="H20" i="128"/>
  <c r="H15" i="128"/>
  <c r="E7" i="129"/>
  <c r="N18" i="127"/>
  <c r="E32" i="129"/>
  <c r="K32" i="129" s="1"/>
  <c r="G31" i="128"/>
  <c r="E24" i="129"/>
  <c r="K24" i="129" s="1"/>
  <c r="AE22" i="66"/>
  <c r="I31" i="127"/>
  <c r="N31" i="127" s="1"/>
  <c r="K14" i="127"/>
  <c r="J31" i="127"/>
  <c r="K9" i="127"/>
  <c r="M21" i="121"/>
  <c r="H17" i="127"/>
  <c r="L17" i="127" s="1"/>
  <c r="E34" i="129"/>
  <c r="K34" i="129" s="1"/>
  <c r="AE30" i="66"/>
  <c r="K38" i="121"/>
  <c r="J34" i="127"/>
  <c r="G38" i="128"/>
  <c r="I29" i="128"/>
  <c r="AK14" i="66" s="1"/>
  <c r="K29" i="128"/>
  <c r="L28" i="128"/>
  <c r="K25" i="128"/>
  <c r="H11" i="127"/>
  <c r="L11" i="127" s="1"/>
  <c r="L4" i="128"/>
  <c r="N31" i="121"/>
  <c r="H25" i="128"/>
  <c r="L8" i="128"/>
  <c r="F32" i="123"/>
  <c r="G32" i="123" s="1"/>
  <c r="L5" i="128"/>
  <c r="H15" i="127"/>
  <c r="L15" i="127" s="1"/>
  <c r="R4" i="127" s="1"/>
  <c r="M32" i="121"/>
  <c r="H16" i="127"/>
  <c r="L16" i="127" s="1"/>
  <c r="M11" i="121"/>
  <c r="M30" i="121"/>
  <c r="E18" i="129"/>
  <c r="K18" i="129" s="1"/>
  <c r="B33" i="124"/>
  <c r="AE19" i="66"/>
  <c r="H12" i="127"/>
  <c r="L12" i="127" s="1"/>
  <c r="M12" i="121"/>
  <c r="H12" i="129"/>
  <c r="L16" i="128"/>
  <c r="C21" i="129"/>
  <c r="C11" i="129"/>
  <c r="I11" i="129" s="1"/>
  <c r="B42" i="126"/>
  <c r="G31" i="127"/>
  <c r="B34" i="125"/>
  <c r="B36" i="125" s="1"/>
  <c r="E31" i="127"/>
  <c r="AJ31" i="66" s="1"/>
  <c r="D35" i="127"/>
  <c r="O26" i="127"/>
  <c r="AI14" i="66"/>
  <c r="M22" i="121"/>
  <c r="H6" i="127"/>
  <c r="L6" i="127" s="1"/>
  <c r="H8" i="127"/>
  <c r="L8" i="127" s="1"/>
  <c r="M23" i="121"/>
  <c r="C35" i="128"/>
  <c r="C38" i="128"/>
  <c r="C39" i="128" s="1"/>
  <c r="I34" i="121"/>
  <c r="I36" i="121" s="1"/>
  <c r="H34" i="127" s="1"/>
  <c r="C31" i="129"/>
  <c r="D31" i="129" s="1"/>
  <c r="I27" i="129"/>
  <c r="G12" i="129"/>
  <c r="J12" i="129" s="1"/>
  <c r="H38" i="121"/>
  <c r="G34" i="127"/>
  <c r="M33" i="121"/>
  <c r="H14" i="127"/>
  <c r="L14" i="127" s="1"/>
  <c r="H15" i="129"/>
  <c r="G15" i="129"/>
  <c r="J15" i="129" s="1"/>
  <c r="AE13" i="66"/>
  <c r="E14" i="129"/>
  <c r="K14" i="129" s="1"/>
  <c r="F35" i="127"/>
  <c r="L9" i="128"/>
  <c r="AK13" i="66"/>
  <c r="I4" i="129"/>
  <c r="E13" i="129"/>
  <c r="K13" i="129" s="1"/>
  <c r="AE12" i="66"/>
  <c r="AE8" i="66"/>
  <c r="E8" i="129"/>
  <c r="AE15" i="66"/>
  <c r="E16" i="129"/>
  <c r="K16" i="129" s="1"/>
  <c r="M20" i="121"/>
  <c r="H29" i="127"/>
  <c r="L29" i="127" s="1"/>
  <c r="H6" i="129"/>
  <c r="G6" i="129"/>
  <c r="J6" i="129" s="1"/>
  <c r="M8" i="121"/>
  <c r="H25" i="127"/>
  <c r="L25" i="127" s="1"/>
  <c r="O4" i="127"/>
  <c r="AI24" i="66"/>
  <c r="L15" i="128"/>
  <c r="AK19" i="66"/>
  <c r="E33" i="129"/>
  <c r="K33" i="129" s="1"/>
  <c r="AE29" i="66"/>
  <c r="M19" i="121"/>
  <c r="H5" i="127"/>
  <c r="L5" i="127" s="1"/>
  <c r="H10" i="129"/>
  <c r="G10" i="129"/>
  <c r="J10" i="129" s="1"/>
  <c r="H22" i="129"/>
  <c r="C35" i="129"/>
  <c r="D35" i="129" s="1"/>
  <c r="L22" i="128"/>
  <c r="AK4" i="66"/>
  <c r="L30" i="128"/>
  <c r="AK15" i="66"/>
  <c r="H20" i="129"/>
  <c r="G20" i="129"/>
  <c r="J20" i="129" s="1"/>
  <c r="O21" i="127"/>
  <c r="AI5" i="66"/>
  <c r="O30" i="127"/>
  <c r="AI9" i="66"/>
  <c r="B35" i="128"/>
  <c r="B38" i="128"/>
  <c r="B39" i="128" s="1"/>
  <c r="L6" i="128"/>
  <c r="AK27" i="66"/>
  <c r="L21" i="128"/>
  <c r="AK22" i="66"/>
  <c r="M25" i="121"/>
  <c r="H22" i="127"/>
  <c r="L22" i="127" s="1"/>
  <c r="I12" i="129"/>
  <c r="L11" i="128"/>
  <c r="AK26" i="66"/>
  <c r="G4" i="129"/>
  <c r="J4" i="129" s="1"/>
  <c r="H4" i="129"/>
  <c r="O13" i="127"/>
  <c r="E10" i="127"/>
  <c r="N10" i="127"/>
  <c r="H23" i="127"/>
  <c r="L23" i="127" s="1"/>
  <c r="M27" i="121"/>
  <c r="M7" i="121"/>
  <c r="H20" i="127"/>
  <c r="L20" i="127" s="1"/>
  <c r="L25" i="128"/>
  <c r="AK18" i="66"/>
  <c r="H9" i="129"/>
  <c r="G9" i="129"/>
  <c r="J9" i="129" s="1"/>
  <c r="L10" i="128"/>
  <c r="AK29" i="66"/>
  <c r="E5" i="129"/>
  <c r="K5" i="129" s="1"/>
  <c r="AE5" i="66"/>
  <c r="AE18" i="66"/>
  <c r="E19" i="129"/>
  <c r="K19" i="129" s="1"/>
  <c r="O9" i="127"/>
  <c r="AI29" i="66"/>
  <c r="O18" i="127"/>
  <c r="AI19" i="66"/>
  <c r="L27" i="128"/>
  <c r="AK9" i="66"/>
  <c r="B31" i="127"/>
  <c r="B35" i="127" s="1"/>
  <c r="H28" i="127"/>
  <c r="L28" i="127" s="1"/>
  <c r="M10" i="121"/>
  <c r="C26" i="129"/>
  <c r="D26" i="129" s="1"/>
  <c r="P30" i="136"/>
  <c r="Q30" i="136" s="1"/>
  <c r="E30" i="136"/>
  <c r="AM33" i="132"/>
  <c r="I31" i="130"/>
  <c r="P13" i="136"/>
  <c r="Q13" i="136" s="1"/>
  <c r="E13" i="136"/>
  <c r="P17" i="136"/>
  <c r="Q17" i="136" s="1"/>
  <c r="E17" i="136"/>
  <c r="AU32" i="131"/>
  <c r="E36" i="130"/>
  <c r="E83" i="130" s="1"/>
  <c r="AF6" i="130"/>
  <c r="E26" i="136"/>
  <c r="P26" i="136"/>
  <c r="Q26" i="136" s="1"/>
  <c r="P9" i="136"/>
  <c r="Q9" i="136" s="1"/>
  <c r="E9" i="136"/>
  <c r="I24" i="136"/>
  <c r="E14" i="136"/>
  <c r="P14" i="136"/>
  <c r="Q14" i="136" s="1"/>
  <c r="M4" i="133"/>
  <c r="M10" i="136"/>
  <c r="M7" i="136"/>
  <c r="C31" i="136"/>
  <c r="P4" i="136"/>
  <c r="Q4" i="136" s="1"/>
  <c r="E4" i="136"/>
  <c r="P19" i="136"/>
  <c r="Q19" i="136" s="1"/>
  <c r="E19" i="136"/>
  <c r="C31" i="132"/>
  <c r="E4" i="132"/>
  <c r="AN4" i="132"/>
  <c r="AO4" i="132" s="1"/>
  <c r="C31" i="134"/>
  <c r="T4" i="134"/>
  <c r="U4" i="134" s="1"/>
  <c r="E4" i="134"/>
  <c r="U4" i="135"/>
  <c r="AF4" i="133"/>
  <c r="AG4" i="133" s="1"/>
  <c r="E4" i="133"/>
  <c r="M5" i="136"/>
  <c r="I11" i="136"/>
  <c r="U4" i="133"/>
  <c r="M29" i="136"/>
  <c r="P11" i="136"/>
  <c r="Q11" i="136" s="1"/>
  <c r="E11" i="136"/>
  <c r="P28" i="136"/>
  <c r="Q28" i="136" s="1"/>
  <c r="E28" i="136"/>
  <c r="M25" i="136"/>
  <c r="P12" i="136"/>
  <c r="Q12" i="136" s="1"/>
  <c r="E12" i="136"/>
  <c r="AE31" i="132"/>
  <c r="F54" i="139" s="1"/>
  <c r="AG4" i="132"/>
  <c r="I16" i="136"/>
  <c r="F31" i="130"/>
  <c r="I15" i="136"/>
  <c r="M8" i="136"/>
  <c r="C82" i="130"/>
  <c r="J82" i="130" s="1"/>
  <c r="F41" i="130"/>
  <c r="M13" i="136"/>
  <c r="M16" i="136"/>
  <c r="M23" i="136"/>
  <c r="I28" i="136"/>
  <c r="M27" i="136"/>
  <c r="AC4" i="133"/>
  <c r="I23" i="136"/>
  <c r="P24" i="136"/>
  <c r="Q24" i="136" s="1"/>
  <c r="E24" i="136"/>
  <c r="I25" i="136"/>
  <c r="E22" i="136"/>
  <c r="P22" i="136"/>
  <c r="Q22" i="136" s="1"/>
  <c r="I8" i="136"/>
  <c r="G31" i="132"/>
  <c r="I4" i="132"/>
  <c r="O31" i="132"/>
  <c r="F50" i="139" s="1"/>
  <c r="Q4" i="132"/>
  <c r="I10" i="136"/>
  <c r="G31" i="134"/>
  <c r="I4" i="134"/>
  <c r="E6" i="136"/>
  <c r="P6" i="136"/>
  <c r="Q6" i="136" s="1"/>
  <c r="I7" i="136"/>
  <c r="E21" i="136"/>
  <c r="P21" i="136"/>
  <c r="Q21" i="136" s="1"/>
  <c r="P20" i="136"/>
  <c r="Q20" i="136" s="1"/>
  <c r="E20" i="136"/>
  <c r="AC4" i="135"/>
  <c r="I4" i="135"/>
  <c r="M4" i="135"/>
  <c r="I26" i="136"/>
  <c r="P15" i="136"/>
  <c r="Q15" i="136" s="1"/>
  <c r="E15" i="136"/>
  <c r="P23" i="136"/>
  <c r="Q23" i="136" s="1"/>
  <c r="E23" i="136"/>
  <c r="M9" i="136"/>
  <c r="I27" i="136"/>
  <c r="M30" i="136"/>
  <c r="E25" i="136"/>
  <c r="P25" i="136"/>
  <c r="Q25" i="136" s="1"/>
  <c r="I14" i="136"/>
  <c r="I22" i="136"/>
  <c r="E8" i="136"/>
  <c r="P8" i="136"/>
  <c r="Q8" i="136" s="1"/>
  <c r="I4" i="133"/>
  <c r="I5" i="136"/>
  <c r="M12" i="136"/>
  <c r="M19" i="136"/>
  <c r="S31" i="132"/>
  <c r="U4" i="132"/>
  <c r="K31" i="132"/>
  <c r="M4" i="132"/>
  <c r="E10" i="136"/>
  <c r="P10" i="136"/>
  <c r="Q10" i="136" s="1"/>
  <c r="O31" i="134"/>
  <c r="Q4" i="134"/>
  <c r="S33" i="134"/>
  <c r="AA31" i="130"/>
  <c r="M6" i="136"/>
  <c r="E7" i="136"/>
  <c r="P7" i="136"/>
  <c r="Q7" i="136" s="1"/>
  <c r="I13" i="136"/>
  <c r="I21" i="136"/>
  <c r="I29" i="136"/>
  <c r="M17" i="136"/>
  <c r="E16" i="136"/>
  <c r="P16" i="136"/>
  <c r="Q16" i="136" s="1"/>
  <c r="M20" i="136"/>
  <c r="K31" i="136"/>
  <c r="M4" i="136"/>
  <c r="AK4" i="135"/>
  <c r="AG4" i="135"/>
  <c r="AO4" i="135"/>
  <c r="Y4" i="135"/>
  <c r="M26" i="136"/>
  <c r="M15" i="136"/>
  <c r="I9" i="136"/>
  <c r="M28" i="136"/>
  <c r="M24" i="136"/>
  <c r="P27" i="136"/>
  <c r="Q27" i="136" s="1"/>
  <c r="E27" i="136"/>
  <c r="I30" i="136"/>
  <c r="M14" i="136"/>
  <c r="M22" i="136"/>
  <c r="Q4" i="133"/>
  <c r="Y4" i="133"/>
  <c r="E5" i="136"/>
  <c r="P5" i="136"/>
  <c r="Q5" i="136" s="1"/>
  <c r="I12" i="136"/>
  <c r="I19" i="136"/>
  <c r="W31" i="132"/>
  <c r="F52" i="139" s="1"/>
  <c r="Y4" i="132"/>
  <c r="AI31" i="132"/>
  <c r="AK4" i="132"/>
  <c r="AA31" i="132"/>
  <c r="AC4" i="132"/>
  <c r="K31" i="134"/>
  <c r="F67" i="139" s="1"/>
  <c r="M4" i="134"/>
  <c r="I6" i="136"/>
  <c r="M21" i="136"/>
  <c r="E29" i="136"/>
  <c r="P29" i="136"/>
  <c r="Q29" i="136" s="1"/>
  <c r="M11" i="136"/>
  <c r="I17" i="136"/>
  <c r="I20" i="136"/>
  <c r="G31" i="136"/>
  <c r="F83" i="139" s="1"/>
  <c r="I4" i="136"/>
  <c r="AU31" i="131"/>
  <c r="AE4" i="131"/>
  <c r="O4" i="131"/>
  <c r="AI4" i="131"/>
  <c r="S4" i="131"/>
  <c r="C4" i="131"/>
  <c r="W4" i="131"/>
  <c r="AA4" i="131"/>
  <c r="AQ4" i="131"/>
  <c r="K4" i="131"/>
  <c r="AM4" i="131"/>
  <c r="G4" i="131"/>
  <c r="AV4" i="135"/>
  <c r="AW4" i="135" s="1"/>
  <c r="E4" i="135"/>
  <c r="Q4" i="135"/>
  <c r="AS4" i="135"/>
  <c r="F36" i="129"/>
  <c r="J31" i="128"/>
  <c r="E39" i="128"/>
  <c r="L23" i="128"/>
  <c r="D31" i="128"/>
  <c r="AL31" i="66" s="1"/>
  <c r="DL35" i="126"/>
  <c r="DL37" i="126" s="1"/>
  <c r="EA35" i="126"/>
  <c r="EA37" i="126" s="1"/>
  <c r="I33" i="122"/>
  <c r="I35" i="122" s="1"/>
  <c r="D35" i="122"/>
  <c r="D50" i="122"/>
  <c r="N7" i="121"/>
  <c r="N8" i="121"/>
  <c r="N9" i="121"/>
  <c r="N10" i="121"/>
  <c r="N11" i="121"/>
  <c r="N12" i="121"/>
  <c r="N13" i="121"/>
  <c r="N14" i="121"/>
  <c r="N15" i="121"/>
  <c r="N16" i="121"/>
  <c r="N17" i="121"/>
  <c r="N18" i="121"/>
  <c r="N19" i="121"/>
  <c r="N20" i="121"/>
  <c r="N21" i="121"/>
  <c r="N22" i="121"/>
  <c r="N23" i="121"/>
  <c r="N24" i="121"/>
  <c r="N25" i="121"/>
  <c r="N26" i="121"/>
  <c r="N27" i="121"/>
  <c r="N28" i="121"/>
  <c r="N29" i="121"/>
  <c r="J36" i="121"/>
  <c r="I34" i="127" s="1"/>
  <c r="N34" i="121"/>
  <c r="N33" i="121"/>
  <c r="O14" i="128" l="1"/>
  <c r="O30" i="128"/>
  <c r="O21" i="128"/>
  <c r="O12" i="128"/>
  <c r="O20" i="128"/>
  <c r="O19" i="128"/>
  <c r="O25" i="128"/>
  <c r="J23" i="129"/>
  <c r="K7" i="129"/>
  <c r="G7" i="129"/>
  <c r="J7" i="129" s="1"/>
  <c r="D21" i="129"/>
  <c r="D11" i="129"/>
  <c r="R24" i="127"/>
  <c r="R22" i="127"/>
  <c r="O22" i="128"/>
  <c r="K8" i="129"/>
  <c r="G8" i="129"/>
  <c r="J8" i="129" s="1"/>
  <c r="E42" i="126"/>
  <c r="O10" i="127"/>
  <c r="AJ28" i="66"/>
  <c r="O26" i="128"/>
  <c r="O13" i="128"/>
  <c r="C42" i="126"/>
  <c r="R25" i="127"/>
  <c r="AI21" i="66"/>
  <c r="O17" i="128"/>
  <c r="O29" i="128"/>
  <c r="O6" i="128"/>
  <c r="O16" i="128"/>
  <c r="O24" i="128"/>
  <c r="R30" i="127"/>
  <c r="R10" i="127"/>
  <c r="R26" i="127"/>
  <c r="R28" i="127"/>
  <c r="R14" i="127"/>
  <c r="R29" i="127"/>
  <c r="R21" i="127"/>
  <c r="R9" i="127"/>
  <c r="R6" i="127"/>
  <c r="R18" i="127"/>
  <c r="R27" i="127"/>
  <c r="R8" i="127"/>
  <c r="AK21" i="66"/>
  <c r="K31" i="128"/>
  <c r="L13" i="128"/>
  <c r="F38" i="128"/>
  <c r="F39" i="128" s="1"/>
  <c r="L26" i="128"/>
  <c r="K35" i="122"/>
  <c r="F35" i="128"/>
  <c r="J35" i="122"/>
  <c r="I38" i="128" s="1"/>
  <c r="I39" i="128" s="1"/>
  <c r="AK11" i="66"/>
  <c r="L19" i="128"/>
  <c r="D37" i="128"/>
  <c r="D36" i="128"/>
  <c r="O31" i="137"/>
  <c r="Q31" i="137" s="1"/>
  <c r="F34" i="123"/>
  <c r="H5" i="123" s="1"/>
  <c r="G31" i="137"/>
  <c r="I31" i="137" s="1"/>
  <c r="AA31" i="137"/>
  <c r="AB12" i="137" s="1"/>
  <c r="AE31" i="137"/>
  <c r="AF23" i="137" s="1"/>
  <c r="S31" i="137"/>
  <c r="T5" i="137" s="1"/>
  <c r="AI33" i="137"/>
  <c r="AJ17" i="137"/>
  <c r="AK17" i="137" s="1"/>
  <c r="C31" i="137"/>
  <c r="D24" i="137" s="1"/>
  <c r="K31" i="137"/>
  <c r="L26" i="137" s="1"/>
  <c r="H30" i="129"/>
  <c r="H7" i="129"/>
  <c r="H25" i="129"/>
  <c r="H18" i="129"/>
  <c r="G34" i="129"/>
  <c r="J34" i="129" s="1"/>
  <c r="G32" i="129"/>
  <c r="J32" i="129" s="1"/>
  <c r="H29" i="129"/>
  <c r="W31" i="137"/>
  <c r="AJ24" i="137"/>
  <c r="AK24" i="137" s="1"/>
  <c r="G29" i="129"/>
  <c r="J29" i="129" s="1"/>
  <c r="AK7" i="66"/>
  <c r="AI12" i="66"/>
  <c r="R17" i="127"/>
  <c r="AI26" i="66"/>
  <c r="R15" i="127"/>
  <c r="O12" i="127"/>
  <c r="R13" i="127"/>
  <c r="O17" i="127"/>
  <c r="R20" i="127"/>
  <c r="D4" i="132"/>
  <c r="F47" i="139"/>
  <c r="O15" i="127"/>
  <c r="R7" i="127"/>
  <c r="L29" i="128"/>
  <c r="O28" i="128"/>
  <c r="AI22" i="66"/>
  <c r="R23" i="127"/>
  <c r="AK31" i="66"/>
  <c r="O31" i="128"/>
  <c r="AJ4" i="132"/>
  <c r="F55" i="139"/>
  <c r="L16" i="136"/>
  <c r="F84" i="139"/>
  <c r="H4" i="132"/>
  <c r="F48" i="139"/>
  <c r="B52" i="139"/>
  <c r="C18" i="69" s="1"/>
  <c r="D52" i="139"/>
  <c r="E18" i="69" s="1"/>
  <c r="L4" i="132"/>
  <c r="F49" i="139"/>
  <c r="AI16" i="66"/>
  <c r="R11" i="127"/>
  <c r="B83" i="139"/>
  <c r="C45" i="69" s="1"/>
  <c r="D83" i="139"/>
  <c r="E45" i="69" s="1"/>
  <c r="H4" i="134"/>
  <c r="F66" i="139"/>
  <c r="O24" i="127"/>
  <c r="R16" i="127"/>
  <c r="B67" i="139"/>
  <c r="C31" i="69" s="1"/>
  <c r="D67" i="139"/>
  <c r="E31" i="69" s="1"/>
  <c r="T4" i="132"/>
  <c r="F51" i="139"/>
  <c r="AI25" i="66"/>
  <c r="R12" i="127"/>
  <c r="AK12" i="66"/>
  <c r="O18" i="128"/>
  <c r="D54" i="139"/>
  <c r="E20" i="69" s="1"/>
  <c r="B54" i="139"/>
  <c r="C20" i="69" s="1"/>
  <c r="AK10" i="66"/>
  <c r="O27" i="128"/>
  <c r="AK28" i="66"/>
  <c r="O7" i="128"/>
  <c r="AB4" i="132"/>
  <c r="F53" i="139"/>
  <c r="P4" i="134"/>
  <c r="F68" i="139"/>
  <c r="B50" i="139"/>
  <c r="C16" i="69" s="1"/>
  <c r="D50" i="139"/>
  <c r="E16" i="69" s="1"/>
  <c r="D4" i="134"/>
  <c r="F65" i="139"/>
  <c r="D26" i="136"/>
  <c r="F82" i="139"/>
  <c r="AI10" i="66"/>
  <c r="R19" i="127"/>
  <c r="AI30" i="66"/>
  <c r="R5" i="127"/>
  <c r="E31" i="129"/>
  <c r="H31" i="129" s="1"/>
  <c r="G30" i="129"/>
  <c r="J30" i="129" s="1"/>
  <c r="L14" i="136"/>
  <c r="D22" i="136"/>
  <c r="AC30" i="130"/>
  <c r="L11" i="136"/>
  <c r="L15" i="136"/>
  <c r="L21" i="136"/>
  <c r="L22" i="136"/>
  <c r="L6" i="136"/>
  <c r="G25" i="129"/>
  <c r="J25" i="129" s="1"/>
  <c r="D29" i="136"/>
  <c r="L24" i="136"/>
  <c r="D24" i="136"/>
  <c r="D27" i="136"/>
  <c r="L28" i="136"/>
  <c r="L26" i="136"/>
  <c r="L23" i="136"/>
  <c r="AD30" i="130"/>
  <c r="L30" i="136"/>
  <c r="D17" i="136"/>
  <c r="H31" i="128"/>
  <c r="H34" i="129"/>
  <c r="L17" i="128"/>
  <c r="G28" i="129"/>
  <c r="J28" i="129" s="1"/>
  <c r="H28" i="129"/>
  <c r="H32" i="129"/>
  <c r="AI18" i="66"/>
  <c r="K31" i="127"/>
  <c r="K35" i="127" s="1"/>
  <c r="I35" i="127"/>
  <c r="AI27" i="66"/>
  <c r="M34" i="121"/>
  <c r="AI15" i="66"/>
  <c r="O7" i="127"/>
  <c r="O11" i="127"/>
  <c r="L27" i="136"/>
  <c r="L8" i="136"/>
  <c r="L5" i="136"/>
  <c r="G39" i="128"/>
  <c r="AF9" i="130"/>
  <c r="AU32" i="135"/>
  <c r="E39" i="130"/>
  <c r="H83" i="130" s="1"/>
  <c r="E38" i="130"/>
  <c r="AF8" i="130"/>
  <c r="AE32" i="133"/>
  <c r="L29" i="136"/>
  <c r="G22" i="133"/>
  <c r="C22" i="133"/>
  <c r="AE31" i="133"/>
  <c r="U31" i="130" s="1"/>
  <c r="AA22" i="133"/>
  <c r="S22" i="133"/>
  <c r="W22" i="133"/>
  <c r="O22" i="133"/>
  <c r="K22" i="133"/>
  <c r="G27" i="135"/>
  <c r="AA27" i="135"/>
  <c r="AE27" i="135"/>
  <c r="AM27" i="135"/>
  <c r="C27" i="135"/>
  <c r="K27" i="135"/>
  <c r="S27" i="135"/>
  <c r="AI27" i="135"/>
  <c r="W27" i="135"/>
  <c r="O27" i="135"/>
  <c r="AQ27" i="135"/>
  <c r="AU31" i="135"/>
  <c r="G18" i="129"/>
  <c r="J18" i="129" s="1"/>
  <c r="L14" i="128"/>
  <c r="AK17" i="66"/>
  <c r="J35" i="127"/>
  <c r="AI13" i="66"/>
  <c r="O27" i="127"/>
  <c r="H24" i="129"/>
  <c r="G24" i="129"/>
  <c r="J24" i="129" s="1"/>
  <c r="H38" i="128"/>
  <c r="H35" i="128"/>
  <c r="I31" i="129"/>
  <c r="E26" i="129"/>
  <c r="H26" i="129" s="1"/>
  <c r="I21" i="129"/>
  <c r="O14" i="127"/>
  <c r="O16" i="127"/>
  <c r="C36" i="129"/>
  <c r="I36" i="129" s="1"/>
  <c r="G35" i="127"/>
  <c r="E21" i="129"/>
  <c r="G21" i="129" s="1"/>
  <c r="J21" i="129" s="1"/>
  <c r="O6" i="127"/>
  <c r="O23" i="127"/>
  <c r="AI8" i="66"/>
  <c r="H14" i="129"/>
  <c r="G14" i="129"/>
  <c r="J14" i="129" s="1"/>
  <c r="H5" i="129"/>
  <c r="G5" i="129"/>
  <c r="J5" i="129" s="1"/>
  <c r="O5" i="127"/>
  <c r="AI23" i="66"/>
  <c r="O29" i="127"/>
  <c r="AI7" i="66"/>
  <c r="H31" i="127"/>
  <c r="I26" i="129"/>
  <c r="I35" i="129"/>
  <c r="O20" i="127"/>
  <c r="AI4" i="66"/>
  <c r="O8" i="127"/>
  <c r="AI17" i="66"/>
  <c r="M31" i="127"/>
  <c r="O28" i="127"/>
  <c r="AI6" i="66"/>
  <c r="H16" i="129"/>
  <c r="G16" i="129"/>
  <c r="J16" i="129" s="1"/>
  <c r="H13" i="129"/>
  <c r="G13" i="129"/>
  <c r="J13" i="129" s="1"/>
  <c r="O22" i="127"/>
  <c r="H8" i="129"/>
  <c r="H19" i="129"/>
  <c r="G19" i="129"/>
  <c r="J19" i="129" s="1"/>
  <c r="G33" i="129"/>
  <c r="J33" i="129" s="1"/>
  <c r="H33" i="129"/>
  <c r="E35" i="129"/>
  <c r="O25" i="127"/>
  <c r="AI11" i="66"/>
  <c r="E11" i="129"/>
  <c r="AQ31" i="131"/>
  <c r="AS4" i="131"/>
  <c r="I31" i="136"/>
  <c r="S6" i="136"/>
  <c r="H18" i="136"/>
  <c r="H6" i="136"/>
  <c r="H7" i="136"/>
  <c r="AQ12" i="132"/>
  <c r="AG31" i="132"/>
  <c r="AF5" i="132"/>
  <c r="AF8" i="132"/>
  <c r="AF11" i="132"/>
  <c r="AF30" i="132"/>
  <c r="AF28" i="132"/>
  <c r="AF10" i="132"/>
  <c r="AF6" i="132"/>
  <c r="AF16" i="132"/>
  <c r="AF12" i="132"/>
  <c r="AF22" i="132"/>
  <c r="AF25" i="132"/>
  <c r="AF27" i="132"/>
  <c r="AF26" i="132"/>
  <c r="AF17" i="132"/>
  <c r="AF18" i="132"/>
  <c r="AF13" i="132"/>
  <c r="AF9" i="132"/>
  <c r="AF21" i="132"/>
  <c r="AF15" i="132"/>
  <c r="AF23" i="132"/>
  <c r="AF24" i="132"/>
  <c r="AF19" i="132"/>
  <c r="AF29" i="132"/>
  <c r="AF20" i="132"/>
  <c r="AF7" i="132"/>
  <c r="AF14" i="132"/>
  <c r="G31" i="131"/>
  <c r="I4" i="131"/>
  <c r="AA31" i="131"/>
  <c r="AC4" i="131"/>
  <c r="AI31" i="131"/>
  <c r="F43" i="139" s="1"/>
  <c r="AK4" i="131"/>
  <c r="L31" i="130"/>
  <c r="AQ10" i="132"/>
  <c r="Y31" i="132"/>
  <c r="X21" i="132"/>
  <c r="X7" i="132"/>
  <c r="X23" i="132"/>
  <c r="X30" i="132"/>
  <c r="X6" i="132"/>
  <c r="X12" i="132"/>
  <c r="X26" i="132"/>
  <c r="X20" i="132"/>
  <c r="X17" i="132"/>
  <c r="X9" i="132"/>
  <c r="X28" i="132"/>
  <c r="X27" i="132"/>
  <c r="X8" i="132"/>
  <c r="X10" i="132"/>
  <c r="X13" i="132"/>
  <c r="X14" i="132"/>
  <c r="X18" i="132"/>
  <c r="X22" i="132"/>
  <c r="X29" i="132"/>
  <c r="X5" i="132"/>
  <c r="X24" i="132"/>
  <c r="X15" i="132"/>
  <c r="X11" i="132"/>
  <c r="X16" i="132"/>
  <c r="X25" i="132"/>
  <c r="X19" i="132"/>
  <c r="H12" i="136"/>
  <c r="H30" i="136"/>
  <c r="L20" i="136"/>
  <c r="L17" i="136"/>
  <c r="H21" i="136"/>
  <c r="D10" i="136"/>
  <c r="M31" i="132"/>
  <c r="AQ7" i="132"/>
  <c r="L16" i="132"/>
  <c r="L17" i="132"/>
  <c r="L24" i="132"/>
  <c r="L10" i="132"/>
  <c r="L27" i="132"/>
  <c r="L7" i="132"/>
  <c r="L11" i="132"/>
  <c r="L6" i="132"/>
  <c r="L25" i="132"/>
  <c r="L15" i="132"/>
  <c r="L9" i="132"/>
  <c r="L22" i="132"/>
  <c r="L12" i="132"/>
  <c r="L26" i="132"/>
  <c r="L18" i="132"/>
  <c r="L23" i="132"/>
  <c r="L8" i="132"/>
  <c r="L21" i="132"/>
  <c r="L28" i="132"/>
  <c r="L5" i="132"/>
  <c r="L29" i="132"/>
  <c r="L19" i="132"/>
  <c r="L13" i="132"/>
  <c r="L14" i="132"/>
  <c r="L20" i="132"/>
  <c r="L30" i="132"/>
  <c r="L19" i="136"/>
  <c r="H5" i="136"/>
  <c r="H22" i="136"/>
  <c r="D23" i="136"/>
  <c r="D15" i="136"/>
  <c r="H25" i="136"/>
  <c r="L13" i="136"/>
  <c r="H16" i="136"/>
  <c r="D12" i="136"/>
  <c r="L25" i="136"/>
  <c r="T31" i="134"/>
  <c r="U31" i="134" s="1"/>
  <c r="E31" i="134"/>
  <c r="W5" i="134"/>
  <c r="D25" i="134"/>
  <c r="D26" i="134"/>
  <c r="D20" i="134"/>
  <c r="D8" i="134"/>
  <c r="D24" i="134"/>
  <c r="D7" i="134"/>
  <c r="D30" i="134"/>
  <c r="D12" i="134"/>
  <c r="D13" i="134"/>
  <c r="D27" i="134"/>
  <c r="D15" i="134"/>
  <c r="D6" i="134"/>
  <c r="D22" i="134"/>
  <c r="D18" i="134"/>
  <c r="D19" i="134"/>
  <c r="D21" i="134"/>
  <c r="D11" i="134"/>
  <c r="D16" i="134"/>
  <c r="D29" i="134"/>
  <c r="D5" i="134"/>
  <c r="D9" i="134"/>
  <c r="D14" i="134"/>
  <c r="D10" i="134"/>
  <c r="D17" i="134"/>
  <c r="D23" i="134"/>
  <c r="D28" i="134"/>
  <c r="AN31" i="132"/>
  <c r="AO31" i="132" s="1"/>
  <c r="E31" i="132"/>
  <c r="AQ5" i="132"/>
  <c r="D19" i="132"/>
  <c r="D18" i="132"/>
  <c r="D16" i="132"/>
  <c r="D7" i="132"/>
  <c r="D23" i="132"/>
  <c r="D20" i="132"/>
  <c r="D9" i="132"/>
  <c r="D28" i="132"/>
  <c r="D30" i="132"/>
  <c r="D26" i="132"/>
  <c r="D12" i="132"/>
  <c r="D25" i="132"/>
  <c r="D6" i="132"/>
  <c r="D11" i="132"/>
  <c r="D15" i="132"/>
  <c r="D27" i="132"/>
  <c r="D29" i="132"/>
  <c r="D14" i="132"/>
  <c r="D24" i="132"/>
  <c r="D8" i="132"/>
  <c r="D22" i="132"/>
  <c r="D5" i="132"/>
  <c r="D17" i="132"/>
  <c r="D10" i="132"/>
  <c r="D21" i="132"/>
  <c r="D13" i="132"/>
  <c r="D4" i="136"/>
  <c r="L7" i="136"/>
  <c r="D14" i="136"/>
  <c r="D9" i="136"/>
  <c r="AE31" i="131"/>
  <c r="AG4" i="131"/>
  <c r="H17" i="136"/>
  <c r="M31" i="134"/>
  <c r="W7" i="134"/>
  <c r="L17" i="134"/>
  <c r="L15" i="134"/>
  <c r="L19" i="134"/>
  <c r="L20" i="134"/>
  <c r="L11" i="134"/>
  <c r="L26" i="134"/>
  <c r="L5" i="134"/>
  <c r="L22" i="134"/>
  <c r="L29" i="134"/>
  <c r="L7" i="134"/>
  <c r="L12" i="134"/>
  <c r="L10" i="134"/>
  <c r="L14" i="134"/>
  <c r="L8" i="134"/>
  <c r="L30" i="134"/>
  <c r="L21" i="134"/>
  <c r="L27" i="134"/>
  <c r="L25" i="134"/>
  <c r="L16" i="134"/>
  <c r="L6" i="134"/>
  <c r="L9" i="134"/>
  <c r="L23" i="134"/>
  <c r="L13" i="134"/>
  <c r="L24" i="134"/>
  <c r="L18" i="134"/>
  <c r="L28" i="134"/>
  <c r="H14" i="136"/>
  <c r="H10" i="136"/>
  <c r="H23" i="136"/>
  <c r="AM31" i="131"/>
  <c r="F44" i="139" s="1"/>
  <c r="AO4" i="131"/>
  <c r="W31" i="131"/>
  <c r="F40" i="139" s="1"/>
  <c r="Y4" i="131"/>
  <c r="H4" i="136"/>
  <c r="H20" i="136"/>
  <c r="AK31" i="132"/>
  <c r="AQ13" i="132"/>
  <c r="AJ16" i="132"/>
  <c r="AJ15" i="132"/>
  <c r="AJ23" i="132"/>
  <c r="AJ14" i="132"/>
  <c r="AJ6" i="132"/>
  <c r="AJ29" i="132"/>
  <c r="AJ12" i="132"/>
  <c r="AJ28" i="132"/>
  <c r="AJ10" i="132"/>
  <c r="AJ7" i="132"/>
  <c r="AJ8" i="132"/>
  <c r="AJ13" i="132"/>
  <c r="AJ20" i="132"/>
  <c r="AJ11" i="132"/>
  <c r="AJ25" i="132"/>
  <c r="AJ22" i="132"/>
  <c r="AJ21" i="132"/>
  <c r="AJ9" i="132"/>
  <c r="AJ26" i="132"/>
  <c r="AJ19" i="132"/>
  <c r="AJ18" i="132"/>
  <c r="AJ5" i="132"/>
  <c r="AJ27" i="132"/>
  <c r="AJ30" i="132"/>
  <c r="AJ17" i="132"/>
  <c r="AJ24" i="132"/>
  <c r="H9" i="136"/>
  <c r="L4" i="136"/>
  <c r="D7" i="136"/>
  <c r="D25" i="136"/>
  <c r="D20" i="136"/>
  <c r="D21" i="136"/>
  <c r="H28" i="136"/>
  <c r="D28" i="136"/>
  <c r="H11" i="136"/>
  <c r="S31" i="131"/>
  <c r="U4" i="131"/>
  <c r="U31" i="132"/>
  <c r="AQ9" i="132"/>
  <c r="T28" i="132"/>
  <c r="T11" i="132"/>
  <c r="T24" i="132"/>
  <c r="T26" i="132"/>
  <c r="T19" i="132"/>
  <c r="T30" i="132"/>
  <c r="T18" i="132"/>
  <c r="T21" i="132"/>
  <c r="T20" i="132"/>
  <c r="T10" i="132"/>
  <c r="T6" i="132"/>
  <c r="T29" i="132"/>
  <c r="T8" i="132"/>
  <c r="T15" i="132"/>
  <c r="T23" i="132"/>
  <c r="T22" i="132"/>
  <c r="T12" i="132"/>
  <c r="T27" i="132"/>
  <c r="T13" i="132"/>
  <c r="T16" i="132"/>
  <c r="T7" i="132"/>
  <c r="T17" i="132"/>
  <c r="T14" i="132"/>
  <c r="T5" i="132"/>
  <c r="T25" i="132"/>
  <c r="T9" i="132"/>
  <c r="AQ8" i="132"/>
  <c r="Q31" i="132"/>
  <c r="P18" i="132"/>
  <c r="P29" i="132"/>
  <c r="P22" i="132"/>
  <c r="P5" i="132"/>
  <c r="P19" i="132"/>
  <c r="P13" i="132"/>
  <c r="P28" i="132"/>
  <c r="P25" i="132"/>
  <c r="P11" i="132"/>
  <c r="P23" i="132"/>
  <c r="P12" i="132"/>
  <c r="P21" i="132"/>
  <c r="P27" i="132"/>
  <c r="P26" i="132"/>
  <c r="P24" i="132"/>
  <c r="P15" i="132"/>
  <c r="P8" i="132"/>
  <c r="P17" i="132"/>
  <c r="P9" i="132"/>
  <c r="P14" i="132"/>
  <c r="P7" i="132"/>
  <c r="P6" i="132"/>
  <c r="P16" i="132"/>
  <c r="P10" i="132"/>
  <c r="P20" i="132"/>
  <c r="P30" i="132"/>
  <c r="H8" i="136"/>
  <c r="H15" i="136"/>
  <c r="E31" i="136"/>
  <c r="P31" i="136"/>
  <c r="Q31" i="136" s="1"/>
  <c r="S5" i="136"/>
  <c r="D18" i="136"/>
  <c r="H24" i="136"/>
  <c r="K31" i="131"/>
  <c r="M4" i="131"/>
  <c r="C31" i="131"/>
  <c r="E4" i="131"/>
  <c r="AV4" i="131"/>
  <c r="AW4" i="131" s="1"/>
  <c r="O3" i="130"/>
  <c r="O30" i="130" s="1"/>
  <c r="O31" i="131"/>
  <c r="F38" i="139" s="1"/>
  <c r="M3" i="130"/>
  <c r="Q4" i="131"/>
  <c r="L4" i="134"/>
  <c r="AC31" i="132"/>
  <c r="AQ11" i="132"/>
  <c r="AB13" i="132"/>
  <c r="AB12" i="132"/>
  <c r="AB8" i="132"/>
  <c r="AB15" i="132"/>
  <c r="AB20" i="132"/>
  <c r="AB5" i="132"/>
  <c r="AB25" i="132"/>
  <c r="AB18" i="132"/>
  <c r="AB22" i="132"/>
  <c r="AB17" i="132"/>
  <c r="AB9" i="132"/>
  <c r="AB28" i="132"/>
  <c r="AB23" i="132"/>
  <c r="AB26" i="132"/>
  <c r="AB24" i="132"/>
  <c r="AB16" i="132"/>
  <c r="AB21" i="132"/>
  <c r="AB7" i="132"/>
  <c r="AB10" i="132"/>
  <c r="AB19" i="132"/>
  <c r="AB11" i="132"/>
  <c r="AB29" i="132"/>
  <c r="AB27" i="132"/>
  <c r="AB6" i="132"/>
  <c r="AB30" i="132"/>
  <c r="AB14" i="132"/>
  <c r="X4" i="132"/>
  <c r="H19" i="136"/>
  <c r="D5" i="136"/>
  <c r="M31" i="136"/>
  <c r="S7" i="136"/>
  <c r="L18" i="136"/>
  <c r="D16" i="136"/>
  <c r="H29" i="136"/>
  <c r="H13" i="136"/>
  <c r="Q31" i="134"/>
  <c r="W8" i="134"/>
  <c r="P30" i="134"/>
  <c r="P17" i="134"/>
  <c r="P28" i="134"/>
  <c r="P7" i="134"/>
  <c r="P27" i="134"/>
  <c r="P5" i="134"/>
  <c r="P19" i="134"/>
  <c r="P26" i="134"/>
  <c r="P16" i="134"/>
  <c r="P10" i="134"/>
  <c r="P6" i="134"/>
  <c r="P25" i="134"/>
  <c r="P11" i="134"/>
  <c r="P29" i="134"/>
  <c r="P18" i="134"/>
  <c r="P9" i="134"/>
  <c r="P24" i="134"/>
  <c r="P21" i="134"/>
  <c r="P14" i="134"/>
  <c r="P8" i="134"/>
  <c r="P22" i="134"/>
  <c r="P13" i="134"/>
  <c r="P23" i="134"/>
  <c r="P20" i="134"/>
  <c r="P12" i="134"/>
  <c r="P15" i="134"/>
  <c r="L12" i="136"/>
  <c r="D8" i="136"/>
  <c r="H27" i="136"/>
  <c r="L9" i="136"/>
  <c r="H26" i="136"/>
  <c r="D6" i="136"/>
  <c r="I31" i="134"/>
  <c r="W6" i="134"/>
  <c r="H28" i="134"/>
  <c r="H5" i="134"/>
  <c r="H29" i="134"/>
  <c r="H12" i="134"/>
  <c r="H20" i="134"/>
  <c r="H26" i="134"/>
  <c r="H10" i="134"/>
  <c r="H7" i="134"/>
  <c r="H24" i="134"/>
  <c r="H14" i="134"/>
  <c r="H30" i="134"/>
  <c r="H18" i="134"/>
  <c r="H16" i="134"/>
  <c r="H15" i="134"/>
  <c r="H22" i="134"/>
  <c r="H25" i="134"/>
  <c r="H21" i="134"/>
  <c r="H17" i="134"/>
  <c r="H9" i="134"/>
  <c r="H11" i="134"/>
  <c r="H19" i="134"/>
  <c r="H6" i="134"/>
  <c r="H27" i="134"/>
  <c r="H23" i="134"/>
  <c r="H8" i="134"/>
  <c r="H13" i="134"/>
  <c r="P4" i="132"/>
  <c r="AQ6" i="132"/>
  <c r="I31" i="132"/>
  <c r="H16" i="132"/>
  <c r="H13" i="132"/>
  <c r="H5" i="132"/>
  <c r="H26" i="132"/>
  <c r="H14" i="132"/>
  <c r="H6" i="132"/>
  <c r="H20" i="132"/>
  <c r="H10" i="132"/>
  <c r="H7" i="132"/>
  <c r="H28" i="132"/>
  <c r="H8" i="132"/>
  <c r="H30" i="132"/>
  <c r="H11" i="132"/>
  <c r="H25" i="132"/>
  <c r="H18" i="132"/>
  <c r="H22" i="132"/>
  <c r="H17" i="132"/>
  <c r="H23" i="132"/>
  <c r="H24" i="132"/>
  <c r="H9" i="132"/>
  <c r="H12" i="132"/>
  <c r="H19" i="132"/>
  <c r="H15" i="132"/>
  <c r="H21" i="132"/>
  <c r="H27" i="132"/>
  <c r="H29" i="132"/>
  <c r="AF4" i="132"/>
  <c r="D11" i="136"/>
  <c r="D19" i="136"/>
  <c r="L10" i="136"/>
  <c r="D13" i="136"/>
  <c r="D30" i="136"/>
  <c r="L31" i="128"/>
  <c r="N36" i="121"/>
  <c r="M36" i="121"/>
  <c r="L34" i="127" s="1"/>
  <c r="J38" i="121"/>
  <c r="F42" i="126" l="1"/>
  <c r="D36" i="129"/>
  <c r="AH31" i="66" s="1"/>
  <c r="C31" i="130"/>
  <c r="H10" i="123"/>
  <c r="H17" i="123"/>
  <c r="H20" i="123"/>
  <c r="H31" i="123"/>
  <c r="H23" i="123"/>
  <c r="H15" i="123"/>
  <c r="H7" i="123"/>
  <c r="H16" i="123"/>
  <c r="H26" i="123"/>
  <c r="H18" i="123"/>
  <c r="H28" i="123"/>
  <c r="H29" i="123"/>
  <c r="H21" i="123"/>
  <c r="H13" i="123"/>
  <c r="H27" i="123"/>
  <c r="H19" i="123"/>
  <c r="H11" i="123"/>
  <c r="H30" i="123"/>
  <c r="H22" i="123"/>
  <c r="H25" i="123"/>
  <c r="H9" i="123"/>
  <c r="H8" i="123"/>
  <c r="H14" i="123"/>
  <c r="H6" i="123"/>
  <c r="H12" i="123"/>
  <c r="H24" i="123"/>
  <c r="H34" i="123"/>
  <c r="AE31" i="66"/>
  <c r="P23" i="137"/>
  <c r="P30" i="137"/>
  <c r="F93" i="139"/>
  <c r="D93" i="139" s="1"/>
  <c r="E54" i="69" s="1"/>
  <c r="F89" i="139"/>
  <c r="D89" i="139" s="1"/>
  <c r="E50" i="69" s="1"/>
  <c r="P20" i="137"/>
  <c r="AF8" i="137"/>
  <c r="T14" i="137"/>
  <c r="T23" i="137"/>
  <c r="H32" i="123"/>
  <c r="G34" i="123"/>
  <c r="F36" i="123"/>
  <c r="P22" i="137"/>
  <c r="P7" i="137"/>
  <c r="F88" i="139"/>
  <c r="D88" i="139" s="1"/>
  <c r="E49" i="69" s="1"/>
  <c r="L10" i="137"/>
  <c r="T9" i="137"/>
  <c r="T24" i="137"/>
  <c r="P8" i="137"/>
  <c r="T22" i="137"/>
  <c r="L5" i="137"/>
  <c r="M31" i="137"/>
  <c r="L9" i="137"/>
  <c r="T17" i="137"/>
  <c r="L17" i="137"/>
  <c r="AM9" i="137"/>
  <c r="F87" i="139"/>
  <c r="B87" i="139" s="1"/>
  <c r="C48" i="69" s="1"/>
  <c r="H13" i="137"/>
  <c r="H16" i="137"/>
  <c r="H9" i="137"/>
  <c r="H25" i="137"/>
  <c r="H20" i="137"/>
  <c r="P17" i="137"/>
  <c r="AM8" i="137"/>
  <c r="P19" i="137"/>
  <c r="AF18" i="137"/>
  <c r="AF16" i="137"/>
  <c r="P21" i="137"/>
  <c r="P18" i="137"/>
  <c r="P4" i="137"/>
  <c r="P15" i="137"/>
  <c r="P6" i="137"/>
  <c r="P14" i="137"/>
  <c r="AF20" i="137"/>
  <c r="AF14" i="137"/>
  <c r="AF7" i="137"/>
  <c r="AF28" i="137"/>
  <c r="AG31" i="137"/>
  <c r="P27" i="137"/>
  <c r="AF13" i="137"/>
  <c r="AF15" i="137"/>
  <c r="AM12" i="137"/>
  <c r="P10" i="137"/>
  <c r="P12" i="137"/>
  <c r="P9" i="137"/>
  <c r="P13" i="137"/>
  <c r="P25" i="137"/>
  <c r="P5" i="137"/>
  <c r="P11" i="137"/>
  <c r="P28" i="137"/>
  <c r="AF12" i="137"/>
  <c r="AF26" i="137"/>
  <c r="AF9" i="137"/>
  <c r="AF5" i="137"/>
  <c r="AF11" i="137"/>
  <c r="P29" i="137"/>
  <c r="P24" i="137"/>
  <c r="AF24" i="137"/>
  <c r="AF27" i="137"/>
  <c r="AF10" i="137"/>
  <c r="AF4" i="137"/>
  <c r="H18" i="137"/>
  <c r="H30" i="137"/>
  <c r="H28" i="137"/>
  <c r="H15" i="137"/>
  <c r="H27" i="137"/>
  <c r="H6" i="137"/>
  <c r="H23" i="137"/>
  <c r="H24" i="137"/>
  <c r="H7" i="137"/>
  <c r="AM6" i="137"/>
  <c r="H29" i="137"/>
  <c r="H22" i="137"/>
  <c r="H11" i="137"/>
  <c r="H17" i="137"/>
  <c r="H4" i="137"/>
  <c r="AB23" i="137"/>
  <c r="AB29" i="137"/>
  <c r="AB24" i="137"/>
  <c r="AB16" i="137"/>
  <c r="AB28" i="137"/>
  <c r="AC31" i="137"/>
  <c r="AB19" i="137"/>
  <c r="AB21" i="137"/>
  <c r="AB25" i="137"/>
  <c r="AB13" i="137"/>
  <c r="AB4" i="137"/>
  <c r="AB14" i="137"/>
  <c r="AB26" i="137"/>
  <c r="D7" i="137"/>
  <c r="D9" i="137"/>
  <c r="AB15" i="137"/>
  <c r="AB8" i="137"/>
  <c r="AB11" i="137"/>
  <c r="AB9" i="137"/>
  <c r="AM11" i="137"/>
  <c r="AB17" i="137"/>
  <c r="P26" i="137"/>
  <c r="P16" i="137"/>
  <c r="AB10" i="137"/>
  <c r="H19" i="137"/>
  <c r="AB6" i="137"/>
  <c r="AB27" i="137"/>
  <c r="AB18" i="137"/>
  <c r="T20" i="137"/>
  <c r="T26" i="137"/>
  <c r="F90" i="139"/>
  <c r="B90" i="139" s="1"/>
  <c r="C51" i="69" s="1"/>
  <c r="T27" i="137"/>
  <c r="T4" i="137"/>
  <c r="T19" i="137"/>
  <c r="T16" i="137"/>
  <c r="T28" i="137"/>
  <c r="AM5" i="137"/>
  <c r="T6" i="137"/>
  <c r="T15" i="137"/>
  <c r="T12" i="137"/>
  <c r="T7" i="137"/>
  <c r="U31" i="137"/>
  <c r="T13" i="137"/>
  <c r="AF30" i="137"/>
  <c r="AF6" i="137"/>
  <c r="AF25" i="137"/>
  <c r="D5" i="137"/>
  <c r="T11" i="137"/>
  <c r="T18" i="137"/>
  <c r="AF21" i="137"/>
  <c r="T30" i="137"/>
  <c r="AF29" i="137"/>
  <c r="T25" i="137"/>
  <c r="AB22" i="137"/>
  <c r="AB30" i="137"/>
  <c r="AB5" i="137"/>
  <c r="D30" i="137"/>
  <c r="H8" i="137"/>
  <c r="H14" i="137"/>
  <c r="H5" i="137"/>
  <c r="E31" i="137"/>
  <c r="D12" i="137"/>
  <c r="D16" i="137"/>
  <c r="D27" i="137"/>
  <c r="D13" i="137"/>
  <c r="D19" i="137"/>
  <c r="D26" i="137"/>
  <c r="D15" i="137"/>
  <c r="D20" i="137"/>
  <c r="D25" i="137"/>
  <c r="D17" i="137"/>
  <c r="AF17" i="137"/>
  <c r="AB7" i="137"/>
  <c r="F92" i="139"/>
  <c r="D10" i="137"/>
  <c r="F86" i="139"/>
  <c r="B86" i="139" s="1"/>
  <c r="C47" i="69" s="1"/>
  <c r="D11" i="137"/>
  <c r="D29" i="137"/>
  <c r="D18" i="137"/>
  <c r="D28" i="137"/>
  <c r="D8" i="137"/>
  <c r="D23" i="137"/>
  <c r="AB20" i="137"/>
  <c r="H12" i="137"/>
  <c r="H10" i="137"/>
  <c r="H26" i="137"/>
  <c r="H21" i="137"/>
  <c r="D22" i="137"/>
  <c r="D4" i="137"/>
  <c r="AF22" i="137"/>
  <c r="AF19" i="137"/>
  <c r="L23" i="137"/>
  <c r="L11" i="137"/>
  <c r="L8" i="137"/>
  <c r="AM7" i="137"/>
  <c r="L18" i="137"/>
  <c r="L19" i="137"/>
  <c r="L20" i="137"/>
  <c r="L12" i="137"/>
  <c r="L25" i="137"/>
  <c r="L24" i="137"/>
  <c r="L13" i="137"/>
  <c r="L27" i="137"/>
  <c r="L15" i="137"/>
  <c r="T10" i="137"/>
  <c r="T8" i="137"/>
  <c r="T21" i="137"/>
  <c r="T29" i="137"/>
  <c r="L14" i="137"/>
  <c r="L7" i="137"/>
  <c r="L28" i="137"/>
  <c r="L4" i="137"/>
  <c r="L16" i="137"/>
  <c r="L22" i="137"/>
  <c r="L6" i="137"/>
  <c r="L21" i="137"/>
  <c r="D6" i="137"/>
  <c r="D21" i="137"/>
  <c r="D14" i="137"/>
  <c r="L29" i="137"/>
  <c r="L30" i="137"/>
  <c r="X14" i="137"/>
  <c r="X27" i="137"/>
  <c r="X5" i="137"/>
  <c r="X21" i="137"/>
  <c r="X28" i="137"/>
  <c r="Y31" i="137"/>
  <c r="X8" i="137"/>
  <c r="X16" i="137"/>
  <c r="X12" i="137"/>
  <c r="X6" i="137"/>
  <c r="X18" i="137"/>
  <c r="X15" i="137"/>
  <c r="X19" i="137"/>
  <c r="X11" i="137"/>
  <c r="X7" i="137"/>
  <c r="AM10" i="137"/>
  <c r="X10" i="137"/>
  <c r="X25" i="137"/>
  <c r="X20" i="137"/>
  <c r="X17" i="137"/>
  <c r="X29" i="137"/>
  <c r="X13" i="137"/>
  <c r="X24" i="137"/>
  <c r="X22" i="137"/>
  <c r="X9" i="137"/>
  <c r="X4" i="137"/>
  <c r="X23" i="137"/>
  <c r="F91" i="139"/>
  <c r="X26" i="137"/>
  <c r="X30" i="137"/>
  <c r="AJ31" i="137"/>
  <c r="AK31" i="137" s="1"/>
  <c r="G31" i="129"/>
  <c r="J31" i="129" s="1"/>
  <c r="D4" i="131"/>
  <c r="F35" i="139"/>
  <c r="AF4" i="131"/>
  <c r="F42" i="139"/>
  <c r="AR4" i="131"/>
  <c r="F45" i="139"/>
  <c r="D51" i="139"/>
  <c r="E17" i="69" s="1"/>
  <c r="B51" i="139"/>
  <c r="C17" i="69" s="1"/>
  <c r="B48" i="139"/>
  <c r="C14" i="69" s="1"/>
  <c r="D48" i="139"/>
  <c r="E14" i="69" s="1"/>
  <c r="D43" i="139"/>
  <c r="E10" i="69" s="1"/>
  <c r="B43" i="139"/>
  <c r="C10" i="69" s="1"/>
  <c r="L4" i="131"/>
  <c r="F37" i="139"/>
  <c r="D68" i="139"/>
  <c r="E32" i="69" s="1"/>
  <c r="B68" i="139"/>
  <c r="C32" i="69" s="1"/>
  <c r="D84" i="139"/>
  <c r="E46" i="69" s="1"/>
  <c r="B84" i="139"/>
  <c r="C46" i="69" s="1"/>
  <c r="T4" i="131"/>
  <c r="F39" i="139"/>
  <c r="AB4" i="131"/>
  <c r="F41" i="139"/>
  <c r="D38" i="139"/>
  <c r="E5" i="69" s="1"/>
  <c r="B38" i="139"/>
  <c r="C5" i="69" s="1"/>
  <c r="B40" i="139"/>
  <c r="C7" i="69" s="1"/>
  <c r="D40" i="139"/>
  <c r="E7" i="69" s="1"/>
  <c r="B82" i="139"/>
  <c r="C44" i="69" s="1"/>
  <c r="D82" i="139"/>
  <c r="E44" i="69" s="1"/>
  <c r="B53" i="139"/>
  <c r="C19" i="69" s="1"/>
  <c r="D53" i="139"/>
  <c r="E19" i="69" s="1"/>
  <c r="B49" i="139"/>
  <c r="C15" i="69" s="1"/>
  <c r="D49" i="139"/>
  <c r="E15" i="69" s="1"/>
  <c r="B55" i="139"/>
  <c r="C21" i="69" s="1"/>
  <c r="D55" i="139"/>
  <c r="E21" i="69" s="1"/>
  <c r="H4" i="131"/>
  <c r="F36" i="139"/>
  <c r="B44" i="139"/>
  <c r="C11" i="69" s="1"/>
  <c r="D44" i="139"/>
  <c r="E11" i="69" s="1"/>
  <c r="B65" i="139"/>
  <c r="C29" i="69" s="1"/>
  <c r="D65" i="139"/>
  <c r="E29" i="69" s="1"/>
  <c r="D66" i="139"/>
  <c r="E30" i="69" s="1"/>
  <c r="B66" i="139"/>
  <c r="C30" i="69" s="1"/>
  <c r="B47" i="139"/>
  <c r="C13" i="69" s="1"/>
  <c r="D47" i="139"/>
  <c r="E13" i="69" s="1"/>
  <c r="AF11" i="130"/>
  <c r="AG7" i="130" s="1"/>
  <c r="D31" i="134"/>
  <c r="AF31" i="132"/>
  <c r="H39" i="128"/>
  <c r="AJ31" i="132"/>
  <c r="L31" i="132"/>
  <c r="H31" i="134"/>
  <c r="P31" i="134"/>
  <c r="D31" i="132"/>
  <c r="AB31" i="132"/>
  <c r="T31" i="132"/>
  <c r="H31" i="132"/>
  <c r="AU33" i="135"/>
  <c r="X31" i="130"/>
  <c r="AK27" i="135"/>
  <c r="AI31" i="135"/>
  <c r="F78" i="139" s="1"/>
  <c r="AO27" i="135"/>
  <c r="AM31" i="135"/>
  <c r="F79" i="139" s="1"/>
  <c r="M22" i="133"/>
  <c r="K31" i="133"/>
  <c r="F59" i="139" s="1"/>
  <c r="AC22" i="133"/>
  <c r="AA31" i="133"/>
  <c r="F63" i="139" s="1"/>
  <c r="AS27" i="135"/>
  <c r="AQ31" i="135"/>
  <c r="F80" i="139" s="1"/>
  <c r="U27" i="135"/>
  <c r="S31" i="135"/>
  <c r="F74" i="139" s="1"/>
  <c r="AG27" i="135"/>
  <c r="AE31" i="135"/>
  <c r="F77" i="139" s="1"/>
  <c r="Q22" i="133"/>
  <c r="O31" i="133"/>
  <c r="F60" i="139" s="1"/>
  <c r="Q27" i="135"/>
  <c r="O31" i="135"/>
  <c r="F73" i="139" s="1"/>
  <c r="M27" i="135"/>
  <c r="K31" i="135"/>
  <c r="F72" i="139" s="1"/>
  <c r="AC27" i="135"/>
  <c r="AA31" i="135"/>
  <c r="F76" i="139" s="1"/>
  <c r="Y22" i="133"/>
  <c r="W31" i="133"/>
  <c r="F62" i="139" s="1"/>
  <c r="E22" i="133"/>
  <c r="AF22" i="133"/>
  <c r="AG22" i="133" s="1"/>
  <c r="C31" i="133"/>
  <c r="F57" i="139" s="1"/>
  <c r="Y27" i="135"/>
  <c r="W31" i="135"/>
  <c r="F75" i="139" s="1"/>
  <c r="AV27" i="135"/>
  <c r="AW27" i="135" s="1"/>
  <c r="E27" i="135"/>
  <c r="C31" i="135"/>
  <c r="F70" i="139" s="1"/>
  <c r="I27" i="135"/>
  <c r="G31" i="135"/>
  <c r="F71" i="139" s="1"/>
  <c r="U22" i="133"/>
  <c r="S31" i="133"/>
  <c r="F61" i="139" s="1"/>
  <c r="I22" i="133"/>
  <c r="G31" i="133"/>
  <c r="F58" i="139" s="1"/>
  <c r="G83" i="130"/>
  <c r="J83" i="130" s="1"/>
  <c r="E41" i="130"/>
  <c r="G26" i="129"/>
  <c r="J26" i="129" s="1"/>
  <c r="E36" i="129"/>
  <c r="H36" i="129" s="1"/>
  <c r="H21" i="129"/>
  <c r="H35" i="127"/>
  <c r="L31" i="127"/>
  <c r="G11" i="129"/>
  <c r="J11" i="129" s="1"/>
  <c r="H11" i="129"/>
  <c r="H35" i="129"/>
  <c r="G35" i="129"/>
  <c r="J35" i="129" s="1"/>
  <c r="X31" i="132"/>
  <c r="M30" i="130"/>
  <c r="N30" i="130" s="1"/>
  <c r="N3" i="130"/>
  <c r="Y31" i="131"/>
  <c r="AY10" i="131"/>
  <c r="X29" i="131"/>
  <c r="X28" i="131"/>
  <c r="X30" i="131"/>
  <c r="X20" i="131"/>
  <c r="X25" i="131"/>
  <c r="X18" i="131"/>
  <c r="X22" i="131"/>
  <c r="X9" i="131"/>
  <c r="X7" i="131"/>
  <c r="X13" i="131"/>
  <c r="X14" i="131"/>
  <c r="X5" i="131"/>
  <c r="X23" i="131"/>
  <c r="X26" i="131"/>
  <c r="X11" i="131"/>
  <c r="X24" i="131"/>
  <c r="X8" i="131"/>
  <c r="X27" i="131"/>
  <c r="X10" i="131"/>
  <c r="X6" i="131"/>
  <c r="X15" i="131"/>
  <c r="X17" i="131"/>
  <c r="X21" i="131"/>
  <c r="X12" i="131"/>
  <c r="X16" i="131"/>
  <c r="X19" i="131"/>
  <c r="AO31" i="131"/>
  <c r="AY14" i="131"/>
  <c r="AN28" i="131"/>
  <c r="AN22" i="131"/>
  <c r="AN13" i="131"/>
  <c r="AN24" i="131"/>
  <c r="AN23" i="131"/>
  <c r="AN10" i="131"/>
  <c r="AN30" i="131"/>
  <c r="AN25" i="131"/>
  <c r="AN21" i="131"/>
  <c r="AN16" i="131"/>
  <c r="AN7" i="131"/>
  <c r="AN14" i="131"/>
  <c r="AN27" i="131"/>
  <c r="AN17" i="131"/>
  <c r="AN20" i="131"/>
  <c r="AN11" i="131"/>
  <c r="AN9" i="131"/>
  <c r="AN15" i="131"/>
  <c r="AN12" i="131"/>
  <c r="AN29" i="131"/>
  <c r="AN8" i="131"/>
  <c r="AN19" i="131"/>
  <c r="AN6" i="131"/>
  <c r="AN18" i="131"/>
  <c r="AN5" i="131"/>
  <c r="AN26" i="131"/>
  <c r="AK31" i="131"/>
  <c r="AY13" i="131"/>
  <c r="AJ30" i="131"/>
  <c r="AJ20" i="131"/>
  <c r="AJ29" i="131"/>
  <c r="AJ22" i="131"/>
  <c r="AJ15" i="131"/>
  <c r="AJ10" i="131"/>
  <c r="AJ6" i="131"/>
  <c r="AJ17" i="131"/>
  <c r="AJ11" i="131"/>
  <c r="AJ12" i="131"/>
  <c r="AJ23" i="131"/>
  <c r="AJ19" i="131"/>
  <c r="AJ24" i="131"/>
  <c r="AJ7" i="131"/>
  <c r="AJ13" i="131"/>
  <c r="AJ16" i="131"/>
  <c r="AJ14" i="131"/>
  <c r="AJ21" i="131"/>
  <c r="AJ9" i="131"/>
  <c r="AJ8" i="131"/>
  <c r="AJ28" i="131"/>
  <c r="AJ25" i="131"/>
  <c r="AJ18" i="131"/>
  <c r="AJ5" i="131"/>
  <c r="AJ27" i="131"/>
  <c r="AJ26" i="131"/>
  <c r="P31" i="132"/>
  <c r="L31" i="134"/>
  <c r="Q31" i="131"/>
  <c r="AY8" i="131"/>
  <c r="P23" i="131"/>
  <c r="P7" i="131"/>
  <c r="P19" i="131"/>
  <c r="P11" i="131"/>
  <c r="P14" i="131"/>
  <c r="P26" i="131"/>
  <c r="P27" i="131"/>
  <c r="P16" i="131"/>
  <c r="P5" i="131"/>
  <c r="P10" i="131"/>
  <c r="P30" i="131"/>
  <c r="P8" i="131"/>
  <c r="P28" i="131"/>
  <c r="P22" i="131"/>
  <c r="P20" i="131"/>
  <c r="P21" i="131"/>
  <c r="P24" i="131"/>
  <c r="P18" i="131"/>
  <c r="P29" i="131"/>
  <c r="P9" i="131"/>
  <c r="P6" i="131"/>
  <c r="P13" i="131"/>
  <c r="P17" i="131"/>
  <c r="P15" i="131"/>
  <c r="P12" i="131"/>
  <c r="P25" i="131"/>
  <c r="M31" i="131"/>
  <c r="AY7" i="131"/>
  <c r="L5" i="131"/>
  <c r="L23" i="131"/>
  <c r="L28" i="131"/>
  <c r="L25" i="131"/>
  <c r="L14" i="131"/>
  <c r="L30" i="131"/>
  <c r="L15" i="131"/>
  <c r="L13" i="131"/>
  <c r="L9" i="131"/>
  <c r="L29" i="131"/>
  <c r="L26" i="131"/>
  <c r="L27" i="131"/>
  <c r="L17" i="131"/>
  <c r="L10" i="131"/>
  <c r="L8" i="131"/>
  <c r="L7" i="131"/>
  <c r="L18" i="131"/>
  <c r="L22" i="131"/>
  <c r="L20" i="131"/>
  <c r="L12" i="131"/>
  <c r="L11" i="131"/>
  <c r="L19" i="131"/>
  <c r="L24" i="131"/>
  <c r="L6" i="131"/>
  <c r="L16" i="131"/>
  <c r="L21" i="131"/>
  <c r="S8" i="136"/>
  <c r="T5" i="136" s="1"/>
  <c r="U31" i="131"/>
  <c r="AY9" i="131"/>
  <c r="T17" i="131"/>
  <c r="T7" i="131"/>
  <c r="T29" i="131"/>
  <c r="T18" i="131"/>
  <c r="T22" i="131"/>
  <c r="T23" i="131"/>
  <c r="T11" i="131"/>
  <c r="T14" i="131"/>
  <c r="T12" i="131"/>
  <c r="T10" i="131"/>
  <c r="T8" i="131"/>
  <c r="T6" i="131"/>
  <c r="T16" i="131"/>
  <c r="T26" i="131"/>
  <c r="T19" i="131"/>
  <c r="T15" i="131"/>
  <c r="T28" i="131"/>
  <c r="T9" i="131"/>
  <c r="T5" i="131"/>
  <c r="T21" i="131"/>
  <c r="T13" i="131"/>
  <c r="T20" i="131"/>
  <c r="T27" i="131"/>
  <c r="T25" i="131"/>
  <c r="T30" i="131"/>
  <c r="T24" i="131"/>
  <c r="H31" i="136"/>
  <c r="AN4" i="131"/>
  <c r="AG31" i="131"/>
  <c r="AY12" i="131"/>
  <c r="AF22" i="131"/>
  <c r="AF21" i="131"/>
  <c r="AF11" i="131"/>
  <c r="AF20" i="131"/>
  <c r="AF13" i="131"/>
  <c r="AF29" i="131"/>
  <c r="AF27" i="131"/>
  <c r="AF6" i="131"/>
  <c r="AF16" i="131"/>
  <c r="AF17" i="131"/>
  <c r="AF15" i="131"/>
  <c r="AF23" i="131"/>
  <c r="AF19" i="131"/>
  <c r="AF18" i="131"/>
  <c r="AF8" i="131"/>
  <c r="AF14" i="131"/>
  <c r="AF7" i="131"/>
  <c r="AF30" i="131"/>
  <c r="AF10" i="131"/>
  <c r="AF28" i="131"/>
  <c r="AF9" i="131"/>
  <c r="AF12" i="131"/>
  <c r="AF26" i="131"/>
  <c r="AF25" i="131"/>
  <c r="AF5" i="131"/>
  <c r="AF24" i="131"/>
  <c r="AQ14" i="132"/>
  <c r="AR10" i="132" s="1"/>
  <c r="I31" i="131"/>
  <c r="AY6" i="131"/>
  <c r="H14" i="131"/>
  <c r="H13" i="131"/>
  <c r="H9" i="131"/>
  <c r="H5" i="131"/>
  <c r="H16" i="131"/>
  <c r="H11" i="131"/>
  <c r="H24" i="131"/>
  <c r="H15" i="131"/>
  <c r="H23" i="131"/>
  <c r="H22" i="131"/>
  <c r="H8" i="131"/>
  <c r="H21" i="131"/>
  <c r="H6" i="131"/>
  <c r="H7" i="131"/>
  <c r="H26" i="131"/>
  <c r="H17" i="131"/>
  <c r="H27" i="131"/>
  <c r="H12" i="131"/>
  <c r="H30" i="131"/>
  <c r="H28" i="131"/>
  <c r="H25" i="131"/>
  <c r="H20" i="131"/>
  <c r="H29" i="131"/>
  <c r="H10" i="131"/>
  <c r="H19" i="131"/>
  <c r="H18" i="131"/>
  <c r="P4" i="131"/>
  <c r="E31" i="131"/>
  <c r="AV31" i="131"/>
  <c r="AW31" i="131" s="1"/>
  <c r="AY5" i="131"/>
  <c r="D21" i="131"/>
  <c r="D28" i="131"/>
  <c r="D23" i="131"/>
  <c r="D17" i="131"/>
  <c r="D25" i="131"/>
  <c r="D16" i="131"/>
  <c r="D7" i="131"/>
  <c r="D5" i="131"/>
  <c r="D24" i="131"/>
  <c r="D13" i="131"/>
  <c r="D11" i="131"/>
  <c r="D10" i="131"/>
  <c r="D8" i="131"/>
  <c r="D6" i="131"/>
  <c r="D26" i="131"/>
  <c r="D22" i="131"/>
  <c r="D20" i="131"/>
  <c r="D29" i="131"/>
  <c r="D12" i="131"/>
  <c r="D30" i="131"/>
  <c r="D27" i="131"/>
  <c r="D14" i="131"/>
  <c r="D19" i="131"/>
  <c r="D15" i="131"/>
  <c r="D18" i="131"/>
  <c r="D9" i="131"/>
  <c r="L31" i="136"/>
  <c r="X4" i="131"/>
  <c r="D31" i="136"/>
  <c r="W9" i="134"/>
  <c r="X7" i="134" s="1"/>
  <c r="AJ4" i="131"/>
  <c r="AC31" i="131"/>
  <c r="AY11" i="131"/>
  <c r="AB14" i="131"/>
  <c r="AB12" i="131"/>
  <c r="AB15" i="131"/>
  <c r="AB11" i="131"/>
  <c r="AB7" i="131"/>
  <c r="AB8" i="131"/>
  <c r="AB19" i="131"/>
  <c r="AB18" i="131"/>
  <c r="AB26" i="131"/>
  <c r="AB27" i="131"/>
  <c r="AB21" i="131"/>
  <c r="AB30" i="131"/>
  <c r="AB28" i="131"/>
  <c r="AB20" i="131"/>
  <c r="AB10" i="131"/>
  <c r="AB6" i="131"/>
  <c r="AB5" i="131"/>
  <c r="AB9" i="131"/>
  <c r="AB16" i="131"/>
  <c r="AB25" i="131"/>
  <c r="AB13" i="131"/>
  <c r="AB22" i="131"/>
  <c r="AB17" i="131"/>
  <c r="AB29" i="131"/>
  <c r="AB23" i="131"/>
  <c r="AB24" i="131"/>
  <c r="AS31" i="131"/>
  <c r="AY15" i="131"/>
  <c r="AR9" i="131"/>
  <c r="AR7" i="131"/>
  <c r="AR5" i="131"/>
  <c r="AR12" i="131"/>
  <c r="AR21" i="131"/>
  <c r="AR19" i="131"/>
  <c r="AR13" i="131"/>
  <c r="AR26" i="131"/>
  <c r="AR30" i="131"/>
  <c r="AR22" i="131"/>
  <c r="AR16" i="131"/>
  <c r="AR8" i="131"/>
  <c r="AR23" i="131"/>
  <c r="AR20" i="131"/>
  <c r="AR28" i="131"/>
  <c r="AR27" i="131"/>
  <c r="AR17" i="131"/>
  <c r="AR24" i="131"/>
  <c r="AR18" i="131"/>
  <c r="AR6" i="131"/>
  <c r="AR10" i="131"/>
  <c r="AR15" i="131"/>
  <c r="AR11" i="131"/>
  <c r="AR29" i="131"/>
  <c r="AR25" i="131"/>
  <c r="AR14" i="131"/>
  <c r="B93" i="139" l="1"/>
  <c r="C54" i="69" s="1"/>
  <c r="D90" i="139"/>
  <c r="E51" i="69" s="1"/>
  <c r="B89" i="139"/>
  <c r="C50" i="69" s="1"/>
  <c r="B88" i="139"/>
  <c r="C49" i="69" s="1"/>
  <c r="D87" i="139"/>
  <c r="E48" i="69" s="1"/>
  <c r="R31" i="127"/>
  <c r="D33" i="127"/>
  <c r="D32" i="127"/>
  <c r="P31" i="137"/>
  <c r="H31" i="137"/>
  <c r="AB31" i="137"/>
  <c r="AF31" i="137"/>
  <c r="D86" i="139"/>
  <c r="E47" i="69" s="1"/>
  <c r="D92" i="139"/>
  <c r="E53" i="69" s="1"/>
  <c r="B92" i="139"/>
  <c r="C53" i="69" s="1"/>
  <c r="T31" i="137"/>
  <c r="L31" i="137"/>
  <c r="AM13" i="137"/>
  <c r="AN10" i="137" s="1"/>
  <c r="D31" i="137"/>
  <c r="X31" i="137"/>
  <c r="B91" i="139"/>
  <c r="C52" i="69" s="1"/>
  <c r="D91" i="139"/>
  <c r="E52" i="69" s="1"/>
  <c r="B61" i="139"/>
  <c r="C26" i="69" s="1"/>
  <c r="D61" i="139"/>
  <c r="E26" i="69" s="1"/>
  <c r="B72" i="139"/>
  <c r="C35" i="69" s="1"/>
  <c r="D72" i="139"/>
  <c r="E35" i="69" s="1"/>
  <c r="B74" i="139"/>
  <c r="C37" i="69" s="1"/>
  <c r="D74" i="139"/>
  <c r="E37" i="69" s="1"/>
  <c r="D79" i="139"/>
  <c r="E42" i="69" s="1"/>
  <c r="B79" i="139"/>
  <c r="C42" i="69" s="1"/>
  <c r="D57" i="139"/>
  <c r="E22" i="69" s="1"/>
  <c r="B57" i="139"/>
  <c r="C22" i="69" s="1"/>
  <c r="D71" i="139"/>
  <c r="E34" i="69" s="1"/>
  <c r="B71" i="139"/>
  <c r="C34" i="69" s="1"/>
  <c r="D73" i="139"/>
  <c r="E36" i="69" s="1"/>
  <c r="B73" i="139"/>
  <c r="C36" i="69" s="1"/>
  <c r="B80" i="139"/>
  <c r="C43" i="69" s="1"/>
  <c r="D80" i="139"/>
  <c r="E43" i="69" s="1"/>
  <c r="B78" i="139"/>
  <c r="C41" i="69" s="1"/>
  <c r="D78" i="139"/>
  <c r="E41" i="69" s="1"/>
  <c r="D41" i="139"/>
  <c r="E8" i="69" s="1"/>
  <c r="B41" i="139"/>
  <c r="C8" i="69" s="1"/>
  <c r="D37" i="139"/>
  <c r="E4" i="69" s="1"/>
  <c r="B37" i="139"/>
  <c r="C4" i="69" s="1"/>
  <c r="D45" i="139"/>
  <c r="E12" i="69" s="1"/>
  <c r="B45" i="139"/>
  <c r="C12" i="69" s="1"/>
  <c r="B70" i="139"/>
  <c r="C33" i="69" s="1"/>
  <c r="D70" i="139"/>
  <c r="E33" i="69" s="1"/>
  <c r="D62" i="139"/>
  <c r="E27" i="69" s="1"/>
  <c r="B62" i="139"/>
  <c r="C27" i="69" s="1"/>
  <c r="B60" i="139"/>
  <c r="C25" i="69" s="1"/>
  <c r="D60" i="139"/>
  <c r="E25" i="69" s="1"/>
  <c r="D63" i="139"/>
  <c r="E28" i="69" s="1"/>
  <c r="B63" i="139"/>
  <c r="C28" i="69" s="1"/>
  <c r="B36" i="139"/>
  <c r="C3" i="69" s="1"/>
  <c r="D36" i="139"/>
  <c r="E3" i="69" s="1"/>
  <c r="D39" i="139"/>
  <c r="E6" i="69" s="1"/>
  <c r="B39" i="139"/>
  <c r="C6" i="69" s="1"/>
  <c r="B42" i="139"/>
  <c r="C9" i="69" s="1"/>
  <c r="D42" i="139"/>
  <c r="E9" i="69" s="1"/>
  <c r="D58" i="139"/>
  <c r="E23" i="69" s="1"/>
  <c r="B58" i="139"/>
  <c r="C23" i="69" s="1"/>
  <c r="D76" i="139"/>
  <c r="E39" i="69" s="1"/>
  <c r="B76" i="139"/>
  <c r="C39" i="69" s="1"/>
  <c r="D77" i="139"/>
  <c r="E40" i="69" s="1"/>
  <c r="B77" i="139"/>
  <c r="C40" i="69" s="1"/>
  <c r="B59" i="139"/>
  <c r="C24" i="69" s="1"/>
  <c r="D59" i="139"/>
  <c r="E24" i="69" s="1"/>
  <c r="B35" i="139"/>
  <c r="D35" i="139"/>
  <c r="F94" i="139"/>
  <c r="B75" i="139"/>
  <c r="C38" i="69" s="1"/>
  <c r="D75" i="139"/>
  <c r="E38" i="69" s="1"/>
  <c r="AG6" i="130"/>
  <c r="AG9" i="130"/>
  <c r="AG8" i="130"/>
  <c r="AG5" i="130"/>
  <c r="AG10" i="130"/>
  <c r="AG4" i="130"/>
  <c r="L31" i="131"/>
  <c r="AR7" i="132"/>
  <c r="AR13" i="132"/>
  <c r="AR31" i="131"/>
  <c r="T31" i="131"/>
  <c r="X4" i="135"/>
  <c r="X7" i="135"/>
  <c r="X22" i="135"/>
  <c r="X16" i="135"/>
  <c r="X27" i="135"/>
  <c r="X28" i="135"/>
  <c r="X17" i="135"/>
  <c r="X5" i="135"/>
  <c r="Y31" i="135"/>
  <c r="X14" i="135"/>
  <c r="X30" i="135"/>
  <c r="X23" i="135"/>
  <c r="X12" i="135"/>
  <c r="X24" i="135"/>
  <c r="X9" i="135"/>
  <c r="AY10" i="135"/>
  <c r="X10" i="135"/>
  <c r="X21" i="135"/>
  <c r="X8" i="135"/>
  <c r="X18" i="135"/>
  <c r="X19" i="135"/>
  <c r="X25" i="135"/>
  <c r="X11" i="135"/>
  <c r="X29" i="135"/>
  <c r="X6" i="135"/>
  <c r="X20" i="135"/>
  <c r="X26" i="135"/>
  <c r="X15" i="135"/>
  <c r="X13" i="135"/>
  <c r="T15" i="133"/>
  <c r="T14" i="133"/>
  <c r="T9" i="133"/>
  <c r="T23" i="133"/>
  <c r="T6" i="133"/>
  <c r="T28" i="133"/>
  <c r="T27" i="133"/>
  <c r="U31" i="133"/>
  <c r="T25" i="133"/>
  <c r="T20" i="133"/>
  <c r="T16" i="133"/>
  <c r="T29" i="133"/>
  <c r="T17" i="133"/>
  <c r="T19" i="133"/>
  <c r="AI9" i="133"/>
  <c r="T18" i="133"/>
  <c r="T12" i="133"/>
  <c r="T26" i="133"/>
  <c r="T11" i="133"/>
  <c r="T24" i="133"/>
  <c r="T30" i="133"/>
  <c r="T21" i="133"/>
  <c r="T22" i="133"/>
  <c r="T5" i="133"/>
  <c r="T4" i="133"/>
  <c r="T7" i="133"/>
  <c r="T13" i="133"/>
  <c r="T10" i="133"/>
  <c r="T8" i="133"/>
  <c r="D4" i="135"/>
  <c r="AY5" i="135"/>
  <c r="D15" i="135"/>
  <c r="D30" i="135"/>
  <c r="D8" i="135"/>
  <c r="D6" i="135"/>
  <c r="D5" i="135"/>
  <c r="D18" i="135"/>
  <c r="E31" i="135"/>
  <c r="D24" i="135"/>
  <c r="D16" i="135"/>
  <c r="D13" i="135"/>
  <c r="D23" i="135"/>
  <c r="D11" i="135"/>
  <c r="D19" i="135"/>
  <c r="D21" i="135"/>
  <c r="AV31" i="135"/>
  <c r="AW31" i="135" s="1"/>
  <c r="D29" i="135"/>
  <c r="D14" i="135"/>
  <c r="D7" i="135"/>
  <c r="D20" i="135"/>
  <c r="D27" i="135"/>
  <c r="D12" i="135"/>
  <c r="D10" i="135"/>
  <c r="D28" i="135"/>
  <c r="D9" i="135"/>
  <c r="D25" i="135"/>
  <c r="D22" i="135"/>
  <c r="D17" i="135"/>
  <c r="D26" i="135"/>
  <c r="X4" i="133"/>
  <c r="Y31" i="133"/>
  <c r="X17" i="133"/>
  <c r="X5" i="133"/>
  <c r="X24" i="133"/>
  <c r="X9" i="133"/>
  <c r="X29" i="133"/>
  <c r="X23" i="133"/>
  <c r="X26" i="133"/>
  <c r="X21" i="133"/>
  <c r="X18" i="133"/>
  <c r="X14" i="133"/>
  <c r="X12" i="133"/>
  <c r="X15" i="133"/>
  <c r="X16" i="133"/>
  <c r="X22" i="133"/>
  <c r="X25" i="133"/>
  <c r="X28" i="133"/>
  <c r="X11" i="133"/>
  <c r="X13" i="133"/>
  <c r="X7" i="133"/>
  <c r="X10" i="133"/>
  <c r="AI10" i="133"/>
  <c r="X6" i="133"/>
  <c r="X27" i="133"/>
  <c r="X8" i="133"/>
  <c r="X20" i="133"/>
  <c r="X19" i="133"/>
  <c r="X30" i="133"/>
  <c r="L4" i="135"/>
  <c r="L5" i="135"/>
  <c r="L12" i="135"/>
  <c r="L6" i="135"/>
  <c r="L30" i="135"/>
  <c r="L10" i="135"/>
  <c r="L14" i="135"/>
  <c r="L8" i="135"/>
  <c r="M31" i="135"/>
  <c r="L22" i="135"/>
  <c r="L11" i="135"/>
  <c r="L23" i="135"/>
  <c r="L9" i="135"/>
  <c r="L26" i="135"/>
  <c r="L25" i="135"/>
  <c r="AY7" i="135"/>
  <c r="L15" i="135"/>
  <c r="L24" i="135"/>
  <c r="L17" i="135"/>
  <c r="L16" i="135"/>
  <c r="L29" i="135"/>
  <c r="L18" i="135"/>
  <c r="L28" i="135"/>
  <c r="L27" i="135"/>
  <c r="L13" i="135"/>
  <c r="L7" i="135"/>
  <c r="L19" i="135"/>
  <c r="L21" i="135"/>
  <c r="L20" i="135"/>
  <c r="H31" i="131"/>
  <c r="AF31" i="133"/>
  <c r="AG31" i="133" s="1"/>
  <c r="D22" i="133"/>
  <c r="D11" i="133"/>
  <c r="D25" i="133"/>
  <c r="D5" i="133"/>
  <c r="D17" i="133"/>
  <c r="D16" i="133"/>
  <c r="D28" i="133"/>
  <c r="D18" i="133"/>
  <c r="D13" i="133"/>
  <c r="D30" i="133"/>
  <c r="D12" i="133"/>
  <c r="D27" i="133"/>
  <c r="D7" i="133"/>
  <c r="E31" i="133"/>
  <c r="D20" i="133"/>
  <c r="D15" i="133"/>
  <c r="D21" i="133"/>
  <c r="D10" i="133"/>
  <c r="D26" i="133"/>
  <c r="D23" i="133"/>
  <c r="D9" i="133"/>
  <c r="D24" i="133"/>
  <c r="D29" i="133"/>
  <c r="D6" i="133"/>
  <c r="D8" i="133"/>
  <c r="D19" i="133"/>
  <c r="AI5" i="133"/>
  <c r="D14" i="133"/>
  <c r="D4" i="133"/>
  <c r="AB4" i="133"/>
  <c r="AC31" i="133"/>
  <c r="AB18" i="133"/>
  <c r="AB6" i="133"/>
  <c r="AB21" i="133"/>
  <c r="AB27" i="133"/>
  <c r="AB26" i="133"/>
  <c r="AB5" i="133"/>
  <c r="AI11" i="133"/>
  <c r="AB25" i="133"/>
  <c r="AB30" i="133"/>
  <c r="AB8" i="133"/>
  <c r="AB23" i="133"/>
  <c r="AB28" i="133"/>
  <c r="AB22" i="133"/>
  <c r="AB12" i="133"/>
  <c r="AB10" i="133"/>
  <c r="AB16" i="133"/>
  <c r="AB13" i="133"/>
  <c r="AB9" i="133"/>
  <c r="AB24" i="133"/>
  <c r="AB17" i="133"/>
  <c r="AB29" i="133"/>
  <c r="AB14" i="133"/>
  <c r="AB11" i="133"/>
  <c r="AB19" i="133"/>
  <c r="AB7" i="133"/>
  <c r="AB15" i="133"/>
  <c r="AB20" i="133"/>
  <c r="AN4" i="135"/>
  <c r="AN28" i="135"/>
  <c r="AN18" i="135"/>
  <c r="AN20" i="135"/>
  <c r="AN5" i="135"/>
  <c r="AN21" i="135"/>
  <c r="AN6" i="135"/>
  <c r="AN17" i="135"/>
  <c r="AO31" i="135"/>
  <c r="AN24" i="135"/>
  <c r="AN15" i="135"/>
  <c r="AN11" i="135"/>
  <c r="AN27" i="135"/>
  <c r="AN29" i="135"/>
  <c r="AN19" i="135"/>
  <c r="AY14" i="135"/>
  <c r="AN13" i="135"/>
  <c r="AN30" i="135"/>
  <c r="AN26" i="135"/>
  <c r="AN22" i="135"/>
  <c r="AN14" i="135"/>
  <c r="AN9" i="135"/>
  <c r="AN25" i="135"/>
  <c r="AN10" i="135"/>
  <c r="AN23" i="135"/>
  <c r="AN8" i="135"/>
  <c r="AN12" i="135"/>
  <c r="AN7" i="135"/>
  <c r="AN16" i="135"/>
  <c r="L4" i="133"/>
  <c r="L29" i="133"/>
  <c r="L30" i="133"/>
  <c r="L18" i="133"/>
  <c r="L16" i="133"/>
  <c r="L21" i="133"/>
  <c r="L10" i="133"/>
  <c r="L9" i="133"/>
  <c r="L24" i="133"/>
  <c r="L7" i="133"/>
  <c r="M31" i="133"/>
  <c r="L25" i="133"/>
  <c r="L26" i="133"/>
  <c r="L11" i="133"/>
  <c r="L28" i="133"/>
  <c r="L14" i="133"/>
  <c r="L20" i="133"/>
  <c r="L17" i="133"/>
  <c r="L13" i="133"/>
  <c r="AI7" i="133"/>
  <c r="L19" i="133"/>
  <c r="L22" i="133"/>
  <c r="L6" i="133"/>
  <c r="L23" i="133"/>
  <c r="L27" i="133"/>
  <c r="L15" i="133"/>
  <c r="L8" i="133"/>
  <c r="L12" i="133"/>
  <c r="L5" i="133"/>
  <c r="AJ13" i="135"/>
  <c r="AJ21" i="135"/>
  <c r="AJ19" i="135"/>
  <c r="AJ27" i="135"/>
  <c r="AJ15" i="135"/>
  <c r="AJ29" i="135"/>
  <c r="AJ12" i="135"/>
  <c r="AY13" i="135"/>
  <c r="AJ28" i="135"/>
  <c r="AJ25" i="135"/>
  <c r="AJ7" i="135"/>
  <c r="AJ26" i="135"/>
  <c r="AJ8" i="135"/>
  <c r="AJ10" i="135"/>
  <c r="AJ24" i="135"/>
  <c r="AJ20" i="135"/>
  <c r="AJ18" i="135"/>
  <c r="AJ6" i="135"/>
  <c r="AJ30" i="135"/>
  <c r="AJ5" i="135"/>
  <c r="AJ11" i="135"/>
  <c r="AJ16" i="135"/>
  <c r="AJ14" i="135"/>
  <c r="AJ9" i="135"/>
  <c r="AJ4" i="135"/>
  <c r="AK31" i="135"/>
  <c r="AJ23" i="135"/>
  <c r="AJ22" i="135"/>
  <c r="AJ17" i="135"/>
  <c r="P4" i="133"/>
  <c r="AI8" i="133"/>
  <c r="P13" i="133"/>
  <c r="P19" i="133"/>
  <c r="P6" i="133"/>
  <c r="P20" i="133"/>
  <c r="P25" i="133"/>
  <c r="P14" i="133"/>
  <c r="P17" i="133"/>
  <c r="P24" i="133"/>
  <c r="P10" i="133"/>
  <c r="P26" i="133"/>
  <c r="P9" i="133"/>
  <c r="P5" i="133"/>
  <c r="P12" i="133"/>
  <c r="P16" i="133"/>
  <c r="P18" i="133"/>
  <c r="P8" i="133"/>
  <c r="P23" i="133"/>
  <c r="P22" i="133"/>
  <c r="P11" i="133"/>
  <c r="P21" i="133"/>
  <c r="Q31" i="133"/>
  <c r="P15" i="133"/>
  <c r="P27" i="133"/>
  <c r="P7" i="133"/>
  <c r="P30" i="133"/>
  <c r="P28" i="133"/>
  <c r="P29" i="133"/>
  <c r="T4" i="135"/>
  <c r="U31" i="135"/>
  <c r="T21" i="135"/>
  <c r="T11" i="135"/>
  <c r="T23" i="135"/>
  <c r="T9" i="135"/>
  <c r="T17" i="135"/>
  <c r="T19" i="135"/>
  <c r="T28" i="135"/>
  <c r="T30" i="135"/>
  <c r="T25" i="135"/>
  <c r="T14" i="135"/>
  <c r="T12" i="135"/>
  <c r="T29" i="135"/>
  <c r="T16" i="135"/>
  <c r="T27" i="135"/>
  <c r="T24" i="135"/>
  <c r="T18" i="135"/>
  <c r="T13" i="135"/>
  <c r="T6" i="135"/>
  <c r="T22" i="135"/>
  <c r="T5" i="135"/>
  <c r="T20" i="135"/>
  <c r="T10" i="135"/>
  <c r="T7" i="135"/>
  <c r="AY9" i="135"/>
  <c r="T8" i="135"/>
  <c r="T15" i="135"/>
  <c r="T26" i="135"/>
  <c r="AB31" i="131"/>
  <c r="D31" i="131"/>
  <c r="AR12" i="132"/>
  <c r="AF31" i="131"/>
  <c r="H4" i="133"/>
  <c r="AI6" i="133"/>
  <c r="H9" i="133"/>
  <c r="H23" i="133"/>
  <c r="H12" i="133"/>
  <c r="H10" i="133"/>
  <c r="H8" i="133"/>
  <c r="H21" i="133"/>
  <c r="H24" i="133"/>
  <c r="H19" i="133"/>
  <c r="H18" i="133"/>
  <c r="H13" i="133"/>
  <c r="H7" i="133"/>
  <c r="H22" i="133"/>
  <c r="H25" i="133"/>
  <c r="I31" i="133"/>
  <c r="H15" i="133"/>
  <c r="H29" i="133"/>
  <c r="H14" i="133"/>
  <c r="H27" i="133"/>
  <c r="H30" i="133"/>
  <c r="H20" i="133"/>
  <c r="H11" i="133"/>
  <c r="H28" i="133"/>
  <c r="H26" i="133"/>
  <c r="H16" i="133"/>
  <c r="H5" i="133"/>
  <c r="H17" i="133"/>
  <c r="H6" i="133"/>
  <c r="H4" i="135"/>
  <c r="H13" i="135"/>
  <c r="H22" i="135"/>
  <c r="H28" i="135"/>
  <c r="H27" i="135"/>
  <c r="H5" i="135"/>
  <c r="H21" i="135"/>
  <c r="H23" i="135"/>
  <c r="AY6" i="135"/>
  <c r="H14" i="135"/>
  <c r="H18" i="135"/>
  <c r="H24" i="135"/>
  <c r="H12" i="135"/>
  <c r="H9" i="135"/>
  <c r="H10" i="135"/>
  <c r="H26" i="135"/>
  <c r="H17" i="135"/>
  <c r="H7" i="135"/>
  <c r="H8" i="135"/>
  <c r="H20" i="135"/>
  <c r="H6" i="135"/>
  <c r="H15" i="135"/>
  <c r="H11" i="135"/>
  <c r="I31" i="135"/>
  <c r="H30" i="135"/>
  <c r="H19" i="135"/>
  <c r="H16" i="135"/>
  <c r="H29" i="135"/>
  <c r="H25" i="135"/>
  <c r="AB4" i="135"/>
  <c r="AB7" i="135"/>
  <c r="AB13" i="135"/>
  <c r="AB11" i="135"/>
  <c r="AB16" i="135"/>
  <c r="AB10" i="135"/>
  <c r="AB12" i="135"/>
  <c r="AB19" i="135"/>
  <c r="AC31" i="135"/>
  <c r="AB17" i="135"/>
  <c r="AB26" i="135"/>
  <c r="AB5" i="135"/>
  <c r="AB23" i="135"/>
  <c r="AB9" i="135"/>
  <c r="AB28" i="135"/>
  <c r="AY11" i="135"/>
  <c r="AB30" i="135"/>
  <c r="AB29" i="135"/>
  <c r="AB25" i="135"/>
  <c r="AB21" i="135"/>
  <c r="AB22" i="135"/>
  <c r="AB6" i="135"/>
  <c r="AB8" i="135"/>
  <c r="AB24" i="135"/>
  <c r="AB14" i="135"/>
  <c r="AB27" i="135"/>
  <c r="AB18" i="135"/>
  <c r="AB15" i="135"/>
  <c r="AB20" i="135"/>
  <c r="P4" i="135"/>
  <c r="P28" i="135"/>
  <c r="P23" i="135"/>
  <c r="P25" i="135"/>
  <c r="P18" i="135"/>
  <c r="P10" i="135"/>
  <c r="P9" i="135"/>
  <c r="P11" i="135"/>
  <c r="Q31" i="135"/>
  <c r="P27" i="135"/>
  <c r="P17" i="135"/>
  <c r="P19" i="135"/>
  <c r="P21" i="135"/>
  <c r="P8" i="135"/>
  <c r="P7" i="135"/>
  <c r="AY8" i="135"/>
  <c r="P20" i="135"/>
  <c r="P30" i="135"/>
  <c r="P15" i="135"/>
  <c r="P12" i="135"/>
  <c r="P24" i="135"/>
  <c r="P22" i="135"/>
  <c r="P26" i="135"/>
  <c r="P29" i="135"/>
  <c r="P13" i="135"/>
  <c r="P14" i="135"/>
  <c r="P6" i="135"/>
  <c r="P16" i="135"/>
  <c r="P5" i="135"/>
  <c r="AF4" i="135"/>
  <c r="AF17" i="135"/>
  <c r="AF29" i="135"/>
  <c r="AF18" i="135"/>
  <c r="AF27" i="135"/>
  <c r="AF7" i="135"/>
  <c r="AF9" i="135"/>
  <c r="AF26" i="135"/>
  <c r="AY12" i="135"/>
  <c r="AF12" i="135"/>
  <c r="AF10" i="135"/>
  <c r="AF11" i="135"/>
  <c r="AF22" i="135"/>
  <c r="AF19" i="135"/>
  <c r="AF28" i="135"/>
  <c r="AF24" i="135"/>
  <c r="AF20" i="135"/>
  <c r="AF21" i="135"/>
  <c r="AF13" i="135"/>
  <c r="AF5" i="135"/>
  <c r="AF16" i="135"/>
  <c r="AF14" i="135"/>
  <c r="AG31" i="135"/>
  <c r="AF23" i="135"/>
  <c r="AF8" i="135"/>
  <c r="AF30" i="135"/>
  <c r="AF15" i="135"/>
  <c r="AF6" i="135"/>
  <c r="AF25" i="135"/>
  <c r="AR4" i="135"/>
  <c r="AR25" i="135"/>
  <c r="AR22" i="135"/>
  <c r="AR23" i="135"/>
  <c r="AR13" i="135"/>
  <c r="AR30" i="135"/>
  <c r="AR7" i="135"/>
  <c r="AR21" i="135"/>
  <c r="AS31" i="135"/>
  <c r="AR6" i="135"/>
  <c r="AR18" i="135"/>
  <c r="AR28" i="135"/>
  <c r="AR24" i="135"/>
  <c r="AR11" i="135"/>
  <c r="AR19" i="135"/>
  <c r="AY15" i="135"/>
  <c r="AR5" i="135"/>
  <c r="AR26" i="135"/>
  <c r="AR10" i="135"/>
  <c r="AR9" i="135"/>
  <c r="AR15" i="135"/>
  <c r="AR27" i="135"/>
  <c r="AR17" i="135"/>
  <c r="AR8" i="135"/>
  <c r="AR16" i="135"/>
  <c r="AR29" i="135"/>
  <c r="AR14" i="135"/>
  <c r="AR12" i="135"/>
  <c r="AR20" i="135"/>
  <c r="G36" i="129"/>
  <c r="J36" i="129" s="1"/>
  <c r="AI31" i="66"/>
  <c r="O31" i="127"/>
  <c r="L35" i="127"/>
  <c r="X8" i="134"/>
  <c r="AJ31" i="131"/>
  <c r="X5" i="134"/>
  <c r="AR11" i="132"/>
  <c r="AR5" i="132"/>
  <c r="X6" i="134"/>
  <c r="P31" i="131"/>
  <c r="AR8" i="132"/>
  <c r="AR9" i="132"/>
  <c r="AR6" i="132"/>
  <c r="T6" i="136"/>
  <c r="X31" i="131"/>
  <c r="AY16" i="131"/>
  <c r="T7" i="136"/>
  <c r="AN31" i="131"/>
  <c r="F4" i="66"/>
  <c r="AN7" i="137" l="1"/>
  <c r="AN9" i="137"/>
  <c r="AN12" i="137"/>
  <c r="AN6" i="137"/>
  <c r="AN8" i="137"/>
  <c r="AN5" i="137"/>
  <c r="AN11" i="137"/>
  <c r="E2" i="69"/>
  <c r="D94" i="139"/>
  <c r="C2" i="69"/>
  <c r="B94" i="139"/>
  <c r="AG11" i="130"/>
  <c r="AZ7" i="131"/>
  <c r="AZ13" i="131"/>
  <c r="AZ5" i="131"/>
  <c r="T31" i="133"/>
  <c r="AZ14" i="131"/>
  <c r="H31" i="133"/>
  <c r="AJ31" i="135"/>
  <c r="AB31" i="133"/>
  <c r="D31" i="133"/>
  <c r="D31" i="135"/>
  <c r="AR31" i="135"/>
  <c r="AF31" i="135"/>
  <c r="P31" i="135"/>
  <c r="H31" i="135"/>
  <c r="L31" i="133"/>
  <c r="X31" i="133"/>
  <c r="AY16" i="135"/>
  <c r="AZ10" i="135" s="1"/>
  <c r="X31" i="135"/>
  <c r="T8" i="136"/>
  <c r="AB31" i="135"/>
  <c r="T31" i="135"/>
  <c r="P31" i="133"/>
  <c r="AN31" i="135"/>
  <c r="AI12" i="133"/>
  <c r="AJ11" i="133" s="1"/>
  <c r="L31" i="135"/>
  <c r="H220" i="73"/>
  <c r="H240" i="73"/>
  <c r="W240" i="73"/>
  <c r="AZ12" i="131"/>
  <c r="X9" i="134"/>
  <c r="AZ9" i="131"/>
  <c r="AR14" i="132"/>
  <c r="AZ8" i="131"/>
  <c r="AZ11" i="131"/>
  <c r="AZ10" i="131"/>
  <c r="AZ6" i="131"/>
  <c r="AZ15" i="131"/>
  <c r="H230" i="73"/>
  <c r="W230" i="73"/>
  <c r="W220" i="73"/>
  <c r="AN13" i="137" l="1"/>
  <c r="AZ5" i="135"/>
  <c r="AZ9" i="135"/>
  <c r="AZ8" i="135"/>
  <c r="AJ5" i="133"/>
  <c r="AJ7" i="133"/>
  <c r="AZ13" i="135"/>
  <c r="AZ14" i="135"/>
  <c r="AZ7" i="135"/>
  <c r="AZ6" i="135"/>
  <c r="AJ6" i="133"/>
  <c r="AJ8" i="133"/>
  <c r="AZ12" i="135"/>
  <c r="AZ11" i="135"/>
  <c r="AZ16" i="131"/>
  <c r="AJ10" i="133"/>
  <c r="AJ9" i="133"/>
  <c r="AZ15" i="135"/>
  <c r="AJ12" i="133" l="1"/>
  <c r="AZ16" i="135"/>
  <c r="B4" i="62"/>
  <c r="N66" i="62" l="1"/>
  <c r="AD66" i="62"/>
  <c r="U73" i="62" l="1"/>
  <c r="Y73" i="62"/>
  <c r="AC73" i="62"/>
  <c r="V73" i="62"/>
  <c r="Z73" i="62"/>
  <c r="R73" i="62"/>
  <c r="S73" i="62"/>
  <c r="W73" i="62"/>
  <c r="AA73" i="62"/>
  <c r="T73" i="62"/>
  <c r="X73" i="62"/>
  <c r="AB73" i="62"/>
  <c r="E73" i="62"/>
  <c r="I73" i="62"/>
  <c r="M73" i="62"/>
  <c r="F73" i="62"/>
  <c r="J73" i="62"/>
  <c r="B73" i="62"/>
  <c r="C73" i="62"/>
  <c r="G73" i="62"/>
  <c r="K73" i="62"/>
  <c r="D73" i="62"/>
  <c r="H73" i="62"/>
  <c r="L73" i="62"/>
  <c r="AQ31" i="66" l="1"/>
  <c r="N73" i="62"/>
  <c r="AD73" i="62"/>
  <c r="AG31" i="66"/>
  <c r="AG5" i="66"/>
  <c r="M5" i="129" s="1"/>
  <c r="AG6" i="66"/>
  <c r="M6" i="129" s="1"/>
  <c r="AG7" i="66"/>
  <c r="M7" i="129" s="1"/>
  <c r="AG8" i="66"/>
  <c r="M8" i="129" s="1"/>
  <c r="AG9" i="66"/>
  <c r="M9" i="129" s="1"/>
  <c r="AG10" i="66"/>
  <c r="M10" i="129" s="1"/>
  <c r="AG11" i="66"/>
  <c r="M12" i="129" s="1"/>
  <c r="AG12" i="66"/>
  <c r="M13" i="129" s="1"/>
  <c r="AG13" i="66"/>
  <c r="M14" i="129" s="1"/>
  <c r="AG14" i="66"/>
  <c r="M15" i="129" s="1"/>
  <c r="AG15" i="66"/>
  <c r="M16" i="129" s="1"/>
  <c r="AG16" i="66"/>
  <c r="M17" i="129" s="1"/>
  <c r="AG17" i="66"/>
  <c r="M18" i="129" s="1"/>
  <c r="AG18" i="66"/>
  <c r="M19" i="129" s="1"/>
  <c r="AG19" i="66"/>
  <c r="M20" i="129" s="1"/>
  <c r="AG20" i="66"/>
  <c r="M22" i="129" s="1"/>
  <c r="AG21" i="66"/>
  <c r="M23" i="129" s="1"/>
  <c r="AG22" i="66"/>
  <c r="M24" i="129" s="1"/>
  <c r="AG23" i="66"/>
  <c r="M25" i="129" s="1"/>
  <c r="AG24" i="66"/>
  <c r="M27" i="129" s="1"/>
  <c r="AG25" i="66"/>
  <c r="M28" i="129" s="1"/>
  <c r="AG26" i="66"/>
  <c r="M29" i="129" s="1"/>
  <c r="AG27" i="66"/>
  <c r="M30" i="129" s="1"/>
  <c r="AG28" i="66"/>
  <c r="M32" i="129" s="1"/>
  <c r="AG29" i="66"/>
  <c r="M33" i="129" s="1"/>
  <c r="AG30" i="66"/>
  <c r="M34" i="129" s="1"/>
  <c r="AG4" i="66"/>
  <c r="M4" i="129" s="1"/>
  <c r="AH75" i="106" l="1"/>
  <c r="AH76" i="106"/>
  <c r="AH77" i="106"/>
  <c r="AH78" i="106"/>
  <c r="AH79" i="106"/>
  <c r="AH80" i="106"/>
  <c r="AH81" i="106"/>
  <c r="AH82" i="106"/>
  <c r="AH83" i="106"/>
  <c r="AH84" i="106"/>
  <c r="AH85" i="106"/>
  <c r="AH86" i="106"/>
  <c r="AH87" i="106"/>
  <c r="AH88" i="106"/>
  <c r="AH89" i="106"/>
  <c r="AH90" i="106"/>
  <c r="AH91" i="106"/>
  <c r="AH92" i="106"/>
  <c r="AH93" i="106"/>
  <c r="AH94" i="106"/>
  <c r="AH95" i="106"/>
  <c r="AH96" i="106"/>
  <c r="AH97" i="106"/>
  <c r="AH98" i="106"/>
  <c r="AH99" i="106"/>
  <c r="AH100" i="106"/>
  <c r="AH101" i="106"/>
  <c r="S242" i="73" l="1"/>
  <c r="V242" i="73"/>
  <c r="R242" i="73"/>
  <c r="T242" i="73"/>
  <c r="U242" i="73"/>
  <c r="Q242" i="73"/>
  <c r="N60" i="63" l="1"/>
  <c r="Y101" i="117" l="1"/>
  <c r="X101" i="117"/>
  <c r="W101" i="117"/>
  <c r="V101" i="117"/>
  <c r="U101" i="117"/>
  <c r="T101" i="117"/>
  <c r="Y100" i="117"/>
  <c r="X100" i="117"/>
  <c r="W100" i="117"/>
  <c r="V100" i="117"/>
  <c r="U100" i="117"/>
  <c r="T100" i="117"/>
  <c r="Y99" i="117"/>
  <c r="X99" i="117"/>
  <c r="W99" i="117"/>
  <c r="V99" i="117"/>
  <c r="U99" i="117"/>
  <c r="T99" i="117"/>
  <c r="Y98" i="117"/>
  <c r="X98" i="117"/>
  <c r="W98" i="117"/>
  <c r="V98" i="117"/>
  <c r="U98" i="117"/>
  <c r="T98" i="117"/>
  <c r="Y97" i="117"/>
  <c r="X97" i="117"/>
  <c r="W97" i="117"/>
  <c r="V97" i="117"/>
  <c r="U97" i="117"/>
  <c r="T97" i="117"/>
  <c r="Y96" i="117"/>
  <c r="X96" i="117"/>
  <c r="W96" i="117"/>
  <c r="V96" i="117"/>
  <c r="U96" i="117"/>
  <c r="T96" i="117"/>
  <c r="Y95" i="117"/>
  <c r="X95" i="117"/>
  <c r="W95" i="117"/>
  <c r="V95" i="117"/>
  <c r="U95" i="117"/>
  <c r="T95" i="117"/>
  <c r="Y94" i="117"/>
  <c r="X94" i="117"/>
  <c r="W94" i="117"/>
  <c r="V94" i="117"/>
  <c r="U94" i="117"/>
  <c r="T94" i="117"/>
  <c r="Y93" i="117"/>
  <c r="X93" i="117"/>
  <c r="W93" i="117"/>
  <c r="V93" i="117"/>
  <c r="U93" i="117"/>
  <c r="T93" i="117"/>
  <c r="Y92" i="117"/>
  <c r="X92" i="117"/>
  <c r="W92" i="117"/>
  <c r="V92" i="117"/>
  <c r="U92" i="117"/>
  <c r="T92" i="117"/>
  <c r="Y91" i="117"/>
  <c r="X91" i="117"/>
  <c r="W91" i="117"/>
  <c r="V91" i="117"/>
  <c r="U91" i="117"/>
  <c r="T91" i="117"/>
  <c r="Y90" i="117"/>
  <c r="X90" i="117"/>
  <c r="W90" i="117"/>
  <c r="V90" i="117"/>
  <c r="U90" i="117"/>
  <c r="T90" i="117"/>
  <c r="Y89" i="117"/>
  <c r="X89" i="117"/>
  <c r="W89" i="117"/>
  <c r="V89" i="117"/>
  <c r="U89" i="117"/>
  <c r="T89" i="117"/>
  <c r="Y88" i="117"/>
  <c r="X88" i="117"/>
  <c r="W88" i="117"/>
  <c r="V88" i="117"/>
  <c r="U88" i="117"/>
  <c r="T88" i="117"/>
  <c r="Y87" i="117"/>
  <c r="X87" i="117"/>
  <c r="W87" i="117"/>
  <c r="V87" i="117"/>
  <c r="U87" i="117"/>
  <c r="T87" i="117"/>
  <c r="Y86" i="117"/>
  <c r="X86" i="117"/>
  <c r="W86" i="117"/>
  <c r="V86" i="117"/>
  <c r="U86" i="117"/>
  <c r="T86" i="117"/>
  <c r="Y85" i="117"/>
  <c r="X85" i="117"/>
  <c r="W85" i="117"/>
  <c r="V85" i="117"/>
  <c r="U85" i="117"/>
  <c r="T85" i="117"/>
  <c r="Y84" i="117"/>
  <c r="X84" i="117"/>
  <c r="W84" i="117"/>
  <c r="V84" i="117"/>
  <c r="U84" i="117"/>
  <c r="T84" i="117"/>
  <c r="Y83" i="117"/>
  <c r="X83" i="117"/>
  <c r="W83" i="117"/>
  <c r="V83" i="117"/>
  <c r="U83" i="117"/>
  <c r="T83" i="117"/>
  <c r="Y82" i="117"/>
  <c r="X82" i="117"/>
  <c r="W82" i="117"/>
  <c r="V82" i="117"/>
  <c r="U82" i="117"/>
  <c r="T82" i="117"/>
  <c r="Y81" i="117"/>
  <c r="X81" i="117"/>
  <c r="W81" i="117"/>
  <c r="V81" i="117"/>
  <c r="U81" i="117"/>
  <c r="T81" i="117"/>
  <c r="Y80" i="117"/>
  <c r="X80" i="117"/>
  <c r="W80" i="117"/>
  <c r="V80" i="117"/>
  <c r="U80" i="117"/>
  <c r="T80" i="117"/>
  <c r="Y79" i="117"/>
  <c r="X79" i="117"/>
  <c r="W79" i="117"/>
  <c r="V79" i="117"/>
  <c r="U79" i="117"/>
  <c r="T79" i="117"/>
  <c r="Y78" i="117"/>
  <c r="X78" i="117"/>
  <c r="W78" i="117"/>
  <c r="V78" i="117"/>
  <c r="U78" i="117"/>
  <c r="T78" i="117"/>
  <c r="Y77" i="117"/>
  <c r="X77" i="117"/>
  <c r="W77" i="117"/>
  <c r="V77" i="117"/>
  <c r="U77" i="117"/>
  <c r="T77" i="117"/>
  <c r="Y76" i="117"/>
  <c r="X76" i="117"/>
  <c r="W76" i="117"/>
  <c r="V76" i="117"/>
  <c r="U76" i="117"/>
  <c r="T76" i="117"/>
  <c r="Y75" i="117"/>
  <c r="X75" i="117"/>
  <c r="W75" i="117"/>
  <c r="V75" i="117"/>
  <c r="V102" i="117" s="1"/>
  <c r="U75" i="117"/>
  <c r="T75" i="117"/>
  <c r="Y101" i="116"/>
  <c r="X101" i="116"/>
  <c r="W101" i="116"/>
  <c r="V101" i="116"/>
  <c r="U101" i="116"/>
  <c r="T101" i="116"/>
  <c r="Y100" i="116"/>
  <c r="X100" i="116"/>
  <c r="W100" i="116"/>
  <c r="V100" i="116"/>
  <c r="U100" i="116"/>
  <c r="T100" i="116"/>
  <c r="Y99" i="116"/>
  <c r="X99" i="116"/>
  <c r="W99" i="116"/>
  <c r="V99" i="116"/>
  <c r="U99" i="116"/>
  <c r="T99" i="116"/>
  <c r="Y98" i="116"/>
  <c r="X98" i="116"/>
  <c r="W98" i="116"/>
  <c r="V98" i="116"/>
  <c r="U98" i="116"/>
  <c r="T98" i="116"/>
  <c r="Y97" i="116"/>
  <c r="X97" i="116"/>
  <c r="W97" i="116"/>
  <c r="V97" i="116"/>
  <c r="U97" i="116"/>
  <c r="T97" i="116"/>
  <c r="Y96" i="116"/>
  <c r="X96" i="116"/>
  <c r="W96" i="116"/>
  <c r="V96" i="116"/>
  <c r="U96" i="116"/>
  <c r="T96" i="116"/>
  <c r="Y95" i="116"/>
  <c r="X95" i="116"/>
  <c r="W95" i="116"/>
  <c r="V95" i="116"/>
  <c r="U95" i="116"/>
  <c r="T95" i="116"/>
  <c r="Y94" i="116"/>
  <c r="X94" i="116"/>
  <c r="W94" i="116"/>
  <c r="V94" i="116"/>
  <c r="U94" i="116"/>
  <c r="T94" i="116"/>
  <c r="Y93" i="116"/>
  <c r="X93" i="116"/>
  <c r="W93" i="116"/>
  <c r="V93" i="116"/>
  <c r="U93" i="116"/>
  <c r="T93" i="116"/>
  <c r="Y92" i="116"/>
  <c r="X92" i="116"/>
  <c r="W92" i="116"/>
  <c r="V92" i="116"/>
  <c r="U92" i="116"/>
  <c r="T92" i="116"/>
  <c r="Y91" i="116"/>
  <c r="X91" i="116"/>
  <c r="W91" i="116"/>
  <c r="V91" i="116"/>
  <c r="U91" i="116"/>
  <c r="T91" i="116"/>
  <c r="Y90" i="116"/>
  <c r="X90" i="116"/>
  <c r="W90" i="116"/>
  <c r="V90" i="116"/>
  <c r="U90" i="116"/>
  <c r="T90" i="116"/>
  <c r="Y89" i="116"/>
  <c r="X89" i="116"/>
  <c r="W89" i="116"/>
  <c r="V89" i="116"/>
  <c r="U89" i="116"/>
  <c r="T89" i="116"/>
  <c r="Y88" i="116"/>
  <c r="X88" i="116"/>
  <c r="W88" i="116"/>
  <c r="V88" i="116"/>
  <c r="U88" i="116"/>
  <c r="T88" i="116"/>
  <c r="Y87" i="116"/>
  <c r="X87" i="116"/>
  <c r="W87" i="116"/>
  <c r="V87" i="116"/>
  <c r="U87" i="116"/>
  <c r="T87" i="116"/>
  <c r="Y86" i="116"/>
  <c r="X86" i="116"/>
  <c r="W86" i="116"/>
  <c r="V86" i="116"/>
  <c r="U86" i="116"/>
  <c r="T86" i="116"/>
  <c r="Y85" i="116"/>
  <c r="X85" i="116"/>
  <c r="W85" i="116"/>
  <c r="V85" i="116"/>
  <c r="U85" i="116"/>
  <c r="T85" i="116"/>
  <c r="Y84" i="116"/>
  <c r="X84" i="116"/>
  <c r="W84" i="116"/>
  <c r="V84" i="116"/>
  <c r="U84" i="116"/>
  <c r="T84" i="116"/>
  <c r="Y83" i="116"/>
  <c r="X83" i="116"/>
  <c r="W83" i="116"/>
  <c r="V83" i="116"/>
  <c r="U83" i="116"/>
  <c r="T83" i="116"/>
  <c r="Y82" i="116"/>
  <c r="X82" i="116"/>
  <c r="W82" i="116"/>
  <c r="V82" i="116"/>
  <c r="U82" i="116"/>
  <c r="T82" i="116"/>
  <c r="Y81" i="116"/>
  <c r="X81" i="116"/>
  <c r="W81" i="116"/>
  <c r="V81" i="116"/>
  <c r="U81" i="116"/>
  <c r="T81" i="116"/>
  <c r="Y80" i="116"/>
  <c r="X80" i="116"/>
  <c r="W80" i="116"/>
  <c r="V80" i="116"/>
  <c r="U80" i="116"/>
  <c r="T80" i="116"/>
  <c r="Y79" i="116"/>
  <c r="X79" i="116"/>
  <c r="W79" i="116"/>
  <c r="V79" i="116"/>
  <c r="U79" i="116"/>
  <c r="T79" i="116"/>
  <c r="Y78" i="116"/>
  <c r="X78" i="116"/>
  <c r="W78" i="116"/>
  <c r="V78" i="116"/>
  <c r="U78" i="116"/>
  <c r="T78" i="116"/>
  <c r="Y77" i="116"/>
  <c r="X77" i="116"/>
  <c r="W77" i="116"/>
  <c r="V77" i="116"/>
  <c r="U77" i="116"/>
  <c r="T77" i="116"/>
  <c r="Y76" i="116"/>
  <c r="X76" i="116"/>
  <c r="W76" i="116"/>
  <c r="V76" i="116"/>
  <c r="U76" i="116"/>
  <c r="T76" i="116"/>
  <c r="Y75" i="116"/>
  <c r="X75" i="116"/>
  <c r="X102" i="116" s="1"/>
  <c r="W75" i="116"/>
  <c r="V75" i="116"/>
  <c r="U75" i="116"/>
  <c r="T75" i="116"/>
  <c r="Y101" i="115"/>
  <c r="X101" i="115"/>
  <c r="W101" i="115"/>
  <c r="V101" i="115"/>
  <c r="U101" i="115"/>
  <c r="T101" i="115"/>
  <c r="Y100" i="115"/>
  <c r="X100" i="115"/>
  <c r="W100" i="115"/>
  <c r="V100" i="115"/>
  <c r="U100" i="115"/>
  <c r="T100" i="115"/>
  <c r="Y99" i="115"/>
  <c r="X99" i="115"/>
  <c r="W99" i="115"/>
  <c r="V99" i="115"/>
  <c r="U99" i="115"/>
  <c r="T99" i="115"/>
  <c r="Y98" i="115"/>
  <c r="X98" i="115"/>
  <c r="W98" i="115"/>
  <c r="V98" i="115"/>
  <c r="U98" i="115"/>
  <c r="T98" i="115"/>
  <c r="Y97" i="115"/>
  <c r="X97" i="115"/>
  <c r="W97" i="115"/>
  <c r="V97" i="115"/>
  <c r="U97" i="115"/>
  <c r="T97" i="115"/>
  <c r="Y96" i="115"/>
  <c r="X96" i="115"/>
  <c r="W96" i="115"/>
  <c r="V96" i="115"/>
  <c r="U96" i="115"/>
  <c r="T96" i="115"/>
  <c r="Y95" i="115"/>
  <c r="X95" i="115"/>
  <c r="W95" i="115"/>
  <c r="V95" i="115"/>
  <c r="U95" i="115"/>
  <c r="T95" i="115"/>
  <c r="Y94" i="115"/>
  <c r="X94" i="115"/>
  <c r="W94" i="115"/>
  <c r="V94" i="115"/>
  <c r="U94" i="115"/>
  <c r="T94" i="115"/>
  <c r="Y93" i="115"/>
  <c r="X93" i="115"/>
  <c r="W93" i="115"/>
  <c r="V93" i="115"/>
  <c r="U93" i="115"/>
  <c r="T93" i="115"/>
  <c r="Y92" i="115"/>
  <c r="X92" i="115"/>
  <c r="W92" i="115"/>
  <c r="V92" i="115"/>
  <c r="U92" i="115"/>
  <c r="T92" i="115"/>
  <c r="Y91" i="115"/>
  <c r="X91" i="115"/>
  <c r="W91" i="115"/>
  <c r="V91" i="115"/>
  <c r="U91" i="115"/>
  <c r="T91" i="115"/>
  <c r="Y90" i="115"/>
  <c r="X90" i="115"/>
  <c r="W90" i="115"/>
  <c r="V90" i="115"/>
  <c r="U90" i="115"/>
  <c r="T90" i="115"/>
  <c r="Y89" i="115"/>
  <c r="X89" i="115"/>
  <c r="W89" i="115"/>
  <c r="V89" i="115"/>
  <c r="U89" i="115"/>
  <c r="T89" i="115"/>
  <c r="Y88" i="115"/>
  <c r="X88" i="115"/>
  <c r="W88" i="115"/>
  <c r="V88" i="115"/>
  <c r="U88" i="115"/>
  <c r="T88" i="115"/>
  <c r="Y87" i="115"/>
  <c r="X87" i="115"/>
  <c r="W87" i="115"/>
  <c r="V87" i="115"/>
  <c r="U87" i="115"/>
  <c r="T87" i="115"/>
  <c r="Y86" i="115"/>
  <c r="X86" i="115"/>
  <c r="W86" i="115"/>
  <c r="V86" i="115"/>
  <c r="U86" i="115"/>
  <c r="T86" i="115"/>
  <c r="Y85" i="115"/>
  <c r="X85" i="115"/>
  <c r="W85" i="115"/>
  <c r="V85" i="115"/>
  <c r="U85" i="115"/>
  <c r="T85" i="115"/>
  <c r="Y84" i="115"/>
  <c r="X84" i="115"/>
  <c r="W84" i="115"/>
  <c r="V84" i="115"/>
  <c r="U84" i="115"/>
  <c r="T84" i="115"/>
  <c r="Y83" i="115"/>
  <c r="X83" i="115"/>
  <c r="W83" i="115"/>
  <c r="V83" i="115"/>
  <c r="U83" i="115"/>
  <c r="T83" i="115"/>
  <c r="Y82" i="115"/>
  <c r="X82" i="115"/>
  <c r="W82" i="115"/>
  <c r="V82" i="115"/>
  <c r="U82" i="115"/>
  <c r="T82" i="115"/>
  <c r="Y81" i="115"/>
  <c r="X81" i="115"/>
  <c r="W81" i="115"/>
  <c r="V81" i="115"/>
  <c r="U81" i="115"/>
  <c r="T81" i="115"/>
  <c r="Y80" i="115"/>
  <c r="X80" i="115"/>
  <c r="W80" i="115"/>
  <c r="V80" i="115"/>
  <c r="U80" i="115"/>
  <c r="T80" i="115"/>
  <c r="Y79" i="115"/>
  <c r="X79" i="115"/>
  <c r="W79" i="115"/>
  <c r="V79" i="115"/>
  <c r="U79" i="115"/>
  <c r="T79" i="115"/>
  <c r="Y78" i="115"/>
  <c r="X78" i="115"/>
  <c r="W78" i="115"/>
  <c r="V78" i="115"/>
  <c r="U78" i="115"/>
  <c r="T78" i="115"/>
  <c r="Y77" i="115"/>
  <c r="X77" i="115"/>
  <c r="W77" i="115"/>
  <c r="V77" i="115"/>
  <c r="U77" i="115"/>
  <c r="T77" i="115"/>
  <c r="Y76" i="115"/>
  <c r="X76" i="115"/>
  <c r="W76" i="115"/>
  <c r="V76" i="115"/>
  <c r="U76" i="115"/>
  <c r="T76" i="115"/>
  <c r="Y75" i="115"/>
  <c r="X75" i="115"/>
  <c r="W75" i="115"/>
  <c r="V75" i="115"/>
  <c r="U75" i="115"/>
  <c r="T75" i="115"/>
  <c r="Y101" i="114"/>
  <c r="X101" i="114"/>
  <c r="W101" i="114"/>
  <c r="V101" i="114"/>
  <c r="U101" i="114"/>
  <c r="T101" i="114"/>
  <c r="Y100" i="114"/>
  <c r="X100" i="114"/>
  <c r="W100" i="114"/>
  <c r="V100" i="114"/>
  <c r="U100" i="114"/>
  <c r="T100" i="114"/>
  <c r="Y99" i="114"/>
  <c r="X99" i="114"/>
  <c r="W99" i="114"/>
  <c r="V99" i="114"/>
  <c r="U99" i="114"/>
  <c r="T99" i="114"/>
  <c r="Y98" i="114"/>
  <c r="X98" i="114"/>
  <c r="W98" i="114"/>
  <c r="V98" i="114"/>
  <c r="U98" i="114"/>
  <c r="T98" i="114"/>
  <c r="Y97" i="114"/>
  <c r="X97" i="114"/>
  <c r="W97" i="114"/>
  <c r="V97" i="114"/>
  <c r="U97" i="114"/>
  <c r="T97" i="114"/>
  <c r="Y96" i="114"/>
  <c r="X96" i="114"/>
  <c r="W96" i="114"/>
  <c r="V96" i="114"/>
  <c r="U96" i="114"/>
  <c r="T96" i="114"/>
  <c r="Y95" i="114"/>
  <c r="X95" i="114"/>
  <c r="W95" i="114"/>
  <c r="V95" i="114"/>
  <c r="U95" i="114"/>
  <c r="T95" i="114"/>
  <c r="Y94" i="114"/>
  <c r="X94" i="114"/>
  <c r="W94" i="114"/>
  <c r="V94" i="114"/>
  <c r="U94" i="114"/>
  <c r="T94" i="114"/>
  <c r="Y93" i="114"/>
  <c r="X93" i="114"/>
  <c r="W93" i="114"/>
  <c r="V93" i="114"/>
  <c r="U93" i="114"/>
  <c r="T93" i="114"/>
  <c r="Y92" i="114"/>
  <c r="X92" i="114"/>
  <c r="W92" i="114"/>
  <c r="V92" i="114"/>
  <c r="U92" i="114"/>
  <c r="T92" i="114"/>
  <c r="Y91" i="114"/>
  <c r="X91" i="114"/>
  <c r="W91" i="114"/>
  <c r="V91" i="114"/>
  <c r="U91" i="114"/>
  <c r="T91" i="114"/>
  <c r="Y90" i="114"/>
  <c r="X90" i="114"/>
  <c r="W90" i="114"/>
  <c r="V90" i="114"/>
  <c r="U90" i="114"/>
  <c r="T90" i="114"/>
  <c r="Y89" i="114"/>
  <c r="X89" i="114"/>
  <c r="W89" i="114"/>
  <c r="V89" i="114"/>
  <c r="U89" i="114"/>
  <c r="T89" i="114"/>
  <c r="Y88" i="114"/>
  <c r="X88" i="114"/>
  <c r="W88" i="114"/>
  <c r="V88" i="114"/>
  <c r="U88" i="114"/>
  <c r="T88" i="114"/>
  <c r="Y87" i="114"/>
  <c r="X87" i="114"/>
  <c r="W87" i="114"/>
  <c r="V87" i="114"/>
  <c r="U87" i="114"/>
  <c r="T87" i="114"/>
  <c r="Y86" i="114"/>
  <c r="X86" i="114"/>
  <c r="W86" i="114"/>
  <c r="V86" i="114"/>
  <c r="U86" i="114"/>
  <c r="T86" i="114"/>
  <c r="Y85" i="114"/>
  <c r="X85" i="114"/>
  <c r="W85" i="114"/>
  <c r="V85" i="114"/>
  <c r="U85" i="114"/>
  <c r="T85" i="114"/>
  <c r="Y84" i="114"/>
  <c r="X84" i="114"/>
  <c r="W84" i="114"/>
  <c r="V84" i="114"/>
  <c r="U84" i="114"/>
  <c r="T84" i="114"/>
  <c r="Y83" i="114"/>
  <c r="X83" i="114"/>
  <c r="W83" i="114"/>
  <c r="V83" i="114"/>
  <c r="U83" i="114"/>
  <c r="T83" i="114"/>
  <c r="Y82" i="114"/>
  <c r="X82" i="114"/>
  <c r="W82" i="114"/>
  <c r="V82" i="114"/>
  <c r="U82" i="114"/>
  <c r="T82" i="114"/>
  <c r="Y81" i="114"/>
  <c r="X81" i="114"/>
  <c r="W81" i="114"/>
  <c r="V81" i="114"/>
  <c r="U81" i="114"/>
  <c r="T81" i="114"/>
  <c r="Y80" i="114"/>
  <c r="X80" i="114"/>
  <c r="W80" i="114"/>
  <c r="V80" i="114"/>
  <c r="U80" i="114"/>
  <c r="T80" i="114"/>
  <c r="Y79" i="114"/>
  <c r="X79" i="114"/>
  <c r="W79" i="114"/>
  <c r="V79" i="114"/>
  <c r="U79" i="114"/>
  <c r="T79" i="114"/>
  <c r="Y78" i="114"/>
  <c r="X78" i="114"/>
  <c r="W78" i="114"/>
  <c r="V78" i="114"/>
  <c r="U78" i="114"/>
  <c r="T78" i="114"/>
  <c r="Y77" i="114"/>
  <c r="X77" i="114"/>
  <c r="W77" i="114"/>
  <c r="V77" i="114"/>
  <c r="U77" i="114"/>
  <c r="T77" i="114"/>
  <c r="Y76" i="114"/>
  <c r="X76" i="114"/>
  <c r="W76" i="114"/>
  <c r="V76" i="114"/>
  <c r="U76" i="114"/>
  <c r="T76" i="114"/>
  <c r="Y75" i="114"/>
  <c r="X75" i="114"/>
  <c r="W75" i="114"/>
  <c r="V75" i="114"/>
  <c r="U75" i="114"/>
  <c r="T75" i="114"/>
  <c r="Y101" i="113"/>
  <c r="X101" i="113"/>
  <c r="W101" i="113"/>
  <c r="V101" i="113"/>
  <c r="U101" i="113"/>
  <c r="T101" i="113"/>
  <c r="Y100" i="113"/>
  <c r="X100" i="113"/>
  <c r="W100" i="113"/>
  <c r="V100" i="113"/>
  <c r="U100" i="113"/>
  <c r="T100" i="113"/>
  <c r="Y99" i="113"/>
  <c r="X99" i="113"/>
  <c r="W99" i="113"/>
  <c r="V99" i="113"/>
  <c r="U99" i="113"/>
  <c r="T99" i="113"/>
  <c r="Y98" i="113"/>
  <c r="X98" i="113"/>
  <c r="W98" i="113"/>
  <c r="V98" i="113"/>
  <c r="U98" i="113"/>
  <c r="T98" i="113"/>
  <c r="Y97" i="113"/>
  <c r="X97" i="113"/>
  <c r="W97" i="113"/>
  <c r="V97" i="113"/>
  <c r="U97" i="113"/>
  <c r="T97" i="113"/>
  <c r="Y96" i="113"/>
  <c r="X96" i="113"/>
  <c r="W96" i="113"/>
  <c r="V96" i="113"/>
  <c r="U96" i="113"/>
  <c r="T96" i="113"/>
  <c r="Y95" i="113"/>
  <c r="X95" i="113"/>
  <c r="W95" i="113"/>
  <c r="V95" i="113"/>
  <c r="U95" i="113"/>
  <c r="T95" i="113"/>
  <c r="Y94" i="113"/>
  <c r="X94" i="113"/>
  <c r="W94" i="113"/>
  <c r="V94" i="113"/>
  <c r="U94" i="113"/>
  <c r="T94" i="113"/>
  <c r="Y93" i="113"/>
  <c r="X93" i="113"/>
  <c r="W93" i="113"/>
  <c r="V93" i="113"/>
  <c r="U93" i="113"/>
  <c r="T93" i="113"/>
  <c r="Y92" i="113"/>
  <c r="X92" i="113"/>
  <c r="W92" i="113"/>
  <c r="V92" i="113"/>
  <c r="U92" i="113"/>
  <c r="T92" i="113"/>
  <c r="Y91" i="113"/>
  <c r="X91" i="113"/>
  <c r="W91" i="113"/>
  <c r="V91" i="113"/>
  <c r="U91" i="113"/>
  <c r="T91" i="113"/>
  <c r="Y90" i="113"/>
  <c r="X90" i="113"/>
  <c r="W90" i="113"/>
  <c r="V90" i="113"/>
  <c r="U90" i="113"/>
  <c r="T90" i="113"/>
  <c r="Y89" i="113"/>
  <c r="X89" i="113"/>
  <c r="W89" i="113"/>
  <c r="V89" i="113"/>
  <c r="U89" i="113"/>
  <c r="T89" i="113"/>
  <c r="Y88" i="113"/>
  <c r="X88" i="113"/>
  <c r="W88" i="113"/>
  <c r="V88" i="113"/>
  <c r="U88" i="113"/>
  <c r="T88" i="113"/>
  <c r="Y87" i="113"/>
  <c r="X87" i="113"/>
  <c r="W87" i="113"/>
  <c r="V87" i="113"/>
  <c r="U87" i="113"/>
  <c r="T87" i="113"/>
  <c r="Y86" i="113"/>
  <c r="X86" i="113"/>
  <c r="W86" i="113"/>
  <c r="V86" i="113"/>
  <c r="U86" i="113"/>
  <c r="T86" i="113"/>
  <c r="Y85" i="113"/>
  <c r="X85" i="113"/>
  <c r="W85" i="113"/>
  <c r="V85" i="113"/>
  <c r="U85" i="113"/>
  <c r="T85" i="113"/>
  <c r="Y84" i="113"/>
  <c r="X84" i="113"/>
  <c r="W84" i="113"/>
  <c r="V84" i="113"/>
  <c r="U84" i="113"/>
  <c r="T84" i="113"/>
  <c r="Y83" i="113"/>
  <c r="X83" i="113"/>
  <c r="W83" i="113"/>
  <c r="V83" i="113"/>
  <c r="U83" i="113"/>
  <c r="T83" i="113"/>
  <c r="Y82" i="113"/>
  <c r="X82" i="113"/>
  <c r="W82" i="113"/>
  <c r="V82" i="113"/>
  <c r="U82" i="113"/>
  <c r="T82" i="113"/>
  <c r="Y81" i="113"/>
  <c r="X81" i="113"/>
  <c r="W81" i="113"/>
  <c r="V81" i="113"/>
  <c r="U81" i="113"/>
  <c r="T81" i="113"/>
  <c r="Y80" i="113"/>
  <c r="X80" i="113"/>
  <c r="W80" i="113"/>
  <c r="V80" i="113"/>
  <c r="U80" i="113"/>
  <c r="T80" i="113"/>
  <c r="Y79" i="113"/>
  <c r="X79" i="113"/>
  <c r="W79" i="113"/>
  <c r="V79" i="113"/>
  <c r="U79" i="113"/>
  <c r="T79" i="113"/>
  <c r="Y78" i="113"/>
  <c r="X78" i="113"/>
  <c r="W78" i="113"/>
  <c r="V78" i="113"/>
  <c r="U78" i="113"/>
  <c r="T78" i="113"/>
  <c r="Y77" i="113"/>
  <c r="X77" i="113"/>
  <c r="W77" i="113"/>
  <c r="V77" i="113"/>
  <c r="U77" i="113"/>
  <c r="T77" i="113"/>
  <c r="Y76" i="113"/>
  <c r="X76" i="113"/>
  <c r="W76" i="113"/>
  <c r="V76" i="113"/>
  <c r="U76" i="113"/>
  <c r="T76" i="113"/>
  <c r="Y75" i="113"/>
  <c r="X75" i="113"/>
  <c r="W75" i="113"/>
  <c r="V75" i="113"/>
  <c r="U75" i="113"/>
  <c r="T75" i="113"/>
  <c r="Y101" i="112"/>
  <c r="X101" i="112"/>
  <c r="W101" i="112"/>
  <c r="V101" i="112"/>
  <c r="U101" i="112"/>
  <c r="T101" i="112"/>
  <c r="Y100" i="112"/>
  <c r="X100" i="112"/>
  <c r="W100" i="112"/>
  <c r="V100" i="112"/>
  <c r="U100" i="112"/>
  <c r="T100" i="112"/>
  <c r="Y99" i="112"/>
  <c r="X99" i="112"/>
  <c r="W99" i="112"/>
  <c r="V99" i="112"/>
  <c r="U99" i="112"/>
  <c r="T99" i="112"/>
  <c r="Y98" i="112"/>
  <c r="X98" i="112"/>
  <c r="W98" i="112"/>
  <c r="V98" i="112"/>
  <c r="U98" i="112"/>
  <c r="T98" i="112"/>
  <c r="Y97" i="112"/>
  <c r="X97" i="112"/>
  <c r="W97" i="112"/>
  <c r="V97" i="112"/>
  <c r="U97" i="112"/>
  <c r="T97" i="112"/>
  <c r="Y96" i="112"/>
  <c r="X96" i="112"/>
  <c r="W96" i="112"/>
  <c r="V96" i="112"/>
  <c r="U96" i="112"/>
  <c r="T96" i="112"/>
  <c r="Y95" i="112"/>
  <c r="X95" i="112"/>
  <c r="W95" i="112"/>
  <c r="V95" i="112"/>
  <c r="U95" i="112"/>
  <c r="T95" i="112"/>
  <c r="Y94" i="112"/>
  <c r="X94" i="112"/>
  <c r="W94" i="112"/>
  <c r="V94" i="112"/>
  <c r="U94" i="112"/>
  <c r="T94" i="112"/>
  <c r="Y93" i="112"/>
  <c r="X93" i="112"/>
  <c r="W93" i="112"/>
  <c r="V93" i="112"/>
  <c r="U93" i="112"/>
  <c r="T93" i="112"/>
  <c r="Y92" i="112"/>
  <c r="X92" i="112"/>
  <c r="W92" i="112"/>
  <c r="V92" i="112"/>
  <c r="U92" i="112"/>
  <c r="T92" i="112"/>
  <c r="Y91" i="112"/>
  <c r="X91" i="112"/>
  <c r="W91" i="112"/>
  <c r="V91" i="112"/>
  <c r="U91" i="112"/>
  <c r="T91" i="112"/>
  <c r="Y90" i="112"/>
  <c r="X90" i="112"/>
  <c r="W90" i="112"/>
  <c r="V90" i="112"/>
  <c r="U90" i="112"/>
  <c r="T90" i="112"/>
  <c r="Y89" i="112"/>
  <c r="X89" i="112"/>
  <c r="W89" i="112"/>
  <c r="V89" i="112"/>
  <c r="U89" i="112"/>
  <c r="T89" i="112"/>
  <c r="Y88" i="112"/>
  <c r="X88" i="112"/>
  <c r="W88" i="112"/>
  <c r="V88" i="112"/>
  <c r="U88" i="112"/>
  <c r="T88" i="112"/>
  <c r="Y87" i="112"/>
  <c r="X87" i="112"/>
  <c r="W87" i="112"/>
  <c r="V87" i="112"/>
  <c r="U87" i="112"/>
  <c r="T87" i="112"/>
  <c r="Y86" i="112"/>
  <c r="X86" i="112"/>
  <c r="W86" i="112"/>
  <c r="V86" i="112"/>
  <c r="U86" i="112"/>
  <c r="T86" i="112"/>
  <c r="Y85" i="112"/>
  <c r="X85" i="112"/>
  <c r="W85" i="112"/>
  <c r="V85" i="112"/>
  <c r="U85" i="112"/>
  <c r="T85" i="112"/>
  <c r="Y84" i="112"/>
  <c r="X84" i="112"/>
  <c r="W84" i="112"/>
  <c r="V84" i="112"/>
  <c r="U84" i="112"/>
  <c r="T84" i="112"/>
  <c r="Y83" i="112"/>
  <c r="X83" i="112"/>
  <c r="W83" i="112"/>
  <c r="V83" i="112"/>
  <c r="U83" i="112"/>
  <c r="T83" i="112"/>
  <c r="Y82" i="112"/>
  <c r="X82" i="112"/>
  <c r="W82" i="112"/>
  <c r="V82" i="112"/>
  <c r="U82" i="112"/>
  <c r="T82" i="112"/>
  <c r="Y81" i="112"/>
  <c r="X81" i="112"/>
  <c r="W81" i="112"/>
  <c r="V81" i="112"/>
  <c r="U81" i="112"/>
  <c r="T81" i="112"/>
  <c r="Y80" i="112"/>
  <c r="X80" i="112"/>
  <c r="W80" i="112"/>
  <c r="V80" i="112"/>
  <c r="U80" i="112"/>
  <c r="T80" i="112"/>
  <c r="Y79" i="112"/>
  <c r="X79" i="112"/>
  <c r="W79" i="112"/>
  <c r="V79" i="112"/>
  <c r="U79" i="112"/>
  <c r="T79" i="112"/>
  <c r="Y78" i="112"/>
  <c r="X78" i="112"/>
  <c r="W78" i="112"/>
  <c r="V78" i="112"/>
  <c r="U78" i="112"/>
  <c r="T78" i="112"/>
  <c r="Y77" i="112"/>
  <c r="X77" i="112"/>
  <c r="W77" i="112"/>
  <c r="V77" i="112"/>
  <c r="U77" i="112"/>
  <c r="T77" i="112"/>
  <c r="Y76" i="112"/>
  <c r="X76" i="112"/>
  <c r="W76" i="112"/>
  <c r="V76" i="112"/>
  <c r="U76" i="112"/>
  <c r="T76" i="112"/>
  <c r="X75" i="112"/>
  <c r="W75" i="112"/>
  <c r="V75" i="112"/>
  <c r="U75" i="112"/>
  <c r="T75" i="112"/>
  <c r="X101" i="111"/>
  <c r="W101" i="111"/>
  <c r="V101" i="111"/>
  <c r="U101" i="111"/>
  <c r="T101" i="111"/>
  <c r="Y100" i="111"/>
  <c r="X100" i="111"/>
  <c r="W100" i="111"/>
  <c r="V100" i="111"/>
  <c r="U100" i="111"/>
  <c r="T100" i="111"/>
  <c r="Y99" i="111"/>
  <c r="X99" i="111"/>
  <c r="W99" i="111"/>
  <c r="V99" i="111"/>
  <c r="U99" i="111"/>
  <c r="T99" i="111"/>
  <c r="Y98" i="111"/>
  <c r="X98" i="111"/>
  <c r="W98" i="111"/>
  <c r="V98" i="111"/>
  <c r="U98" i="111"/>
  <c r="T98" i="111"/>
  <c r="Y97" i="111"/>
  <c r="X97" i="111"/>
  <c r="W97" i="111"/>
  <c r="V97" i="111"/>
  <c r="U97" i="111"/>
  <c r="T97" i="111"/>
  <c r="Y96" i="111"/>
  <c r="X96" i="111"/>
  <c r="W96" i="111"/>
  <c r="V96" i="111"/>
  <c r="U96" i="111"/>
  <c r="T96" i="111"/>
  <c r="Y95" i="111"/>
  <c r="X95" i="111"/>
  <c r="W95" i="111"/>
  <c r="V95" i="111"/>
  <c r="U95" i="111"/>
  <c r="T95" i="111"/>
  <c r="Y94" i="111"/>
  <c r="X94" i="111"/>
  <c r="W94" i="111"/>
  <c r="V94" i="111"/>
  <c r="U94" i="111"/>
  <c r="T94" i="111"/>
  <c r="Y93" i="111"/>
  <c r="X93" i="111"/>
  <c r="W93" i="111"/>
  <c r="V93" i="111"/>
  <c r="U93" i="111"/>
  <c r="T93" i="111"/>
  <c r="Y92" i="111"/>
  <c r="X92" i="111"/>
  <c r="W92" i="111"/>
  <c r="V92" i="111"/>
  <c r="U92" i="111"/>
  <c r="T92" i="111"/>
  <c r="Y91" i="111"/>
  <c r="X91" i="111"/>
  <c r="W91" i="111"/>
  <c r="V91" i="111"/>
  <c r="U91" i="111"/>
  <c r="T91" i="111"/>
  <c r="Y90" i="111"/>
  <c r="X90" i="111"/>
  <c r="W90" i="111"/>
  <c r="V90" i="111"/>
  <c r="U90" i="111"/>
  <c r="T90" i="111"/>
  <c r="Y89" i="111"/>
  <c r="X89" i="111"/>
  <c r="W89" i="111"/>
  <c r="V89" i="111"/>
  <c r="U89" i="111"/>
  <c r="T89" i="111"/>
  <c r="Y88" i="111"/>
  <c r="X88" i="111"/>
  <c r="W88" i="111"/>
  <c r="V88" i="111"/>
  <c r="U88" i="111"/>
  <c r="T88" i="111"/>
  <c r="Y87" i="111"/>
  <c r="X87" i="111"/>
  <c r="W87" i="111"/>
  <c r="V87" i="111"/>
  <c r="U87" i="111"/>
  <c r="T87" i="111"/>
  <c r="Y86" i="111"/>
  <c r="X86" i="111"/>
  <c r="W86" i="111"/>
  <c r="V86" i="111"/>
  <c r="U86" i="111"/>
  <c r="T86" i="111"/>
  <c r="Y85" i="111"/>
  <c r="X85" i="111"/>
  <c r="W85" i="111"/>
  <c r="V85" i="111"/>
  <c r="U85" i="111"/>
  <c r="T85" i="111"/>
  <c r="Y84" i="111"/>
  <c r="X84" i="111"/>
  <c r="W84" i="111"/>
  <c r="V84" i="111"/>
  <c r="U84" i="111"/>
  <c r="T84" i="111"/>
  <c r="Y83" i="111"/>
  <c r="X83" i="111"/>
  <c r="W83" i="111"/>
  <c r="V83" i="111"/>
  <c r="U83" i="111"/>
  <c r="T83" i="111"/>
  <c r="Y82" i="111"/>
  <c r="X82" i="111"/>
  <c r="W82" i="111"/>
  <c r="V82" i="111"/>
  <c r="U82" i="111"/>
  <c r="T82" i="111"/>
  <c r="Y81" i="111"/>
  <c r="X81" i="111"/>
  <c r="W81" i="111"/>
  <c r="V81" i="111"/>
  <c r="U81" i="111"/>
  <c r="T81" i="111"/>
  <c r="Y80" i="111"/>
  <c r="X80" i="111"/>
  <c r="W80" i="111"/>
  <c r="V80" i="111"/>
  <c r="U80" i="111"/>
  <c r="T80" i="111"/>
  <c r="Y79" i="111"/>
  <c r="X79" i="111"/>
  <c r="W79" i="111"/>
  <c r="V79" i="111"/>
  <c r="U79" i="111"/>
  <c r="T79" i="111"/>
  <c r="Y78" i="111"/>
  <c r="X78" i="111"/>
  <c r="W78" i="111"/>
  <c r="V78" i="111"/>
  <c r="U78" i="111"/>
  <c r="T78" i="111"/>
  <c r="Y77" i="111"/>
  <c r="X77" i="111"/>
  <c r="W77" i="111"/>
  <c r="V77" i="111"/>
  <c r="U77" i="111"/>
  <c r="T77" i="111"/>
  <c r="Y76" i="111"/>
  <c r="X76" i="111"/>
  <c r="W76" i="111"/>
  <c r="V76" i="111"/>
  <c r="U76" i="111"/>
  <c r="T76" i="111"/>
  <c r="Y75" i="111"/>
  <c r="X75" i="111"/>
  <c r="W75" i="111"/>
  <c r="V75" i="111"/>
  <c r="U75" i="111"/>
  <c r="T75" i="111"/>
  <c r="Y101" i="110"/>
  <c r="X101" i="110"/>
  <c r="W101" i="110"/>
  <c r="V101" i="110"/>
  <c r="U101" i="110"/>
  <c r="T101" i="110"/>
  <c r="X100" i="110"/>
  <c r="W100" i="110"/>
  <c r="V100" i="110"/>
  <c r="U100" i="110"/>
  <c r="T100" i="110"/>
  <c r="Y99" i="110"/>
  <c r="X99" i="110"/>
  <c r="W99" i="110"/>
  <c r="V99" i="110"/>
  <c r="U99" i="110"/>
  <c r="T99" i="110"/>
  <c r="Y98" i="110"/>
  <c r="X98" i="110"/>
  <c r="W98" i="110"/>
  <c r="V98" i="110"/>
  <c r="U98" i="110"/>
  <c r="T98" i="110"/>
  <c r="Y97" i="110"/>
  <c r="X97" i="110"/>
  <c r="W97" i="110"/>
  <c r="V97" i="110"/>
  <c r="U97" i="110"/>
  <c r="T97" i="110"/>
  <c r="Y96" i="110"/>
  <c r="X96" i="110"/>
  <c r="W96" i="110"/>
  <c r="V96" i="110"/>
  <c r="U96" i="110"/>
  <c r="T96" i="110"/>
  <c r="Y95" i="110"/>
  <c r="X95" i="110"/>
  <c r="W95" i="110"/>
  <c r="V95" i="110"/>
  <c r="U95" i="110"/>
  <c r="T95" i="110"/>
  <c r="Y94" i="110"/>
  <c r="X94" i="110"/>
  <c r="W94" i="110"/>
  <c r="V94" i="110"/>
  <c r="U94" i="110"/>
  <c r="T94" i="110"/>
  <c r="Y93" i="110"/>
  <c r="X93" i="110"/>
  <c r="W93" i="110"/>
  <c r="V93" i="110"/>
  <c r="U93" i="110"/>
  <c r="T93" i="110"/>
  <c r="Y92" i="110"/>
  <c r="X92" i="110"/>
  <c r="W92" i="110"/>
  <c r="V92" i="110"/>
  <c r="U92" i="110"/>
  <c r="T92" i="110"/>
  <c r="Y91" i="110"/>
  <c r="X91" i="110"/>
  <c r="W91" i="110"/>
  <c r="V91" i="110"/>
  <c r="U91" i="110"/>
  <c r="T91" i="110"/>
  <c r="Y90" i="110"/>
  <c r="X90" i="110"/>
  <c r="W90" i="110"/>
  <c r="V90" i="110"/>
  <c r="U90" i="110"/>
  <c r="T90" i="110"/>
  <c r="Y89" i="110"/>
  <c r="X89" i="110"/>
  <c r="W89" i="110"/>
  <c r="V89" i="110"/>
  <c r="U89" i="110"/>
  <c r="T89" i="110"/>
  <c r="Y88" i="110"/>
  <c r="X88" i="110"/>
  <c r="W88" i="110"/>
  <c r="V88" i="110"/>
  <c r="U88" i="110"/>
  <c r="T88" i="110"/>
  <c r="Y87" i="110"/>
  <c r="X87" i="110"/>
  <c r="W87" i="110"/>
  <c r="V87" i="110"/>
  <c r="U87" i="110"/>
  <c r="T87" i="110"/>
  <c r="Y86" i="110"/>
  <c r="X86" i="110"/>
  <c r="W86" i="110"/>
  <c r="V86" i="110"/>
  <c r="U86" i="110"/>
  <c r="T86" i="110"/>
  <c r="Y85" i="110"/>
  <c r="X85" i="110"/>
  <c r="W85" i="110"/>
  <c r="V85" i="110"/>
  <c r="U85" i="110"/>
  <c r="T85" i="110"/>
  <c r="Y84" i="110"/>
  <c r="X84" i="110"/>
  <c r="W84" i="110"/>
  <c r="V84" i="110"/>
  <c r="U84" i="110"/>
  <c r="T84" i="110"/>
  <c r="Y83" i="110"/>
  <c r="X83" i="110"/>
  <c r="W83" i="110"/>
  <c r="V83" i="110"/>
  <c r="U83" i="110"/>
  <c r="T83" i="110"/>
  <c r="Y82" i="110"/>
  <c r="X82" i="110"/>
  <c r="W82" i="110"/>
  <c r="V82" i="110"/>
  <c r="U82" i="110"/>
  <c r="T82" i="110"/>
  <c r="Y81" i="110"/>
  <c r="X81" i="110"/>
  <c r="W81" i="110"/>
  <c r="V81" i="110"/>
  <c r="U81" i="110"/>
  <c r="T81" i="110"/>
  <c r="Y80" i="110"/>
  <c r="X80" i="110"/>
  <c r="W80" i="110"/>
  <c r="V80" i="110"/>
  <c r="U80" i="110"/>
  <c r="T80" i="110"/>
  <c r="Y79" i="110"/>
  <c r="X79" i="110"/>
  <c r="W79" i="110"/>
  <c r="V79" i="110"/>
  <c r="U79" i="110"/>
  <c r="T79" i="110"/>
  <c r="Y78" i="110"/>
  <c r="X78" i="110"/>
  <c r="W78" i="110"/>
  <c r="V78" i="110"/>
  <c r="U78" i="110"/>
  <c r="T78" i="110"/>
  <c r="Y77" i="110"/>
  <c r="X77" i="110"/>
  <c r="W77" i="110"/>
  <c r="V77" i="110"/>
  <c r="U77" i="110"/>
  <c r="T77" i="110"/>
  <c r="Y76" i="110"/>
  <c r="X76" i="110"/>
  <c r="W76" i="110"/>
  <c r="V76" i="110"/>
  <c r="U76" i="110"/>
  <c r="T76" i="110"/>
  <c r="Y75" i="110"/>
  <c r="X75" i="110"/>
  <c r="W75" i="110"/>
  <c r="V75" i="110"/>
  <c r="U75" i="110"/>
  <c r="T75" i="110"/>
  <c r="AO101" i="109"/>
  <c r="AN101" i="109"/>
  <c r="AM101" i="109"/>
  <c r="AL101" i="109"/>
  <c r="AK101" i="109"/>
  <c r="AJ101" i="109"/>
  <c r="AO100" i="109"/>
  <c r="AN100" i="109"/>
  <c r="AM100" i="109"/>
  <c r="AL100" i="109"/>
  <c r="AK100" i="109"/>
  <c r="AJ100" i="109"/>
  <c r="AO99" i="109"/>
  <c r="AN99" i="109"/>
  <c r="AM99" i="109"/>
  <c r="AL99" i="109"/>
  <c r="AK99" i="109"/>
  <c r="AJ99" i="109"/>
  <c r="AO98" i="109"/>
  <c r="AN98" i="109"/>
  <c r="AM98" i="109"/>
  <c r="AL98" i="109"/>
  <c r="AK98" i="109"/>
  <c r="AJ98" i="109"/>
  <c r="AO97" i="109"/>
  <c r="AN97" i="109"/>
  <c r="AM97" i="109"/>
  <c r="AL97" i="109"/>
  <c r="AK97" i="109"/>
  <c r="AJ97" i="109"/>
  <c r="AO96" i="109"/>
  <c r="AN96" i="109"/>
  <c r="AM96" i="109"/>
  <c r="AL96" i="109"/>
  <c r="AK96" i="109"/>
  <c r="AJ96" i="109"/>
  <c r="AO95" i="109"/>
  <c r="AN95" i="109"/>
  <c r="AM95" i="109"/>
  <c r="AL95" i="109"/>
  <c r="AK95" i="109"/>
  <c r="AJ95" i="109"/>
  <c r="AO94" i="109"/>
  <c r="AN94" i="109"/>
  <c r="AM94" i="109"/>
  <c r="AL94" i="109"/>
  <c r="AK94" i="109"/>
  <c r="AJ94" i="109"/>
  <c r="AO93" i="109"/>
  <c r="AN93" i="109"/>
  <c r="AM93" i="109"/>
  <c r="AL93" i="109"/>
  <c r="AK93" i="109"/>
  <c r="AJ93" i="109"/>
  <c r="AO92" i="109"/>
  <c r="AN92" i="109"/>
  <c r="AM92" i="109"/>
  <c r="AL92" i="109"/>
  <c r="AK92" i="109"/>
  <c r="AJ92" i="109"/>
  <c r="AO91" i="109"/>
  <c r="AN91" i="109"/>
  <c r="AM91" i="109"/>
  <c r="AL91" i="109"/>
  <c r="AK91" i="109"/>
  <c r="AJ91" i="109"/>
  <c r="AO90" i="109"/>
  <c r="AN90" i="109"/>
  <c r="AM90" i="109"/>
  <c r="AL90" i="109"/>
  <c r="AK90" i="109"/>
  <c r="AJ90" i="109"/>
  <c r="AO89" i="109"/>
  <c r="AN89" i="109"/>
  <c r="AM89" i="109"/>
  <c r="AL89" i="109"/>
  <c r="AK89" i="109"/>
  <c r="AJ89" i="109"/>
  <c r="AO88" i="109"/>
  <c r="AN88" i="109"/>
  <c r="AM88" i="109"/>
  <c r="AL88" i="109"/>
  <c r="AK88" i="109"/>
  <c r="AJ88" i="109"/>
  <c r="AO87" i="109"/>
  <c r="AN87" i="109"/>
  <c r="AM87" i="109"/>
  <c r="AL87" i="109"/>
  <c r="AK87" i="109"/>
  <c r="AJ87" i="109"/>
  <c r="AO86" i="109"/>
  <c r="AN86" i="109"/>
  <c r="AM86" i="109"/>
  <c r="AL86" i="109"/>
  <c r="AK86" i="109"/>
  <c r="AJ86" i="109"/>
  <c r="AO85" i="109"/>
  <c r="AN85" i="109"/>
  <c r="AM85" i="109"/>
  <c r="AL85" i="109"/>
  <c r="AK85" i="109"/>
  <c r="AJ85" i="109"/>
  <c r="AO84" i="109"/>
  <c r="AN84" i="109"/>
  <c r="AM84" i="109"/>
  <c r="AL84" i="109"/>
  <c r="AK84" i="109"/>
  <c r="AJ84" i="109"/>
  <c r="AO83" i="109"/>
  <c r="AN83" i="109"/>
  <c r="AM83" i="109"/>
  <c r="AL83" i="109"/>
  <c r="AK83" i="109"/>
  <c r="AJ83" i="109"/>
  <c r="AO82" i="109"/>
  <c r="AN82" i="109"/>
  <c r="AM82" i="109"/>
  <c r="AL82" i="109"/>
  <c r="AK82" i="109"/>
  <c r="AJ82" i="109"/>
  <c r="AO81" i="109"/>
  <c r="AN81" i="109"/>
  <c r="AM81" i="109"/>
  <c r="AL81" i="109"/>
  <c r="AK81" i="109"/>
  <c r="AJ81" i="109"/>
  <c r="AO80" i="109"/>
  <c r="AN80" i="109"/>
  <c r="AM80" i="109"/>
  <c r="AL80" i="109"/>
  <c r="AK80" i="109"/>
  <c r="AJ80" i="109"/>
  <c r="AO79" i="109"/>
  <c r="AN79" i="109"/>
  <c r="AM79" i="109"/>
  <c r="AL79" i="109"/>
  <c r="AK79" i="109"/>
  <c r="AJ79" i="109"/>
  <c r="AO78" i="109"/>
  <c r="AN78" i="109"/>
  <c r="AM78" i="109"/>
  <c r="AL78" i="109"/>
  <c r="AK78" i="109"/>
  <c r="AJ78" i="109"/>
  <c r="AO77" i="109"/>
  <c r="AN77" i="109"/>
  <c r="AM77" i="109"/>
  <c r="AL77" i="109"/>
  <c r="AK77" i="109"/>
  <c r="AJ77" i="109"/>
  <c r="AO76" i="109"/>
  <c r="AN76" i="109"/>
  <c r="AM76" i="109"/>
  <c r="AL76" i="109"/>
  <c r="AK76" i="109"/>
  <c r="AJ76" i="109"/>
  <c r="AO75" i="109"/>
  <c r="AN75" i="109"/>
  <c r="AM75" i="109"/>
  <c r="AL75" i="109"/>
  <c r="AK75" i="109"/>
  <c r="AJ75" i="109"/>
  <c r="AN101" i="108"/>
  <c r="AM101" i="108"/>
  <c r="AL101" i="108"/>
  <c r="AK101" i="108"/>
  <c r="AJ101" i="108"/>
  <c r="AI101" i="108"/>
  <c r="AN100" i="108"/>
  <c r="AM100" i="108"/>
  <c r="AL100" i="108"/>
  <c r="AK100" i="108"/>
  <c r="AJ100" i="108"/>
  <c r="AI100" i="108"/>
  <c r="AN99" i="108"/>
  <c r="AM99" i="108"/>
  <c r="AL99" i="108"/>
  <c r="AK99" i="108"/>
  <c r="AJ99" i="108"/>
  <c r="AI99" i="108"/>
  <c r="AN98" i="108"/>
  <c r="AM98" i="108"/>
  <c r="AL98" i="108"/>
  <c r="AK98" i="108"/>
  <c r="AJ98" i="108"/>
  <c r="AI98" i="108"/>
  <c r="AN97" i="108"/>
  <c r="AM97" i="108"/>
  <c r="AL97" i="108"/>
  <c r="AK97" i="108"/>
  <c r="AJ97" i="108"/>
  <c r="AI97" i="108"/>
  <c r="AN96" i="108"/>
  <c r="AM96" i="108"/>
  <c r="AL96" i="108"/>
  <c r="AK96" i="108"/>
  <c r="AJ96" i="108"/>
  <c r="AI96" i="108"/>
  <c r="AN95" i="108"/>
  <c r="AM95" i="108"/>
  <c r="AL95" i="108"/>
  <c r="AK95" i="108"/>
  <c r="AJ95" i="108"/>
  <c r="AI95" i="108"/>
  <c r="AN94" i="108"/>
  <c r="AM94" i="108"/>
  <c r="AL94" i="108"/>
  <c r="AK94" i="108"/>
  <c r="AJ94" i="108"/>
  <c r="AI94" i="108"/>
  <c r="AN93" i="108"/>
  <c r="AM93" i="108"/>
  <c r="AL93" i="108"/>
  <c r="AK93" i="108"/>
  <c r="AJ93" i="108"/>
  <c r="AI93" i="108"/>
  <c r="AN92" i="108"/>
  <c r="AM92" i="108"/>
  <c r="AL92" i="108"/>
  <c r="AK92" i="108"/>
  <c r="AJ92" i="108"/>
  <c r="AI92" i="108"/>
  <c r="AN91" i="108"/>
  <c r="AM91" i="108"/>
  <c r="AL91" i="108"/>
  <c r="AK91" i="108"/>
  <c r="AJ91" i="108"/>
  <c r="AI91" i="108"/>
  <c r="AN90" i="108"/>
  <c r="AM90" i="108"/>
  <c r="AL90" i="108"/>
  <c r="AK90" i="108"/>
  <c r="AJ90" i="108"/>
  <c r="AI90" i="108"/>
  <c r="AN89" i="108"/>
  <c r="AM89" i="108"/>
  <c r="AL89" i="108"/>
  <c r="AK89" i="108"/>
  <c r="AJ89" i="108"/>
  <c r="AI89" i="108"/>
  <c r="AN88" i="108"/>
  <c r="AM88" i="108"/>
  <c r="AL88" i="108"/>
  <c r="AK88" i="108"/>
  <c r="AJ88" i="108"/>
  <c r="AI88" i="108"/>
  <c r="AN87" i="108"/>
  <c r="AM87" i="108"/>
  <c r="AL87" i="108"/>
  <c r="AK87" i="108"/>
  <c r="AJ87" i="108"/>
  <c r="AI87" i="108"/>
  <c r="AN86" i="108"/>
  <c r="AM86" i="108"/>
  <c r="AL86" i="108"/>
  <c r="AK86" i="108"/>
  <c r="AJ86" i="108"/>
  <c r="AI86" i="108"/>
  <c r="AN85" i="108"/>
  <c r="AM85" i="108"/>
  <c r="AL85" i="108"/>
  <c r="AK85" i="108"/>
  <c r="AJ85" i="108"/>
  <c r="AI85" i="108"/>
  <c r="AN84" i="108"/>
  <c r="AM84" i="108"/>
  <c r="AL84" i="108"/>
  <c r="AK84" i="108"/>
  <c r="AJ84" i="108"/>
  <c r="AI84" i="108"/>
  <c r="AN83" i="108"/>
  <c r="AM83" i="108"/>
  <c r="AL83" i="108"/>
  <c r="AK83" i="108"/>
  <c r="AJ83" i="108"/>
  <c r="AI83" i="108"/>
  <c r="AN82" i="108"/>
  <c r="AM82" i="108"/>
  <c r="AL82" i="108"/>
  <c r="AK82" i="108"/>
  <c r="AJ82" i="108"/>
  <c r="AI82" i="108"/>
  <c r="AN81" i="108"/>
  <c r="AM81" i="108"/>
  <c r="AL81" i="108"/>
  <c r="AK81" i="108"/>
  <c r="AJ81" i="108"/>
  <c r="AI81" i="108"/>
  <c r="AN80" i="108"/>
  <c r="AM80" i="108"/>
  <c r="AL80" i="108"/>
  <c r="AK80" i="108"/>
  <c r="AJ80" i="108"/>
  <c r="AI80" i="108"/>
  <c r="AN79" i="108"/>
  <c r="AM79" i="108"/>
  <c r="AL79" i="108"/>
  <c r="AK79" i="108"/>
  <c r="AJ79" i="108"/>
  <c r="AI79" i="108"/>
  <c r="AN78" i="108"/>
  <c r="AM78" i="108"/>
  <c r="AL78" i="108"/>
  <c r="AK78" i="108"/>
  <c r="AJ78" i="108"/>
  <c r="AI78" i="108"/>
  <c r="AN77" i="108"/>
  <c r="AM77" i="108"/>
  <c r="AL77" i="108"/>
  <c r="AK77" i="108"/>
  <c r="AJ77" i="108"/>
  <c r="AI77" i="108"/>
  <c r="AN76" i="108"/>
  <c r="AM76" i="108"/>
  <c r="AL76" i="108"/>
  <c r="AK76" i="108"/>
  <c r="AJ76" i="108"/>
  <c r="AI76" i="108"/>
  <c r="AN75" i="108"/>
  <c r="AM75" i="108"/>
  <c r="AL75" i="108"/>
  <c r="AK75" i="108"/>
  <c r="AJ75" i="108"/>
  <c r="AI75" i="108"/>
  <c r="AN101" i="107"/>
  <c r="AM101" i="107"/>
  <c r="AL101" i="107"/>
  <c r="AK101" i="107"/>
  <c r="AJ101" i="107"/>
  <c r="AI101" i="107"/>
  <c r="AN100" i="107"/>
  <c r="AM100" i="107"/>
  <c r="AL100" i="107"/>
  <c r="AK100" i="107"/>
  <c r="AJ100" i="107"/>
  <c r="AI100" i="107"/>
  <c r="AN99" i="107"/>
  <c r="AM99" i="107"/>
  <c r="AL99" i="107"/>
  <c r="AK99" i="107"/>
  <c r="AJ99" i="107"/>
  <c r="AI99" i="107"/>
  <c r="AN98" i="107"/>
  <c r="AM98" i="107"/>
  <c r="AL98" i="107"/>
  <c r="AK98" i="107"/>
  <c r="AJ98" i="107"/>
  <c r="AI98" i="107"/>
  <c r="AN97" i="107"/>
  <c r="AM97" i="107"/>
  <c r="AL97" i="107"/>
  <c r="AK97" i="107"/>
  <c r="AJ97" i="107"/>
  <c r="AI97" i="107"/>
  <c r="AN96" i="107"/>
  <c r="AM96" i="107"/>
  <c r="AL96" i="107"/>
  <c r="AK96" i="107"/>
  <c r="AJ96" i="107"/>
  <c r="AI96" i="107"/>
  <c r="AN95" i="107"/>
  <c r="AM95" i="107"/>
  <c r="AL95" i="107"/>
  <c r="AK95" i="107"/>
  <c r="AJ95" i="107"/>
  <c r="AI95" i="107"/>
  <c r="AN94" i="107"/>
  <c r="AM94" i="107"/>
  <c r="AL94" i="107"/>
  <c r="AK94" i="107"/>
  <c r="AJ94" i="107"/>
  <c r="AI94" i="107"/>
  <c r="AN93" i="107"/>
  <c r="AM93" i="107"/>
  <c r="AL93" i="107"/>
  <c r="AK93" i="107"/>
  <c r="AJ93" i="107"/>
  <c r="AI93" i="107"/>
  <c r="AN92" i="107"/>
  <c r="AM92" i="107"/>
  <c r="AL92" i="107"/>
  <c r="AK92" i="107"/>
  <c r="AJ92" i="107"/>
  <c r="AI92" i="107"/>
  <c r="AN91" i="107"/>
  <c r="AM91" i="107"/>
  <c r="AL91" i="107"/>
  <c r="AK91" i="107"/>
  <c r="AJ91" i="107"/>
  <c r="AI91" i="107"/>
  <c r="AN90" i="107"/>
  <c r="AM90" i="107"/>
  <c r="AL90" i="107"/>
  <c r="AK90" i="107"/>
  <c r="AJ90" i="107"/>
  <c r="AI90" i="107"/>
  <c r="AN89" i="107"/>
  <c r="AM89" i="107"/>
  <c r="AL89" i="107"/>
  <c r="AK89" i="107"/>
  <c r="AJ89" i="107"/>
  <c r="AI89" i="107"/>
  <c r="AN88" i="107"/>
  <c r="AM88" i="107"/>
  <c r="AL88" i="107"/>
  <c r="AK88" i="107"/>
  <c r="AJ88" i="107"/>
  <c r="AI88" i="107"/>
  <c r="AN87" i="107"/>
  <c r="AM87" i="107"/>
  <c r="AL87" i="107"/>
  <c r="AK87" i="107"/>
  <c r="AJ87" i="107"/>
  <c r="AI87" i="107"/>
  <c r="AN86" i="107"/>
  <c r="AM86" i="107"/>
  <c r="AL86" i="107"/>
  <c r="AK86" i="107"/>
  <c r="AJ86" i="107"/>
  <c r="AI86" i="107"/>
  <c r="AN85" i="107"/>
  <c r="AM85" i="107"/>
  <c r="AL85" i="107"/>
  <c r="AK85" i="107"/>
  <c r="AJ85" i="107"/>
  <c r="AI85" i="107"/>
  <c r="AN84" i="107"/>
  <c r="AM84" i="107"/>
  <c r="AL84" i="107"/>
  <c r="AK84" i="107"/>
  <c r="AJ84" i="107"/>
  <c r="AI84" i="107"/>
  <c r="AN83" i="107"/>
  <c r="AM83" i="107"/>
  <c r="AL83" i="107"/>
  <c r="AK83" i="107"/>
  <c r="AJ83" i="107"/>
  <c r="AI83" i="107"/>
  <c r="AN82" i="107"/>
  <c r="AM82" i="107"/>
  <c r="AL82" i="107"/>
  <c r="AK82" i="107"/>
  <c r="AJ82" i="107"/>
  <c r="AI82" i="107"/>
  <c r="AN81" i="107"/>
  <c r="AM81" i="107"/>
  <c r="AL81" i="107"/>
  <c r="AK81" i="107"/>
  <c r="AJ81" i="107"/>
  <c r="AI81" i="107"/>
  <c r="AN80" i="107"/>
  <c r="AM80" i="107"/>
  <c r="AL80" i="107"/>
  <c r="AK80" i="107"/>
  <c r="AJ80" i="107"/>
  <c r="AI80" i="107"/>
  <c r="AN79" i="107"/>
  <c r="AM79" i="107"/>
  <c r="AL79" i="107"/>
  <c r="AK79" i="107"/>
  <c r="AJ79" i="107"/>
  <c r="AI79" i="107"/>
  <c r="AN78" i="107"/>
  <c r="AM78" i="107"/>
  <c r="AL78" i="107"/>
  <c r="AK78" i="107"/>
  <c r="AJ78" i="107"/>
  <c r="AI78" i="107"/>
  <c r="AN77" i="107"/>
  <c r="AM77" i="107"/>
  <c r="AL77" i="107"/>
  <c r="AK77" i="107"/>
  <c r="AJ77" i="107"/>
  <c r="AI77" i="107"/>
  <c r="AN76" i="107"/>
  <c r="AM76" i="107"/>
  <c r="AL76" i="107"/>
  <c r="AK76" i="107"/>
  <c r="AJ76" i="107"/>
  <c r="AI76" i="107"/>
  <c r="AN75" i="107"/>
  <c r="AM75" i="107"/>
  <c r="AM102" i="107" s="1"/>
  <c r="AL75" i="107"/>
  <c r="AK75" i="107"/>
  <c r="AJ75" i="107"/>
  <c r="AI75" i="107"/>
  <c r="AI102" i="107" s="1"/>
  <c r="AN101" i="106"/>
  <c r="AM101" i="106"/>
  <c r="AL101" i="106"/>
  <c r="AK101" i="106"/>
  <c r="AJ101" i="106"/>
  <c r="AI101" i="106"/>
  <c r="AN100" i="106"/>
  <c r="AM100" i="106"/>
  <c r="AL100" i="106"/>
  <c r="AK100" i="106"/>
  <c r="AJ100" i="106"/>
  <c r="AI100" i="106"/>
  <c r="AN99" i="106"/>
  <c r="AM99" i="106"/>
  <c r="AL99" i="106"/>
  <c r="AK99" i="106"/>
  <c r="AJ99" i="106"/>
  <c r="AI99" i="106"/>
  <c r="AN98" i="106"/>
  <c r="AM98" i="106"/>
  <c r="AL98" i="106"/>
  <c r="AK98" i="106"/>
  <c r="AJ98" i="106"/>
  <c r="AI98" i="106"/>
  <c r="AN97" i="106"/>
  <c r="AM97" i="106"/>
  <c r="AL97" i="106"/>
  <c r="AK97" i="106"/>
  <c r="AJ97" i="106"/>
  <c r="AI97" i="106"/>
  <c r="AN96" i="106"/>
  <c r="AM96" i="106"/>
  <c r="AL96" i="106"/>
  <c r="AK96" i="106"/>
  <c r="AJ96" i="106"/>
  <c r="AI96" i="106"/>
  <c r="AN95" i="106"/>
  <c r="AM95" i="106"/>
  <c r="AL95" i="106"/>
  <c r="AK95" i="106"/>
  <c r="AJ95" i="106"/>
  <c r="AI95" i="106"/>
  <c r="AN94" i="106"/>
  <c r="AM94" i="106"/>
  <c r="AL94" i="106"/>
  <c r="AK94" i="106"/>
  <c r="AJ94" i="106"/>
  <c r="AI94" i="106"/>
  <c r="AN93" i="106"/>
  <c r="AM93" i="106"/>
  <c r="AL93" i="106"/>
  <c r="AK93" i="106"/>
  <c r="AJ93" i="106"/>
  <c r="AI93" i="106"/>
  <c r="AN92" i="106"/>
  <c r="AM92" i="106"/>
  <c r="AL92" i="106"/>
  <c r="AK92" i="106"/>
  <c r="AJ92" i="106"/>
  <c r="AI92" i="106"/>
  <c r="AN91" i="106"/>
  <c r="AM91" i="106"/>
  <c r="AL91" i="106"/>
  <c r="AK91" i="106"/>
  <c r="AJ91" i="106"/>
  <c r="AI91" i="106"/>
  <c r="AN90" i="106"/>
  <c r="AM90" i="106"/>
  <c r="AL90" i="106"/>
  <c r="AK90" i="106"/>
  <c r="AJ90" i="106"/>
  <c r="AI90" i="106"/>
  <c r="AN89" i="106"/>
  <c r="AM89" i="106"/>
  <c r="AL89" i="106"/>
  <c r="AK89" i="106"/>
  <c r="AJ89" i="106"/>
  <c r="AI89" i="106"/>
  <c r="AN88" i="106"/>
  <c r="AM88" i="106"/>
  <c r="AL88" i="106"/>
  <c r="AK88" i="106"/>
  <c r="AJ88" i="106"/>
  <c r="AI88" i="106"/>
  <c r="AN87" i="106"/>
  <c r="AM87" i="106"/>
  <c r="AL87" i="106"/>
  <c r="AK87" i="106"/>
  <c r="AJ87" i="106"/>
  <c r="AI87" i="106"/>
  <c r="AN86" i="106"/>
  <c r="AM86" i="106"/>
  <c r="AL86" i="106"/>
  <c r="AK86" i="106"/>
  <c r="AJ86" i="106"/>
  <c r="AI86" i="106"/>
  <c r="AN85" i="106"/>
  <c r="AM85" i="106"/>
  <c r="AL85" i="106"/>
  <c r="AK85" i="106"/>
  <c r="AJ85" i="106"/>
  <c r="AI85" i="106"/>
  <c r="AN84" i="106"/>
  <c r="AM84" i="106"/>
  <c r="AL84" i="106"/>
  <c r="AK84" i="106"/>
  <c r="AJ84" i="106"/>
  <c r="AI84" i="106"/>
  <c r="AN83" i="106"/>
  <c r="AM83" i="106"/>
  <c r="AL83" i="106"/>
  <c r="AK83" i="106"/>
  <c r="AJ83" i="106"/>
  <c r="AI83" i="106"/>
  <c r="AN82" i="106"/>
  <c r="AM82" i="106"/>
  <c r="AL82" i="106"/>
  <c r="AK82" i="106"/>
  <c r="AJ82" i="106"/>
  <c r="AI82" i="106"/>
  <c r="AN81" i="106"/>
  <c r="AM81" i="106"/>
  <c r="AL81" i="106"/>
  <c r="AK81" i="106"/>
  <c r="AJ81" i="106"/>
  <c r="AI81" i="106"/>
  <c r="AN80" i="106"/>
  <c r="AM80" i="106"/>
  <c r="AL80" i="106"/>
  <c r="AK80" i="106"/>
  <c r="AJ80" i="106"/>
  <c r="AI80" i="106"/>
  <c r="AN79" i="106"/>
  <c r="AM79" i="106"/>
  <c r="AL79" i="106"/>
  <c r="AK79" i="106"/>
  <c r="AJ79" i="106"/>
  <c r="AI79" i="106"/>
  <c r="AN78" i="106"/>
  <c r="AM78" i="106"/>
  <c r="AL78" i="106"/>
  <c r="AK78" i="106"/>
  <c r="AJ78" i="106"/>
  <c r="AI78" i="106"/>
  <c r="AN77" i="106"/>
  <c r="AM77" i="106"/>
  <c r="AL77" i="106"/>
  <c r="AK77" i="106"/>
  <c r="AJ77" i="106"/>
  <c r="AI77" i="106"/>
  <c r="AN76" i="106"/>
  <c r="AM76" i="106"/>
  <c r="AL76" i="106"/>
  <c r="AK76" i="106"/>
  <c r="AJ76" i="106"/>
  <c r="AI76" i="106"/>
  <c r="AN75" i="106"/>
  <c r="AM75" i="106"/>
  <c r="AL75" i="106"/>
  <c r="AK75" i="106"/>
  <c r="AJ75" i="106"/>
  <c r="AI75" i="106"/>
  <c r="S5" i="107"/>
  <c r="T5" i="107"/>
  <c r="R7" i="121" s="1"/>
  <c r="U5" i="107"/>
  <c r="V5" i="107"/>
  <c r="O6" i="122" s="1"/>
  <c r="W5" i="107"/>
  <c r="X5" i="107"/>
  <c r="Y5" i="107"/>
  <c r="Z5" i="107"/>
  <c r="AA5" i="107"/>
  <c r="AB5" i="107"/>
  <c r="AC5" i="107"/>
  <c r="AD5" i="107"/>
  <c r="AE5" i="107"/>
  <c r="AF5" i="107"/>
  <c r="AG5" i="107"/>
  <c r="S6" i="107"/>
  <c r="T6" i="107"/>
  <c r="R8" i="121" s="1"/>
  <c r="U6" i="107"/>
  <c r="V6" i="107"/>
  <c r="O7" i="122" s="1"/>
  <c r="W6" i="107"/>
  <c r="X6" i="107"/>
  <c r="Y6" i="107"/>
  <c r="Z6" i="107"/>
  <c r="AA6" i="107"/>
  <c r="AB6" i="107"/>
  <c r="AC6" i="107"/>
  <c r="AD6" i="107"/>
  <c r="AE6" i="107"/>
  <c r="AF6" i="107"/>
  <c r="AG6" i="107"/>
  <c r="S7" i="107"/>
  <c r="T7" i="107"/>
  <c r="R10" i="121" s="1"/>
  <c r="U7" i="107"/>
  <c r="V7" i="107"/>
  <c r="O9" i="122" s="1"/>
  <c r="W7" i="107"/>
  <c r="X7" i="107"/>
  <c r="Y7" i="107"/>
  <c r="Z7" i="107"/>
  <c r="AA7" i="107"/>
  <c r="AB7" i="107"/>
  <c r="AC7" i="107"/>
  <c r="AD7" i="107"/>
  <c r="AE7" i="107"/>
  <c r="AF7" i="107"/>
  <c r="AG7" i="107"/>
  <c r="S8" i="107"/>
  <c r="T8" i="107"/>
  <c r="R9" i="121" s="1"/>
  <c r="U8" i="107"/>
  <c r="V8" i="107"/>
  <c r="O8" i="122" s="1"/>
  <c r="W8" i="107"/>
  <c r="X8" i="107"/>
  <c r="Y8" i="107"/>
  <c r="Z8" i="107"/>
  <c r="AA8" i="107"/>
  <c r="AB8" i="107"/>
  <c r="AC8" i="107"/>
  <c r="AD8" i="107"/>
  <c r="AE8" i="107"/>
  <c r="AF8" i="107"/>
  <c r="AG8" i="107"/>
  <c r="S9" i="107"/>
  <c r="T9" i="107"/>
  <c r="R11" i="121" s="1"/>
  <c r="U9" i="107"/>
  <c r="V9" i="107"/>
  <c r="O10" i="122" s="1"/>
  <c r="W9" i="107"/>
  <c r="X9" i="107"/>
  <c r="Y9" i="107"/>
  <c r="Z9" i="107"/>
  <c r="AA9" i="107"/>
  <c r="AB9" i="107"/>
  <c r="AC9" i="107"/>
  <c r="AD9" i="107"/>
  <c r="AE9" i="107"/>
  <c r="AF9" i="107"/>
  <c r="AG9" i="107"/>
  <c r="S10" i="107"/>
  <c r="T10" i="107"/>
  <c r="R12" i="121" s="1"/>
  <c r="U10" i="107"/>
  <c r="V10" i="107"/>
  <c r="W10" i="107"/>
  <c r="X10" i="107"/>
  <c r="Y10" i="107"/>
  <c r="Z10" i="107"/>
  <c r="AA10" i="107"/>
  <c r="AB10" i="107"/>
  <c r="AC10" i="107"/>
  <c r="AD10" i="107"/>
  <c r="AE10" i="107"/>
  <c r="AF10" i="107"/>
  <c r="AG10" i="107"/>
  <c r="S11" i="107"/>
  <c r="T11" i="107"/>
  <c r="R13" i="121" s="1"/>
  <c r="U11" i="107"/>
  <c r="V11" i="107"/>
  <c r="O12" i="122" s="1"/>
  <c r="W11" i="107"/>
  <c r="X11" i="107"/>
  <c r="Y11" i="107"/>
  <c r="Z11" i="107"/>
  <c r="AA11" i="107"/>
  <c r="AB11" i="107"/>
  <c r="AC11" i="107"/>
  <c r="AD11" i="107"/>
  <c r="AE11" i="107"/>
  <c r="AF11" i="107"/>
  <c r="AG11" i="107"/>
  <c r="S12" i="107"/>
  <c r="T12" i="107"/>
  <c r="R14" i="121" s="1"/>
  <c r="U12" i="107"/>
  <c r="V12" i="107"/>
  <c r="O13" i="122" s="1"/>
  <c r="W12" i="107"/>
  <c r="X12" i="107"/>
  <c r="Y12" i="107"/>
  <c r="Z12" i="107"/>
  <c r="AA12" i="107"/>
  <c r="AB12" i="107"/>
  <c r="AC12" i="107"/>
  <c r="AD12" i="107"/>
  <c r="AE12" i="107"/>
  <c r="AF12" i="107"/>
  <c r="AG12" i="107"/>
  <c r="S13" i="107"/>
  <c r="T13" i="107"/>
  <c r="R15" i="121" s="1"/>
  <c r="U13" i="107"/>
  <c r="V13" i="107"/>
  <c r="O14" i="122" s="1"/>
  <c r="W13" i="107"/>
  <c r="X13" i="107"/>
  <c r="Y13" i="107"/>
  <c r="Z13" i="107"/>
  <c r="AA13" i="107"/>
  <c r="AB13" i="107"/>
  <c r="AC13" i="107"/>
  <c r="AD13" i="107"/>
  <c r="AE13" i="107"/>
  <c r="AF13" i="107"/>
  <c r="AG13" i="107"/>
  <c r="S14" i="107"/>
  <c r="T14" i="107"/>
  <c r="R16" i="121" s="1"/>
  <c r="U14" i="107"/>
  <c r="V14" i="107"/>
  <c r="O15" i="122" s="1"/>
  <c r="W14" i="107"/>
  <c r="X14" i="107"/>
  <c r="Y14" i="107"/>
  <c r="Z14" i="107"/>
  <c r="AA14" i="107"/>
  <c r="AB14" i="107"/>
  <c r="AC14" i="107"/>
  <c r="AD14" i="107"/>
  <c r="AE14" i="107"/>
  <c r="AF14" i="107"/>
  <c r="AG14" i="107"/>
  <c r="S15" i="107"/>
  <c r="T15" i="107"/>
  <c r="R19" i="121" s="1"/>
  <c r="U15" i="107"/>
  <c r="V15" i="107"/>
  <c r="O18" i="122" s="1"/>
  <c r="W15" i="107"/>
  <c r="X15" i="107"/>
  <c r="Y15" i="107"/>
  <c r="Z15" i="107"/>
  <c r="AA15" i="107"/>
  <c r="AB15" i="107"/>
  <c r="AC15" i="107"/>
  <c r="AD15" i="107"/>
  <c r="AE15" i="107"/>
  <c r="AF15" i="107"/>
  <c r="AG15" i="107"/>
  <c r="S16" i="107"/>
  <c r="T16" i="107"/>
  <c r="R18" i="121" s="1"/>
  <c r="U16" i="107"/>
  <c r="V16" i="107"/>
  <c r="O17" i="122" s="1"/>
  <c r="W16" i="107"/>
  <c r="X16" i="107"/>
  <c r="Y16" i="107"/>
  <c r="Z16" i="107"/>
  <c r="AA16" i="107"/>
  <c r="AB16" i="107"/>
  <c r="AC16" i="107"/>
  <c r="AD16" i="107"/>
  <c r="AE16" i="107"/>
  <c r="AF16" i="107"/>
  <c r="AG16" i="107"/>
  <c r="S17" i="107"/>
  <c r="T17" i="107"/>
  <c r="R17" i="121" s="1"/>
  <c r="U17" i="107"/>
  <c r="V17" i="107"/>
  <c r="O16" i="122" s="1"/>
  <c r="W17" i="107"/>
  <c r="X17" i="107"/>
  <c r="Y17" i="107"/>
  <c r="Z17" i="107"/>
  <c r="AA17" i="107"/>
  <c r="AB17" i="107"/>
  <c r="AC17" i="107"/>
  <c r="AD17" i="107"/>
  <c r="AE17" i="107"/>
  <c r="AF17" i="107"/>
  <c r="AG17" i="107"/>
  <c r="S18" i="107"/>
  <c r="T18" i="107"/>
  <c r="R20" i="121" s="1"/>
  <c r="U18" i="107"/>
  <c r="V18" i="107"/>
  <c r="O19" i="122" s="1"/>
  <c r="W18" i="107"/>
  <c r="X18" i="107"/>
  <c r="Y18" i="107"/>
  <c r="Z18" i="107"/>
  <c r="AA18" i="107"/>
  <c r="AB18" i="107"/>
  <c r="AC18" i="107"/>
  <c r="AD18" i="107"/>
  <c r="AE18" i="107"/>
  <c r="AF18" i="107"/>
  <c r="AG18" i="107"/>
  <c r="S19" i="107"/>
  <c r="T19" i="107"/>
  <c r="R21" i="121" s="1"/>
  <c r="U19" i="107"/>
  <c r="V19" i="107"/>
  <c r="O20" i="122" s="1"/>
  <c r="W19" i="107"/>
  <c r="X19" i="107"/>
  <c r="Y19" i="107"/>
  <c r="Z19" i="107"/>
  <c r="AA19" i="107"/>
  <c r="AB19" i="107"/>
  <c r="AC19" i="107"/>
  <c r="AD19" i="107"/>
  <c r="AE19" i="107"/>
  <c r="AF19" i="107"/>
  <c r="AG19" i="107"/>
  <c r="S20" i="107"/>
  <c r="T20" i="107"/>
  <c r="U20" i="107"/>
  <c r="V20" i="107"/>
  <c r="O23" i="122" s="1"/>
  <c r="W20" i="107"/>
  <c r="X20" i="107"/>
  <c r="Y20" i="107"/>
  <c r="Z20" i="107"/>
  <c r="AA20" i="107"/>
  <c r="AB20" i="107"/>
  <c r="AC20" i="107"/>
  <c r="AD20" i="107"/>
  <c r="AE20" i="107"/>
  <c r="AF20" i="107"/>
  <c r="AG20" i="107"/>
  <c r="S21" i="107"/>
  <c r="T21" i="107"/>
  <c r="R22" i="121" s="1"/>
  <c r="U21" i="107"/>
  <c r="V21" i="107"/>
  <c r="O21" i="122" s="1"/>
  <c r="W21" i="107"/>
  <c r="X21" i="107"/>
  <c r="Y21" i="107"/>
  <c r="Z21" i="107"/>
  <c r="AA21" i="107"/>
  <c r="AB21" i="107"/>
  <c r="AC21" i="107"/>
  <c r="AD21" i="107"/>
  <c r="AE21" i="107"/>
  <c r="AF21" i="107"/>
  <c r="AG21" i="107"/>
  <c r="S22" i="107"/>
  <c r="T22" i="107"/>
  <c r="R23" i="121" s="1"/>
  <c r="U22" i="107"/>
  <c r="V22" i="107"/>
  <c r="O22" i="122" s="1"/>
  <c r="W22" i="107"/>
  <c r="X22" i="107"/>
  <c r="Y22" i="107"/>
  <c r="Z22" i="107"/>
  <c r="AA22" i="107"/>
  <c r="AB22" i="107"/>
  <c r="AC22" i="107"/>
  <c r="AD22" i="107"/>
  <c r="AE22" i="107"/>
  <c r="AF22" i="107"/>
  <c r="AG22" i="107"/>
  <c r="S23" i="107"/>
  <c r="T23" i="107"/>
  <c r="R25" i="121" s="1"/>
  <c r="U23" i="107"/>
  <c r="V23" i="107"/>
  <c r="O24" i="122" s="1"/>
  <c r="W23" i="107"/>
  <c r="X23" i="107"/>
  <c r="Y23" i="107"/>
  <c r="Z23" i="107"/>
  <c r="AA23" i="107"/>
  <c r="AB23" i="107"/>
  <c r="AC23" i="107"/>
  <c r="AD23" i="107"/>
  <c r="AE23" i="107"/>
  <c r="AF23" i="107"/>
  <c r="AG23" i="107"/>
  <c r="S24" i="107"/>
  <c r="T24" i="107"/>
  <c r="R26" i="121" s="1"/>
  <c r="U24" i="107"/>
  <c r="V24" i="107"/>
  <c r="O25" i="122" s="1"/>
  <c r="W24" i="107"/>
  <c r="X24" i="107"/>
  <c r="Y24" i="107"/>
  <c r="Z24" i="107"/>
  <c r="AA24" i="107"/>
  <c r="AB24" i="107"/>
  <c r="AC24" i="107"/>
  <c r="AD24" i="107"/>
  <c r="AE24" i="107"/>
  <c r="AF24" i="107"/>
  <c r="AG24" i="107"/>
  <c r="S25" i="107"/>
  <c r="T25" i="107"/>
  <c r="R29" i="121" s="1"/>
  <c r="U25" i="107"/>
  <c r="V25" i="107"/>
  <c r="O28" i="122" s="1"/>
  <c r="W25" i="107"/>
  <c r="X25" i="107"/>
  <c r="Y25" i="107"/>
  <c r="Z25" i="107"/>
  <c r="AA25" i="107"/>
  <c r="AB25" i="107"/>
  <c r="AC25" i="107"/>
  <c r="AD25" i="107"/>
  <c r="AE25" i="107"/>
  <c r="AF25" i="107"/>
  <c r="AG25" i="107"/>
  <c r="S26" i="107"/>
  <c r="T26" i="107"/>
  <c r="R27" i="121" s="1"/>
  <c r="U26" i="107"/>
  <c r="V26" i="107"/>
  <c r="O26" i="122" s="1"/>
  <c r="W26" i="107"/>
  <c r="X26" i="107"/>
  <c r="Y26" i="107"/>
  <c r="Z26" i="107"/>
  <c r="AA26" i="107"/>
  <c r="AB26" i="107"/>
  <c r="AC26" i="107"/>
  <c r="AD26" i="107"/>
  <c r="AE26" i="107"/>
  <c r="AF26" i="107"/>
  <c r="AG26" i="107"/>
  <c r="S27" i="107"/>
  <c r="T27" i="107"/>
  <c r="R28" i="121" s="1"/>
  <c r="U27" i="107"/>
  <c r="V27" i="107"/>
  <c r="O27" i="122" s="1"/>
  <c r="W27" i="107"/>
  <c r="X27" i="107"/>
  <c r="Y27" i="107"/>
  <c r="Z27" i="107"/>
  <c r="AA27" i="107"/>
  <c r="AB27" i="107"/>
  <c r="AC27" i="107"/>
  <c r="AD27" i="107"/>
  <c r="AE27" i="107"/>
  <c r="AF27" i="107"/>
  <c r="AG27" i="107"/>
  <c r="S28" i="107"/>
  <c r="T28" i="107"/>
  <c r="R30" i="121" s="1"/>
  <c r="U28" i="107"/>
  <c r="V28" i="107"/>
  <c r="O29" i="122" s="1"/>
  <c r="W28" i="107"/>
  <c r="X28" i="107"/>
  <c r="Y28" i="107"/>
  <c r="Z28" i="107"/>
  <c r="AA28" i="107"/>
  <c r="AB28" i="107"/>
  <c r="AC28" i="107"/>
  <c r="AD28" i="107"/>
  <c r="AE28" i="107"/>
  <c r="AF28" i="107"/>
  <c r="AG28" i="107"/>
  <c r="S29" i="107"/>
  <c r="T29" i="107"/>
  <c r="R32" i="121" s="1"/>
  <c r="U29" i="107"/>
  <c r="V29" i="107"/>
  <c r="O31" i="122" s="1"/>
  <c r="W29" i="107"/>
  <c r="X29" i="107"/>
  <c r="Y29" i="107"/>
  <c r="Z29" i="107"/>
  <c r="AA29" i="107"/>
  <c r="AB29" i="107"/>
  <c r="AC29" i="107"/>
  <c r="AD29" i="107"/>
  <c r="AE29" i="107"/>
  <c r="AF29" i="107"/>
  <c r="AG29" i="107"/>
  <c r="S30" i="107"/>
  <c r="T30" i="107"/>
  <c r="R31" i="121" s="1"/>
  <c r="U30" i="107"/>
  <c r="V30" i="107"/>
  <c r="O30" i="122" s="1"/>
  <c r="W30" i="107"/>
  <c r="X30" i="107"/>
  <c r="Y30" i="107"/>
  <c r="Z30" i="107"/>
  <c r="AA30" i="107"/>
  <c r="AB30" i="107"/>
  <c r="AC30" i="107"/>
  <c r="AD30" i="107"/>
  <c r="AE30" i="107"/>
  <c r="AF30" i="107"/>
  <c r="AG30" i="107"/>
  <c r="S31" i="107"/>
  <c r="T31" i="107"/>
  <c r="R33" i="121" s="1"/>
  <c r="U31" i="107"/>
  <c r="V31" i="107"/>
  <c r="O32" i="122" s="1"/>
  <c r="W31" i="107"/>
  <c r="X31" i="107"/>
  <c r="Y31" i="107"/>
  <c r="Z31" i="107"/>
  <c r="AA31" i="107"/>
  <c r="AB31" i="107"/>
  <c r="AC31" i="107"/>
  <c r="AD31" i="107"/>
  <c r="AE31" i="107"/>
  <c r="AF31" i="107"/>
  <c r="AG31" i="107"/>
  <c r="S40" i="107"/>
  <c r="AI40" i="107" s="1"/>
  <c r="T40" i="107"/>
  <c r="AJ40" i="107" s="1"/>
  <c r="U40" i="107"/>
  <c r="AK40" i="107" s="1"/>
  <c r="V40" i="107"/>
  <c r="AL40" i="107" s="1"/>
  <c r="W40" i="107"/>
  <c r="AM40" i="107" s="1"/>
  <c r="X40" i="107"/>
  <c r="Y40" i="107"/>
  <c r="Z40" i="107"/>
  <c r="AA40" i="107"/>
  <c r="AB40" i="107"/>
  <c r="AC40" i="107"/>
  <c r="AD40" i="107"/>
  <c r="AE40" i="107"/>
  <c r="AF40" i="107"/>
  <c r="AG40" i="107"/>
  <c r="S41" i="107"/>
  <c r="AI41" i="107" s="1"/>
  <c r="T41" i="107"/>
  <c r="AJ41" i="107" s="1"/>
  <c r="U41" i="107"/>
  <c r="AK41" i="107" s="1"/>
  <c r="V41" i="107"/>
  <c r="AL41" i="107" s="1"/>
  <c r="W41" i="107"/>
  <c r="AM41" i="107" s="1"/>
  <c r="X41" i="107"/>
  <c r="Y41" i="107"/>
  <c r="Z41" i="107"/>
  <c r="AA41" i="107"/>
  <c r="AB41" i="107"/>
  <c r="AC41" i="107"/>
  <c r="AD41" i="107"/>
  <c r="AE41" i="107"/>
  <c r="AF41" i="107"/>
  <c r="AG41" i="107"/>
  <c r="S42" i="107"/>
  <c r="AI42" i="107" s="1"/>
  <c r="T42" i="107"/>
  <c r="AJ42" i="107" s="1"/>
  <c r="U42" i="107"/>
  <c r="AK42" i="107" s="1"/>
  <c r="V42" i="107"/>
  <c r="AL42" i="107" s="1"/>
  <c r="W42" i="107"/>
  <c r="AM42" i="107" s="1"/>
  <c r="X42" i="107"/>
  <c r="Y42" i="107"/>
  <c r="Z42" i="107"/>
  <c r="AA42" i="107"/>
  <c r="AB42" i="107"/>
  <c r="AC42" i="107"/>
  <c r="AD42" i="107"/>
  <c r="AE42" i="107"/>
  <c r="AF42" i="107"/>
  <c r="AG42" i="107"/>
  <c r="S43" i="107"/>
  <c r="AI43" i="107" s="1"/>
  <c r="T43" i="107"/>
  <c r="AJ43" i="107" s="1"/>
  <c r="U43" i="107"/>
  <c r="AK43" i="107" s="1"/>
  <c r="V43" i="107"/>
  <c r="AL43" i="107" s="1"/>
  <c r="W43" i="107"/>
  <c r="AM43" i="107" s="1"/>
  <c r="X43" i="107"/>
  <c r="Y43" i="107"/>
  <c r="Z43" i="107"/>
  <c r="AA43" i="107"/>
  <c r="AB43" i="107"/>
  <c r="AC43" i="107"/>
  <c r="AD43" i="107"/>
  <c r="AE43" i="107"/>
  <c r="S44" i="107"/>
  <c r="AI44" i="107" s="1"/>
  <c r="T44" i="107"/>
  <c r="AJ44" i="107" s="1"/>
  <c r="U44" i="107"/>
  <c r="AK44" i="107" s="1"/>
  <c r="V44" i="107"/>
  <c r="AL44" i="107" s="1"/>
  <c r="W44" i="107"/>
  <c r="AM44" i="107" s="1"/>
  <c r="X44" i="107"/>
  <c r="Y44" i="107"/>
  <c r="Z44" i="107"/>
  <c r="AA44" i="107"/>
  <c r="AB44" i="107"/>
  <c r="AC44" i="107"/>
  <c r="AD44" i="107"/>
  <c r="AE44" i="107"/>
  <c r="AF44" i="107"/>
  <c r="AG44" i="107"/>
  <c r="S45" i="107"/>
  <c r="AI45" i="107" s="1"/>
  <c r="T45" i="107"/>
  <c r="AJ45" i="107" s="1"/>
  <c r="U45" i="107"/>
  <c r="AK45" i="107" s="1"/>
  <c r="V45" i="107"/>
  <c r="AL45" i="107" s="1"/>
  <c r="W45" i="107"/>
  <c r="AM45" i="107" s="1"/>
  <c r="X45" i="107"/>
  <c r="Y45" i="107"/>
  <c r="Z45" i="107"/>
  <c r="AA45" i="107"/>
  <c r="AB45" i="107"/>
  <c r="AC45" i="107"/>
  <c r="AD45" i="107"/>
  <c r="AE45" i="107"/>
  <c r="AF45" i="107"/>
  <c r="AG45" i="107"/>
  <c r="S46" i="107"/>
  <c r="AI46" i="107" s="1"/>
  <c r="T46" i="107"/>
  <c r="AJ46" i="107" s="1"/>
  <c r="U46" i="107"/>
  <c r="AK46" i="107" s="1"/>
  <c r="V46" i="107"/>
  <c r="AL46" i="107" s="1"/>
  <c r="W46" i="107"/>
  <c r="AM46" i="107" s="1"/>
  <c r="X46" i="107"/>
  <c r="Y46" i="107"/>
  <c r="Z46" i="107"/>
  <c r="AA46" i="107"/>
  <c r="AB46" i="107"/>
  <c r="AC46" i="107"/>
  <c r="AD46" i="107"/>
  <c r="AE46" i="107"/>
  <c r="AF46" i="107"/>
  <c r="AG46" i="107"/>
  <c r="S47" i="107"/>
  <c r="AI47" i="107" s="1"/>
  <c r="T47" i="107"/>
  <c r="AJ47" i="107" s="1"/>
  <c r="U47" i="107"/>
  <c r="AK47" i="107" s="1"/>
  <c r="V47" i="107"/>
  <c r="AL47" i="107" s="1"/>
  <c r="W47" i="107"/>
  <c r="AM47" i="107" s="1"/>
  <c r="X47" i="107"/>
  <c r="Y47" i="107"/>
  <c r="Z47" i="107"/>
  <c r="AA47" i="107"/>
  <c r="AB47" i="107"/>
  <c r="AC47" i="107"/>
  <c r="AD47" i="107"/>
  <c r="AE47" i="107"/>
  <c r="AF47" i="107"/>
  <c r="AG47" i="107"/>
  <c r="S48" i="107"/>
  <c r="AI48" i="107" s="1"/>
  <c r="T48" i="107"/>
  <c r="AJ48" i="107" s="1"/>
  <c r="U48" i="107"/>
  <c r="AK48" i="107" s="1"/>
  <c r="V48" i="107"/>
  <c r="AL48" i="107" s="1"/>
  <c r="W48" i="107"/>
  <c r="AM48" i="107" s="1"/>
  <c r="X48" i="107"/>
  <c r="Y48" i="107"/>
  <c r="Z48" i="107"/>
  <c r="AA48" i="107"/>
  <c r="AB48" i="107"/>
  <c r="AC48" i="107"/>
  <c r="AD48" i="107"/>
  <c r="AE48" i="107"/>
  <c r="AF48" i="107"/>
  <c r="AG48" i="107"/>
  <c r="S49" i="107"/>
  <c r="AI49" i="107" s="1"/>
  <c r="T49" i="107"/>
  <c r="AJ49" i="107" s="1"/>
  <c r="U49" i="107"/>
  <c r="AK49" i="107" s="1"/>
  <c r="V49" i="107"/>
  <c r="AL49" i="107" s="1"/>
  <c r="W49" i="107"/>
  <c r="AM49" i="107" s="1"/>
  <c r="X49" i="107"/>
  <c r="Y49" i="107"/>
  <c r="Z49" i="107"/>
  <c r="AA49" i="107"/>
  <c r="AB49" i="107"/>
  <c r="AC49" i="107"/>
  <c r="AD49" i="107"/>
  <c r="AE49" i="107"/>
  <c r="AF49" i="107"/>
  <c r="AG49" i="107"/>
  <c r="S50" i="107"/>
  <c r="AI50" i="107" s="1"/>
  <c r="T50" i="107"/>
  <c r="AJ50" i="107" s="1"/>
  <c r="U50" i="107"/>
  <c r="AK50" i="107" s="1"/>
  <c r="V50" i="107"/>
  <c r="AL50" i="107" s="1"/>
  <c r="W50" i="107"/>
  <c r="AM50" i="107" s="1"/>
  <c r="X50" i="107"/>
  <c r="Y50" i="107"/>
  <c r="Z50" i="107"/>
  <c r="AA50" i="107"/>
  <c r="AB50" i="107"/>
  <c r="AC50" i="107"/>
  <c r="AD50" i="107"/>
  <c r="AE50" i="107"/>
  <c r="AF50" i="107"/>
  <c r="AG50" i="107"/>
  <c r="S51" i="107"/>
  <c r="AI51" i="107" s="1"/>
  <c r="T51" i="107"/>
  <c r="AJ51" i="107" s="1"/>
  <c r="U51" i="107"/>
  <c r="AK51" i="107" s="1"/>
  <c r="V51" i="107"/>
  <c r="AL51" i="107" s="1"/>
  <c r="W51" i="107"/>
  <c r="AM51" i="107" s="1"/>
  <c r="X51" i="107"/>
  <c r="Y51" i="107"/>
  <c r="Z51" i="107"/>
  <c r="AA51" i="107"/>
  <c r="AB51" i="107"/>
  <c r="AC51" i="107"/>
  <c r="AD51" i="107"/>
  <c r="AE51" i="107"/>
  <c r="AF51" i="107"/>
  <c r="AG51" i="107"/>
  <c r="S52" i="107"/>
  <c r="AI52" i="107" s="1"/>
  <c r="T52" i="107"/>
  <c r="AJ52" i="107" s="1"/>
  <c r="U52" i="107"/>
  <c r="AK52" i="107" s="1"/>
  <c r="V52" i="107"/>
  <c r="AL52" i="107" s="1"/>
  <c r="W52" i="107"/>
  <c r="AM52" i="107" s="1"/>
  <c r="X52" i="107"/>
  <c r="Y52" i="107"/>
  <c r="Z52" i="107"/>
  <c r="AA52" i="107"/>
  <c r="AB52" i="107"/>
  <c r="AC52" i="107"/>
  <c r="AD52" i="107"/>
  <c r="AE52" i="107"/>
  <c r="AF52" i="107"/>
  <c r="AG52" i="107"/>
  <c r="S53" i="107"/>
  <c r="AI53" i="107" s="1"/>
  <c r="T53" i="107"/>
  <c r="AJ53" i="107" s="1"/>
  <c r="U53" i="107"/>
  <c r="AK53" i="107" s="1"/>
  <c r="V53" i="107"/>
  <c r="AL53" i="107" s="1"/>
  <c r="W53" i="107"/>
  <c r="AM53" i="107" s="1"/>
  <c r="X53" i="107"/>
  <c r="Y53" i="107"/>
  <c r="Z53" i="107"/>
  <c r="AA53" i="107"/>
  <c r="AB53" i="107"/>
  <c r="AC53" i="107"/>
  <c r="AD53" i="107"/>
  <c r="AE53" i="107"/>
  <c r="AF53" i="107"/>
  <c r="AG53" i="107"/>
  <c r="S54" i="107"/>
  <c r="AI54" i="107" s="1"/>
  <c r="T54" i="107"/>
  <c r="AJ54" i="107" s="1"/>
  <c r="U54" i="107"/>
  <c r="AK54" i="107" s="1"/>
  <c r="V54" i="107"/>
  <c r="AL54" i="107" s="1"/>
  <c r="W54" i="107"/>
  <c r="AM54" i="107" s="1"/>
  <c r="X54" i="107"/>
  <c r="Y54" i="107"/>
  <c r="Z54" i="107"/>
  <c r="AA54" i="107"/>
  <c r="AB54" i="107"/>
  <c r="AC54" i="107"/>
  <c r="AD54" i="107"/>
  <c r="AE54" i="107"/>
  <c r="AF54" i="107"/>
  <c r="AG54" i="107"/>
  <c r="S55" i="107"/>
  <c r="AI55" i="107" s="1"/>
  <c r="T55" i="107"/>
  <c r="AJ55" i="107" s="1"/>
  <c r="U55" i="107"/>
  <c r="AK55" i="107" s="1"/>
  <c r="V55" i="107"/>
  <c r="AL55" i="107" s="1"/>
  <c r="W55" i="107"/>
  <c r="AM55" i="107" s="1"/>
  <c r="X55" i="107"/>
  <c r="Y55" i="107"/>
  <c r="Z55" i="107"/>
  <c r="AA55" i="107"/>
  <c r="AB55" i="107"/>
  <c r="AC55" i="107"/>
  <c r="AD55" i="107"/>
  <c r="AE55" i="107"/>
  <c r="AF55" i="107"/>
  <c r="AG55" i="107"/>
  <c r="S56" i="107"/>
  <c r="AI56" i="107" s="1"/>
  <c r="T56" i="107"/>
  <c r="AJ56" i="107" s="1"/>
  <c r="U56" i="107"/>
  <c r="AK56" i="107" s="1"/>
  <c r="V56" i="107"/>
  <c r="AL56" i="107" s="1"/>
  <c r="W56" i="107"/>
  <c r="AM56" i="107" s="1"/>
  <c r="X56" i="107"/>
  <c r="Y56" i="107"/>
  <c r="Z56" i="107"/>
  <c r="AA56" i="107"/>
  <c r="AB56" i="107"/>
  <c r="AC56" i="107"/>
  <c r="AD56" i="107"/>
  <c r="AE56" i="107"/>
  <c r="AF56" i="107"/>
  <c r="AG56" i="107"/>
  <c r="S57" i="107"/>
  <c r="AI57" i="107" s="1"/>
  <c r="T57" i="107"/>
  <c r="AJ57" i="107" s="1"/>
  <c r="U57" i="107"/>
  <c r="AK57" i="107" s="1"/>
  <c r="V57" i="107"/>
  <c r="AL57" i="107" s="1"/>
  <c r="W57" i="107"/>
  <c r="AM57" i="107" s="1"/>
  <c r="X57" i="107"/>
  <c r="Y57" i="107"/>
  <c r="Z57" i="107"/>
  <c r="AA57" i="107"/>
  <c r="AB57" i="107"/>
  <c r="AC57" i="107"/>
  <c r="AD57" i="107"/>
  <c r="AE57" i="107"/>
  <c r="S58" i="107"/>
  <c r="AI58" i="107" s="1"/>
  <c r="T58" i="107"/>
  <c r="AJ58" i="107" s="1"/>
  <c r="U58" i="107"/>
  <c r="AK58" i="107" s="1"/>
  <c r="V58" i="107"/>
  <c r="AL58" i="107" s="1"/>
  <c r="W58" i="107"/>
  <c r="AM58" i="107" s="1"/>
  <c r="X58" i="107"/>
  <c r="Y58" i="107"/>
  <c r="Z58" i="107"/>
  <c r="AA58" i="107"/>
  <c r="AB58" i="107"/>
  <c r="AC58" i="107"/>
  <c r="AD58" i="107"/>
  <c r="AE58" i="107"/>
  <c r="AF58" i="107"/>
  <c r="AG58" i="107"/>
  <c r="S59" i="107"/>
  <c r="AI59" i="107" s="1"/>
  <c r="T59" i="107"/>
  <c r="AJ59" i="107" s="1"/>
  <c r="U59" i="107"/>
  <c r="AK59" i="107" s="1"/>
  <c r="V59" i="107"/>
  <c r="AL59" i="107" s="1"/>
  <c r="W59" i="107"/>
  <c r="AM59" i="107" s="1"/>
  <c r="X59" i="107"/>
  <c r="Y59" i="107"/>
  <c r="Z59" i="107"/>
  <c r="AA59" i="107"/>
  <c r="AB59" i="107"/>
  <c r="AC59" i="107"/>
  <c r="AD59" i="107"/>
  <c r="AE59" i="107"/>
  <c r="AF59" i="107"/>
  <c r="AG59" i="107"/>
  <c r="S60" i="107"/>
  <c r="AI60" i="107" s="1"/>
  <c r="T60" i="107"/>
  <c r="AJ60" i="107" s="1"/>
  <c r="U60" i="107"/>
  <c r="AK60" i="107" s="1"/>
  <c r="V60" i="107"/>
  <c r="AL60" i="107" s="1"/>
  <c r="W60" i="107"/>
  <c r="AM60" i="107" s="1"/>
  <c r="X60" i="107"/>
  <c r="Y60" i="107"/>
  <c r="Z60" i="107"/>
  <c r="AA60" i="107"/>
  <c r="AB60" i="107"/>
  <c r="AC60" i="107"/>
  <c r="AD60" i="107"/>
  <c r="AE60" i="107"/>
  <c r="AF60" i="107"/>
  <c r="AG60" i="107"/>
  <c r="S61" i="107"/>
  <c r="AI61" i="107" s="1"/>
  <c r="T61" i="107"/>
  <c r="AJ61" i="107" s="1"/>
  <c r="U61" i="107"/>
  <c r="AK61" i="107" s="1"/>
  <c r="V61" i="107"/>
  <c r="AL61" i="107" s="1"/>
  <c r="W61" i="107"/>
  <c r="AM61" i="107" s="1"/>
  <c r="X61" i="107"/>
  <c r="Y61" i="107"/>
  <c r="Z61" i="107"/>
  <c r="AA61" i="107"/>
  <c r="AB61" i="107"/>
  <c r="AC61" i="107"/>
  <c r="AD61" i="107"/>
  <c r="AE61" i="107"/>
  <c r="AF61" i="107"/>
  <c r="AG61" i="107"/>
  <c r="S62" i="107"/>
  <c r="AI62" i="107" s="1"/>
  <c r="T62" i="107"/>
  <c r="AJ62" i="107" s="1"/>
  <c r="U62" i="107"/>
  <c r="AK62" i="107" s="1"/>
  <c r="V62" i="107"/>
  <c r="AL62" i="107" s="1"/>
  <c r="W62" i="107"/>
  <c r="AM62" i="107" s="1"/>
  <c r="X62" i="107"/>
  <c r="Y62" i="107"/>
  <c r="Z62" i="107"/>
  <c r="AA62" i="107"/>
  <c r="AB62" i="107"/>
  <c r="AC62" i="107"/>
  <c r="AD62" i="107"/>
  <c r="AE62" i="107"/>
  <c r="AF62" i="107"/>
  <c r="AG62" i="107"/>
  <c r="S63" i="107"/>
  <c r="AI63" i="107" s="1"/>
  <c r="T63" i="107"/>
  <c r="AJ63" i="107" s="1"/>
  <c r="U63" i="107"/>
  <c r="AK63" i="107" s="1"/>
  <c r="V63" i="107"/>
  <c r="AL63" i="107" s="1"/>
  <c r="W63" i="107"/>
  <c r="AM63" i="107" s="1"/>
  <c r="X63" i="107"/>
  <c r="Y63" i="107"/>
  <c r="Z63" i="107"/>
  <c r="AA63" i="107"/>
  <c r="AB63" i="107"/>
  <c r="AC63" i="107"/>
  <c r="AD63" i="107"/>
  <c r="AE63" i="107"/>
  <c r="AF63" i="107"/>
  <c r="AG63" i="107"/>
  <c r="S64" i="107"/>
  <c r="AI64" i="107" s="1"/>
  <c r="T64" i="107"/>
  <c r="AJ64" i="107" s="1"/>
  <c r="U64" i="107"/>
  <c r="AK64" i="107" s="1"/>
  <c r="V64" i="107"/>
  <c r="AL64" i="107" s="1"/>
  <c r="W64" i="107"/>
  <c r="AM64" i="107" s="1"/>
  <c r="X64" i="107"/>
  <c r="Y64" i="107"/>
  <c r="Z64" i="107"/>
  <c r="AA64" i="107"/>
  <c r="AB64" i="107"/>
  <c r="AC64" i="107"/>
  <c r="AD64" i="107"/>
  <c r="AE64" i="107"/>
  <c r="S65" i="107"/>
  <c r="AI65" i="107" s="1"/>
  <c r="T65" i="107"/>
  <c r="AJ65" i="107" s="1"/>
  <c r="U65" i="107"/>
  <c r="AK65" i="107" s="1"/>
  <c r="V65" i="107"/>
  <c r="AL65" i="107" s="1"/>
  <c r="W65" i="107"/>
  <c r="AM65" i="107" s="1"/>
  <c r="X65" i="107"/>
  <c r="Y65" i="107"/>
  <c r="Z65" i="107"/>
  <c r="AA65" i="107"/>
  <c r="AB65" i="107"/>
  <c r="AC65" i="107"/>
  <c r="AD65" i="107"/>
  <c r="AE65" i="107"/>
  <c r="AF65" i="107"/>
  <c r="AG65" i="107"/>
  <c r="S66" i="107"/>
  <c r="AI66" i="107" s="1"/>
  <c r="T66" i="107"/>
  <c r="AJ66" i="107" s="1"/>
  <c r="U66" i="107"/>
  <c r="AK66" i="107" s="1"/>
  <c r="V66" i="107"/>
  <c r="AL66" i="107" s="1"/>
  <c r="W66" i="107"/>
  <c r="AM66" i="107" s="1"/>
  <c r="X66" i="107"/>
  <c r="Y66" i="107"/>
  <c r="Z66" i="107"/>
  <c r="AA66" i="107"/>
  <c r="AB66" i="107"/>
  <c r="AC66" i="107"/>
  <c r="AD66" i="107"/>
  <c r="AE66" i="107"/>
  <c r="AF66" i="107"/>
  <c r="AG66" i="107"/>
  <c r="C5" i="117"/>
  <c r="T5" i="117" s="1"/>
  <c r="D5" i="117"/>
  <c r="U5" i="117" s="1"/>
  <c r="E5" i="117"/>
  <c r="V5" i="117" s="1"/>
  <c r="F5" i="117"/>
  <c r="W5" i="117" s="1"/>
  <c r="G5" i="117"/>
  <c r="X5" i="117" s="1"/>
  <c r="H5" i="117"/>
  <c r="I5" i="117"/>
  <c r="J5" i="117"/>
  <c r="K5" i="117"/>
  <c r="L5" i="117"/>
  <c r="M5" i="117"/>
  <c r="N5" i="117"/>
  <c r="O5" i="117"/>
  <c r="P5" i="117"/>
  <c r="Q5" i="117"/>
  <c r="R5" i="117"/>
  <c r="C6" i="117"/>
  <c r="T6" i="117" s="1"/>
  <c r="D6" i="117"/>
  <c r="U6" i="117" s="1"/>
  <c r="M328" i="73" s="1"/>
  <c r="E6" i="117"/>
  <c r="V6" i="117" s="1"/>
  <c r="F6" i="117"/>
  <c r="W6" i="117" s="1"/>
  <c r="G6" i="117"/>
  <c r="X6" i="117" s="1"/>
  <c r="H6" i="117"/>
  <c r="I6" i="117"/>
  <c r="J6" i="117"/>
  <c r="K6" i="117"/>
  <c r="L6" i="117"/>
  <c r="M6" i="117"/>
  <c r="N6" i="117"/>
  <c r="O6" i="117"/>
  <c r="P6" i="117"/>
  <c r="Q6" i="117"/>
  <c r="R6" i="117"/>
  <c r="C7" i="117"/>
  <c r="T7" i="117" s="1"/>
  <c r="D7" i="117"/>
  <c r="U7" i="117" s="1"/>
  <c r="E7" i="117"/>
  <c r="V7" i="117" s="1"/>
  <c r="F7" i="117"/>
  <c r="W7" i="117" s="1"/>
  <c r="G7" i="117"/>
  <c r="X7" i="117" s="1"/>
  <c r="H7" i="117"/>
  <c r="I7" i="117"/>
  <c r="J7" i="117"/>
  <c r="K7" i="117"/>
  <c r="L7" i="117"/>
  <c r="M7" i="117"/>
  <c r="N7" i="117"/>
  <c r="O7" i="117"/>
  <c r="P7" i="117"/>
  <c r="Q7" i="117"/>
  <c r="R7" i="117"/>
  <c r="C8" i="117"/>
  <c r="T8" i="117" s="1"/>
  <c r="D8" i="117"/>
  <c r="E8" i="117"/>
  <c r="V8" i="117" s="1"/>
  <c r="F8" i="117"/>
  <c r="W8" i="117" s="1"/>
  <c r="G8" i="117"/>
  <c r="X8" i="117" s="1"/>
  <c r="H8" i="117"/>
  <c r="I8" i="117"/>
  <c r="J8" i="117"/>
  <c r="K8" i="117"/>
  <c r="L8" i="117"/>
  <c r="M8" i="117"/>
  <c r="N8" i="117"/>
  <c r="O8" i="117"/>
  <c r="P8" i="117"/>
  <c r="Q8" i="117"/>
  <c r="R8" i="117"/>
  <c r="C9" i="117"/>
  <c r="T9" i="117" s="1"/>
  <c r="D9" i="117"/>
  <c r="U9" i="117" s="1"/>
  <c r="E9" i="117"/>
  <c r="V9" i="117" s="1"/>
  <c r="M412" i="73" s="1"/>
  <c r="F9" i="117"/>
  <c r="W9" i="117" s="1"/>
  <c r="G9" i="117"/>
  <c r="X9" i="117" s="1"/>
  <c r="M574" i="73" s="1"/>
  <c r="H9" i="117"/>
  <c r="I9" i="117"/>
  <c r="J9" i="117"/>
  <c r="K9" i="117"/>
  <c r="L9" i="117"/>
  <c r="M9" i="117"/>
  <c r="N9" i="117"/>
  <c r="O9" i="117"/>
  <c r="P9" i="117"/>
  <c r="Q9" i="117"/>
  <c r="R9" i="117"/>
  <c r="C10" i="117"/>
  <c r="T10" i="117" s="1"/>
  <c r="M251" i="73" s="1"/>
  <c r="D10" i="117"/>
  <c r="U10" i="117" s="1"/>
  <c r="E10" i="117"/>
  <c r="V10" i="117" s="1"/>
  <c r="F10" i="117"/>
  <c r="W10" i="117" s="1"/>
  <c r="G10" i="117"/>
  <c r="X10" i="117" s="1"/>
  <c r="H10" i="117"/>
  <c r="I10" i="117"/>
  <c r="J10" i="117"/>
  <c r="K10" i="117"/>
  <c r="L10" i="117"/>
  <c r="M10" i="117"/>
  <c r="N10" i="117"/>
  <c r="O10" i="117"/>
  <c r="P10" i="117"/>
  <c r="Q10" i="117"/>
  <c r="R10" i="117"/>
  <c r="C11" i="117"/>
  <c r="T11" i="117" s="1"/>
  <c r="D11" i="117"/>
  <c r="U11" i="117" s="1"/>
  <c r="E11" i="117"/>
  <c r="V11" i="117" s="1"/>
  <c r="F11" i="117"/>
  <c r="W11" i="117" s="1"/>
  <c r="G11" i="117"/>
  <c r="X11" i="117" s="1"/>
  <c r="H11" i="117"/>
  <c r="I11" i="117"/>
  <c r="J11" i="117"/>
  <c r="K11" i="117"/>
  <c r="L11" i="117"/>
  <c r="M11" i="117"/>
  <c r="N11" i="117"/>
  <c r="O11" i="117"/>
  <c r="P11" i="117"/>
  <c r="Q11" i="117"/>
  <c r="R11" i="117"/>
  <c r="C12" i="117"/>
  <c r="T12" i="117" s="1"/>
  <c r="D12" i="117"/>
  <c r="U12" i="117" s="1"/>
  <c r="E12" i="117"/>
  <c r="V12" i="117" s="1"/>
  <c r="F12" i="117"/>
  <c r="W12" i="117" s="1"/>
  <c r="G12" i="117"/>
  <c r="X12" i="117" s="1"/>
  <c r="H12" i="117"/>
  <c r="I12" i="117"/>
  <c r="J12" i="117"/>
  <c r="K12" i="117"/>
  <c r="L12" i="117"/>
  <c r="M12" i="117"/>
  <c r="N12" i="117"/>
  <c r="O12" i="117"/>
  <c r="P12" i="117"/>
  <c r="Q12" i="117"/>
  <c r="R12" i="117"/>
  <c r="C13" i="117"/>
  <c r="T13" i="117" s="1"/>
  <c r="D13" i="117"/>
  <c r="U13" i="117" s="1"/>
  <c r="E13" i="117"/>
  <c r="V13" i="117" s="1"/>
  <c r="F13" i="117"/>
  <c r="W13" i="117" s="1"/>
  <c r="G13" i="117"/>
  <c r="X13" i="117" s="1"/>
  <c r="H13" i="117"/>
  <c r="I13" i="117"/>
  <c r="J13" i="117"/>
  <c r="K13" i="117"/>
  <c r="L13" i="117"/>
  <c r="M13" i="117"/>
  <c r="N13" i="117"/>
  <c r="O13" i="117"/>
  <c r="P13" i="117"/>
  <c r="Q13" i="117"/>
  <c r="R13" i="117"/>
  <c r="C14" i="117"/>
  <c r="T14" i="117" s="1"/>
  <c r="D14" i="117"/>
  <c r="U14" i="117" s="1"/>
  <c r="E14" i="117"/>
  <c r="V14" i="117" s="1"/>
  <c r="F14" i="117"/>
  <c r="W14" i="117" s="1"/>
  <c r="G14" i="117"/>
  <c r="X14" i="117" s="1"/>
  <c r="H14" i="117"/>
  <c r="I14" i="117"/>
  <c r="J14" i="117"/>
  <c r="K14" i="117"/>
  <c r="L14" i="117"/>
  <c r="M14" i="117"/>
  <c r="N14" i="117"/>
  <c r="O14" i="117"/>
  <c r="P14" i="117"/>
  <c r="Q14" i="117"/>
  <c r="R14" i="117"/>
  <c r="C15" i="117"/>
  <c r="T15" i="117" s="1"/>
  <c r="D15" i="117"/>
  <c r="U15" i="117" s="1"/>
  <c r="E15" i="117"/>
  <c r="V15" i="117" s="1"/>
  <c r="F15" i="117"/>
  <c r="W15" i="117" s="1"/>
  <c r="M499" i="73" s="1"/>
  <c r="G15" i="117"/>
  <c r="X15" i="117" s="1"/>
  <c r="H15" i="117"/>
  <c r="I15" i="117"/>
  <c r="J15" i="117"/>
  <c r="K15" i="117"/>
  <c r="L15" i="117"/>
  <c r="M15" i="117"/>
  <c r="N15" i="117"/>
  <c r="O15" i="117"/>
  <c r="P15" i="117"/>
  <c r="Q15" i="117"/>
  <c r="R15" i="117"/>
  <c r="C16" i="117"/>
  <c r="T16" i="117" s="1"/>
  <c r="D16" i="117"/>
  <c r="E16" i="117"/>
  <c r="V16" i="117" s="1"/>
  <c r="F16" i="117"/>
  <c r="W16" i="117" s="1"/>
  <c r="G16" i="117"/>
  <c r="X16" i="117" s="1"/>
  <c r="H16" i="117"/>
  <c r="I16" i="117"/>
  <c r="J16" i="117"/>
  <c r="K16" i="117"/>
  <c r="L16" i="117"/>
  <c r="M16" i="117"/>
  <c r="N16" i="117"/>
  <c r="O16" i="117"/>
  <c r="P16" i="117"/>
  <c r="Q16" i="117"/>
  <c r="R16" i="117"/>
  <c r="C17" i="117"/>
  <c r="T17" i="117" s="1"/>
  <c r="D17" i="117"/>
  <c r="U17" i="117" s="1"/>
  <c r="E17" i="117"/>
  <c r="V17" i="117" s="1"/>
  <c r="F17" i="117"/>
  <c r="W17" i="117" s="1"/>
  <c r="G17" i="117"/>
  <c r="X17" i="117" s="1"/>
  <c r="H17" i="117"/>
  <c r="I17" i="117"/>
  <c r="J17" i="117"/>
  <c r="K17" i="117"/>
  <c r="L17" i="117"/>
  <c r="M17" i="117"/>
  <c r="N17" i="117"/>
  <c r="O17" i="117"/>
  <c r="P17" i="117"/>
  <c r="Q17" i="117"/>
  <c r="R17" i="117"/>
  <c r="C18" i="117"/>
  <c r="T18" i="117" s="1"/>
  <c r="D18" i="117"/>
  <c r="U18" i="117" s="1"/>
  <c r="E18" i="117"/>
  <c r="V18" i="117" s="1"/>
  <c r="F18" i="117"/>
  <c r="W18" i="117" s="1"/>
  <c r="G18" i="117"/>
  <c r="X18" i="117" s="1"/>
  <c r="H18" i="117"/>
  <c r="I18" i="117"/>
  <c r="J18" i="117"/>
  <c r="K18" i="117"/>
  <c r="L18" i="117"/>
  <c r="M18" i="117"/>
  <c r="N18" i="117"/>
  <c r="O18" i="117"/>
  <c r="P18" i="117"/>
  <c r="Q18" i="117"/>
  <c r="R18" i="117"/>
  <c r="C19" i="117"/>
  <c r="T19" i="117" s="1"/>
  <c r="D19" i="117"/>
  <c r="U19" i="117" s="1"/>
  <c r="E19" i="117"/>
  <c r="V19" i="117" s="1"/>
  <c r="M422" i="73" s="1"/>
  <c r="F19" i="117"/>
  <c r="W19" i="117" s="1"/>
  <c r="G19" i="117"/>
  <c r="X19" i="117" s="1"/>
  <c r="M584" i="73" s="1"/>
  <c r="H19" i="117"/>
  <c r="I19" i="117"/>
  <c r="J19" i="117"/>
  <c r="K19" i="117"/>
  <c r="L19" i="117"/>
  <c r="M19" i="117"/>
  <c r="N19" i="117"/>
  <c r="O19" i="117"/>
  <c r="P19" i="117"/>
  <c r="Q19" i="117"/>
  <c r="R19" i="117"/>
  <c r="C20" i="117"/>
  <c r="T20" i="117" s="1"/>
  <c r="M261" i="73" s="1"/>
  <c r="D20" i="117"/>
  <c r="E20" i="117"/>
  <c r="V20" i="117" s="1"/>
  <c r="F20" i="117"/>
  <c r="W20" i="117" s="1"/>
  <c r="G20" i="117"/>
  <c r="X20" i="117" s="1"/>
  <c r="H20" i="117"/>
  <c r="I20" i="117"/>
  <c r="J20" i="117"/>
  <c r="K20" i="117"/>
  <c r="L20" i="117"/>
  <c r="M20" i="117"/>
  <c r="N20" i="117"/>
  <c r="O20" i="117"/>
  <c r="P20" i="117"/>
  <c r="Q20" i="117"/>
  <c r="R20" i="117"/>
  <c r="C21" i="117"/>
  <c r="T21" i="117" s="1"/>
  <c r="D21" i="117"/>
  <c r="U21" i="117" s="1"/>
  <c r="E21" i="117"/>
  <c r="V21" i="117" s="1"/>
  <c r="F21" i="117"/>
  <c r="W21" i="117" s="1"/>
  <c r="G21" i="117"/>
  <c r="X21" i="117" s="1"/>
  <c r="H21" i="117"/>
  <c r="I21" i="117"/>
  <c r="J21" i="117"/>
  <c r="K21" i="117"/>
  <c r="L21" i="117"/>
  <c r="M21" i="117"/>
  <c r="N21" i="117"/>
  <c r="O21" i="117"/>
  <c r="P21" i="117"/>
  <c r="Q21" i="117"/>
  <c r="R21" i="117"/>
  <c r="C22" i="117"/>
  <c r="T22" i="117" s="1"/>
  <c r="D22" i="117"/>
  <c r="U22" i="117" s="1"/>
  <c r="E22" i="117"/>
  <c r="V22" i="117" s="1"/>
  <c r="F22" i="117"/>
  <c r="W22" i="117" s="1"/>
  <c r="G22" i="117"/>
  <c r="X22" i="117" s="1"/>
  <c r="H22" i="117"/>
  <c r="I22" i="117"/>
  <c r="J22" i="117"/>
  <c r="K22" i="117"/>
  <c r="L22" i="117"/>
  <c r="M22" i="117"/>
  <c r="N22" i="117"/>
  <c r="O22" i="117"/>
  <c r="P22" i="117"/>
  <c r="Q22" i="117"/>
  <c r="R22" i="117"/>
  <c r="C23" i="117"/>
  <c r="T23" i="117" s="1"/>
  <c r="D23" i="117"/>
  <c r="U23" i="117" s="1"/>
  <c r="E23" i="117"/>
  <c r="V23" i="117" s="1"/>
  <c r="F23" i="117"/>
  <c r="W23" i="117" s="1"/>
  <c r="G23" i="117"/>
  <c r="X23" i="117" s="1"/>
  <c r="H23" i="117"/>
  <c r="I23" i="117"/>
  <c r="J23" i="117"/>
  <c r="K23" i="117"/>
  <c r="L23" i="117"/>
  <c r="M23" i="117"/>
  <c r="N23" i="117"/>
  <c r="O23" i="117"/>
  <c r="P23" i="117"/>
  <c r="Q23" i="117"/>
  <c r="R23" i="117"/>
  <c r="C24" i="117"/>
  <c r="T24" i="117" s="1"/>
  <c r="D24" i="117"/>
  <c r="E24" i="117"/>
  <c r="V24" i="117" s="1"/>
  <c r="F24" i="117"/>
  <c r="W24" i="117" s="1"/>
  <c r="G24" i="117"/>
  <c r="X24" i="117" s="1"/>
  <c r="H24" i="117"/>
  <c r="I24" i="117"/>
  <c r="J24" i="117"/>
  <c r="K24" i="117"/>
  <c r="L24" i="117"/>
  <c r="M24" i="117"/>
  <c r="N24" i="117"/>
  <c r="O24" i="117"/>
  <c r="P24" i="117"/>
  <c r="Q24" i="117"/>
  <c r="R24" i="117"/>
  <c r="C25" i="117"/>
  <c r="T25" i="117" s="1"/>
  <c r="D25" i="117"/>
  <c r="U25" i="117" s="1"/>
  <c r="E25" i="117"/>
  <c r="V25" i="117" s="1"/>
  <c r="F25" i="117"/>
  <c r="W25" i="117" s="1"/>
  <c r="M509" i="73" s="1"/>
  <c r="G25" i="117"/>
  <c r="X25" i="117" s="1"/>
  <c r="H25" i="117"/>
  <c r="I25" i="117"/>
  <c r="J25" i="117"/>
  <c r="K25" i="117"/>
  <c r="L25" i="117"/>
  <c r="M25" i="117"/>
  <c r="N25" i="117"/>
  <c r="O25" i="117"/>
  <c r="P25" i="117"/>
  <c r="Q25" i="117"/>
  <c r="R25" i="117"/>
  <c r="C26" i="117"/>
  <c r="T26" i="117" s="1"/>
  <c r="D26" i="117"/>
  <c r="U26" i="117" s="1"/>
  <c r="M348" i="73" s="1"/>
  <c r="E26" i="117"/>
  <c r="V26" i="117" s="1"/>
  <c r="F26" i="117"/>
  <c r="W26" i="117" s="1"/>
  <c r="G26" i="117"/>
  <c r="X26" i="117" s="1"/>
  <c r="H26" i="117"/>
  <c r="I26" i="117"/>
  <c r="J26" i="117"/>
  <c r="K26" i="117"/>
  <c r="L26" i="117"/>
  <c r="M26" i="117"/>
  <c r="N26" i="117"/>
  <c r="O26" i="117"/>
  <c r="P26" i="117"/>
  <c r="Q26" i="117"/>
  <c r="R26" i="117"/>
  <c r="C27" i="117"/>
  <c r="T27" i="117" s="1"/>
  <c r="D27" i="117"/>
  <c r="U27" i="117" s="1"/>
  <c r="E27" i="117"/>
  <c r="V27" i="117" s="1"/>
  <c r="F27" i="117"/>
  <c r="W27" i="117" s="1"/>
  <c r="G27" i="117"/>
  <c r="X27" i="117" s="1"/>
  <c r="H27" i="117"/>
  <c r="I27" i="117"/>
  <c r="J27" i="117"/>
  <c r="K27" i="117"/>
  <c r="L27" i="117"/>
  <c r="M27" i="117"/>
  <c r="N27" i="117"/>
  <c r="O27" i="117"/>
  <c r="P27" i="117"/>
  <c r="Q27" i="117"/>
  <c r="R27" i="117"/>
  <c r="C28" i="117"/>
  <c r="T28" i="117" s="1"/>
  <c r="D28" i="117"/>
  <c r="U28" i="117" s="1"/>
  <c r="E28" i="117"/>
  <c r="V28" i="117" s="1"/>
  <c r="F28" i="117"/>
  <c r="W28" i="117" s="1"/>
  <c r="G28" i="117"/>
  <c r="X28" i="117" s="1"/>
  <c r="H28" i="117"/>
  <c r="I28" i="117"/>
  <c r="J28" i="117"/>
  <c r="K28" i="117"/>
  <c r="L28" i="117"/>
  <c r="M28" i="117"/>
  <c r="N28" i="117"/>
  <c r="O28" i="117"/>
  <c r="P28" i="117"/>
  <c r="Q28" i="117"/>
  <c r="R28" i="117"/>
  <c r="C29" i="117"/>
  <c r="T29" i="117" s="1"/>
  <c r="D29" i="117"/>
  <c r="U29" i="117" s="1"/>
  <c r="E29" i="117"/>
  <c r="V29" i="117" s="1"/>
  <c r="M432" i="73" s="1"/>
  <c r="F29" i="117"/>
  <c r="W29" i="117" s="1"/>
  <c r="G29" i="117"/>
  <c r="X29" i="117" s="1"/>
  <c r="M594" i="73" s="1"/>
  <c r="H29" i="117"/>
  <c r="I29" i="117"/>
  <c r="J29" i="117"/>
  <c r="K29" i="117"/>
  <c r="L29" i="117"/>
  <c r="M29" i="117"/>
  <c r="N29" i="117"/>
  <c r="O29" i="117"/>
  <c r="P29" i="117"/>
  <c r="Q29" i="117"/>
  <c r="R29" i="117"/>
  <c r="C30" i="117"/>
  <c r="T30" i="117" s="1"/>
  <c r="M271" i="73" s="1"/>
  <c r="D30" i="117"/>
  <c r="U30" i="117" s="1"/>
  <c r="E30" i="117"/>
  <c r="V30" i="117" s="1"/>
  <c r="M433" i="73" s="1"/>
  <c r="F30" i="117"/>
  <c r="W30" i="117" s="1"/>
  <c r="G30" i="117"/>
  <c r="X30" i="117" s="1"/>
  <c r="H30" i="117"/>
  <c r="I30" i="117"/>
  <c r="J30" i="117"/>
  <c r="K30" i="117"/>
  <c r="L30" i="117"/>
  <c r="M30" i="117"/>
  <c r="N30" i="117"/>
  <c r="O30" i="117"/>
  <c r="P30" i="117"/>
  <c r="Q30" i="117"/>
  <c r="R30" i="117"/>
  <c r="C31" i="117"/>
  <c r="T31" i="117" s="1"/>
  <c r="D31" i="117"/>
  <c r="U31" i="117" s="1"/>
  <c r="E31" i="117"/>
  <c r="V31" i="117" s="1"/>
  <c r="M434" i="73" s="1"/>
  <c r="F31" i="117"/>
  <c r="W31" i="117" s="1"/>
  <c r="G31" i="117"/>
  <c r="X31" i="117" s="1"/>
  <c r="H31" i="117"/>
  <c r="I31" i="117"/>
  <c r="J31" i="117"/>
  <c r="K31" i="117"/>
  <c r="L31" i="117"/>
  <c r="M31" i="117"/>
  <c r="N31" i="117"/>
  <c r="O31" i="117"/>
  <c r="P31" i="117"/>
  <c r="Q31" i="117"/>
  <c r="R31" i="117"/>
  <c r="C40" i="117"/>
  <c r="T40" i="117" s="1"/>
  <c r="D40" i="117"/>
  <c r="U40" i="117" s="1"/>
  <c r="E40" i="117"/>
  <c r="V40" i="117" s="1"/>
  <c r="F40" i="117"/>
  <c r="W40" i="117" s="1"/>
  <c r="G40" i="117"/>
  <c r="X40" i="117" s="1"/>
  <c r="H40" i="117"/>
  <c r="I40" i="117"/>
  <c r="J40" i="117"/>
  <c r="K40" i="117"/>
  <c r="L40" i="117"/>
  <c r="M40" i="117"/>
  <c r="N40" i="117"/>
  <c r="O40" i="117"/>
  <c r="P40" i="117"/>
  <c r="Q40" i="117"/>
  <c r="R40" i="117"/>
  <c r="C41" i="117"/>
  <c r="T41" i="117" s="1"/>
  <c r="D41" i="117"/>
  <c r="U41" i="117" s="1"/>
  <c r="E41" i="117"/>
  <c r="V41" i="117" s="1"/>
  <c r="F41" i="117"/>
  <c r="W41" i="117" s="1"/>
  <c r="G41" i="117"/>
  <c r="X41" i="117" s="1"/>
  <c r="H41" i="117"/>
  <c r="I41" i="117"/>
  <c r="J41" i="117"/>
  <c r="K41" i="117"/>
  <c r="L41" i="117"/>
  <c r="M41" i="117"/>
  <c r="N41" i="117"/>
  <c r="O41" i="117"/>
  <c r="P41" i="117"/>
  <c r="Q41" i="117"/>
  <c r="R41" i="117"/>
  <c r="C42" i="117"/>
  <c r="T42" i="117" s="1"/>
  <c r="D42" i="117"/>
  <c r="U42" i="117" s="1"/>
  <c r="E42" i="117"/>
  <c r="V42" i="117" s="1"/>
  <c r="F42" i="117"/>
  <c r="W42" i="117" s="1"/>
  <c r="G42" i="117"/>
  <c r="X42" i="117" s="1"/>
  <c r="H42" i="117"/>
  <c r="I42" i="117"/>
  <c r="J42" i="117"/>
  <c r="K42" i="117"/>
  <c r="L42" i="117"/>
  <c r="M42" i="117"/>
  <c r="N42" i="117"/>
  <c r="O42" i="117"/>
  <c r="P42" i="117"/>
  <c r="Q42" i="117"/>
  <c r="R42" i="117"/>
  <c r="C43" i="117"/>
  <c r="T43" i="117" s="1"/>
  <c r="D43" i="117"/>
  <c r="U43" i="117" s="1"/>
  <c r="E43" i="117"/>
  <c r="V43" i="117" s="1"/>
  <c r="F43" i="117"/>
  <c r="W43" i="117" s="1"/>
  <c r="G43" i="117"/>
  <c r="X43" i="117" s="1"/>
  <c r="H43" i="117"/>
  <c r="I43" i="117"/>
  <c r="J43" i="117"/>
  <c r="K43" i="117"/>
  <c r="L43" i="117"/>
  <c r="M43" i="117"/>
  <c r="N43" i="117"/>
  <c r="O43" i="117"/>
  <c r="P43" i="117"/>
  <c r="C44" i="117"/>
  <c r="T44" i="117" s="1"/>
  <c r="D44" i="117"/>
  <c r="U44" i="117" s="1"/>
  <c r="E44" i="117"/>
  <c r="V44" i="117" s="1"/>
  <c r="F44" i="117"/>
  <c r="W44" i="117" s="1"/>
  <c r="G44" i="117"/>
  <c r="X44" i="117" s="1"/>
  <c r="H44" i="117"/>
  <c r="I44" i="117"/>
  <c r="J44" i="117"/>
  <c r="K44" i="117"/>
  <c r="L44" i="117"/>
  <c r="M44" i="117"/>
  <c r="N44" i="117"/>
  <c r="O44" i="117"/>
  <c r="P44" i="117"/>
  <c r="Q44" i="117"/>
  <c r="R44" i="117"/>
  <c r="C45" i="117"/>
  <c r="T45" i="117" s="1"/>
  <c r="D45" i="117"/>
  <c r="U45" i="117" s="1"/>
  <c r="E45" i="117"/>
  <c r="V45" i="117" s="1"/>
  <c r="F45" i="117"/>
  <c r="W45" i="117" s="1"/>
  <c r="G45" i="117"/>
  <c r="X45" i="117" s="1"/>
  <c r="H45" i="117"/>
  <c r="I45" i="117"/>
  <c r="J45" i="117"/>
  <c r="K45" i="117"/>
  <c r="L45" i="117"/>
  <c r="M45" i="117"/>
  <c r="N45" i="117"/>
  <c r="O45" i="117"/>
  <c r="P45" i="117"/>
  <c r="Q45" i="117"/>
  <c r="R45" i="117"/>
  <c r="C46" i="117"/>
  <c r="T46" i="117" s="1"/>
  <c r="D46" i="117"/>
  <c r="U46" i="117" s="1"/>
  <c r="E46" i="117"/>
  <c r="V46" i="117" s="1"/>
  <c r="F46" i="117"/>
  <c r="W46" i="117" s="1"/>
  <c r="G46" i="117"/>
  <c r="X46" i="117" s="1"/>
  <c r="H46" i="117"/>
  <c r="I46" i="117"/>
  <c r="J46" i="117"/>
  <c r="K46" i="117"/>
  <c r="L46" i="117"/>
  <c r="M46" i="117"/>
  <c r="N46" i="117"/>
  <c r="O46" i="117"/>
  <c r="P46" i="117"/>
  <c r="Q46" i="117"/>
  <c r="R46" i="117"/>
  <c r="C47" i="117"/>
  <c r="T47" i="117" s="1"/>
  <c r="D47" i="117"/>
  <c r="U47" i="117" s="1"/>
  <c r="E47" i="117"/>
  <c r="V47" i="117" s="1"/>
  <c r="F47" i="117"/>
  <c r="W47" i="117" s="1"/>
  <c r="G47" i="117"/>
  <c r="X47" i="117" s="1"/>
  <c r="H47" i="117"/>
  <c r="I47" i="117"/>
  <c r="J47" i="117"/>
  <c r="K47" i="117"/>
  <c r="L47" i="117"/>
  <c r="M47" i="117"/>
  <c r="N47" i="117"/>
  <c r="O47" i="117"/>
  <c r="P47" i="117"/>
  <c r="Q47" i="117"/>
  <c r="R47" i="117"/>
  <c r="C48" i="117"/>
  <c r="T48" i="117" s="1"/>
  <c r="D48" i="117"/>
  <c r="U48" i="117" s="1"/>
  <c r="E48" i="117"/>
  <c r="V48" i="117" s="1"/>
  <c r="F48" i="117"/>
  <c r="W48" i="117" s="1"/>
  <c r="G48" i="117"/>
  <c r="X48" i="117" s="1"/>
  <c r="H48" i="117"/>
  <c r="I48" i="117"/>
  <c r="J48" i="117"/>
  <c r="K48" i="117"/>
  <c r="L48" i="117"/>
  <c r="M48" i="117"/>
  <c r="N48" i="117"/>
  <c r="O48" i="117"/>
  <c r="P48" i="117"/>
  <c r="Q48" i="117"/>
  <c r="R48" i="117"/>
  <c r="C49" i="117"/>
  <c r="T49" i="117" s="1"/>
  <c r="D49" i="117"/>
  <c r="E49" i="117"/>
  <c r="V49" i="117" s="1"/>
  <c r="F49" i="117"/>
  <c r="W49" i="117" s="1"/>
  <c r="G49" i="117"/>
  <c r="X49" i="117" s="1"/>
  <c r="H49" i="117"/>
  <c r="I49" i="117"/>
  <c r="J49" i="117"/>
  <c r="K49" i="117"/>
  <c r="L49" i="117"/>
  <c r="M49" i="117"/>
  <c r="N49" i="117"/>
  <c r="O49" i="117"/>
  <c r="P49" i="117"/>
  <c r="Q49" i="117"/>
  <c r="R49" i="117"/>
  <c r="C50" i="117"/>
  <c r="T50" i="117" s="1"/>
  <c r="D50" i="117"/>
  <c r="U50" i="117" s="1"/>
  <c r="E50" i="117"/>
  <c r="V50" i="117" s="1"/>
  <c r="F50" i="117"/>
  <c r="W50" i="117" s="1"/>
  <c r="G50" i="117"/>
  <c r="X50" i="117" s="1"/>
  <c r="H50" i="117"/>
  <c r="I50" i="117"/>
  <c r="J50" i="117"/>
  <c r="K50" i="117"/>
  <c r="L50" i="117"/>
  <c r="M50" i="117"/>
  <c r="N50" i="117"/>
  <c r="O50" i="117"/>
  <c r="P50" i="117"/>
  <c r="Q50" i="117"/>
  <c r="R50" i="117"/>
  <c r="C51" i="117"/>
  <c r="T51" i="117" s="1"/>
  <c r="D51" i="117"/>
  <c r="U51" i="117" s="1"/>
  <c r="E51" i="117"/>
  <c r="V51" i="117" s="1"/>
  <c r="F51" i="117"/>
  <c r="W51" i="117" s="1"/>
  <c r="G51" i="117"/>
  <c r="X51" i="117" s="1"/>
  <c r="H51" i="117"/>
  <c r="I51" i="117"/>
  <c r="J51" i="117"/>
  <c r="K51" i="117"/>
  <c r="L51" i="117"/>
  <c r="M51" i="117"/>
  <c r="N51" i="117"/>
  <c r="O51" i="117"/>
  <c r="P51" i="117"/>
  <c r="Q51" i="117"/>
  <c r="R51" i="117"/>
  <c r="C52" i="117"/>
  <c r="T52" i="117" s="1"/>
  <c r="D52" i="117"/>
  <c r="U52" i="117" s="1"/>
  <c r="E52" i="117"/>
  <c r="V52" i="117" s="1"/>
  <c r="F52" i="117"/>
  <c r="W52" i="117" s="1"/>
  <c r="G52" i="117"/>
  <c r="X52" i="117" s="1"/>
  <c r="H52" i="117"/>
  <c r="I52" i="117"/>
  <c r="J52" i="117"/>
  <c r="K52" i="117"/>
  <c r="L52" i="117"/>
  <c r="M52" i="117"/>
  <c r="N52" i="117"/>
  <c r="O52" i="117"/>
  <c r="P52" i="117"/>
  <c r="Q52" i="117"/>
  <c r="R52" i="117"/>
  <c r="C53" i="117"/>
  <c r="T53" i="117" s="1"/>
  <c r="D53" i="117"/>
  <c r="E53" i="117"/>
  <c r="V53" i="117" s="1"/>
  <c r="F53" i="117"/>
  <c r="W53" i="117" s="1"/>
  <c r="G53" i="117"/>
  <c r="X53" i="117" s="1"/>
  <c r="H53" i="117"/>
  <c r="I53" i="117"/>
  <c r="J53" i="117"/>
  <c r="K53" i="117"/>
  <c r="L53" i="117"/>
  <c r="M53" i="117"/>
  <c r="N53" i="117"/>
  <c r="O53" i="117"/>
  <c r="P53" i="117"/>
  <c r="Q53" i="117"/>
  <c r="R53" i="117"/>
  <c r="C54" i="117"/>
  <c r="T54" i="117" s="1"/>
  <c r="D54" i="117"/>
  <c r="U54" i="117" s="1"/>
  <c r="E54" i="117"/>
  <c r="V54" i="117" s="1"/>
  <c r="F54" i="117"/>
  <c r="W54" i="117" s="1"/>
  <c r="G54" i="117"/>
  <c r="X54" i="117" s="1"/>
  <c r="H54" i="117"/>
  <c r="I54" i="117"/>
  <c r="J54" i="117"/>
  <c r="K54" i="117"/>
  <c r="L54" i="117"/>
  <c r="M54" i="117"/>
  <c r="N54" i="117"/>
  <c r="O54" i="117"/>
  <c r="P54" i="117"/>
  <c r="Q54" i="117"/>
  <c r="R54" i="117"/>
  <c r="C55" i="117"/>
  <c r="T55" i="117" s="1"/>
  <c r="D55" i="117"/>
  <c r="U55" i="117" s="1"/>
  <c r="E55" i="117"/>
  <c r="V55" i="117" s="1"/>
  <c r="F55" i="117"/>
  <c r="W55" i="117" s="1"/>
  <c r="G55" i="117"/>
  <c r="X55" i="117" s="1"/>
  <c r="H55" i="117"/>
  <c r="I55" i="117"/>
  <c r="J55" i="117"/>
  <c r="K55" i="117"/>
  <c r="L55" i="117"/>
  <c r="M55" i="117"/>
  <c r="N55" i="117"/>
  <c r="O55" i="117"/>
  <c r="P55" i="117"/>
  <c r="Q55" i="117"/>
  <c r="R55" i="117"/>
  <c r="C56" i="117"/>
  <c r="T56" i="117" s="1"/>
  <c r="D56" i="117"/>
  <c r="U56" i="117" s="1"/>
  <c r="E56" i="117"/>
  <c r="V56" i="117" s="1"/>
  <c r="F56" i="117"/>
  <c r="W56" i="117" s="1"/>
  <c r="G56" i="117"/>
  <c r="X56" i="117" s="1"/>
  <c r="H56" i="117"/>
  <c r="I56" i="117"/>
  <c r="J56" i="117"/>
  <c r="K56" i="117"/>
  <c r="L56" i="117"/>
  <c r="M56" i="117"/>
  <c r="N56" i="117"/>
  <c r="O56" i="117"/>
  <c r="P56" i="117"/>
  <c r="Q56" i="117"/>
  <c r="R56" i="117"/>
  <c r="C57" i="117"/>
  <c r="T57" i="117" s="1"/>
  <c r="D57" i="117"/>
  <c r="U57" i="117" s="1"/>
  <c r="E57" i="117"/>
  <c r="V57" i="117" s="1"/>
  <c r="F57" i="117"/>
  <c r="W57" i="117" s="1"/>
  <c r="G57" i="117"/>
  <c r="X57" i="117" s="1"/>
  <c r="H57" i="117"/>
  <c r="I57" i="117"/>
  <c r="J57" i="117"/>
  <c r="K57" i="117"/>
  <c r="L57" i="117"/>
  <c r="M57" i="117"/>
  <c r="N57" i="117"/>
  <c r="O57" i="117"/>
  <c r="P57" i="117"/>
  <c r="Q57" i="117"/>
  <c r="R57" i="117"/>
  <c r="C58" i="117"/>
  <c r="T58" i="117" s="1"/>
  <c r="D58" i="117"/>
  <c r="E58" i="117"/>
  <c r="V58" i="117" s="1"/>
  <c r="F58" i="117"/>
  <c r="W58" i="117" s="1"/>
  <c r="G58" i="117"/>
  <c r="X58" i="117" s="1"/>
  <c r="H58" i="117"/>
  <c r="I58" i="117"/>
  <c r="J58" i="117"/>
  <c r="K58" i="117"/>
  <c r="L58" i="117"/>
  <c r="M58" i="117"/>
  <c r="N58" i="117"/>
  <c r="O58" i="117"/>
  <c r="P58" i="117"/>
  <c r="Q58" i="117"/>
  <c r="R58" i="117"/>
  <c r="C59" i="117"/>
  <c r="T59" i="117" s="1"/>
  <c r="D59" i="117"/>
  <c r="U59" i="117" s="1"/>
  <c r="E59" i="117"/>
  <c r="V59" i="117" s="1"/>
  <c r="F59" i="117"/>
  <c r="W59" i="117" s="1"/>
  <c r="G59" i="117"/>
  <c r="X59" i="117" s="1"/>
  <c r="H59" i="117"/>
  <c r="I59" i="117"/>
  <c r="J59" i="117"/>
  <c r="K59" i="117"/>
  <c r="L59" i="117"/>
  <c r="M59" i="117"/>
  <c r="N59" i="117"/>
  <c r="O59" i="117"/>
  <c r="P59" i="117"/>
  <c r="Q59" i="117"/>
  <c r="R59" i="117"/>
  <c r="C60" i="117"/>
  <c r="T60" i="117" s="1"/>
  <c r="D60" i="117"/>
  <c r="U60" i="117" s="1"/>
  <c r="E60" i="117"/>
  <c r="V60" i="117" s="1"/>
  <c r="F60" i="117"/>
  <c r="W60" i="117" s="1"/>
  <c r="G60" i="117"/>
  <c r="X60" i="117" s="1"/>
  <c r="H60" i="117"/>
  <c r="I60" i="117"/>
  <c r="J60" i="117"/>
  <c r="K60" i="117"/>
  <c r="L60" i="117"/>
  <c r="M60" i="117"/>
  <c r="N60" i="117"/>
  <c r="O60" i="117"/>
  <c r="P60" i="117"/>
  <c r="Q60" i="117"/>
  <c r="R60" i="117"/>
  <c r="C61" i="117"/>
  <c r="T61" i="117" s="1"/>
  <c r="D61" i="117"/>
  <c r="U61" i="117" s="1"/>
  <c r="E61" i="117"/>
  <c r="V61" i="117" s="1"/>
  <c r="F61" i="117"/>
  <c r="W61" i="117" s="1"/>
  <c r="G61" i="117"/>
  <c r="X61" i="117" s="1"/>
  <c r="H61" i="117"/>
  <c r="I61" i="117"/>
  <c r="J61" i="117"/>
  <c r="K61" i="117"/>
  <c r="L61" i="117"/>
  <c r="M61" i="117"/>
  <c r="N61" i="117"/>
  <c r="O61" i="117"/>
  <c r="P61" i="117"/>
  <c r="Q61" i="117"/>
  <c r="R61" i="117"/>
  <c r="C62" i="117"/>
  <c r="T62" i="117" s="1"/>
  <c r="D62" i="117"/>
  <c r="U62" i="117" s="1"/>
  <c r="E62" i="117"/>
  <c r="V62" i="117" s="1"/>
  <c r="F62" i="117"/>
  <c r="W62" i="117" s="1"/>
  <c r="G62" i="117"/>
  <c r="X62" i="117" s="1"/>
  <c r="H62" i="117"/>
  <c r="I62" i="117"/>
  <c r="J62" i="117"/>
  <c r="K62" i="117"/>
  <c r="L62" i="117"/>
  <c r="M62" i="117"/>
  <c r="N62" i="117"/>
  <c r="O62" i="117"/>
  <c r="P62" i="117"/>
  <c r="Q62" i="117"/>
  <c r="R62" i="117"/>
  <c r="C63" i="117"/>
  <c r="T63" i="117" s="1"/>
  <c r="D63" i="117"/>
  <c r="U63" i="117" s="1"/>
  <c r="E63" i="117"/>
  <c r="V63" i="117" s="1"/>
  <c r="F63" i="117"/>
  <c r="W63" i="117" s="1"/>
  <c r="G63" i="117"/>
  <c r="X63" i="117" s="1"/>
  <c r="H63" i="117"/>
  <c r="I63" i="117"/>
  <c r="J63" i="117"/>
  <c r="K63" i="117"/>
  <c r="L63" i="117"/>
  <c r="M63" i="117"/>
  <c r="N63" i="117"/>
  <c r="O63" i="117"/>
  <c r="P63" i="117"/>
  <c r="Q63" i="117"/>
  <c r="R63" i="117"/>
  <c r="C64" i="117"/>
  <c r="T64" i="117" s="1"/>
  <c r="D64" i="117"/>
  <c r="U64" i="117" s="1"/>
  <c r="E64" i="117"/>
  <c r="V64" i="117" s="1"/>
  <c r="F64" i="117"/>
  <c r="W64" i="117" s="1"/>
  <c r="G64" i="117"/>
  <c r="X64" i="117" s="1"/>
  <c r="H64" i="117"/>
  <c r="I64" i="117"/>
  <c r="J64" i="117"/>
  <c r="K64" i="117"/>
  <c r="L64" i="117"/>
  <c r="M64" i="117"/>
  <c r="N64" i="117"/>
  <c r="O64" i="117"/>
  <c r="P64" i="117"/>
  <c r="C65" i="117"/>
  <c r="T65" i="117" s="1"/>
  <c r="D65" i="117"/>
  <c r="U65" i="117" s="1"/>
  <c r="E65" i="117"/>
  <c r="V65" i="117" s="1"/>
  <c r="F65" i="117"/>
  <c r="W65" i="117" s="1"/>
  <c r="G65" i="117"/>
  <c r="X65" i="117" s="1"/>
  <c r="H65" i="117"/>
  <c r="I65" i="117"/>
  <c r="J65" i="117"/>
  <c r="K65" i="117"/>
  <c r="L65" i="117"/>
  <c r="M65" i="117"/>
  <c r="N65" i="117"/>
  <c r="O65" i="117"/>
  <c r="P65" i="117"/>
  <c r="Q65" i="117"/>
  <c r="R65" i="117"/>
  <c r="C66" i="117"/>
  <c r="T66" i="117" s="1"/>
  <c r="D66" i="117"/>
  <c r="U66" i="117" s="1"/>
  <c r="E66" i="117"/>
  <c r="V66" i="117" s="1"/>
  <c r="F66" i="117"/>
  <c r="W66" i="117" s="1"/>
  <c r="G66" i="117"/>
  <c r="X66" i="117" s="1"/>
  <c r="H66" i="117"/>
  <c r="I66" i="117"/>
  <c r="J66" i="117"/>
  <c r="K66" i="117"/>
  <c r="L66" i="117"/>
  <c r="M66" i="117"/>
  <c r="N66" i="117"/>
  <c r="O66" i="117"/>
  <c r="P66" i="117"/>
  <c r="Q66" i="117"/>
  <c r="R66" i="117"/>
  <c r="S75" i="117"/>
  <c r="S76" i="117"/>
  <c r="S77" i="117"/>
  <c r="S78" i="117"/>
  <c r="S79" i="117"/>
  <c r="S80" i="117"/>
  <c r="S81" i="117"/>
  <c r="S82" i="117"/>
  <c r="S83" i="117"/>
  <c r="S84" i="117"/>
  <c r="S85" i="117"/>
  <c r="S86" i="117"/>
  <c r="S87" i="117"/>
  <c r="S88" i="117"/>
  <c r="S89" i="117"/>
  <c r="S90" i="117"/>
  <c r="S91" i="117"/>
  <c r="S92" i="117"/>
  <c r="S93" i="117"/>
  <c r="S94" i="117"/>
  <c r="S95" i="117"/>
  <c r="S96" i="117"/>
  <c r="S97" i="117"/>
  <c r="S98" i="117"/>
  <c r="S99" i="117"/>
  <c r="S100" i="117"/>
  <c r="S101" i="117"/>
  <c r="C102" i="117"/>
  <c r="B16" i="118" s="1"/>
  <c r="M34" i="62" s="1"/>
  <c r="D102" i="117"/>
  <c r="C16" i="118" s="1"/>
  <c r="E102" i="117"/>
  <c r="D16" i="118" s="1"/>
  <c r="F102" i="117"/>
  <c r="E16" i="118" s="1"/>
  <c r="G102" i="117"/>
  <c r="F16" i="118" s="1"/>
  <c r="H102" i="117"/>
  <c r="G16" i="118" s="1"/>
  <c r="I102" i="117"/>
  <c r="H16" i="118" s="1"/>
  <c r="J102" i="117"/>
  <c r="I16" i="118" s="1"/>
  <c r="K102" i="117"/>
  <c r="J16" i="118" s="1"/>
  <c r="L102" i="117"/>
  <c r="K16" i="118" s="1"/>
  <c r="M102" i="117"/>
  <c r="L16" i="118" s="1"/>
  <c r="N102" i="117"/>
  <c r="M16" i="118" s="1"/>
  <c r="O102" i="117"/>
  <c r="N16" i="118" s="1"/>
  <c r="P102" i="117"/>
  <c r="O16" i="118" s="1"/>
  <c r="Q102" i="117"/>
  <c r="P16" i="118" s="1"/>
  <c r="R102" i="117"/>
  <c r="Q16" i="118" s="1"/>
  <c r="C5" i="116"/>
  <c r="D5" i="116"/>
  <c r="E5" i="116"/>
  <c r="F5" i="116"/>
  <c r="G5" i="116"/>
  <c r="H5" i="116"/>
  <c r="I5" i="116"/>
  <c r="J5" i="116"/>
  <c r="K5" i="116"/>
  <c r="L5" i="116"/>
  <c r="M5" i="116"/>
  <c r="N5" i="116"/>
  <c r="O5" i="116"/>
  <c r="P5" i="116"/>
  <c r="Q5" i="116"/>
  <c r="R5" i="116"/>
  <c r="C6" i="116"/>
  <c r="AI8" i="121" s="1"/>
  <c r="D6" i="116"/>
  <c r="E6" i="116"/>
  <c r="F6" i="116"/>
  <c r="G6" i="116"/>
  <c r="H6" i="116"/>
  <c r="I6" i="116"/>
  <c r="J6" i="116"/>
  <c r="K6" i="116"/>
  <c r="L6" i="116"/>
  <c r="M6" i="116"/>
  <c r="N6" i="116"/>
  <c r="O6" i="116"/>
  <c r="P6" i="116"/>
  <c r="Q6" i="116"/>
  <c r="R6" i="116"/>
  <c r="C7" i="116"/>
  <c r="D7" i="116"/>
  <c r="E7" i="116"/>
  <c r="F7" i="116"/>
  <c r="G7" i="116"/>
  <c r="H7" i="116"/>
  <c r="I7" i="116"/>
  <c r="J7" i="116"/>
  <c r="K7" i="116"/>
  <c r="L7" i="116"/>
  <c r="M7" i="116"/>
  <c r="N7" i="116"/>
  <c r="O7" i="116"/>
  <c r="P7" i="116"/>
  <c r="Q7" i="116"/>
  <c r="R7" i="116"/>
  <c r="C8" i="116"/>
  <c r="D8" i="116"/>
  <c r="E8" i="116"/>
  <c r="F8" i="116"/>
  <c r="G8" i="116"/>
  <c r="H8" i="116"/>
  <c r="I8" i="116"/>
  <c r="J8" i="116"/>
  <c r="K8" i="116"/>
  <c r="L8" i="116"/>
  <c r="M8" i="116"/>
  <c r="N8" i="116"/>
  <c r="O8" i="116"/>
  <c r="P8" i="116"/>
  <c r="Q8" i="116"/>
  <c r="R8" i="116"/>
  <c r="C9" i="116"/>
  <c r="D9" i="116"/>
  <c r="E9" i="116"/>
  <c r="F9" i="116"/>
  <c r="G9" i="116"/>
  <c r="H9" i="116"/>
  <c r="I9" i="116"/>
  <c r="J9" i="116"/>
  <c r="K9" i="116"/>
  <c r="L9" i="116"/>
  <c r="M9" i="116"/>
  <c r="N9" i="116"/>
  <c r="O9" i="116"/>
  <c r="P9" i="116"/>
  <c r="Q9" i="116"/>
  <c r="R9" i="116"/>
  <c r="C10" i="116"/>
  <c r="D10" i="116"/>
  <c r="E10" i="116"/>
  <c r="F10" i="116"/>
  <c r="G10" i="116"/>
  <c r="H10" i="116"/>
  <c r="I10" i="116"/>
  <c r="J10" i="116"/>
  <c r="K10" i="116"/>
  <c r="L10" i="116"/>
  <c r="M10" i="116"/>
  <c r="N10" i="116"/>
  <c r="O10" i="116"/>
  <c r="P10" i="116"/>
  <c r="Q10" i="116"/>
  <c r="R10" i="116"/>
  <c r="C11" i="116"/>
  <c r="D11" i="116"/>
  <c r="E11" i="116"/>
  <c r="F11" i="116"/>
  <c r="G11" i="116"/>
  <c r="H11" i="116"/>
  <c r="I11" i="116"/>
  <c r="J11" i="116"/>
  <c r="K11" i="116"/>
  <c r="L11" i="116"/>
  <c r="M11" i="116"/>
  <c r="N11" i="116"/>
  <c r="O11" i="116"/>
  <c r="P11" i="116"/>
  <c r="Q11" i="116"/>
  <c r="R11" i="116"/>
  <c r="C12" i="116"/>
  <c r="D12" i="116"/>
  <c r="E12" i="116"/>
  <c r="F12" i="116"/>
  <c r="G12" i="116"/>
  <c r="H12" i="116"/>
  <c r="I12" i="116"/>
  <c r="J12" i="116"/>
  <c r="K12" i="116"/>
  <c r="L12" i="116"/>
  <c r="M12" i="116"/>
  <c r="N12" i="116"/>
  <c r="O12" i="116"/>
  <c r="P12" i="116"/>
  <c r="Q12" i="116"/>
  <c r="R12" i="116"/>
  <c r="C13" i="116"/>
  <c r="D13" i="116"/>
  <c r="E13" i="116"/>
  <c r="AF14" i="122" s="1"/>
  <c r="F13" i="116"/>
  <c r="G13" i="116"/>
  <c r="H13" i="116"/>
  <c r="I13" i="116"/>
  <c r="J13" i="116"/>
  <c r="K13" i="116"/>
  <c r="L13" i="116"/>
  <c r="M13" i="116"/>
  <c r="N13" i="116"/>
  <c r="O13" i="116"/>
  <c r="P13" i="116"/>
  <c r="Q13" i="116"/>
  <c r="R13" i="116"/>
  <c r="C14" i="116"/>
  <c r="D14" i="116"/>
  <c r="E14" i="116"/>
  <c r="F14" i="116"/>
  <c r="G14" i="116"/>
  <c r="H14" i="116"/>
  <c r="I14" i="116"/>
  <c r="J14" i="116"/>
  <c r="K14" i="116"/>
  <c r="L14" i="116"/>
  <c r="M14" i="116"/>
  <c r="N14" i="116"/>
  <c r="O14" i="116"/>
  <c r="P14" i="116"/>
  <c r="Q14" i="116"/>
  <c r="R14" i="116"/>
  <c r="C15" i="116"/>
  <c r="D15" i="116"/>
  <c r="E15" i="116"/>
  <c r="F15" i="116"/>
  <c r="G15" i="116"/>
  <c r="H15" i="116"/>
  <c r="I15" i="116"/>
  <c r="J15" i="116"/>
  <c r="K15" i="116"/>
  <c r="L15" i="116"/>
  <c r="M15" i="116"/>
  <c r="N15" i="116"/>
  <c r="O15" i="116"/>
  <c r="P15" i="116"/>
  <c r="Q15" i="116"/>
  <c r="R15" i="116"/>
  <c r="C16" i="116"/>
  <c r="D16" i="116"/>
  <c r="E16" i="116"/>
  <c r="AF17" i="122" s="1"/>
  <c r="F16" i="116"/>
  <c r="G16" i="116"/>
  <c r="H16" i="116"/>
  <c r="I16" i="116"/>
  <c r="J16" i="116"/>
  <c r="K16" i="116"/>
  <c r="L16" i="116"/>
  <c r="M16" i="116"/>
  <c r="N16" i="116"/>
  <c r="O16" i="116"/>
  <c r="P16" i="116"/>
  <c r="Q16" i="116"/>
  <c r="R16" i="116"/>
  <c r="C17" i="116"/>
  <c r="D17" i="116"/>
  <c r="E17" i="116"/>
  <c r="F17" i="116"/>
  <c r="G17" i="116"/>
  <c r="H17" i="116"/>
  <c r="I17" i="116"/>
  <c r="J17" i="116"/>
  <c r="K17" i="116"/>
  <c r="L17" i="116"/>
  <c r="M17" i="116"/>
  <c r="N17" i="116"/>
  <c r="O17" i="116"/>
  <c r="P17" i="116"/>
  <c r="Q17" i="116"/>
  <c r="R17" i="116"/>
  <c r="C18" i="116"/>
  <c r="D18" i="116"/>
  <c r="E18" i="116"/>
  <c r="F18" i="116"/>
  <c r="G18" i="116"/>
  <c r="H18" i="116"/>
  <c r="I18" i="116"/>
  <c r="J18" i="116"/>
  <c r="K18" i="116"/>
  <c r="L18" i="116"/>
  <c r="M18" i="116"/>
  <c r="N18" i="116"/>
  <c r="O18" i="116"/>
  <c r="P18" i="116"/>
  <c r="Q18" i="116"/>
  <c r="R18" i="116"/>
  <c r="C19" i="116"/>
  <c r="D19" i="116"/>
  <c r="E19" i="116"/>
  <c r="F19" i="116"/>
  <c r="G19" i="116"/>
  <c r="H19" i="116"/>
  <c r="I19" i="116"/>
  <c r="J19" i="116"/>
  <c r="K19" i="116"/>
  <c r="L19" i="116"/>
  <c r="M19" i="116"/>
  <c r="N19" i="116"/>
  <c r="O19" i="116"/>
  <c r="P19" i="116"/>
  <c r="Q19" i="116"/>
  <c r="R19" i="116"/>
  <c r="C20" i="116"/>
  <c r="D20" i="116"/>
  <c r="E20" i="116"/>
  <c r="F20" i="116"/>
  <c r="G20" i="116"/>
  <c r="H20" i="116"/>
  <c r="I20" i="116"/>
  <c r="J20" i="116"/>
  <c r="K20" i="116"/>
  <c r="L20" i="116"/>
  <c r="M20" i="116"/>
  <c r="N20" i="116"/>
  <c r="O20" i="116"/>
  <c r="P20" i="116"/>
  <c r="Q20" i="116"/>
  <c r="R20" i="116"/>
  <c r="C21" i="116"/>
  <c r="D21" i="116"/>
  <c r="E21" i="116"/>
  <c r="F21" i="116"/>
  <c r="G21" i="116"/>
  <c r="H21" i="116"/>
  <c r="I21" i="116"/>
  <c r="J21" i="116"/>
  <c r="K21" i="116"/>
  <c r="L21" i="116"/>
  <c r="M21" i="116"/>
  <c r="N21" i="116"/>
  <c r="O21" i="116"/>
  <c r="P21" i="116"/>
  <c r="Q21" i="116"/>
  <c r="R21" i="116"/>
  <c r="C22" i="116"/>
  <c r="D22" i="116"/>
  <c r="E22" i="116"/>
  <c r="F22" i="116"/>
  <c r="G22" i="116"/>
  <c r="H22" i="116"/>
  <c r="I22" i="116"/>
  <c r="J22" i="116"/>
  <c r="K22" i="116"/>
  <c r="L22" i="116"/>
  <c r="M22" i="116"/>
  <c r="N22" i="116"/>
  <c r="O22" i="116"/>
  <c r="P22" i="116"/>
  <c r="Q22" i="116"/>
  <c r="R22" i="116"/>
  <c r="C23" i="116"/>
  <c r="D23" i="116"/>
  <c r="E23" i="116"/>
  <c r="F23" i="116"/>
  <c r="G23" i="116"/>
  <c r="H23" i="116"/>
  <c r="I23" i="116"/>
  <c r="J23" i="116"/>
  <c r="K23" i="116"/>
  <c r="L23" i="116"/>
  <c r="M23" i="116"/>
  <c r="N23" i="116"/>
  <c r="O23" i="116"/>
  <c r="P23" i="116"/>
  <c r="Q23" i="116"/>
  <c r="R23" i="116"/>
  <c r="C24" i="116"/>
  <c r="D24" i="116"/>
  <c r="E24" i="116"/>
  <c r="F24" i="116"/>
  <c r="G24" i="116"/>
  <c r="H24" i="116"/>
  <c r="I24" i="116"/>
  <c r="J24" i="116"/>
  <c r="K24" i="116"/>
  <c r="L24" i="116"/>
  <c r="M24" i="116"/>
  <c r="N24" i="116"/>
  <c r="O24" i="116"/>
  <c r="P24" i="116"/>
  <c r="Q24" i="116"/>
  <c r="R24" i="116"/>
  <c r="C25" i="116"/>
  <c r="D25" i="116"/>
  <c r="E25" i="116"/>
  <c r="F25" i="116"/>
  <c r="G25" i="116"/>
  <c r="H25" i="116"/>
  <c r="I25" i="116"/>
  <c r="J25" i="116"/>
  <c r="K25" i="116"/>
  <c r="L25" i="116"/>
  <c r="M25" i="116"/>
  <c r="N25" i="116"/>
  <c r="O25" i="116"/>
  <c r="P25" i="116"/>
  <c r="Q25" i="116"/>
  <c r="R25" i="116"/>
  <c r="C26" i="116"/>
  <c r="D26" i="116"/>
  <c r="E26" i="116"/>
  <c r="F26" i="116"/>
  <c r="G26" i="116"/>
  <c r="H26" i="116"/>
  <c r="I26" i="116"/>
  <c r="J26" i="116"/>
  <c r="K26" i="116"/>
  <c r="L26" i="116"/>
  <c r="M26" i="116"/>
  <c r="N26" i="116"/>
  <c r="O26" i="116"/>
  <c r="P26" i="116"/>
  <c r="Q26" i="116"/>
  <c r="R26" i="116"/>
  <c r="C27" i="116"/>
  <c r="D27" i="116"/>
  <c r="E27" i="116"/>
  <c r="F27" i="116"/>
  <c r="G27" i="116"/>
  <c r="H27" i="116"/>
  <c r="I27" i="116"/>
  <c r="J27" i="116"/>
  <c r="K27" i="116"/>
  <c r="L27" i="116"/>
  <c r="M27" i="116"/>
  <c r="N27" i="116"/>
  <c r="O27" i="116"/>
  <c r="P27" i="116"/>
  <c r="Q27" i="116"/>
  <c r="R27" i="116"/>
  <c r="C28" i="116"/>
  <c r="D28" i="116"/>
  <c r="E28" i="116"/>
  <c r="F28" i="116"/>
  <c r="G28" i="116"/>
  <c r="H28" i="116"/>
  <c r="I28" i="116"/>
  <c r="J28" i="116"/>
  <c r="K28" i="116"/>
  <c r="L28" i="116"/>
  <c r="M28" i="116"/>
  <c r="N28" i="116"/>
  <c r="O28" i="116"/>
  <c r="P28" i="116"/>
  <c r="Q28" i="116"/>
  <c r="R28" i="116"/>
  <c r="C29" i="116"/>
  <c r="D29" i="116"/>
  <c r="E29" i="116"/>
  <c r="F29" i="116"/>
  <c r="G29" i="116"/>
  <c r="H29" i="116"/>
  <c r="I29" i="116"/>
  <c r="J29" i="116"/>
  <c r="K29" i="116"/>
  <c r="L29" i="116"/>
  <c r="M29" i="116"/>
  <c r="N29" i="116"/>
  <c r="O29" i="116"/>
  <c r="P29" i="116"/>
  <c r="Q29" i="116"/>
  <c r="R29" i="116"/>
  <c r="C30" i="116"/>
  <c r="D30" i="116"/>
  <c r="E30" i="116"/>
  <c r="F30" i="116"/>
  <c r="G30" i="116"/>
  <c r="H30" i="116"/>
  <c r="I30" i="116"/>
  <c r="J30" i="116"/>
  <c r="K30" i="116"/>
  <c r="L30" i="116"/>
  <c r="M30" i="116"/>
  <c r="N30" i="116"/>
  <c r="O30" i="116"/>
  <c r="P30" i="116"/>
  <c r="Q30" i="116"/>
  <c r="R30" i="116"/>
  <c r="C31" i="116"/>
  <c r="D31" i="116"/>
  <c r="E31" i="116"/>
  <c r="F31" i="116"/>
  <c r="G31" i="116"/>
  <c r="H31" i="116"/>
  <c r="I31" i="116"/>
  <c r="J31" i="116"/>
  <c r="K31" i="116"/>
  <c r="L31" i="116"/>
  <c r="M31" i="116"/>
  <c r="N31" i="116"/>
  <c r="O31" i="116"/>
  <c r="P31" i="116"/>
  <c r="Q31" i="116"/>
  <c r="R31" i="116"/>
  <c r="C40" i="116"/>
  <c r="T40" i="116" s="1"/>
  <c r="D40" i="116"/>
  <c r="U40" i="116" s="1"/>
  <c r="E40" i="116"/>
  <c r="V40" i="116" s="1"/>
  <c r="F40" i="116"/>
  <c r="W40" i="116" s="1"/>
  <c r="G40" i="116"/>
  <c r="X40" i="116" s="1"/>
  <c r="H40" i="116"/>
  <c r="I40" i="116"/>
  <c r="J40" i="116"/>
  <c r="K40" i="116"/>
  <c r="L40" i="116"/>
  <c r="M40" i="116"/>
  <c r="N40" i="116"/>
  <c r="O40" i="116"/>
  <c r="P40" i="116"/>
  <c r="Q40" i="116"/>
  <c r="R40" i="116"/>
  <c r="C41" i="116"/>
  <c r="T41" i="116" s="1"/>
  <c r="D41" i="116"/>
  <c r="U41" i="116" s="1"/>
  <c r="E41" i="116"/>
  <c r="V41" i="116" s="1"/>
  <c r="F41" i="116"/>
  <c r="W41" i="116" s="1"/>
  <c r="G41" i="116"/>
  <c r="X41" i="116" s="1"/>
  <c r="H41" i="116"/>
  <c r="I41" i="116"/>
  <c r="J41" i="116"/>
  <c r="K41" i="116"/>
  <c r="L41" i="116"/>
  <c r="M41" i="116"/>
  <c r="N41" i="116"/>
  <c r="O41" i="116"/>
  <c r="P41" i="116"/>
  <c r="Q41" i="116"/>
  <c r="R41" i="116"/>
  <c r="C42" i="116"/>
  <c r="T42" i="116" s="1"/>
  <c r="D42" i="116"/>
  <c r="U42" i="116" s="1"/>
  <c r="E42" i="116"/>
  <c r="V42" i="116" s="1"/>
  <c r="F42" i="116"/>
  <c r="W42" i="116" s="1"/>
  <c r="G42" i="116"/>
  <c r="X42" i="116" s="1"/>
  <c r="H42" i="116"/>
  <c r="I42" i="116"/>
  <c r="J42" i="116"/>
  <c r="K42" i="116"/>
  <c r="L42" i="116"/>
  <c r="M42" i="116"/>
  <c r="N42" i="116"/>
  <c r="O42" i="116"/>
  <c r="P42" i="116"/>
  <c r="Q42" i="116"/>
  <c r="R42" i="116"/>
  <c r="C43" i="116"/>
  <c r="T43" i="116" s="1"/>
  <c r="D43" i="116"/>
  <c r="U43" i="116" s="1"/>
  <c r="E43" i="116"/>
  <c r="V43" i="116" s="1"/>
  <c r="F43" i="116"/>
  <c r="W43" i="116" s="1"/>
  <c r="G43" i="116"/>
  <c r="X43" i="116" s="1"/>
  <c r="H43" i="116"/>
  <c r="I43" i="116"/>
  <c r="J43" i="116"/>
  <c r="K43" i="116"/>
  <c r="L43" i="116"/>
  <c r="M43" i="116"/>
  <c r="N43" i="116"/>
  <c r="O43" i="116"/>
  <c r="P43" i="116"/>
  <c r="C44" i="116"/>
  <c r="T44" i="116" s="1"/>
  <c r="D44" i="116"/>
  <c r="U44" i="116" s="1"/>
  <c r="E44" i="116"/>
  <c r="V44" i="116" s="1"/>
  <c r="F44" i="116"/>
  <c r="W44" i="116" s="1"/>
  <c r="G44" i="116"/>
  <c r="X44" i="116" s="1"/>
  <c r="H44" i="116"/>
  <c r="I44" i="116"/>
  <c r="J44" i="116"/>
  <c r="K44" i="116"/>
  <c r="L44" i="116"/>
  <c r="M44" i="116"/>
  <c r="N44" i="116"/>
  <c r="O44" i="116"/>
  <c r="P44" i="116"/>
  <c r="Q44" i="116"/>
  <c r="R44" i="116"/>
  <c r="C45" i="116"/>
  <c r="T45" i="116" s="1"/>
  <c r="D45" i="116"/>
  <c r="E45" i="116"/>
  <c r="V45" i="116" s="1"/>
  <c r="F45" i="116"/>
  <c r="W45" i="116" s="1"/>
  <c r="G45" i="116"/>
  <c r="X45" i="116" s="1"/>
  <c r="H45" i="116"/>
  <c r="I45" i="116"/>
  <c r="J45" i="116"/>
  <c r="K45" i="116"/>
  <c r="L45" i="116"/>
  <c r="M45" i="116"/>
  <c r="N45" i="116"/>
  <c r="O45" i="116"/>
  <c r="P45" i="116"/>
  <c r="Q45" i="116"/>
  <c r="R45" i="116"/>
  <c r="C46" i="116"/>
  <c r="T46" i="116" s="1"/>
  <c r="D46" i="116"/>
  <c r="U46" i="116" s="1"/>
  <c r="E46" i="116"/>
  <c r="V46" i="116" s="1"/>
  <c r="F46" i="116"/>
  <c r="W46" i="116" s="1"/>
  <c r="G46" i="116"/>
  <c r="X46" i="116" s="1"/>
  <c r="H46" i="116"/>
  <c r="I46" i="116"/>
  <c r="J46" i="116"/>
  <c r="K46" i="116"/>
  <c r="L46" i="116"/>
  <c r="M46" i="116"/>
  <c r="N46" i="116"/>
  <c r="O46" i="116"/>
  <c r="P46" i="116"/>
  <c r="Q46" i="116"/>
  <c r="R46" i="116"/>
  <c r="C47" i="116"/>
  <c r="T47" i="116" s="1"/>
  <c r="D47" i="116"/>
  <c r="U47" i="116" s="1"/>
  <c r="E47" i="116"/>
  <c r="V47" i="116" s="1"/>
  <c r="F47" i="116"/>
  <c r="W47" i="116" s="1"/>
  <c r="G47" i="116"/>
  <c r="X47" i="116" s="1"/>
  <c r="H47" i="116"/>
  <c r="I47" i="116"/>
  <c r="J47" i="116"/>
  <c r="K47" i="116"/>
  <c r="L47" i="116"/>
  <c r="M47" i="116"/>
  <c r="N47" i="116"/>
  <c r="O47" i="116"/>
  <c r="P47" i="116"/>
  <c r="Q47" i="116"/>
  <c r="R47" i="116"/>
  <c r="C48" i="116"/>
  <c r="T48" i="116" s="1"/>
  <c r="D48" i="116"/>
  <c r="U48" i="116" s="1"/>
  <c r="E48" i="116"/>
  <c r="V48" i="116" s="1"/>
  <c r="F48" i="116"/>
  <c r="W48" i="116" s="1"/>
  <c r="G48" i="116"/>
  <c r="X48" i="116" s="1"/>
  <c r="H48" i="116"/>
  <c r="I48" i="116"/>
  <c r="J48" i="116"/>
  <c r="K48" i="116"/>
  <c r="L48" i="116"/>
  <c r="M48" i="116"/>
  <c r="N48" i="116"/>
  <c r="O48" i="116"/>
  <c r="P48" i="116"/>
  <c r="Q48" i="116"/>
  <c r="R48" i="116"/>
  <c r="C49" i="116"/>
  <c r="T49" i="116" s="1"/>
  <c r="D49" i="116"/>
  <c r="U49" i="116" s="1"/>
  <c r="E49" i="116"/>
  <c r="V49" i="116" s="1"/>
  <c r="F49" i="116"/>
  <c r="W49" i="116" s="1"/>
  <c r="G49" i="116"/>
  <c r="X49" i="116" s="1"/>
  <c r="H49" i="116"/>
  <c r="I49" i="116"/>
  <c r="J49" i="116"/>
  <c r="K49" i="116"/>
  <c r="L49" i="116"/>
  <c r="M49" i="116"/>
  <c r="N49" i="116"/>
  <c r="O49" i="116"/>
  <c r="P49" i="116"/>
  <c r="Q49" i="116"/>
  <c r="R49" i="116"/>
  <c r="C50" i="116"/>
  <c r="T50" i="116" s="1"/>
  <c r="D50" i="116"/>
  <c r="U50" i="116" s="1"/>
  <c r="E50" i="116"/>
  <c r="F50" i="116"/>
  <c r="W50" i="116" s="1"/>
  <c r="G50" i="116"/>
  <c r="X50" i="116" s="1"/>
  <c r="H50" i="116"/>
  <c r="I50" i="116"/>
  <c r="J50" i="116"/>
  <c r="K50" i="116"/>
  <c r="L50" i="116"/>
  <c r="M50" i="116"/>
  <c r="N50" i="116"/>
  <c r="O50" i="116"/>
  <c r="P50" i="116"/>
  <c r="Q50" i="116"/>
  <c r="R50" i="116"/>
  <c r="C51" i="116"/>
  <c r="T51" i="116" s="1"/>
  <c r="D51" i="116"/>
  <c r="U51" i="116" s="1"/>
  <c r="E51" i="116"/>
  <c r="V51" i="116" s="1"/>
  <c r="F51" i="116"/>
  <c r="W51" i="116" s="1"/>
  <c r="G51" i="116"/>
  <c r="X51" i="116" s="1"/>
  <c r="H51" i="116"/>
  <c r="I51" i="116"/>
  <c r="J51" i="116"/>
  <c r="K51" i="116"/>
  <c r="L51" i="116"/>
  <c r="M51" i="116"/>
  <c r="N51" i="116"/>
  <c r="O51" i="116"/>
  <c r="P51" i="116"/>
  <c r="Q51" i="116"/>
  <c r="R51" i="116"/>
  <c r="C52" i="116"/>
  <c r="T52" i="116" s="1"/>
  <c r="D52" i="116"/>
  <c r="U52" i="116" s="1"/>
  <c r="E52" i="116"/>
  <c r="V52" i="116" s="1"/>
  <c r="F52" i="116"/>
  <c r="W52" i="116" s="1"/>
  <c r="G52" i="116"/>
  <c r="X52" i="116" s="1"/>
  <c r="H52" i="116"/>
  <c r="I52" i="116"/>
  <c r="J52" i="116"/>
  <c r="K52" i="116"/>
  <c r="L52" i="116"/>
  <c r="M52" i="116"/>
  <c r="N52" i="116"/>
  <c r="O52" i="116"/>
  <c r="P52" i="116"/>
  <c r="Q52" i="116"/>
  <c r="R52" i="116"/>
  <c r="C53" i="116"/>
  <c r="T53" i="116" s="1"/>
  <c r="D53" i="116"/>
  <c r="E53" i="116"/>
  <c r="V53" i="116" s="1"/>
  <c r="F53" i="116"/>
  <c r="W53" i="116" s="1"/>
  <c r="G53" i="116"/>
  <c r="X53" i="116" s="1"/>
  <c r="H53" i="116"/>
  <c r="I53" i="116"/>
  <c r="J53" i="116"/>
  <c r="K53" i="116"/>
  <c r="L53" i="116"/>
  <c r="M53" i="116"/>
  <c r="N53" i="116"/>
  <c r="O53" i="116"/>
  <c r="P53" i="116"/>
  <c r="Q53" i="116"/>
  <c r="R53" i="116"/>
  <c r="C54" i="116"/>
  <c r="T54" i="116" s="1"/>
  <c r="D54" i="116"/>
  <c r="U54" i="116" s="1"/>
  <c r="E54" i="116"/>
  <c r="V54" i="116" s="1"/>
  <c r="F54" i="116"/>
  <c r="W54" i="116" s="1"/>
  <c r="G54" i="116"/>
  <c r="X54" i="116" s="1"/>
  <c r="H54" i="116"/>
  <c r="I54" i="116"/>
  <c r="J54" i="116"/>
  <c r="K54" i="116"/>
  <c r="L54" i="116"/>
  <c r="M54" i="116"/>
  <c r="N54" i="116"/>
  <c r="O54" i="116"/>
  <c r="P54" i="116"/>
  <c r="Q54" i="116"/>
  <c r="R54" i="116"/>
  <c r="C55" i="116"/>
  <c r="T55" i="116" s="1"/>
  <c r="D55" i="116"/>
  <c r="U55" i="116" s="1"/>
  <c r="E55" i="116"/>
  <c r="V55" i="116" s="1"/>
  <c r="F55" i="116"/>
  <c r="W55" i="116" s="1"/>
  <c r="G55" i="116"/>
  <c r="X55" i="116" s="1"/>
  <c r="H55" i="116"/>
  <c r="I55" i="116"/>
  <c r="J55" i="116"/>
  <c r="K55" i="116"/>
  <c r="L55" i="116"/>
  <c r="M55" i="116"/>
  <c r="N55" i="116"/>
  <c r="O55" i="116"/>
  <c r="P55" i="116"/>
  <c r="Q55" i="116"/>
  <c r="R55" i="116"/>
  <c r="C56" i="116"/>
  <c r="T56" i="116" s="1"/>
  <c r="D56" i="116"/>
  <c r="U56" i="116" s="1"/>
  <c r="E56" i="116"/>
  <c r="V56" i="116" s="1"/>
  <c r="F56" i="116"/>
  <c r="W56" i="116" s="1"/>
  <c r="G56" i="116"/>
  <c r="X56" i="116" s="1"/>
  <c r="H56" i="116"/>
  <c r="I56" i="116"/>
  <c r="J56" i="116"/>
  <c r="K56" i="116"/>
  <c r="L56" i="116"/>
  <c r="M56" i="116"/>
  <c r="N56" i="116"/>
  <c r="O56" i="116"/>
  <c r="P56" i="116"/>
  <c r="Q56" i="116"/>
  <c r="R56" i="116"/>
  <c r="C57" i="116"/>
  <c r="T57" i="116" s="1"/>
  <c r="D57" i="116"/>
  <c r="U57" i="116" s="1"/>
  <c r="E57" i="116"/>
  <c r="V57" i="116" s="1"/>
  <c r="F57" i="116"/>
  <c r="W57" i="116" s="1"/>
  <c r="G57" i="116"/>
  <c r="X57" i="116" s="1"/>
  <c r="H57" i="116"/>
  <c r="I57" i="116"/>
  <c r="J57" i="116"/>
  <c r="K57" i="116"/>
  <c r="L57" i="116"/>
  <c r="M57" i="116"/>
  <c r="N57" i="116"/>
  <c r="O57" i="116"/>
  <c r="P57" i="116"/>
  <c r="Q57" i="116"/>
  <c r="R57" i="116"/>
  <c r="C58" i="116"/>
  <c r="T58" i="116" s="1"/>
  <c r="D58" i="116"/>
  <c r="U58" i="116" s="1"/>
  <c r="E58" i="116"/>
  <c r="V58" i="116" s="1"/>
  <c r="F58" i="116"/>
  <c r="W58" i="116" s="1"/>
  <c r="G58" i="116"/>
  <c r="X58" i="116" s="1"/>
  <c r="H58" i="116"/>
  <c r="I58" i="116"/>
  <c r="J58" i="116"/>
  <c r="K58" i="116"/>
  <c r="L58" i="116"/>
  <c r="M58" i="116"/>
  <c r="N58" i="116"/>
  <c r="O58" i="116"/>
  <c r="P58" i="116"/>
  <c r="Q58" i="116"/>
  <c r="R58" i="116"/>
  <c r="C59" i="116"/>
  <c r="T59" i="116" s="1"/>
  <c r="D59" i="116"/>
  <c r="U59" i="116" s="1"/>
  <c r="E59" i="116"/>
  <c r="V59" i="116" s="1"/>
  <c r="F59" i="116"/>
  <c r="W59" i="116" s="1"/>
  <c r="G59" i="116"/>
  <c r="X59" i="116" s="1"/>
  <c r="H59" i="116"/>
  <c r="I59" i="116"/>
  <c r="J59" i="116"/>
  <c r="K59" i="116"/>
  <c r="L59" i="116"/>
  <c r="M59" i="116"/>
  <c r="N59" i="116"/>
  <c r="O59" i="116"/>
  <c r="P59" i="116"/>
  <c r="Q59" i="116"/>
  <c r="R59" i="116"/>
  <c r="C60" i="116"/>
  <c r="T60" i="116" s="1"/>
  <c r="D60" i="116"/>
  <c r="U60" i="116" s="1"/>
  <c r="E60" i="116"/>
  <c r="V60" i="116" s="1"/>
  <c r="F60" i="116"/>
  <c r="W60" i="116" s="1"/>
  <c r="G60" i="116"/>
  <c r="X60" i="116" s="1"/>
  <c r="H60" i="116"/>
  <c r="I60" i="116"/>
  <c r="J60" i="116"/>
  <c r="K60" i="116"/>
  <c r="L60" i="116"/>
  <c r="M60" i="116"/>
  <c r="N60" i="116"/>
  <c r="O60" i="116"/>
  <c r="P60" i="116"/>
  <c r="Q60" i="116"/>
  <c r="R60" i="116"/>
  <c r="C61" i="116"/>
  <c r="T61" i="116" s="1"/>
  <c r="D61" i="116"/>
  <c r="E61" i="116"/>
  <c r="V61" i="116" s="1"/>
  <c r="F61" i="116"/>
  <c r="W61" i="116" s="1"/>
  <c r="G61" i="116"/>
  <c r="X61" i="116" s="1"/>
  <c r="H61" i="116"/>
  <c r="I61" i="116"/>
  <c r="J61" i="116"/>
  <c r="K61" i="116"/>
  <c r="L61" i="116"/>
  <c r="M61" i="116"/>
  <c r="N61" i="116"/>
  <c r="O61" i="116"/>
  <c r="P61" i="116"/>
  <c r="Q61" i="116"/>
  <c r="R61" i="116"/>
  <c r="C62" i="116"/>
  <c r="T62" i="116" s="1"/>
  <c r="D62" i="116"/>
  <c r="U62" i="116" s="1"/>
  <c r="E62" i="116"/>
  <c r="V62" i="116" s="1"/>
  <c r="F62" i="116"/>
  <c r="W62" i="116" s="1"/>
  <c r="G62" i="116"/>
  <c r="X62" i="116" s="1"/>
  <c r="H62" i="116"/>
  <c r="I62" i="116"/>
  <c r="J62" i="116"/>
  <c r="K62" i="116"/>
  <c r="L62" i="116"/>
  <c r="M62" i="116"/>
  <c r="N62" i="116"/>
  <c r="O62" i="116"/>
  <c r="P62" i="116"/>
  <c r="Q62" i="116"/>
  <c r="R62" i="116"/>
  <c r="C63" i="116"/>
  <c r="T63" i="116" s="1"/>
  <c r="D63" i="116"/>
  <c r="U63" i="116" s="1"/>
  <c r="E63" i="116"/>
  <c r="V63" i="116" s="1"/>
  <c r="F63" i="116"/>
  <c r="W63" i="116" s="1"/>
  <c r="G63" i="116"/>
  <c r="X63" i="116" s="1"/>
  <c r="H63" i="116"/>
  <c r="I63" i="116"/>
  <c r="J63" i="116"/>
  <c r="K63" i="116"/>
  <c r="L63" i="116"/>
  <c r="M63" i="116"/>
  <c r="N63" i="116"/>
  <c r="O63" i="116"/>
  <c r="P63" i="116"/>
  <c r="Q63" i="116"/>
  <c r="R63" i="116"/>
  <c r="C64" i="116"/>
  <c r="T64" i="116" s="1"/>
  <c r="D64" i="116"/>
  <c r="U64" i="116" s="1"/>
  <c r="E64" i="116"/>
  <c r="V64" i="116" s="1"/>
  <c r="F64" i="116"/>
  <c r="W64" i="116" s="1"/>
  <c r="G64" i="116"/>
  <c r="X64" i="116" s="1"/>
  <c r="H64" i="116"/>
  <c r="I64" i="116"/>
  <c r="J64" i="116"/>
  <c r="K64" i="116"/>
  <c r="L64" i="116"/>
  <c r="M64" i="116"/>
  <c r="N64" i="116"/>
  <c r="O64" i="116"/>
  <c r="P64" i="116"/>
  <c r="C65" i="116"/>
  <c r="T65" i="116" s="1"/>
  <c r="D65" i="116"/>
  <c r="U65" i="116" s="1"/>
  <c r="E65" i="116"/>
  <c r="V65" i="116" s="1"/>
  <c r="F65" i="116"/>
  <c r="W65" i="116" s="1"/>
  <c r="G65" i="116"/>
  <c r="X65" i="116" s="1"/>
  <c r="H65" i="116"/>
  <c r="I65" i="116"/>
  <c r="J65" i="116"/>
  <c r="K65" i="116"/>
  <c r="L65" i="116"/>
  <c r="M65" i="116"/>
  <c r="N65" i="116"/>
  <c r="O65" i="116"/>
  <c r="P65" i="116"/>
  <c r="Q65" i="116"/>
  <c r="R65" i="116"/>
  <c r="C66" i="116"/>
  <c r="T66" i="116" s="1"/>
  <c r="D66" i="116"/>
  <c r="U66" i="116" s="1"/>
  <c r="E66" i="116"/>
  <c r="V66" i="116" s="1"/>
  <c r="F66" i="116"/>
  <c r="W66" i="116" s="1"/>
  <c r="G66" i="116"/>
  <c r="X66" i="116" s="1"/>
  <c r="H66" i="116"/>
  <c r="I66" i="116"/>
  <c r="J66" i="116"/>
  <c r="K66" i="116"/>
  <c r="L66" i="116"/>
  <c r="M66" i="116"/>
  <c r="N66" i="116"/>
  <c r="O66" i="116"/>
  <c r="P66" i="116"/>
  <c r="Q66" i="116"/>
  <c r="R66" i="116"/>
  <c r="S75" i="116"/>
  <c r="S76" i="116"/>
  <c r="S77" i="116"/>
  <c r="S78" i="116"/>
  <c r="S79" i="116"/>
  <c r="S80" i="116"/>
  <c r="S81" i="116"/>
  <c r="S82" i="116"/>
  <c r="S83" i="116"/>
  <c r="S84" i="116"/>
  <c r="S85" i="116"/>
  <c r="S86" i="116"/>
  <c r="S87" i="116"/>
  <c r="S88" i="116"/>
  <c r="S89" i="116"/>
  <c r="S90" i="116"/>
  <c r="S91" i="116"/>
  <c r="S92" i="116"/>
  <c r="S93" i="116"/>
  <c r="S94" i="116"/>
  <c r="S95" i="116"/>
  <c r="S96" i="116"/>
  <c r="S97" i="116"/>
  <c r="S98" i="116"/>
  <c r="S99" i="116"/>
  <c r="S100" i="116"/>
  <c r="S101" i="116"/>
  <c r="C102" i="116"/>
  <c r="D102" i="116"/>
  <c r="E102" i="116"/>
  <c r="F102" i="116"/>
  <c r="G102" i="116"/>
  <c r="H102" i="116"/>
  <c r="G15" i="118" s="1"/>
  <c r="I102" i="116"/>
  <c r="H15" i="118" s="1"/>
  <c r="J102" i="116"/>
  <c r="I15" i="118" s="1"/>
  <c r="K102" i="116"/>
  <c r="J15" i="118" s="1"/>
  <c r="L102" i="116"/>
  <c r="K15" i="118" s="1"/>
  <c r="M102" i="116"/>
  <c r="L15" i="118" s="1"/>
  <c r="N102" i="116"/>
  <c r="M15" i="118" s="1"/>
  <c r="O102" i="116"/>
  <c r="N15" i="118" s="1"/>
  <c r="P102" i="116"/>
  <c r="O15" i="118" s="1"/>
  <c r="Q102" i="116"/>
  <c r="P15" i="118" s="1"/>
  <c r="R102" i="116"/>
  <c r="Q15" i="118" s="1"/>
  <c r="C5" i="115"/>
  <c r="D5" i="115"/>
  <c r="E5" i="115"/>
  <c r="F5" i="115"/>
  <c r="G5" i="115"/>
  <c r="H5" i="115"/>
  <c r="I5" i="115"/>
  <c r="J5" i="115"/>
  <c r="K5" i="115"/>
  <c r="L5" i="115"/>
  <c r="M5" i="115"/>
  <c r="N5" i="115"/>
  <c r="O5" i="115"/>
  <c r="P5" i="115"/>
  <c r="Q5" i="115"/>
  <c r="R5" i="115"/>
  <c r="C6" i="115"/>
  <c r="D6" i="115"/>
  <c r="E6" i="115"/>
  <c r="F6" i="115"/>
  <c r="G6" i="115"/>
  <c r="H6" i="115"/>
  <c r="I6" i="115"/>
  <c r="J6" i="115"/>
  <c r="K6" i="115"/>
  <c r="L6" i="115"/>
  <c r="M6" i="115"/>
  <c r="N6" i="115"/>
  <c r="O6" i="115"/>
  <c r="P6" i="115"/>
  <c r="Q6" i="115"/>
  <c r="R6" i="115"/>
  <c r="C7" i="115"/>
  <c r="D7" i="115"/>
  <c r="E7" i="115"/>
  <c r="F7" i="115"/>
  <c r="G7" i="115"/>
  <c r="H7" i="115"/>
  <c r="I7" i="115"/>
  <c r="J7" i="115"/>
  <c r="K7" i="115"/>
  <c r="L7" i="115"/>
  <c r="M7" i="115"/>
  <c r="N7" i="115"/>
  <c r="O7" i="115"/>
  <c r="P7" i="115"/>
  <c r="Q7" i="115"/>
  <c r="R7" i="115"/>
  <c r="C8" i="115"/>
  <c r="AG9" i="121" s="1"/>
  <c r="D8" i="115"/>
  <c r="E8" i="115"/>
  <c r="F8" i="115"/>
  <c r="G8" i="115"/>
  <c r="H8" i="115"/>
  <c r="I8" i="115"/>
  <c r="J8" i="115"/>
  <c r="K8" i="115"/>
  <c r="L8" i="115"/>
  <c r="M8" i="115"/>
  <c r="N8" i="115"/>
  <c r="O8" i="115"/>
  <c r="P8" i="115"/>
  <c r="Q8" i="115"/>
  <c r="R8" i="115"/>
  <c r="C9" i="115"/>
  <c r="D9" i="115"/>
  <c r="E9" i="115"/>
  <c r="F9" i="115"/>
  <c r="G9" i="115"/>
  <c r="H9" i="115"/>
  <c r="I9" i="115"/>
  <c r="J9" i="115"/>
  <c r="K9" i="115"/>
  <c r="L9" i="115"/>
  <c r="M9" i="115"/>
  <c r="N9" i="115"/>
  <c r="O9" i="115"/>
  <c r="P9" i="115"/>
  <c r="Q9" i="115"/>
  <c r="R9" i="115"/>
  <c r="C10" i="115"/>
  <c r="D10" i="115"/>
  <c r="E10" i="115"/>
  <c r="F10" i="115"/>
  <c r="G10" i="115"/>
  <c r="H10" i="115"/>
  <c r="I10" i="115"/>
  <c r="J10" i="115"/>
  <c r="K10" i="115"/>
  <c r="L10" i="115"/>
  <c r="M10" i="115"/>
  <c r="N10" i="115"/>
  <c r="O10" i="115"/>
  <c r="P10" i="115"/>
  <c r="Q10" i="115"/>
  <c r="R10" i="115"/>
  <c r="C11" i="115"/>
  <c r="D11" i="115"/>
  <c r="E11" i="115"/>
  <c r="AD12" i="122" s="1"/>
  <c r="F11" i="115"/>
  <c r="G11" i="115"/>
  <c r="H11" i="115"/>
  <c r="I11" i="115"/>
  <c r="J11" i="115"/>
  <c r="K11" i="115"/>
  <c r="L11" i="115"/>
  <c r="M11" i="115"/>
  <c r="N11" i="115"/>
  <c r="O11" i="115"/>
  <c r="P11" i="115"/>
  <c r="Q11" i="115"/>
  <c r="R11" i="115"/>
  <c r="C12" i="115"/>
  <c r="D12" i="115"/>
  <c r="E12" i="115"/>
  <c r="F12" i="115"/>
  <c r="G12" i="115"/>
  <c r="H12" i="115"/>
  <c r="I12" i="115"/>
  <c r="J12" i="115"/>
  <c r="K12" i="115"/>
  <c r="L12" i="115"/>
  <c r="M12" i="115"/>
  <c r="N12" i="115"/>
  <c r="O12" i="115"/>
  <c r="P12" i="115"/>
  <c r="Q12" i="115"/>
  <c r="R12" i="115"/>
  <c r="C13" i="115"/>
  <c r="D13" i="115"/>
  <c r="E13" i="115"/>
  <c r="F13" i="115"/>
  <c r="G13" i="115"/>
  <c r="H13" i="115"/>
  <c r="I13" i="115"/>
  <c r="J13" i="115"/>
  <c r="K13" i="115"/>
  <c r="L13" i="115"/>
  <c r="M13" i="115"/>
  <c r="N13" i="115"/>
  <c r="O13" i="115"/>
  <c r="P13" i="115"/>
  <c r="Q13" i="115"/>
  <c r="R13" i="115"/>
  <c r="C14" i="115"/>
  <c r="D14" i="115"/>
  <c r="E14" i="115"/>
  <c r="F14" i="115"/>
  <c r="G14" i="115"/>
  <c r="H14" i="115"/>
  <c r="I14" i="115"/>
  <c r="J14" i="115"/>
  <c r="K14" i="115"/>
  <c r="L14" i="115"/>
  <c r="M14" i="115"/>
  <c r="N14" i="115"/>
  <c r="O14" i="115"/>
  <c r="P14" i="115"/>
  <c r="Q14" i="115"/>
  <c r="R14" i="115"/>
  <c r="C15" i="115"/>
  <c r="D15" i="115"/>
  <c r="E15" i="115"/>
  <c r="F15" i="115"/>
  <c r="G15" i="115"/>
  <c r="H15" i="115"/>
  <c r="I15" i="115"/>
  <c r="J15" i="115"/>
  <c r="K15" i="115"/>
  <c r="L15" i="115"/>
  <c r="M15" i="115"/>
  <c r="N15" i="115"/>
  <c r="O15" i="115"/>
  <c r="P15" i="115"/>
  <c r="Q15" i="115"/>
  <c r="R15" i="115"/>
  <c r="C16" i="115"/>
  <c r="D16" i="115"/>
  <c r="E16" i="115"/>
  <c r="F16" i="115"/>
  <c r="G16" i="115"/>
  <c r="H16" i="115"/>
  <c r="I16" i="115"/>
  <c r="J16" i="115"/>
  <c r="K16" i="115"/>
  <c r="L16" i="115"/>
  <c r="M16" i="115"/>
  <c r="N16" i="115"/>
  <c r="O16" i="115"/>
  <c r="P16" i="115"/>
  <c r="Q16" i="115"/>
  <c r="R16" i="115"/>
  <c r="C17" i="115"/>
  <c r="D17" i="115"/>
  <c r="E17" i="115"/>
  <c r="F17" i="115"/>
  <c r="G17" i="115"/>
  <c r="H17" i="115"/>
  <c r="I17" i="115"/>
  <c r="J17" i="115"/>
  <c r="K17" i="115"/>
  <c r="L17" i="115"/>
  <c r="M17" i="115"/>
  <c r="N17" i="115"/>
  <c r="O17" i="115"/>
  <c r="P17" i="115"/>
  <c r="Q17" i="115"/>
  <c r="R17" i="115"/>
  <c r="C18" i="115"/>
  <c r="D18" i="115"/>
  <c r="E18" i="115"/>
  <c r="F18" i="115"/>
  <c r="G18" i="115"/>
  <c r="H18" i="115"/>
  <c r="I18" i="115"/>
  <c r="J18" i="115"/>
  <c r="K18" i="115"/>
  <c r="L18" i="115"/>
  <c r="M18" i="115"/>
  <c r="N18" i="115"/>
  <c r="O18" i="115"/>
  <c r="P18" i="115"/>
  <c r="Q18" i="115"/>
  <c r="R18" i="115"/>
  <c r="C19" i="115"/>
  <c r="D19" i="115"/>
  <c r="E19" i="115"/>
  <c r="F19" i="115"/>
  <c r="G19" i="115"/>
  <c r="H19" i="115"/>
  <c r="I19" i="115"/>
  <c r="J19" i="115"/>
  <c r="K19" i="115"/>
  <c r="L19" i="115"/>
  <c r="M19" i="115"/>
  <c r="N19" i="115"/>
  <c r="O19" i="115"/>
  <c r="P19" i="115"/>
  <c r="Q19" i="115"/>
  <c r="R19" i="115"/>
  <c r="C20" i="115"/>
  <c r="D20" i="115"/>
  <c r="E20" i="115"/>
  <c r="F20" i="115"/>
  <c r="G20" i="115"/>
  <c r="H20" i="115"/>
  <c r="I20" i="115"/>
  <c r="J20" i="115"/>
  <c r="K20" i="115"/>
  <c r="L20" i="115"/>
  <c r="M20" i="115"/>
  <c r="N20" i="115"/>
  <c r="O20" i="115"/>
  <c r="P20" i="115"/>
  <c r="Q20" i="115"/>
  <c r="R20" i="115"/>
  <c r="C21" i="115"/>
  <c r="D21" i="115"/>
  <c r="E21" i="115"/>
  <c r="F21" i="115"/>
  <c r="G21" i="115"/>
  <c r="H21" i="115"/>
  <c r="I21" i="115"/>
  <c r="J21" i="115"/>
  <c r="K21" i="115"/>
  <c r="L21" i="115"/>
  <c r="M21" i="115"/>
  <c r="N21" i="115"/>
  <c r="O21" i="115"/>
  <c r="P21" i="115"/>
  <c r="Q21" i="115"/>
  <c r="R21" i="115"/>
  <c r="C22" i="115"/>
  <c r="D22" i="115"/>
  <c r="E22" i="115"/>
  <c r="F22" i="115"/>
  <c r="G22" i="115"/>
  <c r="H22" i="115"/>
  <c r="I22" i="115"/>
  <c r="J22" i="115"/>
  <c r="K22" i="115"/>
  <c r="L22" i="115"/>
  <c r="M22" i="115"/>
  <c r="N22" i="115"/>
  <c r="O22" i="115"/>
  <c r="P22" i="115"/>
  <c r="Q22" i="115"/>
  <c r="R22" i="115"/>
  <c r="C23" i="115"/>
  <c r="D23" i="115"/>
  <c r="E23" i="115"/>
  <c r="F23" i="115"/>
  <c r="G23" i="115"/>
  <c r="H23" i="115"/>
  <c r="I23" i="115"/>
  <c r="J23" i="115"/>
  <c r="K23" i="115"/>
  <c r="L23" i="115"/>
  <c r="M23" i="115"/>
  <c r="N23" i="115"/>
  <c r="O23" i="115"/>
  <c r="P23" i="115"/>
  <c r="Q23" i="115"/>
  <c r="R23" i="115"/>
  <c r="C24" i="115"/>
  <c r="D24" i="115"/>
  <c r="E24" i="115"/>
  <c r="F24" i="115"/>
  <c r="G24" i="115"/>
  <c r="H24" i="115"/>
  <c r="I24" i="115"/>
  <c r="J24" i="115"/>
  <c r="K24" i="115"/>
  <c r="L24" i="115"/>
  <c r="M24" i="115"/>
  <c r="N24" i="115"/>
  <c r="O24" i="115"/>
  <c r="P24" i="115"/>
  <c r="Q24" i="115"/>
  <c r="R24" i="115"/>
  <c r="C25" i="115"/>
  <c r="D25" i="115"/>
  <c r="E25" i="115"/>
  <c r="F25" i="115"/>
  <c r="G25" i="115"/>
  <c r="H25" i="115"/>
  <c r="I25" i="115"/>
  <c r="J25" i="115"/>
  <c r="K25" i="115"/>
  <c r="L25" i="115"/>
  <c r="M25" i="115"/>
  <c r="N25" i="115"/>
  <c r="O25" i="115"/>
  <c r="P25" i="115"/>
  <c r="Q25" i="115"/>
  <c r="R25" i="115"/>
  <c r="C26" i="115"/>
  <c r="D26" i="115"/>
  <c r="E26" i="115"/>
  <c r="F26" i="115"/>
  <c r="G26" i="115"/>
  <c r="H26" i="115"/>
  <c r="I26" i="115"/>
  <c r="J26" i="115"/>
  <c r="K26" i="115"/>
  <c r="L26" i="115"/>
  <c r="M26" i="115"/>
  <c r="N26" i="115"/>
  <c r="O26" i="115"/>
  <c r="P26" i="115"/>
  <c r="Q26" i="115"/>
  <c r="R26" i="115"/>
  <c r="C27" i="115"/>
  <c r="D27" i="115"/>
  <c r="E27" i="115"/>
  <c r="AD27" i="122" s="1"/>
  <c r="F27" i="115"/>
  <c r="G27" i="115"/>
  <c r="H27" i="115"/>
  <c r="I27" i="115"/>
  <c r="J27" i="115"/>
  <c r="K27" i="115"/>
  <c r="L27" i="115"/>
  <c r="M27" i="115"/>
  <c r="N27" i="115"/>
  <c r="O27" i="115"/>
  <c r="P27" i="115"/>
  <c r="Q27" i="115"/>
  <c r="R27" i="115"/>
  <c r="C28" i="115"/>
  <c r="D28" i="115"/>
  <c r="E28" i="115"/>
  <c r="F28" i="115"/>
  <c r="G28" i="115"/>
  <c r="H28" i="115"/>
  <c r="I28" i="115"/>
  <c r="J28" i="115"/>
  <c r="K28" i="115"/>
  <c r="L28" i="115"/>
  <c r="M28" i="115"/>
  <c r="N28" i="115"/>
  <c r="O28" i="115"/>
  <c r="P28" i="115"/>
  <c r="Q28" i="115"/>
  <c r="R28" i="115"/>
  <c r="C29" i="115"/>
  <c r="D29" i="115"/>
  <c r="E29" i="115"/>
  <c r="F29" i="115"/>
  <c r="G29" i="115"/>
  <c r="H29" i="115"/>
  <c r="I29" i="115"/>
  <c r="J29" i="115"/>
  <c r="K29" i="115"/>
  <c r="L29" i="115"/>
  <c r="M29" i="115"/>
  <c r="N29" i="115"/>
  <c r="O29" i="115"/>
  <c r="P29" i="115"/>
  <c r="Q29" i="115"/>
  <c r="R29" i="115"/>
  <c r="C30" i="115"/>
  <c r="D30" i="115"/>
  <c r="E30" i="115"/>
  <c r="F30" i="115"/>
  <c r="G30" i="115"/>
  <c r="H30" i="115"/>
  <c r="I30" i="115"/>
  <c r="J30" i="115"/>
  <c r="K30" i="115"/>
  <c r="L30" i="115"/>
  <c r="M30" i="115"/>
  <c r="N30" i="115"/>
  <c r="O30" i="115"/>
  <c r="P30" i="115"/>
  <c r="Q30" i="115"/>
  <c r="R30" i="115"/>
  <c r="C31" i="115"/>
  <c r="D31" i="115"/>
  <c r="E31" i="115"/>
  <c r="F31" i="115"/>
  <c r="G31" i="115"/>
  <c r="H31" i="115"/>
  <c r="I31" i="115"/>
  <c r="J31" i="115"/>
  <c r="K31" i="115"/>
  <c r="L31" i="115"/>
  <c r="M31" i="115"/>
  <c r="N31" i="115"/>
  <c r="O31" i="115"/>
  <c r="P31" i="115"/>
  <c r="Q31" i="115"/>
  <c r="R31" i="115"/>
  <c r="C40" i="115"/>
  <c r="T40" i="115" s="1"/>
  <c r="D40" i="115"/>
  <c r="U40" i="115" s="1"/>
  <c r="E40" i="115"/>
  <c r="V40" i="115" s="1"/>
  <c r="F40" i="115"/>
  <c r="W40" i="115" s="1"/>
  <c r="G40" i="115"/>
  <c r="X40" i="115" s="1"/>
  <c r="H40" i="115"/>
  <c r="I40" i="115"/>
  <c r="J40" i="115"/>
  <c r="K40" i="115"/>
  <c r="L40" i="115"/>
  <c r="M40" i="115"/>
  <c r="N40" i="115"/>
  <c r="O40" i="115"/>
  <c r="P40" i="115"/>
  <c r="Q40" i="115"/>
  <c r="R40" i="115"/>
  <c r="C41" i="115"/>
  <c r="T41" i="115" s="1"/>
  <c r="D41" i="115"/>
  <c r="U41" i="115" s="1"/>
  <c r="E41" i="115"/>
  <c r="V41" i="115" s="1"/>
  <c r="F41" i="115"/>
  <c r="W41" i="115" s="1"/>
  <c r="G41" i="115"/>
  <c r="X41" i="115" s="1"/>
  <c r="H41" i="115"/>
  <c r="I41" i="115"/>
  <c r="J41" i="115"/>
  <c r="K41" i="115"/>
  <c r="L41" i="115"/>
  <c r="M41" i="115"/>
  <c r="N41" i="115"/>
  <c r="O41" i="115"/>
  <c r="P41" i="115"/>
  <c r="Q41" i="115"/>
  <c r="R41" i="115"/>
  <c r="C42" i="115"/>
  <c r="T42" i="115" s="1"/>
  <c r="D42" i="115"/>
  <c r="U42" i="115" s="1"/>
  <c r="E42" i="115"/>
  <c r="V42" i="115" s="1"/>
  <c r="F42" i="115"/>
  <c r="W42" i="115" s="1"/>
  <c r="G42" i="115"/>
  <c r="X42" i="115" s="1"/>
  <c r="H42" i="115"/>
  <c r="I42" i="115"/>
  <c r="J42" i="115"/>
  <c r="K42" i="115"/>
  <c r="L42" i="115"/>
  <c r="M42" i="115"/>
  <c r="N42" i="115"/>
  <c r="O42" i="115"/>
  <c r="P42" i="115"/>
  <c r="Q42" i="115"/>
  <c r="R42" i="115"/>
  <c r="C43" i="115"/>
  <c r="T43" i="115" s="1"/>
  <c r="D43" i="115"/>
  <c r="U43" i="115" s="1"/>
  <c r="E43" i="115"/>
  <c r="V43" i="115" s="1"/>
  <c r="F43" i="115"/>
  <c r="W43" i="115" s="1"/>
  <c r="G43" i="115"/>
  <c r="X43" i="115" s="1"/>
  <c r="H43" i="115"/>
  <c r="I43" i="115"/>
  <c r="J43" i="115"/>
  <c r="K43" i="115"/>
  <c r="L43" i="115"/>
  <c r="M43" i="115"/>
  <c r="N43" i="115"/>
  <c r="O43" i="115"/>
  <c r="P43" i="115"/>
  <c r="Q43" i="115"/>
  <c r="R43" i="115"/>
  <c r="C44" i="115"/>
  <c r="T44" i="115" s="1"/>
  <c r="D44" i="115"/>
  <c r="U44" i="115" s="1"/>
  <c r="E44" i="115"/>
  <c r="V44" i="115" s="1"/>
  <c r="F44" i="115"/>
  <c r="W44" i="115" s="1"/>
  <c r="G44" i="115"/>
  <c r="X44" i="115" s="1"/>
  <c r="H44" i="115"/>
  <c r="I44" i="115"/>
  <c r="J44" i="115"/>
  <c r="K44" i="115"/>
  <c r="L44" i="115"/>
  <c r="M44" i="115"/>
  <c r="N44" i="115"/>
  <c r="O44" i="115"/>
  <c r="P44" i="115"/>
  <c r="Q44" i="115"/>
  <c r="R44" i="115"/>
  <c r="C45" i="115"/>
  <c r="T45" i="115" s="1"/>
  <c r="D45" i="115"/>
  <c r="U45" i="115" s="1"/>
  <c r="E45" i="115"/>
  <c r="V45" i="115" s="1"/>
  <c r="F45" i="115"/>
  <c r="W45" i="115" s="1"/>
  <c r="G45" i="115"/>
  <c r="X45" i="115" s="1"/>
  <c r="H45" i="115"/>
  <c r="I45" i="115"/>
  <c r="J45" i="115"/>
  <c r="K45" i="115"/>
  <c r="L45" i="115"/>
  <c r="M45" i="115"/>
  <c r="N45" i="115"/>
  <c r="O45" i="115"/>
  <c r="P45" i="115"/>
  <c r="Q45" i="115"/>
  <c r="R45" i="115"/>
  <c r="C46" i="115"/>
  <c r="T46" i="115" s="1"/>
  <c r="D46" i="115"/>
  <c r="E46" i="115"/>
  <c r="V46" i="115" s="1"/>
  <c r="F46" i="115"/>
  <c r="W46" i="115" s="1"/>
  <c r="G46" i="115"/>
  <c r="X46" i="115" s="1"/>
  <c r="H46" i="115"/>
  <c r="I46" i="115"/>
  <c r="J46" i="115"/>
  <c r="K46" i="115"/>
  <c r="L46" i="115"/>
  <c r="M46" i="115"/>
  <c r="N46" i="115"/>
  <c r="O46" i="115"/>
  <c r="P46" i="115"/>
  <c r="Q46" i="115"/>
  <c r="R46" i="115"/>
  <c r="C47" i="115"/>
  <c r="T47" i="115" s="1"/>
  <c r="D47" i="115"/>
  <c r="U47" i="115" s="1"/>
  <c r="E47" i="115"/>
  <c r="V47" i="115" s="1"/>
  <c r="F47" i="115"/>
  <c r="W47" i="115" s="1"/>
  <c r="G47" i="115"/>
  <c r="X47" i="115" s="1"/>
  <c r="H47" i="115"/>
  <c r="I47" i="115"/>
  <c r="J47" i="115"/>
  <c r="K47" i="115"/>
  <c r="L47" i="115"/>
  <c r="M47" i="115"/>
  <c r="N47" i="115"/>
  <c r="O47" i="115"/>
  <c r="P47" i="115"/>
  <c r="Q47" i="115"/>
  <c r="R47" i="115"/>
  <c r="C48" i="115"/>
  <c r="T48" i="115" s="1"/>
  <c r="D48" i="115"/>
  <c r="U48" i="115" s="1"/>
  <c r="E48" i="115"/>
  <c r="V48" i="115" s="1"/>
  <c r="F48" i="115"/>
  <c r="W48" i="115" s="1"/>
  <c r="G48" i="115"/>
  <c r="X48" i="115" s="1"/>
  <c r="H48" i="115"/>
  <c r="I48" i="115"/>
  <c r="J48" i="115"/>
  <c r="K48" i="115"/>
  <c r="L48" i="115"/>
  <c r="M48" i="115"/>
  <c r="N48" i="115"/>
  <c r="O48" i="115"/>
  <c r="P48" i="115"/>
  <c r="Q48" i="115"/>
  <c r="R48" i="115"/>
  <c r="C49" i="115"/>
  <c r="T49" i="115" s="1"/>
  <c r="D49" i="115"/>
  <c r="U49" i="115" s="1"/>
  <c r="E49" i="115"/>
  <c r="V49" i="115" s="1"/>
  <c r="F49" i="115"/>
  <c r="W49" i="115" s="1"/>
  <c r="G49" i="115"/>
  <c r="X49" i="115" s="1"/>
  <c r="H49" i="115"/>
  <c r="I49" i="115"/>
  <c r="J49" i="115"/>
  <c r="K49" i="115"/>
  <c r="L49" i="115"/>
  <c r="M49" i="115"/>
  <c r="N49" i="115"/>
  <c r="O49" i="115"/>
  <c r="P49" i="115"/>
  <c r="Q49" i="115"/>
  <c r="R49" i="115"/>
  <c r="C50" i="115"/>
  <c r="T50" i="115" s="1"/>
  <c r="D50" i="115"/>
  <c r="U50" i="115" s="1"/>
  <c r="E50" i="115"/>
  <c r="F50" i="115"/>
  <c r="W50" i="115" s="1"/>
  <c r="G50" i="115"/>
  <c r="X50" i="115" s="1"/>
  <c r="H50" i="115"/>
  <c r="I50" i="115"/>
  <c r="J50" i="115"/>
  <c r="K50" i="115"/>
  <c r="L50" i="115"/>
  <c r="M50" i="115"/>
  <c r="N50" i="115"/>
  <c r="O50" i="115"/>
  <c r="P50" i="115"/>
  <c r="Q50" i="115"/>
  <c r="R50" i="115"/>
  <c r="C51" i="115"/>
  <c r="T51" i="115" s="1"/>
  <c r="D51" i="115"/>
  <c r="U51" i="115" s="1"/>
  <c r="E51" i="115"/>
  <c r="V51" i="115" s="1"/>
  <c r="F51" i="115"/>
  <c r="W51" i="115" s="1"/>
  <c r="G51" i="115"/>
  <c r="X51" i="115" s="1"/>
  <c r="H51" i="115"/>
  <c r="I51" i="115"/>
  <c r="J51" i="115"/>
  <c r="K51" i="115"/>
  <c r="L51" i="115"/>
  <c r="M51" i="115"/>
  <c r="N51" i="115"/>
  <c r="O51" i="115"/>
  <c r="P51" i="115"/>
  <c r="Q51" i="115"/>
  <c r="R51" i="115"/>
  <c r="C52" i="115"/>
  <c r="T52" i="115" s="1"/>
  <c r="D52" i="115"/>
  <c r="U52" i="115" s="1"/>
  <c r="E52" i="115"/>
  <c r="V52" i="115" s="1"/>
  <c r="F52" i="115"/>
  <c r="W52" i="115" s="1"/>
  <c r="G52" i="115"/>
  <c r="X52" i="115" s="1"/>
  <c r="H52" i="115"/>
  <c r="I52" i="115"/>
  <c r="J52" i="115"/>
  <c r="K52" i="115"/>
  <c r="L52" i="115"/>
  <c r="M52" i="115"/>
  <c r="N52" i="115"/>
  <c r="O52" i="115"/>
  <c r="P52" i="115"/>
  <c r="Q52" i="115"/>
  <c r="R52" i="115"/>
  <c r="C53" i="115"/>
  <c r="T53" i="115" s="1"/>
  <c r="D53" i="115"/>
  <c r="U53" i="115" s="1"/>
  <c r="E53" i="115"/>
  <c r="V53" i="115" s="1"/>
  <c r="F53" i="115"/>
  <c r="W53" i="115" s="1"/>
  <c r="G53" i="115"/>
  <c r="X53" i="115" s="1"/>
  <c r="H53" i="115"/>
  <c r="I53" i="115"/>
  <c r="J53" i="115"/>
  <c r="K53" i="115"/>
  <c r="L53" i="115"/>
  <c r="M53" i="115"/>
  <c r="N53" i="115"/>
  <c r="O53" i="115"/>
  <c r="P53" i="115"/>
  <c r="Q53" i="115"/>
  <c r="R53" i="115"/>
  <c r="C54" i="115"/>
  <c r="T54" i="115" s="1"/>
  <c r="D54" i="115"/>
  <c r="U54" i="115" s="1"/>
  <c r="E54" i="115"/>
  <c r="V54" i="115" s="1"/>
  <c r="F54" i="115"/>
  <c r="W54" i="115" s="1"/>
  <c r="G54" i="115"/>
  <c r="X54" i="115" s="1"/>
  <c r="H54" i="115"/>
  <c r="I54" i="115"/>
  <c r="J54" i="115"/>
  <c r="K54" i="115"/>
  <c r="L54" i="115"/>
  <c r="M54" i="115"/>
  <c r="N54" i="115"/>
  <c r="O54" i="115"/>
  <c r="P54" i="115"/>
  <c r="Q54" i="115"/>
  <c r="R54" i="115"/>
  <c r="C55" i="115"/>
  <c r="T55" i="115" s="1"/>
  <c r="D55" i="115"/>
  <c r="E55" i="115"/>
  <c r="V55" i="115" s="1"/>
  <c r="F55" i="115"/>
  <c r="W55" i="115" s="1"/>
  <c r="G55" i="115"/>
  <c r="X55" i="115" s="1"/>
  <c r="H55" i="115"/>
  <c r="I55" i="115"/>
  <c r="J55" i="115"/>
  <c r="K55" i="115"/>
  <c r="L55" i="115"/>
  <c r="M55" i="115"/>
  <c r="N55" i="115"/>
  <c r="O55" i="115"/>
  <c r="P55" i="115"/>
  <c r="Q55" i="115"/>
  <c r="R55" i="115"/>
  <c r="C56" i="115"/>
  <c r="T56" i="115" s="1"/>
  <c r="D56" i="115"/>
  <c r="U56" i="115" s="1"/>
  <c r="E56" i="115"/>
  <c r="V56" i="115" s="1"/>
  <c r="F56" i="115"/>
  <c r="W56" i="115" s="1"/>
  <c r="G56" i="115"/>
  <c r="X56" i="115" s="1"/>
  <c r="H56" i="115"/>
  <c r="I56" i="115"/>
  <c r="J56" i="115"/>
  <c r="K56" i="115"/>
  <c r="L56" i="115"/>
  <c r="M56" i="115"/>
  <c r="N56" i="115"/>
  <c r="O56" i="115"/>
  <c r="P56" i="115"/>
  <c r="Q56" i="115"/>
  <c r="R56" i="115"/>
  <c r="C57" i="115"/>
  <c r="T57" i="115" s="1"/>
  <c r="D57" i="115"/>
  <c r="U57" i="115" s="1"/>
  <c r="E57" i="115"/>
  <c r="V57" i="115" s="1"/>
  <c r="F57" i="115"/>
  <c r="W57" i="115" s="1"/>
  <c r="G57" i="115"/>
  <c r="X57" i="115" s="1"/>
  <c r="H57" i="115"/>
  <c r="I57" i="115"/>
  <c r="J57" i="115"/>
  <c r="K57" i="115"/>
  <c r="L57" i="115"/>
  <c r="M57" i="115"/>
  <c r="N57" i="115"/>
  <c r="O57" i="115"/>
  <c r="P57" i="115"/>
  <c r="Q57" i="115"/>
  <c r="R57" i="115"/>
  <c r="C58" i="115"/>
  <c r="T58" i="115" s="1"/>
  <c r="D58" i="115"/>
  <c r="U58" i="115" s="1"/>
  <c r="E58" i="115"/>
  <c r="V58" i="115" s="1"/>
  <c r="F58" i="115"/>
  <c r="W58" i="115" s="1"/>
  <c r="G58" i="115"/>
  <c r="X58" i="115" s="1"/>
  <c r="H58" i="115"/>
  <c r="I58" i="115"/>
  <c r="J58" i="115"/>
  <c r="K58" i="115"/>
  <c r="L58" i="115"/>
  <c r="M58" i="115"/>
  <c r="N58" i="115"/>
  <c r="O58" i="115"/>
  <c r="P58" i="115"/>
  <c r="Q58" i="115"/>
  <c r="R58" i="115"/>
  <c r="C59" i="115"/>
  <c r="T59" i="115" s="1"/>
  <c r="D59" i="115"/>
  <c r="U59" i="115" s="1"/>
  <c r="E59" i="115"/>
  <c r="V59" i="115" s="1"/>
  <c r="F59" i="115"/>
  <c r="W59" i="115" s="1"/>
  <c r="G59" i="115"/>
  <c r="X59" i="115" s="1"/>
  <c r="H59" i="115"/>
  <c r="I59" i="115"/>
  <c r="J59" i="115"/>
  <c r="K59" i="115"/>
  <c r="L59" i="115"/>
  <c r="M59" i="115"/>
  <c r="N59" i="115"/>
  <c r="O59" i="115"/>
  <c r="P59" i="115"/>
  <c r="Q59" i="115"/>
  <c r="R59" i="115"/>
  <c r="C60" i="115"/>
  <c r="T60" i="115" s="1"/>
  <c r="D60" i="115"/>
  <c r="U60" i="115" s="1"/>
  <c r="E60" i="115"/>
  <c r="V60" i="115" s="1"/>
  <c r="F60" i="115"/>
  <c r="W60" i="115" s="1"/>
  <c r="G60" i="115"/>
  <c r="X60" i="115" s="1"/>
  <c r="H60" i="115"/>
  <c r="I60" i="115"/>
  <c r="J60" i="115"/>
  <c r="K60" i="115"/>
  <c r="L60" i="115"/>
  <c r="M60" i="115"/>
  <c r="N60" i="115"/>
  <c r="O60" i="115"/>
  <c r="P60" i="115"/>
  <c r="Q60" i="115"/>
  <c r="R60" i="115"/>
  <c r="C61" i="115"/>
  <c r="T61" i="115" s="1"/>
  <c r="D61" i="115"/>
  <c r="U61" i="115" s="1"/>
  <c r="E61" i="115"/>
  <c r="V61" i="115" s="1"/>
  <c r="F61" i="115"/>
  <c r="W61" i="115" s="1"/>
  <c r="G61" i="115"/>
  <c r="X61" i="115" s="1"/>
  <c r="H61" i="115"/>
  <c r="I61" i="115"/>
  <c r="J61" i="115"/>
  <c r="K61" i="115"/>
  <c r="L61" i="115"/>
  <c r="M61" i="115"/>
  <c r="N61" i="115"/>
  <c r="O61" i="115"/>
  <c r="P61" i="115"/>
  <c r="Q61" i="115"/>
  <c r="R61" i="115"/>
  <c r="C62" i="115"/>
  <c r="T62" i="115" s="1"/>
  <c r="D62" i="115"/>
  <c r="E62" i="115"/>
  <c r="V62" i="115" s="1"/>
  <c r="F62" i="115"/>
  <c r="W62" i="115" s="1"/>
  <c r="G62" i="115"/>
  <c r="X62" i="115" s="1"/>
  <c r="H62" i="115"/>
  <c r="I62" i="115"/>
  <c r="J62" i="115"/>
  <c r="K62" i="115"/>
  <c r="L62" i="115"/>
  <c r="M62" i="115"/>
  <c r="N62" i="115"/>
  <c r="O62" i="115"/>
  <c r="P62" i="115"/>
  <c r="Q62" i="115"/>
  <c r="R62" i="115"/>
  <c r="C63" i="115"/>
  <c r="T63" i="115" s="1"/>
  <c r="D63" i="115"/>
  <c r="U63" i="115" s="1"/>
  <c r="E63" i="115"/>
  <c r="V63" i="115" s="1"/>
  <c r="F63" i="115"/>
  <c r="W63" i="115" s="1"/>
  <c r="G63" i="115"/>
  <c r="X63" i="115" s="1"/>
  <c r="H63" i="115"/>
  <c r="I63" i="115"/>
  <c r="J63" i="115"/>
  <c r="K63" i="115"/>
  <c r="L63" i="115"/>
  <c r="M63" i="115"/>
  <c r="N63" i="115"/>
  <c r="O63" i="115"/>
  <c r="P63" i="115"/>
  <c r="Q63" i="115"/>
  <c r="R63" i="115"/>
  <c r="C64" i="115"/>
  <c r="T64" i="115" s="1"/>
  <c r="D64" i="115"/>
  <c r="U64" i="115" s="1"/>
  <c r="E64" i="115"/>
  <c r="V64" i="115" s="1"/>
  <c r="F64" i="115"/>
  <c r="W64" i="115" s="1"/>
  <c r="G64" i="115"/>
  <c r="X64" i="115" s="1"/>
  <c r="H64" i="115"/>
  <c r="I64" i="115"/>
  <c r="J64" i="115"/>
  <c r="K64" i="115"/>
  <c r="L64" i="115"/>
  <c r="M64" i="115"/>
  <c r="N64" i="115"/>
  <c r="O64" i="115"/>
  <c r="P64" i="115"/>
  <c r="C65" i="115"/>
  <c r="T65" i="115" s="1"/>
  <c r="D65" i="115"/>
  <c r="U65" i="115" s="1"/>
  <c r="E65" i="115"/>
  <c r="V65" i="115" s="1"/>
  <c r="F65" i="115"/>
  <c r="W65" i="115" s="1"/>
  <c r="G65" i="115"/>
  <c r="X65" i="115" s="1"/>
  <c r="H65" i="115"/>
  <c r="I65" i="115"/>
  <c r="J65" i="115"/>
  <c r="K65" i="115"/>
  <c r="L65" i="115"/>
  <c r="M65" i="115"/>
  <c r="N65" i="115"/>
  <c r="O65" i="115"/>
  <c r="P65" i="115"/>
  <c r="Q65" i="115"/>
  <c r="R65" i="115"/>
  <c r="C66" i="115"/>
  <c r="T66" i="115" s="1"/>
  <c r="D66" i="115"/>
  <c r="U66" i="115" s="1"/>
  <c r="E66" i="115"/>
  <c r="V66" i="115" s="1"/>
  <c r="F66" i="115"/>
  <c r="W66" i="115" s="1"/>
  <c r="G66" i="115"/>
  <c r="X66" i="115" s="1"/>
  <c r="H66" i="115"/>
  <c r="I66" i="115"/>
  <c r="J66" i="115"/>
  <c r="K66" i="115"/>
  <c r="L66" i="115"/>
  <c r="M66" i="115"/>
  <c r="N66" i="115"/>
  <c r="O66" i="115"/>
  <c r="P66" i="115"/>
  <c r="Q66" i="115"/>
  <c r="R66" i="115"/>
  <c r="S75" i="115"/>
  <c r="S76" i="115"/>
  <c r="S77" i="115"/>
  <c r="S78" i="115"/>
  <c r="S79" i="115"/>
  <c r="S80" i="115"/>
  <c r="S81" i="115"/>
  <c r="S82" i="115"/>
  <c r="S83" i="115"/>
  <c r="S84" i="115"/>
  <c r="S85" i="115"/>
  <c r="S86" i="115"/>
  <c r="S87" i="115"/>
  <c r="S88" i="115"/>
  <c r="S89" i="115"/>
  <c r="S90" i="115"/>
  <c r="S91" i="115"/>
  <c r="S92" i="115"/>
  <c r="S93" i="115"/>
  <c r="S94" i="115"/>
  <c r="S95" i="115"/>
  <c r="S96" i="115"/>
  <c r="S97" i="115"/>
  <c r="S98" i="115"/>
  <c r="S99" i="115"/>
  <c r="S100" i="115"/>
  <c r="S101" i="115"/>
  <c r="C102" i="115"/>
  <c r="D102" i="115"/>
  <c r="E102" i="115"/>
  <c r="F102" i="115"/>
  <c r="G102" i="115"/>
  <c r="H102" i="115"/>
  <c r="G14" i="118" s="1"/>
  <c r="I102" i="115"/>
  <c r="H14" i="118" s="1"/>
  <c r="J102" i="115"/>
  <c r="I14" i="118" s="1"/>
  <c r="K102" i="115"/>
  <c r="J14" i="118" s="1"/>
  <c r="L102" i="115"/>
  <c r="K14" i="118" s="1"/>
  <c r="M102" i="115"/>
  <c r="L14" i="118" s="1"/>
  <c r="N102" i="115"/>
  <c r="M14" i="118" s="1"/>
  <c r="O102" i="115"/>
  <c r="N14" i="118" s="1"/>
  <c r="P102" i="115"/>
  <c r="O14" i="118" s="1"/>
  <c r="Q102" i="115"/>
  <c r="P14" i="118" s="1"/>
  <c r="R102" i="115"/>
  <c r="Q14" i="118" s="1"/>
  <c r="C5" i="114"/>
  <c r="D5" i="114"/>
  <c r="E5" i="114"/>
  <c r="AB6" i="122" s="1"/>
  <c r="F5" i="114"/>
  <c r="G5" i="114"/>
  <c r="H5" i="114"/>
  <c r="I5" i="114"/>
  <c r="J5" i="114"/>
  <c r="K5" i="114"/>
  <c r="L5" i="114"/>
  <c r="M5" i="114"/>
  <c r="N5" i="114"/>
  <c r="O5" i="114"/>
  <c r="P5" i="114"/>
  <c r="Q5" i="114"/>
  <c r="R5" i="114"/>
  <c r="C6" i="114"/>
  <c r="D6" i="114"/>
  <c r="E6" i="114"/>
  <c r="F6" i="114"/>
  <c r="G6" i="114"/>
  <c r="H6" i="114"/>
  <c r="I6" i="114"/>
  <c r="J6" i="114"/>
  <c r="K6" i="114"/>
  <c r="L6" i="114"/>
  <c r="M6" i="114"/>
  <c r="N6" i="114"/>
  <c r="O6" i="114"/>
  <c r="P6" i="114"/>
  <c r="Q6" i="114"/>
  <c r="R6" i="114"/>
  <c r="C7" i="114"/>
  <c r="D7" i="114"/>
  <c r="E7" i="114"/>
  <c r="F7" i="114"/>
  <c r="G7" i="114"/>
  <c r="H7" i="114"/>
  <c r="I7" i="114"/>
  <c r="J7" i="114"/>
  <c r="K7" i="114"/>
  <c r="L7" i="114"/>
  <c r="M7" i="114"/>
  <c r="N7" i="114"/>
  <c r="O7" i="114"/>
  <c r="P7" i="114"/>
  <c r="Q7" i="114"/>
  <c r="R7" i="114"/>
  <c r="C8" i="114"/>
  <c r="D8" i="114"/>
  <c r="E8" i="114"/>
  <c r="F8" i="114"/>
  <c r="G8" i="114"/>
  <c r="H8" i="114"/>
  <c r="I8" i="114"/>
  <c r="J8" i="114"/>
  <c r="K8" i="114"/>
  <c r="L8" i="114"/>
  <c r="M8" i="114"/>
  <c r="N8" i="114"/>
  <c r="O8" i="114"/>
  <c r="P8" i="114"/>
  <c r="Q8" i="114"/>
  <c r="R8" i="114"/>
  <c r="C9" i="114"/>
  <c r="D9" i="114"/>
  <c r="E9" i="114"/>
  <c r="F9" i="114"/>
  <c r="G9" i="114"/>
  <c r="H9" i="114"/>
  <c r="I9" i="114"/>
  <c r="J9" i="114"/>
  <c r="K9" i="114"/>
  <c r="L9" i="114"/>
  <c r="M9" i="114"/>
  <c r="N9" i="114"/>
  <c r="O9" i="114"/>
  <c r="P9" i="114"/>
  <c r="Q9" i="114"/>
  <c r="R9" i="114"/>
  <c r="C10" i="114"/>
  <c r="D10" i="114"/>
  <c r="E10" i="114"/>
  <c r="F10" i="114"/>
  <c r="G10" i="114"/>
  <c r="H10" i="114"/>
  <c r="I10" i="114"/>
  <c r="J10" i="114"/>
  <c r="K10" i="114"/>
  <c r="L10" i="114"/>
  <c r="M10" i="114"/>
  <c r="N10" i="114"/>
  <c r="O10" i="114"/>
  <c r="P10" i="114"/>
  <c r="Q10" i="114"/>
  <c r="R10" i="114"/>
  <c r="C11" i="114"/>
  <c r="D11" i="114"/>
  <c r="E11" i="114"/>
  <c r="F11" i="114"/>
  <c r="G11" i="114"/>
  <c r="H11" i="114"/>
  <c r="I11" i="114"/>
  <c r="J11" i="114"/>
  <c r="K11" i="114"/>
  <c r="L11" i="114"/>
  <c r="M11" i="114"/>
  <c r="N11" i="114"/>
  <c r="O11" i="114"/>
  <c r="P11" i="114"/>
  <c r="Q11" i="114"/>
  <c r="R11" i="114"/>
  <c r="C12" i="114"/>
  <c r="D12" i="114"/>
  <c r="E12" i="114"/>
  <c r="F12" i="114"/>
  <c r="G12" i="114"/>
  <c r="H12" i="114"/>
  <c r="I12" i="114"/>
  <c r="J12" i="114"/>
  <c r="K12" i="114"/>
  <c r="L12" i="114"/>
  <c r="M12" i="114"/>
  <c r="N12" i="114"/>
  <c r="O12" i="114"/>
  <c r="P12" i="114"/>
  <c r="Q12" i="114"/>
  <c r="R12" i="114"/>
  <c r="C13" i="114"/>
  <c r="D13" i="114"/>
  <c r="E13" i="114"/>
  <c r="F13" i="114"/>
  <c r="G13" i="114"/>
  <c r="H13" i="114"/>
  <c r="I13" i="114"/>
  <c r="J13" i="114"/>
  <c r="K13" i="114"/>
  <c r="L13" i="114"/>
  <c r="M13" i="114"/>
  <c r="N13" i="114"/>
  <c r="O13" i="114"/>
  <c r="P13" i="114"/>
  <c r="Q13" i="114"/>
  <c r="R13" i="114"/>
  <c r="C14" i="114"/>
  <c r="D14" i="114"/>
  <c r="E14" i="114"/>
  <c r="F14" i="114"/>
  <c r="G14" i="114"/>
  <c r="H14" i="114"/>
  <c r="I14" i="114"/>
  <c r="J14" i="114"/>
  <c r="K14" i="114"/>
  <c r="L14" i="114"/>
  <c r="M14" i="114"/>
  <c r="N14" i="114"/>
  <c r="O14" i="114"/>
  <c r="P14" i="114"/>
  <c r="Q14" i="114"/>
  <c r="R14" i="114"/>
  <c r="C15" i="114"/>
  <c r="D15" i="114"/>
  <c r="E15" i="114"/>
  <c r="F15" i="114"/>
  <c r="G15" i="114"/>
  <c r="H15" i="114"/>
  <c r="I15" i="114"/>
  <c r="J15" i="114"/>
  <c r="K15" i="114"/>
  <c r="L15" i="114"/>
  <c r="M15" i="114"/>
  <c r="N15" i="114"/>
  <c r="O15" i="114"/>
  <c r="P15" i="114"/>
  <c r="Q15" i="114"/>
  <c r="R15" i="114"/>
  <c r="C16" i="114"/>
  <c r="D16" i="114"/>
  <c r="E16" i="114"/>
  <c r="F16" i="114"/>
  <c r="G16" i="114"/>
  <c r="H16" i="114"/>
  <c r="I16" i="114"/>
  <c r="J16" i="114"/>
  <c r="K16" i="114"/>
  <c r="L16" i="114"/>
  <c r="M16" i="114"/>
  <c r="N16" i="114"/>
  <c r="O16" i="114"/>
  <c r="P16" i="114"/>
  <c r="Q16" i="114"/>
  <c r="R16" i="114"/>
  <c r="C17" i="114"/>
  <c r="D17" i="114"/>
  <c r="E17" i="114"/>
  <c r="F17" i="114"/>
  <c r="G17" i="114"/>
  <c r="H17" i="114"/>
  <c r="I17" i="114"/>
  <c r="J17" i="114"/>
  <c r="K17" i="114"/>
  <c r="L17" i="114"/>
  <c r="M17" i="114"/>
  <c r="N17" i="114"/>
  <c r="O17" i="114"/>
  <c r="P17" i="114"/>
  <c r="Q17" i="114"/>
  <c r="R17" i="114"/>
  <c r="C18" i="114"/>
  <c r="D18" i="114"/>
  <c r="E18" i="114"/>
  <c r="F18" i="114"/>
  <c r="G18" i="114"/>
  <c r="H18" i="114"/>
  <c r="I18" i="114"/>
  <c r="J18" i="114"/>
  <c r="K18" i="114"/>
  <c r="L18" i="114"/>
  <c r="M18" i="114"/>
  <c r="N18" i="114"/>
  <c r="O18" i="114"/>
  <c r="P18" i="114"/>
  <c r="Q18" i="114"/>
  <c r="R18" i="114"/>
  <c r="C19" i="114"/>
  <c r="D19" i="114"/>
  <c r="E19" i="114"/>
  <c r="F19" i="114"/>
  <c r="G19" i="114"/>
  <c r="H19" i="114"/>
  <c r="I19" i="114"/>
  <c r="J19" i="114"/>
  <c r="K19" i="114"/>
  <c r="L19" i="114"/>
  <c r="M19" i="114"/>
  <c r="N19" i="114"/>
  <c r="O19" i="114"/>
  <c r="P19" i="114"/>
  <c r="Q19" i="114"/>
  <c r="R19" i="114"/>
  <c r="C20" i="114"/>
  <c r="D20" i="114"/>
  <c r="E20" i="114"/>
  <c r="F20" i="114"/>
  <c r="G20" i="114"/>
  <c r="H20" i="114"/>
  <c r="I20" i="114"/>
  <c r="J20" i="114"/>
  <c r="K20" i="114"/>
  <c r="L20" i="114"/>
  <c r="M20" i="114"/>
  <c r="N20" i="114"/>
  <c r="O20" i="114"/>
  <c r="P20" i="114"/>
  <c r="Q20" i="114"/>
  <c r="R20" i="114"/>
  <c r="C21" i="114"/>
  <c r="D21" i="114"/>
  <c r="E21" i="114"/>
  <c r="AB21" i="122" s="1"/>
  <c r="F21" i="114"/>
  <c r="G21" i="114"/>
  <c r="H21" i="114"/>
  <c r="I21" i="114"/>
  <c r="J21" i="114"/>
  <c r="K21" i="114"/>
  <c r="L21" i="114"/>
  <c r="M21" i="114"/>
  <c r="N21" i="114"/>
  <c r="O21" i="114"/>
  <c r="P21" i="114"/>
  <c r="Q21" i="114"/>
  <c r="R21" i="114"/>
  <c r="C22" i="114"/>
  <c r="D22" i="114"/>
  <c r="E22" i="114"/>
  <c r="F22" i="114"/>
  <c r="G22" i="114"/>
  <c r="H22" i="114"/>
  <c r="I22" i="114"/>
  <c r="J22" i="114"/>
  <c r="K22" i="114"/>
  <c r="L22" i="114"/>
  <c r="M22" i="114"/>
  <c r="N22" i="114"/>
  <c r="O22" i="114"/>
  <c r="P22" i="114"/>
  <c r="Q22" i="114"/>
  <c r="R22" i="114"/>
  <c r="C23" i="114"/>
  <c r="D23" i="114"/>
  <c r="E23" i="114"/>
  <c r="F23" i="114"/>
  <c r="G23" i="114"/>
  <c r="H23" i="114"/>
  <c r="I23" i="114"/>
  <c r="J23" i="114"/>
  <c r="K23" i="114"/>
  <c r="L23" i="114"/>
  <c r="M23" i="114"/>
  <c r="N23" i="114"/>
  <c r="O23" i="114"/>
  <c r="P23" i="114"/>
  <c r="Q23" i="114"/>
  <c r="R23" i="114"/>
  <c r="C24" i="114"/>
  <c r="D24" i="114"/>
  <c r="E24" i="114"/>
  <c r="F24" i="114"/>
  <c r="G24" i="114"/>
  <c r="H24" i="114"/>
  <c r="I24" i="114"/>
  <c r="J24" i="114"/>
  <c r="K24" i="114"/>
  <c r="L24" i="114"/>
  <c r="M24" i="114"/>
  <c r="N24" i="114"/>
  <c r="O24" i="114"/>
  <c r="P24" i="114"/>
  <c r="Q24" i="114"/>
  <c r="R24" i="114"/>
  <c r="C25" i="114"/>
  <c r="D25" i="114"/>
  <c r="E25" i="114"/>
  <c r="F25" i="114"/>
  <c r="G25" i="114"/>
  <c r="H25" i="114"/>
  <c r="I25" i="114"/>
  <c r="J25" i="114"/>
  <c r="K25" i="114"/>
  <c r="L25" i="114"/>
  <c r="M25" i="114"/>
  <c r="N25" i="114"/>
  <c r="O25" i="114"/>
  <c r="P25" i="114"/>
  <c r="Q25" i="114"/>
  <c r="R25" i="114"/>
  <c r="C26" i="114"/>
  <c r="D26" i="114"/>
  <c r="E26" i="114"/>
  <c r="F26" i="114"/>
  <c r="G26" i="114"/>
  <c r="H26" i="114"/>
  <c r="I26" i="114"/>
  <c r="J26" i="114"/>
  <c r="K26" i="114"/>
  <c r="L26" i="114"/>
  <c r="M26" i="114"/>
  <c r="N26" i="114"/>
  <c r="O26" i="114"/>
  <c r="P26" i="114"/>
  <c r="Q26" i="114"/>
  <c r="R26" i="114"/>
  <c r="C27" i="114"/>
  <c r="D27" i="114"/>
  <c r="E27" i="114"/>
  <c r="F27" i="114"/>
  <c r="G27" i="114"/>
  <c r="H27" i="114"/>
  <c r="I27" i="114"/>
  <c r="J27" i="114"/>
  <c r="K27" i="114"/>
  <c r="L27" i="114"/>
  <c r="M27" i="114"/>
  <c r="N27" i="114"/>
  <c r="O27" i="114"/>
  <c r="P27" i="114"/>
  <c r="Q27" i="114"/>
  <c r="R27" i="114"/>
  <c r="C28" i="114"/>
  <c r="D28" i="114"/>
  <c r="E28" i="114"/>
  <c r="F28" i="114"/>
  <c r="G28" i="114"/>
  <c r="H28" i="114"/>
  <c r="I28" i="114"/>
  <c r="J28" i="114"/>
  <c r="K28" i="114"/>
  <c r="L28" i="114"/>
  <c r="M28" i="114"/>
  <c r="N28" i="114"/>
  <c r="O28" i="114"/>
  <c r="P28" i="114"/>
  <c r="Q28" i="114"/>
  <c r="R28" i="114"/>
  <c r="C29" i="114"/>
  <c r="D29" i="114"/>
  <c r="E29" i="114"/>
  <c r="F29" i="114"/>
  <c r="G29" i="114"/>
  <c r="H29" i="114"/>
  <c r="I29" i="114"/>
  <c r="J29" i="114"/>
  <c r="K29" i="114"/>
  <c r="L29" i="114"/>
  <c r="M29" i="114"/>
  <c r="N29" i="114"/>
  <c r="O29" i="114"/>
  <c r="P29" i="114"/>
  <c r="Q29" i="114"/>
  <c r="R29" i="114"/>
  <c r="C30" i="114"/>
  <c r="D30" i="114"/>
  <c r="E30" i="114"/>
  <c r="F30" i="114"/>
  <c r="G30" i="114"/>
  <c r="H30" i="114"/>
  <c r="I30" i="114"/>
  <c r="J30" i="114"/>
  <c r="K30" i="114"/>
  <c r="L30" i="114"/>
  <c r="M30" i="114"/>
  <c r="N30" i="114"/>
  <c r="O30" i="114"/>
  <c r="P30" i="114"/>
  <c r="Q30" i="114"/>
  <c r="R30" i="114"/>
  <c r="C31" i="114"/>
  <c r="D31" i="114"/>
  <c r="E31" i="114"/>
  <c r="F31" i="114"/>
  <c r="G31" i="114"/>
  <c r="H31" i="114"/>
  <c r="I31" i="114"/>
  <c r="J31" i="114"/>
  <c r="K31" i="114"/>
  <c r="L31" i="114"/>
  <c r="M31" i="114"/>
  <c r="N31" i="114"/>
  <c r="O31" i="114"/>
  <c r="P31" i="114"/>
  <c r="Q31" i="114"/>
  <c r="R31" i="114"/>
  <c r="C40" i="114"/>
  <c r="T40" i="114" s="1"/>
  <c r="D40" i="114"/>
  <c r="U40" i="114" s="1"/>
  <c r="E40" i="114"/>
  <c r="V40" i="114" s="1"/>
  <c r="F40" i="114"/>
  <c r="W40" i="114" s="1"/>
  <c r="G40" i="114"/>
  <c r="X40" i="114" s="1"/>
  <c r="H40" i="114"/>
  <c r="I40" i="114"/>
  <c r="J40" i="114"/>
  <c r="K40" i="114"/>
  <c r="L40" i="114"/>
  <c r="M40" i="114"/>
  <c r="N40" i="114"/>
  <c r="O40" i="114"/>
  <c r="P40" i="114"/>
  <c r="Q40" i="114"/>
  <c r="R40" i="114"/>
  <c r="C41" i="114"/>
  <c r="T41" i="114" s="1"/>
  <c r="D41" i="114"/>
  <c r="U41" i="114" s="1"/>
  <c r="E41" i="114"/>
  <c r="V41" i="114" s="1"/>
  <c r="F41" i="114"/>
  <c r="W41" i="114" s="1"/>
  <c r="G41" i="114"/>
  <c r="X41" i="114" s="1"/>
  <c r="H41" i="114"/>
  <c r="I41" i="114"/>
  <c r="J41" i="114"/>
  <c r="K41" i="114"/>
  <c r="L41" i="114"/>
  <c r="M41" i="114"/>
  <c r="N41" i="114"/>
  <c r="O41" i="114"/>
  <c r="P41" i="114"/>
  <c r="Q41" i="114"/>
  <c r="R41" i="114"/>
  <c r="C42" i="114"/>
  <c r="T42" i="114" s="1"/>
  <c r="D42" i="114"/>
  <c r="U42" i="114" s="1"/>
  <c r="E42" i="114"/>
  <c r="V42" i="114" s="1"/>
  <c r="F42" i="114"/>
  <c r="W42" i="114" s="1"/>
  <c r="G42" i="114"/>
  <c r="X42" i="114" s="1"/>
  <c r="H42" i="114"/>
  <c r="I42" i="114"/>
  <c r="J42" i="114"/>
  <c r="K42" i="114"/>
  <c r="L42" i="114"/>
  <c r="M42" i="114"/>
  <c r="N42" i="114"/>
  <c r="O42" i="114"/>
  <c r="P42" i="114"/>
  <c r="Q42" i="114"/>
  <c r="R42" i="114"/>
  <c r="C43" i="114"/>
  <c r="T43" i="114" s="1"/>
  <c r="D43" i="114"/>
  <c r="U43" i="114" s="1"/>
  <c r="E43" i="114"/>
  <c r="V43" i="114" s="1"/>
  <c r="F43" i="114"/>
  <c r="W43" i="114" s="1"/>
  <c r="G43" i="114"/>
  <c r="X43" i="114" s="1"/>
  <c r="H43" i="114"/>
  <c r="I43" i="114"/>
  <c r="J43" i="114"/>
  <c r="K43" i="114"/>
  <c r="L43" i="114"/>
  <c r="M43" i="114"/>
  <c r="N43" i="114"/>
  <c r="O43" i="114"/>
  <c r="P43" i="114"/>
  <c r="Q43" i="114"/>
  <c r="R43" i="114"/>
  <c r="Q41" i="119" s="1"/>
  <c r="C44" i="114"/>
  <c r="T44" i="114" s="1"/>
  <c r="D44" i="114"/>
  <c r="U44" i="114" s="1"/>
  <c r="E44" i="114"/>
  <c r="F44" i="114"/>
  <c r="W44" i="114" s="1"/>
  <c r="G44" i="114"/>
  <c r="X44" i="114" s="1"/>
  <c r="H44" i="114"/>
  <c r="I44" i="114"/>
  <c r="J44" i="114"/>
  <c r="K44" i="114"/>
  <c r="L44" i="114"/>
  <c r="M44" i="114"/>
  <c r="N44" i="114"/>
  <c r="O44" i="114"/>
  <c r="P44" i="114"/>
  <c r="Q44" i="114"/>
  <c r="R44" i="114"/>
  <c r="C45" i="114"/>
  <c r="T45" i="114" s="1"/>
  <c r="D45" i="114"/>
  <c r="U45" i="114" s="1"/>
  <c r="E45" i="114"/>
  <c r="V45" i="114" s="1"/>
  <c r="F45" i="114"/>
  <c r="W45" i="114" s="1"/>
  <c r="G45" i="114"/>
  <c r="X45" i="114" s="1"/>
  <c r="H45" i="114"/>
  <c r="I45" i="114"/>
  <c r="J45" i="114"/>
  <c r="K45" i="114"/>
  <c r="L45" i="114"/>
  <c r="M45" i="114"/>
  <c r="N45" i="114"/>
  <c r="O45" i="114"/>
  <c r="P45" i="114"/>
  <c r="Q45" i="114"/>
  <c r="R45" i="114"/>
  <c r="C46" i="114"/>
  <c r="T46" i="114" s="1"/>
  <c r="D46" i="114"/>
  <c r="U46" i="114" s="1"/>
  <c r="E46" i="114"/>
  <c r="V46" i="114" s="1"/>
  <c r="F46" i="114"/>
  <c r="W46" i="114" s="1"/>
  <c r="G46" i="114"/>
  <c r="X46" i="114" s="1"/>
  <c r="H46" i="114"/>
  <c r="I46" i="114"/>
  <c r="J46" i="114"/>
  <c r="K46" i="114"/>
  <c r="L46" i="114"/>
  <c r="M46" i="114"/>
  <c r="N46" i="114"/>
  <c r="O46" i="114"/>
  <c r="P46" i="114"/>
  <c r="Q46" i="114"/>
  <c r="R46" i="114"/>
  <c r="C47" i="114"/>
  <c r="T47" i="114" s="1"/>
  <c r="D47" i="114"/>
  <c r="U47" i="114" s="1"/>
  <c r="E47" i="114"/>
  <c r="V47" i="114" s="1"/>
  <c r="F47" i="114"/>
  <c r="W47" i="114" s="1"/>
  <c r="G47" i="114"/>
  <c r="X47" i="114" s="1"/>
  <c r="H47" i="114"/>
  <c r="I47" i="114"/>
  <c r="J47" i="114"/>
  <c r="K47" i="114"/>
  <c r="L47" i="114"/>
  <c r="M47" i="114"/>
  <c r="N47" i="114"/>
  <c r="O47" i="114"/>
  <c r="P47" i="114"/>
  <c r="Q47" i="114"/>
  <c r="R47" i="114"/>
  <c r="C48" i="114"/>
  <c r="T48" i="114" s="1"/>
  <c r="D48" i="114"/>
  <c r="U48" i="114" s="1"/>
  <c r="E48" i="114"/>
  <c r="V48" i="114" s="1"/>
  <c r="F48" i="114"/>
  <c r="W48" i="114" s="1"/>
  <c r="G48" i="114"/>
  <c r="X48" i="114" s="1"/>
  <c r="H48" i="114"/>
  <c r="I48" i="114"/>
  <c r="J48" i="114"/>
  <c r="K48" i="114"/>
  <c r="L48" i="114"/>
  <c r="M48" i="114"/>
  <c r="N48" i="114"/>
  <c r="O48" i="114"/>
  <c r="P48" i="114"/>
  <c r="Q48" i="114"/>
  <c r="R48" i="114"/>
  <c r="C49" i="114"/>
  <c r="T49" i="114" s="1"/>
  <c r="D49" i="114"/>
  <c r="E49" i="114"/>
  <c r="V49" i="114" s="1"/>
  <c r="F49" i="114"/>
  <c r="W49" i="114" s="1"/>
  <c r="G49" i="114"/>
  <c r="X49" i="114" s="1"/>
  <c r="H49" i="114"/>
  <c r="I49" i="114"/>
  <c r="J49" i="114"/>
  <c r="K49" i="114"/>
  <c r="L49" i="114"/>
  <c r="M49" i="114"/>
  <c r="N49" i="114"/>
  <c r="O49" i="114"/>
  <c r="P49" i="114"/>
  <c r="Q49" i="114"/>
  <c r="R49" i="114"/>
  <c r="C50" i="114"/>
  <c r="T50" i="114" s="1"/>
  <c r="D50" i="114"/>
  <c r="U50" i="114" s="1"/>
  <c r="E50" i="114"/>
  <c r="V50" i="114" s="1"/>
  <c r="F50" i="114"/>
  <c r="W50" i="114" s="1"/>
  <c r="G50" i="114"/>
  <c r="X50" i="114" s="1"/>
  <c r="H50" i="114"/>
  <c r="I50" i="114"/>
  <c r="J50" i="114"/>
  <c r="K50" i="114"/>
  <c r="L50" i="114"/>
  <c r="M50" i="114"/>
  <c r="N50" i="114"/>
  <c r="O50" i="114"/>
  <c r="P50" i="114"/>
  <c r="Q50" i="114"/>
  <c r="R50" i="114"/>
  <c r="C51" i="114"/>
  <c r="T51" i="114" s="1"/>
  <c r="D51" i="114"/>
  <c r="U51" i="114" s="1"/>
  <c r="E51" i="114"/>
  <c r="V51" i="114" s="1"/>
  <c r="F51" i="114"/>
  <c r="W51" i="114" s="1"/>
  <c r="G51" i="114"/>
  <c r="X51" i="114" s="1"/>
  <c r="H51" i="114"/>
  <c r="I51" i="114"/>
  <c r="J51" i="114"/>
  <c r="K51" i="114"/>
  <c r="L51" i="114"/>
  <c r="M51" i="114"/>
  <c r="N51" i="114"/>
  <c r="O51" i="114"/>
  <c r="P51" i="114"/>
  <c r="Q51" i="114"/>
  <c r="R51" i="114"/>
  <c r="C52" i="114"/>
  <c r="T52" i="114" s="1"/>
  <c r="D52" i="114"/>
  <c r="E52" i="114"/>
  <c r="V52" i="114" s="1"/>
  <c r="F52" i="114"/>
  <c r="W52" i="114" s="1"/>
  <c r="G52" i="114"/>
  <c r="X52" i="114" s="1"/>
  <c r="H52" i="114"/>
  <c r="I52" i="114"/>
  <c r="J52" i="114"/>
  <c r="K52" i="114"/>
  <c r="L52" i="114"/>
  <c r="M52" i="114"/>
  <c r="N52" i="114"/>
  <c r="O52" i="114"/>
  <c r="P52" i="114"/>
  <c r="Q52" i="114"/>
  <c r="R52" i="114"/>
  <c r="C53" i="114"/>
  <c r="T53" i="114" s="1"/>
  <c r="D53" i="114"/>
  <c r="U53" i="114" s="1"/>
  <c r="E53" i="114"/>
  <c r="V53" i="114" s="1"/>
  <c r="F53" i="114"/>
  <c r="W53" i="114" s="1"/>
  <c r="G53" i="114"/>
  <c r="X53" i="114" s="1"/>
  <c r="H53" i="114"/>
  <c r="I53" i="114"/>
  <c r="J53" i="114"/>
  <c r="K53" i="114"/>
  <c r="L53" i="114"/>
  <c r="M53" i="114"/>
  <c r="N53" i="114"/>
  <c r="O53" i="114"/>
  <c r="P53" i="114"/>
  <c r="Q53" i="114"/>
  <c r="R53" i="114"/>
  <c r="C54" i="114"/>
  <c r="T54" i="114" s="1"/>
  <c r="D54" i="114"/>
  <c r="U54" i="114" s="1"/>
  <c r="E54" i="114"/>
  <c r="V54" i="114" s="1"/>
  <c r="F54" i="114"/>
  <c r="W54" i="114" s="1"/>
  <c r="G54" i="114"/>
  <c r="X54" i="114" s="1"/>
  <c r="H54" i="114"/>
  <c r="I54" i="114"/>
  <c r="J54" i="114"/>
  <c r="K54" i="114"/>
  <c r="L54" i="114"/>
  <c r="M54" i="114"/>
  <c r="N54" i="114"/>
  <c r="O54" i="114"/>
  <c r="P54" i="114"/>
  <c r="Q54" i="114"/>
  <c r="R54" i="114"/>
  <c r="C55" i="114"/>
  <c r="T55" i="114" s="1"/>
  <c r="D55" i="114"/>
  <c r="U55" i="114" s="1"/>
  <c r="E55" i="114"/>
  <c r="V55" i="114" s="1"/>
  <c r="F55" i="114"/>
  <c r="W55" i="114" s="1"/>
  <c r="G55" i="114"/>
  <c r="X55" i="114" s="1"/>
  <c r="H55" i="114"/>
  <c r="I55" i="114"/>
  <c r="J55" i="114"/>
  <c r="K55" i="114"/>
  <c r="L55" i="114"/>
  <c r="M55" i="114"/>
  <c r="N55" i="114"/>
  <c r="O55" i="114"/>
  <c r="P55" i="114"/>
  <c r="Q55" i="114"/>
  <c r="R55" i="114"/>
  <c r="C56" i="114"/>
  <c r="T56" i="114" s="1"/>
  <c r="D56" i="114"/>
  <c r="U56" i="114" s="1"/>
  <c r="E56" i="114"/>
  <c r="V56" i="114" s="1"/>
  <c r="F56" i="114"/>
  <c r="W56" i="114" s="1"/>
  <c r="G56" i="114"/>
  <c r="X56" i="114" s="1"/>
  <c r="H56" i="114"/>
  <c r="I56" i="114"/>
  <c r="J56" i="114"/>
  <c r="K56" i="114"/>
  <c r="L56" i="114"/>
  <c r="M56" i="114"/>
  <c r="N56" i="114"/>
  <c r="O56" i="114"/>
  <c r="P56" i="114"/>
  <c r="Q56" i="114"/>
  <c r="R56" i="114"/>
  <c r="C57" i="114"/>
  <c r="T57" i="114" s="1"/>
  <c r="D57" i="114"/>
  <c r="U57" i="114" s="1"/>
  <c r="E57" i="114"/>
  <c r="V57" i="114" s="1"/>
  <c r="F57" i="114"/>
  <c r="W57" i="114" s="1"/>
  <c r="G57" i="114"/>
  <c r="X57" i="114" s="1"/>
  <c r="H57" i="114"/>
  <c r="I57" i="114"/>
  <c r="J57" i="114"/>
  <c r="K57" i="114"/>
  <c r="L57" i="114"/>
  <c r="M57" i="114"/>
  <c r="N57" i="114"/>
  <c r="O57" i="114"/>
  <c r="P57" i="114"/>
  <c r="Q57" i="114"/>
  <c r="R57" i="114"/>
  <c r="C58" i="114"/>
  <c r="T58" i="114" s="1"/>
  <c r="D58" i="114"/>
  <c r="U58" i="114" s="1"/>
  <c r="E58" i="114"/>
  <c r="V58" i="114" s="1"/>
  <c r="F58" i="114"/>
  <c r="W58" i="114" s="1"/>
  <c r="G58" i="114"/>
  <c r="X58" i="114" s="1"/>
  <c r="H58" i="114"/>
  <c r="I58" i="114"/>
  <c r="J58" i="114"/>
  <c r="K58" i="114"/>
  <c r="L58" i="114"/>
  <c r="M58" i="114"/>
  <c r="N58" i="114"/>
  <c r="O58" i="114"/>
  <c r="P58" i="114"/>
  <c r="Q58" i="114"/>
  <c r="R58" i="114"/>
  <c r="C59" i="114"/>
  <c r="T59" i="114" s="1"/>
  <c r="D59" i="114"/>
  <c r="U59" i="114" s="1"/>
  <c r="E59" i="114"/>
  <c r="V59" i="114" s="1"/>
  <c r="F59" i="114"/>
  <c r="W59" i="114" s="1"/>
  <c r="G59" i="114"/>
  <c r="X59" i="114" s="1"/>
  <c r="H59" i="114"/>
  <c r="I59" i="114"/>
  <c r="J59" i="114"/>
  <c r="K59" i="114"/>
  <c r="L59" i="114"/>
  <c r="M59" i="114"/>
  <c r="N59" i="114"/>
  <c r="O59" i="114"/>
  <c r="P59" i="114"/>
  <c r="Q59" i="114"/>
  <c r="R59" i="114"/>
  <c r="C60" i="114"/>
  <c r="T60" i="114" s="1"/>
  <c r="D60" i="114"/>
  <c r="E60" i="114"/>
  <c r="V60" i="114" s="1"/>
  <c r="F60" i="114"/>
  <c r="W60" i="114" s="1"/>
  <c r="G60" i="114"/>
  <c r="X60" i="114" s="1"/>
  <c r="H60" i="114"/>
  <c r="I60" i="114"/>
  <c r="J60" i="114"/>
  <c r="K60" i="114"/>
  <c r="L60" i="114"/>
  <c r="M60" i="114"/>
  <c r="N60" i="114"/>
  <c r="O60" i="114"/>
  <c r="P60" i="114"/>
  <c r="Q60" i="114"/>
  <c r="R60" i="114"/>
  <c r="C61" i="114"/>
  <c r="T61" i="114" s="1"/>
  <c r="D61" i="114"/>
  <c r="U61" i="114" s="1"/>
  <c r="E61" i="114"/>
  <c r="V61" i="114" s="1"/>
  <c r="F61" i="114"/>
  <c r="W61" i="114" s="1"/>
  <c r="G61" i="114"/>
  <c r="X61" i="114" s="1"/>
  <c r="H61" i="114"/>
  <c r="I61" i="114"/>
  <c r="J61" i="114"/>
  <c r="K61" i="114"/>
  <c r="L61" i="114"/>
  <c r="M61" i="114"/>
  <c r="N61" i="114"/>
  <c r="O61" i="114"/>
  <c r="P61" i="114"/>
  <c r="Q61" i="114"/>
  <c r="R61" i="114"/>
  <c r="C62" i="114"/>
  <c r="T62" i="114" s="1"/>
  <c r="D62" i="114"/>
  <c r="U62" i="114" s="1"/>
  <c r="E62" i="114"/>
  <c r="V62" i="114" s="1"/>
  <c r="F62" i="114"/>
  <c r="W62" i="114" s="1"/>
  <c r="G62" i="114"/>
  <c r="X62" i="114" s="1"/>
  <c r="H62" i="114"/>
  <c r="I62" i="114"/>
  <c r="J62" i="114"/>
  <c r="K62" i="114"/>
  <c r="L62" i="114"/>
  <c r="M62" i="114"/>
  <c r="N62" i="114"/>
  <c r="O62" i="114"/>
  <c r="P62" i="114"/>
  <c r="Q62" i="114"/>
  <c r="R62" i="114"/>
  <c r="C63" i="114"/>
  <c r="T63" i="114" s="1"/>
  <c r="D63" i="114"/>
  <c r="U63" i="114" s="1"/>
  <c r="E63" i="114"/>
  <c r="V63" i="114" s="1"/>
  <c r="F63" i="114"/>
  <c r="W63" i="114" s="1"/>
  <c r="G63" i="114"/>
  <c r="X63" i="114" s="1"/>
  <c r="H63" i="114"/>
  <c r="I63" i="114"/>
  <c r="J63" i="114"/>
  <c r="K63" i="114"/>
  <c r="L63" i="114"/>
  <c r="M63" i="114"/>
  <c r="N63" i="114"/>
  <c r="O63" i="114"/>
  <c r="P63" i="114"/>
  <c r="Q63" i="114"/>
  <c r="R63" i="114"/>
  <c r="C64" i="114"/>
  <c r="T64" i="114" s="1"/>
  <c r="D64" i="114"/>
  <c r="U64" i="114" s="1"/>
  <c r="E64" i="114"/>
  <c r="V64" i="114" s="1"/>
  <c r="F64" i="114"/>
  <c r="W64" i="114" s="1"/>
  <c r="G64" i="114"/>
  <c r="X64" i="114" s="1"/>
  <c r="H64" i="114"/>
  <c r="I64" i="114"/>
  <c r="J64" i="114"/>
  <c r="K64" i="114"/>
  <c r="L64" i="114"/>
  <c r="M64" i="114"/>
  <c r="N64" i="114"/>
  <c r="O64" i="114"/>
  <c r="P64" i="114"/>
  <c r="C65" i="114"/>
  <c r="T65" i="114" s="1"/>
  <c r="D65" i="114"/>
  <c r="U65" i="114" s="1"/>
  <c r="E65" i="114"/>
  <c r="V65" i="114" s="1"/>
  <c r="F65" i="114"/>
  <c r="W65" i="114" s="1"/>
  <c r="G65" i="114"/>
  <c r="X65" i="114" s="1"/>
  <c r="H65" i="114"/>
  <c r="I65" i="114"/>
  <c r="J65" i="114"/>
  <c r="K65" i="114"/>
  <c r="L65" i="114"/>
  <c r="M65" i="114"/>
  <c r="N65" i="114"/>
  <c r="O65" i="114"/>
  <c r="P65" i="114"/>
  <c r="Q65" i="114"/>
  <c r="R65" i="114"/>
  <c r="C66" i="114"/>
  <c r="T66" i="114" s="1"/>
  <c r="D66" i="114"/>
  <c r="U66" i="114" s="1"/>
  <c r="E66" i="114"/>
  <c r="V66" i="114" s="1"/>
  <c r="F66" i="114"/>
  <c r="W66" i="114" s="1"/>
  <c r="G66" i="114"/>
  <c r="X66" i="114" s="1"/>
  <c r="H66" i="114"/>
  <c r="I66" i="114"/>
  <c r="J66" i="114"/>
  <c r="K66" i="114"/>
  <c r="L66" i="114"/>
  <c r="M66" i="114"/>
  <c r="N66" i="114"/>
  <c r="O66" i="114"/>
  <c r="P66" i="114"/>
  <c r="Q66" i="114"/>
  <c r="R66" i="114"/>
  <c r="S75" i="114"/>
  <c r="S76" i="114"/>
  <c r="S77" i="114"/>
  <c r="S78" i="114"/>
  <c r="S79" i="114"/>
  <c r="S80" i="114"/>
  <c r="S81" i="114"/>
  <c r="S82" i="114"/>
  <c r="S83" i="114"/>
  <c r="S84" i="114"/>
  <c r="S85" i="114"/>
  <c r="S86" i="114"/>
  <c r="S87" i="114"/>
  <c r="S88" i="114"/>
  <c r="S89" i="114"/>
  <c r="S90" i="114"/>
  <c r="S91" i="114"/>
  <c r="S92" i="114"/>
  <c r="S93" i="114"/>
  <c r="S94" i="114"/>
  <c r="S95" i="114"/>
  <c r="S96" i="114"/>
  <c r="S97" i="114"/>
  <c r="S98" i="114"/>
  <c r="S99" i="114"/>
  <c r="S100" i="114"/>
  <c r="S101" i="114"/>
  <c r="C102" i="114"/>
  <c r="D102" i="114"/>
  <c r="E102" i="114"/>
  <c r="F102" i="114"/>
  <c r="G102" i="114"/>
  <c r="Q35" i="123" s="1"/>
  <c r="H102" i="114"/>
  <c r="G13" i="118" s="1"/>
  <c r="I102" i="114"/>
  <c r="H13" i="118" s="1"/>
  <c r="J102" i="114"/>
  <c r="I13" i="118" s="1"/>
  <c r="K102" i="114"/>
  <c r="J13" i="118" s="1"/>
  <c r="L102" i="114"/>
  <c r="K13" i="118" s="1"/>
  <c r="M102" i="114"/>
  <c r="L13" i="118" s="1"/>
  <c r="N102" i="114"/>
  <c r="M13" i="118" s="1"/>
  <c r="O102" i="114"/>
  <c r="N13" i="118" s="1"/>
  <c r="P102" i="114"/>
  <c r="O13" i="118" s="1"/>
  <c r="Q102" i="114"/>
  <c r="P13" i="118" s="1"/>
  <c r="R102" i="114"/>
  <c r="Q13" i="118" s="1"/>
  <c r="C5" i="113"/>
  <c r="D5" i="113"/>
  <c r="R4" i="65" s="1"/>
  <c r="E5" i="113"/>
  <c r="F5" i="113"/>
  <c r="G5" i="113"/>
  <c r="H5" i="113"/>
  <c r="I5" i="113"/>
  <c r="J5" i="113"/>
  <c r="K5" i="113"/>
  <c r="L5" i="113"/>
  <c r="M5" i="113"/>
  <c r="N5" i="113"/>
  <c r="O5" i="113"/>
  <c r="P5" i="113"/>
  <c r="Q5" i="113"/>
  <c r="R5" i="113"/>
  <c r="C6" i="113"/>
  <c r="D6" i="113"/>
  <c r="E6" i="113"/>
  <c r="F6" i="113"/>
  <c r="G6" i="113"/>
  <c r="H6" i="113"/>
  <c r="I6" i="113"/>
  <c r="J6" i="113"/>
  <c r="K6" i="113"/>
  <c r="L6" i="113"/>
  <c r="M6" i="113"/>
  <c r="N6" i="113"/>
  <c r="O6" i="113"/>
  <c r="P6" i="113"/>
  <c r="O6" i="119" s="1"/>
  <c r="Q6" i="113"/>
  <c r="R6" i="113"/>
  <c r="C7" i="113"/>
  <c r="D7" i="113"/>
  <c r="E7" i="113"/>
  <c r="F7" i="113"/>
  <c r="G7" i="113"/>
  <c r="H7" i="113"/>
  <c r="I7" i="113"/>
  <c r="J7" i="113"/>
  <c r="K7" i="113"/>
  <c r="L7" i="113"/>
  <c r="M7" i="113"/>
  <c r="N7" i="113"/>
  <c r="O7" i="113"/>
  <c r="P7" i="113"/>
  <c r="O7" i="119" s="1"/>
  <c r="Q7" i="113"/>
  <c r="R7" i="113"/>
  <c r="C8" i="113"/>
  <c r="D8" i="113"/>
  <c r="E8" i="113"/>
  <c r="F8" i="113"/>
  <c r="G8" i="113"/>
  <c r="H8" i="113"/>
  <c r="I8" i="113"/>
  <c r="J8" i="113"/>
  <c r="K8" i="113"/>
  <c r="L8" i="113"/>
  <c r="M8" i="113"/>
  <c r="N8" i="113"/>
  <c r="O8" i="113"/>
  <c r="P8" i="113"/>
  <c r="O8" i="119" s="1"/>
  <c r="Q8" i="113"/>
  <c r="R8" i="113"/>
  <c r="C9" i="113"/>
  <c r="D9" i="113"/>
  <c r="E9" i="113"/>
  <c r="F9" i="113"/>
  <c r="G9" i="113"/>
  <c r="H9" i="113"/>
  <c r="I9" i="113"/>
  <c r="J9" i="113"/>
  <c r="K9" i="113"/>
  <c r="L9" i="113"/>
  <c r="M9" i="113"/>
  <c r="N9" i="113"/>
  <c r="O9" i="113"/>
  <c r="P9" i="113"/>
  <c r="O9" i="119" s="1"/>
  <c r="Q9" i="113"/>
  <c r="R9" i="113"/>
  <c r="C10" i="113"/>
  <c r="D10" i="113"/>
  <c r="E10" i="113"/>
  <c r="F10" i="113"/>
  <c r="G10" i="113"/>
  <c r="H10" i="113"/>
  <c r="I10" i="113"/>
  <c r="J10" i="113"/>
  <c r="K10" i="113"/>
  <c r="L10" i="113"/>
  <c r="M10" i="113"/>
  <c r="N10" i="113"/>
  <c r="O10" i="113"/>
  <c r="P10" i="113"/>
  <c r="O10" i="119" s="1"/>
  <c r="Q10" i="113"/>
  <c r="R10" i="113"/>
  <c r="C11" i="113"/>
  <c r="D11" i="113"/>
  <c r="E11" i="113"/>
  <c r="F11" i="113"/>
  <c r="G11" i="113"/>
  <c r="H11" i="113"/>
  <c r="I11" i="113"/>
  <c r="J11" i="113"/>
  <c r="K11" i="113"/>
  <c r="L11" i="113"/>
  <c r="M11" i="113"/>
  <c r="N11" i="113"/>
  <c r="O11" i="113"/>
  <c r="P11" i="113"/>
  <c r="O11" i="119" s="1"/>
  <c r="Q11" i="113"/>
  <c r="R11" i="113"/>
  <c r="C12" i="113"/>
  <c r="D12" i="113"/>
  <c r="E12" i="113"/>
  <c r="F12" i="113"/>
  <c r="G12" i="113"/>
  <c r="H12" i="113"/>
  <c r="I12" i="113"/>
  <c r="J12" i="113"/>
  <c r="K12" i="113"/>
  <c r="L12" i="113"/>
  <c r="M12" i="113"/>
  <c r="N12" i="113"/>
  <c r="O12" i="113"/>
  <c r="P12" i="113"/>
  <c r="O12" i="119" s="1"/>
  <c r="Q12" i="113"/>
  <c r="R12" i="113"/>
  <c r="C13" i="113"/>
  <c r="D13" i="113"/>
  <c r="E13" i="113"/>
  <c r="F13" i="113"/>
  <c r="G13" i="113"/>
  <c r="H13" i="113"/>
  <c r="I13" i="113"/>
  <c r="J13" i="113"/>
  <c r="K13" i="113"/>
  <c r="L13" i="113"/>
  <c r="M13" i="113"/>
  <c r="N13" i="113"/>
  <c r="O13" i="113"/>
  <c r="P13" i="113"/>
  <c r="O13" i="119" s="1"/>
  <c r="Q13" i="113"/>
  <c r="R13" i="113"/>
  <c r="C14" i="113"/>
  <c r="D14" i="113"/>
  <c r="E14" i="113"/>
  <c r="F14" i="113"/>
  <c r="G14" i="113"/>
  <c r="H14" i="113"/>
  <c r="I14" i="113"/>
  <c r="J14" i="113"/>
  <c r="K14" i="113"/>
  <c r="L14" i="113"/>
  <c r="M14" i="113"/>
  <c r="N14" i="113"/>
  <c r="O14" i="113"/>
  <c r="P14" i="113"/>
  <c r="O14" i="119" s="1"/>
  <c r="Q14" i="113"/>
  <c r="R14" i="113"/>
  <c r="C15" i="113"/>
  <c r="D15" i="113"/>
  <c r="E15" i="113"/>
  <c r="F15" i="113"/>
  <c r="G15" i="113"/>
  <c r="H15" i="113"/>
  <c r="I15" i="113"/>
  <c r="J15" i="113"/>
  <c r="K15" i="113"/>
  <c r="L15" i="113"/>
  <c r="M15" i="113"/>
  <c r="N15" i="113"/>
  <c r="O15" i="113"/>
  <c r="P15" i="113"/>
  <c r="O15" i="119" s="1"/>
  <c r="Q15" i="113"/>
  <c r="R15" i="113"/>
  <c r="C16" i="113"/>
  <c r="D16" i="113"/>
  <c r="E16" i="113"/>
  <c r="F16" i="113"/>
  <c r="G16" i="113"/>
  <c r="H16" i="113"/>
  <c r="I16" i="113"/>
  <c r="J16" i="113"/>
  <c r="K16" i="113"/>
  <c r="L16" i="113"/>
  <c r="M16" i="113"/>
  <c r="N16" i="113"/>
  <c r="O16" i="113"/>
  <c r="P16" i="113"/>
  <c r="O16" i="119" s="1"/>
  <c r="Q16" i="113"/>
  <c r="R16" i="113"/>
  <c r="C17" i="113"/>
  <c r="D17" i="113"/>
  <c r="E17" i="113"/>
  <c r="F17" i="113"/>
  <c r="G17" i="113"/>
  <c r="H17" i="113"/>
  <c r="I17" i="113"/>
  <c r="J17" i="113"/>
  <c r="K17" i="113"/>
  <c r="L17" i="113"/>
  <c r="M17" i="113"/>
  <c r="N17" i="113"/>
  <c r="O17" i="113"/>
  <c r="P17" i="113"/>
  <c r="O17" i="119" s="1"/>
  <c r="Q17" i="113"/>
  <c r="R17" i="113"/>
  <c r="C18" i="113"/>
  <c r="D18" i="113"/>
  <c r="E18" i="113"/>
  <c r="F18" i="113"/>
  <c r="G18" i="113"/>
  <c r="H18" i="113"/>
  <c r="I18" i="113"/>
  <c r="J18" i="113"/>
  <c r="K18" i="113"/>
  <c r="L18" i="113"/>
  <c r="M18" i="113"/>
  <c r="N18" i="113"/>
  <c r="O18" i="113"/>
  <c r="P18" i="113"/>
  <c r="O18" i="119" s="1"/>
  <c r="Q18" i="113"/>
  <c r="R18" i="113"/>
  <c r="C19" i="113"/>
  <c r="D19" i="113"/>
  <c r="E19" i="113"/>
  <c r="F19" i="113"/>
  <c r="G19" i="113"/>
  <c r="H19" i="113"/>
  <c r="I19" i="113"/>
  <c r="J19" i="113"/>
  <c r="K19" i="113"/>
  <c r="L19" i="113"/>
  <c r="M19" i="113"/>
  <c r="N19" i="113"/>
  <c r="O19" i="113"/>
  <c r="P19" i="113"/>
  <c r="O19" i="119" s="1"/>
  <c r="Q19" i="113"/>
  <c r="R19" i="113"/>
  <c r="C20" i="113"/>
  <c r="D20" i="113"/>
  <c r="E20" i="113"/>
  <c r="F20" i="113"/>
  <c r="G20" i="113"/>
  <c r="H20" i="113"/>
  <c r="I20" i="113"/>
  <c r="J20" i="113"/>
  <c r="K20" i="113"/>
  <c r="L20" i="113"/>
  <c r="M20" i="113"/>
  <c r="N20" i="113"/>
  <c r="O20" i="113"/>
  <c r="P20" i="113"/>
  <c r="O20" i="119" s="1"/>
  <c r="Q20" i="113"/>
  <c r="R20" i="113"/>
  <c r="C21" i="113"/>
  <c r="D21" i="113"/>
  <c r="E21" i="113"/>
  <c r="F21" i="113"/>
  <c r="G21" i="113"/>
  <c r="H21" i="113"/>
  <c r="I21" i="113"/>
  <c r="J21" i="113"/>
  <c r="K21" i="113"/>
  <c r="L21" i="113"/>
  <c r="M21" i="113"/>
  <c r="N21" i="113"/>
  <c r="O21" i="113"/>
  <c r="P21" i="113"/>
  <c r="O21" i="119" s="1"/>
  <c r="Q21" i="113"/>
  <c r="R21" i="113"/>
  <c r="C22" i="113"/>
  <c r="D22" i="113"/>
  <c r="E22" i="113"/>
  <c r="F22" i="113"/>
  <c r="G22" i="113"/>
  <c r="H22" i="113"/>
  <c r="I22" i="113"/>
  <c r="J22" i="113"/>
  <c r="K22" i="113"/>
  <c r="L22" i="113"/>
  <c r="M22" i="113"/>
  <c r="N22" i="113"/>
  <c r="O22" i="113"/>
  <c r="P22" i="113"/>
  <c r="O22" i="119" s="1"/>
  <c r="Q22" i="113"/>
  <c r="R22" i="113"/>
  <c r="C23" i="113"/>
  <c r="D23" i="113"/>
  <c r="E23" i="113"/>
  <c r="F23" i="113"/>
  <c r="G23" i="113"/>
  <c r="H23" i="113"/>
  <c r="I23" i="113"/>
  <c r="J23" i="113"/>
  <c r="K23" i="113"/>
  <c r="L23" i="113"/>
  <c r="M23" i="113"/>
  <c r="N23" i="113"/>
  <c r="O23" i="113"/>
  <c r="P23" i="113"/>
  <c r="O23" i="119" s="1"/>
  <c r="Q23" i="113"/>
  <c r="R23" i="113"/>
  <c r="C24" i="113"/>
  <c r="D24" i="113"/>
  <c r="E24" i="113"/>
  <c r="F24" i="113"/>
  <c r="G24" i="113"/>
  <c r="H24" i="113"/>
  <c r="I24" i="113"/>
  <c r="J24" i="113"/>
  <c r="K24" i="113"/>
  <c r="L24" i="113"/>
  <c r="M24" i="113"/>
  <c r="N24" i="113"/>
  <c r="O24" i="113"/>
  <c r="P24" i="113"/>
  <c r="O24" i="119" s="1"/>
  <c r="Q24" i="113"/>
  <c r="R24" i="113"/>
  <c r="C25" i="113"/>
  <c r="D25" i="113"/>
  <c r="E25" i="113"/>
  <c r="F25" i="113"/>
  <c r="G25" i="113"/>
  <c r="H25" i="113"/>
  <c r="I25" i="113"/>
  <c r="J25" i="113"/>
  <c r="K25" i="113"/>
  <c r="L25" i="113"/>
  <c r="M25" i="113"/>
  <c r="N25" i="113"/>
  <c r="O25" i="113"/>
  <c r="P25" i="113"/>
  <c r="O25" i="119" s="1"/>
  <c r="Q25" i="113"/>
  <c r="R25" i="113"/>
  <c r="C26" i="113"/>
  <c r="D26" i="113"/>
  <c r="E26" i="113"/>
  <c r="F26" i="113"/>
  <c r="G26" i="113"/>
  <c r="H26" i="113"/>
  <c r="I26" i="113"/>
  <c r="J26" i="113"/>
  <c r="K26" i="113"/>
  <c r="L26" i="113"/>
  <c r="M26" i="113"/>
  <c r="N26" i="113"/>
  <c r="O26" i="113"/>
  <c r="P26" i="113"/>
  <c r="O26" i="119" s="1"/>
  <c r="Q26" i="113"/>
  <c r="R26" i="113"/>
  <c r="C27" i="113"/>
  <c r="D27" i="113"/>
  <c r="E27" i="113"/>
  <c r="F27" i="113"/>
  <c r="G27" i="113"/>
  <c r="H27" i="113"/>
  <c r="I27" i="113"/>
  <c r="J27" i="113"/>
  <c r="K27" i="113"/>
  <c r="L27" i="113"/>
  <c r="M27" i="113"/>
  <c r="N27" i="113"/>
  <c r="O27" i="113"/>
  <c r="P27" i="113"/>
  <c r="O27" i="119" s="1"/>
  <c r="Q27" i="113"/>
  <c r="R27" i="113"/>
  <c r="C28" i="113"/>
  <c r="D28" i="113"/>
  <c r="E28" i="113"/>
  <c r="F28" i="113"/>
  <c r="G28" i="113"/>
  <c r="H28" i="113"/>
  <c r="I28" i="113"/>
  <c r="J28" i="113"/>
  <c r="K28" i="113"/>
  <c r="L28" i="113"/>
  <c r="M28" i="113"/>
  <c r="N28" i="113"/>
  <c r="O28" i="113"/>
  <c r="P28" i="113"/>
  <c r="O28" i="119" s="1"/>
  <c r="Q28" i="113"/>
  <c r="R28" i="113"/>
  <c r="C29" i="113"/>
  <c r="D29" i="113"/>
  <c r="E29" i="113"/>
  <c r="F29" i="113"/>
  <c r="G29" i="113"/>
  <c r="H29" i="113"/>
  <c r="I29" i="113"/>
  <c r="J29" i="113"/>
  <c r="K29" i="113"/>
  <c r="L29" i="113"/>
  <c r="M29" i="113"/>
  <c r="N29" i="113"/>
  <c r="O29" i="113"/>
  <c r="P29" i="113"/>
  <c r="O29" i="119" s="1"/>
  <c r="Q29" i="113"/>
  <c r="R29" i="113"/>
  <c r="C30" i="113"/>
  <c r="D30" i="113"/>
  <c r="E30" i="113"/>
  <c r="F30" i="113"/>
  <c r="G30" i="113"/>
  <c r="H30" i="113"/>
  <c r="I30" i="113"/>
  <c r="J30" i="113"/>
  <c r="K30" i="113"/>
  <c r="L30" i="113"/>
  <c r="M30" i="113"/>
  <c r="N30" i="113"/>
  <c r="O30" i="113"/>
  <c r="P30" i="113"/>
  <c r="O30" i="119" s="1"/>
  <c r="Q30" i="113"/>
  <c r="R30" i="113"/>
  <c r="C31" i="113"/>
  <c r="D31" i="113"/>
  <c r="E31" i="113"/>
  <c r="F31" i="113"/>
  <c r="G31" i="113"/>
  <c r="H31" i="113"/>
  <c r="I31" i="113"/>
  <c r="J31" i="113"/>
  <c r="K31" i="113"/>
  <c r="L31" i="113"/>
  <c r="M31" i="113"/>
  <c r="N31" i="113"/>
  <c r="O31" i="113"/>
  <c r="P31" i="113"/>
  <c r="O31" i="119" s="1"/>
  <c r="Q31" i="113"/>
  <c r="R31" i="113"/>
  <c r="K32" i="113"/>
  <c r="C40" i="113"/>
  <c r="T40" i="113" s="1"/>
  <c r="D40" i="113"/>
  <c r="U40" i="113" s="1"/>
  <c r="E40" i="113"/>
  <c r="V40" i="113" s="1"/>
  <c r="F40" i="113"/>
  <c r="W40" i="113" s="1"/>
  <c r="G40" i="113"/>
  <c r="X40" i="113" s="1"/>
  <c r="H40" i="113"/>
  <c r="I40" i="113"/>
  <c r="J40" i="113"/>
  <c r="K40" i="113"/>
  <c r="L40" i="113"/>
  <c r="M40" i="113"/>
  <c r="N40" i="113"/>
  <c r="O40" i="113"/>
  <c r="P40" i="113"/>
  <c r="O38" i="119" s="1"/>
  <c r="Q40" i="113"/>
  <c r="R40" i="113"/>
  <c r="C41" i="113"/>
  <c r="T41" i="113" s="1"/>
  <c r="D41" i="113"/>
  <c r="U41" i="113" s="1"/>
  <c r="E41" i="113"/>
  <c r="V41" i="113" s="1"/>
  <c r="F41" i="113"/>
  <c r="W41" i="113" s="1"/>
  <c r="G41" i="113"/>
  <c r="X41" i="113" s="1"/>
  <c r="H41" i="113"/>
  <c r="I41" i="113"/>
  <c r="J41" i="113"/>
  <c r="K41" i="113"/>
  <c r="L41" i="113"/>
  <c r="M41" i="113"/>
  <c r="N41" i="113"/>
  <c r="O41" i="113"/>
  <c r="P41" i="113"/>
  <c r="O39" i="119" s="1"/>
  <c r="Q41" i="113"/>
  <c r="R41" i="113"/>
  <c r="C42" i="113"/>
  <c r="T42" i="113" s="1"/>
  <c r="D42" i="113"/>
  <c r="E42" i="113"/>
  <c r="V42" i="113" s="1"/>
  <c r="F42" i="113"/>
  <c r="W42" i="113" s="1"/>
  <c r="G42" i="113"/>
  <c r="X42" i="113" s="1"/>
  <c r="H42" i="113"/>
  <c r="I42" i="113"/>
  <c r="J42" i="113"/>
  <c r="K42" i="113"/>
  <c r="L42" i="113"/>
  <c r="M42" i="113"/>
  <c r="N42" i="113"/>
  <c r="O42" i="113"/>
  <c r="P42" i="113"/>
  <c r="O40" i="119" s="1"/>
  <c r="Q42" i="113"/>
  <c r="R42" i="113"/>
  <c r="C43" i="113"/>
  <c r="T43" i="113" s="1"/>
  <c r="D43" i="113"/>
  <c r="U43" i="113" s="1"/>
  <c r="E43" i="113"/>
  <c r="F43" i="113"/>
  <c r="W43" i="113" s="1"/>
  <c r="G43" i="113"/>
  <c r="X43" i="113" s="1"/>
  <c r="H43" i="113"/>
  <c r="I43" i="113"/>
  <c r="J43" i="113"/>
  <c r="K43" i="113"/>
  <c r="L43" i="113"/>
  <c r="M43" i="113"/>
  <c r="N43" i="113"/>
  <c r="O43" i="113"/>
  <c r="P43" i="113"/>
  <c r="O41" i="119" s="1"/>
  <c r="C44" i="113"/>
  <c r="T44" i="113" s="1"/>
  <c r="D44" i="113"/>
  <c r="U44" i="113" s="1"/>
  <c r="E44" i="113"/>
  <c r="V44" i="113" s="1"/>
  <c r="F44" i="113"/>
  <c r="W44" i="113" s="1"/>
  <c r="G44" i="113"/>
  <c r="X44" i="113" s="1"/>
  <c r="H44" i="113"/>
  <c r="I44" i="113"/>
  <c r="J44" i="113"/>
  <c r="K44" i="113"/>
  <c r="L44" i="113"/>
  <c r="M44" i="113"/>
  <c r="N44" i="113"/>
  <c r="O44" i="113"/>
  <c r="P44" i="113"/>
  <c r="Q44" i="113"/>
  <c r="R44" i="113"/>
  <c r="C45" i="113"/>
  <c r="T45" i="113" s="1"/>
  <c r="D45" i="113"/>
  <c r="U45" i="113" s="1"/>
  <c r="E45" i="113"/>
  <c r="V45" i="113" s="1"/>
  <c r="F45" i="113"/>
  <c r="W45" i="113" s="1"/>
  <c r="G45" i="113"/>
  <c r="X45" i="113" s="1"/>
  <c r="H45" i="113"/>
  <c r="I45" i="113"/>
  <c r="J45" i="113"/>
  <c r="K45" i="113"/>
  <c r="L45" i="113"/>
  <c r="M45" i="113"/>
  <c r="N45" i="113"/>
  <c r="O45" i="113"/>
  <c r="P45" i="113"/>
  <c r="Q45" i="113"/>
  <c r="R45" i="113"/>
  <c r="C46" i="113"/>
  <c r="T46" i="113" s="1"/>
  <c r="D46" i="113"/>
  <c r="U46" i="113" s="1"/>
  <c r="E46" i="113"/>
  <c r="V46" i="113" s="1"/>
  <c r="F46" i="113"/>
  <c r="W46" i="113" s="1"/>
  <c r="G46" i="113"/>
  <c r="X46" i="113" s="1"/>
  <c r="H46" i="113"/>
  <c r="I46" i="113"/>
  <c r="J46" i="113"/>
  <c r="K46" i="113"/>
  <c r="L46" i="113"/>
  <c r="M46" i="113"/>
  <c r="N46" i="113"/>
  <c r="O46" i="113"/>
  <c r="P46" i="113"/>
  <c r="Q46" i="113"/>
  <c r="R46" i="113"/>
  <c r="C47" i="113"/>
  <c r="T47" i="113" s="1"/>
  <c r="D47" i="113"/>
  <c r="U47" i="113" s="1"/>
  <c r="E47" i="113"/>
  <c r="V47" i="113" s="1"/>
  <c r="F47" i="113"/>
  <c r="W47" i="113" s="1"/>
  <c r="G47" i="113"/>
  <c r="X47" i="113" s="1"/>
  <c r="H47" i="113"/>
  <c r="I47" i="113"/>
  <c r="J47" i="113"/>
  <c r="K47" i="113"/>
  <c r="L47" i="113"/>
  <c r="M47" i="113"/>
  <c r="N47" i="113"/>
  <c r="O47" i="113"/>
  <c r="P47" i="113"/>
  <c r="Q47" i="113"/>
  <c r="R47" i="113"/>
  <c r="C48" i="113"/>
  <c r="T48" i="113" s="1"/>
  <c r="D48" i="113"/>
  <c r="U48" i="113" s="1"/>
  <c r="E48" i="113"/>
  <c r="V48" i="113" s="1"/>
  <c r="F48" i="113"/>
  <c r="G48" i="113"/>
  <c r="X48" i="113" s="1"/>
  <c r="H48" i="113"/>
  <c r="I48" i="113"/>
  <c r="J48" i="113"/>
  <c r="K48" i="113"/>
  <c r="L48" i="113"/>
  <c r="M48" i="113"/>
  <c r="N48" i="113"/>
  <c r="O48" i="113"/>
  <c r="P48" i="113"/>
  <c r="Q48" i="113"/>
  <c r="R48" i="113"/>
  <c r="C49" i="113"/>
  <c r="T49" i="113" s="1"/>
  <c r="D49" i="113"/>
  <c r="U49" i="113" s="1"/>
  <c r="E49" i="113"/>
  <c r="V49" i="113" s="1"/>
  <c r="F49" i="113"/>
  <c r="W49" i="113" s="1"/>
  <c r="G49" i="113"/>
  <c r="X49" i="113" s="1"/>
  <c r="H49" i="113"/>
  <c r="I49" i="113"/>
  <c r="J49" i="113"/>
  <c r="K49" i="113"/>
  <c r="L49" i="113"/>
  <c r="M49" i="113"/>
  <c r="N49" i="113"/>
  <c r="O49" i="113"/>
  <c r="P49" i="113"/>
  <c r="Q49" i="113"/>
  <c r="R49" i="113"/>
  <c r="C50" i="113"/>
  <c r="T50" i="113" s="1"/>
  <c r="D50" i="113"/>
  <c r="U50" i="113" s="1"/>
  <c r="E50" i="113"/>
  <c r="V50" i="113" s="1"/>
  <c r="F50" i="113"/>
  <c r="W50" i="113" s="1"/>
  <c r="G50" i="113"/>
  <c r="X50" i="113" s="1"/>
  <c r="H50" i="113"/>
  <c r="I50" i="113"/>
  <c r="J50" i="113"/>
  <c r="K50" i="113"/>
  <c r="L50" i="113"/>
  <c r="M50" i="113"/>
  <c r="N50" i="113"/>
  <c r="O50" i="113"/>
  <c r="P50" i="113"/>
  <c r="Q50" i="113"/>
  <c r="R50" i="113"/>
  <c r="C51" i="113"/>
  <c r="T51" i="113" s="1"/>
  <c r="D51" i="113"/>
  <c r="U51" i="113" s="1"/>
  <c r="E51" i="113"/>
  <c r="V51" i="113" s="1"/>
  <c r="F51" i="113"/>
  <c r="W51" i="113" s="1"/>
  <c r="G51" i="113"/>
  <c r="X51" i="113" s="1"/>
  <c r="H51" i="113"/>
  <c r="I51" i="113"/>
  <c r="J51" i="113"/>
  <c r="K51" i="113"/>
  <c r="L51" i="113"/>
  <c r="M51" i="113"/>
  <c r="N51" i="113"/>
  <c r="O51" i="113"/>
  <c r="P51" i="113"/>
  <c r="Q51" i="113"/>
  <c r="R51" i="113"/>
  <c r="C52" i="113"/>
  <c r="T52" i="113" s="1"/>
  <c r="D52" i="113"/>
  <c r="U52" i="113" s="1"/>
  <c r="E52" i="113"/>
  <c r="V52" i="113" s="1"/>
  <c r="F52" i="113"/>
  <c r="W52" i="113" s="1"/>
  <c r="G52" i="113"/>
  <c r="X52" i="113" s="1"/>
  <c r="H52" i="113"/>
  <c r="I52" i="113"/>
  <c r="J52" i="113"/>
  <c r="K52" i="113"/>
  <c r="L52" i="113"/>
  <c r="M52" i="113"/>
  <c r="N52" i="113"/>
  <c r="O52" i="113"/>
  <c r="P52" i="113"/>
  <c r="Q52" i="113"/>
  <c r="R52" i="113"/>
  <c r="C53" i="113"/>
  <c r="T53" i="113" s="1"/>
  <c r="D53" i="113"/>
  <c r="E53" i="113"/>
  <c r="V53" i="113" s="1"/>
  <c r="F53" i="113"/>
  <c r="W53" i="113" s="1"/>
  <c r="G53" i="113"/>
  <c r="X53" i="113" s="1"/>
  <c r="H53" i="113"/>
  <c r="I53" i="113"/>
  <c r="J53" i="113"/>
  <c r="K53" i="113"/>
  <c r="L53" i="113"/>
  <c r="M53" i="113"/>
  <c r="N53" i="113"/>
  <c r="O53" i="113"/>
  <c r="P53" i="113"/>
  <c r="Q53" i="113"/>
  <c r="R53" i="113"/>
  <c r="C54" i="113"/>
  <c r="T54" i="113" s="1"/>
  <c r="D54" i="113"/>
  <c r="U54" i="113" s="1"/>
  <c r="E54" i="113"/>
  <c r="V54" i="113" s="1"/>
  <c r="F54" i="113"/>
  <c r="W54" i="113" s="1"/>
  <c r="G54" i="113"/>
  <c r="X54" i="113" s="1"/>
  <c r="H54" i="113"/>
  <c r="I54" i="113"/>
  <c r="J54" i="113"/>
  <c r="K54" i="113"/>
  <c r="L54" i="113"/>
  <c r="M54" i="113"/>
  <c r="N54" i="113"/>
  <c r="O54" i="113"/>
  <c r="P54" i="113"/>
  <c r="Q54" i="113"/>
  <c r="R54" i="113"/>
  <c r="C55" i="113"/>
  <c r="T55" i="113" s="1"/>
  <c r="D55" i="113"/>
  <c r="U55" i="113" s="1"/>
  <c r="E55" i="113"/>
  <c r="V55" i="113" s="1"/>
  <c r="F55" i="113"/>
  <c r="W55" i="113" s="1"/>
  <c r="G55" i="113"/>
  <c r="X55" i="113" s="1"/>
  <c r="H55" i="113"/>
  <c r="I55" i="113"/>
  <c r="J55" i="113"/>
  <c r="K55" i="113"/>
  <c r="L55" i="113"/>
  <c r="M55" i="113"/>
  <c r="N55" i="113"/>
  <c r="O55" i="113"/>
  <c r="P55" i="113"/>
  <c r="Q55" i="113"/>
  <c r="R55" i="113"/>
  <c r="C56" i="113"/>
  <c r="T56" i="113" s="1"/>
  <c r="D56" i="113"/>
  <c r="E56" i="113"/>
  <c r="V56" i="113" s="1"/>
  <c r="F56" i="113"/>
  <c r="W56" i="113" s="1"/>
  <c r="G56" i="113"/>
  <c r="X56" i="113" s="1"/>
  <c r="H56" i="113"/>
  <c r="I56" i="113"/>
  <c r="J56" i="113"/>
  <c r="K56" i="113"/>
  <c r="L56" i="113"/>
  <c r="M56" i="113"/>
  <c r="N56" i="113"/>
  <c r="O56" i="113"/>
  <c r="P56" i="113"/>
  <c r="Q56" i="113"/>
  <c r="R56" i="113"/>
  <c r="C57" i="113"/>
  <c r="T57" i="113" s="1"/>
  <c r="D57" i="113"/>
  <c r="U57" i="113" s="1"/>
  <c r="E57" i="113"/>
  <c r="V57" i="113" s="1"/>
  <c r="F57" i="113"/>
  <c r="W57" i="113" s="1"/>
  <c r="G57" i="113"/>
  <c r="X57" i="113" s="1"/>
  <c r="H57" i="113"/>
  <c r="I57" i="113"/>
  <c r="J57" i="113"/>
  <c r="K57" i="113"/>
  <c r="L57" i="113"/>
  <c r="M57" i="113"/>
  <c r="N57" i="113"/>
  <c r="O57" i="113"/>
  <c r="P57" i="113"/>
  <c r="C58" i="113"/>
  <c r="T58" i="113" s="1"/>
  <c r="D58" i="113"/>
  <c r="E58" i="113"/>
  <c r="V58" i="113" s="1"/>
  <c r="F58" i="113"/>
  <c r="W58" i="113" s="1"/>
  <c r="G58" i="113"/>
  <c r="X58" i="113" s="1"/>
  <c r="H58" i="113"/>
  <c r="I58" i="113"/>
  <c r="J58" i="113"/>
  <c r="K58" i="113"/>
  <c r="L58" i="113"/>
  <c r="M58" i="113"/>
  <c r="N58" i="113"/>
  <c r="O58" i="113"/>
  <c r="P58" i="113"/>
  <c r="Q58" i="113"/>
  <c r="R58" i="113"/>
  <c r="C59" i="113"/>
  <c r="T59" i="113" s="1"/>
  <c r="D59" i="113"/>
  <c r="U59" i="113" s="1"/>
  <c r="E59" i="113"/>
  <c r="V59" i="113" s="1"/>
  <c r="F59" i="113"/>
  <c r="W59" i="113" s="1"/>
  <c r="G59" i="113"/>
  <c r="X59" i="113" s="1"/>
  <c r="H59" i="113"/>
  <c r="I59" i="113"/>
  <c r="J59" i="113"/>
  <c r="K59" i="113"/>
  <c r="L59" i="113"/>
  <c r="M59" i="113"/>
  <c r="N59" i="113"/>
  <c r="O59" i="113"/>
  <c r="P59" i="113"/>
  <c r="Q59" i="113"/>
  <c r="R59" i="113"/>
  <c r="C60" i="113"/>
  <c r="T60" i="113" s="1"/>
  <c r="D60" i="113"/>
  <c r="U60" i="113" s="1"/>
  <c r="E60" i="113"/>
  <c r="V60" i="113" s="1"/>
  <c r="F60" i="113"/>
  <c r="W60" i="113" s="1"/>
  <c r="G60" i="113"/>
  <c r="X60" i="113" s="1"/>
  <c r="H60" i="113"/>
  <c r="I60" i="113"/>
  <c r="J60" i="113"/>
  <c r="K60" i="113"/>
  <c r="L60" i="113"/>
  <c r="M60" i="113"/>
  <c r="N60" i="113"/>
  <c r="O60" i="113"/>
  <c r="P60" i="113"/>
  <c r="Q60" i="113"/>
  <c r="R60" i="113"/>
  <c r="C61" i="113"/>
  <c r="T61" i="113" s="1"/>
  <c r="D61" i="113"/>
  <c r="U61" i="113" s="1"/>
  <c r="E61" i="113"/>
  <c r="V61" i="113" s="1"/>
  <c r="F61" i="113"/>
  <c r="W61" i="113" s="1"/>
  <c r="G61" i="113"/>
  <c r="X61" i="113" s="1"/>
  <c r="H61" i="113"/>
  <c r="I61" i="113"/>
  <c r="J61" i="113"/>
  <c r="K61" i="113"/>
  <c r="L61" i="113"/>
  <c r="M61" i="113"/>
  <c r="N61" i="113"/>
  <c r="O61" i="113"/>
  <c r="P61" i="113"/>
  <c r="Q61" i="113"/>
  <c r="R61" i="113"/>
  <c r="C62" i="113"/>
  <c r="T62" i="113" s="1"/>
  <c r="D62" i="113"/>
  <c r="U62" i="113" s="1"/>
  <c r="E62" i="113"/>
  <c r="V62" i="113" s="1"/>
  <c r="F62" i="113"/>
  <c r="W62" i="113" s="1"/>
  <c r="G62" i="113"/>
  <c r="X62" i="113" s="1"/>
  <c r="H62" i="113"/>
  <c r="I62" i="113"/>
  <c r="J62" i="113"/>
  <c r="K62" i="113"/>
  <c r="L62" i="113"/>
  <c r="M62" i="113"/>
  <c r="N62" i="113"/>
  <c r="O62" i="113"/>
  <c r="P62" i="113"/>
  <c r="Q62" i="113"/>
  <c r="R62" i="113"/>
  <c r="C63" i="113"/>
  <c r="T63" i="113" s="1"/>
  <c r="D63" i="113"/>
  <c r="E63" i="113"/>
  <c r="V63" i="113" s="1"/>
  <c r="F63" i="113"/>
  <c r="W63" i="113" s="1"/>
  <c r="G63" i="113"/>
  <c r="X63" i="113" s="1"/>
  <c r="H63" i="113"/>
  <c r="I63" i="113"/>
  <c r="J63" i="113"/>
  <c r="K63" i="113"/>
  <c r="L63" i="113"/>
  <c r="M63" i="113"/>
  <c r="N63" i="113"/>
  <c r="O63" i="113"/>
  <c r="P63" i="113"/>
  <c r="Q63" i="113"/>
  <c r="R63" i="113"/>
  <c r="C64" i="113"/>
  <c r="T64" i="113" s="1"/>
  <c r="D64" i="113"/>
  <c r="U64" i="113" s="1"/>
  <c r="E64" i="113"/>
  <c r="V64" i="113" s="1"/>
  <c r="F64" i="113"/>
  <c r="W64" i="113" s="1"/>
  <c r="G64" i="113"/>
  <c r="X64" i="113" s="1"/>
  <c r="H64" i="113"/>
  <c r="I64" i="113"/>
  <c r="J64" i="113"/>
  <c r="K64" i="113"/>
  <c r="L64" i="113"/>
  <c r="M64" i="113"/>
  <c r="N64" i="113"/>
  <c r="O64" i="113"/>
  <c r="P64" i="113"/>
  <c r="C65" i="113"/>
  <c r="T65" i="113" s="1"/>
  <c r="D65" i="113"/>
  <c r="E65" i="113"/>
  <c r="V65" i="113" s="1"/>
  <c r="F65" i="113"/>
  <c r="W65" i="113" s="1"/>
  <c r="G65" i="113"/>
  <c r="X65" i="113" s="1"/>
  <c r="H65" i="113"/>
  <c r="I65" i="113"/>
  <c r="J65" i="113"/>
  <c r="K65" i="113"/>
  <c r="L65" i="113"/>
  <c r="M65" i="113"/>
  <c r="N65" i="113"/>
  <c r="O65" i="113"/>
  <c r="P65" i="113"/>
  <c r="Q65" i="113"/>
  <c r="R65" i="113"/>
  <c r="C66" i="113"/>
  <c r="T66" i="113" s="1"/>
  <c r="D66" i="113"/>
  <c r="U66" i="113" s="1"/>
  <c r="E66" i="113"/>
  <c r="V66" i="113" s="1"/>
  <c r="F66" i="113"/>
  <c r="W66" i="113" s="1"/>
  <c r="G66" i="113"/>
  <c r="X66" i="113" s="1"/>
  <c r="H66" i="113"/>
  <c r="I66" i="113"/>
  <c r="J66" i="113"/>
  <c r="K66" i="113"/>
  <c r="L66" i="113"/>
  <c r="M66" i="113"/>
  <c r="N66" i="113"/>
  <c r="O66" i="113"/>
  <c r="P66" i="113"/>
  <c r="Q66" i="113"/>
  <c r="R66" i="113"/>
  <c r="S75" i="113"/>
  <c r="S76" i="113"/>
  <c r="S77" i="113"/>
  <c r="S78" i="113"/>
  <c r="S79" i="113"/>
  <c r="S80" i="113"/>
  <c r="S81" i="113"/>
  <c r="S82" i="113"/>
  <c r="S83" i="113"/>
  <c r="S84" i="113"/>
  <c r="S85" i="113"/>
  <c r="S86" i="113"/>
  <c r="S87" i="113"/>
  <c r="S88" i="113"/>
  <c r="S89" i="113"/>
  <c r="S90" i="113"/>
  <c r="S91" i="113"/>
  <c r="S92" i="113"/>
  <c r="S93" i="113"/>
  <c r="S94" i="113"/>
  <c r="S95" i="113"/>
  <c r="S96" i="113"/>
  <c r="S97" i="113"/>
  <c r="S98" i="113"/>
  <c r="S99" i="113"/>
  <c r="S100" i="113"/>
  <c r="S101" i="113"/>
  <c r="C102" i="113"/>
  <c r="D102" i="113"/>
  <c r="E102" i="113"/>
  <c r="F102" i="113"/>
  <c r="G102" i="113"/>
  <c r="H102" i="113"/>
  <c r="G12" i="118" s="1"/>
  <c r="I102" i="113"/>
  <c r="H12" i="118" s="1"/>
  <c r="J102" i="113"/>
  <c r="I12" i="118" s="1"/>
  <c r="K102" i="113"/>
  <c r="J12" i="118" s="1"/>
  <c r="L102" i="113"/>
  <c r="K12" i="118" s="1"/>
  <c r="M102" i="113"/>
  <c r="L12" i="118" s="1"/>
  <c r="N102" i="113"/>
  <c r="M12" i="118" s="1"/>
  <c r="O102" i="113"/>
  <c r="N12" i="118" s="1"/>
  <c r="P102" i="113"/>
  <c r="O12" i="118" s="1"/>
  <c r="Q102" i="113"/>
  <c r="P12" i="118" s="1"/>
  <c r="R102" i="113"/>
  <c r="Q12" i="118" s="1"/>
  <c r="C5" i="112"/>
  <c r="D5" i="112"/>
  <c r="E5" i="112"/>
  <c r="F5" i="112"/>
  <c r="G5" i="112"/>
  <c r="O5" i="123" s="1"/>
  <c r="H5" i="112"/>
  <c r="I5" i="112"/>
  <c r="J5" i="112"/>
  <c r="K5" i="112"/>
  <c r="L5" i="112"/>
  <c r="M5" i="112"/>
  <c r="N5" i="112"/>
  <c r="O5" i="112"/>
  <c r="Q5" i="112"/>
  <c r="R5" i="112"/>
  <c r="C6" i="112"/>
  <c r="D6" i="112"/>
  <c r="E6" i="112"/>
  <c r="F6" i="112"/>
  <c r="G6" i="112"/>
  <c r="H6" i="112"/>
  <c r="I6" i="112"/>
  <c r="J6" i="112"/>
  <c r="K6" i="112"/>
  <c r="L6" i="112"/>
  <c r="M6" i="112"/>
  <c r="N6" i="112"/>
  <c r="O6" i="112"/>
  <c r="Q6" i="112"/>
  <c r="R6" i="112"/>
  <c r="C7" i="112"/>
  <c r="D7" i="112"/>
  <c r="E7" i="112"/>
  <c r="F7" i="112"/>
  <c r="G7" i="112"/>
  <c r="H7" i="112"/>
  <c r="I7" i="112"/>
  <c r="J7" i="112"/>
  <c r="K7" i="112"/>
  <c r="L7" i="112"/>
  <c r="M7" i="112"/>
  <c r="N7" i="112"/>
  <c r="O7" i="112"/>
  <c r="Q7" i="112"/>
  <c r="R7" i="112"/>
  <c r="C8" i="112"/>
  <c r="D8" i="112"/>
  <c r="E8" i="112"/>
  <c r="F8" i="112"/>
  <c r="G8" i="112"/>
  <c r="H8" i="112"/>
  <c r="I8" i="112"/>
  <c r="J8" i="112"/>
  <c r="K8" i="112"/>
  <c r="L8" i="112"/>
  <c r="M8" i="112"/>
  <c r="N8" i="112"/>
  <c r="O8" i="112"/>
  <c r="Q8" i="112"/>
  <c r="R8" i="112"/>
  <c r="C9" i="112"/>
  <c r="D9" i="112"/>
  <c r="E9" i="112"/>
  <c r="F9" i="112"/>
  <c r="G9" i="112"/>
  <c r="H9" i="112"/>
  <c r="I9" i="112"/>
  <c r="J9" i="112"/>
  <c r="K9" i="112"/>
  <c r="L9" i="112"/>
  <c r="M9" i="112"/>
  <c r="N9" i="112"/>
  <c r="O9" i="112"/>
  <c r="Q9" i="112"/>
  <c r="R9" i="112"/>
  <c r="C10" i="112"/>
  <c r="D10" i="112"/>
  <c r="E10" i="112"/>
  <c r="F10" i="112"/>
  <c r="G10" i="112"/>
  <c r="H10" i="112"/>
  <c r="I10" i="112"/>
  <c r="J10" i="112"/>
  <c r="K10" i="112"/>
  <c r="L10" i="112"/>
  <c r="M10" i="112"/>
  <c r="N10" i="112"/>
  <c r="O10" i="112"/>
  <c r="Q10" i="112"/>
  <c r="R10" i="112"/>
  <c r="C11" i="112"/>
  <c r="D11" i="112"/>
  <c r="E11" i="112"/>
  <c r="F11" i="112"/>
  <c r="G11" i="112"/>
  <c r="H11" i="112"/>
  <c r="I11" i="112"/>
  <c r="J11" i="112"/>
  <c r="K11" i="112"/>
  <c r="L11" i="112"/>
  <c r="M11" i="112"/>
  <c r="N11" i="112"/>
  <c r="O11" i="112"/>
  <c r="Q11" i="112"/>
  <c r="R11" i="112"/>
  <c r="C12" i="112"/>
  <c r="D12" i="112"/>
  <c r="E12" i="112"/>
  <c r="F12" i="112"/>
  <c r="G12" i="112"/>
  <c r="H12" i="112"/>
  <c r="I12" i="112"/>
  <c r="J12" i="112"/>
  <c r="K12" i="112"/>
  <c r="L12" i="112"/>
  <c r="M12" i="112"/>
  <c r="N12" i="112"/>
  <c r="O12" i="112"/>
  <c r="Q12" i="112"/>
  <c r="R12" i="112"/>
  <c r="C13" i="112"/>
  <c r="D13" i="112"/>
  <c r="E13" i="112"/>
  <c r="F13" i="112"/>
  <c r="G13" i="112"/>
  <c r="H13" i="112"/>
  <c r="I13" i="112"/>
  <c r="J13" i="112"/>
  <c r="K13" i="112"/>
  <c r="L13" i="112"/>
  <c r="M13" i="112"/>
  <c r="N13" i="112"/>
  <c r="O13" i="112"/>
  <c r="Q13" i="112"/>
  <c r="R13" i="112"/>
  <c r="C14" i="112"/>
  <c r="D14" i="112"/>
  <c r="E14" i="112"/>
  <c r="F14" i="112"/>
  <c r="G14" i="112"/>
  <c r="H14" i="112"/>
  <c r="I14" i="112"/>
  <c r="J14" i="112"/>
  <c r="K14" i="112"/>
  <c r="L14" i="112"/>
  <c r="M14" i="112"/>
  <c r="N14" i="112"/>
  <c r="O14" i="112"/>
  <c r="Q14" i="112"/>
  <c r="R14" i="112"/>
  <c r="C15" i="112"/>
  <c r="D15" i="112"/>
  <c r="E15" i="112"/>
  <c r="F15" i="112"/>
  <c r="G15" i="112"/>
  <c r="H15" i="112"/>
  <c r="I15" i="112"/>
  <c r="J15" i="112"/>
  <c r="K15" i="112"/>
  <c r="L15" i="112"/>
  <c r="M15" i="112"/>
  <c r="N15" i="112"/>
  <c r="O15" i="112"/>
  <c r="Q15" i="112"/>
  <c r="R15" i="112"/>
  <c r="C16" i="112"/>
  <c r="D16" i="112"/>
  <c r="E16" i="112"/>
  <c r="F16" i="112"/>
  <c r="G16" i="112"/>
  <c r="H16" i="112"/>
  <c r="I16" i="112"/>
  <c r="J16" i="112"/>
  <c r="K16" i="112"/>
  <c r="L16" i="112"/>
  <c r="M16" i="112"/>
  <c r="N16" i="112"/>
  <c r="O16" i="112"/>
  <c r="Q16" i="112"/>
  <c r="R16" i="112"/>
  <c r="C17" i="112"/>
  <c r="D17" i="112"/>
  <c r="E17" i="112"/>
  <c r="F17" i="112"/>
  <c r="G17" i="112"/>
  <c r="H17" i="112"/>
  <c r="I17" i="112"/>
  <c r="J17" i="112"/>
  <c r="K17" i="112"/>
  <c r="L17" i="112"/>
  <c r="M17" i="112"/>
  <c r="N17" i="112"/>
  <c r="O17" i="112"/>
  <c r="Q17" i="112"/>
  <c r="R17" i="112"/>
  <c r="C18" i="112"/>
  <c r="D18" i="112"/>
  <c r="E18" i="112"/>
  <c r="F18" i="112"/>
  <c r="G18" i="112"/>
  <c r="H18" i="112"/>
  <c r="I18" i="112"/>
  <c r="J18" i="112"/>
  <c r="K18" i="112"/>
  <c r="L18" i="112"/>
  <c r="M18" i="112"/>
  <c r="N18" i="112"/>
  <c r="O18" i="112"/>
  <c r="Q18" i="112"/>
  <c r="R18" i="112"/>
  <c r="C19" i="112"/>
  <c r="D19" i="112"/>
  <c r="E19" i="112"/>
  <c r="F19" i="112"/>
  <c r="G19" i="112"/>
  <c r="H19" i="112"/>
  <c r="I19" i="112"/>
  <c r="J19" i="112"/>
  <c r="K19" i="112"/>
  <c r="L19" i="112"/>
  <c r="M19" i="112"/>
  <c r="N19" i="112"/>
  <c r="O19" i="112"/>
  <c r="Q19" i="112"/>
  <c r="R19" i="112"/>
  <c r="C20" i="112"/>
  <c r="D20" i="112"/>
  <c r="E20" i="112"/>
  <c r="F20" i="112"/>
  <c r="G20" i="112"/>
  <c r="H20" i="112"/>
  <c r="I20" i="112"/>
  <c r="J20" i="112"/>
  <c r="K20" i="112"/>
  <c r="L20" i="112"/>
  <c r="M20" i="112"/>
  <c r="N20" i="112"/>
  <c r="O20" i="112"/>
  <c r="Q20" i="112"/>
  <c r="R20" i="112"/>
  <c r="C21" i="112"/>
  <c r="D21" i="112"/>
  <c r="E21" i="112"/>
  <c r="F21" i="112"/>
  <c r="G21" i="112"/>
  <c r="H21" i="112"/>
  <c r="I21" i="112"/>
  <c r="J21" i="112"/>
  <c r="K21" i="112"/>
  <c r="L21" i="112"/>
  <c r="M21" i="112"/>
  <c r="N21" i="112"/>
  <c r="O21" i="112"/>
  <c r="Q21" i="112"/>
  <c r="R21" i="112"/>
  <c r="C22" i="112"/>
  <c r="D22" i="112"/>
  <c r="E22" i="112"/>
  <c r="F22" i="112"/>
  <c r="G22" i="112"/>
  <c r="H22" i="112"/>
  <c r="I22" i="112"/>
  <c r="J22" i="112"/>
  <c r="K22" i="112"/>
  <c r="L22" i="112"/>
  <c r="M22" i="112"/>
  <c r="N22" i="112"/>
  <c r="O22" i="112"/>
  <c r="Q22" i="112"/>
  <c r="R22" i="112"/>
  <c r="C23" i="112"/>
  <c r="D23" i="112"/>
  <c r="E23" i="112"/>
  <c r="F23" i="112"/>
  <c r="G23" i="112"/>
  <c r="I23" i="112"/>
  <c r="J23" i="112"/>
  <c r="K23" i="112"/>
  <c r="L23" i="112"/>
  <c r="M23" i="112"/>
  <c r="N23" i="112"/>
  <c r="O23" i="112"/>
  <c r="Q23" i="112"/>
  <c r="R23" i="112"/>
  <c r="C24" i="112"/>
  <c r="D24" i="112"/>
  <c r="E24" i="112"/>
  <c r="F24" i="112"/>
  <c r="G24" i="112"/>
  <c r="H24" i="112"/>
  <c r="I24" i="112"/>
  <c r="J24" i="112"/>
  <c r="K24" i="112"/>
  <c r="L24" i="112"/>
  <c r="M24" i="112"/>
  <c r="N24" i="112"/>
  <c r="O24" i="112"/>
  <c r="Q24" i="112"/>
  <c r="R24" i="112"/>
  <c r="C25" i="112"/>
  <c r="D25" i="112"/>
  <c r="E25" i="112"/>
  <c r="F25" i="112"/>
  <c r="G25" i="112"/>
  <c r="H25" i="112"/>
  <c r="I25" i="112"/>
  <c r="J25" i="112"/>
  <c r="K25" i="112"/>
  <c r="L25" i="112"/>
  <c r="M25" i="112"/>
  <c r="N25" i="112"/>
  <c r="O25" i="112"/>
  <c r="Q25" i="112"/>
  <c r="R25" i="112"/>
  <c r="C26" i="112"/>
  <c r="D26" i="112"/>
  <c r="E26" i="112"/>
  <c r="F26" i="112"/>
  <c r="G26" i="112"/>
  <c r="H26" i="112"/>
  <c r="I26" i="112"/>
  <c r="J26" i="112"/>
  <c r="K26" i="112"/>
  <c r="L26" i="112"/>
  <c r="M26" i="112"/>
  <c r="N26" i="112"/>
  <c r="O26" i="112"/>
  <c r="Q26" i="112"/>
  <c r="R26" i="112"/>
  <c r="C27" i="112"/>
  <c r="D27" i="112"/>
  <c r="E27" i="112"/>
  <c r="F27" i="112"/>
  <c r="G27" i="112"/>
  <c r="H27" i="112"/>
  <c r="I27" i="112"/>
  <c r="J27" i="112"/>
  <c r="K27" i="112"/>
  <c r="L27" i="112"/>
  <c r="M27" i="112"/>
  <c r="N27" i="112"/>
  <c r="O27" i="112"/>
  <c r="Q27" i="112"/>
  <c r="R27" i="112"/>
  <c r="C28" i="112"/>
  <c r="D28" i="112"/>
  <c r="E28" i="112"/>
  <c r="F28" i="112"/>
  <c r="G28" i="112"/>
  <c r="H28" i="112"/>
  <c r="I28" i="112"/>
  <c r="J28" i="112"/>
  <c r="K28" i="112"/>
  <c r="L28" i="112"/>
  <c r="M28" i="112"/>
  <c r="N28" i="112"/>
  <c r="O28" i="112"/>
  <c r="Q28" i="112"/>
  <c r="R28" i="112"/>
  <c r="C29" i="112"/>
  <c r="D29" i="112"/>
  <c r="E29" i="112"/>
  <c r="F29" i="112"/>
  <c r="G29" i="112"/>
  <c r="H29" i="112"/>
  <c r="I29" i="112"/>
  <c r="J29" i="112"/>
  <c r="K29" i="112"/>
  <c r="L29" i="112"/>
  <c r="M29" i="112"/>
  <c r="N29" i="112"/>
  <c r="O29" i="112"/>
  <c r="Q29" i="112"/>
  <c r="R29" i="112"/>
  <c r="C30" i="112"/>
  <c r="D30" i="112"/>
  <c r="E30" i="112"/>
  <c r="F30" i="112"/>
  <c r="G30" i="112"/>
  <c r="H30" i="112"/>
  <c r="I30" i="112"/>
  <c r="J30" i="112"/>
  <c r="K30" i="112"/>
  <c r="L30" i="112"/>
  <c r="M30" i="112"/>
  <c r="N30" i="112"/>
  <c r="O30" i="112"/>
  <c r="Q30" i="112"/>
  <c r="R30" i="112"/>
  <c r="C31" i="112"/>
  <c r="D31" i="112"/>
  <c r="E31" i="112"/>
  <c r="F31" i="112"/>
  <c r="G31" i="112"/>
  <c r="H31" i="112"/>
  <c r="I31" i="112"/>
  <c r="J31" i="112"/>
  <c r="K31" i="112"/>
  <c r="L31" i="112"/>
  <c r="M31" i="112"/>
  <c r="N31" i="112"/>
  <c r="O31" i="112"/>
  <c r="Q31" i="112"/>
  <c r="R31" i="112"/>
  <c r="C40" i="112"/>
  <c r="T40" i="112" s="1"/>
  <c r="D40" i="112"/>
  <c r="U40" i="112" s="1"/>
  <c r="E40" i="112"/>
  <c r="V40" i="112" s="1"/>
  <c r="F40" i="112"/>
  <c r="W40" i="112" s="1"/>
  <c r="G40" i="112"/>
  <c r="X40" i="112" s="1"/>
  <c r="H40" i="112"/>
  <c r="I40" i="112"/>
  <c r="J40" i="112"/>
  <c r="K40" i="112"/>
  <c r="L40" i="112"/>
  <c r="M40" i="112"/>
  <c r="N40" i="112"/>
  <c r="O40" i="112"/>
  <c r="Q40" i="112"/>
  <c r="R40" i="112"/>
  <c r="C41" i="112"/>
  <c r="T41" i="112" s="1"/>
  <c r="D41" i="112"/>
  <c r="U41" i="112" s="1"/>
  <c r="E41" i="112"/>
  <c r="F41" i="112"/>
  <c r="W41" i="112" s="1"/>
  <c r="G41" i="112"/>
  <c r="X41" i="112" s="1"/>
  <c r="H41" i="112"/>
  <c r="I41" i="112"/>
  <c r="J41" i="112"/>
  <c r="K41" i="112"/>
  <c r="L41" i="112"/>
  <c r="M41" i="112"/>
  <c r="N41" i="112"/>
  <c r="O41" i="112"/>
  <c r="Q41" i="112"/>
  <c r="R41" i="112"/>
  <c r="C42" i="112"/>
  <c r="T42" i="112" s="1"/>
  <c r="D42" i="112"/>
  <c r="U42" i="112" s="1"/>
  <c r="E42" i="112"/>
  <c r="V42" i="112" s="1"/>
  <c r="F42" i="112"/>
  <c r="W42" i="112" s="1"/>
  <c r="G42" i="112"/>
  <c r="X42" i="112" s="1"/>
  <c r="H42" i="112"/>
  <c r="I42" i="112"/>
  <c r="J42" i="112"/>
  <c r="K42" i="112"/>
  <c r="L42" i="112"/>
  <c r="M42" i="112"/>
  <c r="N42" i="112"/>
  <c r="O42" i="112"/>
  <c r="Q42" i="112"/>
  <c r="R42" i="112"/>
  <c r="C43" i="112"/>
  <c r="T43" i="112" s="1"/>
  <c r="D43" i="112"/>
  <c r="U43" i="112" s="1"/>
  <c r="E43" i="112"/>
  <c r="V43" i="112" s="1"/>
  <c r="F43" i="112"/>
  <c r="W43" i="112" s="1"/>
  <c r="G43" i="112"/>
  <c r="X43" i="112" s="1"/>
  <c r="H43" i="112"/>
  <c r="I43" i="112"/>
  <c r="J43" i="112"/>
  <c r="K43" i="112"/>
  <c r="L43" i="112"/>
  <c r="M43" i="112"/>
  <c r="N43" i="112"/>
  <c r="O43" i="112"/>
  <c r="C44" i="112"/>
  <c r="T44" i="112" s="1"/>
  <c r="D44" i="112"/>
  <c r="U44" i="112" s="1"/>
  <c r="E44" i="112"/>
  <c r="V44" i="112" s="1"/>
  <c r="F44" i="112"/>
  <c r="G44" i="112"/>
  <c r="X44" i="112" s="1"/>
  <c r="I44" i="112"/>
  <c r="J44" i="112"/>
  <c r="K44" i="112"/>
  <c r="L44" i="112"/>
  <c r="M44" i="112"/>
  <c r="N44" i="112"/>
  <c r="O44" i="112"/>
  <c r="Q44" i="112"/>
  <c r="R44" i="112"/>
  <c r="C45" i="112"/>
  <c r="D45" i="112"/>
  <c r="U45" i="112" s="1"/>
  <c r="E45" i="112"/>
  <c r="V45" i="112" s="1"/>
  <c r="F45" i="112"/>
  <c r="W45" i="112" s="1"/>
  <c r="G45" i="112"/>
  <c r="X45" i="112" s="1"/>
  <c r="H45" i="112"/>
  <c r="I45" i="112"/>
  <c r="J45" i="112"/>
  <c r="K45" i="112"/>
  <c r="L45" i="112"/>
  <c r="M45" i="112"/>
  <c r="N45" i="112"/>
  <c r="O45" i="112"/>
  <c r="Q45" i="112"/>
  <c r="R45" i="112"/>
  <c r="C46" i="112"/>
  <c r="T46" i="112" s="1"/>
  <c r="D46" i="112"/>
  <c r="U46" i="112" s="1"/>
  <c r="E46" i="112"/>
  <c r="V46" i="112" s="1"/>
  <c r="F46" i="112"/>
  <c r="W46" i="112" s="1"/>
  <c r="G46" i="112"/>
  <c r="X46" i="112" s="1"/>
  <c r="I46" i="112"/>
  <c r="J46" i="112"/>
  <c r="K46" i="112"/>
  <c r="L46" i="112"/>
  <c r="M46" i="112"/>
  <c r="N46" i="112"/>
  <c r="O46" i="112"/>
  <c r="Q46" i="112"/>
  <c r="R46" i="112"/>
  <c r="C47" i="112"/>
  <c r="T47" i="112" s="1"/>
  <c r="D47" i="112"/>
  <c r="U47" i="112" s="1"/>
  <c r="E47" i="112"/>
  <c r="V47" i="112" s="1"/>
  <c r="F47" i="112"/>
  <c r="W47" i="112" s="1"/>
  <c r="G47" i="112"/>
  <c r="X47" i="112" s="1"/>
  <c r="H47" i="112"/>
  <c r="I47" i="112"/>
  <c r="J47" i="112"/>
  <c r="K47" i="112"/>
  <c r="L47" i="112"/>
  <c r="M47" i="112"/>
  <c r="N47" i="112"/>
  <c r="O47" i="112"/>
  <c r="Q47" i="112"/>
  <c r="R47" i="112"/>
  <c r="C48" i="112"/>
  <c r="T48" i="112" s="1"/>
  <c r="D48" i="112"/>
  <c r="U48" i="112" s="1"/>
  <c r="E48" i="112"/>
  <c r="V48" i="112" s="1"/>
  <c r="F48" i="112"/>
  <c r="W48" i="112" s="1"/>
  <c r="G48" i="112"/>
  <c r="X48" i="112" s="1"/>
  <c r="H48" i="112"/>
  <c r="I48" i="112"/>
  <c r="J48" i="112"/>
  <c r="K48" i="112"/>
  <c r="L48" i="112"/>
  <c r="M48" i="112"/>
  <c r="N48" i="112"/>
  <c r="O48" i="112"/>
  <c r="Q48" i="112"/>
  <c r="R48" i="112"/>
  <c r="C49" i="112"/>
  <c r="T49" i="112" s="1"/>
  <c r="D49" i="112"/>
  <c r="U49" i="112" s="1"/>
  <c r="E49" i="112"/>
  <c r="V49" i="112" s="1"/>
  <c r="F49" i="112"/>
  <c r="W49" i="112" s="1"/>
  <c r="G49" i="112"/>
  <c r="X49" i="112" s="1"/>
  <c r="H49" i="112"/>
  <c r="I49" i="112"/>
  <c r="J49" i="112"/>
  <c r="K49" i="112"/>
  <c r="L49" i="112"/>
  <c r="M49" i="112"/>
  <c r="N49" i="112"/>
  <c r="O49" i="112"/>
  <c r="Q49" i="112"/>
  <c r="R49" i="112"/>
  <c r="C50" i="112"/>
  <c r="T50" i="112" s="1"/>
  <c r="D50" i="112"/>
  <c r="U50" i="112" s="1"/>
  <c r="E50" i="112"/>
  <c r="V50" i="112" s="1"/>
  <c r="F50" i="112"/>
  <c r="W50" i="112" s="1"/>
  <c r="G50" i="112"/>
  <c r="X50" i="112" s="1"/>
  <c r="H50" i="112"/>
  <c r="I50" i="112"/>
  <c r="J50" i="112"/>
  <c r="K50" i="112"/>
  <c r="L50" i="112"/>
  <c r="M50" i="112"/>
  <c r="N50" i="112"/>
  <c r="O50" i="112"/>
  <c r="Q50" i="112"/>
  <c r="R50" i="112"/>
  <c r="C51" i="112"/>
  <c r="T51" i="112" s="1"/>
  <c r="D51" i="112"/>
  <c r="U51" i="112" s="1"/>
  <c r="E51" i="112"/>
  <c r="V51" i="112" s="1"/>
  <c r="F51" i="112"/>
  <c r="W51" i="112" s="1"/>
  <c r="G51" i="112"/>
  <c r="X51" i="112" s="1"/>
  <c r="H51" i="112"/>
  <c r="I51" i="112"/>
  <c r="J51" i="112"/>
  <c r="K51" i="112"/>
  <c r="L51" i="112"/>
  <c r="M51" i="112"/>
  <c r="N51" i="112"/>
  <c r="O51" i="112"/>
  <c r="Q51" i="112"/>
  <c r="R51" i="112"/>
  <c r="C52" i="112"/>
  <c r="T52" i="112" s="1"/>
  <c r="D52" i="112"/>
  <c r="U52" i="112" s="1"/>
  <c r="E52" i="112"/>
  <c r="V52" i="112" s="1"/>
  <c r="F52" i="112"/>
  <c r="W52" i="112" s="1"/>
  <c r="G52" i="112"/>
  <c r="X52" i="112" s="1"/>
  <c r="I52" i="112"/>
  <c r="J52" i="112"/>
  <c r="K52" i="112"/>
  <c r="L52" i="112"/>
  <c r="M52" i="112"/>
  <c r="N52" i="112"/>
  <c r="O52" i="112"/>
  <c r="Q52" i="112"/>
  <c r="R52" i="112"/>
  <c r="C53" i="112"/>
  <c r="D53" i="112"/>
  <c r="U53" i="112" s="1"/>
  <c r="E53" i="112"/>
  <c r="V53" i="112" s="1"/>
  <c r="F53" i="112"/>
  <c r="W53" i="112" s="1"/>
  <c r="G53" i="112"/>
  <c r="X53" i="112" s="1"/>
  <c r="H53" i="112"/>
  <c r="I53" i="112"/>
  <c r="J53" i="112"/>
  <c r="K53" i="112"/>
  <c r="L53" i="112"/>
  <c r="M53" i="112"/>
  <c r="N53" i="112"/>
  <c r="O53" i="112"/>
  <c r="Q53" i="112"/>
  <c r="R53" i="112"/>
  <c r="C54" i="112"/>
  <c r="D54" i="112"/>
  <c r="U54" i="112" s="1"/>
  <c r="E54" i="112"/>
  <c r="V54" i="112" s="1"/>
  <c r="F54" i="112"/>
  <c r="W54" i="112" s="1"/>
  <c r="G54" i="112"/>
  <c r="X54" i="112" s="1"/>
  <c r="H54" i="112"/>
  <c r="I54" i="112"/>
  <c r="J54" i="112"/>
  <c r="K54" i="112"/>
  <c r="L54" i="112"/>
  <c r="M54" i="112"/>
  <c r="N54" i="112"/>
  <c r="O54" i="112"/>
  <c r="Q54" i="112"/>
  <c r="R54" i="112"/>
  <c r="C55" i="112"/>
  <c r="D55" i="112"/>
  <c r="U55" i="112" s="1"/>
  <c r="E55" i="112"/>
  <c r="V55" i="112" s="1"/>
  <c r="F55" i="112"/>
  <c r="W55" i="112" s="1"/>
  <c r="G55" i="112"/>
  <c r="X55" i="112" s="1"/>
  <c r="H55" i="112"/>
  <c r="I55" i="112"/>
  <c r="J55" i="112"/>
  <c r="K55" i="112"/>
  <c r="L55" i="112"/>
  <c r="M55" i="112"/>
  <c r="N55" i="112"/>
  <c r="O55" i="112"/>
  <c r="Q55" i="112"/>
  <c r="R55" i="112"/>
  <c r="C56" i="112"/>
  <c r="D56" i="112"/>
  <c r="U56" i="112" s="1"/>
  <c r="E56" i="112"/>
  <c r="V56" i="112" s="1"/>
  <c r="F56" i="112"/>
  <c r="W56" i="112" s="1"/>
  <c r="G56" i="112"/>
  <c r="X56" i="112" s="1"/>
  <c r="H56" i="112"/>
  <c r="I56" i="112"/>
  <c r="J56" i="112"/>
  <c r="K56" i="112"/>
  <c r="L56" i="112"/>
  <c r="M56" i="112"/>
  <c r="N56" i="112"/>
  <c r="O56" i="112"/>
  <c r="Q56" i="112"/>
  <c r="R56" i="112"/>
  <c r="C57" i="112"/>
  <c r="D57" i="112"/>
  <c r="U57" i="112" s="1"/>
  <c r="E57" i="112"/>
  <c r="V57" i="112" s="1"/>
  <c r="F57" i="112"/>
  <c r="W57" i="112" s="1"/>
  <c r="G57" i="112"/>
  <c r="X57" i="112" s="1"/>
  <c r="H57" i="112"/>
  <c r="I57" i="112"/>
  <c r="J57" i="112"/>
  <c r="K57" i="112"/>
  <c r="L57" i="112"/>
  <c r="M57" i="112"/>
  <c r="N57" i="112"/>
  <c r="O57" i="112"/>
  <c r="Q57" i="112"/>
  <c r="R57" i="112"/>
  <c r="C58" i="112"/>
  <c r="T58" i="112" s="1"/>
  <c r="D58" i="112"/>
  <c r="U58" i="112" s="1"/>
  <c r="E58" i="112"/>
  <c r="V58" i="112" s="1"/>
  <c r="F58" i="112"/>
  <c r="W58" i="112" s="1"/>
  <c r="G58" i="112"/>
  <c r="X58" i="112" s="1"/>
  <c r="I58" i="112"/>
  <c r="J58" i="112"/>
  <c r="K58" i="112"/>
  <c r="L58" i="112"/>
  <c r="M58" i="112"/>
  <c r="N58" i="112"/>
  <c r="O58" i="112"/>
  <c r="Q58" i="112"/>
  <c r="R58" i="112"/>
  <c r="C59" i="112"/>
  <c r="T59" i="112" s="1"/>
  <c r="D59" i="112"/>
  <c r="U59" i="112" s="1"/>
  <c r="E59" i="112"/>
  <c r="V59" i="112" s="1"/>
  <c r="F59" i="112"/>
  <c r="W59" i="112" s="1"/>
  <c r="G59" i="112"/>
  <c r="X59" i="112" s="1"/>
  <c r="H59" i="112"/>
  <c r="I59" i="112"/>
  <c r="J59" i="112"/>
  <c r="K59" i="112"/>
  <c r="L59" i="112"/>
  <c r="M59" i="112"/>
  <c r="N59" i="112"/>
  <c r="O59" i="112"/>
  <c r="Q59" i="112"/>
  <c r="R59" i="112"/>
  <c r="C60" i="112"/>
  <c r="T60" i="112" s="1"/>
  <c r="D60" i="112"/>
  <c r="U60" i="112" s="1"/>
  <c r="E60" i="112"/>
  <c r="V60" i="112" s="1"/>
  <c r="F60" i="112"/>
  <c r="W60" i="112" s="1"/>
  <c r="G60" i="112"/>
  <c r="X60" i="112" s="1"/>
  <c r="H60" i="112"/>
  <c r="I60" i="112"/>
  <c r="J60" i="112"/>
  <c r="K60" i="112"/>
  <c r="L60" i="112"/>
  <c r="M60" i="112"/>
  <c r="N60" i="112"/>
  <c r="O60" i="112"/>
  <c r="Q60" i="112"/>
  <c r="R60" i="112"/>
  <c r="C61" i="112"/>
  <c r="T61" i="112" s="1"/>
  <c r="D61" i="112"/>
  <c r="U61" i="112" s="1"/>
  <c r="E61" i="112"/>
  <c r="V61" i="112" s="1"/>
  <c r="F61" i="112"/>
  <c r="W61" i="112" s="1"/>
  <c r="G61" i="112"/>
  <c r="X61" i="112" s="1"/>
  <c r="H61" i="112"/>
  <c r="I61" i="112"/>
  <c r="J61" i="112"/>
  <c r="K61" i="112"/>
  <c r="L61" i="112"/>
  <c r="M61" i="112"/>
  <c r="N61" i="112"/>
  <c r="O61" i="112"/>
  <c r="Q61" i="112"/>
  <c r="R61" i="112"/>
  <c r="C62" i="112"/>
  <c r="T62" i="112" s="1"/>
  <c r="D62" i="112"/>
  <c r="U62" i="112" s="1"/>
  <c r="E62" i="112"/>
  <c r="V62" i="112" s="1"/>
  <c r="F62" i="112"/>
  <c r="W62" i="112" s="1"/>
  <c r="G62" i="112"/>
  <c r="X62" i="112" s="1"/>
  <c r="I62" i="112"/>
  <c r="J62" i="112"/>
  <c r="K62" i="112"/>
  <c r="L62" i="112"/>
  <c r="M62" i="112"/>
  <c r="N62" i="112"/>
  <c r="O62" i="112"/>
  <c r="Q62" i="112"/>
  <c r="R62" i="112"/>
  <c r="C63" i="112"/>
  <c r="T63" i="112" s="1"/>
  <c r="D63" i="112"/>
  <c r="U63" i="112" s="1"/>
  <c r="E63" i="112"/>
  <c r="V63" i="112" s="1"/>
  <c r="F63" i="112"/>
  <c r="W63" i="112" s="1"/>
  <c r="G63" i="112"/>
  <c r="X63" i="112" s="1"/>
  <c r="H63" i="112"/>
  <c r="I63" i="112"/>
  <c r="J63" i="112"/>
  <c r="K63" i="112"/>
  <c r="L63" i="112"/>
  <c r="M63" i="112"/>
  <c r="N63" i="112"/>
  <c r="O63" i="112"/>
  <c r="Q63" i="112"/>
  <c r="R63" i="112"/>
  <c r="C64" i="112"/>
  <c r="T64" i="112" s="1"/>
  <c r="D64" i="112"/>
  <c r="U64" i="112" s="1"/>
  <c r="E64" i="112"/>
  <c r="V64" i="112" s="1"/>
  <c r="F64" i="112"/>
  <c r="W64" i="112" s="1"/>
  <c r="G64" i="112"/>
  <c r="X64" i="112" s="1"/>
  <c r="I64" i="112"/>
  <c r="J64" i="112"/>
  <c r="K64" i="112"/>
  <c r="L64" i="112"/>
  <c r="M64" i="112"/>
  <c r="N64" i="112"/>
  <c r="O64" i="112"/>
  <c r="C65" i="112"/>
  <c r="T65" i="112" s="1"/>
  <c r="D65" i="112"/>
  <c r="U65" i="112" s="1"/>
  <c r="E65" i="112"/>
  <c r="V65" i="112" s="1"/>
  <c r="F65" i="112"/>
  <c r="W65" i="112" s="1"/>
  <c r="G65" i="112"/>
  <c r="X65" i="112" s="1"/>
  <c r="H65" i="112"/>
  <c r="I65" i="112"/>
  <c r="J65" i="112"/>
  <c r="K65" i="112"/>
  <c r="L65" i="112"/>
  <c r="M65" i="112"/>
  <c r="N65" i="112"/>
  <c r="O65" i="112"/>
  <c r="Q65" i="112"/>
  <c r="R65" i="112"/>
  <c r="C66" i="112"/>
  <c r="T66" i="112" s="1"/>
  <c r="D66" i="112"/>
  <c r="U66" i="112" s="1"/>
  <c r="E66" i="112"/>
  <c r="V66" i="112" s="1"/>
  <c r="F66" i="112"/>
  <c r="W66" i="112" s="1"/>
  <c r="G66" i="112"/>
  <c r="X66" i="112" s="1"/>
  <c r="H66" i="112"/>
  <c r="I66" i="112"/>
  <c r="J66" i="112"/>
  <c r="K66" i="112"/>
  <c r="L66" i="112"/>
  <c r="M66" i="112"/>
  <c r="N66" i="112"/>
  <c r="O66" i="112"/>
  <c r="Q66" i="112"/>
  <c r="R66" i="112"/>
  <c r="S75" i="112"/>
  <c r="S76" i="112"/>
  <c r="S77" i="112"/>
  <c r="S78" i="112"/>
  <c r="H44" i="112"/>
  <c r="S79" i="112"/>
  <c r="S80" i="112"/>
  <c r="H46" i="112"/>
  <c r="S82" i="112"/>
  <c r="S83" i="112"/>
  <c r="S84" i="112"/>
  <c r="S85" i="112"/>
  <c r="S86" i="112"/>
  <c r="S88" i="112"/>
  <c r="S89" i="112"/>
  <c r="S90" i="112"/>
  <c r="S91" i="112"/>
  <c r="S92" i="112"/>
  <c r="S94" i="112"/>
  <c r="S95" i="112"/>
  <c r="S96" i="112"/>
  <c r="H62" i="112"/>
  <c r="S98" i="112"/>
  <c r="S100" i="112"/>
  <c r="S101" i="112"/>
  <c r="C102" i="112"/>
  <c r="D102" i="112"/>
  <c r="E102" i="112"/>
  <c r="F102" i="112"/>
  <c r="G102" i="112"/>
  <c r="I102" i="112"/>
  <c r="H11" i="118" s="1"/>
  <c r="J102" i="112"/>
  <c r="I11" i="118" s="1"/>
  <c r="K102" i="112"/>
  <c r="J11" i="118" s="1"/>
  <c r="L102" i="112"/>
  <c r="K11" i="118" s="1"/>
  <c r="M102" i="112"/>
  <c r="L11" i="118" s="1"/>
  <c r="N102" i="112"/>
  <c r="M11" i="118" s="1"/>
  <c r="O102" i="112"/>
  <c r="N11" i="118" s="1"/>
  <c r="Q102" i="112"/>
  <c r="P11" i="118" s="1"/>
  <c r="R102" i="112"/>
  <c r="Q11" i="118" s="1"/>
  <c r="C5" i="111"/>
  <c r="Y7" i="121" s="1"/>
  <c r="D5" i="111"/>
  <c r="E5" i="111"/>
  <c r="V6" i="122" s="1"/>
  <c r="F5" i="111"/>
  <c r="G5" i="111"/>
  <c r="N5" i="123" s="1"/>
  <c r="H5" i="111"/>
  <c r="I5" i="111"/>
  <c r="J5" i="111"/>
  <c r="K5" i="111"/>
  <c r="L5" i="111"/>
  <c r="M5" i="111"/>
  <c r="N5" i="111"/>
  <c r="O5" i="111"/>
  <c r="Q5" i="111"/>
  <c r="R5" i="111"/>
  <c r="C6" i="111"/>
  <c r="Y8" i="121" s="1"/>
  <c r="D6" i="111"/>
  <c r="E6" i="111"/>
  <c r="V7" i="122" s="1"/>
  <c r="F6" i="111"/>
  <c r="G6" i="111"/>
  <c r="N6" i="123" s="1"/>
  <c r="BB9" i="126" s="1"/>
  <c r="H6" i="111"/>
  <c r="I6" i="111"/>
  <c r="J6" i="111"/>
  <c r="K6" i="111"/>
  <c r="L6" i="111"/>
  <c r="M6" i="111"/>
  <c r="N6" i="111"/>
  <c r="O6" i="111"/>
  <c r="Q6" i="111"/>
  <c r="R6" i="111"/>
  <c r="C7" i="111"/>
  <c r="Y10" i="121" s="1"/>
  <c r="D7" i="111"/>
  <c r="E7" i="111"/>
  <c r="V9" i="122" s="1"/>
  <c r="F7" i="111"/>
  <c r="G7" i="111"/>
  <c r="N8" i="123" s="1"/>
  <c r="BB11" i="126" s="1"/>
  <c r="H7" i="111"/>
  <c r="I7" i="111"/>
  <c r="J7" i="111"/>
  <c r="K7" i="111"/>
  <c r="L7" i="111"/>
  <c r="M7" i="111"/>
  <c r="N7" i="111"/>
  <c r="O7" i="111"/>
  <c r="Q7" i="111"/>
  <c r="R7" i="111"/>
  <c r="C8" i="111"/>
  <c r="Y9" i="121" s="1"/>
  <c r="D8" i="111"/>
  <c r="E8" i="111"/>
  <c r="V8" i="122" s="1"/>
  <c r="F8" i="111"/>
  <c r="G8" i="111"/>
  <c r="N7" i="123" s="1"/>
  <c r="BB10" i="126" s="1"/>
  <c r="H8" i="111"/>
  <c r="I8" i="111"/>
  <c r="J8" i="111"/>
  <c r="K8" i="111"/>
  <c r="L8" i="111"/>
  <c r="M8" i="111"/>
  <c r="N8" i="111"/>
  <c r="O8" i="111"/>
  <c r="Q8" i="111"/>
  <c r="R8" i="111"/>
  <c r="C9" i="111"/>
  <c r="Y11" i="121" s="1"/>
  <c r="D9" i="111"/>
  <c r="E9" i="111"/>
  <c r="V10" i="122" s="1"/>
  <c r="F9" i="111"/>
  <c r="G9" i="111"/>
  <c r="N9" i="123" s="1"/>
  <c r="BB12" i="126" s="1"/>
  <c r="H9" i="111"/>
  <c r="I9" i="111"/>
  <c r="J9" i="111"/>
  <c r="K9" i="111"/>
  <c r="L9" i="111"/>
  <c r="M9" i="111"/>
  <c r="N9" i="111"/>
  <c r="O9" i="111"/>
  <c r="Q9" i="111"/>
  <c r="R9" i="111"/>
  <c r="C10" i="111"/>
  <c r="Y12" i="121" s="1"/>
  <c r="D10" i="111"/>
  <c r="E10" i="111"/>
  <c r="V11" i="122" s="1"/>
  <c r="F10" i="111"/>
  <c r="G10" i="111"/>
  <c r="N10" i="123" s="1"/>
  <c r="BB13" i="126" s="1"/>
  <c r="H10" i="111"/>
  <c r="I10" i="111"/>
  <c r="J10" i="111"/>
  <c r="K10" i="111"/>
  <c r="L10" i="111"/>
  <c r="M10" i="111"/>
  <c r="N10" i="111"/>
  <c r="O10" i="111"/>
  <c r="Q10" i="111"/>
  <c r="R10" i="111"/>
  <c r="C11" i="111"/>
  <c r="Y13" i="121" s="1"/>
  <c r="D11" i="111"/>
  <c r="E11" i="111"/>
  <c r="V12" i="122" s="1"/>
  <c r="F11" i="111"/>
  <c r="G11" i="111"/>
  <c r="N11" i="123" s="1"/>
  <c r="BB14" i="126" s="1"/>
  <c r="H11" i="111"/>
  <c r="I11" i="111"/>
  <c r="J11" i="111"/>
  <c r="K11" i="111"/>
  <c r="L11" i="111"/>
  <c r="M11" i="111"/>
  <c r="N11" i="111"/>
  <c r="O11" i="111"/>
  <c r="Q11" i="111"/>
  <c r="R11" i="111"/>
  <c r="C12" i="111"/>
  <c r="Y14" i="121" s="1"/>
  <c r="D12" i="111"/>
  <c r="E12" i="111"/>
  <c r="V13" i="122" s="1"/>
  <c r="F12" i="111"/>
  <c r="G12" i="111"/>
  <c r="N12" i="123" s="1"/>
  <c r="BB15" i="126" s="1"/>
  <c r="H12" i="111"/>
  <c r="I12" i="111"/>
  <c r="J12" i="111"/>
  <c r="K12" i="111"/>
  <c r="L12" i="111"/>
  <c r="M12" i="111"/>
  <c r="N12" i="111"/>
  <c r="O12" i="111"/>
  <c r="Q12" i="111"/>
  <c r="R12" i="111"/>
  <c r="C13" i="111"/>
  <c r="Y15" i="121" s="1"/>
  <c r="D13" i="111"/>
  <c r="E13" i="111"/>
  <c r="V14" i="122" s="1"/>
  <c r="F13" i="111"/>
  <c r="G13" i="111"/>
  <c r="N13" i="123" s="1"/>
  <c r="BB16" i="126" s="1"/>
  <c r="H13" i="111"/>
  <c r="I13" i="111"/>
  <c r="J13" i="111"/>
  <c r="K13" i="111"/>
  <c r="L13" i="111"/>
  <c r="M13" i="111"/>
  <c r="N13" i="111"/>
  <c r="O13" i="111"/>
  <c r="Q13" i="111"/>
  <c r="R13" i="111"/>
  <c r="C14" i="111"/>
  <c r="Y16" i="121" s="1"/>
  <c r="D14" i="111"/>
  <c r="E14" i="111"/>
  <c r="V15" i="122" s="1"/>
  <c r="F14" i="111"/>
  <c r="G14" i="111"/>
  <c r="N14" i="123" s="1"/>
  <c r="BB17" i="126" s="1"/>
  <c r="H14" i="111"/>
  <c r="I14" i="111"/>
  <c r="J14" i="111"/>
  <c r="K14" i="111"/>
  <c r="L14" i="111"/>
  <c r="M14" i="111"/>
  <c r="N14" i="111"/>
  <c r="O14" i="111"/>
  <c r="Q14" i="111"/>
  <c r="R14" i="111"/>
  <c r="C15" i="111"/>
  <c r="Y19" i="121" s="1"/>
  <c r="D15" i="111"/>
  <c r="E15" i="111"/>
  <c r="V18" i="122" s="1"/>
  <c r="F15" i="111"/>
  <c r="G15" i="111"/>
  <c r="N17" i="123" s="1"/>
  <c r="BB20" i="126" s="1"/>
  <c r="H15" i="111"/>
  <c r="I15" i="111"/>
  <c r="J15" i="111"/>
  <c r="K15" i="111"/>
  <c r="L15" i="111"/>
  <c r="M15" i="111"/>
  <c r="N15" i="111"/>
  <c r="O15" i="111"/>
  <c r="Q15" i="111"/>
  <c r="R15" i="111"/>
  <c r="C16" i="111"/>
  <c r="Y18" i="121" s="1"/>
  <c r="D16" i="111"/>
  <c r="E16" i="111"/>
  <c r="V17" i="122" s="1"/>
  <c r="F16" i="111"/>
  <c r="G16" i="111"/>
  <c r="N16" i="123" s="1"/>
  <c r="BB19" i="126" s="1"/>
  <c r="H16" i="111"/>
  <c r="I16" i="111"/>
  <c r="J16" i="111"/>
  <c r="K16" i="111"/>
  <c r="L16" i="111"/>
  <c r="M16" i="111"/>
  <c r="N16" i="111"/>
  <c r="O16" i="111"/>
  <c r="Q16" i="111"/>
  <c r="R16" i="111"/>
  <c r="C17" i="111"/>
  <c r="Y17" i="121" s="1"/>
  <c r="D17" i="111"/>
  <c r="E17" i="111"/>
  <c r="V16" i="122" s="1"/>
  <c r="F17" i="111"/>
  <c r="G17" i="111"/>
  <c r="N15" i="123" s="1"/>
  <c r="BB18" i="126" s="1"/>
  <c r="H17" i="111"/>
  <c r="I17" i="111"/>
  <c r="J17" i="111"/>
  <c r="K17" i="111"/>
  <c r="L17" i="111"/>
  <c r="M17" i="111"/>
  <c r="N17" i="111"/>
  <c r="O17" i="111"/>
  <c r="Q17" i="111"/>
  <c r="R17" i="111"/>
  <c r="C18" i="111"/>
  <c r="Y20" i="121" s="1"/>
  <c r="D18" i="111"/>
  <c r="E18" i="111"/>
  <c r="V19" i="122" s="1"/>
  <c r="F18" i="111"/>
  <c r="G18" i="111"/>
  <c r="N18" i="123" s="1"/>
  <c r="BB21" i="126" s="1"/>
  <c r="H18" i="111"/>
  <c r="I18" i="111"/>
  <c r="J18" i="111"/>
  <c r="K18" i="111"/>
  <c r="L18" i="111"/>
  <c r="M18" i="111"/>
  <c r="N18" i="111"/>
  <c r="O18" i="111"/>
  <c r="Q18" i="111"/>
  <c r="R18" i="111"/>
  <c r="C19" i="111"/>
  <c r="Y21" i="121" s="1"/>
  <c r="D19" i="111"/>
  <c r="E19" i="111"/>
  <c r="V20" i="122" s="1"/>
  <c r="F19" i="111"/>
  <c r="G19" i="111"/>
  <c r="N19" i="123" s="1"/>
  <c r="BB22" i="126" s="1"/>
  <c r="H19" i="111"/>
  <c r="I19" i="111"/>
  <c r="J19" i="111"/>
  <c r="K19" i="111"/>
  <c r="L19" i="111"/>
  <c r="M19" i="111"/>
  <c r="N19" i="111"/>
  <c r="O19" i="111"/>
  <c r="Q19" i="111"/>
  <c r="R19" i="111"/>
  <c r="C20" i="111"/>
  <c r="D20" i="111"/>
  <c r="E20" i="111"/>
  <c r="V23" i="122" s="1"/>
  <c r="F20" i="111"/>
  <c r="G20" i="111"/>
  <c r="N22" i="123" s="1"/>
  <c r="BB25" i="126" s="1"/>
  <c r="H20" i="111"/>
  <c r="I20" i="111"/>
  <c r="J20" i="111"/>
  <c r="K20" i="111"/>
  <c r="L20" i="111"/>
  <c r="M20" i="111"/>
  <c r="N20" i="111"/>
  <c r="O20" i="111"/>
  <c r="Q20" i="111"/>
  <c r="R20" i="111"/>
  <c r="C21" i="111"/>
  <c r="D21" i="111"/>
  <c r="E21" i="111"/>
  <c r="V21" i="122" s="1"/>
  <c r="F21" i="111"/>
  <c r="G21" i="111"/>
  <c r="N20" i="123" s="1"/>
  <c r="BB23" i="126" s="1"/>
  <c r="H21" i="111"/>
  <c r="I21" i="111"/>
  <c r="J21" i="111"/>
  <c r="K21" i="111"/>
  <c r="L21" i="111"/>
  <c r="M21" i="111"/>
  <c r="N21" i="111"/>
  <c r="O21" i="111"/>
  <c r="Q21" i="111"/>
  <c r="R21" i="111"/>
  <c r="C22" i="111"/>
  <c r="D22" i="111"/>
  <c r="E22" i="111"/>
  <c r="V22" i="122" s="1"/>
  <c r="F22" i="111"/>
  <c r="G22" i="111"/>
  <c r="N21" i="123" s="1"/>
  <c r="BB24" i="126" s="1"/>
  <c r="H22" i="111"/>
  <c r="I22" i="111"/>
  <c r="J22" i="111"/>
  <c r="K22" i="111"/>
  <c r="L22" i="111"/>
  <c r="M22" i="111"/>
  <c r="N22" i="111"/>
  <c r="O22" i="111"/>
  <c r="Q22" i="111"/>
  <c r="R22" i="111"/>
  <c r="C23" i="111"/>
  <c r="D23" i="111"/>
  <c r="E23" i="111"/>
  <c r="V24" i="122" s="1"/>
  <c r="F23" i="111"/>
  <c r="G23" i="111"/>
  <c r="N23" i="123" s="1"/>
  <c r="BB26" i="126" s="1"/>
  <c r="H23" i="111"/>
  <c r="I23" i="111"/>
  <c r="J23" i="111"/>
  <c r="K23" i="111"/>
  <c r="L23" i="111"/>
  <c r="M23" i="111"/>
  <c r="N23" i="111"/>
  <c r="O23" i="111"/>
  <c r="Q23" i="111"/>
  <c r="R23" i="111"/>
  <c r="C24" i="111"/>
  <c r="D24" i="111"/>
  <c r="E24" i="111"/>
  <c r="V25" i="122" s="1"/>
  <c r="F24" i="111"/>
  <c r="G24" i="111"/>
  <c r="N24" i="123" s="1"/>
  <c r="BB27" i="126" s="1"/>
  <c r="H24" i="111"/>
  <c r="I24" i="111"/>
  <c r="J24" i="111"/>
  <c r="K24" i="111"/>
  <c r="L24" i="111"/>
  <c r="M24" i="111"/>
  <c r="N24" i="111"/>
  <c r="O24" i="111"/>
  <c r="Q24" i="111"/>
  <c r="R24" i="111"/>
  <c r="C25" i="111"/>
  <c r="D25" i="111"/>
  <c r="E25" i="111"/>
  <c r="V28" i="122" s="1"/>
  <c r="F25" i="111"/>
  <c r="G25" i="111"/>
  <c r="N27" i="123" s="1"/>
  <c r="BB30" i="126" s="1"/>
  <c r="H25" i="111"/>
  <c r="I25" i="111"/>
  <c r="J25" i="111"/>
  <c r="K25" i="111"/>
  <c r="L25" i="111"/>
  <c r="M25" i="111"/>
  <c r="N25" i="111"/>
  <c r="O25" i="111"/>
  <c r="Q25" i="111"/>
  <c r="R25" i="111"/>
  <c r="C26" i="111"/>
  <c r="D26" i="111"/>
  <c r="E26" i="111"/>
  <c r="V26" i="122" s="1"/>
  <c r="F26" i="111"/>
  <c r="G26" i="111"/>
  <c r="N25" i="123" s="1"/>
  <c r="BB28" i="126" s="1"/>
  <c r="H26" i="111"/>
  <c r="I26" i="111"/>
  <c r="J26" i="111"/>
  <c r="K26" i="111"/>
  <c r="L26" i="111"/>
  <c r="M26" i="111"/>
  <c r="N26" i="111"/>
  <c r="O26" i="111"/>
  <c r="Q26" i="111"/>
  <c r="R26" i="111"/>
  <c r="C27" i="111"/>
  <c r="D27" i="111"/>
  <c r="E27" i="111"/>
  <c r="V27" i="122" s="1"/>
  <c r="F27" i="111"/>
  <c r="G27" i="111"/>
  <c r="N26" i="123" s="1"/>
  <c r="BB29" i="126" s="1"/>
  <c r="H27" i="111"/>
  <c r="I27" i="111"/>
  <c r="J27" i="111"/>
  <c r="K27" i="111"/>
  <c r="L27" i="111"/>
  <c r="M27" i="111"/>
  <c r="N27" i="111"/>
  <c r="O27" i="111"/>
  <c r="Q27" i="111"/>
  <c r="R27" i="111"/>
  <c r="C28" i="111"/>
  <c r="D28" i="111"/>
  <c r="E28" i="111"/>
  <c r="V29" i="122" s="1"/>
  <c r="F28" i="111"/>
  <c r="G28" i="111"/>
  <c r="N28" i="123" s="1"/>
  <c r="BB31" i="126" s="1"/>
  <c r="H28" i="111"/>
  <c r="I28" i="111"/>
  <c r="J28" i="111"/>
  <c r="K28" i="111"/>
  <c r="L28" i="111"/>
  <c r="M28" i="111"/>
  <c r="N28" i="111"/>
  <c r="O28" i="111"/>
  <c r="Q28" i="111"/>
  <c r="R28" i="111"/>
  <c r="C29" i="111"/>
  <c r="D29" i="111"/>
  <c r="E29" i="111"/>
  <c r="V31" i="122" s="1"/>
  <c r="F29" i="111"/>
  <c r="G29" i="111"/>
  <c r="N30" i="123" s="1"/>
  <c r="BB33" i="126" s="1"/>
  <c r="H29" i="111"/>
  <c r="I29" i="111"/>
  <c r="J29" i="111"/>
  <c r="K29" i="111"/>
  <c r="L29" i="111"/>
  <c r="M29" i="111"/>
  <c r="N29" i="111"/>
  <c r="O29" i="111"/>
  <c r="Q29" i="111"/>
  <c r="R29" i="111"/>
  <c r="C30" i="111"/>
  <c r="D30" i="111"/>
  <c r="E30" i="111"/>
  <c r="V30" i="122" s="1"/>
  <c r="F30" i="111"/>
  <c r="G30" i="111"/>
  <c r="N29" i="123" s="1"/>
  <c r="BB32" i="126" s="1"/>
  <c r="H30" i="111"/>
  <c r="I30" i="111"/>
  <c r="J30" i="111"/>
  <c r="K30" i="111"/>
  <c r="L30" i="111"/>
  <c r="M30" i="111"/>
  <c r="N30" i="111"/>
  <c r="O30" i="111"/>
  <c r="Q30" i="111"/>
  <c r="R30" i="111"/>
  <c r="C31" i="111"/>
  <c r="D31" i="111"/>
  <c r="E31" i="111"/>
  <c r="V32" i="122" s="1"/>
  <c r="F31" i="111"/>
  <c r="G31" i="111"/>
  <c r="N31" i="123" s="1"/>
  <c r="BB34" i="126" s="1"/>
  <c r="H31" i="111"/>
  <c r="I31" i="111"/>
  <c r="J31" i="111"/>
  <c r="K31" i="111"/>
  <c r="L31" i="111"/>
  <c r="M31" i="111"/>
  <c r="N31" i="111"/>
  <c r="O31" i="111"/>
  <c r="Q31" i="111"/>
  <c r="R31" i="111"/>
  <c r="C40" i="111"/>
  <c r="D40" i="111"/>
  <c r="U40" i="111" s="1"/>
  <c r="E40" i="111"/>
  <c r="V40" i="111" s="1"/>
  <c r="F40" i="111"/>
  <c r="W40" i="111" s="1"/>
  <c r="G40" i="111"/>
  <c r="X40" i="111" s="1"/>
  <c r="H40" i="111"/>
  <c r="I40" i="111"/>
  <c r="J40" i="111"/>
  <c r="K40" i="111"/>
  <c r="L40" i="111"/>
  <c r="M40" i="111"/>
  <c r="N40" i="111"/>
  <c r="O40" i="111"/>
  <c r="Q40" i="111"/>
  <c r="R40" i="111"/>
  <c r="C41" i="111"/>
  <c r="D41" i="111"/>
  <c r="U41" i="111" s="1"/>
  <c r="E41" i="111"/>
  <c r="V41" i="111" s="1"/>
  <c r="F41" i="111"/>
  <c r="W41" i="111" s="1"/>
  <c r="G41" i="111"/>
  <c r="X41" i="111" s="1"/>
  <c r="H41" i="111"/>
  <c r="I41" i="111"/>
  <c r="J41" i="111"/>
  <c r="K41" i="111"/>
  <c r="L41" i="111"/>
  <c r="M41" i="111"/>
  <c r="N41" i="111"/>
  <c r="O41" i="111"/>
  <c r="Q41" i="111"/>
  <c r="R41" i="111"/>
  <c r="C42" i="111"/>
  <c r="D42" i="111"/>
  <c r="U42" i="111" s="1"/>
  <c r="E42" i="111"/>
  <c r="V42" i="111" s="1"/>
  <c r="F42" i="111"/>
  <c r="W42" i="111" s="1"/>
  <c r="G42" i="111"/>
  <c r="X42" i="111" s="1"/>
  <c r="H42" i="111"/>
  <c r="I42" i="111"/>
  <c r="J42" i="111"/>
  <c r="K42" i="111"/>
  <c r="L42" i="111"/>
  <c r="M42" i="111"/>
  <c r="N42" i="111"/>
  <c r="O42" i="111"/>
  <c r="Q42" i="111"/>
  <c r="R42" i="111"/>
  <c r="C43" i="111"/>
  <c r="T43" i="111" s="1"/>
  <c r="D43" i="111"/>
  <c r="U43" i="111" s="1"/>
  <c r="E43" i="111"/>
  <c r="V43" i="111" s="1"/>
  <c r="F43" i="111"/>
  <c r="W43" i="111" s="1"/>
  <c r="G43" i="111"/>
  <c r="X43" i="111" s="1"/>
  <c r="H43" i="111"/>
  <c r="I43" i="111"/>
  <c r="J43" i="111"/>
  <c r="K43" i="111"/>
  <c r="L43" i="111"/>
  <c r="M43" i="111"/>
  <c r="N43" i="111"/>
  <c r="O43" i="111"/>
  <c r="C44" i="111"/>
  <c r="T44" i="111" s="1"/>
  <c r="D44" i="111"/>
  <c r="U44" i="111" s="1"/>
  <c r="E44" i="111"/>
  <c r="V44" i="111" s="1"/>
  <c r="F44" i="111"/>
  <c r="W44" i="111" s="1"/>
  <c r="G44" i="111"/>
  <c r="X44" i="111" s="1"/>
  <c r="H44" i="111"/>
  <c r="I44" i="111"/>
  <c r="J44" i="111"/>
  <c r="K44" i="111"/>
  <c r="L44" i="111"/>
  <c r="M44" i="111"/>
  <c r="N44" i="111"/>
  <c r="O44" i="111"/>
  <c r="Q44" i="111"/>
  <c r="R44" i="111"/>
  <c r="C45" i="111"/>
  <c r="T45" i="111" s="1"/>
  <c r="D45" i="111"/>
  <c r="U45" i="111" s="1"/>
  <c r="E45" i="111"/>
  <c r="V45" i="111" s="1"/>
  <c r="F45" i="111"/>
  <c r="W45" i="111" s="1"/>
  <c r="G45" i="111"/>
  <c r="X45" i="111" s="1"/>
  <c r="H45" i="111"/>
  <c r="I45" i="111"/>
  <c r="J45" i="111"/>
  <c r="K45" i="111"/>
  <c r="L45" i="111"/>
  <c r="M45" i="111"/>
  <c r="N45" i="111"/>
  <c r="O45" i="111"/>
  <c r="Q45" i="111"/>
  <c r="R45" i="111"/>
  <c r="C46" i="111"/>
  <c r="T46" i="111" s="1"/>
  <c r="D46" i="111"/>
  <c r="U46" i="111" s="1"/>
  <c r="E46" i="111"/>
  <c r="V46" i="111" s="1"/>
  <c r="F46" i="111"/>
  <c r="W46" i="111" s="1"/>
  <c r="G46" i="111"/>
  <c r="X46" i="111" s="1"/>
  <c r="H46" i="111"/>
  <c r="I46" i="111"/>
  <c r="J46" i="111"/>
  <c r="K46" i="111"/>
  <c r="L46" i="111"/>
  <c r="M46" i="111"/>
  <c r="N46" i="111"/>
  <c r="O46" i="111"/>
  <c r="Q46" i="111"/>
  <c r="R46" i="111"/>
  <c r="C47" i="111"/>
  <c r="T47" i="111" s="1"/>
  <c r="D47" i="111"/>
  <c r="U47" i="111" s="1"/>
  <c r="E47" i="111"/>
  <c r="V47" i="111" s="1"/>
  <c r="F47" i="111"/>
  <c r="G47" i="111"/>
  <c r="X47" i="111" s="1"/>
  <c r="H47" i="111"/>
  <c r="I47" i="111"/>
  <c r="J47" i="111"/>
  <c r="K47" i="111"/>
  <c r="L47" i="111"/>
  <c r="M47" i="111"/>
  <c r="N47" i="111"/>
  <c r="O47" i="111"/>
  <c r="Q47" i="111"/>
  <c r="R47" i="111"/>
  <c r="C48" i="111"/>
  <c r="T48" i="111" s="1"/>
  <c r="D48" i="111"/>
  <c r="U48" i="111" s="1"/>
  <c r="E48" i="111"/>
  <c r="V48" i="111" s="1"/>
  <c r="F48" i="111"/>
  <c r="W48" i="111" s="1"/>
  <c r="G48" i="111"/>
  <c r="X48" i="111" s="1"/>
  <c r="H48" i="111"/>
  <c r="I48" i="111"/>
  <c r="J48" i="111"/>
  <c r="K48" i="111"/>
  <c r="L48" i="111"/>
  <c r="M48" i="111"/>
  <c r="N48" i="111"/>
  <c r="O48" i="111"/>
  <c r="Q48" i="111"/>
  <c r="R48" i="111"/>
  <c r="C49" i="111"/>
  <c r="T49" i="111" s="1"/>
  <c r="D49" i="111"/>
  <c r="U49" i="111" s="1"/>
  <c r="E49" i="111"/>
  <c r="V49" i="111" s="1"/>
  <c r="F49" i="111"/>
  <c r="W49" i="111" s="1"/>
  <c r="G49" i="111"/>
  <c r="X49" i="111" s="1"/>
  <c r="H49" i="111"/>
  <c r="I49" i="111"/>
  <c r="J49" i="111"/>
  <c r="K49" i="111"/>
  <c r="L49" i="111"/>
  <c r="M49" i="111"/>
  <c r="N49" i="111"/>
  <c r="O49" i="111"/>
  <c r="Q49" i="111"/>
  <c r="R49" i="111"/>
  <c r="C50" i="111"/>
  <c r="T50" i="111" s="1"/>
  <c r="D50" i="111"/>
  <c r="U50" i="111" s="1"/>
  <c r="E50" i="111"/>
  <c r="V50" i="111" s="1"/>
  <c r="F50" i="111"/>
  <c r="W50" i="111" s="1"/>
  <c r="G50" i="111"/>
  <c r="X50" i="111" s="1"/>
  <c r="H50" i="111"/>
  <c r="I50" i="111"/>
  <c r="J50" i="111"/>
  <c r="K50" i="111"/>
  <c r="L50" i="111"/>
  <c r="M50" i="111"/>
  <c r="N50" i="111"/>
  <c r="O50" i="111"/>
  <c r="Q50" i="111"/>
  <c r="R50" i="111"/>
  <c r="C51" i="111"/>
  <c r="T51" i="111" s="1"/>
  <c r="D51" i="111"/>
  <c r="U51" i="111" s="1"/>
  <c r="E51" i="111"/>
  <c r="V51" i="111" s="1"/>
  <c r="F51" i="111"/>
  <c r="W51" i="111" s="1"/>
  <c r="G51" i="111"/>
  <c r="X51" i="111" s="1"/>
  <c r="H51" i="111"/>
  <c r="I51" i="111"/>
  <c r="J51" i="111"/>
  <c r="K51" i="111"/>
  <c r="L51" i="111"/>
  <c r="M51" i="111"/>
  <c r="N51" i="111"/>
  <c r="O51" i="111"/>
  <c r="Q51" i="111"/>
  <c r="R51" i="111"/>
  <c r="C52" i="111"/>
  <c r="T52" i="111" s="1"/>
  <c r="D52" i="111"/>
  <c r="U52" i="111" s="1"/>
  <c r="E52" i="111"/>
  <c r="V52" i="111" s="1"/>
  <c r="F52" i="111"/>
  <c r="W52" i="111" s="1"/>
  <c r="G52" i="111"/>
  <c r="X52" i="111" s="1"/>
  <c r="H52" i="111"/>
  <c r="I52" i="111"/>
  <c r="J52" i="111"/>
  <c r="K52" i="111"/>
  <c r="L52" i="111"/>
  <c r="M52" i="111"/>
  <c r="N52" i="111"/>
  <c r="O52" i="111"/>
  <c r="Q52" i="111"/>
  <c r="R52" i="111"/>
  <c r="C53" i="111"/>
  <c r="T53" i="111" s="1"/>
  <c r="D53" i="111"/>
  <c r="U53" i="111" s="1"/>
  <c r="E53" i="111"/>
  <c r="V53" i="111" s="1"/>
  <c r="F53" i="111"/>
  <c r="W53" i="111" s="1"/>
  <c r="G53" i="111"/>
  <c r="X53" i="111" s="1"/>
  <c r="H53" i="111"/>
  <c r="I53" i="111"/>
  <c r="J53" i="111"/>
  <c r="K53" i="111"/>
  <c r="L53" i="111"/>
  <c r="M53" i="111"/>
  <c r="N53" i="111"/>
  <c r="O53" i="111"/>
  <c r="Q53" i="111"/>
  <c r="R53" i="111"/>
  <c r="C54" i="111"/>
  <c r="T54" i="111" s="1"/>
  <c r="D54" i="111"/>
  <c r="U54" i="111" s="1"/>
  <c r="E54" i="111"/>
  <c r="V54" i="111" s="1"/>
  <c r="F54" i="111"/>
  <c r="W54" i="111" s="1"/>
  <c r="G54" i="111"/>
  <c r="X54" i="111" s="1"/>
  <c r="H54" i="111"/>
  <c r="I54" i="111"/>
  <c r="J54" i="111"/>
  <c r="K54" i="111"/>
  <c r="L54" i="111"/>
  <c r="M54" i="111"/>
  <c r="N54" i="111"/>
  <c r="O54" i="111"/>
  <c r="Q54" i="111"/>
  <c r="R54" i="111"/>
  <c r="C55" i="111"/>
  <c r="T55" i="111" s="1"/>
  <c r="D55" i="111"/>
  <c r="U55" i="111" s="1"/>
  <c r="E55" i="111"/>
  <c r="V55" i="111" s="1"/>
  <c r="F55" i="111"/>
  <c r="W55" i="111" s="1"/>
  <c r="G55" i="111"/>
  <c r="X55" i="111" s="1"/>
  <c r="H55" i="111"/>
  <c r="I55" i="111"/>
  <c r="J55" i="111"/>
  <c r="K55" i="111"/>
  <c r="L55" i="111"/>
  <c r="M55" i="111"/>
  <c r="N55" i="111"/>
  <c r="O55" i="111"/>
  <c r="Q55" i="111"/>
  <c r="R55" i="111"/>
  <c r="C56" i="111"/>
  <c r="T56" i="111" s="1"/>
  <c r="D56" i="111"/>
  <c r="U56" i="111" s="1"/>
  <c r="E56" i="111"/>
  <c r="V56" i="111" s="1"/>
  <c r="F56" i="111"/>
  <c r="W56" i="111" s="1"/>
  <c r="G56" i="111"/>
  <c r="X56" i="111" s="1"/>
  <c r="H56" i="111"/>
  <c r="I56" i="111"/>
  <c r="J56" i="111"/>
  <c r="K56" i="111"/>
  <c r="L56" i="111"/>
  <c r="M56" i="111"/>
  <c r="N56" i="111"/>
  <c r="O56" i="111"/>
  <c r="Q56" i="111"/>
  <c r="R56" i="111"/>
  <c r="C57" i="111"/>
  <c r="T57" i="111" s="1"/>
  <c r="D57" i="111"/>
  <c r="U57" i="111" s="1"/>
  <c r="E57" i="111"/>
  <c r="V57" i="111" s="1"/>
  <c r="F57" i="111"/>
  <c r="W57" i="111" s="1"/>
  <c r="G57" i="111"/>
  <c r="X57" i="111" s="1"/>
  <c r="H57" i="111"/>
  <c r="I57" i="111"/>
  <c r="J57" i="111"/>
  <c r="K57" i="111"/>
  <c r="L57" i="111"/>
  <c r="M57" i="111"/>
  <c r="N57" i="111"/>
  <c r="O57" i="111"/>
  <c r="Q57" i="111"/>
  <c r="R57" i="111"/>
  <c r="C58" i="111"/>
  <c r="T58" i="111" s="1"/>
  <c r="D58" i="111"/>
  <c r="U58" i="111" s="1"/>
  <c r="E58" i="111"/>
  <c r="V58" i="111" s="1"/>
  <c r="F58" i="111"/>
  <c r="W58" i="111" s="1"/>
  <c r="G58" i="111"/>
  <c r="X58" i="111" s="1"/>
  <c r="H58" i="111"/>
  <c r="I58" i="111"/>
  <c r="J58" i="111"/>
  <c r="K58" i="111"/>
  <c r="L58" i="111"/>
  <c r="M58" i="111"/>
  <c r="N58" i="111"/>
  <c r="O58" i="111"/>
  <c r="Q58" i="111"/>
  <c r="R58" i="111"/>
  <c r="C59" i="111"/>
  <c r="T59" i="111" s="1"/>
  <c r="D59" i="111"/>
  <c r="U59" i="111" s="1"/>
  <c r="E59" i="111"/>
  <c r="V59" i="111" s="1"/>
  <c r="F59" i="111"/>
  <c r="W59" i="111" s="1"/>
  <c r="G59" i="111"/>
  <c r="X59" i="111" s="1"/>
  <c r="H59" i="111"/>
  <c r="I59" i="111"/>
  <c r="J59" i="111"/>
  <c r="K59" i="111"/>
  <c r="L59" i="111"/>
  <c r="M59" i="111"/>
  <c r="N59" i="111"/>
  <c r="O59" i="111"/>
  <c r="Q59" i="111"/>
  <c r="R59" i="111"/>
  <c r="C60" i="111"/>
  <c r="T60" i="111" s="1"/>
  <c r="D60" i="111"/>
  <c r="U60" i="111" s="1"/>
  <c r="E60" i="111"/>
  <c r="V60" i="111" s="1"/>
  <c r="F60" i="111"/>
  <c r="W60" i="111" s="1"/>
  <c r="G60" i="111"/>
  <c r="X60" i="111" s="1"/>
  <c r="H60" i="111"/>
  <c r="I60" i="111"/>
  <c r="J60" i="111"/>
  <c r="K60" i="111"/>
  <c r="L60" i="111"/>
  <c r="M60" i="111"/>
  <c r="N60" i="111"/>
  <c r="O60" i="111"/>
  <c r="Q60" i="111"/>
  <c r="R60" i="111"/>
  <c r="C61" i="111"/>
  <c r="T61" i="111" s="1"/>
  <c r="D61" i="111"/>
  <c r="U61" i="111" s="1"/>
  <c r="E61" i="111"/>
  <c r="V61" i="111" s="1"/>
  <c r="F61" i="111"/>
  <c r="W61" i="111" s="1"/>
  <c r="G61" i="111"/>
  <c r="X61" i="111" s="1"/>
  <c r="H61" i="111"/>
  <c r="I61" i="111"/>
  <c r="J61" i="111"/>
  <c r="K61" i="111"/>
  <c r="L61" i="111"/>
  <c r="M61" i="111"/>
  <c r="N61" i="111"/>
  <c r="O61" i="111"/>
  <c r="Q61" i="111"/>
  <c r="R61" i="111"/>
  <c r="C62" i="111"/>
  <c r="T62" i="111" s="1"/>
  <c r="D62" i="111"/>
  <c r="U62" i="111" s="1"/>
  <c r="E62" i="111"/>
  <c r="V62" i="111" s="1"/>
  <c r="F62" i="111"/>
  <c r="W62" i="111" s="1"/>
  <c r="G62" i="111"/>
  <c r="X62" i="111" s="1"/>
  <c r="H62" i="111"/>
  <c r="I62" i="111"/>
  <c r="J62" i="111"/>
  <c r="K62" i="111"/>
  <c r="L62" i="111"/>
  <c r="M62" i="111"/>
  <c r="N62" i="111"/>
  <c r="O62" i="111"/>
  <c r="Q62" i="111"/>
  <c r="R62" i="111"/>
  <c r="C63" i="111"/>
  <c r="T63" i="111" s="1"/>
  <c r="D63" i="111"/>
  <c r="U63" i="111" s="1"/>
  <c r="E63" i="111"/>
  <c r="V63" i="111" s="1"/>
  <c r="F63" i="111"/>
  <c r="W63" i="111" s="1"/>
  <c r="G63" i="111"/>
  <c r="X63" i="111" s="1"/>
  <c r="H63" i="111"/>
  <c r="I63" i="111"/>
  <c r="J63" i="111"/>
  <c r="K63" i="111"/>
  <c r="L63" i="111"/>
  <c r="M63" i="111"/>
  <c r="N63" i="111"/>
  <c r="O63" i="111"/>
  <c r="Q63" i="111"/>
  <c r="R63" i="111"/>
  <c r="C64" i="111"/>
  <c r="T64" i="111" s="1"/>
  <c r="D64" i="111"/>
  <c r="U64" i="111" s="1"/>
  <c r="E64" i="111"/>
  <c r="V64" i="111" s="1"/>
  <c r="F64" i="111"/>
  <c r="W64" i="111" s="1"/>
  <c r="G64" i="111"/>
  <c r="X64" i="111" s="1"/>
  <c r="H64" i="111"/>
  <c r="I64" i="111"/>
  <c r="J64" i="111"/>
  <c r="K64" i="111"/>
  <c r="L64" i="111"/>
  <c r="M64" i="111"/>
  <c r="N64" i="111"/>
  <c r="O64" i="111"/>
  <c r="C65" i="111"/>
  <c r="T65" i="111" s="1"/>
  <c r="D65" i="111"/>
  <c r="U65" i="111" s="1"/>
  <c r="E65" i="111"/>
  <c r="V65" i="111" s="1"/>
  <c r="F65" i="111"/>
  <c r="W65" i="111" s="1"/>
  <c r="G65" i="111"/>
  <c r="X65" i="111" s="1"/>
  <c r="H65" i="111"/>
  <c r="I65" i="111"/>
  <c r="J65" i="111"/>
  <c r="K65" i="111"/>
  <c r="L65" i="111"/>
  <c r="M65" i="111"/>
  <c r="N65" i="111"/>
  <c r="O65" i="111"/>
  <c r="Q65" i="111"/>
  <c r="R65" i="111"/>
  <c r="C66" i="111"/>
  <c r="T66" i="111" s="1"/>
  <c r="D66" i="111"/>
  <c r="U66" i="111" s="1"/>
  <c r="E66" i="111"/>
  <c r="V66" i="111" s="1"/>
  <c r="F66" i="111"/>
  <c r="W66" i="111" s="1"/>
  <c r="G66" i="111"/>
  <c r="X66" i="111" s="1"/>
  <c r="H66" i="111"/>
  <c r="I66" i="111"/>
  <c r="J66" i="111"/>
  <c r="K66" i="111"/>
  <c r="L66" i="111"/>
  <c r="M66" i="111"/>
  <c r="N66" i="111"/>
  <c r="O66" i="111"/>
  <c r="Q66" i="111"/>
  <c r="R66" i="111"/>
  <c r="S75" i="111"/>
  <c r="S76" i="111"/>
  <c r="S77" i="111"/>
  <c r="S78" i="111"/>
  <c r="S79" i="111"/>
  <c r="S80" i="111"/>
  <c r="S81" i="111"/>
  <c r="S82" i="111"/>
  <c r="S83" i="111"/>
  <c r="S84" i="111"/>
  <c r="S85" i="111"/>
  <c r="S86" i="111"/>
  <c r="S87" i="111"/>
  <c r="S88" i="111"/>
  <c r="S89" i="111"/>
  <c r="S90" i="111"/>
  <c r="S91" i="111"/>
  <c r="S92" i="111"/>
  <c r="S93" i="111"/>
  <c r="S94" i="111"/>
  <c r="S95" i="111"/>
  <c r="S96" i="111"/>
  <c r="S97" i="111"/>
  <c r="S98" i="111"/>
  <c r="S99" i="111"/>
  <c r="S100" i="111"/>
  <c r="S101" i="111"/>
  <c r="C102" i="111"/>
  <c r="D102" i="111"/>
  <c r="E102" i="111"/>
  <c r="F102" i="111"/>
  <c r="G102" i="111"/>
  <c r="H102" i="111"/>
  <c r="G10" i="118" s="1"/>
  <c r="I102" i="111"/>
  <c r="H10" i="118" s="1"/>
  <c r="J102" i="111"/>
  <c r="I10" i="118" s="1"/>
  <c r="K102" i="111"/>
  <c r="J10" i="118" s="1"/>
  <c r="L102" i="111"/>
  <c r="K10" i="118" s="1"/>
  <c r="M102" i="111"/>
  <c r="L10" i="118" s="1"/>
  <c r="N102" i="111"/>
  <c r="M10" i="118" s="1"/>
  <c r="O102" i="111"/>
  <c r="N10" i="118" s="1"/>
  <c r="Q102" i="111"/>
  <c r="P10" i="118" s="1"/>
  <c r="R102" i="111"/>
  <c r="Q10" i="118" s="1"/>
  <c r="C5" i="110"/>
  <c r="D5" i="110"/>
  <c r="L4" i="65" s="1"/>
  <c r="E5" i="110"/>
  <c r="T6" i="122" s="1"/>
  <c r="F5" i="110"/>
  <c r="G5" i="110"/>
  <c r="H5" i="110"/>
  <c r="I5" i="110"/>
  <c r="J5" i="110"/>
  <c r="K5" i="110"/>
  <c r="L5" i="110"/>
  <c r="M5" i="110"/>
  <c r="N5" i="110"/>
  <c r="O5" i="110"/>
  <c r="Q5" i="110"/>
  <c r="R5" i="110"/>
  <c r="C6" i="110"/>
  <c r="D6" i="110"/>
  <c r="L5" i="65" s="1"/>
  <c r="E6" i="110"/>
  <c r="F6" i="110"/>
  <c r="M5" i="65" s="1"/>
  <c r="G6" i="110"/>
  <c r="H6" i="110"/>
  <c r="I6" i="110"/>
  <c r="J6" i="110"/>
  <c r="K6" i="110"/>
  <c r="L6" i="110"/>
  <c r="M6" i="110"/>
  <c r="N6" i="110"/>
  <c r="O6" i="110"/>
  <c r="Q6" i="110"/>
  <c r="R6" i="110"/>
  <c r="C7" i="110"/>
  <c r="D7" i="110"/>
  <c r="L6" i="65" s="1"/>
  <c r="E7" i="110"/>
  <c r="F7" i="110"/>
  <c r="M6" i="65" s="1"/>
  <c r="G7" i="110"/>
  <c r="H7" i="110"/>
  <c r="I7" i="110"/>
  <c r="J7" i="110"/>
  <c r="K7" i="110"/>
  <c r="L7" i="110"/>
  <c r="M7" i="110"/>
  <c r="N7" i="110"/>
  <c r="O7" i="110"/>
  <c r="Q7" i="110"/>
  <c r="R7" i="110"/>
  <c r="C8" i="110"/>
  <c r="D8" i="110"/>
  <c r="L7" i="65" s="1"/>
  <c r="E8" i="110"/>
  <c r="F8" i="110"/>
  <c r="M7" i="65" s="1"/>
  <c r="G8" i="110"/>
  <c r="H8" i="110"/>
  <c r="I8" i="110"/>
  <c r="J8" i="110"/>
  <c r="K8" i="110"/>
  <c r="L8" i="110"/>
  <c r="M8" i="110"/>
  <c r="N8" i="110"/>
  <c r="O8" i="110"/>
  <c r="Q8" i="110"/>
  <c r="R8" i="110"/>
  <c r="C9" i="110"/>
  <c r="D9" i="110"/>
  <c r="L8" i="65" s="1"/>
  <c r="E9" i="110"/>
  <c r="F9" i="110"/>
  <c r="M8" i="65" s="1"/>
  <c r="G9" i="110"/>
  <c r="H9" i="110"/>
  <c r="I9" i="110"/>
  <c r="J9" i="110"/>
  <c r="K9" i="110"/>
  <c r="L9" i="110"/>
  <c r="M9" i="110"/>
  <c r="N9" i="110"/>
  <c r="O9" i="110"/>
  <c r="Q9" i="110"/>
  <c r="R9" i="110"/>
  <c r="C10" i="110"/>
  <c r="D10" i="110"/>
  <c r="L9" i="65" s="1"/>
  <c r="E10" i="110"/>
  <c r="F10" i="110"/>
  <c r="M9" i="65" s="1"/>
  <c r="G10" i="110"/>
  <c r="H10" i="110"/>
  <c r="I10" i="110"/>
  <c r="J10" i="110"/>
  <c r="K10" i="110"/>
  <c r="L10" i="110"/>
  <c r="M10" i="110"/>
  <c r="N10" i="110"/>
  <c r="O10" i="110"/>
  <c r="Q10" i="110"/>
  <c r="R10" i="110"/>
  <c r="C11" i="110"/>
  <c r="D11" i="110"/>
  <c r="L10" i="65" s="1"/>
  <c r="E11" i="110"/>
  <c r="F11" i="110"/>
  <c r="M10" i="65" s="1"/>
  <c r="G11" i="110"/>
  <c r="H11" i="110"/>
  <c r="I11" i="110"/>
  <c r="J11" i="110"/>
  <c r="K11" i="110"/>
  <c r="L11" i="110"/>
  <c r="M11" i="110"/>
  <c r="N11" i="110"/>
  <c r="O11" i="110"/>
  <c r="Q11" i="110"/>
  <c r="R11" i="110"/>
  <c r="C12" i="110"/>
  <c r="D12" i="110"/>
  <c r="L11" i="65" s="1"/>
  <c r="E12" i="110"/>
  <c r="F12" i="110"/>
  <c r="M11" i="65" s="1"/>
  <c r="G12" i="110"/>
  <c r="H12" i="110"/>
  <c r="I12" i="110"/>
  <c r="J12" i="110"/>
  <c r="K12" i="110"/>
  <c r="L12" i="110"/>
  <c r="M12" i="110"/>
  <c r="N12" i="110"/>
  <c r="O12" i="110"/>
  <c r="Q12" i="110"/>
  <c r="R12" i="110"/>
  <c r="C13" i="110"/>
  <c r="D13" i="110"/>
  <c r="L12" i="65" s="1"/>
  <c r="E13" i="110"/>
  <c r="F13" i="110"/>
  <c r="M12" i="65" s="1"/>
  <c r="G13" i="110"/>
  <c r="H13" i="110"/>
  <c r="I13" i="110"/>
  <c r="J13" i="110"/>
  <c r="K13" i="110"/>
  <c r="L13" i="110"/>
  <c r="M13" i="110"/>
  <c r="N13" i="110"/>
  <c r="O13" i="110"/>
  <c r="Q13" i="110"/>
  <c r="R13" i="110"/>
  <c r="C14" i="110"/>
  <c r="D14" i="110"/>
  <c r="L13" i="65" s="1"/>
  <c r="E14" i="110"/>
  <c r="F14" i="110"/>
  <c r="M13" i="65" s="1"/>
  <c r="G14" i="110"/>
  <c r="H14" i="110"/>
  <c r="I14" i="110"/>
  <c r="J14" i="110"/>
  <c r="K14" i="110"/>
  <c r="L14" i="110"/>
  <c r="M14" i="110"/>
  <c r="N14" i="110"/>
  <c r="O14" i="110"/>
  <c r="Q14" i="110"/>
  <c r="R14" i="110"/>
  <c r="C15" i="110"/>
  <c r="D15" i="110"/>
  <c r="L14" i="65" s="1"/>
  <c r="E15" i="110"/>
  <c r="F15" i="110"/>
  <c r="M14" i="65" s="1"/>
  <c r="G15" i="110"/>
  <c r="H15" i="110"/>
  <c r="I15" i="110"/>
  <c r="J15" i="110"/>
  <c r="K15" i="110"/>
  <c r="L15" i="110"/>
  <c r="M15" i="110"/>
  <c r="N15" i="110"/>
  <c r="O15" i="110"/>
  <c r="Q15" i="110"/>
  <c r="R15" i="110"/>
  <c r="C16" i="110"/>
  <c r="D16" i="110"/>
  <c r="L15" i="65" s="1"/>
  <c r="E16" i="110"/>
  <c r="F16" i="110"/>
  <c r="M15" i="65" s="1"/>
  <c r="G16" i="110"/>
  <c r="H16" i="110"/>
  <c r="I16" i="110"/>
  <c r="J16" i="110"/>
  <c r="K16" i="110"/>
  <c r="L16" i="110"/>
  <c r="M16" i="110"/>
  <c r="N16" i="110"/>
  <c r="O16" i="110"/>
  <c r="Q16" i="110"/>
  <c r="R16" i="110"/>
  <c r="C17" i="110"/>
  <c r="D17" i="110"/>
  <c r="L16" i="65" s="1"/>
  <c r="E17" i="110"/>
  <c r="F17" i="110"/>
  <c r="M16" i="65" s="1"/>
  <c r="G17" i="110"/>
  <c r="H17" i="110"/>
  <c r="I17" i="110"/>
  <c r="J17" i="110"/>
  <c r="K17" i="110"/>
  <c r="L17" i="110"/>
  <c r="M17" i="110"/>
  <c r="N17" i="110"/>
  <c r="O17" i="110"/>
  <c r="Q17" i="110"/>
  <c r="R17" i="110"/>
  <c r="C18" i="110"/>
  <c r="D18" i="110"/>
  <c r="L17" i="65" s="1"/>
  <c r="E18" i="110"/>
  <c r="F18" i="110"/>
  <c r="M17" i="65" s="1"/>
  <c r="G18" i="110"/>
  <c r="H18" i="110"/>
  <c r="I18" i="110"/>
  <c r="J18" i="110"/>
  <c r="K18" i="110"/>
  <c r="L18" i="110"/>
  <c r="M18" i="110"/>
  <c r="N18" i="110"/>
  <c r="O18" i="110"/>
  <c r="Q18" i="110"/>
  <c r="R18" i="110"/>
  <c r="C19" i="110"/>
  <c r="D19" i="110"/>
  <c r="L18" i="65" s="1"/>
  <c r="E19" i="110"/>
  <c r="F19" i="110"/>
  <c r="M18" i="65" s="1"/>
  <c r="G19" i="110"/>
  <c r="H19" i="110"/>
  <c r="I19" i="110"/>
  <c r="J19" i="110"/>
  <c r="K19" i="110"/>
  <c r="L19" i="110"/>
  <c r="M19" i="110"/>
  <c r="N19" i="110"/>
  <c r="O19" i="110"/>
  <c r="Q19" i="110"/>
  <c r="R19" i="110"/>
  <c r="C20" i="110"/>
  <c r="D20" i="110"/>
  <c r="L19" i="65" s="1"/>
  <c r="E20" i="110"/>
  <c r="F20" i="110"/>
  <c r="M19" i="65" s="1"/>
  <c r="G20" i="110"/>
  <c r="H20" i="110"/>
  <c r="I20" i="110"/>
  <c r="J20" i="110"/>
  <c r="K20" i="110"/>
  <c r="L20" i="110"/>
  <c r="M20" i="110"/>
  <c r="N20" i="110"/>
  <c r="O20" i="110"/>
  <c r="Q20" i="110"/>
  <c r="R20" i="110"/>
  <c r="C21" i="110"/>
  <c r="D21" i="110"/>
  <c r="L20" i="65" s="1"/>
  <c r="E21" i="110"/>
  <c r="F21" i="110"/>
  <c r="M20" i="65" s="1"/>
  <c r="G21" i="110"/>
  <c r="H21" i="110"/>
  <c r="I21" i="110"/>
  <c r="J21" i="110"/>
  <c r="K21" i="110"/>
  <c r="L21" i="110"/>
  <c r="M21" i="110"/>
  <c r="N21" i="110"/>
  <c r="O21" i="110"/>
  <c r="Q21" i="110"/>
  <c r="R21" i="110"/>
  <c r="C22" i="110"/>
  <c r="D22" i="110"/>
  <c r="L21" i="65" s="1"/>
  <c r="E22" i="110"/>
  <c r="F22" i="110"/>
  <c r="M21" i="65" s="1"/>
  <c r="G22" i="110"/>
  <c r="H22" i="110"/>
  <c r="I22" i="110"/>
  <c r="J22" i="110"/>
  <c r="K22" i="110"/>
  <c r="L22" i="110"/>
  <c r="M22" i="110"/>
  <c r="N22" i="110"/>
  <c r="O22" i="110"/>
  <c r="Q22" i="110"/>
  <c r="R22" i="110"/>
  <c r="C23" i="110"/>
  <c r="D23" i="110"/>
  <c r="L22" i="65" s="1"/>
  <c r="E23" i="110"/>
  <c r="F23" i="110"/>
  <c r="M22" i="65" s="1"/>
  <c r="G23" i="110"/>
  <c r="H23" i="110"/>
  <c r="I23" i="110"/>
  <c r="J23" i="110"/>
  <c r="K23" i="110"/>
  <c r="L23" i="110"/>
  <c r="M23" i="110"/>
  <c r="N23" i="110"/>
  <c r="O23" i="110"/>
  <c r="Q23" i="110"/>
  <c r="R23" i="110"/>
  <c r="C24" i="110"/>
  <c r="D24" i="110"/>
  <c r="L23" i="65" s="1"/>
  <c r="E24" i="110"/>
  <c r="F24" i="110"/>
  <c r="M23" i="65" s="1"/>
  <c r="G24" i="110"/>
  <c r="H24" i="110"/>
  <c r="I24" i="110"/>
  <c r="J24" i="110"/>
  <c r="K24" i="110"/>
  <c r="L24" i="110"/>
  <c r="M24" i="110"/>
  <c r="N24" i="110"/>
  <c r="O24" i="110"/>
  <c r="Q24" i="110"/>
  <c r="R24" i="110"/>
  <c r="C25" i="110"/>
  <c r="D25" i="110"/>
  <c r="L24" i="65" s="1"/>
  <c r="E25" i="110"/>
  <c r="F25" i="110"/>
  <c r="M24" i="65" s="1"/>
  <c r="G25" i="110"/>
  <c r="H25" i="110"/>
  <c r="I25" i="110"/>
  <c r="J25" i="110"/>
  <c r="K25" i="110"/>
  <c r="L25" i="110"/>
  <c r="M25" i="110"/>
  <c r="N25" i="110"/>
  <c r="O25" i="110"/>
  <c r="Q25" i="110"/>
  <c r="R25" i="110"/>
  <c r="C26" i="110"/>
  <c r="D26" i="110"/>
  <c r="L25" i="65" s="1"/>
  <c r="E26" i="110"/>
  <c r="F26" i="110"/>
  <c r="M25" i="65" s="1"/>
  <c r="G26" i="110"/>
  <c r="H26" i="110"/>
  <c r="I26" i="110"/>
  <c r="J26" i="110"/>
  <c r="K26" i="110"/>
  <c r="L26" i="110"/>
  <c r="M26" i="110"/>
  <c r="N26" i="110"/>
  <c r="O26" i="110"/>
  <c r="Q26" i="110"/>
  <c r="R26" i="110"/>
  <c r="C27" i="110"/>
  <c r="D27" i="110"/>
  <c r="L26" i="65" s="1"/>
  <c r="E27" i="110"/>
  <c r="F27" i="110"/>
  <c r="M26" i="65" s="1"/>
  <c r="G27" i="110"/>
  <c r="H27" i="110"/>
  <c r="I27" i="110"/>
  <c r="J27" i="110"/>
  <c r="K27" i="110"/>
  <c r="L27" i="110"/>
  <c r="M27" i="110"/>
  <c r="N27" i="110"/>
  <c r="O27" i="110"/>
  <c r="Q27" i="110"/>
  <c r="R27" i="110"/>
  <c r="C28" i="110"/>
  <c r="D28" i="110"/>
  <c r="L27" i="65" s="1"/>
  <c r="E28" i="110"/>
  <c r="F28" i="110"/>
  <c r="M27" i="65" s="1"/>
  <c r="G28" i="110"/>
  <c r="H28" i="110"/>
  <c r="I28" i="110"/>
  <c r="J28" i="110"/>
  <c r="K28" i="110"/>
  <c r="L28" i="110"/>
  <c r="M28" i="110"/>
  <c r="N28" i="110"/>
  <c r="O28" i="110"/>
  <c r="Q28" i="110"/>
  <c r="R28" i="110"/>
  <c r="C29" i="110"/>
  <c r="D29" i="110"/>
  <c r="L28" i="65" s="1"/>
  <c r="E29" i="110"/>
  <c r="F29" i="110"/>
  <c r="M28" i="65" s="1"/>
  <c r="G29" i="110"/>
  <c r="H29" i="110"/>
  <c r="I29" i="110"/>
  <c r="J29" i="110"/>
  <c r="K29" i="110"/>
  <c r="L29" i="110"/>
  <c r="M29" i="110"/>
  <c r="N29" i="110"/>
  <c r="O29" i="110"/>
  <c r="Q29" i="110"/>
  <c r="R29" i="110"/>
  <c r="C30" i="110"/>
  <c r="D30" i="110"/>
  <c r="L29" i="65" s="1"/>
  <c r="E30" i="110"/>
  <c r="F30" i="110"/>
  <c r="M29" i="65" s="1"/>
  <c r="G30" i="110"/>
  <c r="H30" i="110"/>
  <c r="I30" i="110"/>
  <c r="J30" i="110"/>
  <c r="K30" i="110"/>
  <c r="L30" i="110"/>
  <c r="M30" i="110"/>
  <c r="N30" i="110"/>
  <c r="O30" i="110"/>
  <c r="Q30" i="110"/>
  <c r="R30" i="110"/>
  <c r="C31" i="110"/>
  <c r="D31" i="110"/>
  <c r="L30" i="65" s="1"/>
  <c r="E31" i="110"/>
  <c r="F31" i="110"/>
  <c r="M30" i="65" s="1"/>
  <c r="G31" i="110"/>
  <c r="H31" i="110"/>
  <c r="I31" i="110"/>
  <c r="J31" i="110"/>
  <c r="K31" i="110"/>
  <c r="L31" i="110"/>
  <c r="M31" i="110"/>
  <c r="N31" i="110"/>
  <c r="O31" i="110"/>
  <c r="Q31" i="110"/>
  <c r="R31" i="110"/>
  <c r="C40" i="110"/>
  <c r="T40" i="110" s="1"/>
  <c r="D40" i="110"/>
  <c r="U40" i="110" s="1"/>
  <c r="E40" i="110"/>
  <c r="V40" i="110" s="1"/>
  <c r="F40" i="110"/>
  <c r="W40" i="110" s="1"/>
  <c r="G40" i="110"/>
  <c r="X40" i="110" s="1"/>
  <c r="H40" i="110"/>
  <c r="I40" i="110"/>
  <c r="J40" i="110"/>
  <c r="K40" i="110"/>
  <c r="L40" i="110"/>
  <c r="M40" i="110"/>
  <c r="N40" i="110"/>
  <c r="O40" i="110"/>
  <c r="Q40" i="110"/>
  <c r="R40" i="110"/>
  <c r="C41" i="110"/>
  <c r="T41" i="110" s="1"/>
  <c r="D41" i="110"/>
  <c r="U41" i="110" s="1"/>
  <c r="E41" i="110"/>
  <c r="V41" i="110" s="1"/>
  <c r="F41" i="110"/>
  <c r="W41" i="110" s="1"/>
  <c r="G41" i="110"/>
  <c r="X41" i="110" s="1"/>
  <c r="H41" i="110"/>
  <c r="I41" i="110"/>
  <c r="J41" i="110"/>
  <c r="K41" i="110"/>
  <c r="L41" i="110"/>
  <c r="M41" i="110"/>
  <c r="N41" i="110"/>
  <c r="O41" i="110"/>
  <c r="Q41" i="110"/>
  <c r="R41" i="110"/>
  <c r="C42" i="110"/>
  <c r="T42" i="110" s="1"/>
  <c r="D42" i="110"/>
  <c r="U42" i="110" s="1"/>
  <c r="E42" i="110"/>
  <c r="V42" i="110" s="1"/>
  <c r="F42" i="110"/>
  <c r="W42" i="110" s="1"/>
  <c r="G42" i="110"/>
  <c r="X42" i="110" s="1"/>
  <c r="H42" i="110"/>
  <c r="I42" i="110"/>
  <c r="J42" i="110"/>
  <c r="K42" i="110"/>
  <c r="L42" i="110"/>
  <c r="M42" i="110"/>
  <c r="N42" i="110"/>
  <c r="O42" i="110"/>
  <c r="Q42" i="110"/>
  <c r="R42" i="110"/>
  <c r="C43" i="110"/>
  <c r="T43" i="110" s="1"/>
  <c r="D43" i="110"/>
  <c r="U43" i="110" s="1"/>
  <c r="E43" i="110"/>
  <c r="V43" i="110" s="1"/>
  <c r="F43" i="110"/>
  <c r="W43" i="110" s="1"/>
  <c r="G43" i="110"/>
  <c r="X43" i="110" s="1"/>
  <c r="H43" i="110"/>
  <c r="I43" i="110"/>
  <c r="J43" i="110"/>
  <c r="K43" i="110"/>
  <c r="L43" i="110"/>
  <c r="M43" i="110"/>
  <c r="N43" i="110"/>
  <c r="O43" i="110"/>
  <c r="C44" i="110"/>
  <c r="T44" i="110" s="1"/>
  <c r="D44" i="110"/>
  <c r="U44" i="110" s="1"/>
  <c r="E44" i="110"/>
  <c r="V44" i="110" s="1"/>
  <c r="F44" i="110"/>
  <c r="W44" i="110" s="1"/>
  <c r="G44" i="110"/>
  <c r="X44" i="110" s="1"/>
  <c r="H44" i="110"/>
  <c r="I44" i="110"/>
  <c r="J44" i="110"/>
  <c r="K44" i="110"/>
  <c r="L44" i="110"/>
  <c r="M44" i="110"/>
  <c r="N44" i="110"/>
  <c r="O44" i="110"/>
  <c r="Q44" i="110"/>
  <c r="R44" i="110"/>
  <c r="C45" i="110"/>
  <c r="T45" i="110" s="1"/>
  <c r="D45" i="110"/>
  <c r="U45" i="110" s="1"/>
  <c r="E45" i="110"/>
  <c r="V45" i="110" s="1"/>
  <c r="F45" i="110"/>
  <c r="W45" i="110" s="1"/>
  <c r="G45" i="110"/>
  <c r="X45" i="110" s="1"/>
  <c r="H45" i="110"/>
  <c r="I45" i="110"/>
  <c r="J45" i="110"/>
  <c r="K45" i="110"/>
  <c r="L45" i="110"/>
  <c r="M45" i="110"/>
  <c r="N45" i="110"/>
  <c r="O45" i="110"/>
  <c r="Q45" i="110"/>
  <c r="R45" i="110"/>
  <c r="C46" i="110"/>
  <c r="T46" i="110" s="1"/>
  <c r="D46" i="110"/>
  <c r="U46" i="110" s="1"/>
  <c r="E46" i="110"/>
  <c r="V46" i="110" s="1"/>
  <c r="F46" i="110"/>
  <c r="W46" i="110" s="1"/>
  <c r="G46" i="110"/>
  <c r="X46" i="110" s="1"/>
  <c r="H46" i="110"/>
  <c r="I46" i="110"/>
  <c r="J46" i="110"/>
  <c r="K46" i="110"/>
  <c r="L46" i="110"/>
  <c r="M46" i="110"/>
  <c r="N46" i="110"/>
  <c r="O46" i="110"/>
  <c r="Q46" i="110"/>
  <c r="R46" i="110"/>
  <c r="C47" i="110"/>
  <c r="T47" i="110" s="1"/>
  <c r="D47" i="110"/>
  <c r="U47" i="110" s="1"/>
  <c r="E47" i="110"/>
  <c r="V47" i="110" s="1"/>
  <c r="F47" i="110"/>
  <c r="W47" i="110" s="1"/>
  <c r="G47" i="110"/>
  <c r="X47" i="110" s="1"/>
  <c r="H47" i="110"/>
  <c r="I47" i="110"/>
  <c r="J47" i="110"/>
  <c r="K47" i="110"/>
  <c r="L47" i="110"/>
  <c r="M47" i="110"/>
  <c r="N47" i="110"/>
  <c r="O47" i="110"/>
  <c r="Q47" i="110"/>
  <c r="R47" i="110"/>
  <c r="C48" i="110"/>
  <c r="T48" i="110" s="1"/>
  <c r="D48" i="110"/>
  <c r="U48" i="110" s="1"/>
  <c r="E48" i="110"/>
  <c r="V48" i="110" s="1"/>
  <c r="F48" i="110"/>
  <c r="W48" i="110" s="1"/>
  <c r="G48" i="110"/>
  <c r="X48" i="110" s="1"/>
  <c r="H48" i="110"/>
  <c r="I48" i="110"/>
  <c r="J48" i="110"/>
  <c r="K48" i="110"/>
  <c r="L48" i="110"/>
  <c r="M48" i="110"/>
  <c r="N48" i="110"/>
  <c r="O48" i="110"/>
  <c r="Q48" i="110"/>
  <c r="R48" i="110"/>
  <c r="C49" i="110"/>
  <c r="T49" i="110" s="1"/>
  <c r="D49" i="110"/>
  <c r="U49" i="110" s="1"/>
  <c r="E49" i="110"/>
  <c r="V49" i="110" s="1"/>
  <c r="F49" i="110"/>
  <c r="W49" i="110" s="1"/>
  <c r="G49" i="110"/>
  <c r="X49" i="110" s="1"/>
  <c r="H49" i="110"/>
  <c r="I49" i="110"/>
  <c r="J49" i="110"/>
  <c r="K49" i="110"/>
  <c r="L49" i="110"/>
  <c r="M49" i="110"/>
  <c r="N49" i="110"/>
  <c r="O49" i="110"/>
  <c r="Q49" i="110"/>
  <c r="R49" i="110"/>
  <c r="C50" i="110"/>
  <c r="T50" i="110" s="1"/>
  <c r="D50" i="110"/>
  <c r="U50" i="110" s="1"/>
  <c r="E50" i="110"/>
  <c r="V50" i="110" s="1"/>
  <c r="F50" i="110"/>
  <c r="W50" i="110" s="1"/>
  <c r="G50" i="110"/>
  <c r="X50" i="110" s="1"/>
  <c r="H50" i="110"/>
  <c r="I50" i="110"/>
  <c r="J50" i="110"/>
  <c r="K50" i="110"/>
  <c r="L50" i="110"/>
  <c r="M50" i="110"/>
  <c r="N50" i="110"/>
  <c r="O50" i="110"/>
  <c r="Q50" i="110"/>
  <c r="R50" i="110"/>
  <c r="C51" i="110"/>
  <c r="T51" i="110" s="1"/>
  <c r="D51" i="110"/>
  <c r="U51" i="110" s="1"/>
  <c r="E51" i="110"/>
  <c r="V51" i="110" s="1"/>
  <c r="F51" i="110"/>
  <c r="W51" i="110" s="1"/>
  <c r="G51" i="110"/>
  <c r="X51" i="110" s="1"/>
  <c r="H51" i="110"/>
  <c r="I51" i="110"/>
  <c r="J51" i="110"/>
  <c r="K51" i="110"/>
  <c r="L51" i="110"/>
  <c r="M51" i="110"/>
  <c r="N51" i="110"/>
  <c r="O51" i="110"/>
  <c r="Q51" i="110"/>
  <c r="R51" i="110"/>
  <c r="C52" i="110"/>
  <c r="T52" i="110" s="1"/>
  <c r="D52" i="110"/>
  <c r="U52" i="110" s="1"/>
  <c r="E52" i="110"/>
  <c r="V52" i="110" s="1"/>
  <c r="F52" i="110"/>
  <c r="W52" i="110" s="1"/>
  <c r="G52" i="110"/>
  <c r="X52" i="110" s="1"/>
  <c r="H52" i="110"/>
  <c r="I52" i="110"/>
  <c r="J52" i="110"/>
  <c r="K52" i="110"/>
  <c r="L52" i="110"/>
  <c r="M52" i="110"/>
  <c r="N52" i="110"/>
  <c r="O52" i="110"/>
  <c r="Q52" i="110"/>
  <c r="R52" i="110"/>
  <c r="C53" i="110"/>
  <c r="T53" i="110" s="1"/>
  <c r="D53" i="110"/>
  <c r="U53" i="110" s="1"/>
  <c r="E53" i="110"/>
  <c r="V53" i="110" s="1"/>
  <c r="F53" i="110"/>
  <c r="W53" i="110" s="1"/>
  <c r="G53" i="110"/>
  <c r="X53" i="110" s="1"/>
  <c r="H53" i="110"/>
  <c r="I53" i="110"/>
  <c r="J53" i="110"/>
  <c r="K53" i="110"/>
  <c r="L53" i="110"/>
  <c r="M53" i="110"/>
  <c r="N53" i="110"/>
  <c r="O53" i="110"/>
  <c r="Q53" i="110"/>
  <c r="R53" i="110"/>
  <c r="C54" i="110"/>
  <c r="T54" i="110" s="1"/>
  <c r="D54" i="110"/>
  <c r="U54" i="110" s="1"/>
  <c r="E54" i="110"/>
  <c r="V54" i="110" s="1"/>
  <c r="F54" i="110"/>
  <c r="W54" i="110" s="1"/>
  <c r="G54" i="110"/>
  <c r="X54" i="110" s="1"/>
  <c r="H54" i="110"/>
  <c r="I54" i="110"/>
  <c r="J54" i="110"/>
  <c r="K54" i="110"/>
  <c r="L54" i="110"/>
  <c r="M54" i="110"/>
  <c r="N54" i="110"/>
  <c r="O54" i="110"/>
  <c r="Q54" i="110"/>
  <c r="R54" i="110"/>
  <c r="C55" i="110"/>
  <c r="T55" i="110" s="1"/>
  <c r="D55" i="110"/>
  <c r="U55" i="110" s="1"/>
  <c r="E55" i="110"/>
  <c r="V55" i="110" s="1"/>
  <c r="F55" i="110"/>
  <c r="W55" i="110" s="1"/>
  <c r="G55" i="110"/>
  <c r="X55" i="110" s="1"/>
  <c r="H55" i="110"/>
  <c r="I55" i="110"/>
  <c r="J55" i="110"/>
  <c r="K55" i="110"/>
  <c r="L55" i="110"/>
  <c r="M55" i="110"/>
  <c r="N55" i="110"/>
  <c r="O55" i="110"/>
  <c r="Q55" i="110"/>
  <c r="R55" i="110"/>
  <c r="C56" i="110"/>
  <c r="T56" i="110" s="1"/>
  <c r="D56" i="110"/>
  <c r="U56" i="110" s="1"/>
  <c r="E56" i="110"/>
  <c r="V56" i="110" s="1"/>
  <c r="F56" i="110"/>
  <c r="W56" i="110" s="1"/>
  <c r="G56" i="110"/>
  <c r="X56" i="110" s="1"/>
  <c r="H56" i="110"/>
  <c r="I56" i="110"/>
  <c r="J56" i="110"/>
  <c r="K56" i="110"/>
  <c r="L56" i="110"/>
  <c r="M56" i="110"/>
  <c r="N56" i="110"/>
  <c r="O56" i="110"/>
  <c r="Q56" i="110"/>
  <c r="R56" i="110"/>
  <c r="C57" i="110"/>
  <c r="T57" i="110" s="1"/>
  <c r="D57" i="110"/>
  <c r="U57" i="110" s="1"/>
  <c r="E57" i="110"/>
  <c r="V57" i="110" s="1"/>
  <c r="F57" i="110"/>
  <c r="W57" i="110" s="1"/>
  <c r="G57" i="110"/>
  <c r="X57" i="110" s="1"/>
  <c r="H57" i="110"/>
  <c r="I57" i="110"/>
  <c r="J57" i="110"/>
  <c r="K57" i="110"/>
  <c r="L57" i="110"/>
  <c r="M57" i="110"/>
  <c r="N57" i="110"/>
  <c r="O57" i="110"/>
  <c r="C58" i="110"/>
  <c r="T58" i="110" s="1"/>
  <c r="D58" i="110"/>
  <c r="U58" i="110" s="1"/>
  <c r="E58" i="110"/>
  <c r="V58" i="110" s="1"/>
  <c r="F58" i="110"/>
  <c r="W58" i="110" s="1"/>
  <c r="G58" i="110"/>
  <c r="X58" i="110" s="1"/>
  <c r="H58" i="110"/>
  <c r="I58" i="110"/>
  <c r="J58" i="110"/>
  <c r="K58" i="110"/>
  <c r="L58" i="110"/>
  <c r="M58" i="110"/>
  <c r="N58" i="110"/>
  <c r="O58" i="110"/>
  <c r="Q58" i="110"/>
  <c r="R58" i="110"/>
  <c r="C59" i="110"/>
  <c r="T59" i="110" s="1"/>
  <c r="D59" i="110"/>
  <c r="U59" i="110" s="1"/>
  <c r="E59" i="110"/>
  <c r="V59" i="110" s="1"/>
  <c r="F59" i="110"/>
  <c r="W59" i="110" s="1"/>
  <c r="G59" i="110"/>
  <c r="X59" i="110" s="1"/>
  <c r="H59" i="110"/>
  <c r="I59" i="110"/>
  <c r="J59" i="110"/>
  <c r="K59" i="110"/>
  <c r="L59" i="110"/>
  <c r="M59" i="110"/>
  <c r="N59" i="110"/>
  <c r="O59" i="110"/>
  <c r="Q59" i="110"/>
  <c r="R59" i="110"/>
  <c r="C60" i="110"/>
  <c r="T60" i="110" s="1"/>
  <c r="D60" i="110"/>
  <c r="U60" i="110" s="1"/>
  <c r="E60" i="110"/>
  <c r="V60" i="110" s="1"/>
  <c r="F60" i="110"/>
  <c r="W60" i="110" s="1"/>
  <c r="G60" i="110"/>
  <c r="X60" i="110" s="1"/>
  <c r="H60" i="110"/>
  <c r="I60" i="110"/>
  <c r="J60" i="110"/>
  <c r="K60" i="110"/>
  <c r="L60" i="110"/>
  <c r="M60" i="110"/>
  <c r="N60" i="110"/>
  <c r="O60" i="110"/>
  <c r="Q60" i="110"/>
  <c r="R60" i="110"/>
  <c r="C61" i="110"/>
  <c r="T61" i="110" s="1"/>
  <c r="D61" i="110"/>
  <c r="U61" i="110" s="1"/>
  <c r="E61" i="110"/>
  <c r="V61" i="110" s="1"/>
  <c r="F61" i="110"/>
  <c r="W61" i="110" s="1"/>
  <c r="G61" i="110"/>
  <c r="X61" i="110" s="1"/>
  <c r="H61" i="110"/>
  <c r="I61" i="110"/>
  <c r="J61" i="110"/>
  <c r="K61" i="110"/>
  <c r="L61" i="110"/>
  <c r="M61" i="110"/>
  <c r="N61" i="110"/>
  <c r="O61" i="110"/>
  <c r="Q61" i="110"/>
  <c r="R61" i="110"/>
  <c r="C62" i="110"/>
  <c r="T62" i="110" s="1"/>
  <c r="D62" i="110"/>
  <c r="U62" i="110" s="1"/>
  <c r="E62" i="110"/>
  <c r="V62" i="110" s="1"/>
  <c r="F62" i="110"/>
  <c r="W62" i="110" s="1"/>
  <c r="G62" i="110"/>
  <c r="X62" i="110" s="1"/>
  <c r="H62" i="110"/>
  <c r="I62" i="110"/>
  <c r="J62" i="110"/>
  <c r="K62" i="110"/>
  <c r="L62" i="110"/>
  <c r="M62" i="110"/>
  <c r="N62" i="110"/>
  <c r="O62" i="110"/>
  <c r="Q62" i="110"/>
  <c r="R62" i="110"/>
  <c r="C63" i="110"/>
  <c r="T63" i="110" s="1"/>
  <c r="D63" i="110"/>
  <c r="U63" i="110" s="1"/>
  <c r="E63" i="110"/>
  <c r="V63" i="110" s="1"/>
  <c r="F63" i="110"/>
  <c r="W63" i="110" s="1"/>
  <c r="G63" i="110"/>
  <c r="X63" i="110" s="1"/>
  <c r="H63" i="110"/>
  <c r="I63" i="110"/>
  <c r="J63" i="110"/>
  <c r="K63" i="110"/>
  <c r="L63" i="110"/>
  <c r="M63" i="110"/>
  <c r="N63" i="110"/>
  <c r="O63" i="110"/>
  <c r="Q63" i="110"/>
  <c r="R63" i="110"/>
  <c r="C64" i="110"/>
  <c r="T64" i="110" s="1"/>
  <c r="D64" i="110"/>
  <c r="U64" i="110" s="1"/>
  <c r="E64" i="110"/>
  <c r="V64" i="110" s="1"/>
  <c r="F64" i="110"/>
  <c r="W64" i="110" s="1"/>
  <c r="G64" i="110"/>
  <c r="X64" i="110" s="1"/>
  <c r="H64" i="110"/>
  <c r="I64" i="110"/>
  <c r="J64" i="110"/>
  <c r="K64" i="110"/>
  <c r="L64" i="110"/>
  <c r="M64" i="110"/>
  <c r="N64" i="110"/>
  <c r="O64" i="110"/>
  <c r="C65" i="110"/>
  <c r="T65" i="110" s="1"/>
  <c r="D65" i="110"/>
  <c r="U65" i="110" s="1"/>
  <c r="E65" i="110"/>
  <c r="V65" i="110" s="1"/>
  <c r="F65" i="110"/>
  <c r="W65" i="110" s="1"/>
  <c r="G65" i="110"/>
  <c r="X65" i="110" s="1"/>
  <c r="H65" i="110"/>
  <c r="I65" i="110"/>
  <c r="J65" i="110"/>
  <c r="K65" i="110"/>
  <c r="L65" i="110"/>
  <c r="M65" i="110"/>
  <c r="N65" i="110"/>
  <c r="O65" i="110"/>
  <c r="Q65" i="110"/>
  <c r="R65" i="110"/>
  <c r="C66" i="110"/>
  <c r="T66" i="110" s="1"/>
  <c r="D66" i="110"/>
  <c r="U66" i="110" s="1"/>
  <c r="E66" i="110"/>
  <c r="V66" i="110" s="1"/>
  <c r="F66" i="110"/>
  <c r="W66" i="110" s="1"/>
  <c r="G66" i="110"/>
  <c r="X66" i="110" s="1"/>
  <c r="H66" i="110"/>
  <c r="I66" i="110"/>
  <c r="J66" i="110"/>
  <c r="K66" i="110"/>
  <c r="L66" i="110"/>
  <c r="M66" i="110"/>
  <c r="N66" i="110"/>
  <c r="O66" i="110"/>
  <c r="Q66" i="110"/>
  <c r="R66" i="110"/>
  <c r="S75" i="110"/>
  <c r="S76" i="110"/>
  <c r="S77" i="110"/>
  <c r="S78" i="110"/>
  <c r="S79" i="110"/>
  <c r="S80" i="110"/>
  <c r="S81" i="110"/>
  <c r="S82" i="110"/>
  <c r="S83" i="110"/>
  <c r="S84" i="110"/>
  <c r="S85" i="110"/>
  <c r="S86" i="110"/>
  <c r="S87" i="110"/>
  <c r="S88" i="110"/>
  <c r="S89" i="110"/>
  <c r="S90" i="110"/>
  <c r="S91" i="110"/>
  <c r="S92" i="110"/>
  <c r="S93" i="110"/>
  <c r="S94" i="110"/>
  <c r="S95" i="110"/>
  <c r="S96" i="110"/>
  <c r="S97" i="110"/>
  <c r="S98" i="110"/>
  <c r="S99" i="110"/>
  <c r="S100" i="110"/>
  <c r="S101" i="110"/>
  <c r="C102" i="110"/>
  <c r="W37" i="121" s="1"/>
  <c r="D102" i="110"/>
  <c r="X37" i="121" s="1"/>
  <c r="E102" i="110"/>
  <c r="F102" i="110"/>
  <c r="G102" i="110"/>
  <c r="M35" i="123" s="1"/>
  <c r="H102" i="110"/>
  <c r="G9" i="118" s="1"/>
  <c r="I102" i="110"/>
  <c r="H9" i="118" s="1"/>
  <c r="J102" i="110"/>
  <c r="I9" i="118" s="1"/>
  <c r="K102" i="110"/>
  <c r="J9" i="118" s="1"/>
  <c r="L102" i="110"/>
  <c r="K9" i="118" s="1"/>
  <c r="M102" i="110"/>
  <c r="L9" i="118" s="1"/>
  <c r="N102" i="110"/>
  <c r="M9" i="118" s="1"/>
  <c r="O102" i="110"/>
  <c r="N9" i="118" s="1"/>
  <c r="Q102" i="110"/>
  <c r="P9" i="118" s="1"/>
  <c r="R102" i="110"/>
  <c r="Q9" i="118" s="1"/>
  <c r="O5" i="109"/>
  <c r="S5" i="109"/>
  <c r="T5" i="109"/>
  <c r="U5" i="109"/>
  <c r="V5" i="109"/>
  <c r="W5" i="109"/>
  <c r="X5" i="109"/>
  <c r="Y5" i="109"/>
  <c r="Z5" i="109"/>
  <c r="AA5" i="109"/>
  <c r="AB5" i="109"/>
  <c r="AC5" i="109"/>
  <c r="AD5" i="109"/>
  <c r="AE5" i="109"/>
  <c r="AG5" i="109"/>
  <c r="AH5" i="109"/>
  <c r="O6" i="109"/>
  <c r="S6" i="109"/>
  <c r="T6" i="109"/>
  <c r="U6" i="109"/>
  <c r="V6" i="109"/>
  <c r="W6" i="109"/>
  <c r="X6" i="109"/>
  <c r="Y6" i="109"/>
  <c r="Z6" i="109"/>
  <c r="AA6" i="109"/>
  <c r="AB6" i="109"/>
  <c r="AC6" i="109"/>
  <c r="AD6" i="109"/>
  <c r="AE6" i="109"/>
  <c r="AG6" i="109"/>
  <c r="AH6" i="109"/>
  <c r="O7" i="109"/>
  <c r="S7" i="109"/>
  <c r="T7" i="109"/>
  <c r="U7" i="109"/>
  <c r="V7" i="109"/>
  <c r="W7" i="109"/>
  <c r="X7" i="109"/>
  <c r="Y7" i="109"/>
  <c r="Z7" i="109"/>
  <c r="AA7" i="109"/>
  <c r="AB7" i="109"/>
  <c r="AC7" i="109"/>
  <c r="AD7" i="109"/>
  <c r="AE7" i="109"/>
  <c r="AG7" i="109"/>
  <c r="AH7" i="109"/>
  <c r="O8" i="109"/>
  <c r="S8" i="109"/>
  <c r="T8" i="109"/>
  <c r="U8" i="109"/>
  <c r="V8" i="109"/>
  <c r="W8" i="109"/>
  <c r="X8" i="109"/>
  <c r="Y8" i="109"/>
  <c r="Z8" i="109"/>
  <c r="AA8" i="109"/>
  <c r="AB8" i="109"/>
  <c r="AC8" i="109"/>
  <c r="AD8" i="109"/>
  <c r="AE8" i="109"/>
  <c r="AG8" i="109"/>
  <c r="AH8" i="109"/>
  <c r="O9" i="109"/>
  <c r="S9" i="109"/>
  <c r="T9" i="109"/>
  <c r="U9" i="109"/>
  <c r="V9" i="109"/>
  <c r="W9" i="109"/>
  <c r="X9" i="109"/>
  <c r="Y9" i="109"/>
  <c r="Z9" i="109"/>
  <c r="AA9" i="109"/>
  <c r="AB9" i="109"/>
  <c r="AC9" i="109"/>
  <c r="AD9" i="109"/>
  <c r="AE9" i="109"/>
  <c r="AG9" i="109"/>
  <c r="AH9" i="109"/>
  <c r="O10" i="109"/>
  <c r="S10" i="109"/>
  <c r="T10" i="109"/>
  <c r="U10" i="109"/>
  <c r="V10" i="109"/>
  <c r="W10" i="109"/>
  <c r="X10" i="109"/>
  <c r="Y10" i="109"/>
  <c r="Z10" i="109"/>
  <c r="AA10" i="109"/>
  <c r="AB10" i="109"/>
  <c r="AC10" i="109"/>
  <c r="AD10" i="109"/>
  <c r="AE10" i="109"/>
  <c r="AG10" i="109"/>
  <c r="AH10" i="109"/>
  <c r="O11" i="109"/>
  <c r="S11" i="109"/>
  <c r="U13" i="121" s="1"/>
  <c r="T11" i="109"/>
  <c r="U11" i="109"/>
  <c r="V11" i="109"/>
  <c r="W11" i="109"/>
  <c r="X11" i="109"/>
  <c r="Y11" i="109"/>
  <c r="Z11" i="109"/>
  <c r="AA11" i="109"/>
  <c r="AB11" i="109"/>
  <c r="AC11" i="109"/>
  <c r="AD11" i="109"/>
  <c r="AE11" i="109"/>
  <c r="AG11" i="109"/>
  <c r="AH11" i="109"/>
  <c r="O12" i="109"/>
  <c r="S12" i="109"/>
  <c r="T12" i="109"/>
  <c r="U12" i="109"/>
  <c r="V12" i="109"/>
  <c r="W12" i="109"/>
  <c r="X12" i="109"/>
  <c r="Y12" i="109"/>
  <c r="Z12" i="109"/>
  <c r="AA12" i="109"/>
  <c r="AB12" i="109"/>
  <c r="AC12" i="109"/>
  <c r="AD12" i="109"/>
  <c r="AE12" i="109"/>
  <c r="AG12" i="109"/>
  <c r="AH12" i="109"/>
  <c r="O13" i="109"/>
  <c r="S13" i="109"/>
  <c r="T13" i="109"/>
  <c r="U13" i="109"/>
  <c r="V13" i="109"/>
  <c r="W13" i="109"/>
  <c r="X13" i="109"/>
  <c r="Y13" i="109"/>
  <c r="Z13" i="109"/>
  <c r="AA13" i="109"/>
  <c r="AB13" i="109"/>
  <c r="AC13" i="109"/>
  <c r="AD13" i="109"/>
  <c r="AE13" i="109"/>
  <c r="AG13" i="109"/>
  <c r="AH13" i="109"/>
  <c r="O14" i="109"/>
  <c r="S14" i="109"/>
  <c r="T14" i="109"/>
  <c r="U14" i="109"/>
  <c r="V14" i="109"/>
  <c r="W14" i="109"/>
  <c r="X14" i="109"/>
  <c r="Y14" i="109"/>
  <c r="Z14" i="109"/>
  <c r="AA14" i="109"/>
  <c r="AB14" i="109"/>
  <c r="AC14" i="109"/>
  <c r="AD14" i="109"/>
  <c r="AE14" i="109"/>
  <c r="AG14" i="109"/>
  <c r="AH14" i="109"/>
  <c r="O15" i="109"/>
  <c r="S15" i="109"/>
  <c r="T15" i="109"/>
  <c r="U15" i="109"/>
  <c r="V15" i="109"/>
  <c r="W15" i="109"/>
  <c r="X15" i="109"/>
  <c r="Y15" i="109"/>
  <c r="Z15" i="109"/>
  <c r="AA15" i="109"/>
  <c r="AB15" i="109"/>
  <c r="AC15" i="109"/>
  <c r="AD15" i="109"/>
  <c r="AE15" i="109"/>
  <c r="AG15" i="109"/>
  <c r="AH15" i="109"/>
  <c r="O16" i="109"/>
  <c r="S16" i="109"/>
  <c r="T16" i="109"/>
  <c r="U16" i="109"/>
  <c r="V16" i="109"/>
  <c r="W16" i="109"/>
  <c r="X16" i="109"/>
  <c r="Y16" i="109"/>
  <c r="Z16" i="109"/>
  <c r="AA16" i="109"/>
  <c r="AB16" i="109"/>
  <c r="AC16" i="109"/>
  <c r="AD16" i="109"/>
  <c r="AE16" i="109"/>
  <c r="AG16" i="109"/>
  <c r="AH16" i="109"/>
  <c r="O17" i="109"/>
  <c r="S17" i="109"/>
  <c r="T17" i="109"/>
  <c r="U17" i="109"/>
  <c r="V17" i="109"/>
  <c r="W17" i="109"/>
  <c r="X17" i="109"/>
  <c r="Y17" i="109"/>
  <c r="Z17" i="109"/>
  <c r="AA17" i="109"/>
  <c r="AB17" i="109"/>
  <c r="AC17" i="109"/>
  <c r="AD17" i="109"/>
  <c r="AE17" i="109"/>
  <c r="AG17" i="109"/>
  <c r="AH17" i="109"/>
  <c r="O18" i="109"/>
  <c r="S18" i="109"/>
  <c r="T18" i="109"/>
  <c r="U18" i="109"/>
  <c r="V18" i="109"/>
  <c r="W18" i="109"/>
  <c r="X18" i="109"/>
  <c r="Y18" i="109"/>
  <c r="Z18" i="109"/>
  <c r="AA18" i="109"/>
  <c r="AB18" i="109"/>
  <c r="AC18" i="109"/>
  <c r="AD18" i="109"/>
  <c r="AE18" i="109"/>
  <c r="AG18" i="109"/>
  <c r="AH18" i="109"/>
  <c r="O19" i="109"/>
  <c r="S19" i="109"/>
  <c r="U21" i="121" s="1"/>
  <c r="T19" i="109"/>
  <c r="U19" i="109"/>
  <c r="V19" i="109"/>
  <c r="W19" i="109"/>
  <c r="X19" i="109"/>
  <c r="Y19" i="109"/>
  <c r="Z19" i="109"/>
  <c r="AA19" i="109"/>
  <c r="AB19" i="109"/>
  <c r="AC19" i="109"/>
  <c r="AD19" i="109"/>
  <c r="AE19" i="109"/>
  <c r="AG19" i="109"/>
  <c r="AH19" i="109"/>
  <c r="O20" i="109"/>
  <c r="S20" i="109"/>
  <c r="T20" i="109"/>
  <c r="U20" i="109"/>
  <c r="V20" i="109"/>
  <c r="W20" i="109"/>
  <c r="X20" i="109"/>
  <c r="Y20" i="109"/>
  <c r="Z20" i="109"/>
  <c r="AA20" i="109"/>
  <c r="AB20" i="109"/>
  <c r="AC20" i="109"/>
  <c r="AD20" i="109"/>
  <c r="AE20" i="109"/>
  <c r="AG20" i="109"/>
  <c r="AH20" i="109"/>
  <c r="O21" i="109"/>
  <c r="S21" i="109"/>
  <c r="T21" i="109"/>
  <c r="U21" i="109"/>
  <c r="V21" i="109"/>
  <c r="W21" i="109"/>
  <c r="X21" i="109"/>
  <c r="Y21" i="109"/>
  <c r="Z21" i="109"/>
  <c r="AA21" i="109"/>
  <c r="AB21" i="109"/>
  <c r="AC21" i="109"/>
  <c r="AD21" i="109"/>
  <c r="AE21" i="109"/>
  <c r="AG21" i="109"/>
  <c r="AH21" i="109"/>
  <c r="O22" i="109"/>
  <c r="S22" i="109"/>
  <c r="T22" i="109"/>
  <c r="U22" i="109"/>
  <c r="V22" i="109"/>
  <c r="W22" i="109"/>
  <c r="X22" i="109"/>
  <c r="Y22" i="109"/>
  <c r="Z22" i="109"/>
  <c r="AA22" i="109"/>
  <c r="AB22" i="109"/>
  <c r="AC22" i="109"/>
  <c r="AD22" i="109"/>
  <c r="AE22" i="109"/>
  <c r="AG22" i="109"/>
  <c r="AH22" i="109"/>
  <c r="O23" i="109"/>
  <c r="S23" i="109"/>
  <c r="T23" i="109"/>
  <c r="U23" i="109"/>
  <c r="V23" i="109"/>
  <c r="W23" i="109"/>
  <c r="X23" i="109"/>
  <c r="Y23" i="109"/>
  <c r="Z23" i="109"/>
  <c r="AA23" i="109"/>
  <c r="AB23" i="109"/>
  <c r="AC23" i="109"/>
  <c r="AD23" i="109"/>
  <c r="AE23" i="109"/>
  <c r="AG23" i="109"/>
  <c r="AH23" i="109"/>
  <c r="O24" i="109"/>
  <c r="S24" i="109"/>
  <c r="T24" i="109"/>
  <c r="U24" i="109"/>
  <c r="V24" i="109"/>
  <c r="W24" i="109"/>
  <c r="X24" i="109"/>
  <c r="Y24" i="109"/>
  <c r="Z24" i="109"/>
  <c r="AA24" i="109"/>
  <c r="AB24" i="109"/>
  <c r="AC24" i="109"/>
  <c r="AD24" i="109"/>
  <c r="AE24" i="109"/>
  <c r="AG24" i="109"/>
  <c r="AH24" i="109"/>
  <c r="O25" i="109"/>
  <c r="S25" i="109"/>
  <c r="T25" i="109"/>
  <c r="U25" i="109"/>
  <c r="V25" i="109"/>
  <c r="W25" i="109"/>
  <c r="X25" i="109"/>
  <c r="Y25" i="109"/>
  <c r="Z25" i="109"/>
  <c r="AA25" i="109"/>
  <c r="AB25" i="109"/>
  <c r="AC25" i="109"/>
  <c r="AD25" i="109"/>
  <c r="AE25" i="109"/>
  <c r="AG25" i="109"/>
  <c r="AH25" i="109"/>
  <c r="O26" i="109"/>
  <c r="S26" i="109"/>
  <c r="T26" i="109"/>
  <c r="U26" i="109"/>
  <c r="V26" i="109"/>
  <c r="W26" i="109"/>
  <c r="X26" i="109"/>
  <c r="Y26" i="109"/>
  <c r="Z26" i="109"/>
  <c r="AA26" i="109"/>
  <c r="AB26" i="109"/>
  <c r="AC26" i="109"/>
  <c r="AD26" i="109"/>
  <c r="AE26" i="109"/>
  <c r="AG26" i="109"/>
  <c r="AH26" i="109"/>
  <c r="O27" i="109"/>
  <c r="S27" i="109"/>
  <c r="U28" i="121" s="1"/>
  <c r="T27" i="109"/>
  <c r="U27" i="109"/>
  <c r="V27" i="109"/>
  <c r="W27" i="109"/>
  <c r="X27" i="109"/>
  <c r="Y27" i="109"/>
  <c r="Z27" i="109"/>
  <c r="AA27" i="109"/>
  <c r="AB27" i="109"/>
  <c r="AC27" i="109"/>
  <c r="AD27" i="109"/>
  <c r="AE27" i="109"/>
  <c r="AG27" i="109"/>
  <c r="AH27" i="109"/>
  <c r="O28" i="109"/>
  <c r="S28" i="109"/>
  <c r="T28" i="109"/>
  <c r="U28" i="109"/>
  <c r="V28" i="109"/>
  <c r="W28" i="109"/>
  <c r="X28" i="109"/>
  <c r="Y28" i="109"/>
  <c r="Z28" i="109"/>
  <c r="AA28" i="109"/>
  <c r="AB28" i="109"/>
  <c r="AC28" i="109"/>
  <c r="AD28" i="109"/>
  <c r="AE28" i="109"/>
  <c r="AG28" i="109"/>
  <c r="AH28" i="109"/>
  <c r="O29" i="109"/>
  <c r="S29" i="109"/>
  <c r="T29" i="109"/>
  <c r="U29" i="109"/>
  <c r="V29" i="109"/>
  <c r="W29" i="109"/>
  <c r="X29" i="109"/>
  <c r="Y29" i="109"/>
  <c r="Z29" i="109"/>
  <c r="AA29" i="109"/>
  <c r="AB29" i="109"/>
  <c r="AC29" i="109"/>
  <c r="AD29" i="109"/>
  <c r="AE29" i="109"/>
  <c r="AG29" i="109"/>
  <c r="AH29" i="109"/>
  <c r="O30" i="109"/>
  <c r="S30" i="109"/>
  <c r="T30" i="109"/>
  <c r="U30" i="109"/>
  <c r="V30" i="109"/>
  <c r="W30" i="109"/>
  <c r="X30" i="109"/>
  <c r="Y30" i="109"/>
  <c r="Z30" i="109"/>
  <c r="AA30" i="109"/>
  <c r="AB30" i="109"/>
  <c r="AC30" i="109"/>
  <c r="AD30" i="109"/>
  <c r="AE30" i="109"/>
  <c r="AG30" i="109"/>
  <c r="AH30" i="109"/>
  <c r="O31" i="109"/>
  <c r="S31" i="109"/>
  <c r="T31" i="109"/>
  <c r="U31" i="109"/>
  <c r="V31" i="109"/>
  <c r="W31" i="109"/>
  <c r="X31" i="109"/>
  <c r="Y31" i="109"/>
  <c r="Z31" i="109"/>
  <c r="AA31" i="109"/>
  <c r="AB31" i="109"/>
  <c r="AC31" i="109"/>
  <c r="AD31" i="109"/>
  <c r="AE31" i="109"/>
  <c r="AG31" i="109"/>
  <c r="AH31" i="109"/>
  <c r="B32" i="109"/>
  <c r="C32" i="109"/>
  <c r="D32" i="109"/>
  <c r="E32" i="109"/>
  <c r="F32" i="109"/>
  <c r="G32" i="109"/>
  <c r="H32" i="109"/>
  <c r="I32" i="109"/>
  <c r="J32" i="109"/>
  <c r="K32" i="109"/>
  <c r="L32" i="109"/>
  <c r="M32" i="109"/>
  <c r="N32" i="109"/>
  <c r="O40" i="109"/>
  <c r="S40" i="109"/>
  <c r="AJ40" i="109" s="1"/>
  <c r="T40" i="109"/>
  <c r="AK40" i="109" s="1"/>
  <c r="U40" i="109"/>
  <c r="AL40" i="109" s="1"/>
  <c r="V40" i="109"/>
  <c r="AM40" i="109" s="1"/>
  <c r="W40" i="109"/>
  <c r="AN40" i="109" s="1"/>
  <c r="X40" i="109"/>
  <c r="Y40" i="109"/>
  <c r="Z40" i="109"/>
  <c r="AA40" i="109"/>
  <c r="AB40" i="109"/>
  <c r="AC40" i="109"/>
  <c r="AD40" i="109"/>
  <c r="AE40" i="109"/>
  <c r="AG40" i="109"/>
  <c r="AH40" i="109"/>
  <c r="O41" i="109"/>
  <c r="S41" i="109"/>
  <c r="AJ41" i="109" s="1"/>
  <c r="T41" i="109"/>
  <c r="AK41" i="109" s="1"/>
  <c r="U41" i="109"/>
  <c r="AL41" i="109" s="1"/>
  <c r="V41" i="109"/>
  <c r="AM41" i="109" s="1"/>
  <c r="W41" i="109"/>
  <c r="AN41" i="109" s="1"/>
  <c r="X41" i="109"/>
  <c r="Y41" i="109"/>
  <c r="Z41" i="109"/>
  <c r="AA41" i="109"/>
  <c r="AB41" i="109"/>
  <c r="AC41" i="109"/>
  <c r="AD41" i="109"/>
  <c r="AE41" i="109"/>
  <c r="AG41" i="109"/>
  <c r="AH41" i="109"/>
  <c r="O42" i="109"/>
  <c r="S42" i="109"/>
  <c r="AJ42" i="109" s="1"/>
  <c r="T42" i="109"/>
  <c r="AK42" i="109" s="1"/>
  <c r="U42" i="109"/>
  <c r="V42" i="109"/>
  <c r="AM42" i="109" s="1"/>
  <c r="W42" i="109"/>
  <c r="AN42" i="109" s="1"/>
  <c r="X42" i="109"/>
  <c r="Y42" i="109"/>
  <c r="Z42" i="109"/>
  <c r="AA42" i="109"/>
  <c r="AB42" i="109"/>
  <c r="AC42" i="109"/>
  <c r="AD42" i="109"/>
  <c r="AE42" i="109"/>
  <c r="AG42" i="109"/>
  <c r="AH42" i="109"/>
  <c r="O43" i="109"/>
  <c r="S43" i="109"/>
  <c r="AJ43" i="109" s="1"/>
  <c r="T43" i="109"/>
  <c r="AK43" i="109" s="1"/>
  <c r="U43" i="109"/>
  <c r="V43" i="109"/>
  <c r="AM43" i="109" s="1"/>
  <c r="W43" i="109"/>
  <c r="AN43" i="109" s="1"/>
  <c r="X43" i="109"/>
  <c r="Y43" i="109"/>
  <c r="Z43" i="109"/>
  <c r="AA43" i="109"/>
  <c r="AB43" i="109"/>
  <c r="AC43" i="109"/>
  <c r="AD43" i="109"/>
  <c r="AE43" i="109"/>
  <c r="O44" i="109"/>
  <c r="S44" i="109"/>
  <c r="AJ44" i="109" s="1"/>
  <c r="T44" i="109"/>
  <c r="AK44" i="109" s="1"/>
  <c r="U44" i="109"/>
  <c r="AL44" i="109" s="1"/>
  <c r="V44" i="109"/>
  <c r="AM44" i="109" s="1"/>
  <c r="W44" i="109"/>
  <c r="AN44" i="109" s="1"/>
  <c r="X44" i="109"/>
  <c r="Y44" i="109"/>
  <c r="Z44" i="109"/>
  <c r="AA44" i="109"/>
  <c r="AB44" i="109"/>
  <c r="AC44" i="109"/>
  <c r="AD44" i="109"/>
  <c r="AE44" i="109"/>
  <c r="AG44" i="109"/>
  <c r="AH44" i="109"/>
  <c r="O45" i="109"/>
  <c r="S45" i="109"/>
  <c r="AJ45" i="109" s="1"/>
  <c r="T45" i="109"/>
  <c r="AK45" i="109" s="1"/>
  <c r="U45" i="109"/>
  <c r="AL45" i="109" s="1"/>
  <c r="V45" i="109"/>
  <c r="AM45" i="109" s="1"/>
  <c r="W45" i="109"/>
  <c r="AN45" i="109" s="1"/>
  <c r="X45" i="109"/>
  <c r="Y45" i="109"/>
  <c r="Z45" i="109"/>
  <c r="AA45" i="109"/>
  <c r="AB45" i="109"/>
  <c r="AC45" i="109"/>
  <c r="AD45" i="109"/>
  <c r="AE45" i="109"/>
  <c r="AG45" i="109"/>
  <c r="AH45" i="109"/>
  <c r="O46" i="109"/>
  <c r="S46" i="109"/>
  <c r="AJ46" i="109" s="1"/>
  <c r="T46" i="109"/>
  <c r="AK46" i="109" s="1"/>
  <c r="U46" i="109"/>
  <c r="AL46" i="109" s="1"/>
  <c r="V46" i="109"/>
  <c r="AM46" i="109" s="1"/>
  <c r="W46" i="109"/>
  <c r="AN46" i="109" s="1"/>
  <c r="X46" i="109"/>
  <c r="Y46" i="109"/>
  <c r="Z46" i="109"/>
  <c r="AA46" i="109"/>
  <c r="AB46" i="109"/>
  <c r="AC46" i="109"/>
  <c r="AD46" i="109"/>
  <c r="AE46" i="109"/>
  <c r="AG46" i="109"/>
  <c r="AH46" i="109"/>
  <c r="O47" i="109"/>
  <c r="S47" i="109"/>
  <c r="AJ47" i="109" s="1"/>
  <c r="T47" i="109"/>
  <c r="AK47" i="109" s="1"/>
  <c r="U47" i="109"/>
  <c r="AL47" i="109" s="1"/>
  <c r="V47" i="109"/>
  <c r="AM47" i="109" s="1"/>
  <c r="W47" i="109"/>
  <c r="AN47" i="109" s="1"/>
  <c r="X47" i="109"/>
  <c r="Y47" i="109"/>
  <c r="Z47" i="109"/>
  <c r="AA47" i="109"/>
  <c r="AB47" i="109"/>
  <c r="AC47" i="109"/>
  <c r="AD47" i="109"/>
  <c r="AE47" i="109"/>
  <c r="AG47" i="109"/>
  <c r="AH47" i="109"/>
  <c r="O48" i="109"/>
  <c r="S48" i="109"/>
  <c r="AJ48" i="109" s="1"/>
  <c r="T48" i="109"/>
  <c r="AK48" i="109" s="1"/>
  <c r="U48" i="109"/>
  <c r="AL48" i="109" s="1"/>
  <c r="V48" i="109"/>
  <c r="AM48" i="109" s="1"/>
  <c r="W48" i="109"/>
  <c r="AN48" i="109" s="1"/>
  <c r="X48" i="109"/>
  <c r="Y48" i="109"/>
  <c r="Z48" i="109"/>
  <c r="AA48" i="109"/>
  <c r="AB48" i="109"/>
  <c r="AC48" i="109"/>
  <c r="AD48" i="109"/>
  <c r="AE48" i="109"/>
  <c r="AG48" i="109"/>
  <c r="AH48" i="109"/>
  <c r="O49" i="109"/>
  <c r="S49" i="109"/>
  <c r="AJ49" i="109" s="1"/>
  <c r="T49" i="109"/>
  <c r="AK49" i="109" s="1"/>
  <c r="U49" i="109"/>
  <c r="AL49" i="109" s="1"/>
  <c r="V49" i="109"/>
  <c r="AM49" i="109" s="1"/>
  <c r="W49" i="109"/>
  <c r="AN49" i="109" s="1"/>
  <c r="X49" i="109"/>
  <c r="Y49" i="109"/>
  <c r="Z49" i="109"/>
  <c r="AA49" i="109"/>
  <c r="AB49" i="109"/>
  <c r="AC49" i="109"/>
  <c r="AD49" i="109"/>
  <c r="AE49" i="109"/>
  <c r="AG49" i="109"/>
  <c r="AH49" i="109"/>
  <c r="O50" i="109"/>
  <c r="S50" i="109"/>
  <c r="AJ50" i="109" s="1"/>
  <c r="T50" i="109"/>
  <c r="AK50" i="109" s="1"/>
  <c r="U50" i="109"/>
  <c r="AL50" i="109" s="1"/>
  <c r="V50" i="109"/>
  <c r="AM50" i="109" s="1"/>
  <c r="W50" i="109"/>
  <c r="AN50" i="109" s="1"/>
  <c r="X50" i="109"/>
  <c r="Y50" i="109"/>
  <c r="Z50" i="109"/>
  <c r="AA50" i="109"/>
  <c r="AB50" i="109"/>
  <c r="AC50" i="109"/>
  <c r="AD50" i="109"/>
  <c r="AE50" i="109"/>
  <c r="AG50" i="109"/>
  <c r="AH50" i="109"/>
  <c r="O51" i="109"/>
  <c r="S51" i="109"/>
  <c r="T51" i="109"/>
  <c r="AK51" i="109" s="1"/>
  <c r="U51" i="109"/>
  <c r="AL51" i="109" s="1"/>
  <c r="V51" i="109"/>
  <c r="AM51" i="109" s="1"/>
  <c r="W51" i="109"/>
  <c r="AN51" i="109" s="1"/>
  <c r="X51" i="109"/>
  <c r="Y51" i="109"/>
  <c r="Z51" i="109"/>
  <c r="AA51" i="109"/>
  <c r="AB51" i="109"/>
  <c r="AC51" i="109"/>
  <c r="AD51" i="109"/>
  <c r="AE51" i="109"/>
  <c r="AG51" i="109"/>
  <c r="AH51" i="109"/>
  <c r="O52" i="109"/>
  <c r="S52" i="109"/>
  <c r="AJ52" i="109" s="1"/>
  <c r="T52" i="109"/>
  <c r="AK52" i="109" s="1"/>
  <c r="U52" i="109"/>
  <c r="AL52" i="109" s="1"/>
  <c r="V52" i="109"/>
  <c r="AM52" i="109" s="1"/>
  <c r="W52" i="109"/>
  <c r="AN52" i="109" s="1"/>
  <c r="X52" i="109"/>
  <c r="Y52" i="109"/>
  <c r="Z52" i="109"/>
  <c r="AA52" i="109"/>
  <c r="AB52" i="109"/>
  <c r="AC52" i="109"/>
  <c r="AD52" i="109"/>
  <c r="AE52" i="109"/>
  <c r="AG52" i="109"/>
  <c r="AH52" i="109"/>
  <c r="O53" i="109"/>
  <c r="S53" i="109"/>
  <c r="AJ53" i="109" s="1"/>
  <c r="T53" i="109"/>
  <c r="AK53" i="109" s="1"/>
  <c r="U53" i="109"/>
  <c r="AL53" i="109" s="1"/>
  <c r="V53" i="109"/>
  <c r="AM53" i="109" s="1"/>
  <c r="W53" i="109"/>
  <c r="AN53" i="109" s="1"/>
  <c r="X53" i="109"/>
  <c r="Y53" i="109"/>
  <c r="Z53" i="109"/>
  <c r="AA53" i="109"/>
  <c r="AB53" i="109"/>
  <c r="AC53" i="109"/>
  <c r="AD53" i="109"/>
  <c r="AE53" i="109"/>
  <c r="AG53" i="109"/>
  <c r="AH53" i="109"/>
  <c r="O54" i="109"/>
  <c r="S54" i="109"/>
  <c r="AJ54" i="109" s="1"/>
  <c r="T54" i="109"/>
  <c r="AK54" i="109" s="1"/>
  <c r="U54" i="109"/>
  <c r="AL54" i="109" s="1"/>
  <c r="V54" i="109"/>
  <c r="AM54" i="109" s="1"/>
  <c r="W54" i="109"/>
  <c r="AN54" i="109" s="1"/>
  <c r="X54" i="109"/>
  <c r="Y54" i="109"/>
  <c r="Z54" i="109"/>
  <c r="AA54" i="109"/>
  <c r="AB54" i="109"/>
  <c r="AC54" i="109"/>
  <c r="AD54" i="109"/>
  <c r="AE54" i="109"/>
  <c r="AG54" i="109"/>
  <c r="AH54" i="109"/>
  <c r="O55" i="109"/>
  <c r="S55" i="109"/>
  <c r="AJ55" i="109" s="1"/>
  <c r="T55" i="109"/>
  <c r="AK55" i="109" s="1"/>
  <c r="U55" i="109"/>
  <c r="AL55" i="109" s="1"/>
  <c r="V55" i="109"/>
  <c r="AM55" i="109" s="1"/>
  <c r="W55" i="109"/>
  <c r="AN55" i="109" s="1"/>
  <c r="X55" i="109"/>
  <c r="Y55" i="109"/>
  <c r="Z55" i="109"/>
  <c r="AA55" i="109"/>
  <c r="AB55" i="109"/>
  <c r="AC55" i="109"/>
  <c r="AD55" i="109"/>
  <c r="AE55" i="109"/>
  <c r="AG55" i="109"/>
  <c r="AH55" i="109"/>
  <c r="O56" i="109"/>
  <c r="S56" i="109"/>
  <c r="T56" i="109"/>
  <c r="AK56" i="109" s="1"/>
  <c r="U56" i="109"/>
  <c r="AL56" i="109" s="1"/>
  <c r="V56" i="109"/>
  <c r="AM56" i="109" s="1"/>
  <c r="W56" i="109"/>
  <c r="AN56" i="109" s="1"/>
  <c r="X56" i="109"/>
  <c r="Y56" i="109"/>
  <c r="Z56" i="109"/>
  <c r="AA56" i="109"/>
  <c r="AB56" i="109"/>
  <c r="AC56" i="109"/>
  <c r="AD56" i="109"/>
  <c r="AE56" i="109"/>
  <c r="AG56" i="109"/>
  <c r="AH56" i="109"/>
  <c r="O57" i="109"/>
  <c r="S57" i="109"/>
  <c r="AJ57" i="109" s="1"/>
  <c r="T57" i="109"/>
  <c r="AK57" i="109" s="1"/>
  <c r="U57" i="109"/>
  <c r="AL57" i="109" s="1"/>
  <c r="V57" i="109"/>
  <c r="AM57" i="109" s="1"/>
  <c r="W57" i="109"/>
  <c r="AN57" i="109" s="1"/>
  <c r="X57" i="109"/>
  <c r="Y57" i="109"/>
  <c r="Z57" i="109"/>
  <c r="AA57" i="109"/>
  <c r="AB57" i="109"/>
  <c r="AC57" i="109"/>
  <c r="AD57" i="109"/>
  <c r="AE57" i="109"/>
  <c r="O58" i="109"/>
  <c r="S58" i="109"/>
  <c r="T58" i="109"/>
  <c r="AK58" i="109" s="1"/>
  <c r="U58" i="109"/>
  <c r="AL58" i="109" s="1"/>
  <c r="V58" i="109"/>
  <c r="AM58" i="109" s="1"/>
  <c r="W58" i="109"/>
  <c r="AN58" i="109" s="1"/>
  <c r="X58" i="109"/>
  <c r="Y58" i="109"/>
  <c r="Z58" i="109"/>
  <c r="AA58" i="109"/>
  <c r="AB58" i="109"/>
  <c r="AC58" i="109"/>
  <c r="AD58" i="109"/>
  <c r="AE58" i="109"/>
  <c r="AG58" i="109"/>
  <c r="AH58" i="109"/>
  <c r="O59" i="109"/>
  <c r="S59" i="109"/>
  <c r="AJ59" i="109" s="1"/>
  <c r="T59" i="109"/>
  <c r="AK59" i="109" s="1"/>
  <c r="U59" i="109"/>
  <c r="AL59" i="109" s="1"/>
  <c r="V59" i="109"/>
  <c r="AM59" i="109" s="1"/>
  <c r="W59" i="109"/>
  <c r="AN59" i="109" s="1"/>
  <c r="X59" i="109"/>
  <c r="Y59" i="109"/>
  <c r="Z59" i="109"/>
  <c r="AA59" i="109"/>
  <c r="AB59" i="109"/>
  <c r="AC59" i="109"/>
  <c r="AD59" i="109"/>
  <c r="AE59" i="109"/>
  <c r="AG59" i="109"/>
  <c r="AH59" i="109"/>
  <c r="O60" i="109"/>
  <c r="S60" i="109"/>
  <c r="AJ60" i="109" s="1"/>
  <c r="T60" i="109"/>
  <c r="AK60" i="109" s="1"/>
  <c r="U60" i="109"/>
  <c r="AL60" i="109" s="1"/>
  <c r="V60" i="109"/>
  <c r="AM60" i="109" s="1"/>
  <c r="W60" i="109"/>
  <c r="AN60" i="109" s="1"/>
  <c r="X60" i="109"/>
  <c r="Y60" i="109"/>
  <c r="Z60" i="109"/>
  <c r="AA60" i="109"/>
  <c r="AB60" i="109"/>
  <c r="AC60" i="109"/>
  <c r="AD60" i="109"/>
  <c r="AE60" i="109"/>
  <c r="AG60" i="109"/>
  <c r="AH60" i="109"/>
  <c r="O61" i="109"/>
  <c r="S61" i="109"/>
  <c r="T61" i="109"/>
  <c r="AK61" i="109" s="1"/>
  <c r="U61" i="109"/>
  <c r="AL61" i="109" s="1"/>
  <c r="V61" i="109"/>
  <c r="AM61" i="109" s="1"/>
  <c r="W61" i="109"/>
  <c r="AN61" i="109" s="1"/>
  <c r="X61" i="109"/>
  <c r="Y61" i="109"/>
  <c r="Z61" i="109"/>
  <c r="AA61" i="109"/>
  <c r="AB61" i="109"/>
  <c r="AC61" i="109"/>
  <c r="AD61" i="109"/>
  <c r="AE61" i="109"/>
  <c r="AG61" i="109"/>
  <c r="AH61" i="109"/>
  <c r="O62" i="109"/>
  <c r="S62" i="109"/>
  <c r="AJ62" i="109" s="1"/>
  <c r="T62" i="109"/>
  <c r="AK62" i="109" s="1"/>
  <c r="U62" i="109"/>
  <c r="AL62" i="109" s="1"/>
  <c r="V62" i="109"/>
  <c r="AM62" i="109" s="1"/>
  <c r="W62" i="109"/>
  <c r="AN62" i="109" s="1"/>
  <c r="X62" i="109"/>
  <c r="Y62" i="109"/>
  <c r="Z62" i="109"/>
  <c r="AA62" i="109"/>
  <c r="AB62" i="109"/>
  <c r="AC62" i="109"/>
  <c r="AD62" i="109"/>
  <c r="AE62" i="109"/>
  <c r="AG62" i="109"/>
  <c r="AH62" i="109"/>
  <c r="O63" i="109"/>
  <c r="S63" i="109"/>
  <c r="AJ63" i="109" s="1"/>
  <c r="T63" i="109"/>
  <c r="AK63" i="109" s="1"/>
  <c r="U63" i="109"/>
  <c r="AL63" i="109" s="1"/>
  <c r="V63" i="109"/>
  <c r="AM63" i="109" s="1"/>
  <c r="W63" i="109"/>
  <c r="AN63" i="109" s="1"/>
  <c r="X63" i="109"/>
  <c r="Y63" i="109"/>
  <c r="Z63" i="109"/>
  <c r="AA63" i="109"/>
  <c r="AB63" i="109"/>
  <c r="AC63" i="109"/>
  <c r="AD63" i="109"/>
  <c r="AE63" i="109"/>
  <c r="AG63" i="109"/>
  <c r="AH63" i="109"/>
  <c r="O64" i="109"/>
  <c r="S64" i="109"/>
  <c r="T64" i="109"/>
  <c r="AK64" i="109" s="1"/>
  <c r="U64" i="109"/>
  <c r="AL64" i="109" s="1"/>
  <c r="V64" i="109"/>
  <c r="AM64" i="109" s="1"/>
  <c r="W64" i="109"/>
  <c r="AN64" i="109" s="1"/>
  <c r="X64" i="109"/>
  <c r="Y64" i="109"/>
  <c r="Z64" i="109"/>
  <c r="AA64" i="109"/>
  <c r="AB64" i="109"/>
  <c r="AC64" i="109"/>
  <c r="AD64" i="109"/>
  <c r="AE64" i="109"/>
  <c r="O65" i="109"/>
  <c r="S65" i="109"/>
  <c r="AJ65" i="109" s="1"/>
  <c r="T65" i="109"/>
  <c r="AK65" i="109" s="1"/>
  <c r="U65" i="109"/>
  <c r="AL65" i="109" s="1"/>
  <c r="V65" i="109"/>
  <c r="AM65" i="109" s="1"/>
  <c r="W65" i="109"/>
  <c r="AN65" i="109" s="1"/>
  <c r="X65" i="109"/>
  <c r="Y65" i="109"/>
  <c r="Z65" i="109"/>
  <c r="AA65" i="109"/>
  <c r="AB65" i="109"/>
  <c r="AC65" i="109"/>
  <c r="AD65" i="109"/>
  <c r="AE65" i="109"/>
  <c r="AG65" i="109"/>
  <c r="AH65" i="109"/>
  <c r="O66" i="109"/>
  <c r="S66" i="109"/>
  <c r="AJ66" i="109" s="1"/>
  <c r="T66" i="109"/>
  <c r="AK66" i="109" s="1"/>
  <c r="U66" i="109"/>
  <c r="AL66" i="109" s="1"/>
  <c r="V66" i="109"/>
  <c r="AM66" i="109" s="1"/>
  <c r="W66" i="109"/>
  <c r="AN66" i="109" s="1"/>
  <c r="X66" i="109"/>
  <c r="Y66" i="109"/>
  <c r="Z66" i="109"/>
  <c r="AA66" i="109"/>
  <c r="AB66" i="109"/>
  <c r="AC66" i="109"/>
  <c r="AD66" i="109"/>
  <c r="AE66" i="109"/>
  <c r="AG66" i="109"/>
  <c r="AH66" i="109"/>
  <c r="B67" i="109"/>
  <c r="C67" i="109"/>
  <c r="D67" i="109"/>
  <c r="E67" i="109"/>
  <c r="F67" i="109"/>
  <c r="G67" i="109"/>
  <c r="H67" i="109"/>
  <c r="I67" i="109"/>
  <c r="J67" i="109"/>
  <c r="K67" i="109"/>
  <c r="L67" i="109"/>
  <c r="M67" i="109"/>
  <c r="N67" i="109"/>
  <c r="B69" i="109"/>
  <c r="C69" i="109"/>
  <c r="D69" i="109"/>
  <c r="E69" i="109"/>
  <c r="F69" i="109"/>
  <c r="G69" i="109"/>
  <c r="H69" i="109"/>
  <c r="I69" i="109"/>
  <c r="J69" i="109"/>
  <c r="K69" i="109"/>
  <c r="L69" i="109"/>
  <c r="M69" i="109"/>
  <c r="N69" i="109"/>
  <c r="B75" i="109"/>
  <c r="C75" i="109"/>
  <c r="M108" i="109" s="1"/>
  <c r="D75" i="109"/>
  <c r="E75" i="109"/>
  <c r="F75" i="109"/>
  <c r="G75" i="109"/>
  <c r="Q108" i="109" s="1"/>
  <c r="H75" i="109"/>
  <c r="R108" i="109" s="1"/>
  <c r="I75" i="109"/>
  <c r="S108" i="109" s="1"/>
  <c r="J75" i="109"/>
  <c r="K75" i="109"/>
  <c r="U108" i="109" s="1"/>
  <c r="L75" i="109"/>
  <c r="V108" i="109" s="1"/>
  <c r="M75" i="109"/>
  <c r="W108" i="109" s="1"/>
  <c r="N75" i="109"/>
  <c r="B76" i="109"/>
  <c r="C76" i="109"/>
  <c r="D76" i="109"/>
  <c r="N109" i="109" s="1"/>
  <c r="E76" i="109"/>
  <c r="O109" i="109" s="1"/>
  <c r="F76" i="109"/>
  <c r="P109" i="109" s="1"/>
  <c r="G76" i="109"/>
  <c r="Q109" i="109" s="1"/>
  <c r="H76" i="109"/>
  <c r="R109" i="109" s="1"/>
  <c r="I76" i="109"/>
  <c r="S109" i="109" s="1"/>
  <c r="J76" i="109"/>
  <c r="T109" i="109" s="1"/>
  <c r="K76" i="109"/>
  <c r="L76" i="109"/>
  <c r="V109" i="109" s="1"/>
  <c r="M76" i="109"/>
  <c r="W109" i="109" s="1"/>
  <c r="N76" i="109"/>
  <c r="X109" i="109" s="1"/>
  <c r="B77" i="109"/>
  <c r="L110" i="109" s="1"/>
  <c r="C77" i="109"/>
  <c r="M110" i="109" s="1"/>
  <c r="D77" i="109"/>
  <c r="E77" i="109"/>
  <c r="F77" i="109"/>
  <c r="P110" i="109" s="1"/>
  <c r="G77" i="109"/>
  <c r="Q110" i="109" s="1"/>
  <c r="H77" i="109"/>
  <c r="R110" i="109" s="1"/>
  <c r="I77" i="109"/>
  <c r="J77" i="109"/>
  <c r="T110" i="109" s="1"/>
  <c r="K77" i="109"/>
  <c r="U110" i="109" s="1"/>
  <c r="L77" i="109"/>
  <c r="V110" i="109" s="1"/>
  <c r="M77" i="109"/>
  <c r="N77" i="109"/>
  <c r="X110" i="109" s="1"/>
  <c r="B78" i="109"/>
  <c r="C78" i="109"/>
  <c r="M111" i="109" s="1"/>
  <c r="D78" i="109"/>
  <c r="N111" i="109" s="1"/>
  <c r="E78" i="109"/>
  <c r="O111" i="109" s="1"/>
  <c r="F78" i="109"/>
  <c r="P111" i="109" s="1"/>
  <c r="G78" i="109"/>
  <c r="Q111" i="109" s="1"/>
  <c r="H78" i="109"/>
  <c r="R111" i="109" s="1"/>
  <c r="I78" i="109"/>
  <c r="S111" i="109" s="1"/>
  <c r="J78" i="109"/>
  <c r="T111" i="109" s="1"/>
  <c r="K78" i="109"/>
  <c r="U111" i="109" s="1"/>
  <c r="L78" i="109"/>
  <c r="V111" i="109" s="1"/>
  <c r="M78" i="109"/>
  <c r="W111" i="109" s="1"/>
  <c r="N78" i="109"/>
  <c r="X111" i="109" s="1"/>
  <c r="B79" i="109"/>
  <c r="L112" i="109" s="1"/>
  <c r="C79" i="109"/>
  <c r="M112" i="109" s="1"/>
  <c r="D79" i="109"/>
  <c r="N112" i="109" s="1"/>
  <c r="E79" i="109"/>
  <c r="O112" i="109" s="1"/>
  <c r="F79" i="109"/>
  <c r="P112" i="109" s="1"/>
  <c r="G79" i="109"/>
  <c r="Q112" i="109" s="1"/>
  <c r="H79" i="109"/>
  <c r="R112" i="109" s="1"/>
  <c r="I79" i="109"/>
  <c r="S112" i="109" s="1"/>
  <c r="J79" i="109"/>
  <c r="T112" i="109" s="1"/>
  <c r="K79" i="109"/>
  <c r="U112" i="109" s="1"/>
  <c r="L79" i="109"/>
  <c r="V112" i="109" s="1"/>
  <c r="M79" i="109"/>
  <c r="W112" i="109" s="1"/>
  <c r="N79" i="109"/>
  <c r="X112" i="109" s="1"/>
  <c r="B80" i="109"/>
  <c r="L113" i="109" s="1"/>
  <c r="C80" i="109"/>
  <c r="M113" i="109" s="1"/>
  <c r="D80" i="109"/>
  <c r="E80" i="109"/>
  <c r="O113" i="109" s="1"/>
  <c r="F80" i="109"/>
  <c r="P113" i="109" s="1"/>
  <c r="G80" i="109"/>
  <c r="Q113" i="109" s="1"/>
  <c r="H80" i="109"/>
  <c r="R113" i="109" s="1"/>
  <c r="I80" i="109"/>
  <c r="S113" i="109" s="1"/>
  <c r="J80" i="109"/>
  <c r="T113" i="109" s="1"/>
  <c r="K80" i="109"/>
  <c r="U113" i="109" s="1"/>
  <c r="L80" i="109"/>
  <c r="V113" i="109" s="1"/>
  <c r="M80" i="109"/>
  <c r="W113" i="109" s="1"/>
  <c r="N80" i="109"/>
  <c r="X113" i="109" s="1"/>
  <c r="B81" i="109"/>
  <c r="L114" i="109" s="1"/>
  <c r="C81" i="109"/>
  <c r="M114" i="109" s="1"/>
  <c r="D81" i="109"/>
  <c r="N114" i="109" s="1"/>
  <c r="E81" i="109"/>
  <c r="O114" i="109" s="1"/>
  <c r="F81" i="109"/>
  <c r="P114" i="109" s="1"/>
  <c r="G81" i="109"/>
  <c r="Q114" i="109" s="1"/>
  <c r="H81" i="109"/>
  <c r="R114" i="109" s="1"/>
  <c r="I81" i="109"/>
  <c r="S114" i="109" s="1"/>
  <c r="J81" i="109"/>
  <c r="T114" i="109" s="1"/>
  <c r="K81" i="109"/>
  <c r="U114" i="109" s="1"/>
  <c r="L81" i="109"/>
  <c r="V114" i="109" s="1"/>
  <c r="M81" i="109"/>
  <c r="W114" i="109" s="1"/>
  <c r="N81" i="109"/>
  <c r="X114" i="109" s="1"/>
  <c r="B82" i="109"/>
  <c r="C82" i="109"/>
  <c r="M115" i="109" s="1"/>
  <c r="D82" i="109"/>
  <c r="N115" i="109" s="1"/>
  <c r="E82" i="109"/>
  <c r="O115" i="109" s="1"/>
  <c r="F82" i="109"/>
  <c r="P115" i="109" s="1"/>
  <c r="G82" i="109"/>
  <c r="Q115" i="109" s="1"/>
  <c r="H82" i="109"/>
  <c r="R115" i="109" s="1"/>
  <c r="I82" i="109"/>
  <c r="S115" i="109" s="1"/>
  <c r="J82" i="109"/>
  <c r="T115" i="109" s="1"/>
  <c r="K82" i="109"/>
  <c r="U115" i="109" s="1"/>
  <c r="L82" i="109"/>
  <c r="V115" i="109" s="1"/>
  <c r="M82" i="109"/>
  <c r="W115" i="109" s="1"/>
  <c r="N82" i="109"/>
  <c r="X115" i="109" s="1"/>
  <c r="B83" i="109"/>
  <c r="C83" i="109"/>
  <c r="M116" i="109" s="1"/>
  <c r="D83" i="109"/>
  <c r="N116" i="109" s="1"/>
  <c r="E83" i="109"/>
  <c r="O116" i="109" s="1"/>
  <c r="F83" i="109"/>
  <c r="P116" i="109" s="1"/>
  <c r="G83" i="109"/>
  <c r="Q116" i="109" s="1"/>
  <c r="H83" i="109"/>
  <c r="R116" i="109" s="1"/>
  <c r="I83" i="109"/>
  <c r="S116" i="109" s="1"/>
  <c r="J83" i="109"/>
  <c r="T116" i="109" s="1"/>
  <c r="K83" i="109"/>
  <c r="U116" i="109" s="1"/>
  <c r="L83" i="109"/>
  <c r="V116" i="109" s="1"/>
  <c r="M83" i="109"/>
  <c r="W116" i="109" s="1"/>
  <c r="N83" i="109"/>
  <c r="X116" i="109" s="1"/>
  <c r="B84" i="109"/>
  <c r="L117" i="109" s="1"/>
  <c r="C84" i="109"/>
  <c r="M117" i="109" s="1"/>
  <c r="D84" i="109"/>
  <c r="E84" i="109"/>
  <c r="O117" i="109" s="1"/>
  <c r="F84" i="109"/>
  <c r="P117" i="109" s="1"/>
  <c r="G84" i="109"/>
  <c r="Q117" i="109" s="1"/>
  <c r="H84" i="109"/>
  <c r="R117" i="109" s="1"/>
  <c r="I84" i="109"/>
  <c r="S117" i="109" s="1"/>
  <c r="J84" i="109"/>
  <c r="T117" i="109" s="1"/>
  <c r="K84" i="109"/>
  <c r="U117" i="109" s="1"/>
  <c r="L84" i="109"/>
  <c r="V117" i="109" s="1"/>
  <c r="M84" i="109"/>
  <c r="W117" i="109" s="1"/>
  <c r="N84" i="109"/>
  <c r="X117" i="109" s="1"/>
  <c r="B85" i="109"/>
  <c r="C85" i="109"/>
  <c r="M118" i="109" s="1"/>
  <c r="D85" i="109"/>
  <c r="E85" i="109"/>
  <c r="O118" i="109" s="1"/>
  <c r="F85" i="109"/>
  <c r="P118" i="109" s="1"/>
  <c r="G85" i="109"/>
  <c r="Q118" i="109" s="1"/>
  <c r="H85" i="109"/>
  <c r="R118" i="109" s="1"/>
  <c r="I85" i="109"/>
  <c r="S118" i="109" s="1"/>
  <c r="J85" i="109"/>
  <c r="T118" i="109" s="1"/>
  <c r="K85" i="109"/>
  <c r="U118" i="109" s="1"/>
  <c r="L85" i="109"/>
  <c r="V118" i="109" s="1"/>
  <c r="M85" i="109"/>
  <c r="W118" i="109" s="1"/>
  <c r="N85" i="109"/>
  <c r="X118" i="109" s="1"/>
  <c r="B86" i="109"/>
  <c r="L119" i="109" s="1"/>
  <c r="C86" i="109"/>
  <c r="M119" i="109" s="1"/>
  <c r="D86" i="109"/>
  <c r="E86" i="109"/>
  <c r="O119" i="109" s="1"/>
  <c r="F86" i="109"/>
  <c r="P119" i="109" s="1"/>
  <c r="G86" i="109"/>
  <c r="Q119" i="109" s="1"/>
  <c r="H86" i="109"/>
  <c r="R119" i="109" s="1"/>
  <c r="I86" i="109"/>
  <c r="S119" i="109" s="1"/>
  <c r="J86" i="109"/>
  <c r="T119" i="109" s="1"/>
  <c r="K86" i="109"/>
  <c r="U119" i="109" s="1"/>
  <c r="L86" i="109"/>
  <c r="V119" i="109" s="1"/>
  <c r="M86" i="109"/>
  <c r="W119" i="109" s="1"/>
  <c r="N86" i="109"/>
  <c r="X119" i="109" s="1"/>
  <c r="B87" i="109"/>
  <c r="L120" i="109" s="1"/>
  <c r="C87" i="109"/>
  <c r="M120" i="109" s="1"/>
  <c r="D87" i="109"/>
  <c r="N120" i="109" s="1"/>
  <c r="E87" i="109"/>
  <c r="O120" i="109" s="1"/>
  <c r="F87" i="109"/>
  <c r="P120" i="109" s="1"/>
  <c r="G87" i="109"/>
  <c r="Q120" i="109" s="1"/>
  <c r="H87" i="109"/>
  <c r="R120" i="109" s="1"/>
  <c r="I87" i="109"/>
  <c r="S120" i="109" s="1"/>
  <c r="J87" i="109"/>
  <c r="T120" i="109" s="1"/>
  <c r="K87" i="109"/>
  <c r="U120" i="109" s="1"/>
  <c r="L87" i="109"/>
  <c r="V120" i="109" s="1"/>
  <c r="M87" i="109"/>
  <c r="W120" i="109" s="1"/>
  <c r="N87" i="109"/>
  <c r="X120" i="109" s="1"/>
  <c r="B88" i="109"/>
  <c r="C88" i="109"/>
  <c r="M121" i="109" s="1"/>
  <c r="D88" i="109"/>
  <c r="N121" i="109" s="1"/>
  <c r="E88" i="109"/>
  <c r="O121" i="109" s="1"/>
  <c r="F88" i="109"/>
  <c r="P121" i="109" s="1"/>
  <c r="G88" i="109"/>
  <c r="Q121" i="109" s="1"/>
  <c r="H88" i="109"/>
  <c r="R121" i="109" s="1"/>
  <c r="I88" i="109"/>
  <c r="S121" i="109" s="1"/>
  <c r="J88" i="109"/>
  <c r="T121" i="109" s="1"/>
  <c r="K88" i="109"/>
  <c r="U121" i="109" s="1"/>
  <c r="L88" i="109"/>
  <c r="V121" i="109" s="1"/>
  <c r="M88" i="109"/>
  <c r="W121" i="109" s="1"/>
  <c r="N88" i="109"/>
  <c r="X121" i="109" s="1"/>
  <c r="B89" i="109"/>
  <c r="C89" i="109"/>
  <c r="M122" i="109" s="1"/>
  <c r="D89" i="109"/>
  <c r="N122" i="109" s="1"/>
  <c r="E89" i="109"/>
  <c r="O122" i="109" s="1"/>
  <c r="F89" i="109"/>
  <c r="P122" i="109" s="1"/>
  <c r="G89" i="109"/>
  <c r="Q122" i="109" s="1"/>
  <c r="H89" i="109"/>
  <c r="R122" i="109" s="1"/>
  <c r="I89" i="109"/>
  <c r="S122" i="109" s="1"/>
  <c r="J89" i="109"/>
  <c r="T122" i="109" s="1"/>
  <c r="K89" i="109"/>
  <c r="U122" i="109" s="1"/>
  <c r="L89" i="109"/>
  <c r="V122" i="109" s="1"/>
  <c r="M89" i="109"/>
  <c r="W122" i="109" s="1"/>
  <c r="N89" i="109"/>
  <c r="X122" i="109" s="1"/>
  <c r="B90" i="109"/>
  <c r="L123" i="109" s="1"/>
  <c r="C90" i="109"/>
  <c r="M123" i="109" s="1"/>
  <c r="D90" i="109"/>
  <c r="N123" i="109" s="1"/>
  <c r="E90" i="109"/>
  <c r="O123" i="109" s="1"/>
  <c r="F90" i="109"/>
  <c r="P123" i="109" s="1"/>
  <c r="G90" i="109"/>
  <c r="Q123" i="109" s="1"/>
  <c r="H90" i="109"/>
  <c r="R123" i="109" s="1"/>
  <c r="I90" i="109"/>
  <c r="S123" i="109" s="1"/>
  <c r="J90" i="109"/>
  <c r="T123" i="109" s="1"/>
  <c r="K90" i="109"/>
  <c r="U123" i="109" s="1"/>
  <c r="L90" i="109"/>
  <c r="V123" i="109" s="1"/>
  <c r="M90" i="109"/>
  <c r="W123" i="109" s="1"/>
  <c r="N90" i="109"/>
  <c r="X123" i="109" s="1"/>
  <c r="B91" i="109"/>
  <c r="L124" i="109" s="1"/>
  <c r="C91" i="109"/>
  <c r="M124" i="109" s="1"/>
  <c r="D91" i="109"/>
  <c r="N124" i="109" s="1"/>
  <c r="E91" i="109"/>
  <c r="F91" i="109"/>
  <c r="P124" i="109" s="1"/>
  <c r="G91" i="109"/>
  <c r="Q124" i="109" s="1"/>
  <c r="H91" i="109"/>
  <c r="R124" i="109" s="1"/>
  <c r="I91" i="109"/>
  <c r="S124" i="109" s="1"/>
  <c r="J91" i="109"/>
  <c r="T124" i="109" s="1"/>
  <c r="K91" i="109"/>
  <c r="U124" i="109" s="1"/>
  <c r="L91" i="109"/>
  <c r="V124" i="109" s="1"/>
  <c r="M91" i="109"/>
  <c r="W124" i="109" s="1"/>
  <c r="N91" i="109"/>
  <c r="X124" i="109" s="1"/>
  <c r="B92" i="109"/>
  <c r="C92" i="109"/>
  <c r="M125" i="109" s="1"/>
  <c r="D92" i="109"/>
  <c r="N125" i="109" s="1"/>
  <c r="E92" i="109"/>
  <c r="O125" i="109" s="1"/>
  <c r="F92" i="109"/>
  <c r="P125" i="109" s="1"/>
  <c r="G92" i="109"/>
  <c r="H92" i="109"/>
  <c r="R125" i="109" s="1"/>
  <c r="I92" i="109"/>
  <c r="S125" i="109" s="1"/>
  <c r="J92" i="109"/>
  <c r="T125" i="109" s="1"/>
  <c r="K92" i="109"/>
  <c r="U125" i="109" s="1"/>
  <c r="L92" i="109"/>
  <c r="V125" i="109" s="1"/>
  <c r="M92" i="109"/>
  <c r="W125" i="109" s="1"/>
  <c r="N92" i="109"/>
  <c r="X125" i="109" s="1"/>
  <c r="B93" i="109"/>
  <c r="L126" i="109" s="1"/>
  <c r="C93" i="109"/>
  <c r="M126" i="109" s="1"/>
  <c r="D93" i="109"/>
  <c r="N126" i="109" s="1"/>
  <c r="E93" i="109"/>
  <c r="F93" i="109"/>
  <c r="P126" i="109" s="1"/>
  <c r="G93" i="109"/>
  <c r="Q126" i="109" s="1"/>
  <c r="H93" i="109"/>
  <c r="R126" i="109" s="1"/>
  <c r="I93" i="109"/>
  <c r="S126" i="109" s="1"/>
  <c r="J93" i="109"/>
  <c r="T126" i="109" s="1"/>
  <c r="K93" i="109"/>
  <c r="U126" i="109" s="1"/>
  <c r="L93" i="109"/>
  <c r="V126" i="109" s="1"/>
  <c r="M93" i="109"/>
  <c r="W126" i="109" s="1"/>
  <c r="N93" i="109"/>
  <c r="X126" i="109" s="1"/>
  <c r="B94" i="109"/>
  <c r="L127" i="109" s="1"/>
  <c r="C94" i="109"/>
  <c r="M127" i="109" s="1"/>
  <c r="D94" i="109"/>
  <c r="N127" i="109" s="1"/>
  <c r="E94" i="109"/>
  <c r="O127" i="109" s="1"/>
  <c r="F94" i="109"/>
  <c r="P127" i="109" s="1"/>
  <c r="G94" i="109"/>
  <c r="Q127" i="109" s="1"/>
  <c r="H94" i="109"/>
  <c r="R127" i="109" s="1"/>
  <c r="I94" i="109"/>
  <c r="S127" i="109" s="1"/>
  <c r="J94" i="109"/>
  <c r="T127" i="109" s="1"/>
  <c r="K94" i="109"/>
  <c r="U127" i="109" s="1"/>
  <c r="L94" i="109"/>
  <c r="V127" i="109" s="1"/>
  <c r="M94" i="109"/>
  <c r="W127" i="109" s="1"/>
  <c r="N94" i="109"/>
  <c r="X127" i="109" s="1"/>
  <c r="B95" i="109"/>
  <c r="L128" i="109" s="1"/>
  <c r="C95" i="109"/>
  <c r="M128" i="109" s="1"/>
  <c r="D95" i="109"/>
  <c r="N128" i="109" s="1"/>
  <c r="E95" i="109"/>
  <c r="O128" i="109" s="1"/>
  <c r="F95" i="109"/>
  <c r="P128" i="109" s="1"/>
  <c r="G95" i="109"/>
  <c r="Q128" i="109" s="1"/>
  <c r="H95" i="109"/>
  <c r="R128" i="109" s="1"/>
  <c r="I95" i="109"/>
  <c r="S128" i="109" s="1"/>
  <c r="J95" i="109"/>
  <c r="T128" i="109" s="1"/>
  <c r="K95" i="109"/>
  <c r="U128" i="109" s="1"/>
  <c r="L95" i="109"/>
  <c r="V128" i="109" s="1"/>
  <c r="M95" i="109"/>
  <c r="W128" i="109" s="1"/>
  <c r="N95" i="109"/>
  <c r="X128" i="109" s="1"/>
  <c r="B96" i="109"/>
  <c r="C96" i="109"/>
  <c r="M129" i="109" s="1"/>
  <c r="D96" i="109"/>
  <c r="N129" i="109" s="1"/>
  <c r="E96" i="109"/>
  <c r="O129" i="109" s="1"/>
  <c r="F96" i="109"/>
  <c r="P129" i="109" s="1"/>
  <c r="G96" i="109"/>
  <c r="Q129" i="109" s="1"/>
  <c r="H96" i="109"/>
  <c r="R129" i="109" s="1"/>
  <c r="I96" i="109"/>
  <c r="S129" i="109" s="1"/>
  <c r="J96" i="109"/>
  <c r="T129" i="109" s="1"/>
  <c r="K96" i="109"/>
  <c r="U129" i="109" s="1"/>
  <c r="L96" i="109"/>
  <c r="V129" i="109" s="1"/>
  <c r="M96" i="109"/>
  <c r="W129" i="109" s="1"/>
  <c r="N96" i="109"/>
  <c r="X129" i="109" s="1"/>
  <c r="B97" i="109"/>
  <c r="C97" i="109"/>
  <c r="M130" i="109" s="1"/>
  <c r="D97" i="109"/>
  <c r="N130" i="109" s="1"/>
  <c r="E97" i="109"/>
  <c r="O130" i="109" s="1"/>
  <c r="F97" i="109"/>
  <c r="P130" i="109" s="1"/>
  <c r="G97" i="109"/>
  <c r="Q130" i="109" s="1"/>
  <c r="H97" i="109"/>
  <c r="R130" i="109" s="1"/>
  <c r="I97" i="109"/>
  <c r="S130" i="109" s="1"/>
  <c r="J97" i="109"/>
  <c r="T130" i="109" s="1"/>
  <c r="K97" i="109"/>
  <c r="U130" i="109" s="1"/>
  <c r="L97" i="109"/>
  <c r="V130" i="109" s="1"/>
  <c r="M97" i="109"/>
  <c r="W130" i="109" s="1"/>
  <c r="N97" i="109"/>
  <c r="X130" i="109" s="1"/>
  <c r="B98" i="109"/>
  <c r="C98" i="109"/>
  <c r="M131" i="109" s="1"/>
  <c r="D98" i="109"/>
  <c r="N131" i="109" s="1"/>
  <c r="E98" i="109"/>
  <c r="O131" i="109" s="1"/>
  <c r="F98" i="109"/>
  <c r="P131" i="109" s="1"/>
  <c r="G98" i="109"/>
  <c r="Q131" i="109" s="1"/>
  <c r="H98" i="109"/>
  <c r="R131" i="109" s="1"/>
  <c r="I98" i="109"/>
  <c r="S131" i="109" s="1"/>
  <c r="J98" i="109"/>
  <c r="T131" i="109" s="1"/>
  <c r="K98" i="109"/>
  <c r="U131" i="109" s="1"/>
  <c r="L98" i="109"/>
  <c r="V131" i="109" s="1"/>
  <c r="M98" i="109"/>
  <c r="W131" i="109" s="1"/>
  <c r="N98" i="109"/>
  <c r="X131" i="109" s="1"/>
  <c r="B99" i="109"/>
  <c r="L132" i="109" s="1"/>
  <c r="C99" i="109"/>
  <c r="M132" i="109" s="1"/>
  <c r="D99" i="109"/>
  <c r="N132" i="109" s="1"/>
  <c r="E99" i="109"/>
  <c r="O132" i="109" s="1"/>
  <c r="F99" i="109"/>
  <c r="P132" i="109" s="1"/>
  <c r="G99" i="109"/>
  <c r="Q132" i="109" s="1"/>
  <c r="H99" i="109"/>
  <c r="R132" i="109" s="1"/>
  <c r="I99" i="109"/>
  <c r="S132" i="109" s="1"/>
  <c r="J99" i="109"/>
  <c r="T132" i="109" s="1"/>
  <c r="K99" i="109"/>
  <c r="U132" i="109" s="1"/>
  <c r="L99" i="109"/>
  <c r="V132" i="109" s="1"/>
  <c r="M99" i="109"/>
  <c r="W132" i="109" s="1"/>
  <c r="N99" i="109"/>
  <c r="X132" i="109" s="1"/>
  <c r="B100" i="109"/>
  <c r="C100" i="109"/>
  <c r="M133" i="109" s="1"/>
  <c r="D100" i="109"/>
  <c r="N133" i="109" s="1"/>
  <c r="E100" i="109"/>
  <c r="O133" i="109" s="1"/>
  <c r="F100" i="109"/>
  <c r="P133" i="109" s="1"/>
  <c r="G100" i="109"/>
  <c r="Q133" i="109" s="1"/>
  <c r="H100" i="109"/>
  <c r="R133" i="109" s="1"/>
  <c r="I100" i="109"/>
  <c r="S133" i="109" s="1"/>
  <c r="J100" i="109"/>
  <c r="T133" i="109" s="1"/>
  <c r="K100" i="109"/>
  <c r="U133" i="109" s="1"/>
  <c r="L100" i="109"/>
  <c r="V133" i="109" s="1"/>
  <c r="M100" i="109"/>
  <c r="W133" i="109" s="1"/>
  <c r="N100" i="109"/>
  <c r="X133" i="109" s="1"/>
  <c r="B101" i="109"/>
  <c r="L134" i="109" s="1"/>
  <c r="C101" i="109"/>
  <c r="M134" i="109" s="1"/>
  <c r="D101" i="109"/>
  <c r="E101" i="109"/>
  <c r="O134" i="109" s="1"/>
  <c r="F101" i="109"/>
  <c r="P134" i="109" s="1"/>
  <c r="G101" i="109"/>
  <c r="Q134" i="109" s="1"/>
  <c r="H101" i="109"/>
  <c r="R134" i="109" s="1"/>
  <c r="I101" i="109"/>
  <c r="S134" i="109" s="1"/>
  <c r="J101" i="109"/>
  <c r="T134" i="109" s="1"/>
  <c r="K101" i="109"/>
  <c r="U134" i="109" s="1"/>
  <c r="L101" i="109"/>
  <c r="V134" i="109" s="1"/>
  <c r="M101" i="109"/>
  <c r="W134" i="109" s="1"/>
  <c r="N101" i="109"/>
  <c r="X134" i="109" s="1"/>
  <c r="S102" i="109"/>
  <c r="U37" i="121" s="1"/>
  <c r="T102" i="109"/>
  <c r="V37" i="121" s="1"/>
  <c r="U102" i="109"/>
  <c r="R36" i="122" s="1"/>
  <c r="V102" i="109"/>
  <c r="S36" i="122" s="1"/>
  <c r="W102" i="109"/>
  <c r="L35" i="123" s="1"/>
  <c r="X102" i="109"/>
  <c r="Y102" i="109"/>
  <c r="Z102" i="109"/>
  <c r="AA102" i="109"/>
  <c r="AB102" i="109"/>
  <c r="AC102" i="109"/>
  <c r="AD102" i="109"/>
  <c r="AE102" i="109"/>
  <c r="AG102" i="109"/>
  <c r="AH102" i="109"/>
  <c r="N108" i="109"/>
  <c r="O108" i="109"/>
  <c r="Y108" i="109"/>
  <c r="Z108" i="109"/>
  <c r="Y109" i="109"/>
  <c r="Z109" i="109"/>
  <c r="Y110" i="109"/>
  <c r="Z110" i="109"/>
  <c r="Y111" i="109"/>
  <c r="Z111" i="109"/>
  <c r="Y112" i="109"/>
  <c r="Z112" i="109"/>
  <c r="Y113" i="109"/>
  <c r="Z113" i="109"/>
  <c r="Y114" i="109"/>
  <c r="Z114" i="109"/>
  <c r="Y115" i="109"/>
  <c r="Z115" i="109"/>
  <c r="Y116" i="109"/>
  <c r="Z116" i="109"/>
  <c r="Y117" i="109"/>
  <c r="Z117" i="109"/>
  <c r="L118" i="109"/>
  <c r="Y118" i="109"/>
  <c r="Z118" i="109"/>
  <c r="Y119" i="109"/>
  <c r="Z119" i="109"/>
  <c r="Y120" i="109"/>
  <c r="Z120" i="109"/>
  <c r="Y121" i="109"/>
  <c r="Z121" i="109"/>
  <c r="Y122" i="109"/>
  <c r="Z122" i="109"/>
  <c r="Y123" i="109"/>
  <c r="Z123" i="109"/>
  <c r="O124" i="109"/>
  <c r="Y124" i="109"/>
  <c r="Z124" i="109"/>
  <c r="Q125" i="109"/>
  <c r="Y125" i="109"/>
  <c r="Z125" i="109"/>
  <c r="O126" i="109"/>
  <c r="Y126" i="109"/>
  <c r="Z126" i="109"/>
  <c r="Y127" i="109"/>
  <c r="Z127" i="109"/>
  <c r="Y128" i="109"/>
  <c r="Z128" i="109"/>
  <c r="Y129" i="109"/>
  <c r="Z129" i="109"/>
  <c r="Y130" i="109"/>
  <c r="Z130" i="109"/>
  <c r="Y131" i="109"/>
  <c r="Z131" i="109"/>
  <c r="Y132" i="109"/>
  <c r="Z132" i="109"/>
  <c r="Y133" i="109"/>
  <c r="Z133" i="109"/>
  <c r="Y134" i="109"/>
  <c r="Z134" i="109"/>
  <c r="O5" i="108"/>
  <c r="S5" i="108"/>
  <c r="AI5" i="108" s="1"/>
  <c r="T5" i="108"/>
  <c r="U5" i="108"/>
  <c r="AK5" i="108" s="1"/>
  <c r="V5" i="108"/>
  <c r="W5" i="108"/>
  <c r="AM5" i="108" s="1"/>
  <c r="X5" i="108"/>
  <c r="Y5" i="108"/>
  <c r="Z5" i="108"/>
  <c r="AA5" i="108"/>
  <c r="AB5" i="108"/>
  <c r="AC5" i="108"/>
  <c r="AD5" i="108"/>
  <c r="AE5" i="108"/>
  <c r="AF5" i="108"/>
  <c r="AG5" i="108"/>
  <c r="O6" i="108"/>
  <c r="S6" i="108"/>
  <c r="AI6" i="108" s="1"/>
  <c r="T6" i="108"/>
  <c r="U6" i="108"/>
  <c r="AK6" i="108" s="1"/>
  <c r="V6" i="108"/>
  <c r="W6" i="108"/>
  <c r="AM6" i="108" s="1"/>
  <c r="X6" i="108"/>
  <c r="Y6" i="108"/>
  <c r="Z6" i="108"/>
  <c r="AA6" i="108"/>
  <c r="AB6" i="108"/>
  <c r="AC6" i="108"/>
  <c r="AD6" i="108"/>
  <c r="AE6" i="108"/>
  <c r="AF6" i="108"/>
  <c r="AG6" i="108"/>
  <c r="O7" i="108"/>
  <c r="S7" i="108"/>
  <c r="AI7" i="108" s="1"/>
  <c r="T7" i="108"/>
  <c r="U7" i="108"/>
  <c r="V7" i="108"/>
  <c r="W7" i="108"/>
  <c r="AM7" i="108" s="1"/>
  <c r="X7" i="108"/>
  <c r="Y7" i="108"/>
  <c r="Z7" i="108"/>
  <c r="AA7" i="108"/>
  <c r="AB7" i="108"/>
  <c r="AC7" i="108"/>
  <c r="AD7" i="108"/>
  <c r="AE7" i="108"/>
  <c r="AF7" i="108"/>
  <c r="AG7" i="108"/>
  <c r="O8" i="108"/>
  <c r="S8" i="108"/>
  <c r="AI8" i="108" s="1"/>
  <c r="T8" i="108"/>
  <c r="U8" i="108"/>
  <c r="AK8" i="108" s="1"/>
  <c r="V8" i="108"/>
  <c r="W8" i="108"/>
  <c r="AM8" i="108" s="1"/>
  <c r="X8" i="108"/>
  <c r="Y8" i="108"/>
  <c r="Z8" i="108"/>
  <c r="AA8" i="108"/>
  <c r="AB8" i="108"/>
  <c r="AC8" i="108"/>
  <c r="AD8" i="108"/>
  <c r="AE8" i="108"/>
  <c r="AF8" i="108"/>
  <c r="AG8" i="108"/>
  <c r="O9" i="108"/>
  <c r="S9" i="108"/>
  <c r="AI9" i="108" s="1"/>
  <c r="T9" i="108"/>
  <c r="U9" i="108"/>
  <c r="AK9" i="108" s="1"/>
  <c r="V9" i="108"/>
  <c r="W9" i="108"/>
  <c r="AM9" i="108" s="1"/>
  <c r="X9" i="108"/>
  <c r="Y9" i="108"/>
  <c r="Z9" i="108"/>
  <c r="AA9" i="108"/>
  <c r="AB9" i="108"/>
  <c r="AC9" i="108"/>
  <c r="AD9" i="108"/>
  <c r="AE9" i="108"/>
  <c r="AF9" i="108"/>
  <c r="AG9" i="108"/>
  <c r="O10" i="108"/>
  <c r="S10" i="108"/>
  <c r="AI10" i="108" s="1"/>
  <c r="T10" i="108"/>
  <c r="U10" i="108"/>
  <c r="AK10" i="108" s="1"/>
  <c r="V10" i="108"/>
  <c r="W10" i="108"/>
  <c r="AM10" i="108" s="1"/>
  <c r="X10" i="108"/>
  <c r="Y10" i="108"/>
  <c r="Z10" i="108"/>
  <c r="AA10" i="108"/>
  <c r="AB10" i="108"/>
  <c r="AC10" i="108"/>
  <c r="AD10" i="108"/>
  <c r="AE10" i="108"/>
  <c r="AF10" i="108"/>
  <c r="AG10" i="108"/>
  <c r="O11" i="108"/>
  <c r="S11" i="108"/>
  <c r="AI11" i="108" s="1"/>
  <c r="T11" i="108"/>
  <c r="U11" i="108"/>
  <c r="AK11" i="108" s="1"/>
  <c r="V11" i="108"/>
  <c r="W11" i="108"/>
  <c r="AM11" i="108" s="1"/>
  <c r="X11" i="108"/>
  <c r="Y11" i="108"/>
  <c r="Z11" i="108"/>
  <c r="AA11" i="108"/>
  <c r="AB11" i="108"/>
  <c r="AC11" i="108"/>
  <c r="AD11" i="108"/>
  <c r="AE11" i="108"/>
  <c r="AF11" i="108"/>
  <c r="AG11" i="108"/>
  <c r="O12" i="108"/>
  <c r="S12" i="108"/>
  <c r="AI12" i="108" s="1"/>
  <c r="T12" i="108"/>
  <c r="U12" i="108"/>
  <c r="AK12" i="108" s="1"/>
  <c r="V12" i="108"/>
  <c r="W12" i="108"/>
  <c r="AM12" i="108" s="1"/>
  <c r="X12" i="108"/>
  <c r="Y12" i="108"/>
  <c r="Z12" i="108"/>
  <c r="AA12" i="108"/>
  <c r="AB12" i="108"/>
  <c r="AC12" i="108"/>
  <c r="AD12" i="108"/>
  <c r="AE12" i="108"/>
  <c r="AF12" i="108"/>
  <c r="AG12" i="108"/>
  <c r="O13" i="108"/>
  <c r="S13" i="108"/>
  <c r="AI13" i="108" s="1"/>
  <c r="T13" i="108"/>
  <c r="U13" i="108"/>
  <c r="AK13" i="108" s="1"/>
  <c r="V13" i="108"/>
  <c r="W13" i="108"/>
  <c r="AM13" i="108" s="1"/>
  <c r="X13" i="108"/>
  <c r="Y13" i="108"/>
  <c r="Z13" i="108"/>
  <c r="AA13" i="108"/>
  <c r="AB13" i="108"/>
  <c r="AC13" i="108"/>
  <c r="AD13" i="108"/>
  <c r="AE13" i="108"/>
  <c r="AF13" i="108"/>
  <c r="AG13" i="108"/>
  <c r="O14" i="108"/>
  <c r="S14" i="108"/>
  <c r="T14" i="108"/>
  <c r="U14" i="108"/>
  <c r="AK14" i="108" s="1"/>
  <c r="V14" i="108"/>
  <c r="W14" i="108"/>
  <c r="AM14" i="108" s="1"/>
  <c r="X14" i="108"/>
  <c r="Y14" i="108"/>
  <c r="Z14" i="108"/>
  <c r="AA14" i="108"/>
  <c r="AB14" i="108"/>
  <c r="AC14" i="108"/>
  <c r="AD14" i="108"/>
  <c r="AE14" i="108"/>
  <c r="AF14" i="108"/>
  <c r="AG14" i="108"/>
  <c r="O15" i="108"/>
  <c r="S15" i="108"/>
  <c r="AI15" i="108" s="1"/>
  <c r="T15" i="108"/>
  <c r="U15" i="108"/>
  <c r="AK15" i="108" s="1"/>
  <c r="V15" i="108"/>
  <c r="W15" i="108"/>
  <c r="X15" i="108"/>
  <c r="Y15" i="108"/>
  <c r="Z15" i="108"/>
  <c r="AA15" i="108"/>
  <c r="AB15" i="108"/>
  <c r="AC15" i="108"/>
  <c r="AD15" i="108"/>
  <c r="AE15" i="108"/>
  <c r="AF15" i="108"/>
  <c r="AG15" i="108"/>
  <c r="O16" i="108"/>
  <c r="S16" i="108"/>
  <c r="AI16" i="108" s="1"/>
  <c r="T16" i="108"/>
  <c r="U16" i="108"/>
  <c r="AK16" i="108" s="1"/>
  <c r="V16" i="108"/>
  <c r="W16" i="108"/>
  <c r="AM16" i="108" s="1"/>
  <c r="X16" i="108"/>
  <c r="Y16" i="108"/>
  <c r="Z16" i="108"/>
  <c r="AA16" i="108"/>
  <c r="AB16" i="108"/>
  <c r="AC16" i="108"/>
  <c r="AD16" i="108"/>
  <c r="AE16" i="108"/>
  <c r="AF16" i="108"/>
  <c r="AG16" i="108"/>
  <c r="O17" i="108"/>
  <c r="S17" i="108"/>
  <c r="T17" i="108"/>
  <c r="U17" i="108"/>
  <c r="AK17" i="108" s="1"/>
  <c r="V17" i="108"/>
  <c r="W17" i="108"/>
  <c r="AM17" i="108" s="1"/>
  <c r="X17" i="108"/>
  <c r="Y17" i="108"/>
  <c r="Z17" i="108"/>
  <c r="AA17" i="108"/>
  <c r="AB17" i="108"/>
  <c r="AC17" i="108"/>
  <c r="AD17" i="108"/>
  <c r="AE17" i="108"/>
  <c r="AF17" i="108"/>
  <c r="AG17" i="108"/>
  <c r="O18" i="108"/>
  <c r="S18" i="108"/>
  <c r="AI18" i="108" s="1"/>
  <c r="T18" i="108"/>
  <c r="U18" i="108"/>
  <c r="AK18" i="108" s="1"/>
  <c r="V18" i="108"/>
  <c r="W18" i="108"/>
  <c r="AM18" i="108" s="1"/>
  <c r="X18" i="108"/>
  <c r="Y18" i="108"/>
  <c r="Z18" i="108"/>
  <c r="AA18" i="108"/>
  <c r="AB18" i="108"/>
  <c r="AC18" i="108"/>
  <c r="AD18" i="108"/>
  <c r="AE18" i="108"/>
  <c r="AF18" i="108"/>
  <c r="AG18" i="108"/>
  <c r="O19" i="108"/>
  <c r="S19" i="108"/>
  <c r="AI19" i="108" s="1"/>
  <c r="T19" i="108"/>
  <c r="U19" i="108"/>
  <c r="AK19" i="108" s="1"/>
  <c r="V19" i="108"/>
  <c r="W19" i="108"/>
  <c r="AM19" i="108" s="1"/>
  <c r="X19" i="108"/>
  <c r="Y19" i="108"/>
  <c r="Z19" i="108"/>
  <c r="AA19" i="108"/>
  <c r="AB19" i="108"/>
  <c r="AC19" i="108"/>
  <c r="AD19" i="108"/>
  <c r="AE19" i="108"/>
  <c r="AF19" i="108"/>
  <c r="AG19" i="108"/>
  <c r="O20" i="108"/>
  <c r="S20" i="108"/>
  <c r="AI20" i="108" s="1"/>
  <c r="T20" i="108"/>
  <c r="U20" i="108"/>
  <c r="AK20" i="108" s="1"/>
  <c r="V20" i="108"/>
  <c r="W20" i="108"/>
  <c r="AM20" i="108" s="1"/>
  <c r="X20" i="108"/>
  <c r="Y20" i="108"/>
  <c r="Z20" i="108"/>
  <c r="AA20" i="108"/>
  <c r="AB20" i="108"/>
  <c r="AC20" i="108"/>
  <c r="AD20" i="108"/>
  <c r="AE20" i="108"/>
  <c r="AF20" i="108"/>
  <c r="AG20" i="108"/>
  <c r="O21" i="108"/>
  <c r="S21" i="108"/>
  <c r="AI21" i="108" s="1"/>
  <c r="T21" i="108"/>
  <c r="U21" i="108"/>
  <c r="AK21" i="108" s="1"/>
  <c r="V21" i="108"/>
  <c r="W21" i="108"/>
  <c r="AM21" i="108" s="1"/>
  <c r="X21" i="108"/>
  <c r="Y21" i="108"/>
  <c r="Z21" i="108"/>
  <c r="AA21" i="108"/>
  <c r="AB21" i="108"/>
  <c r="AC21" i="108"/>
  <c r="AD21" i="108"/>
  <c r="AE21" i="108"/>
  <c r="AF21" i="108"/>
  <c r="AG21" i="108"/>
  <c r="O22" i="108"/>
  <c r="S22" i="108"/>
  <c r="AI22" i="108" s="1"/>
  <c r="T22" i="108"/>
  <c r="U22" i="108"/>
  <c r="AK22" i="108" s="1"/>
  <c r="V22" i="108"/>
  <c r="W22" i="108"/>
  <c r="AM22" i="108" s="1"/>
  <c r="X22" i="108"/>
  <c r="Y22" i="108"/>
  <c r="Z22" i="108"/>
  <c r="AA22" i="108"/>
  <c r="AB22" i="108"/>
  <c r="AC22" i="108"/>
  <c r="AD22" i="108"/>
  <c r="AE22" i="108"/>
  <c r="AF22" i="108"/>
  <c r="AG22" i="108"/>
  <c r="O23" i="108"/>
  <c r="S23" i="108"/>
  <c r="AI23" i="108" s="1"/>
  <c r="T23" i="108"/>
  <c r="U23" i="108"/>
  <c r="AK23" i="108" s="1"/>
  <c r="V23" i="108"/>
  <c r="W23" i="108"/>
  <c r="AM23" i="108" s="1"/>
  <c r="X23" i="108"/>
  <c r="Y23" i="108"/>
  <c r="Z23" i="108"/>
  <c r="AA23" i="108"/>
  <c r="AB23" i="108"/>
  <c r="AC23" i="108"/>
  <c r="AD23" i="108"/>
  <c r="AE23" i="108"/>
  <c r="AF23" i="108"/>
  <c r="AG23" i="108"/>
  <c r="O24" i="108"/>
  <c r="S24" i="108"/>
  <c r="AI24" i="108" s="1"/>
  <c r="T24" i="108"/>
  <c r="U24" i="108"/>
  <c r="AK24" i="108" s="1"/>
  <c r="V24" i="108"/>
  <c r="W24" i="108"/>
  <c r="AM24" i="108" s="1"/>
  <c r="X24" i="108"/>
  <c r="Y24" i="108"/>
  <c r="Z24" i="108"/>
  <c r="AA24" i="108"/>
  <c r="AB24" i="108"/>
  <c r="AC24" i="108"/>
  <c r="AD24" i="108"/>
  <c r="AE24" i="108"/>
  <c r="AF24" i="108"/>
  <c r="AG24" i="108"/>
  <c r="O25" i="108"/>
  <c r="S25" i="108"/>
  <c r="AI25" i="108" s="1"/>
  <c r="T25" i="108"/>
  <c r="U25" i="108"/>
  <c r="V25" i="108"/>
  <c r="W25" i="108"/>
  <c r="AM25" i="108" s="1"/>
  <c r="X25" i="108"/>
  <c r="Y25" i="108"/>
  <c r="Z25" i="108"/>
  <c r="AA25" i="108"/>
  <c r="AB25" i="108"/>
  <c r="AC25" i="108"/>
  <c r="AD25" i="108"/>
  <c r="AE25" i="108"/>
  <c r="AF25" i="108"/>
  <c r="AG25" i="108"/>
  <c r="O26" i="108"/>
  <c r="S26" i="108"/>
  <c r="AI26" i="108" s="1"/>
  <c r="T26" i="108"/>
  <c r="U26" i="108"/>
  <c r="AK26" i="108" s="1"/>
  <c r="V26" i="108"/>
  <c r="W26" i="108"/>
  <c r="AM26" i="108" s="1"/>
  <c r="X26" i="108"/>
  <c r="Y26" i="108"/>
  <c r="Z26" i="108"/>
  <c r="AA26" i="108"/>
  <c r="AB26" i="108"/>
  <c r="AC26" i="108"/>
  <c r="AD26" i="108"/>
  <c r="AE26" i="108"/>
  <c r="AF26" i="108"/>
  <c r="AG26" i="108"/>
  <c r="O27" i="108"/>
  <c r="S27" i="108"/>
  <c r="AI27" i="108" s="1"/>
  <c r="T27" i="108"/>
  <c r="U27" i="108"/>
  <c r="AK27" i="108" s="1"/>
  <c r="V27" i="108"/>
  <c r="W27" i="108"/>
  <c r="AM27" i="108" s="1"/>
  <c r="X27" i="108"/>
  <c r="Y27" i="108"/>
  <c r="Z27" i="108"/>
  <c r="AA27" i="108"/>
  <c r="AB27" i="108"/>
  <c r="AC27" i="108"/>
  <c r="AD27" i="108"/>
  <c r="AE27" i="108"/>
  <c r="AF27" i="108"/>
  <c r="AG27" i="108"/>
  <c r="O28" i="108"/>
  <c r="S28" i="108"/>
  <c r="AI28" i="108" s="1"/>
  <c r="T28" i="108"/>
  <c r="U28" i="108"/>
  <c r="AK28" i="108" s="1"/>
  <c r="V28" i="108"/>
  <c r="W28" i="108"/>
  <c r="AM28" i="108" s="1"/>
  <c r="X28" i="108"/>
  <c r="Y28" i="108"/>
  <c r="Z28" i="108"/>
  <c r="AA28" i="108"/>
  <c r="AB28" i="108"/>
  <c r="AC28" i="108"/>
  <c r="AD28" i="108"/>
  <c r="AE28" i="108"/>
  <c r="AF28" i="108"/>
  <c r="AG28" i="108"/>
  <c r="O29" i="108"/>
  <c r="S29" i="108"/>
  <c r="AI29" i="108" s="1"/>
  <c r="T29" i="108"/>
  <c r="U29" i="108"/>
  <c r="AK29" i="108" s="1"/>
  <c r="V29" i="108"/>
  <c r="W29" i="108"/>
  <c r="AM29" i="108" s="1"/>
  <c r="X29" i="108"/>
  <c r="Y29" i="108"/>
  <c r="Z29" i="108"/>
  <c r="AA29" i="108"/>
  <c r="AB29" i="108"/>
  <c r="AC29" i="108"/>
  <c r="AD29" i="108"/>
  <c r="AE29" i="108"/>
  <c r="AF29" i="108"/>
  <c r="AG29" i="108"/>
  <c r="O30" i="108"/>
  <c r="S30" i="108"/>
  <c r="AI30" i="108" s="1"/>
  <c r="T30" i="108"/>
  <c r="H29" i="65" s="1"/>
  <c r="U30" i="108"/>
  <c r="AK30" i="108" s="1"/>
  <c r="V30" i="108"/>
  <c r="W30" i="108"/>
  <c r="AM30" i="108" s="1"/>
  <c r="X30" i="108"/>
  <c r="Y30" i="108"/>
  <c r="Z30" i="108"/>
  <c r="AA30" i="108"/>
  <c r="AB30" i="108"/>
  <c r="AC30" i="108"/>
  <c r="AD30" i="108"/>
  <c r="AE30" i="108"/>
  <c r="AF30" i="108"/>
  <c r="AG30" i="108"/>
  <c r="O31" i="108"/>
  <c r="S31" i="108"/>
  <c r="AI31" i="108" s="1"/>
  <c r="T31" i="108"/>
  <c r="U31" i="108"/>
  <c r="AK31" i="108" s="1"/>
  <c r="W31" i="108"/>
  <c r="AM31" i="108" s="1"/>
  <c r="X31" i="108"/>
  <c r="Y31" i="108"/>
  <c r="Z31" i="108"/>
  <c r="AA31" i="108"/>
  <c r="AB31" i="108"/>
  <c r="AC31" i="108"/>
  <c r="AD31" i="108"/>
  <c r="AE31" i="108"/>
  <c r="AF31" i="108"/>
  <c r="AG31" i="108"/>
  <c r="B32" i="108"/>
  <c r="C32" i="108"/>
  <c r="D32" i="108"/>
  <c r="E32" i="108"/>
  <c r="F32" i="108"/>
  <c r="G32" i="108"/>
  <c r="H32" i="108"/>
  <c r="I32" i="108"/>
  <c r="J32" i="108"/>
  <c r="K32" i="108"/>
  <c r="L32" i="108"/>
  <c r="M32" i="108"/>
  <c r="N32" i="108"/>
  <c r="O40" i="108"/>
  <c r="S40" i="108"/>
  <c r="AI40" i="108" s="1"/>
  <c r="T40" i="108"/>
  <c r="AJ40" i="108" s="1"/>
  <c r="U40" i="108"/>
  <c r="AK40" i="108" s="1"/>
  <c r="V40" i="108"/>
  <c r="AL40" i="108" s="1"/>
  <c r="W40" i="108"/>
  <c r="AM40" i="108" s="1"/>
  <c r="X40" i="108"/>
  <c r="Y40" i="108"/>
  <c r="Z40" i="108"/>
  <c r="AA40" i="108"/>
  <c r="AB40" i="108"/>
  <c r="AC40" i="108"/>
  <c r="AD40" i="108"/>
  <c r="AE40" i="108"/>
  <c r="AF40" i="108"/>
  <c r="AG40" i="108"/>
  <c r="O41" i="108"/>
  <c r="S41" i="108"/>
  <c r="AI41" i="108" s="1"/>
  <c r="T41" i="108"/>
  <c r="AJ41" i="108" s="1"/>
  <c r="U41" i="108"/>
  <c r="AK41" i="108" s="1"/>
  <c r="V41" i="108"/>
  <c r="AL41" i="108" s="1"/>
  <c r="W41" i="108"/>
  <c r="AM41" i="108" s="1"/>
  <c r="X41" i="108"/>
  <c r="Y41" i="108"/>
  <c r="Z41" i="108"/>
  <c r="AA41" i="108"/>
  <c r="AB41" i="108"/>
  <c r="AC41" i="108"/>
  <c r="AD41" i="108"/>
  <c r="AE41" i="108"/>
  <c r="AF41" i="108"/>
  <c r="AG41" i="108"/>
  <c r="O42" i="108"/>
  <c r="S42" i="108"/>
  <c r="AI42" i="108" s="1"/>
  <c r="T42" i="108"/>
  <c r="AJ42" i="108" s="1"/>
  <c r="U42" i="108"/>
  <c r="AK42" i="108" s="1"/>
  <c r="V42" i="108"/>
  <c r="AL42" i="108" s="1"/>
  <c r="W42" i="108"/>
  <c r="AM42" i="108" s="1"/>
  <c r="X42" i="108"/>
  <c r="Y42" i="108"/>
  <c r="Z42" i="108"/>
  <c r="AA42" i="108"/>
  <c r="AB42" i="108"/>
  <c r="AC42" i="108"/>
  <c r="AD42" i="108"/>
  <c r="AE42" i="108"/>
  <c r="AF42" i="108"/>
  <c r="AG42" i="108"/>
  <c r="O43" i="108"/>
  <c r="S43" i="108"/>
  <c r="AI43" i="108" s="1"/>
  <c r="T43" i="108"/>
  <c r="AJ43" i="108" s="1"/>
  <c r="U43" i="108"/>
  <c r="AK43" i="108" s="1"/>
  <c r="V43" i="108"/>
  <c r="AL43" i="108" s="1"/>
  <c r="W43" i="108"/>
  <c r="AM43" i="108" s="1"/>
  <c r="X43" i="108"/>
  <c r="Y43" i="108"/>
  <c r="Z43" i="108"/>
  <c r="AA43" i="108"/>
  <c r="AB43" i="108"/>
  <c r="AC43" i="108"/>
  <c r="AD43" i="108"/>
  <c r="AE43" i="108"/>
  <c r="O44" i="108"/>
  <c r="S44" i="108"/>
  <c r="AI44" i="108" s="1"/>
  <c r="T44" i="108"/>
  <c r="AJ44" i="108" s="1"/>
  <c r="U44" i="108"/>
  <c r="AK44" i="108" s="1"/>
  <c r="V44" i="108"/>
  <c r="AL44" i="108" s="1"/>
  <c r="W44" i="108"/>
  <c r="AM44" i="108" s="1"/>
  <c r="X44" i="108"/>
  <c r="Y44" i="108"/>
  <c r="Z44" i="108"/>
  <c r="AA44" i="108"/>
  <c r="AB44" i="108"/>
  <c r="AC44" i="108"/>
  <c r="AD44" i="108"/>
  <c r="AE44" i="108"/>
  <c r="AF44" i="108"/>
  <c r="AG44" i="108"/>
  <c r="O45" i="108"/>
  <c r="S45" i="108"/>
  <c r="AI45" i="108" s="1"/>
  <c r="T45" i="108"/>
  <c r="AJ45" i="108" s="1"/>
  <c r="U45" i="108"/>
  <c r="AK45" i="108" s="1"/>
  <c r="V45" i="108"/>
  <c r="AL45" i="108" s="1"/>
  <c r="W45" i="108"/>
  <c r="AM45" i="108" s="1"/>
  <c r="X45" i="108"/>
  <c r="Y45" i="108"/>
  <c r="Z45" i="108"/>
  <c r="AA45" i="108"/>
  <c r="AB45" i="108"/>
  <c r="AC45" i="108"/>
  <c r="AD45" i="108"/>
  <c r="AE45" i="108"/>
  <c r="AF45" i="108"/>
  <c r="AG45" i="108"/>
  <c r="O46" i="108"/>
  <c r="S46" i="108"/>
  <c r="AI46" i="108" s="1"/>
  <c r="T46" i="108"/>
  <c r="AJ46" i="108" s="1"/>
  <c r="U46" i="108"/>
  <c r="AK46" i="108" s="1"/>
  <c r="V46" i="108"/>
  <c r="AL46" i="108" s="1"/>
  <c r="W46" i="108"/>
  <c r="AM46" i="108" s="1"/>
  <c r="X46" i="108"/>
  <c r="Y46" i="108"/>
  <c r="Z46" i="108"/>
  <c r="AA46" i="108"/>
  <c r="AB46" i="108"/>
  <c r="AC46" i="108"/>
  <c r="AD46" i="108"/>
  <c r="AE46" i="108"/>
  <c r="AF46" i="108"/>
  <c r="AG46" i="108"/>
  <c r="O47" i="108"/>
  <c r="S47" i="108"/>
  <c r="AI47" i="108" s="1"/>
  <c r="T47" i="108"/>
  <c r="AJ47" i="108" s="1"/>
  <c r="U47" i="108"/>
  <c r="AK47" i="108" s="1"/>
  <c r="V47" i="108"/>
  <c r="AL47" i="108" s="1"/>
  <c r="W47" i="108"/>
  <c r="AM47" i="108" s="1"/>
  <c r="X47" i="108"/>
  <c r="Y47" i="108"/>
  <c r="Z47" i="108"/>
  <c r="AA47" i="108"/>
  <c r="AB47" i="108"/>
  <c r="AC47" i="108"/>
  <c r="AD47" i="108"/>
  <c r="AE47" i="108"/>
  <c r="AF47" i="108"/>
  <c r="AG47" i="108"/>
  <c r="O48" i="108"/>
  <c r="S48" i="108"/>
  <c r="AI48" i="108" s="1"/>
  <c r="T48" i="108"/>
  <c r="AJ48" i="108" s="1"/>
  <c r="U48" i="108"/>
  <c r="AK48" i="108" s="1"/>
  <c r="V48" i="108"/>
  <c r="AL48" i="108" s="1"/>
  <c r="W48" i="108"/>
  <c r="AM48" i="108" s="1"/>
  <c r="X48" i="108"/>
  <c r="Y48" i="108"/>
  <c r="Z48" i="108"/>
  <c r="AA48" i="108"/>
  <c r="AB48" i="108"/>
  <c r="AC48" i="108"/>
  <c r="AD48" i="108"/>
  <c r="AE48" i="108"/>
  <c r="AF48" i="108"/>
  <c r="AG48" i="108"/>
  <c r="O49" i="108"/>
  <c r="S49" i="108"/>
  <c r="AI49" i="108" s="1"/>
  <c r="T49" i="108"/>
  <c r="AJ49" i="108" s="1"/>
  <c r="U49" i="108"/>
  <c r="AK49" i="108" s="1"/>
  <c r="V49" i="108"/>
  <c r="AL49" i="108" s="1"/>
  <c r="W49" i="108"/>
  <c r="AM49" i="108" s="1"/>
  <c r="X49" i="108"/>
  <c r="Y49" i="108"/>
  <c r="Z49" i="108"/>
  <c r="AA49" i="108"/>
  <c r="AB49" i="108"/>
  <c r="AC49" i="108"/>
  <c r="AD49" i="108"/>
  <c r="AE49" i="108"/>
  <c r="AF49" i="108"/>
  <c r="AG49" i="108"/>
  <c r="O50" i="108"/>
  <c r="S50" i="108"/>
  <c r="T50" i="108"/>
  <c r="AJ50" i="108" s="1"/>
  <c r="U50" i="108"/>
  <c r="AK50" i="108" s="1"/>
  <c r="V50" i="108"/>
  <c r="AL50" i="108" s="1"/>
  <c r="W50" i="108"/>
  <c r="AM50" i="108" s="1"/>
  <c r="X50" i="108"/>
  <c r="Y50" i="108"/>
  <c r="Z50" i="108"/>
  <c r="AA50" i="108"/>
  <c r="AB50" i="108"/>
  <c r="AC50" i="108"/>
  <c r="AD50" i="108"/>
  <c r="AE50" i="108"/>
  <c r="AF50" i="108"/>
  <c r="AG50" i="108"/>
  <c r="O51" i="108"/>
  <c r="S51" i="108"/>
  <c r="AI51" i="108" s="1"/>
  <c r="T51" i="108"/>
  <c r="AJ51" i="108" s="1"/>
  <c r="U51" i="108"/>
  <c r="AK51" i="108" s="1"/>
  <c r="V51" i="108"/>
  <c r="AL51" i="108" s="1"/>
  <c r="W51" i="108"/>
  <c r="AM51" i="108" s="1"/>
  <c r="X51" i="108"/>
  <c r="Y51" i="108"/>
  <c r="Z51" i="108"/>
  <c r="AA51" i="108"/>
  <c r="AB51" i="108"/>
  <c r="AC51" i="108"/>
  <c r="AD51" i="108"/>
  <c r="AE51" i="108"/>
  <c r="AF51" i="108"/>
  <c r="AG51" i="108"/>
  <c r="O52" i="108"/>
  <c r="S52" i="108"/>
  <c r="AI52" i="108" s="1"/>
  <c r="T52" i="108"/>
  <c r="AJ52" i="108" s="1"/>
  <c r="U52" i="108"/>
  <c r="AK52" i="108" s="1"/>
  <c r="V52" i="108"/>
  <c r="AL52" i="108" s="1"/>
  <c r="W52" i="108"/>
  <c r="AM52" i="108" s="1"/>
  <c r="X52" i="108"/>
  <c r="Y52" i="108"/>
  <c r="Z52" i="108"/>
  <c r="AA52" i="108"/>
  <c r="AB52" i="108"/>
  <c r="AC52" i="108"/>
  <c r="AD52" i="108"/>
  <c r="AE52" i="108"/>
  <c r="AF52" i="108"/>
  <c r="AG52" i="108"/>
  <c r="O53" i="108"/>
  <c r="S53" i="108"/>
  <c r="AI53" i="108" s="1"/>
  <c r="T53" i="108"/>
  <c r="U53" i="108"/>
  <c r="AK53" i="108" s="1"/>
  <c r="V53" i="108"/>
  <c r="AL53" i="108" s="1"/>
  <c r="W53" i="108"/>
  <c r="AM53" i="108" s="1"/>
  <c r="X53" i="108"/>
  <c r="Y53" i="108"/>
  <c r="Z53" i="108"/>
  <c r="AA53" i="108"/>
  <c r="AB53" i="108"/>
  <c r="AC53" i="108"/>
  <c r="AD53" i="108"/>
  <c r="AE53" i="108"/>
  <c r="AF53" i="108"/>
  <c r="AG53" i="108"/>
  <c r="O54" i="108"/>
  <c r="S54" i="108"/>
  <c r="T54" i="108"/>
  <c r="AJ54" i="108" s="1"/>
  <c r="U54" i="108"/>
  <c r="AK54" i="108" s="1"/>
  <c r="V54" i="108"/>
  <c r="AL54" i="108" s="1"/>
  <c r="W54" i="108"/>
  <c r="AM54" i="108" s="1"/>
  <c r="X54" i="108"/>
  <c r="Y54" i="108"/>
  <c r="Z54" i="108"/>
  <c r="AA54" i="108"/>
  <c r="AB54" i="108"/>
  <c r="AC54" i="108"/>
  <c r="AD54" i="108"/>
  <c r="AE54" i="108"/>
  <c r="AF54" i="108"/>
  <c r="AG54" i="108"/>
  <c r="O55" i="108"/>
  <c r="S55" i="108"/>
  <c r="AI55" i="108" s="1"/>
  <c r="T55" i="108"/>
  <c r="AJ55" i="108" s="1"/>
  <c r="U55" i="108"/>
  <c r="AK55" i="108" s="1"/>
  <c r="V55" i="108"/>
  <c r="AL55" i="108" s="1"/>
  <c r="W55" i="108"/>
  <c r="AM55" i="108" s="1"/>
  <c r="X55" i="108"/>
  <c r="Y55" i="108"/>
  <c r="Z55" i="108"/>
  <c r="AA55" i="108"/>
  <c r="AB55" i="108"/>
  <c r="AC55" i="108"/>
  <c r="AD55" i="108"/>
  <c r="AE55" i="108"/>
  <c r="AF55" i="108"/>
  <c r="AG55" i="108"/>
  <c r="O56" i="108"/>
  <c r="S56" i="108"/>
  <c r="AI56" i="108" s="1"/>
  <c r="T56" i="108"/>
  <c r="AJ56" i="108" s="1"/>
  <c r="U56" i="108"/>
  <c r="AK56" i="108" s="1"/>
  <c r="V56" i="108"/>
  <c r="AL56" i="108" s="1"/>
  <c r="W56" i="108"/>
  <c r="AM56" i="108" s="1"/>
  <c r="X56" i="108"/>
  <c r="Y56" i="108"/>
  <c r="Z56" i="108"/>
  <c r="AA56" i="108"/>
  <c r="AB56" i="108"/>
  <c r="AC56" i="108"/>
  <c r="AD56" i="108"/>
  <c r="AE56" i="108"/>
  <c r="AF56" i="108"/>
  <c r="AG56" i="108"/>
  <c r="O57" i="108"/>
  <c r="S57" i="108"/>
  <c r="AI57" i="108" s="1"/>
  <c r="T57" i="108"/>
  <c r="AJ57" i="108" s="1"/>
  <c r="U57" i="108"/>
  <c r="AK57" i="108" s="1"/>
  <c r="V57" i="108"/>
  <c r="AL57" i="108" s="1"/>
  <c r="W57" i="108"/>
  <c r="AM57" i="108" s="1"/>
  <c r="X57" i="108"/>
  <c r="Y57" i="108"/>
  <c r="Z57" i="108"/>
  <c r="AA57" i="108"/>
  <c r="AB57" i="108"/>
  <c r="AC57" i="108"/>
  <c r="AD57" i="108"/>
  <c r="AE57" i="108"/>
  <c r="O58" i="108"/>
  <c r="S58" i="108"/>
  <c r="AI58" i="108" s="1"/>
  <c r="T58" i="108"/>
  <c r="AJ58" i="108" s="1"/>
  <c r="U58" i="108"/>
  <c r="AK58" i="108" s="1"/>
  <c r="V58" i="108"/>
  <c r="AL58" i="108" s="1"/>
  <c r="W58" i="108"/>
  <c r="AM58" i="108" s="1"/>
  <c r="X58" i="108"/>
  <c r="Y58" i="108"/>
  <c r="Z58" i="108"/>
  <c r="AA58" i="108"/>
  <c r="AB58" i="108"/>
  <c r="AC58" i="108"/>
  <c r="AD58" i="108"/>
  <c r="AE58" i="108"/>
  <c r="AF58" i="108"/>
  <c r="AG58" i="108"/>
  <c r="O59" i="108"/>
  <c r="S59" i="108"/>
  <c r="T59" i="108"/>
  <c r="AJ59" i="108" s="1"/>
  <c r="U59" i="108"/>
  <c r="AK59" i="108" s="1"/>
  <c r="V59" i="108"/>
  <c r="AL59" i="108" s="1"/>
  <c r="W59" i="108"/>
  <c r="AM59" i="108" s="1"/>
  <c r="X59" i="108"/>
  <c r="Y59" i="108"/>
  <c r="Z59" i="108"/>
  <c r="AA59" i="108"/>
  <c r="AB59" i="108"/>
  <c r="AC59" i="108"/>
  <c r="AD59" i="108"/>
  <c r="AE59" i="108"/>
  <c r="AF59" i="108"/>
  <c r="AG59" i="108"/>
  <c r="O60" i="108"/>
  <c r="S60" i="108"/>
  <c r="AI60" i="108" s="1"/>
  <c r="T60" i="108"/>
  <c r="AJ60" i="108" s="1"/>
  <c r="U60" i="108"/>
  <c r="AK60" i="108" s="1"/>
  <c r="V60" i="108"/>
  <c r="AL60" i="108" s="1"/>
  <c r="W60" i="108"/>
  <c r="AM60" i="108" s="1"/>
  <c r="X60" i="108"/>
  <c r="Y60" i="108"/>
  <c r="Z60" i="108"/>
  <c r="AA60" i="108"/>
  <c r="AB60" i="108"/>
  <c r="AC60" i="108"/>
  <c r="AD60" i="108"/>
  <c r="AE60" i="108"/>
  <c r="AF60" i="108"/>
  <c r="AG60" i="108"/>
  <c r="O61" i="108"/>
  <c r="S61" i="108"/>
  <c r="AI61" i="108" s="1"/>
  <c r="T61" i="108"/>
  <c r="AJ61" i="108" s="1"/>
  <c r="U61" i="108"/>
  <c r="AK61" i="108" s="1"/>
  <c r="V61" i="108"/>
  <c r="AL61" i="108" s="1"/>
  <c r="W61" i="108"/>
  <c r="AM61" i="108" s="1"/>
  <c r="X61" i="108"/>
  <c r="Y61" i="108"/>
  <c r="Z61" i="108"/>
  <c r="AA61" i="108"/>
  <c r="AB61" i="108"/>
  <c r="AC61" i="108"/>
  <c r="AD61" i="108"/>
  <c r="AE61" i="108"/>
  <c r="AF61" i="108"/>
  <c r="AG61" i="108"/>
  <c r="O62" i="108"/>
  <c r="S62" i="108"/>
  <c r="AI62" i="108" s="1"/>
  <c r="T62" i="108"/>
  <c r="AJ62" i="108" s="1"/>
  <c r="U62" i="108"/>
  <c r="AK62" i="108" s="1"/>
  <c r="V62" i="108"/>
  <c r="AL62" i="108" s="1"/>
  <c r="W62" i="108"/>
  <c r="AM62" i="108" s="1"/>
  <c r="X62" i="108"/>
  <c r="Y62" i="108"/>
  <c r="Z62" i="108"/>
  <c r="AA62" i="108"/>
  <c r="AB62" i="108"/>
  <c r="AC62" i="108"/>
  <c r="AD62" i="108"/>
  <c r="AE62" i="108"/>
  <c r="AF62" i="108"/>
  <c r="AG62" i="108"/>
  <c r="O63" i="108"/>
  <c r="S63" i="108"/>
  <c r="AI63" i="108" s="1"/>
  <c r="T63" i="108"/>
  <c r="AJ63" i="108" s="1"/>
  <c r="U63" i="108"/>
  <c r="AK63" i="108" s="1"/>
  <c r="V63" i="108"/>
  <c r="AL63" i="108" s="1"/>
  <c r="W63" i="108"/>
  <c r="AM63" i="108" s="1"/>
  <c r="X63" i="108"/>
  <c r="Y63" i="108"/>
  <c r="Z63" i="108"/>
  <c r="AA63" i="108"/>
  <c r="AB63" i="108"/>
  <c r="AC63" i="108"/>
  <c r="AD63" i="108"/>
  <c r="AE63" i="108"/>
  <c r="AF63" i="108"/>
  <c r="AG63" i="108"/>
  <c r="O64" i="108"/>
  <c r="S64" i="108"/>
  <c r="AI64" i="108" s="1"/>
  <c r="T64" i="108"/>
  <c r="AJ64" i="108" s="1"/>
  <c r="U64" i="108"/>
  <c r="AK64" i="108" s="1"/>
  <c r="V64" i="108"/>
  <c r="AL64" i="108" s="1"/>
  <c r="W64" i="108"/>
  <c r="AM64" i="108" s="1"/>
  <c r="X64" i="108"/>
  <c r="Y64" i="108"/>
  <c r="Z64" i="108"/>
  <c r="AA64" i="108"/>
  <c r="AB64" i="108"/>
  <c r="AC64" i="108"/>
  <c r="AD64" i="108"/>
  <c r="AE64" i="108"/>
  <c r="O65" i="108"/>
  <c r="S65" i="108"/>
  <c r="AI65" i="108" s="1"/>
  <c r="T65" i="108"/>
  <c r="AJ65" i="108" s="1"/>
  <c r="U65" i="108"/>
  <c r="AK65" i="108" s="1"/>
  <c r="V65" i="108"/>
  <c r="AL65" i="108" s="1"/>
  <c r="W65" i="108"/>
  <c r="AM65" i="108" s="1"/>
  <c r="X65" i="108"/>
  <c r="Y65" i="108"/>
  <c r="Z65" i="108"/>
  <c r="AA65" i="108"/>
  <c r="AB65" i="108"/>
  <c r="AC65" i="108"/>
  <c r="AD65" i="108"/>
  <c r="AE65" i="108"/>
  <c r="AF65" i="108"/>
  <c r="AG65" i="108"/>
  <c r="O66" i="108"/>
  <c r="S66" i="108"/>
  <c r="AI66" i="108" s="1"/>
  <c r="T66" i="108"/>
  <c r="AJ66" i="108" s="1"/>
  <c r="U66" i="108"/>
  <c r="AK66" i="108" s="1"/>
  <c r="V66" i="108"/>
  <c r="AL66" i="108" s="1"/>
  <c r="W66" i="108"/>
  <c r="AM66" i="108" s="1"/>
  <c r="X66" i="108"/>
  <c r="Y66" i="108"/>
  <c r="Z66" i="108"/>
  <c r="AA66" i="108"/>
  <c r="AB66" i="108"/>
  <c r="AC66" i="108"/>
  <c r="AD66" i="108"/>
  <c r="AE66" i="108"/>
  <c r="AF66" i="108"/>
  <c r="AG66" i="108"/>
  <c r="B67" i="108"/>
  <c r="C67" i="108"/>
  <c r="D67" i="108"/>
  <c r="E67" i="108"/>
  <c r="F67" i="108"/>
  <c r="G67" i="108"/>
  <c r="H67" i="108"/>
  <c r="I67" i="108"/>
  <c r="J67" i="108"/>
  <c r="K67" i="108"/>
  <c r="L67" i="108"/>
  <c r="M67" i="108"/>
  <c r="N67" i="108"/>
  <c r="B75" i="108"/>
  <c r="L108" i="108" s="1"/>
  <c r="C75" i="108"/>
  <c r="M108" i="108" s="1"/>
  <c r="D75" i="108"/>
  <c r="E75" i="108"/>
  <c r="F75" i="108"/>
  <c r="P108" i="108" s="1"/>
  <c r="G75" i="108"/>
  <c r="Q108" i="108" s="1"/>
  <c r="H75" i="108"/>
  <c r="R108" i="108" s="1"/>
  <c r="I75" i="108"/>
  <c r="J75" i="108"/>
  <c r="T108" i="108" s="1"/>
  <c r="K75" i="108"/>
  <c r="U108" i="108" s="1"/>
  <c r="L75" i="108"/>
  <c r="M75" i="108"/>
  <c r="N75" i="108"/>
  <c r="X108" i="108" s="1"/>
  <c r="AH75" i="108"/>
  <c r="B76" i="108"/>
  <c r="C76" i="108"/>
  <c r="M109" i="108" s="1"/>
  <c r="D76" i="108"/>
  <c r="N109" i="108" s="1"/>
  <c r="E76" i="108"/>
  <c r="O109" i="108" s="1"/>
  <c r="F76" i="108"/>
  <c r="P109" i="108" s="1"/>
  <c r="G76" i="108"/>
  <c r="Q109" i="108" s="1"/>
  <c r="H76" i="108"/>
  <c r="R109" i="108" s="1"/>
  <c r="I76" i="108"/>
  <c r="S109" i="108" s="1"/>
  <c r="J76" i="108"/>
  <c r="T109" i="108" s="1"/>
  <c r="K76" i="108"/>
  <c r="U109" i="108" s="1"/>
  <c r="L76" i="108"/>
  <c r="V109" i="108" s="1"/>
  <c r="M76" i="108"/>
  <c r="W109" i="108" s="1"/>
  <c r="N76" i="108"/>
  <c r="X109" i="108" s="1"/>
  <c r="AH76" i="108"/>
  <c r="B77" i="108"/>
  <c r="L110" i="108" s="1"/>
  <c r="C77" i="108"/>
  <c r="M110" i="108" s="1"/>
  <c r="D77" i="108"/>
  <c r="N110" i="108" s="1"/>
  <c r="E77" i="108"/>
  <c r="O110" i="108" s="1"/>
  <c r="F77" i="108"/>
  <c r="P110" i="108" s="1"/>
  <c r="G77" i="108"/>
  <c r="H77" i="108"/>
  <c r="I77" i="108"/>
  <c r="J77" i="108"/>
  <c r="T110" i="108" s="1"/>
  <c r="K77" i="108"/>
  <c r="L77" i="108"/>
  <c r="V110" i="108" s="1"/>
  <c r="M77" i="108"/>
  <c r="W110" i="108" s="1"/>
  <c r="N77" i="108"/>
  <c r="X110" i="108" s="1"/>
  <c r="AH77" i="108"/>
  <c r="B78" i="108"/>
  <c r="L111" i="108" s="1"/>
  <c r="C78" i="108"/>
  <c r="M111" i="108" s="1"/>
  <c r="D78" i="108"/>
  <c r="E78" i="108"/>
  <c r="O111" i="108" s="1"/>
  <c r="F78" i="108"/>
  <c r="P111" i="108" s="1"/>
  <c r="G78" i="108"/>
  <c r="Q111" i="108" s="1"/>
  <c r="H78" i="108"/>
  <c r="R111" i="108" s="1"/>
  <c r="I78" i="108"/>
  <c r="S111" i="108" s="1"/>
  <c r="J78" i="108"/>
  <c r="K78" i="108"/>
  <c r="U111" i="108" s="1"/>
  <c r="L78" i="108"/>
  <c r="V111" i="108" s="1"/>
  <c r="M78" i="108"/>
  <c r="W111" i="108" s="1"/>
  <c r="N78" i="108"/>
  <c r="X111" i="108" s="1"/>
  <c r="AH78" i="108"/>
  <c r="B79" i="108"/>
  <c r="L112" i="108" s="1"/>
  <c r="C79" i="108"/>
  <c r="M112" i="108" s="1"/>
  <c r="D79" i="108"/>
  <c r="N112" i="108" s="1"/>
  <c r="E79" i="108"/>
  <c r="O112" i="108" s="1"/>
  <c r="F79" i="108"/>
  <c r="P112" i="108" s="1"/>
  <c r="G79" i="108"/>
  <c r="H79" i="108"/>
  <c r="R112" i="108" s="1"/>
  <c r="I79" i="108"/>
  <c r="S112" i="108" s="1"/>
  <c r="J79" i="108"/>
  <c r="T112" i="108" s="1"/>
  <c r="K79" i="108"/>
  <c r="U112" i="108" s="1"/>
  <c r="L79" i="108"/>
  <c r="V112" i="108" s="1"/>
  <c r="M79" i="108"/>
  <c r="W112" i="108" s="1"/>
  <c r="N79" i="108"/>
  <c r="X112" i="108" s="1"/>
  <c r="AH79" i="108"/>
  <c r="B80" i="108"/>
  <c r="C80" i="108"/>
  <c r="M113" i="108" s="1"/>
  <c r="D80" i="108"/>
  <c r="N113" i="108" s="1"/>
  <c r="E80" i="108"/>
  <c r="O113" i="108" s="1"/>
  <c r="F80" i="108"/>
  <c r="P113" i="108" s="1"/>
  <c r="G80" i="108"/>
  <c r="Q113" i="108" s="1"/>
  <c r="H80" i="108"/>
  <c r="R113" i="108" s="1"/>
  <c r="I80" i="108"/>
  <c r="S113" i="108" s="1"/>
  <c r="J80" i="108"/>
  <c r="T113" i="108" s="1"/>
  <c r="K80" i="108"/>
  <c r="U113" i="108" s="1"/>
  <c r="L80" i="108"/>
  <c r="V113" i="108" s="1"/>
  <c r="M80" i="108"/>
  <c r="W113" i="108" s="1"/>
  <c r="N80" i="108"/>
  <c r="X113" i="108" s="1"/>
  <c r="AH80" i="108"/>
  <c r="B81" i="108"/>
  <c r="L114" i="108" s="1"/>
  <c r="C81" i="108"/>
  <c r="M114" i="108" s="1"/>
  <c r="D81" i="108"/>
  <c r="N114" i="108" s="1"/>
  <c r="E81" i="108"/>
  <c r="O114" i="108" s="1"/>
  <c r="F81" i="108"/>
  <c r="P114" i="108" s="1"/>
  <c r="G81" i="108"/>
  <c r="Q114" i="108" s="1"/>
  <c r="H81" i="108"/>
  <c r="R114" i="108" s="1"/>
  <c r="I81" i="108"/>
  <c r="S114" i="108" s="1"/>
  <c r="J81" i="108"/>
  <c r="T114" i="108" s="1"/>
  <c r="K81" i="108"/>
  <c r="U114" i="108" s="1"/>
  <c r="L81" i="108"/>
  <c r="V114" i="108" s="1"/>
  <c r="M81" i="108"/>
  <c r="W114" i="108" s="1"/>
  <c r="N81" i="108"/>
  <c r="X114" i="108" s="1"/>
  <c r="AH81" i="108"/>
  <c r="B82" i="108"/>
  <c r="L115" i="108" s="1"/>
  <c r="C82" i="108"/>
  <c r="M115" i="108" s="1"/>
  <c r="D82" i="108"/>
  <c r="E82" i="108"/>
  <c r="O115" i="108" s="1"/>
  <c r="F82" i="108"/>
  <c r="P115" i="108" s="1"/>
  <c r="G82" i="108"/>
  <c r="Q115" i="108" s="1"/>
  <c r="H82" i="108"/>
  <c r="R115" i="108" s="1"/>
  <c r="I82" i="108"/>
  <c r="S115" i="108" s="1"/>
  <c r="J82" i="108"/>
  <c r="K82" i="108"/>
  <c r="U115" i="108" s="1"/>
  <c r="L82" i="108"/>
  <c r="V115" i="108" s="1"/>
  <c r="M82" i="108"/>
  <c r="W115" i="108" s="1"/>
  <c r="N82" i="108"/>
  <c r="X115" i="108" s="1"/>
  <c r="AH82" i="108"/>
  <c r="B83" i="108"/>
  <c r="L116" i="108" s="1"/>
  <c r="C83" i="108"/>
  <c r="M116" i="108" s="1"/>
  <c r="D83" i="108"/>
  <c r="N116" i="108" s="1"/>
  <c r="E83" i="108"/>
  <c r="O116" i="108" s="1"/>
  <c r="F83" i="108"/>
  <c r="P116" i="108" s="1"/>
  <c r="G83" i="108"/>
  <c r="Q116" i="108" s="1"/>
  <c r="H83" i="108"/>
  <c r="R116" i="108" s="1"/>
  <c r="I83" i="108"/>
  <c r="S116" i="108" s="1"/>
  <c r="J83" i="108"/>
  <c r="T116" i="108" s="1"/>
  <c r="K83" i="108"/>
  <c r="U116" i="108" s="1"/>
  <c r="L83" i="108"/>
  <c r="V116" i="108" s="1"/>
  <c r="M83" i="108"/>
  <c r="W116" i="108" s="1"/>
  <c r="N83" i="108"/>
  <c r="X116" i="108" s="1"/>
  <c r="AH83" i="108"/>
  <c r="B84" i="108"/>
  <c r="C84" i="108"/>
  <c r="M117" i="108" s="1"/>
  <c r="D84" i="108"/>
  <c r="N117" i="108" s="1"/>
  <c r="E84" i="108"/>
  <c r="O117" i="108" s="1"/>
  <c r="F84" i="108"/>
  <c r="P117" i="108" s="1"/>
  <c r="G84" i="108"/>
  <c r="Q117" i="108" s="1"/>
  <c r="H84" i="108"/>
  <c r="R117" i="108" s="1"/>
  <c r="I84" i="108"/>
  <c r="S117" i="108" s="1"/>
  <c r="J84" i="108"/>
  <c r="T117" i="108" s="1"/>
  <c r="K84" i="108"/>
  <c r="U117" i="108" s="1"/>
  <c r="L84" i="108"/>
  <c r="V117" i="108" s="1"/>
  <c r="M84" i="108"/>
  <c r="W117" i="108" s="1"/>
  <c r="N84" i="108"/>
  <c r="X117" i="108" s="1"/>
  <c r="AH84" i="108"/>
  <c r="B85" i="108"/>
  <c r="L118" i="108" s="1"/>
  <c r="C85" i="108"/>
  <c r="M118" i="108" s="1"/>
  <c r="D85" i="108"/>
  <c r="N118" i="108" s="1"/>
  <c r="E85" i="108"/>
  <c r="O118" i="108" s="1"/>
  <c r="F85" i="108"/>
  <c r="P118" i="108" s="1"/>
  <c r="G85" i="108"/>
  <c r="Q118" i="108" s="1"/>
  <c r="H85" i="108"/>
  <c r="R118" i="108" s="1"/>
  <c r="I85" i="108"/>
  <c r="S118" i="108" s="1"/>
  <c r="J85" i="108"/>
  <c r="T118" i="108" s="1"/>
  <c r="K85" i="108"/>
  <c r="U118" i="108" s="1"/>
  <c r="L85" i="108"/>
  <c r="V118" i="108" s="1"/>
  <c r="M85" i="108"/>
  <c r="W118" i="108" s="1"/>
  <c r="N85" i="108"/>
  <c r="X118" i="108" s="1"/>
  <c r="AH85" i="108"/>
  <c r="B86" i="108"/>
  <c r="L119" i="108" s="1"/>
  <c r="C86" i="108"/>
  <c r="M119" i="108" s="1"/>
  <c r="D86" i="108"/>
  <c r="E86" i="108"/>
  <c r="O119" i="108" s="1"/>
  <c r="F86" i="108"/>
  <c r="P119" i="108" s="1"/>
  <c r="G86" i="108"/>
  <c r="Q119" i="108" s="1"/>
  <c r="H86" i="108"/>
  <c r="R119" i="108" s="1"/>
  <c r="I86" i="108"/>
  <c r="J86" i="108"/>
  <c r="T119" i="108" s="1"/>
  <c r="K86" i="108"/>
  <c r="U119" i="108" s="1"/>
  <c r="L86" i="108"/>
  <c r="V119" i="108" s="1"/>
  <c r="M86" i="108"/>
  <c r="W119" i="108" s="1"/>
  <c r="N86" i="108"/>
  <c r="X119" i="108" s="1"/>
  <c r="AH86" i="108"/>
  <c r="B87" i="108"/>
  <c r="L120" i="108" s="1"/>
  <c r="C87" i="108"/>
  <c r="M120" i="108" s="1"/>
  <c r="D87" i="108"/>
  <c r="E87" i="108"/>
  <c r="O120" i="108" s="1"/>
  <c r="F87" i="108"/>
  <c r="P120" i="108" s="1"/>
  <c r="G87" i="108"/>
  <c r="Q120" i="108" s="1"/>
  <c r="H87" i="108"/>
  <c r="R120" i="108" s="1"/>
  <c r="I87" i="108"/>
  <c r="S120" i="108" s="1"/>
  <c r="J87" i="108"/>
  <c r="T120" i="108" s="1"/>
  <c r="K87" i="108"/>
  <c r="U120" i="108" s="1"/>
  <c r="L87" i="108"/>
  <c r="V120" i="108" s="1"/>
  <c r="M87" i="108"/>
  <c r="W120" i="108" s="1"/>
  <c r="N87" i="108"/>
  <c r="X120" i="108" s="1"/>
  <c r="AH87" i="108"/>
  <c r="B88" i="108"/>
  <c r="C88" i="108"/>
  <c r="M121" i="108" s="1"/>
  <c r="D88" i="108"/>
  <c r="N121" i="108" s="1"/>
  <c r="E88" i="108"/>
  <c r="O121" i="108" s="1"/>
  <c r="F88" i="108"/>
  <c r="P121" i="108" s="1"/>
  <c r="G88" i="108"/>
  <c r="Q121" i="108" s="1"/>
  <c r="H88" i="108"/>
  <c r="R121" i="108" s="1"/>
  <c r="I88" i="108"/>
  <c r="S121" i="108" s="1"/>
  <c r="J88" i="108"/>
  <c r="T121" i="108" s="1"/>
  <c r="K88" i="108"/>
  <c r="U121" i="108" s="1"/>
  <c r="L88" i="108"/>
  <c r="V121" i="108" s="1"/>
  <c r="M88" i="108"/>
  <c r="W121" i="108" s="1"/>
  <c r="N88" i="108"/>
  <c r="X121" i="108" s="1"/>
  <c r="AH88" i="108"/>
  <c r="B89" i="108"/>
  <c r="L122" i="108" s="1"/>
  <c r="C89" i="108"/>
  <c r="M122" i="108" s="1"/>
  <c r="D89" i="108"/>
  <c r="N122" i="108" s="1"/>
  <c r="E89" i="108"/>
  <c r="O122" i="108" s="1"/>
  <c r="F89" i="108"/>
  <c r="P122" i="108" s="1"/>
  <c r="G89" i="108"/>
  <c r="Q122" i="108" s="1"/>
  <c r="H89" i="108"/>
  <c r="R122" i="108" s="1"/>
  <c r="I89" i="108"/>
  <c r="S122" i="108" s="1"/>
  <c r="J89" i="108"/>
  <c r="T122" i="108" s="1"/>
  <c r="K89" i="108"/>
  <c r="U122" i="108" s="1"/>
  <c r="L89" i="108"/>
  <c r="V122" i="108" s="1"/>
  <c r="M89" i="108"/>
  <c r="W122" i="108" s="1"/>
  <c r="N89" i="108"/>
  <c r="X122" i="108" s="1"/>
  <c r="AH89" i="108"/>
  <c r="B90" i="108"/>
  <c r="C90" i="108"/>
  <c r="M123" i="108" s="1"/>
  <c r="D90" i="108"/>
  <c r="N123" i="108" s="1"/>
  <c r="E90" i="108"/>
  <c r="O123" i="108" s="1"/>
  <c r="F90" i="108"/>
  <c r="P123" i="108" s="1"/>
  <c r="G90" i="108"/>
  <c r="Q123" i="108" s="1"/>
  <c r="H90" i="108"/>
  <c r="R123" i="108" s="1"/>
  <c r="I90" i="108"/>
  <c r="J90" i="108"/>
  <c r="T123" i="108" s="1"/>
  <c r="K90" i="108"/>
  <c r="U123" i="108" s="1"/>
  <c r="L90" i="108"/>
  <c r="V123" i="108" s="1"/>
  <c r="M90" i="108"/>
  <c r="W123" i="108" s="1"/>
  <c r="N90" i="108"/>
  <c r="X123" i="108" s="1"/>
  <c r="AH90" i="108"/>
  <c r="B91" i="108"/>
  <c r="L124" i="108" s="1"/>
  <c r="C91" i="108"/>
  <c r="M124" i="108" s="1"/>
  <c r="D91" i="108"/>
  <c r="N124" i="108" s="1"/>
  <c r="E91" i="108"/>
  <c r="O124" i="108" s="1"/>
  <c r="F91" i="108"/>
  <c r="P124" i="108" s="1"/>
  <c r="G91" i="108"/>
  <c r="Q124" i="108" s="1"/>
  <c r="H91" i="108"/>
  <c r="R124" i="108" s="1"/>
  <c r="I91" i="108"/>
  <c r="S124" i="108" s="1"/>
  <c r="J91" i="108"/>
  <c r="T124" i="108" s="1"/>
  <c r="K91" i="108"/>
  <c r="U124" i="108" s="1"/>
  <c r="L91" i="108"/>
  <c r="V124" i="108" s="1"/>
  <c r="M91" i="108"/>
  <c r="W124" i="108" s="1"/>
  <c r="N91" i="108"/>
  <c r="X124" i="108" s="1"/>
  <c r="AH91" i="108"/>
  <c r="B92" i="108"/>
  <c r="C92" i="108"/>
  <c r="M125" i="108" s="1"/>
  <c r="D92" i="108"/>
  <c r="N125" i="108" s="1"/>
  <c r="E92" i="108"/>
  <c r="O125" i="108" s="1"/>
  <c r="F92" i="108"/>
  <c r="P125" i="108" s="1"/>
  <c r="G92" i="108"/>
  <c r="Q125" i="108" s="1"/>
  <c r="H92" i="108"/>
  <c r="R125" i="108" s="1"/>
  <c r="I92" i="108"/>
  <c r="S125" i="108" s="1"/>
  <c r="J92" i="108"/>
  <c r="T125" i="108" s="1"/>
  <c r="K92" i="108"/>
  <c r="U125" i="108" s="1"/>
  <c r="L92" i="108"/>
  <c r="V125" i="108" s="1"/>
  <c r="M92" i="108"/>
  <c r="W125" i="108" s="1"/>
  <c r="N92" i="108"/>
  <c r="X125" i="108" s="1"/>
  <c r="AH92" i="108"/>
  <c r="B93" i="108"/>
  <c r="L126" i="108" s="1"/>
  <c r="C93" i="108"/>
  <c r="M126" i="108" s="1"/>
  <c r="D93" i="108"/>
  <c r="N126" i="108" s="1"/>
  <c r="E93" i="108"/>
  <c r="O126" i="108" s="1"/>
  <c r="F93" i="108"/>
  <c r="P126" i="108" s="1"/>
  <c r="G93" i="108"/>
  <c r="Q126" i="108" s="1"/>
  <c r="H93" i="108"/>
  <c r="R126" i="108" s="1"/>
  <c r="I93" i="108"/>
  <c r="S126" i="108" s="1"/>
  <c r="J93" i="108"/>
  <c r="T126" i="108" s="1"/>
  <c r="K93" i="108"/>
  <c r="U126" i="108" s="1"/>
  <c r="L93" i="108"/>
  <c r="V126" i="108" s="1"/>
  <c r="M93" i="108"/>
  <c r="W126" i="108" s="1"/>
  <c r="N93" i="108"/>
  <c r="X126" i="108" s="1"/>
  <c r="AH93" i="108"/>
  <c r="B94" i="108"/>
  <c r="L127" i="108" s="1"/>
  <c r="C94" i="108"/>
  <c r="M127" i="108" s="1"/>
  <c r="D94" i="108"/>
  <c r="E94" i="108"/>
  <c r="O127" i="108" s="1"/>
  <c r="F94" i="108"/>
  <c r="P127" i="108" s="1"/>
  <c r="G94" i="108"/>
  <c r="Q127" i="108" s="1"/>
  <c r="H94" i="108"/>
  <c r="R127" i="108" s="1"/>
  <c r="I94" i="108"/>
  <c r="S127" i="108" s="1"/>
  <c r="J94" i="108"/>
  <c r="K94" i="108"/>
  <c r="U127" i="108" s="1"/>
  <c r="L94" i="108"/>
  <c r="V127" i="108" s="1"/>
  <c r="M94" i="108"/>
  <c r="W127" i="108" s="1"/>
  <c r="N94" i="108"/>
  <c r="X127" i="108" s="1"/>
  <c r="AH94" i="108"/>
  <c r="B95" i="108"/>
  <c r="L128" i="108" s="1"/>
  <c r="C95" i="108"/>
  <c r="D95" i="108"/>
  <c r="E95" i="108"/>
  <c r="O128" i="108" s="1"/>
  <c r="F95" i="108"/>
  <c r="P128" i="108" s="1"/>
  <c r="G95" i="108"/>
  <c r="Q128" i="108" s="1"/>
  <c r="H95" i="108"/>
  <c r="R128" i="108" s="1"/>
  <c r="I95" i="108"/>
  <c r="S128" i="108" s="1"/>
  <c r="J95" i="108"/>
  <c r="T128" i="108" s="1"/>
  <c r="K95" i="108"/>
  <c r="U128" i="108" s="1"/>
  <c r="L95" i="108"/>
  <c r="V128" i="108" s="1"/>
  <c r="M95" i="108"/>
  <c r="W128" i="108" s="1"/>
  <c r="N95" i="108"/>
  <c r="X128" i="108" s="1"/>
  <c r="AH95" i="108"/>
  <c r="B96" i="108"/>
  <c r="C96" i="108"/>
  <c r="M129" i="108" s="1"/>
  <c r="D96" i="108"/>
  <c r="N129" i="108" s="1"/>
  <c r="E96" i="108"/>
  <c r="O129" i="108" s="1"/>
  <c r="F96" i="108"/>
  <c r="P129" i="108" s="1"/>
  <c r="G96" i="108"/>
  <c r="Q129" i="108" s="1"/>
  <c r="H96" i="108"/>
  <c r="R129" i="108" s="1"/>
  <c r="I96" i="108"/>
  <c r="S129" i="108" s="1"/>
  <c r="J96" i="108"/>
  <c r="T129" i="108" s="1"/>
  <c r="K96" i="108"/>
  <c r="U129" i="108" s="1"/>
  <c r="L96" i="108"/>
  <c r="V129" i="108" s="1"/>
  <c r="M96" i="108"/>
  <c r="W129" i="108" s="1"/>
  <c r="N96" i="108"/>
  <c r="X129" i="108" s="1"/>
  <c r="AH96" i="108"/>
  <c r="B97" i="108"/>
  <c r="L130" i="108" s="1"/>
  <c r="C97" i="108"/>
  <c r="M130" i="108" s="1"/>
  <c r="D97" i="108"/>
  <c r="E97" i="108"/>
  <c r="O130" i="108" s="1"/>
  <c r="F97" i="108"/>
  <c r="P130" i="108" s="1"/>
  <c r="G97" i="108"/>
  <c r="Q130" i="108" s="1"/>
  <c r="H97" i="108"/>
  <c r="I97" i="108"/>
  <c r="S130" i="108" s="1"/>
  <c r="J97" i="108"/>
  <c r="T130" i="108" s="1"/>
  <c r="K97" i="108"/>
  <c r="U130" i="108" s="1"/>
  <c r="L97" i="108"/>
  <c r="V130" i="108" s="1"/>
  <c r="M97" i="108"/>
  <c r="W130" i="108" s="1"/>
  <c r="N97" i="108"/>
  <c r="X130" i="108" s="1"/>
  <c r="AH97" i="108"/>
  <c r="B98" i="108"/>
  <c r="C98" i="108"/>
  <c r="M131" i="108" s="1"/>
  <c r="D98" i="108"/>
  <c r="N131" i="108" s="1"/>
  <c r="E98" i="108"/>
  <c r="O131" i="108" s="1"/>
  <c r="F98" i="108"/>
  <c r="P131" i="108" s="1"/>
  <c r="G98" i="108"/>
  <c r="Q131" i="108" s="1"/>
  <c r="H98" i="108"/>
  <c r="R131" i="108" s="1"/>
  <c r="I98" i="108"/>
  <c r="S131" i="108" s="1"/>
  <c r="J98" i="108"/>
  <c r="T131" i="108" s="1"/>
  <c r="K98" i="108"/>
  <c r="U131" i="108" s="1"/>
  <c r="L98" i="108"/>
  <c r="V131" i="108" s="1"/>
  <c r="M98" i="108"/>
  <c r="W131" i="108" s="1"/>
  <c r="N98" i="108"/>
  <c r="AH98" i="108"/>
  <c r="B99" i="108"/>
  <c r="L132" i="108" s="1"/>
  <c r="C99" i="108"/>
  <c r="M132" i="108" s="1"/>
  <c r="D99" i="108"/>
  <c r="N132" i="108" s="1"/>
  <c r="E99" i="108"/>
  <c r="O132" i="108" s="1"/>
  <c r="F99" i="108"/>
  <c r="P132" i="108" s="1"/>
  <c r="G99" i="108"/>
  <c r="Q132" i="108" s="1"/>
  <c r="H99" i="108"/>
  <c r="R132" i="108" s="1"/>
  <c r="I99" i="108"/>
  <c r="S132" i="108" s="1"/>
  <c r="J99" i="108"/>
  <c r="T132" i="108" s="1"/>
  <c r="K99" i="108"/>
  <c r="U132" i="108" s="1"/>
  <c r="L99" i="108"/>
  <c r="V132" i="108" s="1"/>
  <c r="M99" i="108"/>
  <c r="W132" i="108" s="1"/>
  <c r="N99" i="108"/>
  <c r="X132" i="108" s="1"/>
  <c r="AH99" i="108"/>
  <c r="B100" i="108"/>
  <c r="C100" i="108"/>
  <c r="M133" i="108" s="1"/>
  <c r="D100" i="108"/>
  <c r="N133" i="108" s="1"/>
  <c r="E100" i="108"/>
  <c r="O133" i="108" s="1"/>
  <c r="F100" i="108"/>
  <c r="P133" i="108" s="1"/>
  <c r="G100" i="108"/>
  <c r="Q133" i="108" s="1"/>
  <c r="H100" i="108"/>
  <c r="R133" i="108" s="1"/>
  <c r="I100" i="108"/>
  <c r="S133" i="108" s="1"/>
  <c r="J100" i="108"/>
  <c r="T133" i="108" s="1"/>
  <c r="K100" i="108"/>
  <c r="U133" i="108" s="1"/>
  <c r="L100" i="108"/>
  <c r="V133" i="108" s="1"/>
  <c r="M100" i="108"/>
  <c r="W133" i="108" s="1"/>
  <c r="N100" i="108"/>
  <c r="X133" i="108" s="1"/>
  <c r="AH100" i="108"/>
  <c r="B101" i="108"/>
  <c r="L134" i="108" s="1"/>
  <c r="C101" i="108"/>
  <c r="M134" i="108" s="1"/>
  <c r="D101" i="108"/>
  <c r="N134" i="108" s="1"/>
  <c r="E101" i="108"/>
  <c r="O134" i="108" s="1"/>
  <c r="F101" i="108"/>
  <c r="P134" i="108" s="1"/>
  <c r="G101" i="108"/>
  <c r="Q134" i="108" s="1"/>
  <c r="H101" i="108"/>
  <c r="R134" i="108" s="1"/>
  <c r="I101" i="108"/>
  <c r="S134" i="108" s="1"/>
  <c r="J101" i="108"/>
  <c r="T134" i="108" s="1"/>
  <c r="K101" i="108"/>
  <c r="L101" i="108"/>
  <c r="V134" i="108" s="1"/>
  <c r="M101" i="108"/>
  <c r="W134" i="108" s="1"/>
  <c r="N101" i="108"/>
  <c r="X134" i="108" s="1"/>
  <c r="AH101" i="108"/>
  <c r="S102" i="108"/>
  <c r="T102" i="108"/>
  <c r="U102" i="108"/>
  <c r="V102" i="108"/>
  <c r="W102" i="108"/>
  <c r="X102" i="108"/>
  <c r="Y102" i="108"/>
  <c r="Z102" i="108"/>
  <c r="AA102" i="108"/>
  <c r="AB102" i="108"/>
  <c r="AC102" i="108"/>
  <c r="AD102" i="108"/>
  <c r="AE102" i="108"/>
  <c r="AF102" i="108"/>
  <c r="AG102" i="108"/>
  <c r="Y108" i="108"/>
  <c r="Z108" i="108"/>
  <c r="Y109" i="108"/>
  <c r="Z109" i="108"/>
  <c r="Q110" i="108"/>
  <c r="R110" i="108"/>
  <c r="S110" i="108"/>
  <c r="Y110" i="108"/>
  <c r="Z110" i="108"/>
  <c r="T111" i="108"/>
  <c r="Y111" i="108"/>
  <c r="Z111" i="108"/>
  <c r="Y112" i="108"/>
  <c r="Z112" i="108"/>
  <c r="Y113" i="108"/>
  <c r="Z113" i="108"/>
  <c r="Y114" i="108"/>
  <c r="Z114" i="108"/>
  <c r="T115" i="108"/>
  <c r="Y115" i="108"/>
  <c r="Z115" i="108"/>
  <c r="Y116" i="108"/>
  <c r="Z116" i="108"/>
  <c r="Y117" i="108"/>
  <c r="Z117" i="108"/>
  <c r="Y118" i="108"/>
  <c r="Z118" i="108"/>
  <c r="S119" i="108"/>
  <c r="Y119" i="108"/>
  <c r="Z119" i="108"/>
  <c r="N120" i="108"/>
  <c r="Y120" i="108"/>
  <c r="Z120" i="108"/>
  <c r="Y121" i="108"/>
  <c r="Z121" i="108"/>
  <c r="Y122" i="108"/>
  <c r="Z122" i="108"/>
  <c r="S123" i="108"/>
  <c r="Y123" i="108"/>
  <c r="Z123" i="108"/>
  <c r="Y124" i="108"/>
  <c r="Z124" i="108"/>
  <c r="Y125" i="108"/>
  <c r="Z125" i="108"/>
  <c r="Y126" i="108"/>
  <c r="Z126" i="108"/>
  <c r="T127" i="108"/>
  <c r="Y127" i="108"/>
  <c r="Z127" i="108"/>
  <c r="M128" i="108"/>
  <c r="N128" i="108"/>
  <c r="Y128" i="108"/>
  <c r="Z128" i="108"/>
  <c r="Y129" i="108"/>
  <c r="Z129" i="108"/>
  <c r="N130" i="108"/>
  <c r="R130" i="108"/>
  <c r="Y130" i="108"/>
  <c r="Z130" i="108"/>
  <c r="L131" i="108"/>
  <c r="X131" i="108"/>
  <c r="Y131" i="108"/>
  <c r="Z131" i="108"/>
  <c r="Y132" i="108"/>
  <c r="Z132" i="108"/>
  <c r="Y133" i="108"/>
  <c r="Z133" i="108"/>
  <c r="U134" i="108"/>
  <c r="Y134" i="108"/>
  <c r="Z134" i="108"/>
  <c r="O5" i="107"/>
  <c r="O6" i="107"/>
  <c r="O7" i="107"/>
  <c r="O8" i="107"/>
  <c r="O9" i="107"/>
  <c r="O10" i="107"/>
  <c r="O11" i="107"/>
  <c r="O12" i="107"/>
  <c r="O13" i="107"/>
  <c r="O14" i="107"/>
  <c r="O15" i="107"/>
  <c r="O16" i="107"/>
  <c r="O17" i="107"/>
  <c r="O18" i="107"/>
  <c r="O19" i="107"/>
  <c r="O20" i="107"/>
  <c r="O21" i="107"/>
  <c r="O22" i="107"/>
  <c r="O23" i="107"/>
  <c r="O25" i="107"/>
  <c r="O26" i="107"/>
  <c r="O27" i="107"/>
  <c r="O28" i="107"/>
  <c r="O29" i="107"/>
  <c r="O30" i="107"/>
  <c r="O31" i="107"/>
  <c r="B32" i="107"/>
  <c r="C32" i="107"/>
  <c r="D32" i="107"/>
  <c r="E32" i="107"/>
  <c r="F32" i="107"/>
  <c r="G32" i="107"/>
  <c r="I32" i="107"/>
  <c r="J32" i="107"/>
  <c r="K32" i="107"/>
  <c r="L32" i="107"/>
  <c r="M32" i="107"/>
  <c r="N32" i="107"/>
  <c r="O40" i="107"/>
  <c r="O41" i="107"/>
  <c r="O42" i="107"/>
  <c r="O43" i="107"/>
  <c r="O44" i="107"/>
  <c r="O45" i="107"/>
  <c r="O46" i="107"/>
  <c r="O47" i="107"/>
  <c r="O48" i="107"/>
  <c r="O49" i="107"/>
  <c r="O50" i="107"/>
  <c r="O51" i="107"/>
  <c r="O52" i="107"/>
  <c r="O53" i="107"/>
  <c r="O54" i="107"/>
  <c r="O55" i="107"/>
  <c r="O56" i="107"/>
  <c r="O57" i="107"/>
  <c r="O58" i="107"/>
  <c r="O59" i="107"/>
  <c r="O60" i="107"/>
  <c r="O61" i="107"/>
  <c r="O62" i="107"/>
  <c r="O63" i="107"/>
  <c r="O64" i="107"/>
  <c r="O65" i="107"/>
  <c r="O66" i="107"/>
  <c r="B67" i="107"/>
  <c r="C67" i="107"/>
  <c r="D67" i="107"/>
  <c r="E67" i="107"/>
  <c r="F67" i="107"/>
  <c r="G67" i="107"/>
  <c r="H67" i="107"/>
  <c r="I67" i="107"/>
  <c r="J67" i="107"/>
  <c r="K67" i="107"/>
  <c r="L67" i="107"/>
  <c r="M67" i="107"/>
  <c r="N67" i="107"/>
  <c r="B69" i="107"/>
  <c r="C69" i="107"/>
  <c r="D69" i="107"/>
  <c r="E69" i="107"/>
  <c r="F69" i="107"/>
  <c r="G69" i="107"/>
  <c r="H69" i="107"/>
  <c r="I69" i="107"/>
  <c r="J69" i="107"/>
  <c r="K69" i="107"/>
  <c r="L69" i="107"/>
  <c r="M69" i="107"/>
  <c r="N69" i="107"/>
  <c r="B75" i="107"/>
  <c r="L108" i="107" s="1"/>
  <c r="C75" i="107"/>
  <c r="D75" i="107"/>
  <c r="E75" i="107"/>
  <c r="O108" i="107" s="1"/>
  <c r="F75" i="107"/>
  <c r="P108" i="107" s="1"/>
  <c r="G75" i="107"/>
  <c r="Q108" i="107" s="1"/>
  <c r="H75" i="107"/>
  <c r="I75" i="107"/>
  <c r="S108" i="107" s="1"/>
  <c r="J75" i="107"/>
  <c r="T108" i="107" s="1"/>
  <c r="K75" i="107"/>
  <c r="U108" i="107" s="1"/>
  <c r="L75" i="107"/>
  <c r="M75" i="107"/>
  <c r="W108" i="107" s="1"/>
  <c r="N75" i="107"/>
  <c r="X108" i="107" s="1"/>
  <c r="AH75" i="107"/>
  <c r="B76" i="107"/>
  <c r="L109" i="107" s="1"/>
  <c r="C76" i="107"/>
  <c r="M109" i="107" s="1"/>
  <c r="D76" i="107"/>
  <c r="E76" i="107"/>
  <c r="F76" i="107"/>
  <c r="P109" i="107" s="1"/>
  <c r="G76" i="107"/>
  <c r="Q109" i="107" s="1"/>
  <c r="H76" i="107"/>
  <c r="R109" i="107" s="1"/>
  <c r="I76" i="107"/>
  <c r="J76" i="107"/>
  <c r="T109" i="107" s="1"/>
  <c r="K76" i="107"/>
  <c r="U109" i="107" s="1"/>
  <c r="L76" i="107"/>
  <c r="V109" i="107" s="1"/>
  <c r="M76" i="107"/>
  <c r="N76" i="107"/>
  <c r="X109" i="107" s="1"/>
  <c r="AH76" i="107"/>
  <c r="B77" i="107"/>
  <c r="C77" i="107"/>
  <c r="D77" i="107"/>
  <c r="N110" i="107" s="1"/>
  <c r="E77" i="107"/>
  <c r="O110" i="107" s="1"/>
  <c r="F77" i="107"/>
  <c r="P110" i="107" s="1"/>
  <c r="G77" i="107"/>
  <c r="Q110" i="107" s="1"/>
  <c r="H77" i="107"/>
  <c r="R110" i="107" s="1"/>
  <c r="I77" i="107"/>
  <c r="S110" i="107" s="1"/>
  <c r="J77" i="107"/>
  <c r="T110" i="107" s="1"/>
  <c r="K77" i="107"/>
  <c r="L77" i="107"/>
  <c r="V110" i="107" s="1"/>
  <c r="M77" i="107"/>
  <c r="W110" i="107" s="1"/>
  <c r="N77" i="107"/>
  <c r="AH77" i="107"/>
  <c r="B78" i="107"/>
  <c r="L111" i="107" s="1"/>
  <c r="C78" i="107"/>
  <c r="M111" i="107" s="1"/>
  <c r="D78" i="107"/>
  <c r="N111" i="107" s="1"/>
  <c r="E78" i="107"/>
  <c r="O111" i="107" s="1"/>
  <c r="F78" i="107"/>
  <c r="P111" i="107" s="1"/>
  <c r="G78" i="107"/>
  <c r="Q111" i="107" s="1"/>
  <c r="H78" i="107"/>
  <c r="R111" i="107" s="1"/>
  <c r="I78" i="107"/>
  <c r="S111" i="107" s="1"/>
  <c r="J78" i="107"/>
  <c r="T111" i="107" s="1"/>
  <c r="K78" i="107"/>
  <c r="U111" i="107" s="1"/>
  <c r="L78" i="107"/>
  <c r="V111" i="107" s="1"/>
  <c r="M78" i="107"/>
  <c r="W111" i="107" s="1"/>
  <c r="N78" i="107"/>
  <c r="X111" i="107" s="1"/>
  <c r="AH78" i="107"/>
  <c r="B79" i="107"/>
  <c r="L112" i="107" s="1"/>
  <c r="C79" i="107"/>
  <c r="M112" i="107" s="1"/>
  <c r="D79" i="107"/>
  <c r="N112" i="107" s="1"/>
  <c r="E79" i="107"/>
  <c r="O112" i="107" s="1"/>
  <c r="F79" i="107"/>
  <c r="P112" i="107" s="1"/>
  <c r="G79" i="107"/>
  <c r="Q112" i="107" s="1"/>
  <c r="H79" i="107"/>
  <c r="R112" i="107" s="1"/>
  <c r="I79" i="107"/>
  <c r="S112" i="107" s="1"/>
  <c r="J79" i="107"/>
  <c r="T112" i="107" s="1"/>
  <c r="K79" i="107"/>
  <c r="U112" i="107" s="1"/>
  <c r="L79" i="107"/>
  <c r="V112" i="107" s="1"/>
  <c r="M79" i="107"/>
  <c r="W112" i="107" s="1"/>
  <c r="N79" i="107"/>
  <c r="X112" i="107" s="1"/>
  <c r="AH79" i="107"/>
  <c r="B80" i="107"/>
  <c r="L113" i="107" s="1"/>
  <c r="C80" i="107"/>
  <c r="M113" i="107" s="1"/>
  <c r="D80" i="107"/>
  <c r="E80" i="107"/>
  <c r="O113" i="107" s="1"/>
  <c r="F80" i="107"/>
  <c r="P113" i="107" s="1"/>
  <c r="G80" i="107"/>
  <c r="Q113" i="107" s="1"/>
  <c r="H80" i="107"/>
  <c r="R113" i="107" s="1"/>
  <c r="I80" i="107"/>
  <c r="S113" i="107" s="1"/>
  <c r="J80" i="107"/>
  <c r="T113" i="107" s="1"/>
  <c r="K80" i="107"/>
  <c r="U113" i="107" s="1"/>
  <c r="L80" i="107"/>
  <c r="V113" i="107" s="1"/>
  <c r="M80" i="107"/>
  <c r="W113" i="107" s="1"/>
  <c r="N80" i="107"/>
  <c r="X113" i="107" s="1"/>
  <c r="AH80" i="107"/>
  <c r="B81" i="107"/>
  <c r="L114" i="107" s="1"/>
  <c r="C81" i="107"/>
  <c r="D81" i="107"/>
  <c r="E81" i="107"/>
  <c r="O114" i="107" s="1"/>
  <c r="F81" i="107"/>
  <c r="P114" i="107" s="1"/>
  <c r="G81" i="107"/>
  <c r="Q114" i="107" s="1"/>
  <c r="H81" i="107"/>
  <c r="R114" i="107" s="1"/>
  <c r="I81" i="107"/>
  <c r="S114" i="107" s="1"/>
  <c r="J81" i="107"/>
  <c r="T114" i="107" s="1"/>
  <c r="K81" i="107"/>
  <c r="U114" i="107" s="1"/>
  <c r="L81" i="107"/>
  <c r="V114" i="107" s="1"/>
  <c r="M81" i="107"/>
  <c r="W114" i="107" s="1"/>
  <c r="N81" i="107"/>
  <c r="X114" i="107" s="1"/>
  <c r="AH81" i="107"/>
  <c r="B82" i="107"/>
  <c r="L115" i="107" s="1"/>
  <c r="C82" i="107"/>
  <c r="M115" i="107" s="1"/>
  <c r="D82" i="107"/>
  <c r="N115" i="107" s="1"/>
  <c r="E82" i="107"/>
  <c r="F82" i="107"/>
  <c r="P115" i="107" s="1"/>
  <c r="G82" i="107"/>
  <c r="H82" i="107"/>
  <c r="R115" i="107" s="1"/>
  <c r="I82" i="107"/>
  <c r="S115" i="107" s="1"/>
  <c r="J82" i="107"/>
  <c r="T115" i="107" s="1"/>
  <c r="K82" i="107"/>
  <c r="U115" i="107" s="1"/>
  <c r="L82" i="107"/>
  <c r="V115" i="107" s="1"/>
  <c r="M82" i="107"/>
  <c r="W115" i="107" s="1"/>
  <c r="N82" i="107"/>
  <c r="X115" i="107" s="1"/>
  <c r="AH82" i="107"/>
  <c r="B83" i="107"/>
  <c r="L116" i="107" s="1"/>
  <c r="C83" i="107"/>
  <c r="M116" i="107" s="1"/>
  <c r="D83" i="107"/>
  <c r="N116" i="107" s="1"/>
  <c r="E83" i="107"/>
  <c r="O116" i="107" s="1"/>
  <c r="F83" i="107"/>
  <c r="P116" i="107" s="1"/>
  <c r="G83" i="107"/>
  <c r="Q116" i="107" s="1"/>
  <c r="H83" i="107"/>
  <c r="R116" i="107" s="1"/>
  <c r="I83" i="107"/>
  <c r="S116" i="107" s="1"/>
  <c r="J83" i="107"/>
  <c r="T116" i="107" s="1"/>
  <c r="K83" i="107"/>
  <c r="U116" i="107" s="1"/>
  <c r="L83" i="107"/>
  <c r="V116" i="107" s="1"/>
  <c r="M83" i="107"/>
  <c r="W116" i="107" s="1"/>
  <c r="N83" i="107"/>
  <c r="X116" i="107" s="1"/>
  <c r="AH83" i="107"/>
  <c r="B84" i="107"/>
  <c r="L117" i="107" s="1"/>
  <c r="C84" i="107"/>
  <c r="M117" i="107" s="1"/>
  <c r="D84" i="107"/>
  <c r="E84" i="107"/>
  <c r="O117" i="107" s="1"/>
  <c r="F84" i="107"/>
  <c r="P117" i="107" s="1"/>
  <c r="G84" i="107"/>
  <c r="Q117" i="107" s="1"/>
  <c r="H84" i="107"/>
  <c r="R117" i="107" s="1"/>
  <c r="I84" i="107"/>
  <c r="S117" i="107" s="1"/>
  <c r="J84" i="107"/>
  <c r="T117" i="107" s="1"/>
  <c r="K84" i="107"/>
  <c r="U117" i="107" s="1"/>
  <c r="L84" i="107"/>
  <c r="V117" i="107" s="1"/>
  <c r="M84" i="107"/>
  <c r="W117" i="107" s="1"/>
  <c r="N84" i="107"/>
  <c r="X117" i="107" s="1"/>
  <c r="AH84" i="107"/>
  <c r="B85" i="107"/>
  <c r="C85" i="107"/>
  <c r="M118" i="107" s="1"/>
  <c r="D85" i="107"/>
  <c r="N118" i="107" s="1"/>
  <c r="E85" i="107"/>
  <c r="O118" i="107" s="1"/>
  <c r="F85" i="107"/>
  <c r="P118" i="107" s="1"/>
  <c r="G85" i="107"/>
  <c r="Q118" i="107" s="1"/>
  <c r="H85" i="107"/>
  <c r="R118" i="107" s="1"/>
  <c r="I85" i="107"/>
  <c r="S118" i="107" s="1"/>
  <c r="J85" i="107"/>
  <c r="T118" i="107" s="1"/>
  <c r="K85" i="107"/>
  <c r="U118" i="107" s="1"/>
  <c r="L85" i="107"/>
  <c r="M85" i="107"/>
  <c r="W118" i="107" s="1"/>
  <c r="N85" i="107"/>
  <c r="X118" i="107" s="1"/>
  <c r="AH85" i="107"/>
  <c r="B86" i="107"/>
  <c r="L119" i="107" s="1"/>
  <c r="C86" i="107"/>
  <c r="M119" i="107" s="1"/>
  <c r="D86" i="107"/>
  <c r="E86" i="107"/>
  <c r="O119" i="107" s="1"/>
  <c r="F86" i="107"/>
  <c r="P119" i="107" s="1"/>
  <c r="G86" i="107"/>
  <c r="Q119" i="107" s="1"/>
  <c r="H86" i="107"/>
  <c r="R119" i="107" s="1"/>
  <c r="I86" i="107"/>
  <c r="S119" i="107" s="1"/>
  <c r="J86" i="107"/>
  <c r="T119" i="107" s="1"/>
  <c r="K86" i="107"/>
  <c r="U119" i="107" s="1"/>
  <c r="L86" i="107"/>
  <c r="V119" i="107" s="1"/>
  <c r="M86" i="107"/>
  <c r="W119" i="107" s="1"/>
  <c r="N86" i="107"/>
  <c r="AH86" i="107"/>
  <c r="B87" i="107"/>
  <c r="L120" i="107" s="1"/>
  <c r="C87" i="107"/>
  <c r="M120" i="107" s="1"/>
  <c r="D87" i="107"/>
  <c r="N120" i="107" s="1"/>
  <c r="E87" i="107"/>
  <c r="O120" i="107" s="1"/>
  <c r="F87" i="107"/>
  <c r="P120" i="107" s="1"/>
  <c r="G87" i="107"/>
  <c r="Q120" i="107" s="1"/>
  <c r="H87" i="107"/>
  <c r="R120" i="107" s="1"/>
  <c r="I87" i="107"/>
  <c r="S120" i="107" s="1"/>
  <c r="J87" i="107"/>
  <c r="T120" i="107" s="1"/>
  <c r="K87" i="107"/>
  <c r="U120" i="107" s="1"/>
  <c r="L87" i="107"/>
  <c r="V120" i="107" s="1"/>
  <c r="M87" i="107"/>
  <c r="W120" i="107" s="1"/>
  <c r="N87" i="107"/>
  <c r="X120" i="107" s="1"/>
  <c r="AH87" i="107"/>
  <c r="B88" i="107"/>
  <c r="L121" i="107" s="1"/>
  <c r="C88" i="107"/>
  <c r="M121" i="107" s="1"/>
  <c r="D88" i="107"/>
  <c r="E88" i="107"/>
  <c r="O121" i="107" s="1"/>
  <c r="F88" i="107"/>
  <c r="P121" i="107" s="1"/>
  <c r="G88" i="107"/>
  <c r="Q121" i="107" s="1"/>
  <c r="H88" i="107"/>
  <c r="R121" i="107" s="1"/>
  <c r="I88" i="107"/>
  <c r="S121" i="107" s="1"/>
  <c r="J88" i="107"/>
  <c r="K88" i="107"/>
  <c r="U121" i="107" s="1"/>
  <c r="L88" i="107"/>
  <c r="V121" i="107" s="1"/>
  <c r="M88" i="107"/>
  <c r="W121" i="107" s="1"/>
  <c r="N88" i="107"/>
  <c r="X121" i="107" s="1"/>
  <c r="AH88" i="107"/>
  <c r="B89" i="107"/>
  <c r="L122" i="107" s="1"/>
  <c r="C89" i="107"/>
  <c r="M122" i="107" s="1"/>
  <c r="D89" i="107"/>
  <c r="N122" i="107" s="1"/>
  <c r="E89" i="107"/>
  <c r="O122" i="107" s="1"/>
  <c r="F89" i="107"/>
  <c r="P122" i="107" s="1"/>
  <c r="G89" i="107"/>
  <c r="Q122" i="107" s="1"/>
  <c r="H89" i="107"/>
  <c r="R122" i="107" s="1"/>
  <c r="I89" i="107"/>
  <c r="S122" i="107" s="1"/>
  <c r="J89" i="107"/>
  <c r="T122" i="107" s="1"/>
  <c r="K89" i="107"/>
  <c r="U122" i="107" s="1"/>
  <c r="L89" i="107"/>
  <c r="V122" i="107" s="1"/>
  <c r="M89" i="107"/>
  <c r="W122" i="107" s="1"/>
  <c r="N89" i="107"/>
  <c r="X122" i="107" s="1"/>
  <c r="AH89" i="107"/>
  <c r="B90" i="107"/>
  <c r="L123" i="107" s="1"/>
  <c r="C90" i="107"/>
  <c r="M123" i="107" s="1"/>
  <c r="D90" i="107"/>
  <c r="E90" i="107"/>
  <c r="O123" i="107" s="1"/>
  <c r="F90" i="107"/>
  <c r="P123" i="107" s="1"/>
  <c r="G90" i="107"/>
  <c r="Q123" i="107" s="1"/>
  <c r="H90" i="107"/>
  <c r="R123" i="107" s="1"/>
  <c r="I90" i="107"/>
  <c r="S123" i="107" s="1"/>
  <c r="J90" i="107"/>
  <c r="T123" i="107" s="1"/>
  <c r="K90" i="107"/>
  <c r="U123" i="107" s="1"/>
  <c r="L90" i="107"/>
  <c r="V123" i="107" s="1"/>
  <c r="M90" i="107"/>
  <c r="W123" i="107" s="1"/>
  <c r="N90" i="107"/>
  <c r="X123" i="107" s="1"/>
  <c r="AH90" i="107"/>
  <c r="B91" i="107"/>
  <c r="L124" i="107" s="1"/>
  <c r="C91" i="107"/>
  <c r="M124" i="107" s="1"/>
  <c r="D91" i="107"/>
  <c r="N124" i="107" s="1"/>
  <c r="E91" i="107"/>
  <c r="O124" i="107" s="1"/>
  <c r="F91" i="107"/>
  <c r="P124" i="107" s="1"/>
  <c r="G91" i="107"/>
  <c r="Q124" i="107" s="1"/>
  <c r="H91" i="107"/>
  <c r="R124" i="107" s="1"/>
  <c r="I91" i="107"/>
  <c r="S124" i="107" s="1"/>
  <c r="J91" i="107"/>
  <c r="T124" i="107" s="1"/>
  <c r="K91" i="107"/>
  <c r="U124" i="107" s="1"/>
  <c r="L91" i="107"/>
  <c r="V124" i="107" s="1"/>
  <c r="M91" i="107"/>
  <c r="W124" i="107" s="1"/>
  <c r="N91" i="107"/>
  <c r="X124" i="107" s="1"/>
  <c r="AH91" i="107"/>
  <c r="B92" i="107"/>
  <c r="L125" i="107" s="1"/>
  <c r="C92" i="107"/>
  <c r="M125" i="107" s="1"/>
  <c r="D92" i="107"/>
  <c r="E92" i="107"/>
  <c r="O125" i="107" s="1"/>
  <c r="F92" i="107"/>
  <c r="P125" i="107" s="1"/>
  <c r="G92" i="107"/>
  <c r="Q125" i="107" s="1"/>
  <c r="H92" i="107"/>
  <c r="R125" i="107" s="1"/>
  <c r="I92" i="107"/>
  <c r="S125" i="107" s="1"/>
  <c r="J92" i="107"/>
  <c r="T125" i="107" s="1"/>
  <c r="K92" i="107"/>
  <c r="U125" i="107" s="1"/>
  <c r="L92" i="107"/>
  <c r="V125" i="107" s="1"/>
  <c r="M92" i="107"/>
  <c r="W125" i="107" s="1"/>
  <c r="N92" i="107"/>
  <c r="X125" i="107" s="1"/>
  <c r="AH92" i="107"/>
  <c r="B93" i="107"/>
  <c r="C93" i="107"/>
  <c r="M126" i="107" s="1"/>
  <c r="D93" i="107"/>
  <c r="N126" i="107" s="1"/>
  <c r="E93" i="107"/>
  <c r="O126" i="107" s="1"/>
  <c r="F93" i="107"/>
  <c r="P126" i="107" s="1"/>
  <c r="G93" i="107"/>
  <c r="Q126" i="107" s="1"/>
  <c r="H93" i="107"/>
  <c r="R126" i="107" s="1"/>
  <c r="I93" i="107"/>
  <c r="S126" i="107" s="1"/>
  <c r="J93" i="107"/>
  <c r="T126" i="107" s="1"/>
  <c r="K93" i="107"/>
  <c r="L93" i="107"/>
  <c r="V126" i="107" s="1"/>
  <c r="M93" i="107"/>
  <c r="W126" i="107" s="1"/>
  <c r="N93" i="107"/>
  <c r="X126" i="107" s="1"/>
  <c r="AH93" i="107"/>
  <c r="B94" i="107"/>
  <c r="L127" i="107" s="1"/>
  <c r="C94" i="107"/>
  <c r="M127" i="107" s="1"/>
  <c r="D94" i="107"/>
  <c r="N127" i="107" s="1"/>
  <c r="E94" i="107"/>
  <c r="O127" i="107" s="1"/>
  <c r="F94" i="107"/>
  <c r="P127" i="107" s="1"/>
  <c r="G94" i="107"/>
  <c r="Q127" i="107" s="1"/>
  <c r="I94" i="107"/>
  <c r="S127" i="107" s="1"/>
  <c r="J94" i="107"/>
  <c r="T127" i="107" s="1"/>
  <c r="K94" i="107"/>
  <c r="U127" i="107" s="1"/>
  <c r="L94" i="107"/>
  <c r="V127" i="107" s="1"/>
  <c r="M94" i="107"/>
  <c r="W127" i="107" s="1"/>
  <c r="N94" i="107"/>
  <c r="X127" i="107" s="1"/>
  <c r="AH94" i="107"/>
  <c r="B95" i="107"/>
  <c r="L128" i="107" s="1"/>
  <c r="C95" i="107"/>
  <c r="M128" i="107" s="1"/>
  <c r="D95" i="107"/>
  <c r="N128" i="107" s="1"/>
  <c r="E95" i="107"/>
  <c r="O128" i="107" s="1"/>
  <c r="F95" i="107"/>
  <c r="P128" i="107" s="1"/>
  <c r="G95" i="107"/>
  <c r="Q128" i="107" s="1"/>
  <c r="H95" i="107"/>
  <c r="R128" i="107" s="1"/>
  <c r="I95" i="107"/>
  <c r="S128" i="107" s="1"/>
  <c r="J95" i="107"/>
  <c r="T128" i="107" s="1"/>
  <c r="K95" i="107"/>
  <c r="U128" i="107" s="1"/>
  <c r="L95" i="107"/>
  <c r="V128" i="107" s="1"/>
  <c r="M95" i="107"/>
  <c r="W128" i="107" s="1"/>
  <c r="N95" i="107"/>
  <c r="X128" i="107" s="1"/>
  <c r="AH95" i="107"/>
  <c r="B96" i="107"/>
  <c r="L129" i="107" s="1"/>
  <c r="C96" i="107"/>
  <c r="M129" i="107" s="1"/>
  <c r="D96" i="107"/>
  <c r="E96" i="107"/>
  <c r="O129" i="107" s="1"/>
  <c r="F96" i="107"/>
  <c r="P129" i="107" s="1"/>
  <c r="G96" i="107"/>
  <c r="Q129" i="107" s="1"/>
  <c r="H96" i="107"/>
  <c r="R129" i="107" s="1"/>
  <c r="I96" i="107"/>
  <c r="S129" i="107" s="1"/>
  <c r="J96" i="107"/>
  <c r="T129" i="107" s="1"/>
  <c r="K96" i="107"/>
  <c r="U129" i="107" s="1"/>
  <c r="L96" i="107"/>
  <c r="V129" i="107" s="1"/>
  <c r="M96" i="107"/>
  <c r="W129" i="107" s="1"/>
  <c r="N96" i="107"/>
  <c r="X129" i="107" s="1"/>
  <c r="AH96" i="107"/>
  <c r="B97" i="107"/>
  <c r="L130" i="107" s="1"/>
  <c r="C97" i="107"/>
  <c r="M130" i="107" s="1"/>
  <c r="D97" i="107"/>
  <c r="N130" i="107" s="1"/>
  <c r="E97" i="107"/>
  <c r="O130" i="107" s="1"/>
  <c r="F97" i="107"/>
  <c r="P130" i="107" s="1"/>
  <c r="G97" i="107"/>
  <c r="Q130" i="107" s="1"/>
  <c r="H97" i="107"/>
  <c r="R130" i="107" s="1"/>
  <c r="I97" i="107"/>
  <c r="S130" i="107" s="1"/>
  <c r="J97" i="107"/>
  <c r="T130" i="107" s="1"/>
  <c r="K97" i="107"/>
  <c r="U130" i="107" s="1"/>
  <c r="L97" i="107"/>
  <c r="V130" i="107" s="1"/>
  <c r="M97" i="107"/>
  <c r="W130" i="107" s="1"/>
  <c r="N97" i="107"/>
  <c r="X130" i="107" s="1"/>
  <c r="AH97" i="107"/>
  <c r="B98" i="107"/>
  <c r="C98" i="107"/>
  <c r="M131" i="107" s="1"/>
  <c r="D98" i="107"/>
  <c r="N131" i="107" s="1"/>
  <c r="E98" i="107"/>
  <c r="O131" i="107" s="1"/>
  <c r="F98" i="107"/>
  <c r="P131" i="107" s="1"/>
  <c r="G98" i="107"/>
  <c r="Q131" i="107" s="1"/>
  <c r="H98" i="107"/>
  <c r="R131" i="107" s="1"/>
  <c r="I98" i="107"/>
  <c r="S131" i="107" s="1"/>
  <c r="J98" i="107"/>
  <c r="T131" i="107" s="1"/>
  <c r="K98" i="107"/>
  <c r="U131" i="107" s="1"/>
  <c r="L98" i="107"/>
  <c r="V131" i="107" s="1"/>
  <c r="M98" i="107"/>
  <c r="W131" i="107" s="1"/>
  <c r="N98" i="107"/>
  <c r="X131" i="107" s="1"/>
  <c r="AH98" i="107"/>
  <c r="B99" i="107"/>
  <c r="L132" i="107" s="1"/>
  <c r="C99" i="107"/>
  <c r="M132" i="107" s="1"/>
  <c r="D99" i="107"/>
  <c r="N132" i="107" s="1"/>
  <c r="E99" i="107"/>
  <c r="O132" i="107" s="1"/>
  <c r="F99" i="107"/>
  <c r="P132" i="107" s="1"/>
  <c r="G99" i="107"/>
  <c r="Q132" i="107" s="1"/>
  <c r="I99" i="107"/>
  <c r="S132" i="107" s="1"/>
  <c r="J99" i="107"/>
  <c r="T132" i="107" s="1"/>
  <c r="K99" i="107"/>
  <c r="U132" i="107" s="1"/>
  <c r="L99" i="107"/>
  <c r="V132" i="107" s="1"/>
  <c r="M99" i="107"/>
  <c r="W132" i="107" s="1"/>
  <c r="N99" i="107"/>
  <c r="X132" i="107" s="1"/>
  <c r="AH99" i="107"/>
  <c r="B100" i="107"/>
  <c r="L133" i="107" s="1"/>
  <c r="C100" i="107"/>
  <c r="M133" i="107" s="1"/>
  <c r="D100" i="107"/>
  <c r="E100" i="107"/>
  <c r="O133" i="107" s="1"/>
  <c r="F100" i="107"/>
  <c r="P133" i="107" s="1"/>
  <c r="G100" i="107"/>
  <c r="Q133" i="107" s="1"/>
  <c r="H100" i="107"/>
  <c r="R133" i="107" s="1"/>
  <c r="I100" i="107"/>
  <c r="S133" i="107" s="1"/>
  <c r="J100" i="107"/>
  <c r="T133" i="107" s="1"/>
  <c r="K100" i="107"/>
  <c r="U133" i="107" s="1"/>
  <c r="L100" i="107"/>
  <c r="V133" i="107" s="1"/>
  <c r="M100" i="107"/>
  <c r="W133" i="107" s="1"/>
  <c r="N100" i="107"/>
  <c r="X133" i="107" s="1"/>
  <c r="AH100" i="107"/>
  <c r="B101" i="107"/>
  <c r="L134" i="107" s="1"/>
  <c r="C101" i="107"/>
  <c r="M134" i="107" s="1"/>
  <c r="D101" i="107"/>
  <c r="N134" i="107" s="1"/>
  <c r="E101" i="107"/>
  <c r="O134" i="107" s="1"/>
  <c r="F101" i="107"/>
  <c r="P134" i="107" s="1"/>
  <c r="G101" i="107"/>
  <c r="Q134" i="107" s="1"/>
  <c r="H101" i="107"/>
  <c r="R134" i="107" s="1"/>
  <c r="I101" i="107"/>
  <c r="S134" i="107" s="1"/>
  <c r="J101" i="107"/>
  <c r="T134" i="107" s="1"/>
  <c r="K101" i="107"/>
  <c r="U134" i="107" s="1"/>
  <c r="L101" i="107"/>
  <c r="V134" i="107" s="1"/>
  <c r="M101" i="107"/>
  <c r="W134" i="107" s="1"/>
  <c r="N101" i="107"/>
  <c r="AH101" i="107"/>
  <c r="S102" i="107"/>
  <c r="Q37" i="121" s="1"/>
  <c r="T102" i="107"/>
  <c r="R37" i="121" s="1"/>
  <c r="U102" i="107"/>
  <c r="N36" i="122" s="1"/>
  <c r="V102" i="107"/>
  <c r="O36" i="122" s="1"/>
  <c r="W102" i="107"/>
  <c r="J35" i="123" s="1"/>
  <c r="X102" i="107"/>
  <c r="Y102" i="107"/>
  <c r="Z102" i="107"/>
  <c r="AA102" i="107"/>
  <c r="AB102" i="107"/>
  <c r="AC102" i="107"/>
  <c r="AD102" i="107"/>
  <c r="AE102" i="107"/>
  <c r="AF102" i="107"/>
  <c r="AG102" i="107"/>
  <c r="Y108" i="107"/>
  <c r="Z108" i="107"/>
  <c r="Y109" i="107"/>
  <c r="Z109" i="107"/>
  <c r="M110" i="107"/>
  <c r="U110" i="107"/>
  <c r="Y110" i="107"/>
  <c r="Z110" i="107"/>
  <c r="Y111" i="107"/>
  <c r="Z111" i="107"/>
  <c r="Y112" i="107"/>
  <c r="Z112" i="107"/>
  <c r="Y113" i="107"/>
  <c r="Z113" i="107"/>
  <c r="M114" i="107"/>
  <c r="N114" i="107"/>
  <c r="Y114" i="107"/>
  <c r="Z114" i="107"/>
  <c r="O115" i="107"/>
  <c r="Y115" i="107"/>
  <c r="Z115" i="107"/>
  <c r="Y116" i="107"/>
  <c r="Z116" i="107"/>
  <c r="Y117" i="107"/>
  <c r="Z117" i="107"/>
  <c r="V118" i="107"/>
  <c r="Y118" i="107"/>
  <c r="Z118" i="107"/>
  <c r="X119" i="107"/>
  <c r="Y119" i="107"/>
  <c r="Z119" i="107"/>
  <c r="Y120" i="107"/>
  <c r="Z120" i="107"/>
  <c r="T121" i="107"/>
  <c r="Y121" i="107"/>
  <c r="Z121" i="107"/>
  <c r="Y122" i="107"/>
  <c r="Z122" i="107"/>
  <c r="Y123" i="107"/>
  <c r="Z123" i="107"/>
  <c r="Y124" i="107"/>
  <c r="Z124" i="107"/>
  <c r="Y125" i="107"/>
  <c r="Z125" i="107"/>
  <c r="U126" i="107"/>
  <c r="Y126" i="107"/>
  <c r="Z126" i="107"/>
  <c r="Y127" i="107"/>
  <c r="Z127" i="107"/>
  <c r="Y128" i="107"/>
  <c r="Z128" i="107"/>
  <c r="Y129" i="107"/>
  <c r="Z129" i="107"/>
  <c r="Y130" i="107"/>
  <c r="Z130" i="107"/>
  <c r="Y131" i="107"/>
  <c r="Z131" i="107"/>
  <c r="Y132" i="107"/>
  <c r="Z132" i="107"/>
  <c r="Y133" i="107"/>
  <c r="Z133" i="107"/>
  <c r="X134" i="107"/>
  <c r="Y134" i="107"/>
  <c r="Z134" i="107"/>
  <c r="O5" i="106"/>
  <c r="S5" i="106"/>
  <c r="T5" i="106"/>
  <c r="P7" i="121" s="1"/>
  <c r="U5" i="106"/>
  <c r="V5" i="106"/>
  <c r="M6" i="122" s="1"/>
  <c r="X5" i="106"/>
  <c r="G5" i="119" s="1"/>
  <c r="Y5" i="106"/>
  <c r="AA5" i="106"/>
  <c r="J5" i="119" s="1"/>
  <c r="AE5" i="106"/>
  <c r="O6" i="106"/>
  <c r="S6" i="106"/>
  <c r="T6" i="106"/>
  <c r="P8" i="121" s="1"/>
  <c r="U6" i="106"/>
  <c r="V6" i="106"/>
  <c r="M7" i="122" s="1"/>
  <c r="W6" i="106"/>
  <c r="X6" i="106"/>
  <c r="G6" i="119" s="1"/>
  <c r="Y6" i="106"/>
  <c r="Z6" i="106"/>
  <c r="AA6" i="106"/>
  <c r="J6" i="119" s="1"/>
  <c r="AB6" i="106"/>
  <c r="K6" i="119" s="1"/>
  <c r="AE6" i="106"/>
  <c r="O7" i="106"/>
  <c r="S7" i="106"/>
  <c r="T7" i="106"/>
  <c r="P10" i="121" s="1"/>
  <c r="U7" i="106"/>
  <c r="V7" i="106"/>
  <c r="M9" i="122" s="1"/>
  <c r="W7" i="106"/>
  <c r="X7" i="106"/>
  <c r="G7" i="119" s="1"/>
  <c r="Y7" i="106"/>
  <c r="AA7" i="106"/>
  <c r="AE7" i="106"/>
  <c r="N7" i="119" s="1"/>
  <c r="O8" i="106"/>
  <c r="S8" i="106"/>
  <c r="T8" i="106"/>
  <c r="P9" i="121" s="1"/>
  <c r="U8" i="106"/>
  <c r="V8" i="106"/>
  <c r="M8" i="122" s="1"/>
  <c r="W8" i="106"/>
  <c r="X8" i="106"/>
  <c r="G8" i="119" s="1"/>
  <c r="Y8" i="106"/>
  <c r="AA8" i="106"/>
  <c r="AE8" i="106"/>
  <c r="AF8" i="106"/>
  <c r="P8" i="119" s="1"/>
  <c r="AG8" i="106"/>
  <c r="O9" i="106"/>
  <c r="S9" i="106"/>
  <c r="T9" i="106"/>
  <c r="P11" i="121" s="1"/>
  <c r="U9" i="106"/>
  <c r="V9" i="106"/>
  <c r="M10" i="122" s="1"/>
  <c r="W9" i="106"/>
  <c r="X9" i="106"/>
  <c r="G9" i="119" s="1"/>
  <c r="Y9" i="106"/>
  <c r="AA9" i="106"/>
  <c r="AB9" i="106"/>
  <c r="K9" i="119" s="1"/>
  <c r="AE9" i="106"/>
  <c r="O10" i="106"/>
  <c r="S10" i="106"/>
  <c r="T10" i="106"/>
  <c r="P12" i="121" s="1"/>
  <c r="U10" i="106"/>
  <c r="V10" i="106"/>
  <c r="M11" i="122" s="1"/>
  <c r="W10" i="106"/>
  <c r="X10" i="106"/>
  <c r="G10" i="119" s="1"/>
  <c r="Y10" i="106"/>
  <c r="H10" i="119" s="1"/>
  <c r="AA10" i="106"/>
  <c r="J10" i="119" s="1"/>
  <c r="AB10" i="106"/>
  <c r="K10" i="119" s="1"/>
  <c r="AE10" i="106"/>
  <c r="O11" i="106"/>
  <c r="S11" i="106"/>
  <c r="T11" i="106"/>
  <c r="P13" i="121" s="1"/>
  <c r="U11" i="106"/>
  <c r="V11" i="106"/>
  <c r="M12" i="122" s="1"/>
  <c r="W11" i="106"/>
  <c r="X11" i="106"/>
  <c r="G11" i="119" s="1"/>
  <c r="Y11" i="106"/>
  <c r="AA11" i="106"/>
  <c r="AB11" i="106"/>
  <c r="K11" i="119" s="1"/>
  <c r="AE11" i="106"/>
  <c r="O12" i="106"/>
  <c r="S12" i="106"/>
  <c r="T12" i="106"/>
  <c r="P14" i="121" s="1"/>
  <c r="U12" i="106"/>
  <c r="V12" i="106"/>
  <c r="M13" i="122" s="1"/>
  <c r="W12" i="106"/>
  <c r="X12" i="106"/>
  <c r="G12" i="119" s="1"/>
  <c r="Y12" i="106"/>
  <c r="H12" i="119" s="1"/>
  <c r="Z12" i="106"/>
  <c r="AA12" i="106"/>
  <c r="AB12" i="106"/>
  <c r="K12" i="119" s="1"/>
  <c r="AE12" i="106"/>
  <c r="O13" i="106"/>
  <c r="S13" i="106"/>
  <c r="T13" i="106"/>
  <c r="P15" i="121" s="1"/>
  <c r="U13" i="106"/>
  <c r="V13" i="106"/>
  <c r="M14" i="122" s="1"/>
  <c r="W13" i="106"/>
  <c r="X13" i="106"/>
  <c r="G13" i="119" s="1"/>
  <c r="Y13" i="106"/>
  <c r="H13" i="119" s="1"/>
  <c r="Z13" i="106"/>
  <c r="AA13" i="106"/>
  <c r="AB13" i="106"/>
  <c r="K13" i="119" s="1"/>
  <c r="AE13" i="106"/>
  <c r="O14" i="106"/>
  <c r="S14" i="106"/>
  <c r="T14" i="106"/>
  <c r="P16" i="121" s="1"/>
  <c r="U14" i="106"/>
  <c r="V14" i="106"/>
  <c r="M15" i="122" s="1"/>
  <c r="W14" i="106"/>
  <c r="X14" i="106"/>
  <c r="G14" i="119" s="1"/>
  <c r="Y14" i="106"/>
  <c r="H14" i="119" s="1"/>
  <c r="AA14" i="106"/>
  <c r="AB14" i="106"/>
  <c r="K14" i="119" s="1"/>
  <c r="AE14" i="106"/>
  <c r="N14" i="119" s="1"/>
  <c r="O15" i="106"/>
  <c r="S15" i="106"/>
  <c r="T15" i="106"/>
  <c r="P19" i="121" s="1"/>
  <c r="U15" i="106"/>
  <c r="V15" i="106"/>
  <c r="M18" i="122" s="1"/>
  <c r="W15" i="106"/>
  <c r="X15" i="106"/>
  <c r="G15" i="119" s="1"/>
  <c r="Y15" i="106"/>
  <c r="AA15" i="106"/>
  <c r="AB15" i="106"/>
  <c r="K15" i="119" s="1"/>
  <c r="AE15" i="106"/>
  <c r="O16" i="106"/>
  <c r="T16" i="106"/>
  <c r="P18" i="121" s="1"/>
  <c r="U16" i="106"/>
  <c r="V16" i="106"/>
  <c r="M17" i="122" s="1"/>
  <c r="W16" i="106"/>
  <c r="X16" i="106"/>
  <c r="G16" i="119" s="1"/>
  <c r="Y16" i="106"/>
  <c r="Z16" i="106"/>
  <c r="AA16" i="106"/>
  <c r="J16" i="119" s="1"/>
  <c r="AB16" i="106"/>
  <c r="K16" i="119" s="1"/>
  <c r="AE16" i="106"/>
  <c r="AF16" i="106"/>
  <c r="P16" i="119" s="1"/>
  <c r="O17" i="106"/>
  <c r="S17" i="106"/>
  <c r="T17" i="106"/>
  <c r="P17" i="121" s="1"/>
  <c r="U17" i="106"/>
  <c r="V17" i="106"/>
  <c r="M16" i="122" s="1"/>
  <c r="W17" i="106"/>
  <c r="X17" i="106"/>
  <c r="G17" i="119" s="1"/>
  <c r="Y17" i="106"/>
  <c r="H17" i="119" s="1"/>
  <c r="Z17" i="106"/>
  <c r="AA17" i="106"/>
  <c r="AB17" i="106"/>
  <c r="K17" i="119" s="1"/>
  <c r="AC17" i="106"/>
  <c r="L17" i="119" s="1"/>
  <c r="AD17" i="106"/>
  <c r="AE17" i="106"/>
  <c r="AF17" i="106"/>
  <c r="AG17" i="106"/>
  <c r="O18" i="106"/>
  <c r="S18" i="106"/>
  <c r="T18" i="106"/>
  <c r="P20" i="121" s="1"/>
  <c r="U18" i="106"/>
  <c r="V18" i="106"/>
  <c r="M19" i="122" s="1"/>
  <c r="W18" i="106"/>
  <c r="X18" i="106"/>
  <c r="G18" i="119" s="1"/>
  <c r="Y18" i="106"/>
  <c r="H18" i="119" s="1"/>
  <c r="Z18" i="106"/>
  <c r="AA18" i="106"/>
  <c r="AB18" i="106"/>
  <c r="K18" i="119" s="1"/>
  <c r="AC18" i="106"/>
  <c r="L18" i="119" s="1"/>
  <c r="AD18" i="106"/>
  <c r="AE18" i="106"/>
  <c r="AF18" i="106"/>
  <c r="AG18" i="106"/>
  <c r="O19" i="106"/>
  <c r="S19" i="106"/>
  <c r="T19" i="106"/>
  <c r="P21" i="121" s="1"/>
  <c r="U19" i="106"/>
  <c r="V19" i="106"/>
  <c r="M20" i="122" s="1"/>
  <c r="W19" i="106"/>
  <c r="X19" i="106"/>
  <c r="G19" i="119" s="1"/>
  <c r="Y19" i="106"/>
  <c r="H19" i="119" s="1"/>
  <c r="Z19" i="106"/>
  <c r="AA19" i="106"/>
  <c r="AB19" i="106"/>
  <c r="K19" i="119" s="1"/>
  <c r="AC19" i="106"/>
  <c r="L19" i="119" s="1"/>
  <c r="AD19" i="106"/>
  <c r="AE19" i="106"/>
  <c r="AF19" i="106"/>
  <c r="AG19" i="106"/>
  <c r="O20" i="106"/>
  <c r="S20" i="106"/>
  <c r="O24" i="121" s="1"/>
  <c r="T20" i="106"/>
  <c r="P24" i="121" s="1"/>
  <c r="U20" i="106"/>
  <c r="V20" i="106"/>
  <c r="M23" i="122" s="1"/>
  <c r="W20" i="106"/>
  <c r="I22" i="123" s="1"/>
  <c r="D25" i="126" s="1"/>
  <c r="X20" i="106"/>
  <c r="G20" i="119" s="1"/>
  <c r="Y20" i="106"/>
  <c r="H20" i="119" s="1"/>
  <c r="Z20" i="106"/>
  <c r="AA20" i="106"/>
  <c r="AB20" i="106"/>
  <c r="K20" i="119" s="1"/>
  <c r="AC20" i="106"/>
  <c r="L20" i="119" s="1"/>
  <c r="AD20" i="106"/>
  <c r="AE20" i="106"/>
  <c r="AF20" i="106"/>
  <c r="AG20" i="106"/>
  <c r="O21" i="106"/>
  <c r="S21" i="106"/>
  <c r="O22" i="121" s="1"/>
  <c r="T21" i="106"/>
  <c r="P22" i="121" s="1"/>
  <c r="U21" i="106"/>
  <c r="V21" i="106"/>
  <c r="M21" i="122" s="1"/>
  <c r="W21" i="106"/>
  <c r="I20" i="123" s="1"/>
  <c r="D23" i="126" s="1"/>
  <c r="X21" i="106"/>
  <c r="G21" i="119" s="1"/>
  <c r="Y21" i="106"/>
  <c r="H21" i="119" s="1"/>
  <c r="Z21" i="106"/>
  <c r="AA21" i="106"/>
  <c r="AB21" i="106"/>
  <c r="K21" i="119" s="1"/>
  <c r="AC21" i="106"/>
  <c r="L21" i="119" s="1"/>
  <c r="AD21" i="106"/>
  <c r="AE21" i="106"/>
  <c r="AF21" i="106"/>
  <c r="AG21" i="106"/>
  <c r="O22" i="106"/>
  <c r="S22" i="106"/>
  <c r="T22" i="106"/>
  <c r="P23" i="121" s="1"/>
  <c r="U22" i="106"/>
  <c r="V22" i="106"/>
  <c r="M22" i="122" s="1"/>
  <c r="W22" i="106"/>
  <c r="X22" i="106"/>
  <c r="G22" i="119" s="1"/>
  <c r="Y22" i="106"/>
  <c r="H22" i="119" s="1"/>
  <c r="Z22" i="106"/>
  <c r="AA22" i="106"/>
  <c r="AB22" i="106"/>
  <c r="K22" i="119" s="1"/>
  <c r="AC22" i="106"/>
  <c r="L22" i="119" s="1"/>
  <c r="AD22" i="106"/>
  <c r="AE22" i="106"/>
  <c r="AF22" i="106"/>
  <c r="AG22" i="106"/>
  <c r="O23" i="106"/>
  <c r="S23" i="106"/>
  <c r="T23" i="106"/>
  <c r="P25" i="121" s="1"/>
  <c r="U23" i="106"/>
  <c r="V23" i="106"/>
  <c r="M24" i="122" s="1"/>
  <c r="W23" i="106"/>
  <c r="X23" i="106"/>
  <c r="Y23" i="106"/>
  <c r="H23" i="119" s="1"/>
  <c r="Z23" i="106"/>
  <c r="AA23" i="106"/>
  <c r="AB23" i="106"/>
  <c r="K23" i="119" s="1"/>
  <c r="AC23" i="106"/>
  <c r="L23" i="119" s="1"/>
  <c r="AD23" i="106"/>
  <c r="AE23" i="106"/>
  <c r="AF23" i="106"/>
  <c r="AG23" i="106"/>
  <c r="O24" i="106"/>
  <c r="S24" i="106"/>
  <c r="O26" i="121" s="1"/>
  <c r="T24" i="106"/>
  <c r="P26" i="121" s="1"/>
  <c r="U24" i="106"/>
  <c r="V24" i="106"/>
  <c r="M25" i="122" s="1"/>
  <c r="W24" i="106"/>
  <c r="I24" i="123" s="1"/>
  <c r="D27" i="126" s="1"/>
  <c r="X24" i="106"/>
  <c r="G24" i="119" s="1"/>
  <c r="Y24" i="106"/>
  <c r="H24" i="119" s="1"/>
  <c r="Z24" i="106"/>
  <c r="AA24" i="106"/>
  <c r="AB24" i="106"/>
  <c r="K24" i="119" s="1"/>
  <c r="AC24" i="106"/>
  <c r="L24" i="119" s="1"/>
  <c r="AD24" i="106"/>
  <c r="AE24" i="106"/>
  <c r="AF24" i="106"/>
  <c r="AG24" i="106"/>
  <c r="O25" i="106"/>
  <c r="S25" i="106"/>
  <c r="O29" i="121" s="1"/>
  <c r="T25" i="106"/>
  <c r="P29" i="121" s="1"/>
  <c r="U25" i="106"/>
  <c r="V25" i="106"/>
  <c r="M28" i="122" s="1"/>
  <c r="W25" i="106"/>
  <c r="I27" i="123" s="1"/>
  <c r="D30" i="126" s="1"/>
  <c r="X25" i="106"/>
  <c r="G25" i="119" s="1"/>
  <c r="Y25" i="106"/>
  <c r="H25" i="119" s="1"/>
  <c r="Z25" i="106"/>
  <c r="AA25" i="106"/>
  <c r="AB25" i="106"/>
  <c r="K25" i="119" s="1"/>
  <c r="AC25" i="106"/>
  <c r="L25" i="119" s="1"/>
  <c r="AD25" i="106"/>
  <c r="AE25" i="106"/>
  <c r="AF25" i="106"/>
  <c r="AG25" i="106"/>
  <c r="O26" i="106"/>
  <c r="S26" i="106"/>
  <c r="O27" i="121" s="1"/>
  <c r="T26" i="106"/>
  <c r="P27" i="121" s="1"/>
  <c r="U26" i="106"/>
  <c r="V26" i="106"/>
  <c r="M26" i="122" s="1"/>
  <c r="W26" i="106"/>
  <c r="I25" i="123" s="1"/>
  <c r="D28" i="126" s="1"/>
  <c r="X26" i="106"/>
  <c r="G26" i="119" s="1"/>
  <c r="Y26" i="106"/>
  <c r="H26" i="119" s="1"/>
  <c r="Z26" i="106"/>
  <c r="AA26" i="106"/>
  <c r="AB26" i="106"/>
  <c r="K26" i="119" s="1"/>
  <c r="AC26" i="106"/>
  <c r="L26" i="119" s="1"/>
  <c r="AD26" i="106"/>
  <c r="AE26" i="106"/>
  <c r="AF26" i="106"/>
  <c r="AG26" i="106"/>
  <c r="O27" i="106"/>
  <c r="S27" i="106"/>
  <c r="T27" i="106"/>
  <c r="P28" i="121" s="1"/>
  <c r="U27" i="106"/>
  <c r="V27" i="106"/>
  <c r="M27" i="122" s="1"/>
  <c r="W27" i="106"/>
  <c r="X27" i="106"/>
  <c r="G27" i="119" s="1"/>
  <c r="Y27" i="106"/>
  <c r="H27" i="119" s="1"/>
  <c r="Z27" i="106"/>
  <c r="AA27" i="106"/>
  <c r="AB27" i="106"/>
  <c r="K27" i="119" s="1"/>
  <c r="AC27" i="106"/>
  <c r="L27" i="119" s="1"/>
  <c r="AD27" i="106"/>
  <c r="AE27" i="106"/>
  <c r="AF27" i="106"/>
  <c r="AG27" i="106"/>
  <c r="O28" i="106"/>
  <c r="S28" i="106"/>
  <c r="T28" i="106"/>
  <c r="P30" i="121" s="1"/>
  <c r="U28" i="106"/>
  <c r="V28" i="106"/>
  <c r="M29" i="122" s="1"/>
  <c r="W28" i="106"/>
  <c r="X28" i="106"/>
  <c r="G28" i="119" s="1"/>
  <c r="Y28" i="106"/>
  <c r="H28" i="119" s="1"/>
  <c r="Z28" i="106"/>
  <c r="AA28" i="106"/>
  <c r="AB28" i="106"/>
  <c r="K28" i="119" s="1"/>
  <c r="AC28" i="106"/>
  <c r="L28" i="119" s="1"/>
  <c r="AD28" i="106"/>
  <c r="AE28" i="106"/>
  <c r="AF28" i="106"/>
  <c r="AG28" i="106"/>
  <c r="O29" i="106"/>
  <c r="S29" i="106"/>
  <c r="T29" i="106"/>
  <c r="P32" i="121" s="1"/>
  <c r="U29" i="106"/>
  <c r="V29" i="106"/>
  <c r="M31" i="122" s="1"/>
  <c r="W29" i="106"/>
  <c r="X29" i="106"/>
  <c r="G29" i="119" s="1"/>
  <c r="Y29" i="106"/>
  <c r="H29" i="119" s="1"/>
  <c r="Z29" i="106"/>
  <c r="AA29" i="106"/>
  <c r="AB29" i="106"/>
  <c r="K29" i="119" s="1"/>
  <c r="AC29" i="106"/>
  <c r="L29" i="119" s="1"/>
  <c r="AD29" i="106"/>
  <c r="AE29" i="106"/>
  <c r="O30" i="106"/>
  <c r="S30" i="106"/>
  <c r="T30" i="106"/>
  <c r="P31" i="121" s="1"/>
  <c r="U30" i="106"/>
  <c r="L30" i="122" s="1"/>
  <c r="V30" i="106"/>
  <c r="M30" i="122" s="1"/>
  <c r="W30" i="106"/>
  <c r="X30" i="106"/>
  <c r="G30" i="119" s="1"/>
  <c r="Y30" i="106"/>
  <c r="H30" i="119" s="1"/>
  <c r="Z30" i="106"/>
  <c r="AA30" i="106"/>
  <c r="AB30" i="106"/>
  <c r="K30" i="119" s="1"/>
  <c r="AC30" i="106"/>
  <c r="L30" i="119" s="1"/>
  <c r="AD30" i="106"/>
  <c r="AE30" i="106"/>
  <c r="AF30" i="106"/>
  <c r="AG30" i="106"/>
  <c r="O31" i="106"/>
  <c r="S31" i="106"/>
  <c r="T31" i="106"/>
  <c r="P33" i="121" s="1"/>
  <c r="U31" i="106"/>
  <c r="L32" i="122" s="1"/>
  <c r="V31" i="106"/>
  <c r="M32" i="122" s="1"/>
  <c r="W31" i="106"/>
  <c r="X31" i="106"/>
  <c r="G31" i="119" s="1"/>
  <c r="Y31" i="106"/>
  <c r="H31" i="119" s="1"/>
  <c r="Z31" i="106"/>
  <c r="AA31" i="106"/>
  <c r="AB31" i="106"/>
  <c r="K31" i="119" s="1"/>
  <c r="AC31" i="106"/>
  <c r="L31" i="119" s="1"/>
  <c r="AD31" i="106"/>
  <c r="AE31" i="106"/>
  <c r="AF31" i="106"/>
  <c r="AG31" i="106"/>
  <c r="B32" i="106"/>
  <c r="C32" i="106"/>
  <c r="D32" i="106"/>
  <c r="E32" i="106"/>
  <c r="F32" i="106"/>
  <c r="G32" i="106"/>
  <c r="H32" i="106"/>
  <c r="I32" i="106"/>
  <c r="J32" i="106"/>
  <c r="K32" i="106"/>
  <c r="L32" i="106"/>
  <c r="M32" i="106"/>
  <c r="N32" i="106"/>
  <c r="O40" i="106"/>
  <c r="S40" i="106"/>
  <c r="AI40" i="106" s="1"/>
  <c r="T40" i="106"/>
  <c r="AJ40" i="106" s="1"/>
  <c r="U40" i="106"/>
  <c r="AK40" i="106" s="1"/>
  <c r="V40" i="106"/>
  <c r="AL40" i="106" s="1"/>
  <c r="X40" i="106"/>
  <c r="G38" i="119" s="1"/>
  <c r="Y40" i="106"/>
  <c r="H38" i="119" s="1"/>
  <c r="AA40" i="106"/>
  <c r="AE40" i="106"/>
  <c r="O41" i="106"/>
  <c r="S41" i="106"/>
  <c r="AI41" i="106" s="1"/>
  <c r="T41" i="106"/>
  <c r="AJ41" i="106" s="1"/>
  <c r="U41" i="106"/>
  <c r="AK41" i="106" s="1"/>
  <c r="V41" i="106"/>
  <c r="AL41" i="106" s="1"/>
  <c r="W41" i="106"/>
  <c r="AM41" i="106" s="1"/>
  <c r="X41" i="106"/>
  <c r="G39" i="119" s="1"/>
  <c r="Y41" i="106"/>
  <c r="H39" i="119" s="1"/>
  <c r="Z41" i="106"/>
  <c r="AA41" i="106"/>
  <c r="AB41" i="106"/>
  <c r="K39" i="119" s="1"/>
  <c r="AE41" i="106"/>
  <c r="O42" i="106"/>
  <c r="S42" i="106"/>
  <c r="AI42" i="106" s="1"/>
  <c r="T42" i="106"/>
  <c r="AJ42" i="106" s="1"/>
  <c r="U42" i="106"/>
  <c r="AK42" i="106" s="1"/>
  <c r="V42" i="106"/>
  <c r="AL42" i="106" s="1"/>
  <c r="W42" i="106"/>
  <c r="AM42" i="106" s="1"/>
  <c r="X42" i="106"/>
  <c r="G40" i="119" s="1"/>
  <c r="Y42" i="106"/>
  <c r="H40" i="119" s="1"/>
  <c r="AA42" i="106"/>
  <c r="J40" i="119" s="1"/>
  <c r="AE42" i="106"/>
  <c r="O43" i="106"/>
  <c r="S43" i="106"/>
  <c r="AI43" i="106" s="1"/>
  <c r="T43" i="106"/>
  <c r="AJ43" i="106" s="1"/>
  <c r="U43" i="106"/>
  <c r="AK43" i="106" s="1"/>
  <c r="V43" i="106"/>
  <c r="AL43" i="106" s="1"/>
  <c r="W43" i="106"/>
  <c r="AM43" i="106" s="1"/>
  <c r="X43" i="106"/>
  <c r="G41" i="119" s="1"/>
  <c r="Y43" i="106"/>
  <c r="H41" i="119" s="1"/>
  <c r="AA43" i="106"/>
  <c r="AE43" i="106"/>
  <c r="O44" i="106"/>
  <c r="S44" i="106"/>
  <c r="AI44" i="106" s="1"/>
  <c r="T44" i="106"/>
  <c r="U44" i="106"/>
  <c r="AK44" i="106" s="1"/>
  <c r="V44" i="106"/>
  <c r="AL44" i="106" s="1"/>
  <c r="W44" i="106"/>
  <c r="AM44" i="106" s="1"/>
  <c r="X44" i="106"/>
  <c r="Y44" i="106"/>
  <c r="H42" i="119" s="1"/>
  <c r="AA44" i="106"/>
  <c r="J42" i="119" s="1"/>
  <c r="AB44" i="106"/>
  <c r="AE44" i="106"/>
  <c r="O45" i="106"/>
  <c r="S45" i="106"/>
  <c r="AI45" i="106" s="1"/>
  <c r="T45" i="106"/>
  <c r="AJ45" i="106" s="1"/>
  <c r="U45" i="106"/>
  <c r="AK45" i="106" s="1"/>
  <c r="V45" i="106"/>
  <c r="AL45" i="106" s="1"/>
  <c r="W45" i="106"/>
  <c r="AM45" i="106" s="1"/>
  <c r="X45" i="106"/>
  <c r="Y45" i="106"/>
  <c r="AA45" i="106"/>
  <c r="AB45" i="106"/>
  <c r="AE45" i="106"/>
  <c r="O46" i="106"/>
  <c r="S46" i="106"/>
  <c r="AI46" i="106" s="1"/>
  <c r="T46" i="106"/>
  <c r="AJ46" i="106" s="1"/>
  <c r="U46" i="106"/>
  <c r="AK46" i="106" s="1"/>
  <c r="V46" i="106"/>
  <c r="AL46" i="106" s="1"/>
  <c r="W46" i="106"/>
  <c r="AM46" i="106" s="1"/>
  <c r="X46" i="106"/>
  <c r="Y46" i="106"/>
  <c r="H44" i="119" s="1"/>
  <c r="AA46" i="106"/>
  <c r="AB46" i="106"/>
  <c r="AE46" i="106"/>
  <c r="N44" i="119" s="1"/>
  <c r="O47" i="106"/>
  <c r="S47" i="106"/>
  <c r="T47" i="106"/>
  <c r="AJ47" i="106" s="1"/>
  <c r="U47" i="106"/>
  <c r="AK47" i="106" s="1"/>
  <c r="V47" i="106"/>
  <c r="AL47" i="106" s="1"/>
  <c r="W47" i="106"/>
  <c r="X47" i="106"/>
  <c r="Y47" i="106"/>
  <c r="Z47" i="106"/>
  <c r="AA47" i="106"/>
  <c r="AB47" i="106"/>
  <c r="AE47" i="106"/>
  <c r="N45" i="119" s="1"/>
  <c r="O48" i="106"/>
  <c r="S48" i="106"/>
  <c r="AI48" i="106" s="1"/>
  <c r="T48" i="106"/>
  <c r="U48" i="106"/>
  <c r="AK48" i="106" s="1"/>
  <c r="V48" i="106"/>
  <c r="AL48" i="106" s="1"/>
  <c r="W48" i="106"/>
  <c r="AM48" i="106" s="1"/>
  <c r="X48" i="106"/>
  <c r="Y48" i="106"/>
  <c r="Z48" i="106"/>
  <c r="AA48" i="106"/>
  <c r="AB48" i="106"/>
  <c r="AE48" i="106"/>
  <c r="N46" i="119" s="1"/>
  <c r="O49" i="106"/>
  <c r="S49" i="106"/>
  <c r="AI49" i="106" s="1"/>
  <c r="T49" i="106"/>
  <c r="AJ49" i="106" s="1"/>
  <c r="U49" i="106"/>
  <c r="AK49" i="106" s="1"/>
  <c r="V49" i="106"/>
  <c r="AL49" i="106" s="1"/>
  <c r="W49" i="106"/>
  <c r="AM49" i="106" s="1"/>
  <c r="X49" i="106"/>
  <c r="Y49" i="106"/>
  <c r="AA49" i="106"/>
  <c r="AB49" i="106"/>
  <c r="AE49" i="106"/>
  <c r="O50" i="106"/>
  <c r="S50" i="106"/>
  <c r="T50" i="106"/>
  <c r="AJ50" i="106" s="1"/>
  <c r="U50" i="106"/>
  <c r="AK50" i="106" s="1"/>
  <c r="V50" i="106"/>
  <c r="AL50" i="106" s="1"/>
  <c r="W50" i="106"/>
  <c r="X50" i="106"/>
  <c r="Y50" i="106"/>
  <c r="H48" i="119" s="1"/>
  <c r="AA50" i="106"/>
  <c r="J48" i="119" s="1"/>
  <c r="AB50" i="106"/>
  <c r="AE50" i="106"/>
  <c r="O51" i="106"/>
  <c r="T51" i="106"/>
  <c r="AJ51" i="106" s="1"/>
  <c r="U51" i="106"/>
  <c r="AK51" i="106" s="1"/>
  <c r="V51" i="106"/>
  <c r="AL51" i="106" s="1"/>
  <c r="W51" i="106"/>
  <c r="X51" i="106"/>
  <c r="Y51" i="106"/>
  <c r="H49" i="119" s="1"/>
  <c r="Z51" i="106"/>
  <c r="AA51" i="106"/>
  <c r="AB51" i="106"/>
  <c r="AE51" i="106"/>
  <c r="AF51" i="106"/>
  <c r="O52" i="106"/>
  <c r="S52" i="106"/>
  <c r="AI52" i="106" s="1"/>
  <c r="T52" i="106"/>
  <c r="AJ52" i="106" s="1"/>
  <c r="U52" i="106"/>
  <c r="AK52" i="106" s="1"/>
  <c r="V52" i="106"/>
  <c r="AL52" i="106" s="1"/>
  <c r="W52" i="106"/>
  <c r="AM52" i="106" s="1"/>
  <c r="X52" i="106"/>
  <c r="Y52" i="106"/>
  <c r="Z52" i="106"/>
  <c r="I50" i="119" s="1"/>
  <c r="AA52" i="106"/>
  <c r="AB52" i="106"/>
  <c r="AC52" i="106"/>
  <c r="AD52" i="106"/>
  <c r="M50" i="119" s="1"/>
  <c r="AE52" i="106"/>
  <c r="AF52" i="106"/>
  <c r="P50" i="119" s="1"/>
  <c r="O53" i="106"/>
  <c r="S53" i="106"/>
  <c r="AI53" i="106" s="1"/>
  <c r="T53" i="106"/>
  <c r="AJ53" i="106" s="1"/>
  <c r="U53" i="106"/>
  <c r="AK53" i="106" s="1"/>
  <c r="V53" i="106"/>
  <c r="AL53" i="106" s="1"/>
  <c r="W53" i="106"/>
  <c r="AM53" i="106" s="1"/>
  <c r="X53" i="106"/>
  <c r="Y53" i="106"/>
  <c r="H51" i="119" s="1"/>
  <c r="Z53" i="106"/>
  <c r="AA53" i="106"/>
  <c r="AB53" i="106"/>
  <c r="AC53" i="106"/>
  <c r="L51" i="119" s="1"/>
  <c r="AD53" i="106"/>
  <c r="AE53" i="106"/>
  <c r="O54" i="106"/>
  <c r="S54" i="106"/>
  <c r="AI54" i="106" s="1"/>
  <c r="T54" i="106"/>
  <c r="AJ54" i="106" s="1"/>
  <c r="U54" i="106"/>
  <c r="AK54" i="106" s="1"/>
  <c r="V54" i="106"/>
  <c r="AL54" i="106" s="1"/>
  <c r="W54" i="106"/>
  <c r="AM54" i="106" s="1"/>
  <c r="X54" i="106"/>
  <c r="Y54" i="106"/>
  <c r="H52" i="119" s="1"/>
  <c r="Z54" i="106"/>
  <c r="AA54" i="106"/>
  <c r="AB54" i="106"/>
  <c r="AC54" i="106"/>
  <c r="L52" i="119" s="1"/>
  <c r="AD54" i="106"/>
  <c r="AE54" i="106"/>
  <c r="O55" i="106"/>
  <c r="S55" i="106"/>
  <c r="AI55" i="106" s="1"/>
  <c r="T55" i="106"/>
  <c r="AJ55" i="106" s="1"/>
  <c r="U55" i="106"/>
  <c r="AK55" i="106" s="1"/>
  <c r="V55" i="106"/>
  <c r="AL55" i="106" s="1"/>
  <c r="W55" i="106"/>
  <c r="AM55" i="106" s="1"/>
  <c r="X55" i="106"/>
  <c r="Y55" i="106"/>
  <c r="H53" i="119" s="1"/>
  <c r="Z55" i="106"/>
  <c r="AA55" i="106"/>
  <c r="AB55" i="106"/>
  <c r="AC55" i="106"/>
  <c r="L53" i="119" s="1"/>
  <c r="AD55" i="106"/>
  <c r="AE55" i="106"/>
  <c r="O56" i="106"/>
  <c r="S56" i="106"/>
  <c r="AI56" i="106" s="1"/>
  <c r="T56" i="106"/>
  <c r="AJ56" i="106" s="1"/>
  <c r="U56" i="106"/>
  <c r="AK56" i="106" s="1"/>
  <c r="V56" i="106"/>
  <c r="AL56" i="106" s="1"/>
  <c r="W56" i="106"/>
  <c r="AM56" i="106" s="1"/>
  <c r="X56" i="106"/>
  <c r="Y56" i="106"/>
  <c r="H54" i="119" s="1"/>
  <c r="Z56" i="106"/>
  <c r="AA56" i="106"/>
  <c r="AB56" i="106"/>
  <c r="AC56" i="106"/>
  <c r="L54" i="119" s="1"/>
  <c r="AD56" i="106"/>
  <c r="AE56" i="106"/>
  <c r="O57" i="106"/>
  <c r="S57" i="106"/>
  <c r="AI57" i="106" s="1"/>
  <c r="T57" i="106"/>
  <c r="AJ57" i="106" s="1"/>
  <c r="U57" i="106"/>
  <c r="AK57" i="106" s="1"/>
  <c r="V57" i="106"/>
  <c r="AL57" i="106" s="1"/>
  <c r="W57" i="106"/>
  <c r="AM57" i="106" s="1"/>
  <c r="X57" i="106"/>
  <c r="Y57" i="106"/>
  <c r="H55" i="119" s="1"/>
  <c r="Z57" i="106"/>
  <c r="AA57" i="106"/>
  <c r="AB57" i="106"/>
  <c r="AC57" i="106"/>
  <c r="L55" i="119" s="1"/>
  <c r="AD57" i="106"/>
  <c r="AE57" i="106"/>
  <c r="O58" i="106"/>
  <c r="S58" i="106"/>
  <c r="AI58" i="106" s="1"/>
  <c r="T58" i="106"/>
  <c r="AJ58" i="106" s="1"/>
  <c r="U58" i="106"/>
  <c r="AK58" i="106" s="1"/>
  <c r="V58" i="106"/>
  <c r="AL58" i="106" s="1"/>
  <c r="W58" i="106"/>
  <c r="AM58" i="106" s="1"/>
  <c r="X58" i="106"/>
  <c r="Y58" i="106"/>
  <c r="H56" i="119" s="1"/>
  <c r="Z58" i="106"/>
  <c r="AA58" i="106"/>
  <c r="AB58" i="106"/>
  <c r="AC58" i="106"/>
  <c r="L56" i="119" s="1"/>
  <c r="AD58" i="106"/>
  <c r="AE58" i="106"/>
  <c r="O59" i="106"/>
  <c r="S59" i="106"/>
  <c r="AI59" i="106" s="1"/>
  <c r="T59" i="106"/>
  <c r="AJ59" i="106" s="1"/>
  <c r="U59" i="106"/>
  <c r="AK59" i="106" s="1"/>
  <c r="V59" i="106"/>
  <c r="AL59" i="106" s="1"/>
  <c r="W59" i="106"/>
  <c r="AM59" i="106" s="1"/>
  <c r="X59" i="106"/>
  <c r="Y59" i="106"/>
  <c r="H57" i="119" s="1"/>
  <c r="Z59" i="106"/>
  <c r="AA59" i="106"/>
  <c r="AB59" i="106"/>
  <c r="AC59" i="106"/>
  <c r="L57" i="119" s="1"/>
  <c r="AD59" i="106"/>
  <c r="AE59" i="106"/>
  <c r="O60" i="106"/>
  <c r="S60" i="106"/>
  <c r="AI60" i="106" s="1"/>
  <c r="T60" i="106"/>
  <c r="AJ60" i="106" s="1"/>
  <c r="U60" i="106"/>
  <c r="AK60" i="106" s="1"/>
  <c r="V60" i="106"/>
  <c r="AL60" i="106" s="1"/>
  <c r="W60" i="106"/>
  <c r="AM60" i="106" s="1"/>
  <c r="X60" i="106"/>
  <c r="Y60" i="106"/>
  <c r="H58" i="119" s="1"/>
  <c r="Z60" i="106"/>
  <c r="AA60" i="106"/>
  <c r="AB60" i="106"/>
  <c r="AC60" i="106"/>
  <c r="L58" i="119" s="1"/>
  <c r="AD60" i="106"/>
  <c r="AE60" i="106"/>
  <c r="O61" i="106"/>
  <c r="S61" i="106"/>
  <c r="AI61" i="106" s="1"/>
  <c r="T61" i="106"/>
  <c r="AJ61" i="106" s="1"/>
  <c r="U61" i="106"/>
  <c r="AK61" i="106" s="1"/>
  <c r="V61" i="106"/>
  <c r="AL61" i="106" s="1"/>
  <c r="W61" i="106"/>
  <c r="AM61" i="106" s="1"/>
  <c r="X61" i="106"/>
  <c r="Y61" i="106"/>
  <c r="H59" i="119" s="1"/>
  <c r="Z61" i="106"/>
  <c r="AA61" i="106"/>
  <c r="AB61" i="106"/>
  <c r="AC61" i="106"/>
  <c r="L59" i="119" s="1"/>
  <c r="AD61" i="106"/>
  <c r="AE61" i="106"/>
  <c r="O62" i="106"/>
  <c r="S62" i="106"/>
  <c r="AI62" i="106" s="1"/>
  <c r="T62" i="106"/>
  <c r="AJ62" i="106" s="1"/>
  <c r="U62" i="106"/>
  <c r="AK62" i="106" s="1"/>
  <c r="V62" i="106"/>
  <c r="AL62" i="106" s="1"/>
  <c r="W62" i="106"/>
  <c r="AM62" i="106" s="1"/>
  <c r="X62" i="106"/>
  <c r="Y62" i="106"/>
  <c r="H60" i="119" s="1"/>
  <c r="Z62" i="106"/>
  <c r="AA62" i="106"/>
  <c r="AB62" i="106"/>
  <c r="AC62" i="106"/>
  <c r="L60" i="119" s="1"/>
  <c r="AD62" i="106"/>
  <c r="AE62" i="106"/>
  <c r="O63" i="106"/>
  <c r="S63" i="106"/>
  <c r="AI63" i="106" s="1"/>
  <c r="T63" i="106"/>
  <c r="AJ63" i="106" s="1"/>
  <c r="U63" i="106"/>
  <c r="V63" i="106"/>
  <c r="AL63" i="106" s="1"/>
  <c r="W63" i="106"/>
  <c r="AM63" i="106" s="1"/>
  <c r="X63" i="106"/>
  <c r="Y63" i="106"/>
  <c r="H61" i="119" s="1"/>
  <c r="Z63" i="106"/>
  <c r="AA63" i="106"/>
  <c r="AB63" i="106"/>
  <c r="AC63" i="106"/>
  <c r="L61" i="119" s="1"/>
  <c r="AD63" i="106"/>
  <c r="AE63" i="106"/>
  <c r="O64" i="106"/>
  <c r="S64" i="106"/>
  <c r="AI64" i="106" s="1"/>
  <c r="T64" i="106"/>
  <c r="AJ64" i="106" s="1"/>
  <c r="U64" i="106"/>
  <c r="AK64" i="106" s="1"/>
  <c r="V64" i="106"/>
  <c r="AL64" i="106" s="1"/>
  <c r="W64" i="106"/>
  <c r="AM64" i="106" s="1"/>
  <c r="X64" i="106"/>
  <c r="Y64" i="106"/>
  <c r="H62" i="119" s="1"/>
  <c r="Z64" i="106"/>
  <c r="AA64" i="106"/>
  <c r="AB64" i="106"/>
  <c r="AC64" i="106"/>
  <c r="L62" i="119" s="1"/>
  <c r="AD64" i="106"/>
  <c r="AE64" i="106"/>
  <c r="O65" i="106"/>
  <c r="S65" i="106"/>
  <c r="AI65" i="106" s="1"/>
  <c r="T65" i="106"/>
  <c r="AJ65" i="106" s="1"/>
  <c r="U65" i="106"/>
  <c r="AK65" i="106" s="1"/>
  <c r="V65" i="106"/>
  <c r="AL65" i="106" s="1"/>
  <c r="W65" i="106"/>
  <c r="AM65" i="106" s="1"/>
  <c r="X65" i="106"/>
  <c r="Y65" i="106"/>
  <c r="Z65" i="106"/>
  <c r="AA65" i="106"/>
  <c r="J63" i="119" s="1"/>
  <c r="AB65" i="106"/>
  <c r="AC65" i="106"/>
  <c r="AD65" i="106"/>
  <c r="AE65" i="106"/>
  <c r="N63" i="119" s="1"/>
  <c r="O66" i="106"/>
  <c r="S66" i="106"/>
  <c r="AI66" i="106" s="1"/>
  <c r="T66" i="106"/>
  <c r="AJ66" i="106" s="1"/>
  <c r="U66" i="106"/>
  <c r="V66" i="106"/>
  <c r="AL66" i="106" s="1"/>
  <c r="W66" i="106"/>
  <c r="AM66" i="106" s="1"/>
  <c r="X66" i="106"/>
  <c r="Y66" i="106"/>
  <c r="Z66" i="106"/>
  <c r="AA66" i="106"/>
  <c r="J64" i="119" s="1"/>
  <c r="AB66" i="106"/>
  <c r="AC66" i="106"/>
  <c r="AD66" i="106"/>
  <c r="AE66" i="106"/>
  <c r="N64" i="119" s="1"/>
  <c r="AG66" i="106"/>
  <c r="B67" i="106"/>
  <c r="C67" i="106"/>
  <c r="D67" i="106"/>
  <c r="E67" i="106"/>
  <c r="F67" i="106"/>
  <c r="G67" i="106"/>
  <c r="H67" i="106"/>
  <c r="I67" i="106"/>
  <c r="J67" i="106"/>
  <c r="K67" i="106"/>
  <c r="L67" i="106"/>
  <c r="M67" i="106"/>
  <c r="N67" i="106"/>
  <c r="B75" i="106"/>
  <c r="C75" i="106"/>
  <c r="M108" i="106" s="1"/>
  <c r="D75" i="106"/>
  <c r="N108" i="106" s="1"/>
  <c r="E75" i="106"/>
  <c r="F75" i="106"/>
  <c r="P108" i="106" s="1"/>
  <c r="G75" i="106"/>
  <c r="Q108" i="106" s="1"/>
  <c r="H75" i="106"/>
  <c r="R108" i="106" s="1"/>
  <c r="I75" i="106"/>
  <c r="J75" i="106"/>
  <c r="T108" i="106" s="1"/>
  <c r="K75" i="106"/>
  <c r="L75" i="106"/>
  <c r="M75" i="106"/>
  <c r="N75" i="106"/>
  <c r="X108" i="106" s="1"/>
  <c r="W5" i="106"/>
  <c r="Z5" i="106"/>
  <c r="AB5" i="106"/>
  <c r="K5" i="119" s="1"/>
  <c r="AD40" i="106"/>
  <c r="AF5" i="106"/>
  <c r="AG5" i="106"/>
  <c r="B76" i="106"/>
  <c r="L109" i="106" s="1"/>
  <c r="C76" i="106"/>
  <c r="M109" i="106" s="1"/>
  <c r="D76" i="106"/>
  <c r="N109" i="106" s="1"/>
  <c r="E76" i="106"/>
  <c r="F76" i="106"/>
  <c r="P109" i="106" s="1"/>
  <c r="G76" i="106"/>
  <c r="Q109" i="106" s="1"/>
  <c r="H76" i="106"/>
  <c r="R109" i="106" s="1"/>
  <c r="I76" i="106"/>
  <c r="J76" i="106"/>
  <c r="T109" i="106" s="1"/>
  <c r="K76" i="106"/>
  <c r="U109" i="106" s="1"/>
  <c r="L76" i="106"/>
  <c r="M76" i="106"/>
  <c r="N76" i="106"/>
  <c r="X109" i="106" s="1"/>
  <c r="AC6" i="106"/>
  <c r="L6" i="119" s="1"/>
  <c r="AF6" i="106"/>
  <c r="P6" i="119" s="1"/>
  <c r="AG6" i="106"/>
  <c r="B77" i="106"/>
  <c r="C77" i="106"/>
  <c r="M110" i="106" s="1"/>
  <c r="D77" i="106"/>
  <c r="N110" i="106" s="1"/>
  <c r="E77" i="106"/>
  <c r="O110" i="106" s="1"/>
  <c r="F77" i="106"/>
  <c r="P110" i="106" s="1"/>
  <c r="G77" i="106"/>
  <c r="Q110" i="106" s="1"/>
  <c r="H77" i="106"/>
  <c r="R110" i="106" s="1"/>
  <c r="I77" i="106"/>
  <c r="J77" i="106"/>
  <c r="T110" i="106" s="1"/>
  <c r="K77" i="106"/>
  <c r="L77" i="106"/>
  <c r="M77" i="106"/>
  <c r="N77" i="106"/>
  <c r="X110" i="106" s="1"/>
  <c r="Z7" i="106"/>
  <c r="AB42" i="106"/>
  <c r="K40" i="119" s="1"/>
  <c r="AD7" i="106"/>
  <c r="AF7" i="106"/>
  <c r="P7" i="119" s="1"/>
  <c r="Z110" i="106"/>
  <c r="B78" i="106"/>
  <c r="L111" i="106" s="1"/>
  <c r="C78" i="106"/>
  <c r="M111" i="106" s="1"/>
  <c r="D78" i="106"/>
  <c r="N111" i="106" s="1"/>
  <c r="E78" i="106"/>
  <c r="O111" i="106" s="1"/>
  <c r="F78" i="106"/>
  <c r="P111" i="106" s="1"/>
  <c r="G78" i="106"/>
  <c r="Q111" i="106" s="1"/>
  <c r="H78" i="106"/>
  <c r="R111" i="106" s="1"/>
  <c r="I78" i="106"/>
  <c r="J78" i="106"/>
  <c r="T111" i="106" s="1"/>
  <c r="K78" i="106"/>
  <c r="L78" i="106"/>
  <c r="M78" i="106"/>
  <c r="N78" i="106"/>
  <c r="X111" i="106" s="1"/>
  <c r="Z8" i="106"/>
  <c r="AC8" i="106"/>
  <c r="L8" i="119" s="1"/>
  <c r="AD43" i="106"/>
  <c r="B79" i="106"/>
  <c r="C79" i="106"/>
  <c r="M112" i="106" s="1"/>
  <c r="D79" i="106"/>
  <c r="N112" i="106" s="1"/>
  <c r="E79" i="106"/>
  <c r="O112" i="106" s="1"/>
  <c r="F79" i="106"/>
  <c r="P112" i="106" s="1"/>
  <c r="G79" i="106"/>
  <c r="Q112" i="106" s="1"/>
  <c r="H79" i="106"/>
  <c r="R112" i="106" s="1"/>
  <c r="I79" i="106"/>
  <c r="J79" i="106"/>
  <c r="T112" i="106" s="1"/>
  <c r="K79" i="106"/>
  <c r="U112" i="106" s="1"/>
  <c r="L79" i="106"/>
  <c r="M79" i="106"/>
  <c r="N79" i="106"/>
  <c r="X112" i="106" s="1"/>
  <c r="Z44" i="106"/>
  <c r="AC44" i="106"/>
  <c r="L42" i="119" s="1"/>
  <c r="AF9" i="106"/>
  <c r="P9" i="119" s="1"/>
  <c r="AG9" i="106"/>
  <c r="B80" i="106"/>
  <c r="C80" i="106"/>
  <c r="M113" i="106" s="1"/>
  <c r="D80" i="106"/>
  <c r="N113" i="106" s="1"/>
  <c r="E80" i="106"/>
  <c r="O113" i="106" s="1"/>
  <c r="F80" i="106"/>
  <c r="P113" i="106" s="1"/>
  <c r="G80" i="106"/>
  <c r="Q113" i="106" s="1"/>
  <c r="H80" i="106"/>
  <c r="I80" i="106"/>
  <c r="J80" i="106"/>
  <c r="T113" i="106" s="1"/>
  <c r="K80" i="106"/>
  <c r="U113" i="106" s="1"/>
  <c r="L80" i="106"/>
  <c r="V113" i="106" s="1"/>
  <c r="M80" i="106"/>
  <c r="N80" i="106"/>
  <c r="X113" i="106" s="1"/>
  <c r="Z45" i="106"/>
  <c r="I43" i="119" s="1"/>
  <c r="AF10" i="106"/>
  <c r="P10" i="119" s="1"/>
  <c r="AG10" i="106"/>
  <c r="B81" i="106"/>
  <c r="C81" i="106"/>
  <c r="M114" i="106" s="1"/>
  <c r="D81" i="106"/>
  <c r="N114" i="106" s="1"/>
  <c r="E81" i="106"/>
  <c r="O114" i="106" s="1"/>
  <c r="F81" i="106"/>
  <c r="P114" i="106" s="1"/>
  <c r="G81" i="106"/>
  <c r="Q114" i="106" s="1"/>
  <c r="H81" i="106"/>
  <c r="R114" i="106" s="1"/>
  <c r="I81" i="106"/>
  <c r="J81" i="106"/>
  <c r="T114" i="106" s="1"/>
  <c r="K81" i="106"/>
  <c r="U114" i="106" s="1"/>
  <c r="L81" i="106"/>
  <c r="M81" i="106"/>
  <c r="N81" i="106"/>
  <c r="X114" i="106" s="1"/>
  <c r="Z11" i="106"/>
  <c r="Y114" i="106"/>
  <c r="AG11" i="106"/>
  <c r="B82" i="106"/>
  <c r="C82" i="106"/>
  <c r="M115" i="106" s="1"/>
  <c r="D82" i="106"/>
  <c r="N115" i="106" s="1"/>
  <c r="E82" i="106"/>
  <c r="O115" i="106" s="1"/>
  <c r="F82" i="106"/>
  <c r="P115" i="106" s="1"/>
  <c r="G82" i="106"/>
  <c r="Q115" i="106" s="1"/>
  <c r="H82" i="106"/>
  <c r="R115" i="106" s="1"/>
  <c r="I82" i="106"/>
  <c r="S115" i="106" s="1"/>
  <c r="J82" i="106"/>
  <c r="T115" i="106" s="1"/>
  <c r="K82" i="106"/>
  <c r="U115" i="106" s="1"/>
  <c r="L82" i="106"/>
  <c r="M82" i="106"/>
  <c r="N82" i="106"/>
  <c r="X115" i="106" s="1"/>
  <c r="AC12" i="106"/>
  <c r="L12" i="119" s="1"/>
  <c r="AD47" i="106"/>
  <c r="Y115" i="106"/>
  <c r="AG12" i="106"/>
  <c r="B83" i="106"/>
  <c r="L116" i="106" s="1"/>
  <c r="C83" i="106"/>
  <c r="M116" i="106" s="1"/>
  <c r="D83" i="106"/>
  <c r="N116" i="106" s="1"/>
  <c r="E83" i="106"/>
  <c r="O116" i="106" s="1"/>
  <c r="F83" i="106"/>
  <c r="P116" i="106" s="1"/>
  <c r="G83" i="106"/>
  <c r="Q116" i="106" s="1"/>
  <c r="H83" i="106"/>
  <c r="R116" i="106" s="1"/>
  <c r="I83" i="106"/>
  <c r="S116" i="106" s="1"/>
  <c r="J83" i="106"/>
  <c r="T116" i="106" s="1"/>
  <c r="K83" i="106"/>
  <c r="U116" i="106" s="1"/>
  <c r="L83" i="106"/>
  <c r="M83" i="106"/>
  <c r="N83" i="106"/>
  <c r="X116" i="106" s="1"/>
  <c r="AC48" i="106"/>
  <c r="AD13" i="106"/>
  <c r="AF13" i="106"/>
  <c r="P13" i="119" s="1"/>
  <c r="B84" i="106"/>
  <c r="L117" i="106" s="1"/>
  <c r="C84" i="106"/>
  <c r="M117" i="106" s="1"/>
  <c r="D84" i="106"/>
  <c r="E84" i="106"/>
  <c r="O117" i="106" s="1"/>
  <c r="F84" i="106"/>
  <c r="P117" i="106" s="1"/>
  <c r="G84" i="106"/>
  <c r="Q117" i="106" s="1"/>
  <c r="H84" i="106"/>
  <c r="R117" i="106" s="1"/>
  <c r="I84" i="106"/>
  <c r="J84" i="106"/>
  <c r="T117" i="106" s="1"/>
  <c r="K84" i="106"/>
  <c r="L84" i="106"/>
  <c r="M84" i="106"/>
  <c r="N84" i="106"/>
  <c r="X117" i="106" s="1"/>
  <c r="AC14" i="106"/>
  <c r="L14" i="119" s="1"/>
  <c r="AD49" i="106"/>
  <c r="AF14" i="106"/>
  <c r="P14" i="119" s="1"/>
  <c r="B85" i="106"/>
  <c r="L118" i="106" s="1"/>
  <c r="C85" i="106"/>
  <c r="M118" i="106" s="1"/>
  <c r="D85" i="106"/>
  <c r="E85" i="106"/>
  <c r="O118" i="106" s="1"/>
  <c r="F85" i="106"/>
  <c r="P118" i="106" s="1"/>
  <c r="G85" i="106"/>
  <c r="Q118" i="106" s="1"/>
  <c r="H85" i="106"/>
  <c r="R118" i="106" s="1"/>
  <c r="I85" i="106"/>
  <c r="J85" i="106"/>
  <c r="T118" i="106" s="1"/>
  <c r="K85" i="106"/>
  <c r="U118" i="106" s="1"/>
  <c r="L85" i="106"/>
  <c r="M85" i="106"/>
  <c r="W118" i="106" s="1"/>
  <c r="N85" i="106"/>
  <c r="X118" i="106" s="1"/>
  <c r="AC15" i="106"/>
  <c r="L15" i="119" s="1"/>
  <c r="AD15" i="106"/>
  <c r="AF15" i="106"/>
  <c r="P15" i="119" s="1"/>
  <c r="B86" i="106"/>
  <c r="C86" i="106"/>
  <c r="M119" i="106" s="1"/>
  <c r="D86" i="106"/>
  <c r="E86" i="106"/>
  <c r="O119" i="106" s="1"/>
  <c r="F86" i="106"/>
  <c r="P119" i="106" s="1"/>
  <c r="G86" i="106"/>
  <c r="Q119" i="106" s="1"/>
  <c r="H86" i="106"/>
  <c r="R119" i="106" s="1"/>
  <c r="I86" i="106"/>
  <c r="S119" i="106" s="1"/>
  <c r="J86" i="106"/>
  <c r="T119" i="106" s="1"/>
  <c r="K86" i="106"/>
  <c r="U119" i="106" s="1"/>
  <c r="L86" i="106"/>
  <c r="M86" i="106"/>
  <c r="N86" i="106"/>
  <c r="X119" i="106" s="1"/>
  <c r="AC16" i="106"/>
  <c r="L16" i="119" s="1"/>
  <c r="AD16" i="106"/>
  <c r="AG16" i="106"/>
  <c r="B87" i="106"/>
  <c r="L120" i="106" s="1"/>
  <c r="C87" i="106"/>
  <c r="M120" i="106" s="1"/>
  <c r="D87" i="106"/>
  <c r="N120" i="106" s="1"/>
  <c r="E87" i="106"/>
  <c r="O120" i="106" s="1"/>
  <c r="F87" i="106"/>
  <c r="P120" i="106" s="1"/>
  <c r="G87" i="106"/>
  <c r="Q120" i="106" s="1"/>
  <c r="H87" i="106"/>
  <c r="R120" i="106" s="1"/>
  <c r="I87" i="106"/>
  <c r="S120" i="106" s="1"/>
  <c r="J87" i="106"/>
  <c r="T120" i="106" s="1"/>
  <c r="K87" i="106"/>
  <c r="U120" i="106" s="1"/>
  <c r="L87" i="106"/>
  <c r="V120" i="106" s="1"/>
  <c r="M87" i="106"/>
  <c r="W120" i="106" s="1"/>
  <c r="N87" i="106"/>
  <c r="X120" i="106" s="1"/>
  <c r="B88" i="106"/>
  <c r="C88" i="106"/>
  <c r="M121" i="106" s="1"/>
  <c r="D88" i="106"/>
  <c r="N121" i="106" s="1"/>
  <c r="E88" i="106"/>
  <c r="O121" i="106" s="1"/>
  <c r="F88" i="106"/>
  <c r="P121" i="106" s="1"/>
  <c r="G88" i="106"/>
  <c r="Q121" i="106" s="1"/>
  <c r="H88" i="106"/>
  <c r="R121" i="106" s="1"/>
  <c r="I88" i="106"/>
  <c r="S121" i="106" s="1"/>
  <c r="J88" i="106"/>
  <c r="T121" i="106" s="1"/>
  <c r="K88" i="106"/>
  <c r="U121" i="106" s="1"/>
  <c r="L88" i="106"/>
  <c r="V121" i="106" s="1"/>
  <c r="M88" i="106"/>
  <c r="W121" i="106" s="1"/>
  <c r="N88" i="106"/>
  <c r="X121" i="106" s="1"/>
  <c r="B89" i="106"/>
  <c r="L122" i="106" s="1"/>
  <c r="C89" i="106"/>
  <c r="M122" i="106" s="1"/>
  <c r="D89" i="106"/>
  <c r="N122" i="106" s="1"/>
  <c r="E89" i="106"/>
  <c r="O122" i="106" s="1"/>
  <c r="F89" i="106"/>
  <c r="P122" i="106" s="1"/>
  <c r="G89" i="106"/>
  <c r="Q122" i="106" s="1"/>
  <c r="H89" i="106"/>
  <c r="R122" i="106" s="1"/>
  <c r="I89" i="106"/>
  <c r="S122" i="106" s="1"/>
  <c r="J89" i="106"/>
  <c r="T122" i="106" s="1"/>
  <c r="K89" i="106"/>
  <c r="L89" i="106"/>
  <c r="V122" i="106" s="1"/>
  <c r="M89" i="106"/>
  <c r="W122" i="106" s="1"/>
  <c r="N89" i="106"/>
  <c r="X122" i="106" s="1"/>
  <c r="B90" i="106"/>
  <c r="L123" i="106" s="1"/>
  <c r="C90" i="106"/>
  <c r="M123" i="106" s="1"/>
  <c r="D90" i="106"/>
  <c r="E90" i="106"/>
  <c r="O123" i="106" s="1"/>
  <c r="F90" i="106"/>
  <c r="P123" i="106" s="1"/>
  <c r="G90" i="106"/>
  <c r="Q123" i="106" s="1"/>
  <c r="H90" i="106"/>
  <c r="R123" i="106" s="1"/>
  <c r="I90" i="106"/>
  <c r="S123" i="106" s="1"/>
  <c r="J90" i="106"/>
  <c r="T123" i="106" s="1"/>
  <c r="K90" i="106"/>
  <c r="U123" i="106" s="1"/>
  <c r="L90" i="106"/>
  <c r="V123" i="106" s="1"/>
  <c r="M90" i="106"/>
  <c r="W123" i="106" s="1"/>
  <c r="N90" i="106"/>
  <c r="X123" i="106" s="1"/>
  <c r="B91" i="106"/>
  <c r="L124" i="106" s="1"/>
  <c r="C91" i="106"/>
  <c r="M124" i="106" s="1"/>
  <c r="D91" i="106"/>
  <c r="N124" i="106" s="1"/>
  <c r="E91" i="106"/>
  <c r="O124" i="106" s="1"/>
  <c r="F91" i="106"/>
  <c r="P124" i="106" s="1"/>
  <c r="G91" i="106"/>
  <c r="Q124" i="106" s="1"/>
  <c r="H91" i="106"/>
  <c r="R124" i="106" s="1"/>
  <c r="I91" i="106"/>
  <c r="S124" i="106" s="1"/>
  <c r="J91" i="106"/>
  <c r="T124" i="106" s="1"/>
  <c r="K91" i="106"/>
  <c r="U124" i="106" s="1"/>
  <c r="L91" i="106"/>
  <c r="V124" i="106" s="1"/>
  <c r="M91" i="106"/>
  <c r="W124" i="106" s="1"/>
  <c r="N91" i="106"/>
  <c r="X124" i="106" s="1"/>
  <c r="B92" i="106"/>
  <c r="C92" i="106"/>
  <c r="M125" i="106" s="1"/>
  <c r="D92" i="106"/>
  <c r="N125" i="106" s="1"/>
  <c r="E92" i="106"/>
  <c r="O125" i="106" s="1"/>
  <c r="F92" i="106"/>
  <c r="P125" i="106" s="1"/>
  <c r="G92" i="106"/>
  <c r="Q125" i="106" s="1"/>
  <c r="H92" i="106"/>
  <c r="R125" i="106" s="1"/>
  <c r="I92" i="106"/>
  <c r="S125" i="106" s="1"/>
  <c r="J92" i="106"/>
  <c r="T125" i="106" s="1"/>
  <c r="K92" i="106"/>
  <c r="U125" i="106" s="1"/>
  <c r="L92" i="106"/>
  <c r="V125" i="106" s="1"/>
  <c r="M92" i="106"/>
  <c r="W125" i="106" s="1"/>
  <c r="N92" i="106"/>
  <c r="X125" i="106" s="1"/>
  <c r="B93" i="106"/>
  <c r="L126" i="106" s="1"/>
  <c r="C93" i="106"/>
  <c r="M126" i="106" s="1"/>
  <c r="D93" i="106"/>
  <c r="N126" i="106" s="1"/>
  <c r="E93" i="106"/>
  <c r="O126" i="106" s="1"/>
  <c r="F93" i="106"/>
  <c r="P126" i="106" s="1"/>
  <c r="G93" i="106"/>
  <c r="Q126" i="106" s="1"/>
  <c r="H93" i="106"/>
  <c r="R126" i="106" s="1"/>
  <c r="I93" i="106"/>
  <c r="S126" i="106" s="1"/>
  <c r="J93" i="106"/>
  <c r="T126" i="106" s="1"/>
  <c r="K93" i="106"/>
  <c r="U126" i="106" s="1"/>
  <c r="L93" i="106"/>
  <c r="V126" i="106" s="1"/>
  <c r="M93" i="106"/>
  <c r="W126" i="106" s="1"/>
  <c r="N93" i="106"/>
  <c r="X126" i="106" s="1"/>
  <c r="B94" i="106"/>
  <c r="L127" i="106" s="1"/>
  <c r="C94" i="106"/>
  <c r="M127" i="106" s="1"/>
  <c r="D94" i="106"/>
  <c r="E94" i="106"/>
  <c r="O127" i="106" s="1"/>
  <c r="F94" i="106"/>
  <c r="P127" i="106" s="1"/>
  <c r="G94" i="106"/>
  <c r="Q127" i="106" s="1"/>
  <c r="H94" i="106"/>
  <c r="R127" i="106" s="1"/>
  <c r="I94" i="106"/>
  <c r="S127" i="106" s="1"/>
  <c r="J94" i="106"/>
  <c r="T127" i="106" s="1"/>
  <c r="K94" i="106"/>
  <c r="U127" i="106" s="1"/>
  <c r="L94" i="106"/>
  <c r="V127" i="106" s="1"/>
  <c r="M94" i="106"/>
  <c r="W127" i="106" s="1"/>
  <c r="N94" i="106"/>
  <c r="X127" i="106" s="1"/>
  <c r="B95" i="106"/>
  <c r="L128" i="106" s="1"/>
  <c r="C95" i="106"/>
  <c r="M128" i="106" s="1"/>
  <c r="D95" i="106"/>
  <c r="N128" i="106" s="1"/>
  <c r="E95" i="106"/>
  <c r="O128" i="106" s="1"/>
  <c r="F95" i="106"/>
  <c r="P128" i="106" s="1"/>
  <c r="G95" i="106"/>
  <c r="Q128" i="106" s="1"/>
  <c r="H95" i="106"/>
  <c r="R128" i="106" s="1"/>
  <c r="I95" i="106"/>
  <c r="S128" i="106" s="1"/>
  <c r="J95" i="106"/>
  <c r="T128" i="106" s="1"/>
  <c r="K95" i="106"/>
  <c r="U128" i="106" s="1"/>
  <c r="L95" i="106"/>
  <c r="V128" i="106" s="1"/>
  <c r="M95" i="106"/>
  <c r="W128" i="106" s="1"/>
  <c r="N95" i="106"/>
  <c r="X128" i="106" s="1"/>
  <c r="B96" i="106"/>
  <c r="C96" i="106"/>
  <c r="M129" i="106" s="1"/>
  <c r="D96" i="106"/>
  <c r="N129" i="106" s="1"/>
  <c r="E96" i="106"/>
  <c r="O129" i="106" s="1"/>
  <c r="F96" i="106"/>
  <c r="P129" i="106" s="1"/>
  <c r="G96" i="106"/>
  <c r="Q129" i="106" s="1"/>
  <c r="H96" i="106"/>
  <c r="R129" i="106" s="1"/>
  <c r="I96" i="106"/>
  <c r="S129" i="106" s="1"/>
  <c r="J96" i="106"/>
  <c r="T129" i="106" s="1"/>
  <c r="K96" i="106"/>
  <c r="U129" i="106" s="1"/>
  <c r="L96" i="106"/>
  <c r="V129" i="106" s="1"/>
  <c r="M96" i="106"/>
  <c r="W129" i="106" s="1"/>
  <c r="N96" i="106"/>
  <c r="X129" i="106" s="1"/>
  <c r="B97" i="106"/>
  <c r="C97" i="106"/>
  <c r="M130" i="106" s="1"/>
  <c r="D97" i="106"/>
  <c r="N130" i="106" s="1"/>
  <c r="E97" i="106"/>
  <c r="O130" i="106" s="1"/>
  <c r="F97" i="106"/>
  <c r="P130" i="106" s="1"/>
  <c r="G97" i="106"/>
  <c r="Q130" i="106" s="1"/>
  <c r="H97" i="106"/>
  <c r="R130" i="106" s="1"/>
  <c r="I97" i="106"/>
  <c r="S130" i="106" s="1"/>
  <c r="J97" i="106"/>
  <c r="T130" i="106" s="1"/>
  <c r="K97" i="106"/>
  <c r="U130" i="106" s="1"/>
  <c r="L97" i="106"/>
  <c r="V130" i="106" s="1"/>
  <c r="M97" i="106"/>
  <c r="W130" i="106" s="1"/>
  <c r="N97" i="106"/>
  <c r="X130" i="106" s="1"/>
  <c r="B98" i="106"/>
  <c r="L131" i="106" s="1"/>
  <c r="C98" i="106"/>
  <c r="M131" i="106" s="1"/>
  <c r="D98" i="106"/>
  <c r="E98" i="106"/>
  <c r="O131" i="106" s="1"/>
  <c r="F98" i="106"/>
  <c r="P131" i="106" s="1"/>
  <c r="G98" i="106"/>
  <c r="Q131" i="106" s="1"/>
  <c r="H98" i="106"/>
  <c r="R131" i="106" s="1"/>
  <c r="I98" i="106"/>
  <c r="S131" i="106" s="1"/>
  <c r="J98" i="106"/>
  <c r="T131" i="106" s="1"/>
  <c r="K98" i="106"/>
  <c r="U131" i="106" s="1"/>
  <c r="L98" i="106"/>
  <c r="V131" i="106" s="1"/>
  <c r="M98" i="106"/>
  <c r="N98" i="106"/>
  <c r="X131" i="106" s="1"/>
  <c r="B99" i="106"/>
  <c r="L132" i="106" s="1"/>
  <c r="C99" i="106"/>
  <c r="M132" i="106" s="1"/>
  <c r="D99" i="106"/>
  <c r="N132" i="106" s="1"/>
  <c r="E99" i="106"/>
  <c r="O132" i="106" s="1"/>
  <c r="F99" i="106"/>
  <c r="P132" i="106" s="1"/>
  <c r="G99" i="106"/>
  <c r="Q132" i="106" s="1"/>
  <c r="H99" i="106"/>
  <c r="R132" i="106" s="1"/>
  <c r="I99" i="106"/>
  <c r="S132" i="106" s="1"/>
  <c r="J99" i="106"/>
  <c r="T132" i="106" s="1"/>
  <c r="K99" i="106"/>
  <c r="U132" i="106" s="1"/>
  <c r="L99" i="106"/>
  <c r="V132" i="106" s="1"/>
  <c r="M99" i="106"/>
  <c r="W132" i="106" s="1"/>
  <c r="N99" i="106"/>
  <c r="X132" i="106" s="1"/>
  <c r="AF29" i="106"/>
  <c r="B100" i="106"/>
  <c r="L133" i="106" s="1"/>
  <c r="C100" i="106"/>
  <c r="M133" i="106" s="1"/>
  <c r="D100" i="106"/>
  <c r="E100" i="106"/>
  <c r="O133" i="106" s="1"/>
  <c r="F100" i="106"/>
  <c r="P133" i="106" s="1"/>
  <c r="G100" i="106"/>
  <c r="Q133" i="106" s="1"/>
  <c r="H100" i="106"/>
  <c r="R133" i="106" s="1"/>
  <c r="I100" i="106"/>
  <c r="S133" i="106" s="1"/>
  <c r="J100" i="106"/>
  <c r="T133" i="106" s="1"/>
  <c r="K100" i="106"/>
  <c r="U133" i="106" s="1"/>
  <c r="L100" i="106"/>
  <c r="V133" i="106" s="1"/>
  <c r="M100" i="106"/>
  <c r="W133" i="106" s="1"/>
  <c r="N100" i="106"/>
  <c r="X133" i="106" s="1"/>
  <c r="B101" i="106"/>
  <c r="L134" i="106" s="1"/>
  <c r="C101" i="106"/>
  <c r="M134" i="106" s="1"/>
  <c r="D101" i="106"/>
  <c r="N134" i="106" s="1"/>
  <c r="E101" i="106"/>
  <c r="O134" i="106" s="1"/>
  <c r="F101" i="106"/>
  <c r="P134" i="106" s="1"/>
  <c r="G101" i="106"/>
  <c r="Q134" i="106" s="1"/>
  <c r="H101" i="106"/>
  <c r="R134" i="106" s="1"/>
  <c r="I101" i="106"/>
  <c r="S134" i="106" s="1"/>
  <c r="J101" i="106"/>
  <c r="T134" i="106" s="1"/>
  <c r="K101" i="106"/>
  <c r="U134" i="106" s="1"/>
  <c r="L101" i="106"/>
  <c r="V134" i="106" s="1"/>
  <c r="M101" i="106"/>
  <c r="W134" i="106" s="1"/>
  <c r="N101" i="106"/>
  <c r="X134" i="106" s="1"/>
  <c r="T102" i="106"/>
  <c r="P37" i="121" s="1"/>
  <c r="U102" i="106"/>
  <c r="L36" i="122" s="1"/>
  <c r="V102" i="106"/>
  <c r="M36" i="122" s="1"/>
  <c r="X102" i="106"/>
  <c r="Y102" i="106"/>
  <c r="AA102" i="106"/>
  <c r="AE102" i="106"/>
  <c r="L108" i="106"/>
  <c r="Y109" i="106"/>
  <c r="Y111" i="106"/>
  <c r="Z111" i="106"/>
  <c r="R113" i="106"/>
  <c r="U117" i="106"/>
  <c r="Y119" i="106"/>
  <c r="Y120" i="106"/>
  <c r="Z120" i="106"/>
  <c r="Y121" i="106"/>
  <c r="Z121" i="106"/>
  <c r="Y122" i="106"/>
  <c r="Z122" i="106"/>
  <c r="Y123" i="106"/>
  <c r="Z123" i="106"/>
  <c r="Y124" i="106"/>
  <c r="Z124" i="106"/>
  <c r="Y125" i="106"/>
  <c r="Z125" i="106"/>
  <c r="Y126" i="106"/>
  <c r="Z126" i="106"/>
  <c r="Y127" i="106"/>
  <c r="Z127" i="106"/>
  <c r="Y128" i="106"/>
  <c r="Z128" i="106"/>
  <c r="Y129" i="106"/>
  <c r="Z129" i="106"/>
  <c r="Y130" i="106"/>
  <c r="Z130" i="106"/>
  <c r="W131" i="106"/>
  <c r="Y131" i="106"/>
  <c r="Z131" i="106"/>
  <c r="Y133" i="106"/>
  <c r="Z133" i="106"/>
  <c r="Y134" i="106"/>
  <c r="Z134" i="106"/>
  <c r="G47" i="119" l="1"/>
  <c r="K46" i="119"/>
  <c r="G46" i="119"/>
  <c r="K45" i="119"/>
  <c r="G45" i="119"/>
  <c r="K44" i="119"/>
  <c r="Q28" i="119"/>
  <c r="Q27" i="119"/>
  <c r="Q26" i="119"/>
  <c r="Q25" i="119"/>
  <c r="Q24" i="119"/>
  <c r="Q23" i="119"/>
  <c r="Q22" i="119"/>
  <c r="Q21" i="119"/>
  <c r="Q20" i="119"/>
  <c r="Q19" i="119"/>
  <c r="Q18" i="119"/>
  <c r="Q17" i="119"/>
  <c r="I16" i="119"/>
  <c r="I6" i="119"/>
  <c r="O62" i="119"/>
  <c r="O61" i="119"/>
  <c r="O60" i="119"/>
  <c r="O59" i="119"/>
  <c r="O58" i="119"/>
  <c r="O57" i="119"/>
  <c r="O56" i="119"/>
  <c r="I11" i="119"/>
  <c r="F15" i="118"/>
  <c r="S35" i="123"/>
  <c r="B15" i="118"/>
  <c r="L34" i="62" s="1"/>
  <c r="AI37" i="121"/>
  <c r="W31" i="116"/>
  <c r="AP136" i="73" s="1"/>
  <c r="AG32" i="122"/>
  <c r="Y30" i="65"/>
  <c r="W30" i="116"/>
  <c r="AP135" i="73" s="1"/>
  <c r="AG30" i="122"/>
  <c r="Y29" i="65"/>
  <c r="W29" i="116"/>
  <c r="AP134" i="73" s="1"/>
  <c r="AG31" i="122"/>
  <c r="Y28" i="65"/>
  <c r="W28" i="116"/>
  <c r="AP133" i="73" s="1"/>
  <c r="AG29" i="122"/>
  <c r="Y27" i="65"/>
  <c r="W27" i="116"/>
  <c r="AP132" i="73" s="1"/>
  <c r="AG27" i="122"/>
  <c r="Y26" i="65"/>
  <c r="W26" i="116"/>
  <c r="AP131" i="73" s="1"/>
  <c r="AG26" i="122"/>
  <c r="Y25" i="65"/>
  <c r="W25" i="116"/>
  <c r="AG28" i="122"/>
  <c r="Y24" i="65"/>
  <c r="W24" i="116"/>
  <c r="AP129" i="73" s="1"/>
  <c r="AG25" i="122"/>
  <c r="Y23" i="65"/>
  <c r="W23" i="116"/>
  <c r="AP128" i="73" s="1"/>
  <c r="AG24" i="122"/>
  <c r="Y22" i="65"/>
  <c r="W22" i="116"/>
  <c r="AP127" i="73" s="1"/>
  <c r="AG22" i="122"/>
  <c r="Y21" i="65"/>
  <c r="W21" i="116"/>
  <c r="AP126" i="73" s="1"/>
  <c r="AG21" i="122"/>
  <c r="Y20" i="65"/>
  <c r="W20" i="116"/>
  <c r="AP125" i="73" s="1"/>
  <c r="AG23" i="122"/>
  <c r="Y19" i="65"/>
  <c r="W19" i="116"/>
  <c r="AP124" i="73" s="1"/>
  <c r="AG20" i="122"/>
  <c r="Y18" i="65"/>
  <c r="W18" i="116"/>
  <c r="AP123" i="73" s="1"/>
  <c r="AG19" i="122"/>
  <c r="Y17" i="65"/>
  <c r="W17" i="116"/>
  <c r="AP122" i="73" s="1"/>
  <c r="Y16" i="65"/>
  <c r="AG16" i="122"/>
  <c r="W16" i="116"/>
  <c r="AP121" i="73" s="1"/>
  <c r="AG17" i="122"/>
  <c r="Y15" i="65"/>
  <c r="W15" i="116"/>
  <c r="Y14" i="65"/>
  <c r="AG18" i="122"/>
  <c r="W14" i="116"/>
  <c r="AP119" i="73" s="1"/>
  <c r="AG15" i="122"/>
  <c r="Y13" i="65"/>
  <c r="W13" i="116"/>
  <c r="AP118" i="73" s="1"/>
  <c r="Y12" i="65"/>
  <c r="AG14" i="122"/>
  <c r="W12" i="116"/>
  <c r="AP117" i="73" s="1"/>
  <c r="AG13" i="122"/>
  <c r="Y11" i="65"/>
  <c r="W11" i="116"/>
  <c r="AP116" i="73" s="1"/>
  <c r="Y10" i="65"/>
  <c r="AG12" i="122"/>
  <c r="W10" i="116"/>
  <c r="AP115" i="73" s="1"/>
  <c r="AG11" i="122"/>
  <c r="Y9" i="65"/>
  <c r="W9" i="116"/>
  <c r="AP114" i="73" s="1"/>
  <c r="Y8" i="65"/>
  <c r="AG10" i="122"/>
  <c r="W8" i="116"/>
  <c r="AP113" i="73" s="1"/>
  <c r="AG8" i="122"/>
  <c r="Y7" i="65"/>
  <c r="W7" i="116"/>
  <c r="AP112" i="73" s="1"/>
  <c r="AG9" i="122"/>
  <c r="Y6" i="65"/>
  <c r="W6" i="116"/>
  <c r="AP111" i="73" s="1"/>
  <c r="AG7" i="122"/>
  <c r="Y5" i="65"/>
  <c r="W5" i="116"/>
  <c r="AP110" i="73" s="1"/>
  <c r="AG6" i="122"/>
  <c r="Y4" i="65"/>
  <c r="E15" i="118"/>
  <c r="AG36" i="122"/>
  <c r="V31" i="116"/>
  <c r="AF32" i="122"/>
  <c r="CY34" i="126" s="1"/>
  <c r="V30" i="116"/>
  <c r="AF30" i="122"/>
  <c r="CY32" i="126" s="1"/>
  <c r="V29" i="116"/>
  <c r="AF31" i="122"/>
  <c r="CY33" i="126" s="1"/>
  <c r="V28" i="116"/>
  <c r="AP99" i="73" s="1"/>
  <c r="AF29" i="122"/>
  <c r="CY31" i="126" s="1"/>
  <c r="V27" i="116"/>
  <c r="AP98" i="73" s="1"/>
  <c r="AF27" i="122"/>
  <c r="CY29" i="126" s="1"/>
  <c r="V26" i="116"/>
  <c r="AP97" i="73" s="1"/>
  <c r="AF26" i="122"/>
  <c r="CY28" i="126" s="1"/>
  <c r="V25" i="116"/>
  <c r="AP96" i="73" s="1"/>
  <c r="AF28" i="122"/>
  <c r="CY30" i="126" s="1"/>
  <c r="V24" i="116"/>
  <c r="AP95" i="73" s="1"/>
  <c r="AF25" i="122"/>
  <c r="CY27" i="126" s="1"/>
  <c r="V23" i="116"/>
  <c r="AP94" i="73" s="1"/>
  <c r="AF24" i="122"/>
  <c r="CY26" i="126" s="1"/>
  <c r="V22" i="116"/>
  <c r="AP93" i="73" s="1"/>
  <c r="AF22" i="122"/>
  <c r="CY24" i="126" s="1"/>
  <c r="V21" i="116"/>
  <c r="AP92" i="73" s="1"/>
  <c r="AF21" i="122"/>
  <c r="CY23" i="126" s="1"/>
  <c r="V20" i="116"/>
  <c r="AP91" i="73" s="1"/>
  <c r="AF23" i="122"/>
  <c r="CY25" i="126" s="1"/>
  <c r="V19" i="116"/>
  <c r="AF20" i="122"/>
  <c r="CY22" i="126" s="1"/>
  <c r="V18" i="116"/>
  <c r="AP89" i="73" s="1"/>
  <c r="AF19" i="122"/>
  <c r="CY21" i="126" s="1"/>
  <c r="V17" i="116"/>
  <c r="AP88" i="73" s="1"/>
  <c r="AF16" i="122"/>
  <c r="CY19" i="126"/>
  <c r="V15" i="116"/>
  <c r="AP86" i="73" s="1"/>
  <c r="AF18" i="122"/>
  <c r="CY20" i="126" s="1"/>
  <c r="V14" i="116"/>
  <c r="AP85" i="73" s="1"/>
  <c r="AF15" i="122"/>
  <c r="CY16" i="126"/>
  <c r="V12" i="116"/>
  <c r="AP83" i="73" s="1"/>
  <c r="AF13" i="122"/>
  <c r="CY15" i="126" s="1"/>
  <c r="V11" i="116"/>
  <c r="AP82" i="73" s="1"/>
  <c r="AF12" i="122"/>
  <c r="CY14" i="126" s="1"/>
  <c r="V10" i="116"/>
  <c r="AP81" i="73" s="1"/>
  <c r="AF11" i="122"/>
  <c r="V9" i="116"/>
  <c r="AF10" i="122"/>
  <c r="CY12" i="126" s="1"/>
  <c r="V8" i="116"/>
  <c r="AP79" i="73" s="1"/>
  <c r="AF8" i="122"/>
  <c r="CY10" i="126" s="1"/>
  <c r="V7" i="116"/>
  <c r="AP78" i="73" s="1"/>
  <c r="AF9" i="122"/>
  <c r="CY11" i="126" s="1"/>
  <c r="V6" i="116"/>
  <c r="AP77" i="73" s="1"/>
  <c r="AF7" i="122"/>
  <c r="V5" i="116"/>
  <c r="AP76" i="73" s="1"/>
  <c r="AF6" i="122"/>
  <c r="D15" i="118"/>
  <c r="AF36" i="122"/>
  <c r="U31" i="116"/>
  <c r="AP65" i="73" s="1"/>
  <c r="AJ33" i="121"/>
  <c r="X30" i="65"/>
  <c r="U30" i="116"/>
  <c r="AP64" i="73" s="1"/>
  <c r="AJ31" i="121"/>
  <c r="X29" i="65"/>
  <c r="AJ32" i="121"/>
  <c r="X28" i="65"/>
  <c r="U28" i="116"/>
  <c r="AP62" i="73" s="1"/>
  <c r="AJ30" i="121"/>
  <c r="X27" i="65"/>
  <c r="U27" i="116"/>
  <c r="AP61" i="73" s="1"/>
  <c r="AJ28" i="121"/>
  <c r="X26" i="65"/>
  <c r="U26" i="116"/>
  <c r="AJ27" i="121"/>
  <c r="X25" i="65"/>
  <c r="U25" i="116"/>
  <c r="AP59" i="73" s="1"/>
  <c r="AJ29" i="121"/>
  <c r="X24" i="65"/>
  <c r="U24" i="116"/>
  <c r="AP58" i="73" s="1"/>
  <c r="AJ26" i="121"/>
  <c r="X23" i="65"/>
  <c r="U23" i="116"/>
  <c r="AP57" i="73" s="1"/>
  <c r="AJ25" i="121"/>
  <c r="X22" i="65"/>
  <c r="U22" i="116"/>
  <c r="AP56" i="73" s="1"/>
  <c r="AJ23" i="121"/>
  <c r="X21" i="65"/>
  <c r="AJ22" i="121"/>
  <c r="X20" i="65"/>
  <c r="U20" i="116"/>
  <c r="AP54" i="73" s="1"/>
  <c r="AJ24" i="121"/>
  <c r="X19" i="65"/>
  <c r="U19" i="116"/>
  <c r="AP53" i="73" s="1"/>
  <c r="X18" i="65"/>
  <c r="AJ21" i="121"/>
  <c r="U18" i="116"/>
  <c r="AP52" i="73" s="1"/>
  <c r="AJ20" i="121"/>
  <c r="X17" i="65"/>
  <c r="U17" i="116"/>
  <c r="AP51" i="73" s="1"/>
  <c r="X16" i="65"/>
  <c r="AJ17" i="121"/>
  <c r="U16" i="116"/>
  <c r="AJ18" i="121"/>
  <c r="X15" i="65"/>
  <c r="U15" i="116"/>
  <c r="AP49" i="73" s="1"/>
  <c r="X14" i="65"/>
  <c r="AJ19" i="121"/>
  <c r="U14" i="116"/>
  <c r="AP48" i="73" s="1"/>
  <c r="AJ16" i="121"/>
  <c r="X13" i="65"/>
  <c r="U13" i="116"/>
  <c r="AP47" i="73" s="1"/>
  <c r="X12" i="65"/>
  <c r="AJ15" i="121"/>
  <c r="U12" i="116"/>
  <c r="AP46" i="73" s="1"/>
  <c r="AJ14" i="121"/>
  <c r="X11" i="65"/>
  <c r="U11" i="116"/>
  <c r="AP45" i="73" s="1"/>
  <c r="X10" i="65"/>
  <c r="AJ13" i="121"/>
  <c r="U10" i="116"/>
  <c r="AP44" i="73" s="1"/>
  <c r="AJ12" i="121"/>
  <c r="X9" i="65"/>
  <c r="U9" i="116"/>
  <c r="AP43" i="73" s="1"/>
  <c r="X8" i="65"/>
  <c r="AJ11" i="121"/>
  <c r="U8" i="116"/>
  <c r="AP42" i="73" s="1"/>
  <c r="AJ9" i="121"/>
  <c r="X7" i="65"/>
  <c r="U7" i="116"/>
  <c r="AP41" i="73" s="1"/>
  <c r="X6" i="65"/>
  <c r="AJ10" i="121"/>
  <c r="U6" i="116"/>
  <c r="AJ8" i="121"/>
  <c r="CX9" i="126" s="1"/>
  <c r="X5" i="65"/>
  <c r="AJ7" i="121"/>
  <c r="AJ34" i="121" s="1"/>
  <c r="X4" i="65"/>
  <c r="C15" i="118"/>
  <c r="AJ37" i="121"/>
  <c r="X31" i="116"/>
  <c r="AP172" i="73" s="1"/>
  <c r="S31" i="123"/>
  <c r="CZ34" i="126" s="1"/>
  <c r="T31" i="116"/>
  <c r="AP31" i="73" s="1"/>
  <c r="AI33" i="121"/>
  <c r="X30" i="116"/>
  <c r="AP171" i="73" s="1"/>
  <c r="S29" i="123"/>
  <c r="CZ32" i="126" s="1"/>
  <c r="T30" i="116"/>
  <c r="AI31" i="121"/>
  <c r="X29" i="116"/>
  <c r="S30" i="123"/>
  <c r="CZ33" i="126" s="1"/>
  <c r="T29" i="116"/>
  <c r="AP29" i="73" s="1"/>
  <c r="AI32" i="121"/>
  <c r="X28" i="116"/>
  <c r="AP169" i="73" s="1"/>
  <c r="S28" i="123"/>
  <c r="CZ31" i="126" s="1"/>
  <c r="T28" i="116"/>
  <c r="AP28" i="73" s="1"/>
  <c r="AI30" i="121"/>
  <c r="X27" i="116"/>
  <c r="AP168" i="73" s="1"/>
  <c r="S26" i="123"/>
  <c r="CZ29" i="126" s="1"/>
  <c r="T27" i="116"/>
  <c r="AP27" i="73" s="1"/>
  <c r="AI28" i="121"/>
  <c r="X26" i="116"/>
  <c r="AP167" i="73" s="1"/>
  <c r="S25" i="123"/>
  <c r="CZ28" i="126" s="1"/>
  <c r="T26" i="116"/>
  <c r="AP26" i="73" s="1"/>
  <c r="AI27" i="121"/>
  <c r="X25" i="116"/>
  <c r="AP166" i="73" s="1"/>
  <c r="S27" i="123"/>
  <c r="CZ30" i="126" s="1"/>
  <c r="T25" i="116"/>
  <c r="AP25" i="73" s="1"/>
  <c r="AI29" i="121"/>
  <c r="X24" i="116"/>
  <c r="AP165" i="73" s="1"/>
  <c r="S24" i="123"/>
  <c r="CZ27" i="126" s="1"/>
  <c r="T24" i="116"/>
  <c r="AP24" i="73" s="1"/>
  <c r="AI26" i="121"/>
  <c r="X23" i="116"/>
  <c r="AP164" i="73" s="1"/>
  <c r="S23" i="123"/>
  <c r="CZ26" i="126" s="1"/>
  <c r="T23" i="116"/>
  <c r="AP23" i="73" s="1"/>
  <c r="AI25" i="121"/>
  <c r="X22" i="116"/>
  <c r="AP163" i="73" s="1"/>
  <c r="S21" i="123"/>
  <c r="CZ24" i="126" s="1"/>
  <c r="T22" i="116"/>
  <c r="AP22" i="73" s="1"/>
  <c r="AI23" i="121"/>
  <c r="X21" i="116"/>
  <c r="AP162" i="73" s="1"/>
  <c r="S20" i="123"/>
  <c r="CZ23" i="126" s="1"/>
  <c r="T21" i="116"/>
  <c r="AP21" i="73" s="1"/>
  <c r="AI22" i="121"/>
  <c r="X20" i="116"/>
  <c r="AP161" i="73" s="1"/>
  <c r="S22" i="123"/>
  <c r="CZ25" i="126" s="1"/>
  <c r="T20" i="116"/>
  <c r="AI24" i="121"/>
  <c r="X19" i="116"/>
  <c r="S19" i="123"/>
  <c r="CZ22" i="126" s="1"/>
  <c r="T19" i="116"/>
  <c r="AP19" i="73" s="1"/>
  <c r="AI21" i="121"/>
  <c r="X18" i="116"/>
  <c r="AP159" i="73" s="1"/>
  <c r="S18" i="123"/>
  <c r="CZ21" i="126" s="1"/>
  <c r="T18" i="116"/>
  <c r="AP18" i="73" s="1"/>
  <c r="AI20" i="121"/>
  <c r="X17" i="116"/>
  <c r="AP158" i="73" s="1"/>
  <c r="S15" i="123"/>
  <c r="CZ18" i="126" s="1"/>
  <c r="T17" i="116"/>
  <c r="AP17" i="73" s="1"/>
  <c r="AI17" i="121"/>
  <c r="X16" i="116"/>
  <c r="AP157" i="73" s="1"/>
  <c r="S16" i="123"/>
  <c r="CZ19" i="126" s="1"/>
  <c r="T16" i="116"/>
  <c r="AP16" i="73" s="1"/>
  <c r="AI18" i="121"/>
  <c r="X15" i="116"/>
  <c r="AP156" i="73" s="1"/>
  <c r="S17" i="123"/>
  <c r="CZ20" i="126" s="1"/>
  <c r="T15" i="116"/>
  <c r="AP15" i="73" s="1"/>
  <c r="AI19" i="121"/>
  <c r="X14" i="116"/>
  <c r="AP155" i="73" s="1"/>
  <c r="S14" i="123"/>
  <c r="CZ17" i="126" s="1"/>
  <c r="T14" i="116"/>
  <c r="AP14" i="73" s="1"/>
  <c r="AI16" i="121"/>
  <c r="X13" i="116"/>
  <c r="AP154" i="73" s="1"/>
  <c r="S13" i="123"/>
  <c r="CZ16" i="126" s="1"/>
  <c r="T13" i="116"/>
  <c r="AP13" i="73" s="1"/>
  <c r="AI15" i="121"/>
  <c r="X12" i="116"/>
  <c r="AP153" i="73" s="1"/>
  <c r="S12" i="123"/>
  <c r="CZ15" i="126" s="1"/>
  <c r="T12" i="116"/>
  <c r="AP12" i="73" s="1"/>
  <c r="AI14" i="121"/>
  <c r="X11" i="116"/>
  <c r="AP152" i="73" s="1"/>
  <c r="S11" i="123"/>
  <c r="CZ14" i="126" s="1"/>
  <c r="T11" i="116"/>
  <c r="AP11" i="73" s="1"/>
  <c r="AI13" i="121"/>
  <c r="X10" i="116"/>
  <c r="AP151" i="73" s="1"/>
  <c r="S10" i="123"/>
  <c r="CZ13" i="126" s="1"/>
  <c r="T10" i="116"/>
  <c r="AI12" i="121"/>
  <c r="X9" i="116"/>
  <c r="S9" i="123"/>
  <c r="CZ12" i="126" s="1"/>
  <c r="T9" i="116"/>
  <c r="AP9" i="73" s="1"/>
  <c r="AI11" i="121"/>
  <c r="X8" i="116"/>
  <c r="AP149" i="73" s="1"/>
  <c r="S7" i="123"/>
  <c r="CZ10" i="126" s="1"/>
  <c r="T8" i="116"/>
  <c r="AP8" i="73" s="1"/>
  <c r="AI9" i="121"/>
  <c r="X7" i="116"/>
  <c r="AP148" i="73" s="1"/>
  <c r="S8" i="123"/>
  <c r="CZ11" i="126" s="1"/>
  <c r="T7" i="116"/>
  <c r="AP7" i="73" s="1"/>
  <c r="AI10" i="121"/>
  <c r="X6" i="116"/>
  <c r="AP147" i="73" s="1"/>
  <c r="S6" i="123"/>
  <c r="CZ9" i="126" s="1"/>
  <c r="X5" i="116"/>
  <c r="AP146" i="73" s="1"/>
  <c r="S5" i="123"/>
  <c r="T5" i="116"/>
  <c r="AP5" i="73" s="1"/>
  <c r="AI7" i="121"/>
  <c r="I63" i="119"/>
  <c r="G60" i="119"/>
  <c r="K58" i="119"/>
  <c r="G54" i="119"/>
  <c r="K52" i="119"/>
  <c r="G48" i="119"/>
  <c r="G42" i="119"/>
  <c r="Q64" i="119"/>
  <c r="K62" i="119"/>
  <c r="K56" i="119"/>
  <c r="K50" i="119"/>
  <c r="K48" i="119"/>
  <c r="G43" i="119"/>
  <c r="K42" i="119"/>
  <c r="O55" i="119"/>
  <c r="O54" i="119"/>
  <c r="O53" i="119"/>
  <c r="O52" i="119"/>
  <c r="O51" i="119"/>
  <c r="O50" i="119"/>
  <c r="O49" i="119"/>
  <c r="O48" i="119"/>
  <c r="O47" i="119"/>
  <c r="O46" i="119"/>
  <c r="O45" i="119"/>
  <c r="O44" i="119"/>
  <c r="O43" i="119"/>
  <c r="O42" i="119"/>
  <c r="M63" i="119"/>
  <c r="K60" i="119"/>
  <c r="G58" i="119"/>
  <c r="K54" i="119"/>
  <c r="G52" i="119"/>
  <c r="K47" i="119"/>
  <c r="M64" i="119"/>
  <c r="I64" i="119"/>
  <c r="K61" i="119"/>
  <c r="G61" i="119"/>
  <c r="K59" i="119"/>
  <c r="G59" i="119"/>
  <c r="K57" i="119"/>
  <c r="G57" i="119"/>
  <c r="K55" i="119"/>
  <c r="G55" i="119"/>
  <c r="K53" i="119"/>
  <c r="G53" i="119"/>
  <c r="K51" i="119"/>
  <c r="G51" i="119"/>
  <c r="K49" i="119"/>
  <c r="G49" i="119"/>
  <c r="G44" i="119"/>
  <c r="K43" i="119"/>
  <c r="E14" i="118"/>
  <c r="AE36" i="122"/>
  <c r="X31" i="115"/>
  <c r="AO172" i="73" s="1"/>
  <c r="R31" i="123"/>
  <c r="CP34" i="126" s="1"/>
  <c r="T31" i="115"/>
  <c r="AO31" i="73" s="1"/>
  <c r="AG33" i="121"/>
  <c r="X30" i="115"/>
  <c r="AO171" i="73" s="1"/>
  <c r="R29" i="123"/>
  <c r="CP32" i="126" s="1"/>
  <c r="T30" i="115"/>
  <c r="AG31" i="121"/>
  <c r="X29" i="115"/>
  <c r="R30" i="123"/>
  <c r="CP33" i="126" s="1"/>
  <c r="T29" i="115"/>
  <c r="AO29" i="73" s="1"/>
  <c r="AG32" i="121"/>
  <c r="X28" i="115"/>
  <c r="AO169" i="73" s="1"/>
  <c r="R28" i="123"/>
  <c r="CP31" i="126" s="1"/>
  <c r="T28" i="115"/>
  <c r="AO28" i="73" s="1"/>
  <c r="AG30" i="121"/>
  <c r="X27" i="115"/>
  <c r="AO168" i="73" s="1"/>
  <c r="R26" i="123"/>
  <c r="CP29" i="126" s="1"/>
  <c r="T27" i="115"/>
  <c r="AO27" i="73" s="1"/>
  <c r="AG28" i="121"/>
  <c r="X26" i="115"/>
  <c r="AO167" i="73" s="1"/>
  <c r="R25" i="123"/>
  <c r="CP28" i="126" s="1"/>
  <c r="T26" i="115"/>
  <c r="AO26" i="73" s="1"/>
  <c r="AG27" i="121"/>
  <c r="X25" i="115"/>
  <c r="AO166" i="73" s="1"/>
  <c r="R27" i="123"/>
  <c r="CP30" i="126" s="1"/>
  <c r="T25" i="115"/>
  <c r="AO25" i="73" s="1"/>
  <c r="AG29" i="121"/>
  <c r="X24" i="115"/>
  <c r="AO165" i="73" s="1"/>
  <c r="R24" i="123"/>
  <c r="CP27" i="126" s="1"/>
  <c r="T24" i="115"/>
  <c r="AO24" i="73" s="1"/>
  <c r="AG26" i="121"/>
  <c r="X23" i="115"/>
  <c r="AO164" i="73" s="1"/>
  <c r="R23" i="123"/>
  <c r="CP26" i="126" s="1"/>
  <c r="T23" i="115"/>
  <c r="AO23" i="73" s="1"/>
  <c r="AG25" i="121"/>
  <c r="X22" i="115"/>
  <c r="AO163" i="73" s="1"/>
  <c r="R21" i="123"/>
  <c r="CP24" i="126" s="1"/>
  <c r="T22" i="115"/>
  <c r="AO22" i="73" s="1"/>
  <c r="AG23" i="121"/>
  <c r="X21" i="115"/>
  <c r="AO162" i="73" s="1"/>
  <c r="R20" i="123"/>
  <c r="CP23" i="126" s="1"/>
  <c r="T21" i="115"/>
  <c r="AO21" i="73" s="1"/>
  <c r="AG22" i="121"/>
  <c r="X20" i="115"/>
  <c r="AO161" i="73" s="1"/>
  <c r="R22" i="123"/>
  <c r="CP25" i="126" s="1"/>
  <c r="T20" i="115"/>
  <c r="AG24" i="121"/>
  <c r="X19" i="115"/>
  <c r="R19" i="123"/>
  <c r="CP22" i="126" s="1"/>
  <c r="T19" i="115"/>
  <c r="AO19" i="73" s="1"/>
  <c r="AG21" i="121"/>
  <c r="X18" i="115"/>
  <c r="AO159" i="73" s="1"/>
  <c r="R18" i="123"/>
  <c r="CP21" i="126" s="1"/>
  <c r="T18" i="115"/>
  <c r="AO18" i="73" s="1"/>
  <c r="AG20" i="121"/>
  <c r="X17" i="115"/>
  <c r="AO158" i="73" s="1"/>
  <c r="R15" i="123"/>
  <c r="CP18" i="126" s="1"/>
  <c r="T17" i="115"/>
  <c r="AO17" i="73" s="1"/>
  <c r="AG17" i="121"/>
  <c r="X16" i="115"/>
  <c r="AO157" i="73" s="1"/>
  <c r="R16" i="123"/>
  <c r="CP19" i="126" s="1"/>
  <c r="T16" i="115"/>
  <c r="AO16" i="73" s="1"/>
  <c r="AG18" i="121"/>
  <c r="X15" i="115"/>
  <c r="AO156" i="73" s="1"/>
  <c r="R17" i="123"/>
  <c r="CP20" i="126" s="1"/>
  <c r="T15" i="115"/>
  <c r="AO15" i="73" s="1"/>
  <c r="AG19" i="121"/>
  <c r="X14" i="115"/>
  <c r="AO155" i="73" s="1"/>
  <c r="R14" i="123"/>
  <c r="CP17" i="126" s="1"/>
  <c r="T14" i="115"/>
  <c r="AO14" i="73" s="1"/>
  <c r="AG16" i="121"/>
  <c r="X13" i="115"/>
  <c r="AO154" i="73" s="1"/>
  <c r="R13" i="123"/>
  <c r="CP16" i="126" s="1"/>
  <c r="T13" i="115"/>
  <c r="AO13" i="73" s="1"/>
  <c r="AG15" i="121"/>
  <c r="X12" i="115"/>
  <c r="AO153" i="73" s="1"/>
  <c r="R12" i="123"/>
  <c r="CP15" i="126" s="1"/>
  <c r="T12" i="115"/>
  <c r="AO12" i="73" s="1"/>
  <c r="AG14" i="121"/>
  <c r="X11" i="115"/>
  <c r="AO152" i="73" s="1"/>
  <c r="R11" i="123"/>
  <c r="CP14" i="126" s="1"/>
  <c r="T11" i="115"/>
  <c r="AO11" i="73" s="1"/>
  <c r="AG13" i="121"/>
  <c r="X10" i="115"/>
  <c r="AO151" i="73" s="1"/>
  <c r="R10" i="123"/>
  <c r="CP13" i="126" s="1"/>
  <c r="T10" i="115"/>
  <c r="AG12" i="121"/>
  <c r="X9" i="115"/>
  <c r="R9" i="123"/>
  <c r="CP12" i="126" s="1"/>
  <c r="T9" i="115"/>
  <c r="AO9" i="73" s="1"/>
  <c r="AG11" i="121"/>
  <c r="X8" i="115"/>
  <c r="AO149" i="73" s="1"/>
  <c r="R7" i="123"/>
  <c r="CP10" i="126" s="1"/>
  <c r="X7" i="115"/>
  <c r="AO148" i="73" s="1"/>
  <c r="R8" i="123"/>
  <c r="CP11" i="126" s="1"/>
  <c r="T7" i="115"/>
  <c r="AO7" i="73" s="1"/>
  <c r="AG10" i="121"/>
  <c r="X6" i="115"/>
  <c r="AO147" i="73" s="1"/>
  <c r="R6" i="123"/>
  <c r="CP9" i="126" s="1"/>
  <c r="T6" i="115"/>
  <c r="AO6" i="73" s="1"/>
  <c r="AG8" i="121"/>
  <c r="X5" i="115"/>
  <c r="AO146" i="73" s="1"/>
  <c r="R5" i="123"/>
  <c r="T5" i="115"/>
  <c r="AO5" i="73" s="1"/>
  <c r="AG7" i="121"/>
  <c r="D14" i="118"/>
  <c r="AD36" i="122"/>
  <c r="W31" i="115"/>
  <c r="AO136" i="73" s="1"/>
  <c r="AE32" i="122"/>
  <c r="W30" i="65"/>
  <c r="W30" i="115"/>
  <c r="AO135" i="73" s="1"/>
  <c r="AE30" i="122"/>
  <c r="W29" i="65"/>
  <c r="W29" i="115"/>
  <c r="AO134" i="73" s="1"/>
  <c r="AE31" i="122"/>
  <c r="W28" i="65"/>
  <c r="W28" i="115"/>
  <c r="AO133" i="73" s="1"/>
  <c r="AE29" i="122"/>
  <c r="W27" i="65"/>
  <c r="W27" i="115"/>
  <c r="AO132" i="73" s="1"/>
  <c r="AE27" i="122"/>
  <c r="W26" i="65"/>
  <c r="W26" i="115"/>
  <c r="AO131" i="73" s="1"/>
  <c r="AE26" i="122"/>
  <c r="W25" i="65"/>
  <c r="W25" i="115"/>
  <c r="AE28" i="122"/>
  <c r="W24" i="65"/>
  <c r="W24" i="115"/>
  <c r="AO129" i="73" s="1"/>
  <c r="AE25" i="122"/>
  <c r="W23" i="65"/>
  <c r="W23" i="115"/>
  <c r="AO128" i="73" s="1"/>
  <c r="AE24" i="122"/>
  <c r="W22" i="65"/>
  <c r="W22" i="115"/>
  <c r="AO127" i="73" s="1"/>
  <c r="AE22" i="122"/>
  <c r="W21" i="65"/>
  <c r="W21" i="115"/>
  <c r="AO126" i="73" s="1"/>
  <c r="AE21" i="122"/>
  <c r="W20" i="65"/>
  <c r="W20" i="115"/>
  <c r="AO125" i="73" s="1"/>
  <c r="AE23" i="122"/>
  <c r="W19" i="65"/>
  <c r="W19" i="115"/>
  <c r="AO124" i="73" s="1"/>
  <c r="AE20" i="122"/>
  <c r="W18" i="65"/>
  <c r="W18" i="115"/>
  <c r="AO123" i="73" s="1"/>
  <c r="AE19" i="122"/>
  <c r="W17" i="65"/>
  <c r="W17" i="115"/>
  <c r="AO122" i="73" s="1"/>
  <c r="AE16" i="122"/>
  <c r="W16" i="65"/>
  <c r="W16" i="115"/>
  <c r="AO121" i="73" s="1"/>
  <c r="AE17" i="122"/>
  <c r="W15" i="65"/>
  <c r="W15" i="115"/>
  <c r="AE18" i="122"/>
  <c r="W14" i="65"/>
  <c r="W14" i="115"/>
  <c r="AO119" i="73" s="1"/>
  <c r="AE15" i="122"/>
  <c r="W13" i="65"/>
  <c r="W13" i="115"/>
  <c r="AO118" i="73" s="1"/>
  <c r="AE14" i="122"/>
  <c r="W12" i="65"/>
  <c r="W12" i="115"/>
  <c r="AO117" i="73" s="1"/>
  <c r="AE13" i="122"/>
  <c r="W11" i="65"/>
  <c r="W11" i="115"/>
  <c r="AO116" i="73" s="1"/>
  <c r="AE12" i="122"/>
  <c r="CO14" i="126" s="1"/>
  <c r="W10" i="65"/>
  <c r="W10" i="115"/>
  <c r="AO115" i="73" s="1"/>
  <c r="AE11" i="122"/>
  <c r="W9" i="65"/>
  <c r="W9" i="115"/>
  <c r="AO114" i="73" s="1"/>
  <c r="AE10" i="122"/>
  <c r="W8" i="65"/>
  <c r="W8" i="115"/>
  <c r="AO113" i="73" s="1"/>
  <c r="AE8" i="122"/>
  <c r="W7" i="65"/>
  <c r="W7" i="115"/>
  <c r="AO112" i="73" s="1"/>
  <c r="AE9" i="122"/>
  <c r="W6" i="65"/>
  <c r="W6" i="115"/>
  <c r="AO111" i="73" s="1"/>
  <c r="AE7" i="122"/>
  <c r="W5" i="65"/>
  <c r="W5" i="115"/>
  <c r="AO110" i="73" s="1"/>
  <c r="AE6" i="122"/>
  <c r="AE33" i="122" s="1"/>
  <c r="W4" i="65"/>
  <c r="C14" i="118"/>
  <c r="AH37" i="121"/>
  <c r="V31" i="115"/>
  <c r="AD32" i="122"/>
  <c r="V30" i="115"/>
  <c r="AD30" i="122"/>
  <c r="V29" i="115"/>
  <c r="AD31" i="122"/>
  <c r="V28" i="115"/>
  <c r="AO99" i="73" s="1"/>
  <c r="AD29" i="122"/>
  <c r="CO31" i="126" s="1"/>
  <c r="CO29" i="126"/>
  <c r="V26" i="115"/>
  <c r="AO97" i="73" s="1"/>
  <c r="AD26" i="122"/>
  <c r="CO28" i="126" s="1"/>
  <c r="V25" i="115"/>
  <c r="AO96" i="73" s="1"/>
  <c r="AD28" i="122"/>
  <c r="CO30" i="126" s="1"/>
  <c r="V24" i="115"/>
  <c r="AO95" i="73" s="1"/>
  <c r="AD25" i="122"/>
  <c r="CO27" i="126" s="1"/>
  <c r="V23" i="115"/>
  <c r="AO94" i="73" s="1"/>
  <c r="AD24" i="122"/>
  <c r="CO26" i="126" s="1"/>
  <c r="V22" i="115"/>
  <c r="AO93" i="73" s="1"/>
  <c r="AD22" i="122"/>
  <c r="CO24" i="126" s="1"/>
  <c r="V21" i="115"/>
  <c r="AO92" i="73" s="1"/>
  <c r="AD21" i="122"/>
  <c r="CO23" i="126" s="1"/>
  <c r="V20" i="115"/>
  <c r="AO91" i="73" s="1"/>
  <c r="AD23" i="122"/>
  <c r="CO25" i="126" s="1"/>
  <c r="V19" i="115"/>
  <c r="AD20" i="122"/>
  <c r="CO22" i="126" s="1"/>
  <c r="V18" i="115"/>
  <c r="AO89" i="73" s="1"/>
  <c r="AD19" i="122"/>
  <c r="CO21" i="126" s="1"/>
  <c r="V17" i="115"/>
  <c r="AO88" i="73" s="1"/>
  <c r="AD16" i="122"/>
  <c r="CO18" i="126" s="1"/>
  <c r="V16" i="115"/>
  <c r="AO87" i="73" s="1"/>
  <c r="AD17" i="122"/>
  <c r="CO19" i="126" s="1"/>
  <c r="V15" i="115"/>
  <c r="AO86" i="73" s="1"/>
  <c r="AD18" i="122"/>
  <c r="CO20" i="126" s="1"/>
  <c r="V14" i="115"/>
  <c r="AO85" i="73" s="1"/>
  <c r="AD15" i="122"/>
  <c r="CO17" i="126" s="1"/>
  <c r="V13" i="115"/>
  <c r="AO84" i="73" s="1"/>
  <c r="AD14" i="122"/>
  <c r="CO16" i="126" s="1"/>
  <c r="V12" i="115"/>
  <c r="AO83" i="73" s="1"/>
  <c r="AD13" i="122"/>
  <c r="CO15" i="126" s="1"/>
  <c r="V10" i="115"/>
  <c r="AO81" i="73" s="1"/>
  <c r="AD11" i="122"/>
  <c r="CO13" i="126" s="1"/>
  <c r="V9" i="115"/>
  <c r="AD10" i="122"/>
  <c r="V8" i="115"/>
  <c r="AO79" i="73" s="1"/>
  <c r="AD8" i="122"/>
  <c r="CO10" i="126" s="1"/>
  <c r="V7" i="115"/>
  <c r="AO78" i="73" s="1"/>
  <c r="AD9" i="122"/>
  <c r="V6" i="115"/>
  <c r="AO77" i="73" s="1"/>
  <c r="AD7" i="122"/>
  <c r="CO9" i="126" s="1"/>
  <c r="V5" i="115"/>
  <c r="AO76" i="73" s="1"/>
  <c r="AD6" i="122"/>
  <c r="F14" i="118"/>
  <c r="R35" i="123"/>
  <c r="B14" i="118"/>
  <c r="AG37" i="121"/>
  <c r="U31" i="115"/>
  <c r="AO65" i="73" s="1"/>
  <c r="AH33" i="121"/>
  <c r="V30" i="65"/>
  <c r="U30" i="115"/>
  <c r="AO64" i="73" s="1"/>
  <c r="AH31" i="121"/>
  <c r="V29" i="65"/>
  <c r="U29" i="115"/>
  <c r="AO63" i="73" s="1"/>
  <c r="AH32" i="121"/>
  <c r="V28" i="65"/>
  <c r="U28" i="115"/>
  <c r="AO62" i="73" s="1"/>
  <c r="AH30" i="121"/>
  <c r="V27" i="65"/>
  <c r="U27" i="115"/>
  <c r="AO61" i="73" s="1"/>
  <c r="AH28" i="121"/>
  <c r="V26" i="65"/>
  <c r="U26" i="115"/>
  <c r="AH27" i="121"/>
  <c r="V25" i="65"/>
  <c r="U25" i="115"/>
  <c r="AO59" i="73" s="1"/>
  <c r="AH29" i="121"/>
  <c r="V24" i="65"/>
  <c r="U24" i="115"/>
  <c r="AO58" i="73" s="1"/>
  <c r="AH26" i="121"/>
  <c r="V23" i="65"/>
  <c r="AH25" i="121"/>
  <c r="V22" i="65"/>
  <c r="U22" i="115"/>
  <c r="AO56" i="73" s="1"/>
  <c r="AH23" i="121"/>
  <c r="V21" i="65"/>
  <c r="U21" i="115"/>
  <c r="AO55" i="73" s="1"/>
  <c r="AH22" i="121"/>
  <c r="V20" i="65"/>
  <c r="U20" i="115"/>
  <c r="AO54" i="73" s="1"/>
  <c r="AH24" i="121"/>
  <c r="V19" i="65"/>
  <c r="U19" i="115"/>
  <c r="AO53" i="73" s="1"/>
  <c r="AH21" i="121"/>
  <c r="V18" i="65"/>
  <c r="U18" i="115"/>
  <c r="AO52" i="73" s="1"/>
  <c r="AH20" i="121"/>
  <c r="V17" i="65"/>
  <c r="U17" i="115"/>
  <c r="AO51" i="73" s="1"/>
  <c r="AH17" i="121"/>
  <c r="V16" i="65"/>
  <c r="AH18" i="121"/>
  <c r="V15" i="65"/>
  <c r="U15" i="115"/>
  <c r="AO49" i="73" s="1"/>
  <c r="AH19" i="121"/>
  <c r="V14" i="65"/>
  <c r="U14" i="115"/>
  <c r="AO48" i="73" s="1"/>
  <c r="AH16" i="121"/>
  <c r="V13" i="65"/>
  <c r="U13" i="115"/>
  <c r="AO47" i="73" s="1"/>
  <c r="AH15" i="121"/>
  <c r="V12" i="65"/>
  <c r="U12" i="115"/>
  <c r="AO46" i="73" s="1"/>
  <c r="AH14" i="121"/>
  <c r="V11" i="65"/>
  <c r="U11" i="115"/>
  <c r="AO45" i="73" s="1"/>
  <c r="AH13" i="121"/>
  <c r="V10" i="65"/>
  <c r="U10" i="115"/>
  <c r="AO44" i="73" s="1"/>
  <c r="AH12" i="121"/>
  <c r="V9" i="65"/>
  <c r="U9" i="115"/>
  <c r="AO43" i="73" s="1"/>
  <c r="AH11" i="121"/>
  <c r="V8" i="65"/>
  <c r="U8" i="115"/>
  <c r="AO42" i="73" s="1"/>
  <c r="AH9" i="121"/>
  <c r="V7" i="65"/>
  <c r="AH10" i="121"/>
  <c r="V6" i="65"/>
  <c r="U6" i="115"/>
  <c r="AH8" i="121"/>
  <c r="V5" i="65"/>
  <c r="U5" i="115"/>
  <c r="AO39" i="73" s="1"/>
  <c r="AH7" i="121"/>
  <c r="V4" i="65"/>
  <c r="L50" i="119"/>
  <c r="H50" i="119"/>
  <c r="P49" i="119"/>
  <c r="H43" i="119"/>
  <c r="P28" i="119"/>
  <c r="P27" i="119"/>
  <c r="P26" i="119"/>
  <c r="P25" i="119"/>
  <c r="P24" i="119"/>
  <c r="P23" i="119"/>
  <c r="P22" i="119"/>
  <c r="P21" i="119"/>
  <c r="P20" i="119"/>
  <c r="P19" i="119"/>
  <c r="P18" i="119"/>
  <c r="P17" i="119"/>
  <c r="H16" i="119"/>
  <c r="H11" i="119"/>
  <c r="H7" i="119"/>
  <c r="H6" i="119"/>
  <c r="P41" i="119"/>
  <c r="P29" i="119"/>
  <c r="P95" i="119" s="1"/>
  <c r="L46" i="119"/>
  <c r="N50" i="119"/>
  <c r="J50" i="119"/>
  <c r="H47" i="119"/>
  <c r="H46" i="119"/>
  <c r="H45" i="119"/>
  <c r="P31" i="119"/>
  <c r="P30" i="119"/>
  <c r="H15" i="119"/>
  <c r="H9" i="119"/>
  <c r="H8" i="119"/>
  <c r="P55" i="119"/>
  <c r="D13" i="118"/>
  <c r="AB36" i="122"/>
  <c r="W31" i="114"/>
  <c r="AN136" i="73" s="1"/>
  <c r="AC32" i="122"/>
  <c r="U30" i="65"/>
  <c r="W30" i="114"/>
  <c r="AN135" i="73" s="1"/>
  <c r="AC30" i="122"/>
  <c r="U29" i="65"/>
  <c r="W29" i="114"/>
  <c r="AN134" i="73" s="1"/>
  <c r="AC31" i="122"/>
  <c r="U28" i="65"/>
  <c r="W28" i="114"/>
  <c r="AN133" i="73" s="1"/>
  <c r="AC29" i="122"/>
  <c r="U27" i="65"/>
  <c r="W27" i="114"/>
  <c r="AN132" i="73" s="1"/>
  <c r="AC27" i="122"/>
  <c r="U26" i="65"/>
  <c r="W26" i="114"/>
  <c r="AN131" i="73" s="1"/>
  <c r="AC26" i="122"/>
  <c r="U25" i="65"/>
  <c r="W25" i="114"/>
  <c r="AC28" i="122"/>
  <c r="U24" i="65"/>
  <c r="W24" i="114"/>
  <c r="AN129" i="73" s="1"/>
  <c r="AC25" i="122"/>
  <c r="U23" i="65"/>
  <c r="W23" i="114"/>
  <c r="AN128" i="73" s="1"/>
  <c r="AC24" i="122"/>
  <c r="U22" i="65"/>
  <c r="W22" i="114"/>
  <c r="AN127" i="73" s="1"/>
  <c r="AC22" i="122"/>
  <c r="U21" i="65"/>
  <c r="W21" i="114"/>
  <c r="AN126" i="73" s="1"/>
  <c r="AC21" i="122"/>
  <c r="CE23" i="126" s="1"/>
  <c r="U20" i="65"/>
  <c r="W20" i="114"/>
  <c r="AN125" i="73" s="1"/>
  <c r="AC23" i="122"/>
  <c r="U19" i="65"/>
  <c r="W19" i="114"/>
  <c r="AN124" i="73" s="1"/>
  <c r="AC20" i="122"/>
  <c r="U18" i="65"/>
  <c r="W18" i="114"/>
  <c r="AN123" i="73" s="1"/>
  <c r="AC19" i="122"/>
  <c r="U17" i="65"/>
  <c r="W17" i="114"/>
  <c r="AN122" i="73" s="1"/>
  <c r="AC16" i="122"/>
  <c r="U16" i="65"/>
  <c r="W16" i="114"/>
  <c r="AN121" i="73" s="1"/>
  <c r="AC17" i="122"/>
  <c r="U15" i="65"/>
  <c r="W15" i="114"/>
  <c r="AC18" i="122"/>
  <c r="U14" i="65"/>
  <c r="W14" i="114"/>
  <c r="AN119" i="73" s="1"/>
  <c r="AC15" i="122"/>
  <c r="U13" i="65"/>
  <c r="W13" i="114"/>
  <c r="AN118" i="73" s="1"/>
  <c r="AC14" i="122"/>
  <c r="U12" i="65"/>
  <c r="W12" i="114"/>
  <c r="AN117" i="73" s="1"/>
  <c r="AC13" i="122"/>
  <c r="U11" i="65"/>
  <c r="W11" i="114"/>
  <c r="AN116" i="73" s="1"/>
  <c r="AC12" i="122"/>
  <c r="U10" i="65"/>
  <c r="W10" i="114"/>
  <c r="AN115" i="73" s="1"/>
  <c r="AC11" i="122"/>
  <c r="U9" i="65"/>
  <c r="W9" i="114"/>
  <c r="AN114" i="73" s="1"/>
  <c r="AC10" i="122"/>
  <c r="U8" i="65"/>
  <c r="W8" i="114"/>
  <c r="AN113" i="73" s="1"/>
  <c r="AC8" i="122"/>
  <c r="U7" i="65"/>
  <c r="W7" i="114"/>
  <c r="AN112" i="73" s="1"/>
  <c r="AC9" i="122"/>
  <c r="U6" i="65"/>
  <c r="W6" i="114"/>
  <c r="AN111" i="73" s="1"/>
  <c r="AC7" i="122"/>
  <c r="U5" i="65"/>
  <c r="W5" i="114"/>
  <c r="AN110" i="73" s="1"/>
  <c r="AC6" i="122"/>
  <c r="CE8" i="126" s="1"/>
  <c r="U4" i="65"/>
  <c r="V102" i="113"/>
  <c r="T102" i="114"/>
  <c r="X102" i="114"/>
  <c r="C13" i="118"/>
  <c r="AF37" i="121"/>
  <c r="V31" i="114"/>
  <c r="AB32" i="122"/>
  <c r="V30" i="114"/>
  <c r="AB30" i="122"/>
  <c r="CE32" i="126" s="1"/>
  <c r="V29" i="114"/>
  <c r="AB31" i="122"/>
  <c r="V28" i="114"/>
  <c r="AN99" i="73" s="1"/>
  <c r="AB29" i="122"/>
  <c r="CE31" i="126" s="1"/>
  <c r="V27" i="114"/>
  <c r="AN98" i="73" s="1"/>
  <c r="AB27" i="122"/>
  <c r="V26" i="114"/>
  <c r="AN97" i="73" s="1"/>
  <c r="AB26" i="122"/>
  <c r="CE28" i="126" s="1"/>
  <c r="V25" i="114"/>
  <c r="AN96" i="73" s="1"/>
  <c r="AB28" i="122"/>
  <c r="CE30" i="126" s="1"/>
  <c r="V24" i="114"/>
  <c r="AN95" i="73" s="1"/>
  <c r="AB25" i="122"/>
  <c r="CE27" i="126" s="1"/>
  <c r="V23" i="114"/>
  <c r="AN94" i="73" s="1"/>
  <c r="AB24" i="122"/>
  <c r="V22" i="114"/>
  <c r="AN93" i="73" s="1"/>
  <c r="AB22" i="122"/>
  <c r="CE24" i="126" s="1"/>
  <c r="V20" i="114"/>
  <c r="AN91" i="73" s="1"/>
  <c r="AB23" i="122"/>
  <c r="CE25" i="126" s="1"/>
  <c r="V19" i="114"/>
  <c r="AB20" i="122"/>
  <c r="V18" i="114"/>
  <c r="AN89" i="73" s="1"/>
  <c r="AB19" i="122"/>
  <c r="CE21" i="126" s="1"/>
  <c r="V17" i="114"/>
  <c r="AN88" i="73" s="1"/>
  <c r="AB16" i="122"/>
  <c r="V16" i="114"/>
  <c r="AN87" i="73" s="1"/>
  <c r="AB17" i="122"/>
  <c r="CE19" i="126" s="1"/>
  <c r="V15" i="114"/>
  <c r="AN86" i="73" s="1"/>
  <c r="AB18" i="122"/>
  <c r="V14" i="114"/>
  <c r="AN85" i="73" s="1"/>
  <c r="AB15" i="122"/>
  <c r="CE17" i="126" s="1"/>
  <c r="V13" i="114"/>
  <c r="AN84" i="73" s="1"/>
  <c r="AB14" i="122"/>
  <c r="V12" i="114"/>
  <c r="AN83" i="73" s="1"/>
  <c r="AB13" i="122"/>
  <c r="CE15" i="126" s="1"/>
  <c r="V11" i="114"/>
  <c r="AN82" i="73" s="1"/>
  <c r="AB12" i="122"/>
  <c r="V10" i="114"/>
  <c r="AN81" i="73" s="1"/>
  <c r="AB11" i="122"/>
  <c r="CE13" i="126" s="1"/>
  <c r="V9" i="114"/>
  <c r="AB10" i="122"/>
  <c r="V8" i="114"/>
  <c r="AN79" i="73" s="1"/>
  <c r="AB8" i="122"/>
  <c r="CE10" i="126" s="1"/>
  <c r="V7" i="114"/>
  <c r="AN78" i="73" s="1"/>
  <c r="AB9" i="122"/>
  <c r="V6" i="114"/>
  <c r="AN77" i="73" s="1"/>
  <c r="AB7" i="122"/>
  <c r="CE9" i="126" s="1"/>
  <c r="F13" i="118"/>
  <c r="B13" i="118"/>
  <c r="J34" i="62" s="1"/>
  <c r="AE37" i="121"/>
  <c r="U31" i="114"/>
  <c r="AN65" i="73" s="1"/>
  <c r="AF33" i="121"/>
  <c r="T30" i="65"/>
  <c r="U30" i="114"/>
  <c r="AN64" i="73" s="1"/>
  <c r="AF31" i="121"/>
  <c r="T29" i="65"/>
  <c r="U29" i="114"/>
  <c r="AN63" i="73" s="1"/>
  <c r="AF32" i="121"/>
  <c r="T28" i="65"/>
  <c r="U28" i="114"/>
  <c r="AN62" i="73" s="1"/>
  <c r="AF30" i="121"/>
  <c r="T27" i="65"/>
  <c r="U27" i="114"/>
  <c r="AN61" i="73" s="1"/>
  <c r="AF28" i="121"/>
  <c r="T26" i="65"/>
  <c r="AF27" i="121"/>
  <c r="T25" i="65"/>
  <c r="U25" i="114"/>
  <c r="AN59" i="73" s="1"/>
  <c r="AF29" i="121"/>
  <c r="T24" i="65"/>
  <c r="U24" i="114"/>
  <c r="AN58" i="73" s="1"/>
  <c r="AF26" i="121"/>
  <c r="T23" i="65"/>
  <c r="U23" i="114"/>
  <c r="AN57" i="73" s="1"/>
  <c r="AF25" i="121"/>
  <c r="T22" i="65"/>
  <c r="U22" i="114"/>
  <c r="AN56" i="73" s="1"/>
  <c r="AF23" i="121"/>
  <c r="T21" i="65"/>
  <c r="U21" i="114"/>
  <c r="AN55" i="73" s="1"/>
  <c r="AF22" i="121"/>
  <c r="T20" i="65"/>
  <c r="U20" i="114"/>
  <c r="AN54" i="73" s="1"/>
  <c r="AF24" i="121"/>
  <c r="T19" i="65"/>
  <c r="U19" i="114"/>
  <c r="AN53" i="73" s="1"/>
  <c r="AF21" i="121"/>
  <c r="T18" i="65"/>
  <c r="AF20" i="121"/>
  <c r="T17" i="65"/>
  <c r="U17" i="114"/>
  <c r="AN51" i="73" s="1"/>
  <c r="AF17" i="121"/>
  <c r="T16" i="65"/>
  <c r="U16" i="114"/>
  <c r="AF18" i="121"/>
  <c r="T15" i="65"/>
  <c r="U15" i="114"/>
  <c r="AN49" i="73" s="1"/>
  <c r="AF19" i="121"/>
  <c r="T14" i="65"/>
  <c r="U14" i="114"/>
  <c r="AN48" i="73" s="1"/>
  <c r="AF16" i="121"/>
  <c r="T13" i="65"/>
  <c r="U13" i="114"/>
  <c r="AN47" i="73" s="1"/>
  <c r="AF15" i="121"/>
  <c r="T12" i="65"/>
  <c r="U12" i="114"/>
  <c r="AN46" i="73" s="1"/>
  <c r="AF14" i="121"/>
  <c r="T11" i="65"/>
  <c r="U11" i="114"/>
  <c r="AN45" i="73" s="1"/>
  <c r="AF13" i="121"/>
  <c r="T10" i="65"/>
  <c r="AF12" i="121"/>
  <c r="T9" i="65"/>
  <c r="U9" i="114"/>
  <c r="AN43" i="73" s="1"/>
  <c r="AF11" i="121"/>
  <c r="T8" i="65"/>
  <c r="U8" i="114"/>
  <c r="AN42" i="73" s="1"/>
  <c r="AF9" i="121"/>
  <c r="T7" i="65"/>
  <c r="U7" i="114"/>
  <c r="AN41" i="73" s="1"/>
  <c r="AF10" i="121"/>
  <c r="T6" i="65"/>
  <c r="U6" i="114"/>
  <c r="AF8" i="121"/>
  <c r="T5" i="65"/>
  <c r="U5" i="114"/>
  <c r="AN39" i="73" s="1"/>
  <c r="AF7" i="121"/>
  <c r="T4" i="65"/>
  <c r="E13" i="118"/>
  <c r="AC36" i="122"/>
  <c r="X31" i="114"/>
  <c r="AN172" i="73" s="1"/>
  <c r="Q31" i="123"/>
  <c r="CF34" i="126" s="1"/>
  <c r="T31" i="114"/>
  <c r="AN31" i="73" s="1"/>
  <c r="AE33" i="121"/>
  <c r="X30" i="114"/>
  <c r="AN171" i="73" s="1"/>
  <c r="Q29" i="123"/>
  <c r="CF32" i="126" s="1"/>
  <c r="T30" i="114"/>
  <c r="AE31" i="121"/>
  <c r="X29" i="114"/>
  <c r="Q30" i="123"/>
  <c r="CF33" i="126" s="1"/>
  <c r="T29" i="114"/>
  <c r="AN29" i="73" s="1"/>
  <c r="AE32" i="121"/>
  <c r="X28" i="114"/>
  <c r="AN169" i="73" s="1"/>
  <c r="Q28" i="123"/>
  <c r="CF31" i="126" s="1"/>
  <c r="T28" i="114"/>
  <c r="AN28" i="73" s="1"/>
  <c r="AE30" i="121"/>
  <c r="X27" i="114"/>
  <c r="AN168" i="73" s="1"/>
  <c r="Q26" i="123"/>
  <c r="CF29" i="126" s="1"/>
  <c r="T27" i="114"/>
  <c r="AN27" i="73" s="1"/>
  <c r="AE28" i="121"/>
  <c r="X26" i="114"/>
  <c r="AN167" i="73" s="1"/>
  <c r="Q25" i="123"/>
  <c r="CF28" i="126" s="1"/>
  <c r="T26" i="114"/>
  <c r="AN26" i="73" s="1"/>
  <c r="AE27" i="121"/>
  <c r="X25" i="114"/>
  <c r="AN166" i="73" s="1"/>
  <c r="Q27" i="123"/>
  <c r="CF30" i="126" s="1"/>
  <c r="T25" i="114"/>
  <c r="AN25" i="73" s="1"/>
  <c r="AE29" i="121"/>
  <c r="X24" i="114"/>
  <c r="AN165" i="73" s="1"/>
  <c r="Q24" i="123"/>
  <c r="CF27" i="126" s="1"/>
  <c r="T24" i="114"/>
  <c r="AN24" i="73" s="1"/>
  <c r="AE26" i="121"/>
  <c r="X23" i="114"/>
  <c r="AN164" i="73" s="1"/>
  <c r="Q23" i="123"/>
  <c r="CF26" i="126" s="1"/>
  <c r="T23" i="114"/>
  <c r="AN23" i="73" s="1"/>
  <c r="AE25" i="121"/>
  <c r="X22" i="114"/>
  <c r="AN163" i="73" s="1"/>
  <c r="Q21" i="123"/>
  <c r="CF24" i="126" s="1"/>
  <c r="T22" i="114"/>
  <c r="AN22" i="73" s="1"/>
  <c r="AE23" i="121"/>
  <c r="X21" i="114"/>
  <c r="AN162" i="73" s="1"/>
  <c r="Q20" i="123"/>
  <c r="CF23" i="126" s="1"/>
  <c r="T21" i="114"/>
  <c r="AN21" i="73" s="1"/>
  <c r="AE22" i="121"/>
  <c r="X20" i="114"/>
  <c r="AN161" i="73" s="1"/>
  <c r="Q22" i="123"/>
  <c r="CF25" i="126" s="1"/>
  <c r="T20" i="114"/>
  <c r="AE24" i="121"/>
  <c r="X19" i="114"/>
  <c r="Q19" i="123"/>
  <c r="CF22" i="126" s="1"/>
  <c r="T19" i="114"/>
  <c r="AN19" i="73" s="1"/>
  <c r="AE21" i="121"/>
  <c r="X18" i="114"/>
  <c r="AN159" i="73" s="1"/>
  <c r="Q18" i="123"/>
  <c r="CF21" i="126" s="1"/>
  <c r="T18" i="114"/>
  <c r="AN18" i="73" s="1"/>
  <c r="AE20" i="121"/>
  <c r="X17" i="114"/>
  <c r="AN158" i="73" s="1"/>
  <c r="Q15" i="123"/>
  <c r="CF18" i="126" s="1"/>
  <c r="T17" i="114"/>
  <c r="AN17" i="73" s="1"/>
  <c r="AE17" i="121"/>
  <c r="X16" i="114"/>
  <c r="AN157" i="73" s="1"/>
  <c r="Q16" i="123"/>
  <c r="CF19" i="126" s="1"/>
  <c r="T16" i="114"/>
  <c r="AN16" i="73" s="1"/>
  <c r="AE18" i="121"/>
  <c r="X15" i="114"/>
  <c r="AN156" i="73" s="1"/>
  <c r="Q17" i="123"/>
  <c r="CF20" i="126" s="1"/>
  <c r="T15" i="114"/>
  <c r="AN15" i="73" s="1"/>
  <c r="AE19" i="121"/>
  <c r="X14" i="114"/>
  <c r="AN155" i="73" s="1"/>
  <c r="Q14" i="123"/>
  <c r="CF17" i="126" s="1"/>
  <c r="T14" i="114"/>
  <c r="AN14" i="73" s="1"/>
  <c r="AE16" i="121"/>
  <c r="X13" i="114"/>
  <c r="AN154" i="73" s="1"/>
  <c r="Q13" i="123"/>
  <c r="CF16" i="126" s="1"/>
  <c r="T13" i="114"/>
  <c r="AN13" i="73" s="1"/>
  <c r="AE15" i="121"/>
  <c r="X12" i="114"/>
  <c r="AN153" i="73" s="1"/>
  <c r="Q12" i="123"/>
  <c r="CF15" i="126" s="1"/>
  <c r="T12" i="114"/>
  <c r="AN12" i="73" s="1"/>
  <c r="AE14" i="121"/>
  <c r="X11" i="114"/>
  <c r="AN152" i="73" s="1"/>
  <c r="Q11" i="123"/>
  <c r="CF14" i="126" s="1"/>
  <c r="T11" i="114"/>
  <c r="AN11" i="73" s="1"/>
  <c r="AE13" i="121"/>
  <c r="X10" i="114"/>
  <c r="AN151" i="73" s="1"/>
  <c r="Q10" i="123"/>
  <c r="CF13" i="126" s="1"/>
  <c r="T10" i="114"/>
  <c r="AE12" i="121"/>
  <c r="X9" i="114"/>
  <c r="Q9" i="123"/>
  <c r="CF12" i="126" s="1"/>
  <c r="T9" i="114"/>
  <c r="AN9" i="73" s="1"/>
  <c r="AE11" i="121"/>
  <c r="X8" i="114"/>
  <c r="AN149" i="73" s="1"/>
  <c r="Q7" i="123"/>
  <c r="CF10" i="126" s="1"/>
  <c r="T8" i="114"/>
  <c r="AN8" i="73" s="1"/>
  <c r="AE9" i="121"/>
  <c r="X7" i="114"/>
  <c r="AN148" i="73" s="1"/>
  <c r="Q8" i="123"/>
  <c r="CF11" i="126" s="1"/>
  <c r="T7" i="114"/>
  <c r="AN7" i="73" s="1"/>
  <c r="AE10" i="121"/>
  <c r="X6" i="114"/>
  <c r="AN147" i="73" s="1"/>
  <c r="Q6" i="123"/>
  <c r="CF9" i="126" s="1"/>
  <c r="T6" i="114"/>
  <c r="AN6" i="73" s="1"/>
  <c r="AE8" i="121"/>
  <c r="X5" i="114"/>
  <c r="AN146" i="73" s="1"/>
  <c r="Q5" i="123"/>
  <c r="T5" i="114"/>
  <c r="AN5" i="73" s="1"/>
  <c r="AE7" i="121"/>
  <c r="Q12" i="119"/>
  <c r="I8" i="119"/>
  <c r="I5" i="119"/>
  <c r="K64" i="119"/>
  <c r="G64" i="119"/>
  <c r="M61" i="119"/>
  <c r="I61" i="119"/>
  <c r="M59" i="119"/>
  <c r="I59" i="119"/>
  <c r="M57" i="119"/>
  <c r="I57" i="119"/>
  <c r="M55" i="119"/>
  <c r="I55" i="119"/>
  <c r="M53" i="119"/>
  <c r="I53" i="119"/>
  <c r="M51" i="119"/>
  <c r="I51" i="119"/>
  <c r="I49" i="119"/>
  <c r="M31" i="119"/>
  <c r="I31" i="119"/>
  <c r="M30" i="119"/>
  <c r="I30" i="119"/>
  <c r="I13" i="119"/>
  <c r="I12" i="119"/>
  <c r="Q16" i="119"/>
  <c r="I42" i="119"/>
  <c r="M7" i="119"/>
  <c r="Q6" i="119"/>
  <c r="M16" i="119"/>
  <c r="M15" i="119"/>
  <c r="M47" i="119"/>
  <c r="M13" i="119"/>
  <c r="Q11" i="119"/>
  <c r="Q10" i="119"/>
  <c r="Q9" i="119"/>
  <c r="I46" i="119"/>
  <c r="I45" i="119"/>
  <c r="Q31" i="119"/>
  <c r="Q30" i="119"/>
  <c r="Q55" i="119"/>
  <c r="Q88" i="119" s="1"/>
  <c r="O64" i="119"/>
  <c r="O63" i="119"/>
  <c r="M45" i="119"/>
  <c r="M41" i="119"/>
  <c r="I7" i="119"/>
  <c r="M38" i="119"/>
  <c r="K63" i="119"/>
  <c r="G63" i="119"/>
  <c r="M62" i="119"/>
  <c r="I62" i="119"/>
  <c r="M60" i="119"/>
  <c r="I60" i="119"/>
  <c r="M58" i="119"/>
  <c r="I58" i="119"/>
  <c r="M56" i="119"/>
  <c r="I56" i="119"/>
  <c r="M54" i="119"/>
  <c r="I54" i="119"/>
  <c r="M52" i="119"/>
  <c r="I52" i="119"/>
  <c r="I39" i="119"/>
  <c r="M29" i="119"/>
  <c r="I29" i="119"/>
  <c r="M28" i="119"/>
  <c r="I28" i="119"/>
  <c r="M27" i="119"/>
  <c r="I27" i="119"/>
  <c r="M26" i="119"/>
  <c r="I26" i="119"/>
  <c r="M25" i="119"/>
  <c r="I25" i="119"/>
  <c r="M24" i="119"/>
  <c r="I24" i="119"/>
  <c r="M23" i="119"/>
  <c r="I23" i="119"/>
  <c r="M22" i="119"/>
  <c r="I22" i="119"/>
  <c r="M21" i="119"/>
  <c r="I21" i="119"/>
  <c r="M20" i="119"/>
  <c r="I20" i="119"/>
  <c r="M19" i="119"/>
  <c r="I19" i="119"/>
  <c r="M18" i="119"/>
  <c r="I18" i="119"/>
  <c r="M17" i="119"/>
  <c r="I17" i="119"/>
  <c r="Q8" i="119"/>
  <c r="L64" i="119"/>
  <c r="H64" i="119"/>
  <c r="N61" i="119"/>
  <c r="J61" i="119"/>
  <c r="N59" i="119"/>
  <c r="J59" i="119"/>
  <c r="N57" i="119"/>
  <c r="J57" i="119"/>
  <c r="N55" i="119"/>
  <c r="J55" i="119"/>
  <c r="N53" i="119"/>
  <c r="J53" i="119"/>
  <c r="N51" i="119"/>
  <c r="J51" i="119"/>
  <c r="J49" i="119"/>
  <c r="N47" i="119"/>
  <c r="J43" i="119"/>
  <c r="N41" i="119"/>
  <c r="N39" i="119"/>
  <c r="N38" i="119"/>
  <c r="N31" i="119"/>
  <c r="J31" i="119"/>
  <c r="N30" i="119"/>
  <c r="J30" i="119"/>
  <c r="N15" i="119"/>
  <c r="J13" i="119"/>
  <c r="J12" i="119"/>
  <c r="J11" i="119"/>
  <c r="N9" i="119"/>
  <c r="J7" i="119"/>
  <c r="N48" i="119"/>
  <c r="J46" i="119"/>
  <c r="J45" i="119"/>
  <c r="J44" i="119"/>
  <c r="N42" i="119"/>
  <c r="J41" i="119"/>
  <c r="J38" i="119"/>
  <c r="N16" i="119"/>
  <c r="J14" i="119"/>
  <c r="N10" i="119"/>
  <c r="N8" i="119"/>
  <c r="N6" i="119"/>
  <c r="N5" i="119"/>
  <c r="L63" i="119"/>
  <c r="H63" i="119"/>
  <c r="N62" i="119"/>
  <c r="J62" i="119"/>
  <c r="N60" i="119"/>
  <c r="J60" i="119"/>
  <c r="N58" i="119"/>
  <c r="J58" i="119"/>
  <c r="N56" i="119"/>
  <c r="J56" i="119"/>
  <c r="N54" i="119"/>
  <c r="J54" i="119"/>
  <c r="N52" i="119"/>
  <c r="J52" i="119"/>
  <c r="N49" i="119"/>
  <c r="J47" i="119"/>
  <c r="N43" i="119"/>
  <c r="N40" i="119"/>
  <c r="J39" i="119"/>
  <c r="N29" i="119"/>
  <c r="J29" i="119"/>
  <c r="N28" i="119"/>
  <c r="J28" i="119"/>
  <c r="N27" i="119"/>
  <c r="J27" i="119"/>
  <c r="N26" i="119"/>
  <c r="J26" i="119"/>
  <c r="N25" i="119"/>
  <c r="J25" i="119"/>
  <c r="N24" i="119"/>
  <c r="J24" i="119"/>
  <c r="N23" i="119"/>
  <c r="J23" i="119"/>
  <c r="N22" i="119"/>
  <c r="J22" i="119"/>
  <c r="N21" i="119"/>
  <c r="J21" i="119"/>
  <c r="N20" i="119"/>
  <c r="J20" i="119"/>
  <c r="N19" i="119"/>
  <c r="J19" i="119"/>
  <c r="N18" i="119"/>
  <c r="N84" i="119" s="1"/>
  <c r="J18" i="119"/>
  <c r="N17" i="119"/>
  <c r="J17" i="119"/>
  <c r="J15" i="119"/>
  <c r="N13" i="119"/>
  <c r="N12" i="119"/>
  <c r="N11" i="119"/>
  <c r="J9" i="119"/>
  <c r="J8" i="119"/>
  <c r="Y29" i="112"/>
  <c r="F12" i="118"/>
  <c r="P35" i="123"/>
  <c r="B12" i="118"/>
  <c r="I34" i="62" s="1"/>
  <c r="AC37" i="121"/>
  <c r="V31" i="113"/>
  <c r="Z32" i="122"/>
  <c r="V30" i="113"/>
  <c r="Z30" i="122"/>
  <c r="V29" i="113"/>
  <c r="Z31" i="122"/>
  <c r="V28" i="113"/>
  <c r="AM99" i="73" s="1"/>
  <c r="Z29" i="122"/>
  <c r="V27" i="113"/>
  <c r="AM98" i="73" s="1"/>
  <c r="Z27" i="122"/>
  <c r="V26" i="113"/>
  <c r="AM97" i="73" s="1"/>
  <c r="Z26" i="122"/>
  <c r="V25" i="113"/>
  <c r="AM96" i="73" s="1"/>
  <c r="Z28" i="122"/>
  <c r="V24" i="113"/>
  <c r="AM95" i="73" s="1"/>
  <c r="Z25" i="122"/>
  <c r="V23" i="113"/>
  <c r="AM94" i="73" s="1"/>
  <c r="Z24" i="122"/>
  <c r="V22" i="113"/>
  <c r="AM93" i="73" s="1"/>
  <c r="Z22" i="122"/>
  <c r="V21" i="113"/>
  <c r="AM92" i="73" s="1"/>
  <c r="Z21" i="122"/>
  <c r="V20" i="113"/>
  <c r="AM91" i="73" s="1"/>
  <c r="Z23" i="122"/>
  <c r="V19" i="113"/>
  <c r="Z20" i="122"/>
  <c r="V18" i="113"/>
  <c r="AM89" i="73" s="1"/>
  <c r="Z19" i="122"/>
  <c r="V17" i="113"/>
  <c r="AM88" i="73" s="1"/>
  <c r="Z16" i="122"/>
  <c r="V16" i="113"/>
  <c r="AM87" i="73" s="1"/>
  <c r="Z17" i="122"/>
  <c r="V15" i="113"/>
  <c r="AM86" i="73" s="1"/>
  <c r="Z18" i="122"/>
  <c r="V14" i="113"/>
  <c r="AM85" i="73" s="1"/>
  <c r="Z15" i="122"/>
  <c r="V13" i="113"/>
  <c r="AM84" i="73" s="1"/>
  <c r="Z14" i="122"/>
  <c r="V12" i="113"/>
  <c r="AM83" i="73" s="1"/>
  <c r="Z13" i="122"/>
  <c r="V11" i="113"/>
  <c r="AM82" i="73" s="1"/>
  <c r="Z12" i="122"/>
  <c r="V10" i="113"/>
  <c r="AM81" i="73" s="1"/>
  <c r="Z11" i="122"/>
  <c r="V9" i="113"/>
  <c r="Z10" i="122"/>
  <c r="V8" i="113"/>
  <c r="AM79" i="73" s="1"/>
  <c r="Z8" i="122"/>
  <c r="V7" i="113"/>
  <c r="AM78" i="73" s="1"/>
  <c r="Z9" i="122"/>
  <c r="V6" i="113"/>
  <c r="AM77" i="73" s="1"/>
  <c r="Z7" i="122"/>
  <c r="V5" i="113"/>
  <c r="AM76" i="73" s="1"/>
  <c r="Z6" i="122"/>
  <c r="P64" i="119"/>
  <c r="Q59" i="119"/>
  <c r="P58" i="119"/>
  <c r="Q53" i="119"/>
  <c r="P52" i="119"/>
  <c r="Q49" i="119"/>
  <c r="P48" i="119"/>
  <c r="Q45" i="119"/>
  <c r="P44" i="119"/>
  <c r="Q39" i="119"/>
  <c r="P38" i="119"/>
  <c r="E12" i="118"/>
  <c r="AA36" i="122"/>
  <c r="U31" i="113"/>
  <c r="AM65" i="73" s="1"/>
  <c r="AD33" i="121"/>
  <c r="R30" i="65"/>
  <c r="U30" i="113"/>
  <c r="AM64" i="73" s="1"/>
  <c r="AD31" i="121"/>
  <c r="R29" i="65"/>
  <c r="U29" i="113"/>
  <c r="AM63" i="73" s="1"/>
  <c r="AD32" i="121"/>
  <c r="R28" i="65"/>
  <c r="U28" i="113"/>
  <c r="AM62" i="73" s="1"/>
  <c r="AD30" i="121"/>
  <c r="R27" i="65"/>
  <c r="AD28" i="121"/>
  <c r="R26" i="65"/>
  <c r="U26" i="113"/>
  <c r="AD27" i="121"/>
  <c r="R25" i="65"/>
  <c r="U25" i="113"/>
  <c r="AM59" i="73" s="1"/>
  <c r="AD29" i="121"/>
  <c r="R24" i="65"/>
  <c r="AD26" i="121"/>
  <c r="R23" i="65"/>
  <c r="U23" i="113"/>
  <c r="AM57" i="73" s="1"/>
  <c r="AD25" i="121"/>
  <c r="R22" i="65"/>
  <c r="U22" i="113"/>
  <c r="AM56" i="73" s="1"/>
  <c r="AD23" i="121"/>
  <c r="R21" i="65"/>
  <c r="U21" i="113"/>
  <c r="AM55" i="73" s="1"/>
  <c r="AD22" i="121"/>
  <c r="R20" i="65"/>
  <c r="U20" i="113"/>
  <c r="AM54" i="73" s="1"/>
  <c r="AD24" i="121"/>
  <c r="R19" i="65"/>
  <c r="U19" i="113"/>
  <c r="AM53" i="73" s="1"/>
  <c r="AD21" i="121"/>
  <c r="R18" i="65"/>
  <c r="U18" i="113"/>
  <c r="AM52" i="73" s="1"/>
  <c r="AD20" i="121"/>
  <c r="R17" i="65"/>
  <c r="U17" i="113"/>
  <c r="AM51" i="73" s="1"/>
  <c r="AD17" i="121"/>
  <c r="R16" i="65"/>
  <c r="U16" i="113"/>
  <c r="AD18" i="121"/>
  <c r="R15" i="65"/>
  <c r="U15" i="113"/>
  <c r="AM49" i="73" s="1"/>
  <c r="AD19" i="121"/>
  <c r="R14" i="65"/>
  <c r="U14" i="113"/>
  <c r="AM48" i="73" s="1"/>
  <c r="AD16" i="121"/>
  <c r="R13" i="65"/>
  <c r="U13" i="113"/>
  <c r="AM47" i="73" s="1"/>
  <c r="AD15" i="121"/>
  <c r="R12" i="65"/>
  <c r="U12" i="113"/>
  <c r="AM46" i="73" s="1"/>
  <c r="AD14" i="121"/>
  <c r="R11" i="65"/>
  <c r="AD13" i="121"/>
  <c r="R10" i="65"/>
  <c r="U10" i="113"/>
  <c r="AM44" i="73" s="1"/>
  <c r="AD12" i="121"/>
  <c r="R9" i="65"/>
  <c r="U9" i="113"/>
  <c r="AM43" i="73" s="1"/>
  <c r="AD11" i="121"/>
  <c r="R8" i="65"/>
  <c r="AD9" i="121"/>
  <c r="R7" i="65"/>
  <c r="U7" i="113"/>
  <c r="AM41" i="73" s="1"/>
  <c r="AD10" i="121"/>
  <c r="R6" i="65"/>
  <c r="U6" i="113"/>
  <c r="AD8" i="121"/>
  <c r="R5" i="65"/>
  <c r="U5" i="113"/>
  <c r="AM39" i="73" s="1"/>
  <c r="AD7" i="121"/>
  <c r="Q60" i="119"/>
  <c r="P59" i="119"/>
  <c r="Q56" i="119"/>
  <c r="Q54" i="119"/>
  <c r="P53" i="119"/>
  <c r="Q50" i="119"/>
  <c r="Q46" i="119"/>
  <c r="P45" i="119"/>
  <c r="Q42" i="119"/>
  <c r="Q40" i="119"/>
  <c r="P39" i="119"/>
  <c r="D12" i="118"/>
  <c r="I65" i="62" s="1"/>
  <c r="Z36" i="122"/>
  <c r="X31" i="113"/>
  <c r="AM172" i="73" s="1"/>
  <c r="P31" i="123"/>
  <c r="BV34" i="126" s="1"/>
  <c r="T31" i="113"/>
  <c r="AM31" i="73" s="1"/>
  <c r="AC33" i="121"/>
  <c r="X30" i="113"/>
  <c r="AM171" i="73" s="1"/>
  <c r="P29" i="123"/>
  <c r="BV32" i="126" s="1"/>
  <c r="T30" i="113"/>
  <c r="AC31" i="121"/>
  <c r="X29" i="113"/>
  <c r="P30" i="123"/>
  <c r="BV33" i="126" s="1"/>
  <c r="T29" i="113"/>
  <c r="AM29" i="73" s="1"/>
  <c r="AC32" i="121"/>
  <c r="X28" i="113"/>
  <c r="AM169" i="73" s="1"/>
  <c r="P28" i="123"/>
  <c r="BV31" i="126" s="1"/>
  <c r="T28" i="113"/>
  <c r="AM28" i="73" s="1"/>
  <c r="AC30" i="121"/>
  <c r="X27" i="113"/>
  <c r="AM168" i="73" s="1"/>
  <c r="P26" i="123"/>
  <c r="BV29" i="126" s="1"/>
  <c r="T27" i="113"/>
  <c r="AM27" i="73" s="1"/>
  <c r="AC28" i="121"/>
  <c r="X26" i="113"/>
  <c r="AM167" i="73" s="1"/>
  <c r="P25" i="123"/>
  <c r="BV28" i="126" s="1"/>
  <c r="T26" i="113"/>
  <c r="AM26" i="73" s="1"/>
  <c r="AC27" i="121"/>
  <c r="X25" i="113"/>
  <c r="AM166" i="73" s="1"/>
  <c r="P27" i="123"/>
  <c r="BV30" i="126" s="1"/>
  <c r="T25" i="113"/>
  <c r="AM25" i="73" s="1"/>
  <c r="AC29" i="121"/>
  <c r="X24" i="113"/>
  <c r="AM165" i="73" s="1"/>
  <c r="P24" i="123"/>
  <c r="BV27" i="126" s="1"/>
  <c r="T24" i="113"/>
  <c r="AM24" i="73" s="1"/>
  <c r="AC26" i="121"/>
  <c r="X23" i="113"/>
  <c r="AM164" i="73" s="1"/>
  <c r="P23" i="123"/>
  <c r="BV26" i="126" s="1"/>
  <c r="T23" i="113"/>
  <c r="AM23" i="73" s="1"/>
  <c r="AC25" i="121"/>
  <c r="X22" i="113"/>
  <c r="AM163" i="73" s="1"/>
  <c r="P21" i="123"/>
  <c r="BV24" i="126" s="1"/>
  <c r="T22" i="113"/>
  <c r="AM22" i="73" s="1"/>
  <c r="AC23" i="121"/>
  <c r="X21" i="113"/>
  <c r="AM162" i="73" s="1"/>
  <c r="P20" i="123"/>
  <c r="BV23" i="126" s="1"/>
  <c r="T21" i="113"/>
  <c r="AM21" i="73" s="1"/>
  <c r="AC22" i="121"/>
  <c r="X20" i="113"/>
  <c r="AM161" i="73" s="1"/>
  <c r="P22" i="123"/>
  <c r="BV25" i="126" s="1"/>
  <c r="T20" i="113"/>
  <c r="AC24" i="121"/>
  <c r="X19" i="113"/>
  <c r="P19" i="123"/>
  <c r="BV22" i="126" s="1"/>
  <c r="T19" i="113"/>
  <c r="AM19" i="73" s="1"/>
  <c r="AC21" i="121"/>
  <c r="X18" i="113"/>
  <c r="AM159" i="73" s="1"/>
  <c r="P18" i="123"/>
  <c r="BV21" i="126" s="1"/>
  <c r="T18" i="113"/>
  <c r="AM18" i="73" s="1"/>
  <c r="AC20" i="121"/>
  <c r="X17" i="113"/>
  <c r="AM158" i="73" s="1"/>
  <c r="P15" i="123"/>
  <c r="BV18" i="126" s="1"/>
  <c r="T17" i="113"/>
  <c r="AM17" i="73" s="1"/>
  <c r="AC17" i="121"/>
  <c r="X16" i="113"/>
  <c r="AM157" i="73" s="1"/>
  <c r="P16" i="123"/>
  <c r="BV19" i="126" s="1"/>
  <c r="T16" i="113"/>
  <c r="AM16" i="73" s="1"/>
  <c r="AC18" i="121"/>
  <c r="X15" i="113"/>
  <c r="AM156" i="73" s="1"/>
  <c r="P17" i="123"/>
  <c r="BV20" i="126" s="1"/>
  <c r="T15" i="113"/>
  <c r="AM15" i="73" s="1"/>
  <c r="AC19" i="121"/>
  <c r="X14" i="113"/>
  <c r="AM155" i="73" s="1"/>
  <c r="P14" i="123"/>
  <c r="BV17" i="126" s="1"/>
  <c r="T14" i="113"/>
  <c r="AM14" i="73" s="1"/>
  <c r="AC16" i="121"/>
  <c r="X13" i="113"/>
  <c r="AM154" i="73" s="1"/>
  <c r="P13" i="123"/>
  <c r="BV16" i="126" s="1"/>
  <c r="T13" i="113"/>
  <c r="AM13" i="73" s="1"/>
  <c r="AC15" i="121"/>
  <c r="X12" i="113"/>
  <c r="AM153" i="73" s="1"/>
  <c r="P12" i="123"/>
  <c r="BV15" i="126" s="1"/>
  <c r="T12" i="113"/>
  <c r="AM12" i="73" s="1"/>
  <c r="AC14" i="121"/>
  <c r="X11" i="113"/>
  <c r="AM152" i="73" s="1"/>
  <c r="P11" i="123"/>
  <c r="BV14" i="126" s="1"/>
  <c r="T11" i="113"/>
  <c r="AM11" i="73" s="1"/>
  <c r="AC13" i="121"/>
  <c r="X10" i="113"/>
  <c r="AM151" i="73" s="1"/>
  <c r="P10" i="123"/>
  <c r="BV13" i="126" s="1"/>
  <c r="T10" i="113"/>
  <c r="AC12" i="121"/>
  <c r="X9" i="113"/>
  <c r="P9" i="123"/>
  <c r="BV12" i="126" s="1"/>
  <c r="T9" i="113"/>
  <c r="AM9" i="73" s="1"/>
  <c r="AC11" i="121"/>
  <c r="X8" i="113"/>
  <c r="AM149" i="73" s="1"/>
  <c r="P7" i="123"/>
  <c r="BV10" i="126" s="1"/>
  <c r="T8" i="113"/>
  <c r="AM8" i="73" s="1"/>
  <c r="AC9" i="121"/>
  <c r="X7" i="113"/>
  <c r="AM148" i="73" s="1"/>
  <c r="P8" i="123"/>
  <c r="BV11" i="126" s="1"/>
  <c r="T7" i="113"/>
  <c r="AM7" i="73" s="1"/>
  <c r="AC10" i="121"/>
  <c r="X6" i="113"/>
  <c r="AM147" i="73" s="1"/>
  <c r="P6" i="123"/>
  <c r="BV9" i="126" s="1"/>
  <c r="T6" i="113"/>
  <c r="AM6" i="73" s="1"/>
  <c r="AC8" i="121"/>
  <c r="X5" i="113"/>
  <c r="AM146" i="73" s="1"/>
  <c r="P5" i="123"/>
  <c r="T5" i="113"/>
  <c r="AM5" i="73" s="1"/>
  <c r="AC7" i="121"/>
  <c r="Q63" i="119"/>
  <c r="Q61" i="119"/>
  <c r="P60" i="119"/>
  <c r="Q57" i="119"/>
  <c r="P56" i="119"/>
  <c r="P54" i="119"/>
  <c r="Q51" i="119"/>
  <c r="Q47" i="119"/>
  <c r="P46" i="119"/>
  <c r="Q43" i="119"/>
  <c r="P42" i="119"/>
  <c r="P40" i="119"/>
  <c r="C12" i="118"/>
  <c r="AD37" i="121"/>
  <c r="W31" i="113"/>
  <c r="AM136" i="73" s="1"/>
  <c r="AA32" i="122"/>
  <c r="S30" i="65"/>
  <c r="W30" i="113"/>
  <c r="AM135" i="73" s="1"/>
  <c r="AA30" i="122"/>
  <c r="S29" i="65"/>
  <c r="W29" i="113"/>
  <c r="AM134" i="73" s="1"/>
  <c r="AA31" i="122"/>
  <c r="S28" i="65"/>
  <c r="W28" i="113"/>
  <c r="AM133" i="73" s="1"/>
  <c r="AA29" i="122"/>
  <c r="S27" i="65"/>
  <c r="W27" i="113"/>
  <c r="AM132" i="73" s="1"/>
  <c r="AA27" i="122"/>
  <c r="S26" i="65"/>
  <c r="W26" i="113"/>
  <c r="AM131" i="73" s="1"/>
  <c r="AA26" i="122"/>
  <c r="S25" i="65"/>
  <c r="W25" i="113"/>
  <c r="AA28" i="122"/>
  <c r="S24" i="65"/>
  <c r="W24" i="113"/>
  <c r="AM129" i="73" s="1"/>
  <c r="AA25" i="122"/>
  <c r="S23" i="65"/>
  <c r="W23" i="113"/>
  <c r="AM128" i="73" s="1"/>
  <c r="AA24" i="122"/>
  <c r="S22" i="65"/>
  <c r="W22" i="113"/>
  <c r="AM127" i="73" s="1"/>
  <c r="AA22" i="122"/>
  <c r="S21" i="65"/>
  <c r="W21" i="113"/>
  <c r="AM126" i="73" s="1"/>
  <c r="AA21" i="122"/>
  <c r="S20" i="65"/>
  <c r="W20" i="113"/>
  <c r="AM125" i="73" s="1"/>
  <c r="AA23" i="122"/>
  <c r="S19" i="65"/>
  <c r="AA20" i="122"/>
  <c r="S18" i="65"/>
  <c r="W18" i="113"/>
  <c r="AM123" i="73" s="1"/>
  <c r="AA19" i="122"/>
  <c r="S17" i="65"/>
  <c r="W17" i="113"/>
  <c r="AM122" i="73" s="1"/>
  <c r="AA16" i="122"/>
  <c r="S16" i="65"/>
  <c r="W16" i="113"/>
  <c r="AM121" i="73" s="1"/>
  <c r="AA17" i="122"/>
  <c r="S15" i="65"/>
  <c r="W15" i="113"/>
  <c r="AA18" i="122"/>
  <c r="S14" i="65"/>
  <c r="W14" i="113"/>
  <c r="AM119" i="73" s="1"/>
  <c r="AA15" i="122"/>
  <c r="S13" i="65"/>
  <c r="W13" i="113"/>
  <c r="AM118" i="73" s="1"/>
  <c r="AA14" i="122"/>
  <c r="S12" i="65"/>
  <c r="W12" i="113"/>
  <c r="AM117" i="73" s="1"/>
  <c r="AA13" i="122"/>
  <c r="S11" i="65"/>
  <c r="W11" i="113"/>
  <c r="AM116" i="73" s="1"/>
  <c r="AA12" i="122"/>
  <c r="S10" i="65"/>
  <c r="W10" i="113"/>
  <c r="AM115" i="73" s="1"/>
  <c r="AA11" i="122"/>
  <c r="S9" i="65"/>
  <c r="W9" i="113"/>
  <c r="AM114" i="73" s="1"/>
  <c r="AA10" i="122"/>
  <c r="S8" i="65"/>
  <c r="W8" i="113"/>
  <c r="AM113" i="73" s="1"/>
  <c r="AA8" i="122"/>
  <c r="S7" i="65"/>
  <c r="W7" i="113"/>
  <c r="AM112" i="73" s="1"/>
  <c r="AA9" i="122"/>
  <c r="S6" i="65"/>
  <c r="W6" i="113"/>
  <c r="AM111" i="73" s="1"/>
  <c r="AA7" i="122"/>
  <c r="S5" i="65"/>
  <c r="W5" i="113"/>
  <c r="AM110" i="73" s="1"/>
  <c r="AA6" i="122"/>
  <c r="S4" i="65"/>
  <c r="P63" i="119"/>
  <c r="P61" i="119"/>
  <c r="Q58" i="119"/>
  <c r="P57" i="119"/>
  <c r="Q52" i="119"/>
  <c r="P51" i="119"/>
  <c r="Q48" i="119"/>
  <c r="P47" i="119"/>
  <c r="Q44" i="119"/>
  <c r="P43" i="119"/>
  <c r="Q38" i="119"/>
  <c r="D11" i="118"/>
  <c r="X36" i="122"/>
  <c r="U31" i="112"/>
  <c r="AL65" i="73" s="1"/>
  <c r="AB33" i="121"/>
  <c r="P30" i="65"/>
  <c r="X30" i="112"/>
  <c r="AL171" i="73" s="1"/>
  <c r="O29" i="123"/>
  <c r="BL32" i="126" s="1"/>
  <c r="T30" i="112"/>
  <c r="AA31" i="121"/>
  <c r="W29" i="112"/>
  <c r="AL134" i="73" s="1"/>
  <c r="Y31" i="122"/>
  <c r="Q28" i="65"/>
  <c r="V28" i="112"/>
  <c r="AL99" i="73" s="1"/>
  <c r="X29" i="122"/>
  <c r="U27" i="112"/>
  <c r="AL61" i="73" s="1"/>
  <c r="P26" i="65"/>
  <c r="AB28" i="121"/>
  <c r="X26" i="112"/>
  <c r="AL167" i="73" s="1"/>
  <c r="O25" i="123"/>
  <c r="BL28" i="126" s="1"/>
  <c r="T26" i="112"/>
  <c r="AL26" i="73" s="1"/>
  <c r="AA27" i="121"/>
  <c r="W25" i="112"/>
  <c r="Q24" i="65"/>
  <c r="Y28" i="122"/>
  <c r="V24" i="112"/>
  <c r="AL95" i="73" s="1"/>
  <c r="X25" i="122"/>
  <c r="X23" i="112"/>
  <c r="AL164" i="73" s="1"/>
  <c r="O23" i="123"/>
  <c r="BL26" i="126" s="1"/>
  <c r="T23" i="112"/>
  <c r="AL23" i="73" s="1"/>
  <c r="AA25" i="121"/>
  <c r="W22" i="112"/>
  <c r="AL127" i="73" s="1"/>
  <c r="Y22" i="122"/>
  <c r="Q21" i="65"/>
  <c r="V21" i="112"/>
  <c r="AL92" i="73" s="1"/>
  <c r="X21" i="122"/>
  <c r="U20" i="112"/>
  <c r="AL54" i="73" s="1"/>
  <c r="AB24" i="121"/>
  <c r="P19" i="65"/>
  <c r="X19" i="112"/>
  <c r="O19" i="123"/>
  <c r="BL22" i="126" s="1"/>
  <c r="T19" i="112"/>
  <c r="AL19" i="73" s="1"/>
  <c r="AA21" i="121"/>
  <c r="W18" i="112"/>
  <c r="AL123" i="73" s="1"/>
  <c r="Y19" i="122"/>
  <c r="Q17" i="65"/>
  <c r="V17" i="112"/>
  <c r="AL88" i="73" s="1"/>
  <c r="X16" i="122"/>
  <c r="U16" i="112"/>
  <c r="AB18" i="121"/>
  <c r="P15" i="65"/>
  <c r="X15" i="112"/>
  <c r="AL156" i="73" s="1"/>
  <c r="O17" i="123"/>
  <c r="BL20" i="126" s="1"/>
  <c r="T15" i="112"/>
  <c r="AL15" i="73" s="1"/>
  <c r="AA19" i="121"/>
  <c r="W14" i="112"/>
  <c r="AL119" i="73" s="1"/>
  <c r="Y15" i="122"/>
  <c r="Q13" i="65"/>
  <c r="V13" i="112"/>
  <c r="AL84" i="73" s="1"/>
  <c r="X14" i="122"/>
  <c r="U12" i="112"/>
  <c r="AL46" i="73" s="1"/>
  <c r="AB14" i="121"/>
  <c r="P11" i="65"/>
  <c r="X11" i="112"/>
  <c r="AL152" i="73" s="1"/>
  <c r="O11" i="123"/>
  <c r="BL14" i="126" s="1"/>
  <c r="T11" i="112"/>
  <c r="AL11" i="73" s="1"/>
  <c r="AA13" i="121"/>
  <c r="W10" i="112"/>
  <c r="AL115" i="73" s="1"/>
  <c r="Y11" i="122"/>
  <c r="Q9" i="65"/>
  <c r="V9" i="112"/>
  <c r="X10" i="122"/>
  <c r="U8" i="112"/>
  <c r="AL42" i="73" s="1"/>
  <c r="AB9" i="121"/>
  <c r="P7" i="65"/>
  <c r="X7" i="112"/>
  <c r="AL148" i="73" s="1"/>
  <c r="O8" i="123"/>
  <c r="BL11" i="126" s="1"/>
  <c r="T7" i="112"/>
  <c r="AL7" i="73" s="1"/>
  <c r="AA10" i="121"/>
  <c r="W6" i="112"/>
  <c r="AL111" i="73" s="1"/>
  <c r="Y7" i="122"/>
  <c r="Q5" i="65"/>
  <c r="V5" i="112"/>
  <c r="AL76" i="73" s="1"/>
  <c r="X6" i="122"/>
  <c r="C11" i="118"/>
  <c r="X34" i="62" s="1"/>
  <c r="AB37" i="121"/>
  <c r="X31" i="112"/>
  <c r="AL172" i="73" s="1"/>
  <c r="O31" i="123"/>
  <c r="BL34" i="126" s="1"/>
  <c r="T31" i="112"/>
  <c r="AL31" i="73" s="1"/>
  <c r="AA33" i="121"/>
  <c r="W30" i="112"/>
  <c r="AL135" i="73" s="1"/>
  <c r="Y30" i="122"/>
  <c r="Q29" i="65"/>
  <c r="V29" i="112"/>
  <c r="X31" i="122"/>
  <c r="U28" i="112"/>
  <c r="AL62" i="73" s="1"/>
  <c r="AB30" i="121"/>
  <c r="P27" i="65"/>
  <c r="X27" i="112"/>
  <c r="AL168" i="73" s="1"/>
  <c r="O26" i="123"/>
  <c r="BL29" i="126" s="1"/>
  <c r="T27" i="112"/>
  <c r="AL27" i="73" s="1"/>
  <c r="AA28" i="121"/>
  <c r="W26" i="112"/>
  <c r="AL131" i="73" s="1"/>
  <c r="Y26" i="122"/>
  <c r="Q25" i="65"/>
  <c r="V25" i="112"/>
  <c r="AL96" i="73" s="1"/>
  <c r="X28" i="122"/>
  <c r="U24" i="112"/>
  <c r="AL58" i="73" s="1"/>
  <c r="AB26" i="121"/>
  <c r="P23" i="65"/>
  <c r="W23" i="112"/>
  <c r="AL128" i="73" s="1"/>
  <c r="Q22" i="65"/>
  <c r="Y24" i="122"/>
  <c r="V22" i="112"/>
  <c r="AL93" i="73" s="1"/>
  <c r="X22" i="122"/>
  <c r="U21" i="112"/>
  <c r="AL55" i="73" s="1"/>
  <c r="P20" i="65"/>
  <c r="AB22" i="121"/>
  <c r="X20" i="112"/>
  <c r="AL161" i="73" s="1"/>
  <c r="O22" i="123"/>
  <c r="BL25" i="126" s="1"/>
  <c r="T20" i="112"/>
  <c r="AA24" i="121"/>
  <c r="W19" i="112"/>
  <c r="AL124" i="73" s="1"/>
  <c r="Q18" i="65"/>
  <c r="Y20" i="122"/>
  <c r="V18" i="112"/>
  <c r="AL89" i="73" s="1"/>
  <c r="X19" i="122"/>
  <c r="U17" i="112"/>
  <c r="AL51" i="73" s="1"/>
  <c r="AB17" i="121"/>
  <c r="P16" i="65"/>
  <c r="X16" i="112"/>
  <c r="AL157" i="73" s="1"/>
  <c r="O16" i="123"/>
  <c r="BL19" i="126" s="1"/>
  <c r="T16" i="112"/>
  <c r="AL16" i="73" s="1"/>
  <c r="AA18" i="121"/>
  <c r="W15" i="112"/>
  <c r="Q14" i="65"/>
  <c r="Y18" i="122"/>
  <c r="V14" i="112"/>
  <c r="AL85" i="73" s="1"/>
  <c r="X15" i="122"/>
  <c r="U13" i="112"/>
  <c r="AL47" i="73" s="1"/>
  <c r="AB15" i="121"/>
  <c r="P12" i="65"/>
  <c r="X12" i="112"/>
  <c r="AL153" i="73" s="1"/>
  <c r="O12" i="123"/>
  <c r="BL15" i="126" s="1"/>
  <c r="T12" i="112"/>
  <c r="AL12" i="73" s="1"/>
  <c r="AA14" i="121"/>
  <c r="W11" i="112"/>
  <c r="AL116" i="73" s="1"/>
  <c r="Q10" i="65"/>
  <c r="Y12" i="122"/>
  <c r="V10" i="112"/>
  <c r="AL81" i="73" s="1"/>
  <c r="X11" i="122"/>
  <c r="U9" i="112"/>
  <c r="AL43" i="73" s="1"/>
  <c r="AB11" i="121"/>
  <c r="P8" i="65"/>
  <c r="X8" i="112"/>
  <c r="AL149" i="73" s="1"/>
  <c r="O7" i="123"/>
  <c r="BL10" i="126" s="1"/>
  <c r="T8" i="112"/>
  <c r="AL8" i="73" s="1"/>
  <c r="AA9" i="121"/>
  <c r="W7" i="112"/>
  <c r="AL112" i="73" s="1"/>
  <c r="Y9" i="122"/>
  <c r="Q6" i="65"/>
  <c r="V6" i="112"/>
  <c r="AL77" i="73" s="1"/>
  <c r="X7" i="122"/>
  <c r="U5" i="112"/>
  <c r="AL39" i="73" s="1"/>
  <c r="AB7" i="121"/>
  <c r="P4" i="65"/>
  <c r="AK102" i="108"/>
  <c r="P36" i="122" s="1"/>
  <c r="F11" i="118"/>
  <c r="O35" i="123"/>
  <c r="B11" i="118"/>
  <c r="H34" i="62" s="1"/>
  <c r="AA37" i="121"/>
  <c r="W31" i="112"/>
  <c r="AL136" i="73" s="1"/>
  <c r="Q30" i="65"/>
  <c r="Y32" i="122"/>
  <c r="V30" i="112"/>
  <c r="X30" i="122"/>
  <c r="BK32" i="126" s="1"/>
  <c r="U29" i="112"/>
  <c r="AL63" i="73" s="1"/>
  <c r="P28" i="65"/>
  <c r="AB32" i="121"/>
  <c r="X28" i="112"/>
  <c r="AL169" i="73" s="1"/>
  <c r="O28" i="123"/>
  <c r="BL31" i="126" s="1"/>
  <c r="T28" i="112"/>
  <c r="AL28" i="73" s="1"/>
  <c r="AA30" i="121"/>
  <c r="W27" i="112"/>
  <c r="AL132" i="73" s="1"/>
  <c r="Y27" i="122"/>
  <c r="Q26" i="65"/>
  <c r="V26" i="112"/>
  <c r="AL97" i="73" s="1"/>
  <c r="X26" i="122"/>
  <c r="BK28" i="126" s="1"/>
  <c r="U25" i="112"/>
  <c r="AL59" i="73" s="1"/>
  <c r="AB29" i="121"/>
  <c r="P24" i="65"/>
  <c r="X24" i="112"/>
  <c r="AL165" i="73" s="1"/>
  <c r="O24" i="123"/>
  <c r="BL27" i="126" s="1"/>
  <c r="T24" i="112"/>
  <c r="AL24" i="73" s="1"/>
  <c r="AA26" i="121"/>
  <c r="V23" i="112"/>
  <c r="AL94" i="73" s="1"/>
  <c r="X24" i="122"/>
  <c r="BK26" i="126" s="1"/>
  <c r="U22" i="112"/>
  <c r="AL56" i="73" s="1"/>
  <c r="AB23" i="121"/>
  <c r="P21" i="65"/>
  <c r="X21" i="112"/>
  <c r="AL162" i="73" s="1"/>
  <c r="O20" i="123"/>
  <c r="BL23" i="126" s="1"/>
  <c r="T21" i="112"/>
  <c r="AL21" i="73" s="1"/>
  <c r="AA22" i="121"/>
  <c r="W20" i="112"/>
  <c r="AL125" i="73" s="1"/>
  <c r="Y23" i="122"/>
  <c r="Q19" i="65"/>
  <c r="V19" i="112"/>
  <c r="X20" i="122"/>
  <c r="U18" i="112"/>
  <c r="AL52" i="73" s="1"/>
  <c r="AB20" i="121"/>
  <c r="P17" i="65"/>
  <c r="X17" i="112"/>
  <c r="AL158" i="73" s="1"/>
  <c r="O15" i="123"/>
  <c r="BL18" i="126" s="1"/>
  <c r="T17" i="112"/>
  <c r="AL17" i="73" s="1"/>
  <c r="AA17" i="121"/>
  <c r="W16" i="112"/>
  <c r="AL121" i="73" s="1"/>
  <c r="Y17" i="122"/>
  <c r="Q15" i="65"/>
  <c r="V15" i="112"/>
  <c r="AL86" i="73" s="1"/>
  <c r="X18" i="122"/>
  <c r="BK20" i="126" s="1"/>
  <c r="U14" i="112"/>
  <c r="AL48" i="73" s="1"/>
  <c r="AB16" i="121"/>
  <c r="P13" i="65"/>
  <c r="X13" i="112"/>
  <c r="AL154" i="73" s="1"/>
  <c r="O13" i="123"/>
  <c r="BL16" i="126" s="1"/>
  <c r="T13" i="112"/>
  <c r="AL13" i="73" s="1"/>
  <c r="AA15" i="121"/>
  <c r="W12" i="112"/>
  <c r="AL117" i="73" s="1"/>
  <c r="Y13" i="122"/>
  <c r="Q11" i="65"/>
  <c r="V11" i="112"/>
  <c r="AL82" i="73" s="1"/>
  <c r="X12" i="122"/>
  <c r="BK14" i="126" s="1"/>
  <c r="U10" i="112"/>
  <c r="AL44" i="73" s="1"/>
  <c r="AB12" i="121"/>
  <c r="P9" i="65"/>
  <c r="X9" i="112"/>
  <c r="O9" i="123"/>
  <c r="BL12" i="126" s="1"/>
  <c r="T9" i="112"/>
  <c r="AL9" i="73" s="1"/>
  <c r="AA11" i="121"/>
  <c r="W8" i="112"/>
  <c r="AL113" i="73" s="1"/>
  <c r="Y8" i="122"/>
  <c r="Q7" i="65"/>
  <c r="V7" i="112"/>
  <c r="AL78" i="73" s="1"/>
  <c r="X9" i="122"/>
  <c r="U6" i="112"/>
  <c r="AB8" i="121"/>
  <c r="P5" i="65"/>
  <c r="BL8" i="126"/>
  <c r="T5" i="112"/>
  <c r="AL5" i="73" s="1"/>
  <c r="AA7" i="121"/>
  <c r="E11" i="118"/>
  <c r="Y36" i="122"/>
  <c r="V31" i="112"/>
  <c r="X32" i="122"/>
  <c r="U30" i="112"/>
  <c r="AL64" i="73" s="1"/>
  <c r="AB31" i="121"/>
  <c r="P29" i="65"/>
  <c r="X29" i="112"/>
  <c r="O30" i="123"/>
  <c r="BL33" i="126" s="1"/>
  <c r="T29" i="112"/>
  <c r="AL29" i="73" s="1"/>
  <c r="AA32" i="121"/>
  <c r="W28" i="112"/>
  <c r="AL133" i="73" s="1"/>
  <c r="Y29" i="122"/>
  <c r="Q27" i="65"/>
  <c r="V27" i="112"/>
  <c r="AL98" i="73" s="1"/>
  <c r="X27" i="122"/>
  <c r="U26" i="112"/>
  <c r="AB27" i="121"/>
  <c r="P25" i="65"/>
  <c r="X25" i="112"/>
  <c r="AL166" i="73" s="1"/>
  <c r="O27" i="123"/>
  <c r="BL30" i="126" s="1"/>
  <c r="T25" i="112"/>
  <c r="AL25" i="73" s="1"/>
  <c r="AA29" i="121"/>
  <c r="W24" i="112"/>
  <c r="AL129" i="73" s="1"/>
  <c r="Y25" i="122"/>
  <c r="Q23" i="65"/>
  <c r="U23" i="112"/>
  <c r="AL57" i="73" s="1"/>
  <c r="AB25" i="121"/>
  <c r="P22" i="65"/>
  <c r="X22" i="112"/>
  <c r="AL163" i="73" s="1"/>
  <c r="O21" i="123"/>
  <c r="BL24" i="126" s="1"/>
  <c r="T22" i="112"/>
  <c r="AL22" i="73" s="1"/>
  <c r="AA23" i="121"/>
  <c r="W21" i="112"/>
  <c r="AL126" i="73" s="1"/>
  <c r="Y21" i="122"/>
  <c r="Q20" i="65"/>
  <c r="V20" i="112"/>
  <c r="AL91" i="73" s="1"/>
  <c r="X23" i="122"/>
  <c r="U19" i="112"/>
  <c r="AL53" i="73" s="1"/>
  <c r="AB21" i="121"/>
  <c r="P18" i="65"/>
  <c r="X18" i="112"/>
  <c r="AL159" i="73" s="1"/>
  <c r="O18" i="123"/>
  <c r="BL21" i="126" s="1"/>
  <c r="T18" i="112"/>
  <c r="AL18" i="73" s="1"/>
  <c r="AA20" i="121"/>
  <c r="W17" i="112"/>
  <c r="AL122" i="73" s="1"/>
  <c r="Q16" i="65"/>
  <c r="Y16" i="122"/>
  <c r="V16" i="112"/>
  <c r="AL87" i="73" s="1"/>
  <c r="X17" i="122"/>
  <c r="U15" i="112"/>
  <c r="AL49" i="73" s="1"/>
  <c r="AB19" i="121"/>
  <c r="P14" i="65"/>
  <c r="X14" i="112"/>
  <c r="AL155" i="73" s="1"/>
  <c r="O14" i="123"/>
  <c r="BL17" i="126" s="1"/>
  <c r="T14" i="112"/>
  <c r="AL14" i="73" s="1"/>
  <c r="AA16" i="121"/>
  <c r="W13" i="112"/>
  <c r="AL118" i="73" s="1"/>
  <c r="Q12" i="65"/>
  <c r="Y14" i="122"/>
  <c r="V12" i="112"/>
  <c r="AL83" i="73" s="1"/>
  <c r="X13" i="122"/>
  <c r="U11" i="112"/>
  <c r="AL45" i="73" s="1"/>
  <c r="AB13" i="121"/>
  <c r="P10" i="65"/>
  <c r="X10" i="112"/>
  <c r="AL151" i="73" s="1"/>
  <c r="O10" i="123"/>
  <c r="BL13" i="126" s="1"/>
  <c r="T10" i="112"/>
  <c r="AA12" i="121"/>
  <c r="W9" i="112"/>
  <c r="AL114" i="73" s="1"/>
  <c r="Q8" i="65"/>
  <c r="Y10" i="122"/>
  <c r="V8" i="112"/>
  <c r="AL79" i="73" s="1"/>
  <c r="X8" i="122"/>
  <c r="U7" i="112"/>
  <c r="AL41" i="73" s="1"/>
  <c r="P6" i="65"/>
  <c r="AB10" i="121"/>
  <c r="X6" i="112"/>
  <c r="AL147" i="73" s="1"/>
  <c r="O6" i="123"/>
  <c r="BL9" i="126" s="1"/>
  <c r="T6" i="112"/>
  <c r="AL6" i="73" s="1"/>
  <c r="AA8" i="121"/>
  <c r="Q4" i="65"/>
  <c r="Y6" i="122"/>
  <c r="AM5" i="106"/>
  <c r="AF146" i="73" s="1"/>
  <c r="I5" i="123"/>
  <c r="C34" i="126"/>
  <c r="C32" i="126"/>
  <c r="AM29" i="106"/>
  <c r="AF170" i="73" s="1"/>
  <c r="I30" i="123"/>
  <c r="D33" i="126" s="1"/>
  <c r="AI29" i="106"/>
  <c r="AF29" i="73" s="1"/>
  <c r="O32" i="121"/>
  <c r="AM28" i="106"/>
  <c r="AF169" i="73" s="1"/>
  <c r="I28" i="123"/>
  <c r="D31" i="126" s="1"/>
  <c r="AI28" i="106"/>
  <c r="AF28" i="73" s="1"/>
  <c r="O30" i="121"/>
  <c r="AM27" i="106"/>
  <c r="AF168" i="73" s="1"/>
  <c r="I26" i="123"/>
  <c r="D29" i="126" s="1"/>
  <c r="AI27" i="106"/>
  <c r="AF27" i="73" s="1"/>
  <c r="O28" i="121"/>
  <c r="B28" i="126"/>
  <c r="B30" i="126"/>
  <c r="B27" i="126"/>
  <c r="AM23" i="106"/>
  <c r="AF164" i="73" s="1"/>
  <c r="I23" i="123"/>
  <c r="D26" i="126" s="1"/>
  <c r="AI23" i="106"/>
  <c r="AF23" i="73" s="1"/>
  <c r="O25" i="121"/>
  <c r="AM22" i="106"/>
  <c r="AF163" i="73" s="1"/>
  <c r="I21" i="123"/>
  <c r="D24" i="126" s="1"/>
  <c r="AI22" i="106"/>
  <c r="AF22" i="73" s="1"/>
  <c r="O23" i="121"/>
  <c r="B23" i="126"/>
  <c r="B25" i="126"/>
  <c r="AM19" i="106"/>
  <c r="AF160" i="73" s="1"/>
  <c r="B584" i="73" s="1"/>
  <c r="I19" i="123"/>
  <c r="D22" i="126" s="1"/>
  <c r="AI19" i="106"/>
  <c r="AF19" i="73" s="1"/>
  <c r="O21" i="121"/>
  <c r="AM18" i="106"/>
  <c r="AF159" i="73" s="1"/>
  <c r="I18" i="123"/>
  <c r="D21" i="126" s="1"/>
  <c r="AI18" i="106"/>
  <c r="AF18" i="73" s="1"/>
  <c r="O20" i="121"/>
  <c r="AM17" i="106"/>
  <c r="AF158" i="73" s="1"/>
  <c r="I15" i="123"/>
  <c r="D18" i="126" s="1"/>
  <c r="AI17" i="106"/>
  <c r="AF17" i="73" s="1"/>
  <c r="O17" i="121"/>
  <c r="AK14" i="106"/>
  <c r="AF85" i="73" s="1"/>
  <c r="L15" i="122"/>
  <c r="AK13" i="106"/>
  <c r="AF84" i="73" s="1"/>
  <c r="L14" i="122"/>
  <c r="AK12" i="106"/>
  <c r="AF83" i="73" s="1"/>
  <c r="L13" i="122"/>
  <c r="AM10" i="106"/>
  <c r="I10" i="123"/>
  <c r="D13" i="126" s="1"/>
  <c r="AI10" i="106"/>
  <c r="AF10" i="73" s="1"/>
  <c r="B251" i="73" s="1"/>
  <c r="O12" i="121"/>
  <c r="AK5" i="106"/>
  <c r="L6" i="122"/>
  <c r="E10" i="118"/>
  <c r="W36" i="122"/>
  <c r="Y30" i="111"/>
  <c r="Z31" i="121"/>
  <c r="N29" i="65"/>
  <c r="B29" i="119"/>
  <c r="E27" i="66" s="1"/>
  <c r="Y32" i="121"/>
  <c r="O27" i="65"/>
  <c r="W29" i="122"/>
  <c r="BA31" i="126" s="1"/>
  <c r="Y26" i="111"/>
  <c r="N25" i="65"/>
  <c r="Z27" i="121"/>
  <c r="B25" i="119"/>
  <c r="E29" i="66" s="1"/>
  <c r="Y29" i="121"/>
  <c r="W25" i="122"/>
  <c r="BA27" i="126" s="1"/>
  <c r="O23" i="65"/>
  <c r="Y22" i="111"/>
  <c r="Z23" i="121"/>
  <c r="N21" i="65"/>
  <c r="B21" i="119"/>
  <c r="Y22" i="121"/>
  <c r="W23" i="122"/>
  <c r="O19" i="65"/>
  <c r="Y18" i="111"/>
  <c r="C18" i="119"/>
  <c r="H7" i="66" s="1"/>
  <c r="Z20" i="121"/>
  <c r="AZ21" i="126" s="1"/>
  <c r="N17" i="65"/>
  <c r="W17" i="122"/>
  <c r="BA19" i="126" s="1"/>
  <c r="O15" i="65"/>
  <c r="Y14" i="111"/>
  <c r="C14" i="119"/>
  <c r="H14" i="66" s="1"/>
  <c r="N13" i="65"/>
  <c r="Z16" i="121"/>
  <c r="AZ17" i="126" s="1"/>
  <c r="W13" i="122"/>
  <c r="BA15" i="126" s="1"/>
  <c r="O11" i="65"/>
  <c r="Y10" i="111"/>
  <c r="C10" i="119"/>
  <c r="H13" i="66" s="1"/>
  <c r="Z12" i="121"/>
  <c r="AZ13" i="126" s="1"/>
  <c r="N9" i="65"/>
  <c r="W8" i="122"/>
  <c r="BA10" i="126" s="1"/>
  <c r="O7" i="65"/>
  <c r="Y6" i="111"/>
  <c r="C6" i="119"/>
  <c r="H11" i="66" s="1"/>
  <c r="Z8" i="121"/>
  <c r="N5" i="65"/>
  <c r="N32" i="123"/>
  <c r="BB8" i="126"/>
  <c r="BB35" i="126" s="1"/>
  <c r="AM31" i="107"/>
  <c r="AG172" i="73" s="1"/>
  <c r="J31" i="123"/>
  <c r="N34" i="126" s="1"/>
  <c r="AI31" i="107"/>
  <c r="AG31" i="73" s="1"/>
  <c r="Q33" i="121"/>
  <c r="L34" i="126" s="1"/>
  <c r="AK29" i="107"/>
  <c r="AG100" i="73" s="1"/>
  <c r="C432" i="73" s="1"/>
  <c r="N31" i="122"/>
  <c r="AM27" i="107"/>
  <c r="AG168" i="73" s="1"/>
  <c r="J26" i="123"/>
  <c r="N29" i="126" s="1"/>
  <c r="AI27" i="107"/>
  <c r="AG27" i="73" s="1"/>
  <c r="Q28" i="121"/>
  <c r="L29" i="126" s="1"/>
  <c r="AK25" i="107"/>
  <c r="AG96" i="73" s="1"/>
  <c r="N28" i="122"/>
  <c r="AM23" i="107"/>
  <c r="AG164" i="73" s="1"/>
  <c r="J23" i="123"/>
  <c r="N26" i="126" s="1"/>
  <c r="AI23" i="107"/>
  <c r="AG23" i="73" s="1"/>
  <c r="Q25" i="121"/>
  <c r="L26" i="126" s="1"/>
  <c r="AK21" i="107"/>
  <c r="AG92" i="73" s="1"/>
  <c r="N21" i="122"/>
  <c r="F19" i="65"/>
  <c r="R24" i="121"/>
  <c r="AM19" i="107"/>
  <c r="AG160" i="73" s="1"/>
  <c r="C584" i="73" s="1"/>
  <c r="J19" i="123"/>
  <c r="N22" i="126" s="1"/>
  <c r="AI19" i="107"/>
  <c r="AG19" i="73" s="1"/>
  <c r="Q21" i="121"/>
  <c r="L22" i="126" s="1"/>
  <c r="AK17" i="107"/>
  <c r="AG88" i="73" s="1"/>
  <c r="N16" i="122"/>
  <c r="AM15" i="107"/>
  <c r="AG156" i="73" s="1"/>
  <c r="J17" i="123"/>
  <c r="N20" i="126" s="1"/>
  <c r="AI15" i="107"/>
  <c r="AG15" i="73" s="1"/>
  <c r="Q19" i="121"/>
  <c r="L20" i="126" s="1"/>
  <c r="AK13" i="107"/>
  <c r="AG84" i="73" s="1"/>
  <c r="N14" i="122"/>
  <c r="AM11" i="107"/>
  <c r="AG152" i="73" s="1"/>
  <c r="J11" i="123"/>
  <c r="N14" i="126" s="1"/>
  <c r="AI11" i="107"/>
  <c r="AG11" i="73" s="1"/>
  <c r="Q13" i="121"/>
  <c r="L14" i="126" s="1"/>
  <c r="AH10" i="107"/>
  <c r="O11" i="122"/>
  <c r="AK9" i="107"/>
  <c r="AG80" i="73" s="1"/>
  <c r="C412" i="73" s="1"/>
  <c r="N10" i="122"/>
  <c r="AM7" i="107"/>
  <c r="AG148" i="73" s="1"/>
  <c r="J8" i="123"/>
  <c r="N11" i="126" s="1"/>
  <c r="AI7" i="107"/>
  <c r="AG7" i="73" s="1"/>
  <c r="Q10" i="121"/>
  <c r="L11" i="126" s="1"/>
  <c r="AG32" i="107"/>
  <c r="AK5" i="107"/>
  <c r="AG76" i="73" s="1"/>
  <c r="N6" i="122"/>
  <c r="AM16" i="106"/>
  <c r="AF157" i="73" s="1"/>
  <c r="I16" i="123"/>
  <c r="D19" i="126" s="1"/>
  <c r="AK15" i="106"/>
  <c r="AF86" i="73" s="1"/>
  <c r="L18" i="122"/>
  <c r="AM11" i="106"/>
  <c r="AF152" i="73" s="1"/>
  <c r="I11" i="123"/>
  <c r="D14" i="126" s="1"/>
  <c r="AI11" i="106"/>
  <c r="AF11" i="73" s="1"/>
  <c r="O13" i="121"/>
  <c r="AK9" i="106"/>
  <c r="AF80" i="73" s="1"/>
  <c r="L10" i="122"/>
  <c r="AK8" i="106"/>
  <c r="AF79" i="73" s="1"/>
  <c r="L8" i="122"/>
  <c r="AM7" i="106"/>
  <c r="AF148" i="73" s="1"/>
  <c r="I8" i="123"/>
  <c r="D11" i="126" s="1"/>
  <c r="AI7" i="106"/>
  <c r="AF7" i="73" s="1"/>
  <c r="O10" i="121"/>
  <c r="AM6" i="106"/>
  <c r="AF147" i="73" s="1"/>
  <c r="I6" i="123"/>
  <c r="D9" i="126" s="1"/>
  <c r="AI6" i="106"/>
  <c r="AF6" i="73" s="1"/>
  <c r="O8" i="121"/>
  <c r="P34" i="121"/>
  <c r="U6" i="122"/>
  <c r="M4" i="65"/>
  <c r="D10" i="118"/>
  <c r="V36" i="122"/>
  <c r="Y31" i="111"/>
  <c r="N30" i="65"/>
  <c r="Z33" i="121"/>
  <c r="B30" i="119"/>
  <c r="E19" i="66" s="1"/>
  <c r="Y31" i="121"/>
  <c r="O28" i="65"/>
  <c r="W31" i="122"/>
  <c r="BA33" i="126" s="1"/>
  <c r="Y27" i="111"/>
  <c r="N26" i="65"/>
  <c r="Z28" i="121"/>
  <c r="B26" i="119"/>
  <c r="E8" i="66" s="1"/>
  <c r="Y27" i="121"/>
  <c r="W28" i="122"/>
  <c r="BA30" i="126" s="1"/>
  <c r="O24" i="65"/>
  <c r="Y23" i="111"/>
  <c r="N22" i="65"/>
  <c r="Z25" i="121"/>
  <c r="B22" i="119"/>
  <c r="E17" i="66" s="1"/>
  <c r="Y23" i="121"/>
  <c r="O20" i="65"/>
  <c r="W21" i="122"/>
  <c r="BA25" i="126"/>
  <c r="Y19" i="111"/>
  <c r="C19" i="119"/>
  <c r="H15" i="66" s="1"/>
  <c r="N18" i="65"/>
  <c r="Z21" i="121"/>
  <c r="AZ22" i="126" s="1"/>
  <c r="W16" i="122"/>
  <c r="BA18" i="126" s="1"/>
  <c r="O16" i="65"/>
  <c r="Y15" i="111"/>
  <c r="C15" i="119"/>
  <c r="N14" i="65"/>
  <c r="Z19" i="121"/>
  <c r="AZ20" i="126" s="1"/>
  <c r="W14" i="122"/>
  <c r="BA16" i="126" s="1"/>
  <c r="O12" i="65"/>
  <c r="Y11" i="111"/>
  <c r="C11" i="119"/>
  <c r="H20" i="66" s="1"/>
  <c r="N10" i="65"/>
  <c r="Z13" i="121"/>
  <c r="AZ14" i="126" s="1"/>
  <c r="W10" i="122"/>
  <c r="BA12" i="126" s="1"/>
  <c r="O8" i="65"/>
  <c r="Y7" i="111"/>
  <c r="C7" i="119"/>
  <c r="H6" i="66" s="1"/>
  <c r="N6" i="65"/>
  <c r="Z10" i="121"/>
  <c r="AZ11" i="126" s="1"/>
  <c r="AZ9" i="126"/>
  <c r="O4" i="65"/>
  <c r="W6" i="122"/>
  <c r="AK30" i="107"/>
  <c r="AG101" i="73" s="1"/>
  <c r="C433" i="73" s="1"/>
  <c r="N30" i="122"/>
  <c r="AM28" i="107"/>
  <c r="AG169" i="73" s="1"/>
  <c r="J28" i="123"/>
  <c r="N31" i="126" s="1"/>
  <c r="AI28" i="107"/>
  <c r="AG28" i="73" s="1"/>
  <c r="Q30" i="121"/>
  <c r="L31" i="126" s="1"/>
  <c r="AK26" i="107"/>
  <c r="AG97" i="73" s="1"/>
  <c r="N26" i="122"/>
  <c r="AM24" i="107"/>
  <c r="AG165" i="73" s="1"/>
  <c r="J24" i="123"/>
  <c r="N27" i="126" s="1"/>
  <c r="AI24" i="107"/>
  <c r="AG24" i="73" s="1"/>
  <c r="Q26" i="121"/>
  <c r="L27" i="126" s="1"/>
  <c r="AK22" i="107"/>
  <c r="AG93" i="73" s="1"/>
  <c r="N22" i="122"/>
  <c r="AM20" i="107"/>
  <c r="AG161" i="73" s="1"/>
  <c r="J22" i="123"/>
  <c r="N25" i="126" s="1"/>
  <c r="AI20" i="107"/>
  <c r="AG20" i="73" s="1"/>
  <c r="C261" i="73" s="1"/>
  <c r="Q24" i="121"/>
  <c r="AK18" i="107"/>
  <c r="AG89" i="73" s="1"/>
  <c r="N19" i="122"/>
  <c r="AM16" i="107"/>
  <c r="AG157" i="73" s="1"/>
  <c r="J16" i="123"/>
  <c r="N19" i="126" s="1"/>
  <c r="AI16" i="107"/>
  <c r="AG16" i="73" s="1"/>
  <c r="Q18" i="121"/>
  <c r="L19" i="126" s="1"/>
  <c r="AK14" i="107"/>
  <c r="AG85" i="73" s="1"/>
  <c r="N15" i="122"/>
  <c r="AM12" i="107"/>
  <c r="AG153" i="73" s="1"/>
  <c r="J12" i="123"/>
  <c r="N15" i="126" s="1"/>
  <c r="AI12" i="107"/>
  <c r="AG12" i="73" s="1"/>
  <c r="Q14" i="121"/>
  <c r="L15" i="126" s="1"/>
  <c r="AK10" i="107"/>
  <c r="AG81" i="73" s="1"/>
  <c r="N11" i="122"/>
  <c r="AM8" i="107"/>
  <c r="AG149" i="73" s="1"/>
  <c r="J7" i="123"/>
  <c r="N10" i="126" s="1"/>
  <c r="AI8" i="107"/>
  <c r="AG8" i="73" s="1"/>
  <c r="Q9" i="121"/>
  <c r="L10" i="126" s="1"/>
  <c r="AK6" i="107"/>
  <c r="AG77" i="73" s="1"/>
  <c r="N7" i="122"/>
  <c r="AM31" i="106"/>
  <c r="AF172" i="73" s="1"/>
  <c r="I31" i="123"/>
  <c r="D34" i="126" s="1"/>
  <c r="AI31" i="106"/>
  <c r="AF31" i="73" s="1"/>
  <c r="O33" i="121"/>
  <c r="AM30" i="106"/>
  <c r="AF171" i="73" s="1"/>
  <c r="I29" i="123"/>
  <c r="D32" i="126" s="1"/>
  <c r="AI30" i="106"/>
  <c r="AF30" i="73" s="1"/>
  <c r="O31" i="121"/>
  <c r="AK29" i="106"/>
  <c r="AF100" i="73" s="1"/>
  <c r="B432" i="73" s="1"/>
  <c r="L31" i="122"/>
  <c r="AK28" i="106"/>
  <c r="AF99" i="73" s="1"/>
  <c r="L29" i="122"/>
  <c r="AK27" i="106"/>
  <c r="AF98" i="73" s="1"/>
  <c r="L27" i="122"/>
  <c r="AK26" i="106"/>
  <c r="AF97" i="73" s="1"/>
  <c r="L26" i="122"/>
  <c r="AK25" i="106"/>
  <c r="AF96" i="73" s="1"/>
  <c r="L28" i="122"/>
  <c r="AK24" i="106"/>
  <c r="AF95" i="73" s="1"/>
  <c r="L25" i="122"/>
  <c r="AK23" i="106"/>
  <c r="AF94" i="73" s="1"/>
  <c r="L24" i="122"/>
  <c r="AK22" i="106"/>
  <c r="AF93" i="73" s="1"/>
  <c r="L22" i="122"/>
  <c r="AK21" i="106"/>
  <c r="AF92" i="73" s="1"/>
  <c r="L21" i="122"/>
  <c r="AK20" i="106"/>
  <c r="AF91" i="73" s="1"/>
  <c r="L23" i="122"/>
  <c r="AK19" i="106"/>
  <c r="AF90" i="73" s="1"/>
  <c r="B422" i="73" s="1"/>
  <c r="L20" i="122"/>
  <c r="AK18" i="106"/>
  <c r="AF89" i="73" s="1"/>
  <c r="L19" i="122"/>
  <c r="AK17" i="106"/>
  <c r="AF88" i="73" s="1"/>
  <c r="L16" i="122"/>
  <c r="AM14" i="106"/>
  <c r="AF155" i="73" s="1"/>
  <c r="I14" i="123"/>
  <c r="D17" i="126" s="1"/>
  <c r="AI14" i="106"/>
  <c r="AF14" i="73" s="1"/>
  <c r="O16" i="121"/>
  <c r="AM13" i="106"/>
  <c r="AF154" i="73" s="1"/>
  <c r="I13" i="123"/>
  <c r="D16" i="126" s="1"/>
  <c r="AI13" i="106"/>
  <c r="AF13" i="73" s="1"/>
  <c r="O15" i="121"/>
  <c r="AM12" i="106"/>
  <c r="AF153" i="73" s="1"/>
  <c r="I12" i="123"/>
  <c r="D15" i="126" s="1"/>
  <c r="AI12" i="106"/>
  <c r="AF12" i="73" s="1"/>
  <c r="O14" i="121"/>
  <c r="AK10" i="106"/>
  <c r="AF81" i="73" s="1"/>
  <c r="L11" i="122"/>
  <c r="AI5" i="106"/>
  <c r="AF5" i="73" s="1"/>
  <c r="O7" i="121"/>
  <c r="C10" i="118"/>
  <c r="Z37" i="121"/>
  <c r="B31" i="119"/>
  <c r="E10" i="66" s="1"/>
  <c r="Y33" i="121"/>
  <c r="W30" i="122"/>
  <c r="BA32" i="126" s="1"/>
  <c r="O29" i="65"/>
  <c r="Y28" i="111"/>
  <c r="N27" i="65"/>
  <c r="Z30" i="121"/>
  <c r="B27" i="119"/>
  <c r="E9" i="66" s="1"/>
  <c r="Y28" i="121"/>
  <c r="W26" i="122"/>
  <c r="BA28" i="126" s="1"/>
  <c r="O25" i="65"/>
  <c r="Y24" i="111"/>
  <c r="N23" i="65"/>
  <c r="Z26" i="121"/>
  <c r="B23" i="119"/>
  <c r="Y25" i="121"/>
  <c r="W22" i="122"/>
  <c r="BA24" i="126" s="1"/>
  <c r="O21" i="65"/>
  <c r="BA23" i="126"/>
  <c r="Y20" i="111"/>
  <c r="Z24" i="121"/>
  <c r="N19" i="65"/>
  <c r="O17" i="65"/>
  <c r="W19" i="122"/>
  <c r="Y16" i="111"/>
  <c r="C16" i="119"/>
  <c r="N15" i="65"/>
  <c r="Z18" i="121"/>
  <c r="AZ19" i="126" s="1"/>
  <c r="O13" i="65"/>
  <c r="W15" i="122"/>
  <c r="BA17" i="126" s="1"/>
  <c r="Y12" i="111"/>
  <c r="C12" i="119"/>
  <c r="H24" i="66" s="1"/>
  <c r="Z14" i="121"/>
  <c r="AZ15" i="126" s="1"/>
  <c r="N11" i="65"/>
  <c r="O9" i="65"/>
  <c r="W11" i="122"/>
  <c r="BA13" i="126" s="1"/>
  <c r="Y8" i="111"/>
  <c r="C8" i="119"/>
  <c r="Z9" i="121"/>
  <c r="AZ10" i="126" s="1"/>
  <c r="N7" i="65"/>
  <c r="O5" i="65"/>
  <c r="W7" i="122"/>
  <c r="V33" i="122"/>
  <c r="BA8" i="126"/>
  <c r="AK31" i="107"/>
  <c r="AG102" i="73" s="1"/>
  <c r="C434" i="73" s="1"/>
  <c r="N32" i="122"/>
  <c r="AM29" i="107"/>
  <c r="AG170" i="73" s="1"/>
  <c r="C594" i="73" s="1"/>
  <c r="J30" i="123"/>
  <c r="N33" i="126" s="1"/>
  <c r="AI29" i="107"/>
  <c r="AG29" i="73" s="1"/>
  <c r="Q32" i="121"/>
  <c r="L33" i="126" s="1"/>
  <c r="AK27" i="107"/>
  <c r="AG98" i="73" s="1"/>
  <c r="N27" i="122"/>
  <c r="AM25" i="107"/>
  <c r="AG166" i="73" s="1"/>
  <c r="J27" i="123"/>
  <c r="N30" i="126" s="1"/>
  <c r="AI25" i="107"/>
  <c r="AG25" i="73" s="1"/>
  <c r="Q29" i="121"/>
  <c r="L30" i="126" s="1"/>
  <c r="AK23" i="107"/>
  <c r="AG94" i="73" s="1"/>
  <c r="N24" i="122"/>
  <c r="AM21" i="107"/>
  <c r="AG162" i="73" s="1"/>
  <c r="J20" i="123"/>
  <c r="N23" i="126" s="1"/>
  <c r="AI21" i="107"/>
  <c r="AG21" i="73" s="1"/>
  <c r="Q22" i="121"/>
  <c r="AQ22" i="121" s="1"/>
  <c r="AK19" i="107"/>
  <c r="AG90" i="73" s="1"/>
  <c r="C422" i="73" s="1"/>
  <c r="N20" i="122"/>
  <c r="AM17" i="107"/>
  <c r="AG158" i="73" s="1"/>
  <c r="J15" i="123"/>
  <c r="N18" i="126" s="1"/>
  <c r="AI17" i="107"/>
  <c r="AG17" i="73" s="1"/>
  <c r="Q17" i="121"/>
  <c r="L18" i="126" s="1"/>
  <c r="AK15" i="107"/>
  <c r="AG86" i="73" s="1"/>
  <c r="N18" i="122"/>
  <c r="AM13" i="107"/>
  <c r="AG154" i="73" s="1"/>
  <c r="J13" i="123"/>
  <c r="N16" i="126" s="1"/>
  <c r="AI13" i="107"/>
  <c r="AG13" i="73" s="1"/>
  <c r="Q15" i="121"/>
  <c r="L16" i="126" s="1"/>
  <c r="AK11" i="107"/>
  <c r="AG82" i="73" s="1"/>
  <c r="N12" i="122"/>
  <c r="AM9" i="107"/>
  <c r="AG150" i="73" s="1"/>
  <c r="C574" i="73" s="1"/>
  <c r="J9" i="123"/>
  <c r="N12" i="126" s="1"/>
  <c r="AI9" i="107"/>
  <c r="AG9" i="73" s="1"/>
  <c r="Q11" i="121"/>
  <c r="L12" i="126" s="1"/>
  <c r="AK7" i="107"/>
  <c r="AG78" i="73" s="1"/>
  <c r="N9" i="122"/>
  <c r="AM5" i="107"/>
  <c r="AG146" i="73" s="1"/>
  <c r="J5" i="123"/>
  <c r="AI5" i="107"/>
  <c r="AG5" i="73" s="1"/>
  <c r="Q7" i="121"/>
  <c r="AK16" i="106"/>
  <c r="AF87" i="73" s="1"/>
  <c r="L17" i="122"/>
  <c r="AM15" i="106"/>
  <c r="AF156" i="73" s="1"/>
  <c r="I17" i="123"/>
  <c r="D20" i="126" s="1"/>
  <c r="AI15" i="106"/>
  <c r="AF15" i="73" s="1"/>
  <c r="O19" i="121"/>
  <c r="AK11" i="106"/>
  <c r="AF82" i="73" s="1"/>
  <c r="L12" i="122"/>
  <c r="AM9" i="106"/>
  <c r="AF150" i="73" s="1"/>
  <c r="I9" i="123"/>
  <c r="D12" i="126" s="1"/>
  <c r="AI9" i="106"/>
  <c r="AF9" i="73" s="1"/>
  <c r="O11" i="121"/>
  <c r="AM8" i="106"/>
  <c r="AF149" i="73" s="1"/>
  <c r="I7" i="123"/>
  <c r="D10" i="126" s="1"/>
  <c r="AI8" i="106"/>
  <c r="AF8" i="73" s="1"/>
  <c r="O9" i="121"/>
  <c r="AK7" i="106"/>
  <c r="AF78" i="73" s="1"/>
  <c r="L9" i="122"/>
  <c r="AK6" i="106"/>
  <c r="AF77" i="73" s="1"/>
  <c r="L7" i="122"/>
  <c r="M33" i="122"/>
  <c r="F10" i="118"/>
  <c r="N35" i="123"/>
  <c r="B10" i="118"/>
  <c r="Y37" i="121"/>
  <c r="W32" i="122"/>
  <c r="BA34" i="126" s="1"/>
  <c r="O30" i="65"/>
  <c r="Y29" i="111"/>
  <c r="N28" i="65"/>
  <c r="Z32" i="121"/>
  <c r="B28" i="119"/>
  <c r="E30" i="66" s="1"/>
  <c r="Y30" i="121"/>
  <c r="W27" i="122"/>
  <c r="BA29" i="126" s="1"/>
  <c r="O26" i="65"/>
  <c r="Y25" i="111"/>
  <c r="N24" i="65"/>
  <c r="Z29" i="121"/>
  <c r="B24" i="119"/>
  <c r="E18" i="66" s="1"/>
  <c r="Y26" i="121"/>
  <c r="W24" i="122"/>
  <c r="BA26" i="126" s="1"/>
  <c r="O22" i="65"/>
  <c r="Y21" i="111"/>
  <c r="N20" i="65"/>
  <c r="Z22" i="121"/>
  <c r="B20" i="119"/>
  <c r="E28" i="66" s="1"/>
  <c r="Y24" i="121"/>
  <c r="W20" i="122"/>
  <c r="BA22" i="126" s="1"/>
  <c r="O18" i="65"/>
  <c r="BA21" i="126"/>
  <c r="Y17" i="111"/>
  <c r="C17" i="119"/>
  <c r="N16" i="65"/>
  <c r="Z17" i="121"/>
  <c r="AZ18" i="126" s="1"/>
  <c r="W18" i="122"/>
  <c r="BA20" i="126" s="1"/>
  <c r="O14" i="65"/>
  <c r="Y13" i="111"/>
  <c r="C13" i="119"/>
  <c r="N12" i="65"/>
  <c r="Z15" i="121"/>
  <c r="AZ16" i="126" s="1"/>
  <c r="W12" i="122"/>
  <c r="O10" i="65"/>
  <c r="Y9" i="111"/>
  <c r="C9" i="119"/>
  <c r="N8" i="65"/>
  <c r="Z11" i="121"/>
  <c r="W9" i="122"/>
  <c r="O6" i="65"/>
  <c r="C5" i="119"/>
  <c r="H4" i="66" s="1"/>
  <c r="Z7" i="121"/>
  <c r="N4" i="65"/>
  <c r="AM30" i="107"/>
  <c r="AG171" i="73" s="1"/>
  <c r="J29" i="123"/>
  <c r="N32" i="126" s="1"/>
  <c r="AI30" i="107"/>
  <c r="AG30" i="73" s="1"/>
  <c r="C271" i="73" s="1"/>
  <c r="Q31" i="121"/>
  <c r="L32" i="126" s="1"/>
  <c r="AK28" i="107"/>
  <c r="AG99" i="73" s="1"/>
  <c r="N29" i="122"/>
  <c r="AM26" i="107"/>
  <c r="AG167" i="73" s="1"/>
  <c r="J25" i="123"/>
  <c r="N28" i="126" s="1"/>
  <c r="AI26" i="107"/>
  <c r="AG26" i="73" s="1"/>
  <c r="Q27" i="121"/>
  <c r="AQ27" i="121" s="1"/>
  <c r="AK24" i="107"/>
  <c r="AG95" i="73" s="1"/>
  <c r="N25" i="122"/>
  <c r="AM22" i="107"/>
  <c r="AG163" i="73" s="1"/>
  <c r="J21" i="123"/>
  <c r="N24" i="126" s="1"/>
  <c r="AI22" i="107"/>
  <c r="AG22" i="73" s="1"/>
  <c r="Q23" i="121"/>
  <c r="L24" i="126" s="1"/>
  <c r="AK20" i="107"/>
  <c r="AG91" i="73" s="1"/>
  <c r="N23" i="122"/>
  <c r="AM18" i="107"/>
  <c r="AG159" i="73" s="1"/>
  <c r="J18" i="123"/>
  <c r="N21" i="126" s="1"/>
  <c r="AI18" i="107"/>
  <c r="AG18" i="73" s="1"/>
  <c r="Q20" i="121"/>
  <c r="L21" i="126" s="1"/>
  <c r="AK16" i="107"/>
  <c r="AG87" i="73" s="1"/>
  <c r="N17" i="122"/>
  <c r="AM14" i="107"/>
  <c r="AG155" i="73" s="1"/>
  <c r="J14" i="123"/>
  <c r="N17" i="126" s="1"/>
  <c r="AI14" i="107"/>
  <c r="AG14" i="73" s="1"/>
  <c r="Q16" i="121"/>
  <c r="L17" i="126" s="1"/>
  <c r="AK12" i="107"/>
  <c r="AG83" i="73" s="1"/>
  <c r="N13" i="122"/>
  <c r="AM10" i="107"/>
  <c r="AG151" i="73" s="1"/>
  <c r="J10" i="123"/>
  <c r="N13" i="126" s="1"/>
  <c r="AI10" i="107"/>
  <c r="AG10" i="73" s="1"/>
  <c r="C251" i="73" s="1"/>
  <c r="Q12" i="121"/>
  <c r="L13" i="126" s="1"/>
  <c r="AK8" i="107"/>
  <c r="AG79" i="73" s="1"/>
  <c r="N8" i="122"/>
  <c r="AM6" i="107"/>
  <c r="AG147" i="73" s="1"/>
  <c r="J6" i="123"/>
  <c r="N9" i="126" s="1"/>
  <c r="AI6" i="107"/>
  <c r="AG6" i="73" s="1"/>
  <c r="Q8" i="121"/>
  <c r="L9" i="126" s="1"/>
  <c r="W28" i="111"/>
  <c r="AK133" i="73" s="1"/>
  <c r="E28" i="119"/>
  <c r="N30" i="66" s="1"/>
  <c r="V27" i="111"/>
  <c r="AK98" i="73" s="1"/>
  <c r="D27" i="119"/>
  <c r="K9" i="66" s="1"/>
  <c r="U26" i="111"/>
  <c r="C26" i="119"/>
  <c r="H8" i="66" s="1"/>
  <c r="X25" i="111"/>
  <c r="AK166" i="73" s="1"/>
  <c r="F25" i="119"/>
  <c r="Q29" i="66" s="1"/>
  <c r="W24" i="111"/>
  <c r="AK129" i="73" s="1"/>
  <c r="E24" i="119"/>
  <c r="N18" i="66" s="1"/>
  <c r="V23" i="111"/>
  <c r="AK94" i="73" s="1"/>
  <c r="D23" i="119"/>
  <c r="K26" i="66" s="1"/>
  <c r="U22" i="111"/>
  <c r="AK56" i="73" s="1"/>
  <c r="C22" i="119"/>
  <c r="X21" i="111"/>
  <c r="AK162" i="73" s="1"/>
  <c r="F21" i="119"/>
  <c r="Q16" i="66" s="1"/>
  <c r="X17" i="111"/>
  <c r="AK158" i="73" s="1"/>
  <c r="F17" i="119"/>
  <c r="T17" i="111"/>
  <c r="AK17" i="73" s="1"/>
  <c r="B17" i="119"/>
  <c r="E25" i="66" s="1"/>
  <c r="W16" i="111"/>
  <c r="AK121" i="73" s="1"/>
  <c r="E16" i="119"/>
  <c r="V15" i="111"/>
  <c r="AK86" i="73" s="1"/>
  <c r="D15" i="119"/>
  <c r="T13" i="111"/>
  <c r="AK13" i="73" s="1"/>
  <c r="B13" i="119"/>
  <c r="E21" i="66" s="1"/>
  <c r="X9" i="111"/>
  <c r="F9" i="119"/>
  <c r="Q12" i="66" s="1"/>
  <c r="T9" i="111"/>
  <c r="AK9" i="73" s="1"/>
  <c r="B9" i="119"/>
  <c r="E12" i="66" s="1"/>
  <c r="W8" i="111"/>
  <c r="AK113" i="73" s="1"/>
  <c r="E8" i="119"/>
  <c r="N5" i="66" s="1"/>
  <c r="V7" i="111"/>
  <c r="AK78" i="73" s="1"/>
  <c r="D7" i="119"/>
  <c r="K6" i="66" s="1"/>
  <c r="T5" i="111"/>
  <c r="AK5" i="73" s="1"/>
  <c r="B5" i="119"/>
  <c r="E4" i="66" s="1"/>
  <c r="W29" i="111"/>
  <c r="AK134" i="73" s="1"/>
  <c r="E29" i="119"/>
  <c r="N27" i="66" s="1"/>
  <c r="V28" i="111"/>
  <c r="AK99" i="73" s="1"/>
  <c r="D28" i="119"/>
  <c r="U27" i="111"/>
  <c r="AK61" i="73" s="1"/>
  <c r="C27" i="119"/>
  <c r="H9" i="66" s="1"/>
  <c r="X26" i="111"/>
  <c r="AK167" i="73" s="1"/>
  <c r="F26" i="119"/>
  <c r="Q8" i="66" s="1"/>
  <c r="W21" i="111"/>
  <c r="AK126" i="73" s="1"/>
  <c r="E21" i="119"/>
  <c r="N16" i="66" s="1"/>
  <c r="V20" i="111"/>
  <c r="AK91" i="73" s="1"/>
  <c r="D20" i="119"/>
  <c r="K28" i="66" s="1"/>
  <c r="X14" i="111"/>
  <c r="AK155" i="73" s="1"/>
  <c r="F14" i="119"/>
  <c r="Q14" i="66" s="1"/>
  <c r="T14" i="111"/>
  <c r="AK14" i="73" s="1"/>
  <c r="B14" i="119"/>
  <c r="E14" i="66" s="1"/>
  <c r="W13" i="111"/>
  <c r="AK118" i="73" s="1"/>
  <c r="E13" i="119"/>
  <c r="N21" i="66" s="1"/>
  <c r="V12" i="111"/>
  <c r="AK83" i="73" s="1"/>
  <c r="D12" i="119"/>
  <c r="K24" i="66" s="1"/>
  <c r="X6" i="111"/>
  <c r="AK147" i="73" s="1"/>
  <c r="F6" i="119"/>
  <c r="Q11" i="66" s="1"/>
  <c r="W30" i="111"/>
  <c r="AK135" i="73" s="1"/>
  <c r="E30" i="119"/>
  <c r="N19" i="66" s="1"/>
  <c r="V29" i="111"/>
  <c r="D29" i="119"/>
  <c r="K27" i="66" s="1"/>
  <c r="U28" i="111"/>
  <c r="AK62" i="73" s="1"/>
  <c r="C28" i="119"/>
  <c r="H30" i="66" s="1"/>
  <c r="X27" i="111"/>
  <c r="AK168" i="73" s="1"/>
  <c r="F27" i="119"/>
  <c r="W26" i="111"/>
  <c r="AK131" i="73" s="1"/>
  <c r="E26" i="119"/>
  <c r="N8" i="66" s="1"/>
  <c r="V25" i="111"/>
  <c r="AK96" i="73" s="1"/>
  <c r="D25" i="119"/>
  <c r="K29" i="66" s="1"/>
  <c r="U24" i="111"/>
  <c r="AK58" i="73" s="1"/>
  <c r="C24" i="119"/>
  <c r="H18" i="66" s="1"/>
  <c r="X23" i="111"/>
  <c r="AK164" i="73" s="1"/>
  <c r="F23" i="119"/>
  <c r="Q26" i="66" s="1"/>
  <c r="W22" i="111"/>
  <c r="AK127" i="73" s="1"/>
  <c r="E22" i="119"/>
  <c r="N17" i="66" s="1"/>
  <c r="V21" i="111"/>
  <c r="AK92" i="73" s="1"/>
  <c r="D21" i="119"/>
  <c r="U20" i="111"/>
  <c r="AK54" i="73" s="1"/>
  <c r="C20" i="119"/>
  <c r="H28" i="66" s="1"/>
  <c r="X19" i="111"/>
  <c r="F19" i="119"/>
  <c r="Q15" i="66" s="1"/>
  <c r="T19" i="111"/>
  <c r="AK19" i="73" s="1"/>
  <c r="B19" i="119"/>
  <c r="E15" i="66" s="1"/>
  <c r="W18" i="111"/>
  <c r="AK123" i="73" s="1"/>
  <c r="E18" i="119"/>
  <c r="N7" i="66" s="1"/>
  <c r="V17" i="111"/>
  <c r="AK88" i="73" s="1"/>
  <c r="D17" i="119"/>
  <c r="K25" i="66" s="1"/>
  <c r="X15" i="111"/>
  <c r="AK156" i="73" s="1"/>
  <c r="F15" i="119"/>
  <c r="T15" i="111"/>
  <c r="AK15" i="73" s="1"/>
  <c r="B15" i="119"/>
  <c r="W14" i="111"/>
  <c r="AK119" i="73" s="1"/>
  <c r="E14" i="119"/>
  <c r="N14" i="66" s="1"/>
  <c r="V13" i="111"/>
  <c r="AK84" i="73" s="1"/>
  <c r="D13" i="119"/>
  <c r="K21" i="66" s="1"/>
  <c r="X11" i="111"/>
  <c r="AK152" i="73" s="1"/>
  <c r="F11" i="119"/>
  <c r="Q20" i="66" s="1"/>
  <c r="T11" i="111"/>
  <c r="AK11" i="73" s="1"/>
  <c r="B11" i="119"/>
  <c r="E20" i="66" s="1"/>
  <c r="W10" i="111"/>
  <c r="AK115" i="73" s="1"/>
  <c r="E10" i="119"/>
  <c r="N13" i="66" s="1"/>
  <c r="V9" i="111"/>
  <c r="D9" i="119"/>
  <c r="K12" i="66" s="1"/>
  <c r="X7" i="111"/>
  <c r="AK148" i="73" s="1"/>
  <c r="F7" i="119"/>
  <c r="Q6" i="66" s="1"/>
  <c r="T7" i="111"/>
  <c r="AK7" i="73" s="1"/>
  <c r="B7" i="119"/>
  <c r="W6" i="111"/>
  <c r="AK111" i="73" s="1"/>
  <c r="E6" i="119"/>
  <c r="N11" i="66" s="1"/>
  <c r="V5" i="111"/>
  <c r="AK76" i="73" s="1"/>
  <c r="D5" i="119"/>
  <c r="K4" i="66" s="1"/>
  <c r="V31" i="111"/>
  <c r="D31" i="119"/>
  <c r="K10" i="66" s="1"/>
  <c r="U30" i="111"/>
  <c r="AK64" i="73" s="1"/>
  <c r="C30" i="119"/>
  <c r="H19" i="66" s="1"/>
  <c r="X29" i="111"/>
  <c r="F29" i="119"/>
  <c r="Q27" i="66" s="1"/>
  <c r="W20" i="111"/>
  <c r="AK125" i="73" s="1"/>
  <c r="E20" i="119"/>
  <c r="N28" i="66" s="1"/>
  <c r="V19" i="111"/>
  <c r="D19" i="119"/>
  <c r="K15" i="66" s="1"/>
  <c r="X13" i="111"/>
  <c r="AK154" i="73" s="1"/>
  <c r="F13" i="119"/>
  <c r="Q21" i="66" s="1"/>
  <c r="W12" i="111"/>
  <c r="AK117" i="73" s="1"/>
  <c r="E12" i="119"/>
  <c r="N24" i="66" s="1"/>
  <c r="V11" i="111"/>
  <c r="AK82" i="73" s="1"/>
  <c r="D11" i="119"/>
  <c r="X5" i="111"/>
  <c r="AK146" i="73" s="1"/>
  <c r="F5" i="119"/>
  <c r="U31" i="111"/>
  <c r="AK65" i="73" s="1"/>
  <c r="C31" i="119"/>
  <c r="H10" i="66" s="1"/>
  <c r="X30" i="111"/>
  <c r="AK171" i="73" s="1"/>
  <c r="F30" i="119"/>
  <c r="Q19" i="66" s="1"/>
  <c r="W25" i="111"/>
  <c r="E25" i="119"/>
  <c r="N29" i="66" s="1"/>
  <c r="V24" i="111"/>
  <c r="AK95" i="73" s="1"/>
  <c r="D24" i="119"/>
  <c r="K18" i="66" s="1"/>
  <c r="U23" i="111"/>
  <c r="AK57" i="73" s="1"/>
  <c r="C23" i="119"/>
  <c r="H26" i="66" s="1"/>
  <c r="X22" i="111"/>
  <c r="AK163" i="73" s="1"/>
  <c r="F22" i="119"/>
  <c r="Q17" i="66" s="1"/>
  <c r="X18" i="111"/>
  <c r="AK159" i="73" s="1"/>
  <c r="F18" i="119"/>
  <c r="Q7" i="66" s="1"/>
  <c r="T18" i="111"/>
  <c r="AK18" i="73" s="1"/>
  <c r="B18" i="119"/>
  <c r="E7" i="66" s="1"/>
  <c r="W17" i="111"/>
  <c r="AK122" i="73" s="1"/>
  <c r="E17" i="119"/>
  <c r="N25" i="66" s="1"/>
  <c r="V16" i="111"/>
  <c r="AK87" i="73" s="1"/>
  <c r="D16" i="119"/>
  <c r="X10" i="111"/>
  <c r="AK151" i="73" s="1"/>
  <c r="F10" i="119"/>
  <c r="Q13" i="66" s="1"/>
  <c r="T10" i="111"/>
  <c r="B10" i="119"/>
  <c r="E13" i="66" s="1"/>
  <c r="W9" i="111"/>
  <c r="AK114" i="73" s="1"/>
  <c r="E9" i="119"/>
  <c r="N12" i="66" s="1"/>
  <c r="V8" i="111"/>
  <c r="AK79" i="73" s="1"/>
  <c r="D8" i="119"/>
  <c r="K5" i="66" s="1"/>
  <c r="T6" i="111"/>
  <c r="AK6" i="73" s="1"/>
  <c r="B6" i="119"/>
  <c r="E11" i="66" s="1"/>
  <c r="W5" i="111"/>
  <c r="AK110" i="73" s="1"/>
  <c r="E5" i="119"/>
  <c r="N4" i="66" s="1"/>
  <c r="X31" i="111"/>
  <c r="AK172" i="73" s="1"/>
  <c r="F31" i="119"/>
  <c r="Q10" i="66" s="1"/>
  <c r="W31" i="111"/>
  <c r="AK136" i="73" s="1"/>
  <c r="V30" i="111"/>
  <c r="D30" i="119"/>
  <c r="K19" i="66" s="1"/>
  <c r="U29" i="111"/>
  <c r="AK63" i="73" s="1"/>
  <c r="C29" i="119"/>
  <c r="H27" i="66" s="1"/>
  <c r="X28" i="111"/>
  <c r="AK169" i="73" s="1"/>
  <c r="F28" i="119"/>
  <c r="Q30" i="66" s="1"/>
  <c r="W27" i="111"/>
  <c r="AK132" i="73" s="1"/>
  <c r="E27" i="119"/>
  <c r="N9" i="66" s="1"/>
  <c r="V26" i="111"/>
  <c r="AK97" i="73" s="1"/>
  <c r="D26" i="119"/>
  <c r="U25" i="111"/>
  <c r="AK59" i="73" s="1"/>
  <c r="C25" i="119"/>
  <c r="H29" i="66" s="1"/>
  <c r="X24" i="111"/>
  <c r="AK165" i="73" s="1"/>
  <c r="F24" i="119"/>
  <c r="Q18" i="66" s="1"/>
  <c r="W23" i="111"/>
  <c r="AK128" i="73" s="1"/>
  <c r="E23" i="119"/>
  <c r="N26" i="66" s="1"/>
  <c r="V22" i="111"/>
  <c r="AK93" i="73" s="1"/>
  <c r="D22" i="119"/>
  <c r="K17" i="66" s="1"/>
  <c r="U21" i="111"/>
  <c r="AK55" i="73" s="1"/>
  <c r="C21" i="119"/>
  <c r="H16" i="66" s="1"/>
  <c r="X20" i="111"/>
  <c r="F20" i="119"/>
  <c r="Q28" i="66" s="1"/>
  <c r="W19" i="111"/>
  <c r="AK124" i="73" s="1"/>
  <c r="E19" i="119"/>
  <c r="N15" i="66" s="1"/>
  <c r="V18" i="111"/>
  <c r="AK89" i="73" s="1"/>
  <c r="D18" i="119"/>
  <c r="K7" i="66" s="1"/>
  <c r="X16" i="111"/>
  <c r="AK157" i="73" s="1"/>
  <c r="F16" i="119"/>
  <c r="T16" i="111"/>
  <c r="AK16" i="73" s="1"/>
  <c r="W15" i="111"/>
  <c r="E15" i="119"/>
  <c r="V14" i="111"/>
  <c r="AK85" i="73" s="1"/>
  <c r="D14" i="119"/>
  <c r="K14" i="66" s="1"/>
  <c r="X12" i="111"/>
  <c r="AK153" i="73" s="1"/>
  <c r="F12" i="119"/>
  <c r="T12" i="111"/>
  <c r="AK12" i="73" s="1"/>
  <c r="B12" i="119"/>
  <c r="E24" i="66" s="1"/>
  <c r="W11" i="111"/>
  <c r="AK116" i="73" s="1"/>
  <c r="E11" i="119"/>
  <c r="V10" i="111"/>
  <c r="AK81" i="73" s="1"/>
  <c r="D10" i="119"/>
  <c r="K13" i="66" s="1"/>
  <c r="X8" i="111"/>
  <c r="AK149" i="73" s="1"/>
  <c r="F8" i="119"/>
  <c r="T8" i="111"/>
  <c r="AK8" i="73" s="1"/>
  <c r="B8" i="119"/>
  <c r="E5" i="66" s="1"/>
  <c r="W7" i="111"/>
  <c r="AK112" i="73" s="1"/>
  <c r="E7" i="119"/>
  <c r="V6" i="111"/>
  <c r="AK77" i="73" s="1"/>
  <c r="D6" i="119"/>
  <c r="K11" i="66" s="1"/>
  <c r="V102" i="115"/>
  <c r="F9" i="118"/>
  <c r="B9" i="118"/>
  <c r="F34" i="62" s="1"/>
  <c r="U31" i="110"/>
  <c r="AJ65" i="73" s="1"/>
  <c r="X33" i="121"/>
  <c r="X30" i="110"/>
  <c r="AJ171" i="73" s="1"/>
  <c r="M29" i="123"/>
  <c r="AR32" i="126" s="1"/>
  <c r="T30" i="110"/>
  <c r="AJ30" i="73" s="1"/>
  <c r="W31" i="121"/>
  <c r="W29" i="110"/>
  <c r="AJ134" i="73" s="1"/>
  <c r="U31" i="122"/>
  <c r="V28" i="110"/>
  <c r="AJ99" i="73" s="1"/>
  <c r="T29" i="122"/>
  <c r="U27" i="110"/>
  <c r="AJ61" i="73" s="1"/>
  <c r="X28" i="121"/>
  <c r="X26" i="110"/>
  <c r="AJ167" i="73" s="1"/>
  <c r="M25" i="123"/>
  <c r="AR28" i="126" s="1"/>
  <c r="T26" i="110"/>
  <c r="AJ26" i="73" s="1"/>
  <c r="W27" i="121"/>
  <c r="W25" i="110"/>
  <c r="AJ130" i="73" s="1"/>
  <c r="U28" i="122"/>
  <c r="V24" i="110"/>
  <c r="AJ95" i="73" s="1"/>
  <c r="T25" i="122"/>
  <c r="U23" i="110"/>
  <c r="AJ57" i="73" s="1"/>
  <c r="X25" i="121"/>
  <c r="X22" i="110"/>
  <c r="AJ163" i="73" s="1"/>
  <c r="M21" i="123"/>
  <c r="AR24" i="126" s="1"/>
  <c r="T22" i="110"/>
  <c r="AJ22" i="73" s="1"/>
  <c r="W23" i="121"/>
  <c r="W21" i="110"/>
  <c r="AJ126" i="73" s="1"/>
  <c r="U21" i="122"/>
  <c r="V20" i="110"/>
  <c r="AJ91" i="73" s="1"/>
  <c r="T23" i="122"/>
  <c r="U19" i="110"/>
  <c r="AJ53" i="73" s="1"/>
  <c r="X21" i="121"/>
  <c r="X18" i="110"/>
  <c r="AJ159" i="73" s="1"/>
  <c r="M18" i="123"/>
  <c r="AR21" i="126" s="1"/>
  <c r="T18" i="110"/>
  <c r="AJ18" i="73" s="1"/>
  <c r="W20" i="121"/>
  <c r="W17" i="110"/>
  <c r="AJ122" i="73" s="1"/>
  <c r="U16" i="122"/>
  <c r="V16" i="110"/>
  <c r="AJ87" i="73" s="1"/>
  <c r="T17" i="122"/>
  <c r="U15" i="110"/>
  <c r="AJ49" i="73" s="1"/>
  <c r="X19" i="121"/>
  <c r="X14" i="110"/>
  <c r="AJ155" i="73" s="1"/>
  <c r="M14" i="123"/>
  <c r="AR17" i="126" s="1"/>
  <c r="T14" i="110"/>
  <c r="AJ14" i="73" s="1"/>
  <c r="W16" i="121"/>
  <c r="W13" i="110"/>
  <c r="AJ118" i="73" s="1"/>
  <c r="U14" i="122"/>
  <c r="V12" i="110"/>
  <c r="AJ83" i="73" s="1"/>
  <c r="T13" i="122"/>
  <c r="U11" i="110"/>
  <c r="AJ45" i="73" s="1"/>
  <c r="X13" i="121"/>
  <c r="X10" i="110"/>
  <c r="AJ151" i="73" s="1"/>
  <c r="M10" i="123"/>
  <c r="AR13" i="126" s="1"/>
  <c r="T10" i="110"/>
  <c r="AJ10" i="73" s="1"/>
  <c r="F251" i="73" s="1"/>
  <c r="W12" i="121"/>
  <c r="W9" i="110"/>
  <c r="AJ114" i="73" s="1"/>
  <c r="U10" i="122"/>
  <c r="V8" i="110"/>
  <c r="AJ79" i="73" s="1"/>
  <c r="T8" i="122"/>
  <c r="U7" i="110"/>
  <c r="AJ41" i="73" s="1"/>
  <c r="X10" i="121"/>
  <c r="X6" i="110"/>
  <c r="M6" i="123"/>
  <c r="AR9" i="126" s="1"/>
  <c r="T6" i="110"/>
  <c r="AJ6" i="73" s="1"/>
  <c r="W8" i="121"/>
  <c r="C9" i="118"/>
  <c r="U30" i="110"/>
  <c r="AJ64" i="73" s="1"/>
  <c r="X31" i="121"/>
  <c r="T29" i="110"/>
  <c r="AJ29" i="73" s="1"/>
  <c r="W32" i="121"/>
  <c r="W28" i="110"/>
  <c r="AJ133" i="73" s="1"/>
  <c r="U29" i="122"/>
  <c r="X25" i="110"/>
  <c r="AJ166" i="73" s="1"/>
  <c r="M27" i="123"/>
  <c r="AR30" i="126" s="1"/>
  <c r="T21" i="110"/>
  <c r="AJ21" i="73" s="1"/>
  <c r="W22" i="121"/>
  <c r="V19" i="110"/>
  <c r="AJ90" i="73" s="1"/>
  <c r="T20" i="122"/>
  <c r="T17" i="110"/>
  <c r="AJ17" i="73" s="1"/>
  <c r="W17" i="121"/>
  <c r="V15" i="110"/>
  <c r="AJ86" i="73" s="1"/>
  <c r="T18" i="122"/>
  <c r="X13" i="110"/>
  <c r="AJ154" i="73" s="1"/>
  <c r="M13" i="123"/>
  <c r="AR16" i="126" s="1"/>
  <c r="T9" i="110"/>
  <c r="AJ9" i="73" s="1"/>
  <c r="W11" i="121"/>
  <c r="W8" i="110"/>
  <c r="AJ113" i="73" s="1"/>
  <c r="U8" i="122"/>
  <c r="V7" i="110"/>
  <c r="AJ78" i="73" s="1"/>
  <c r="T9" i="122"/>
  <c r="U6" i="110"/>
  <c r="AJ40" i="73" s="1"/>
  <c r="X8" i="121"/>
  <c r="T5" i="110"/>
  <c r="AJ5" i="73" s="1"/>
  <c r="W7" i="121"/>
  <c r="E9" i="118"/>
  <c r="V65" i="62" s="1"/>
  <c r="U36" i="122"/>
  <c r="X31" i="110"/>
  <c r="AJ172" i="73" s="1"/>
  <c r="M31" i="123"/>
  <c r="AR34" i="126" s="1"/>
  <c r="T31" i="110"/>
  <c r="AJ31" i="73" s="1"/>
  <c r="W33" i="121"/>
  <c r="W30" i="110"/>
  <c r="AJ135" i="73" s="1"/>
  <c r="U30" i="122"/>
  <c r="V29" i="110"/>
  <c r="AJ100" i="73" s="1"/>
  <c r="T31" i="122"/>
  <c r="U28" i="110"/>
  <c r="AJ62" i="73" s="1"/>
  <c r="X30" i="121"/>
  <c r="X27" i="110"/>
  <c r="AJ168" i="73" s="1"/>
  <c r="M26" i="123"/>
  <c r="AR29" i="126" s="1"/>
  <c r="T27" i="110"/>
  <c r="AJ27" i="73" s="1"/>
  <c r="W28" i="121"/>
  <c r="W26" i="110"/>
  <c r="AJ131" i="73" s="1"/>
  <c r="U26" i="122"/>
  <c r="V25" i="110"/>
  <c r="AJ96" i="73" s="1"/>
  <c r="T28" i="122"/>
  <c r="U24" i="110"/>
  <c r="AJ58" i="73" s="1"/>
  <c r="X26" i="121"/>
  <c r="X23" i="110"/>
  <c r="AJ164" i="73" s="1"/>
  <c r="M23" i="123"/>
  <c r="AR26" i="126" s="1"/>
  <c r="T23" i="110"/>
  <c r="AJ23" i="73" s="1"/>
  <c r="W25" i="121"/>
  <c r="W22" i="110"/>
  <c r="AJ127" i="73" s="1"/>
  <c r="U22" i="122"/>
  <c r="V21" i="110"/>
  <c r="AJ92" i="73" s="1"/>
  <c r="T21" i="122"/>
  <c r="U20" i="110"/>
  <c r="AJ54" i="73" s="1"/>
  <c r="X24" i="121"/>
  <c r="X19" i="110"/>
  <c r="AJ160" i="73" s="1"/>
  <c r="F584" i="73" s="1"/>
  <c r="M19" i="123"/>
  <c r="AR22" i="126" s="1"/>
  <c r="T19" i="110"/>
  <c r="AJ19" i="73" s="1"/>
  <c r="W21" i="121"/>
  <c r="W18" i="110"/>
  <c r="AJ123" i="73" s="1"/>
  <c r="U19" i="122"/>
  <c r="V17" i="110"/>
  <c r="AJ88" i="73" s="1"/>
  <c r="T16" i="122"/>
  <c r="U16" i="110"/>
  <c r="AJ50" i="73" s="1"/>
  <c r="F338" i="73" s="1"/>
  <c r="X18" i="121"/>
  <c r="X15" i="110"/>
  <c r="AJ156" i="73" s="1"/>
  <c r="M17" i="123"/>
  <c r="AR20" i="126" s="1"/>
  <c r="T15" i="110"/>
  <c r="AJ15" i="73" s="1"/>
  <c r="W19" i="121"/>
  <c r="W14" i="110"/>
  <c r="AJ119" i="73" s="1"/>
  <c r="U15" i="122"/>
  <c r="V13" i="110"/>
  <c r="AJ84" i="73" s="1"/>
  <c r="T14" i="122"/>
  <c r="U12" i="110"/>
  <c r="AJ46" i="73" s="1"/>
  <c r="X14" i="121"/>
  <c r="X11" i="110"/>
  <c r="AJ152" i="73" s="1"/>
  <c r="M11" i="123"/>
  <c r="AR14" i="126" s="1"/>
  <c r="T11" i="110"/>
  <c r="AJ11" i="73" s="1"/>
  <c r="W13" i="121"/>
  <c r="W10" i="110"/>
  <c r="AJ115" i="73" s="1"/>
  <c r="U11" i="122"/>
  <c r="V9" i="110"/>
  <c r="AJ80" i="73" s="1"/>
  <c r="T10" i="122"/>
  <c r="U8" i="110"/>
  <c r="AJ42" i="73" s="1"/>
  <c r="X9" i="121"/>
  <c r="X7" i="110"/>
  <c r="AJ148" i="73" s="1"/>
  <c r="M8" i="123"/>
  <c r="AR11" i="126" s="1"/>
  <c r="T7" i="110"/>
  <c r="AJ7" i="73" s="1"/>
  <c r="W10" i="121"/>
  <c r="W6" i="110"/>
  <c r="AJ111" i="73" s="1"/>
  <c r="U7" i="122"/>
  <c r="AQ8" i="126"/>
  <c r="V31" i="110"/>
  <c r="AJ102" i="73" s="1"/>
  <c r="T32" i="122"/>
  <c r="X29" i="110"/>
  <c r="AJ170" i="73" s="1"/>
  <c r="F594" i="73" s="1"/>
  <c r="M30" i="123"/>
  <c r="AR33" i="126" s="1"/>
  <c r="V27" i="110"/>
  <c r="AJ98" i="73" s="1"/>
  <c r="T27" i="122"/>
  <c r="U26" i="110"/>
  <c r="AJ60" i="73" s="1"/>
  <c r="F348" i="73" s="1"/>
  <c r="X27" i="121"/>
  <c r="T25" i="110"/>
  <c r="AJ25" i="73" s="1"/>
  <c r="W29" i="121"/>
  <c r="W24" i="110"/>
  <c r="AJ129" i="73" s="1"/>
  <c r="U25" i="122"/>
  <c r="V23" i="110"/>
  <c r="AJ94" i="73" s="1"/>
  <c r="T24" i="122"/>
  <c r="U22" i="110"/>
  <c r="AJ56" i="73" s="1"/>
  <c r="X23" i="121"/>
  <c r="X21" i="110"/>
  <c r="AJ162" i="73" s="1"/>
  <c r="M20" i="123"/>
  <c r="AR23" i="126" s="1"/>
  <c r="W20" i="110"/>
  <c r="AJ125" i="73" s="1"/>
  <c r="U23" i="122"/>
  <c r="U18" i="110"/>
  <c r="AJ52" i="73" s="1"/>
  <c r="X20" i="121"/>
  <c r="X17" i="110"/>
  <c r="AJ158" i="73" s="1"/>
  <c r="M15" i="123"/>
  <c r="AR18" i="126" s="1"/>
  <c r="W16" i="110"/>
  <c r="AJ121" i="73" s="1"/>
  <c r="U17" i="122"/>
  <c r="U14" i="110"/>
  <c r="AJ48" i="73" s="1"/>
  <c r="X16" i="121"/>
  <c r="T13" i="110"/>
  <c r="AJ13" i="73" s="1"/>
  <c r="W15" i="121"/>
  <c r="W12" i="110"/>
  <c r="AJ117" i="73" s="1"/>
  <c r="U13" i="122"/>
  <c r="V11" i="110"/>
  <c r="AJ82" i="73" s="1"/>
  <c r="T12" i="122"/>
  <c r="U10" i="110"/>
  <c r="AJ44" i="73" s="1"/>
  <c r="X12" i="121"/>
  <c r="X9" i="110"/>
  <c r="AJ150" i="73" s="1"/>
  <c r="F574" i="73" s="1"/>
  <c r="M9" i="123"/>
  <c r="AR12" i="126" s="1"/>
  <c r="X5" i="110"/>
  <c r="AJ146" i="73" s="1"/>
  <c r="M5" i="123"/>
  <c r="D9" i="118"/>
  <c r="T36" i="122"/>
  <c r="W31" i="110"/>
  <c r="AJ136" i="73" s="1"/>
  <c r="U32" i="122"/>
  <c r="V30" i="110"/>
  <c r="AJ101" i="73" s="1"/>
  <c r="T30" i="122"/>
  <c r="U29" i="110"/>
  <c r="AJ63" i="73" s="1"/>
  <c r="X32" i="121"/>
  <c r="X28" i="110"/>
  <c r="AJ169" i="73" s="1"/>
  <c r="M28" i="123"/>
  <c r="AR31" i="126" s="1"/>
  <c r="T28" i="110"/>
  <c r="AJ28" i="73" s="1"/>
  <c r="W30" i="121"/>
  <c r="W27" i="110"/>
  <c r="AJ132" i="73" s="1"/>
  <c r="U27" i="122"/>
  <c r="V26" i="110"/>
  <c r="AJ97" i="73" s="1"/>
  <c r="T26" i="122"/>
  <c r="U25" i="110"/>
  <c r="AJ59" i="73" s="1"/>
  <c r="X29" i="121"/>
  <c r="X24" i="110"/>
  <c r="AJ165" i="73" s="1"/>
  <c r="M24" i="123"/>
  <c r="AR27" i="126" s="1"/>
  <c r="T24" i="110"/>
  <c r="AJ24" i="73" s="1"/>
  <c r="W26" i="121"/>
  <c r="W23" i="110"/>
  <c r="AJ128" i="73" s="1"/>
  <c r="U24" i="122"/>
  <c r="V22" i="110"/>
  <c r="AJ93" i="73" s="1"/>
  <c r="T22" i="122"/>
  <c r="U21" i="110"/>
  <c r="AJ55" i="73" s="1"/>
  <c r="X22" i="121"/>
  <c r="X20" i="110"/>
  <c r="AJ161" i="73" s="1"/>
  <c r="M22" i="123"/>
  <c r="AR25" i="126" s="1"/>
  <c r="T20" i="110"/>
  <c r="AJ20" i="73" s="1"/>
  <c r="W24" i="121"/>
  <c r="W19" i="110"/>
  <c r="AJ124" i="73" s="1"/>
  <c r="U20" i="122"/>
  <c r="V18" i="110"/>
  <c r="AJ89" i="73" s="1"/>
  <c r="T19" i="122"/>
  <c r="U17" i="110"/>
  <c r="AJ51" i="73" s="1"/>
  <c r="X17" i="121"/>
  <c r="X16" i="110"/>
  <c r="AJ157" i="73" s="1"/>
  <c r="M16" i="123"/>
  <c r="AR19" i="126" s="1"/>
  <c r="T16" i="110"/>
  <c r="AJ16" i="73" s="1"/>
  <c r="W18" i="121"/>
  <c r="W15" i="110"/>
  <c r="AJ120" i="73" s="1"/>
  <c r="U18" i="122"/>
  <c r="V14" i="110"/>
  <c r="AJ85" i="73" s="1"/>
  <c r="T15" i="122"/>
  <c r="U13" i="110"/>
  <c r="AJ47" i="73" s="1"/>
  <c r="X15" i="121"/>
  <c r="X12" i="110"/>
  <c r="AJ153" i="73" s="1"/>
  <c r="M12" i="123"/>
  <c r="AR15" i="126" s="1"/>
  <c r="T12" i="110"/>
  <c r="AJ12" i="73" s="1"/>
  <c r="W14" i="121"/>
  <c r="W11" i="110"/>
  <c r="AJ116" i="73" s="1"/>
  <c r="U12" i="122"/>
  <c r="V10" i="110"/>
  <c r="AJ81" i="73" s="1"/>
  <c r="T11" i="122"/>
  <c r="U9" i="110"/>
  <c r="X11" i="121"/>
  <c r="X8" i="110"/>
  <c r="AJ149" i="73" s="1"/>
  <c r="M7" i="123"/>
  <c r="AR10" i="126" s="1"/>
  <c r="T8" i="110"/>
  <c r="AJ8" i="73" s="1"/>
  <c r="W9" i="121"/>
  <c r="W7" i="110"/>
  <c r="AJ112" i="73" s="1"/>
  <c r="U9" i="122"/>
  <c r="V6" i="110"/>
  <c r="AJ77" i="73" s="1"/>
  <c r="T7" i="122"/>
  <c r="U5" i="110"/>
  <c r="AJ39" i="73" s="1"/>
  <c r="X7" i="121"/>
  <c r="T102" i="112"/>
  <c r="AJ102" i="107"/>
  <c r="AN102" i="107"/>
  <c r="D34" i="124" s="1"/>
  <c r="W102" i="110"/>
  <c r="V102" i="111"/>
  <c r="F328" i="73"/>
  <c r="T102" i="110"/>
  <c r="Y102" i="112"/>
  <c r="I34" i="124" s="1"/>
  <c r="U102" i="115"/>
  <c r="Y102" i="115"/>
  <c r="L34" i="124" s="1"/>
  <c r="AJ102" i="106"/>
  <c r="U102" i="112"/>
  <c r="Z32" i="108"/>
  <c r="AN31" i="109"/>
  <c r="AI172" i="73" s="1"/>
  <c r="L31" i="123"/>
  <c r="AH34" i="126" s="1"/>
  <c r="AN30" i="109"/>
  <c r="AI171" i="73" s="1"/>
  <c r="L29" i="123"/>
  <c r="AH32" i="126" s="1"/>
  <c r="AN29" i="109"/>
  <c r="L30" i="123"/>
  <c r="AH33" i="126" s="1"/>
  <c r="AN28" i="109"/>
  <c r="AI169" i="73" s="1"/>
  <c r="L28" i="123"/>
  <c r="AH31" i="126" s="1"/>
  <c r="AN27" i="109"/>
  <c r="AI168" i="73" s="1"/>
  <c r="L26" i="123"/>
  <c r="AH29" i="126" s="1"/>
  <c r="AN26" i="109"/>
  <c r="AI167" i="73" s="1"/>
  <c r="L25" i="123"/>
  <c r="AH28" i="126" s="1"/>
  <c r="AN25" i="109"/>
  <c r="AI166" i="73" s="1"/>
  <c r="L27" i="123"/>
  <c r="AH30" i="126" s="1"/>
  <c r="AN24" i="109"/>
  <c r="AI165" i="73" s="1"/>
  <c r="L24" i="123"/>
  <c r="AH27" i="126" s="1"/>
  <c r="AN23" i="109"/>
  <c r="AI164" i="73" s="1"/>
  <c r="L23" i="123"/>
  <c r="AH26" i="126" s="1"/>
  <c r="AN22" i="109"/>
  <c r="AI163" i="73" s="1"/>
  <c r="L21" i="123"/>
  <c r="AH24" i="126" s="1"/>
  <c r="AN21" i="109"/>
  <c r="AI162" i="73" s="1"/>
  <c r="L20" i="123"/>
  <c r="AH23" i="126" s="1"/>
  <c r="AN20" i="109"/>
  <c r="AI161" i="73" s="1"/>
  <c r="L22" i="123"/>
  <c r="AH25" i="126" s="1"/>
  <c r="AN19" i="109"/>
  <c r="L19" i="123"/>
  <c r="AH22" i="126" s="1"/>
  <c r="AN18" i="109"/>
  <c r="AI159" i="73" s="1"/>
  <c r="L18" i="123"/>
  <c r="AH21" i="126" s="1"/>
  <c r="AN17" i="109"/>
  <c r="AI158" i="73" s="1"/>
  <c r="L15" i="123"/>
  <c r="AH18" i="126" s="1"/>
  <c r="AN16" i="109"/>
  <c r="AI157" i="73" s="1"/>
  <c r="L16" i="123"/>
  <c r="AH19" i="126" s="1"/>
  <c r="AN15" i="109"/>
  <c r="AI156" i="73" s="1"/>
  <c r="L17" i="123"/>
  <c r="AH20" i="126" s="1"/>
  <c r="AN14" i="109"/>
  <c r="AI155" i="73" s="1"/>
  <c r="L14" i="123"/>
  <c r="AH17" i="126" s="1"/>
  <c r="AN13" i="109"/>
  <c r="AI154" i="73" s="1"/>
  <c r="L13" i="123"/>
  <c r="AH16" i="126" s="1"/>
  <c r="AN12" i="109"/>
  <c r="AI153" i="73" s="1"/>
  <c r="L12" i="123"/>
  <c r="AH15" i="126" s="1"/>
  <c r="AN11" i="109"/>
  <c r="AI152" i="73" s="1"/>
  <c r="L11" i="123"/>
  <c r="AH14" i="126" s="1"/>
  <c r="AN10" i="109"/>
  <c r="AI151" i="73" s="1"/>
  <c r="L10" i="123"/>
  <c r="AH13" i="126" s="1"/>
  <c r="AN9" i="109"/>
  <c r="L9" i="123"/>
  <c r="AH12" i="126" s="1"/>
  <c r="AN8" i="109"/>
  <c r="AI149" i="73" s="1"/>
  <c r="L7" i="123"/>
  <c r="AH10" i="126" s="1"/>
  <c r="AN7" i="109"/>
  <c r="AI148" i="73" s="1"/>
  <c r="L8" i="123"/>
  <c r="AH11" i="126" s="1"/>
  <c r="AN6" i="109"/>
  <c r="AI147" i="73" s="1"/>
  <c r="L6" i="123"/>
  <c r="AH9" i="126" s="1"/>
  <c r="AN5" i="109"/>
  <c r="AI146" i="73" s="1"/>
  <c r="L5" i="123"/>
  <c r="X102" i="112"/>
  <c r="AM31" i="109"/>
  <c r="AI136" i="73" s="1"/>
  <c r="S32" i="122"/>
  <c r="K30" i="65"/>
  <c r="AM30" i="109"/>
  <c r="AI135" i="73" s="1"/>
  <c r="S30" i="122"/>
  <c r="K29" i="65"/>
  <c r="AM29" i="109"/>
  <c r="AI134" i="73" s="1"/>
  <c r="S31" i="122"/>
  <c r="K28" i="65"/>
  <c r="AM28" i="109"/>
  <c r="AI133" i="73" s="1"/>
  <c r="S29" i="122"/>
  <c r="K27" i="65"/>
  <c r="AM27" i="109"/>
  <c r="AI132" i="73" s="1"/>
  <c r="S27" i="122"/>
  <c r="K26" i="65"/>
  <c r="AM26" i="109"/>
  <c r="AI131" i="73" s="1"/>
  <c r="S26" i="122"/>
  <c r="K25" i="65"/>
  <c r="AM25" i="109"/>
  <c r="S28" i="122"/>
  <c r="K24" i="65"/>
  <c r="AM24" i="109"/>
  <c r="AI129" i="73" s="1"/>
  <c r="S25" i="122"/>
  <c r="K23" i="65"/>
  <c r="AM23" i="109"/>
  <c r="AI128" i="73" s="1"/>
  <c r="S24" i="122"/>
  <c r="K22" i="65"/>
  <c r="AM22" i="109"/>
  <c r="AI127" i="73" s="1"/>
  <c r="S22" i="122"/>
  <c r="K21" i="65"/>
  <c r="AM21" i="109"/>
  <c r="AI126" i="73" s="1"/>
  <c r="S21" i="122"/>
  <c r="K20" i="65"/>
  <c r="AM20" i="109"/>
  <c r="AI125" i="73" s="1"/>
  <c r="S23" i="122"/>
  <c r="K19" i="65"/>
  <c r="AM19" i="109"/>
  <c r="AI124" i="73" s="1"/>
  <c r="S20" i="122"/>
  <c r="K18" i="65"/>
  <c r="AM18" i="109"/>
  <c r="AI123" i="73" s="1"/>
  <c r="S19" i="122"/>
  <c r="K17" i="65"/>
  <c r="AM17" i="109"/>
  <c r="AI122" i="73" s="1"/>
  <c r="S16" i="122"/>
  <c r="K16" i="65"/>
  <c r="AM16" i="109"/>
  <c r="AI121" i="73" s="1"/>
  <c r="S17" i="122"/>
  <c r="K15" i="65"/>
  <c r="AM15" i="109"/>
  <c r="S18" i="122"/>
  <c r="K14" i="65"/>
  <c r="AM14" i="109"/>
  <c r="AI119" i="73" s="1"/>
  <c r="S15" i="122"/>
  <c r="K13" i="65"/>
  <c r="AM13" i="109"/>
  <c r="AI118" i="73" s="1"/>
  <c r="S14" i="122"/>
  <c r="K12" i="65"/>
  <c r="AM12" i="109"/>
  <c r="AI117" i="73" s="1"/>
  <c r="S13" i="122"/>
  <c r="K11" i="65"/>
  <c r="AM11" i="109"/>
  <c r="AI116" i="73" s="1"/>
  <c r="S12" i="122"/>
  <c r="K10" i="65"/>
  <c r="AM10" i="109"/>
  <c r="AI115" i="73" s="1"/>
  <c r="S11" i="122"/>
  <c r="K9" i="65"/>
  <c r="AM9" i="109"/>
  <c r="AI114" i="73" s="1"/>
  <c r="S10" i="122"/>
  <c r="K8" i="65"/>
  <c r="AM8" i="109"/>
  <c r="AI113" i="73" s="1"/>
  <c r="S8" i="122"/>
  <c r="K7" i="65"/>
  <c r="AM7" i="109"/>
  <c r="AI112" i="73" s="1"/>
  <c r="S9" i="122"/>
  <c r="K6" i="65"/>
  <c r="AM6" i="109"/>
  <c r="AI111" i="73" s="1"/>
  <c r="S7" i="122"/>
  <c r="K5" i="65"/>
  <c r="AM5" i="109"/>
  <c r="AI110" i="73" s="1"/>
  <c r="E489" i="73" s="1"/>
  <c r="S6" i="122"/>
  <c r="K4" i="65"/>
  <c r="AL31" i="109"/>
  <c r="R32" i="122"/>
  <c r="AL30" i="109"/>
  <c r="R30" i="122"/>
  <c r="AG32" i="126" s="1"/>
  <c r="AL29" i="109"/>
  <c r="R31" i="122"/>
  <c r="AL28" i="109"/>
  <c r="AI99" i="73" s="1"/>
  <c r="R29" i="122"/>
  <c r="AL27" i="109"/>
  <c r="AI98" i="73" s="1"/>
  <c r="R27" i="122"/>
  <c r="AL26" i="109"/>
  <c r="AI97" i="73" s="1"/>
  <c r="R26" i="122"/>
  <c r="AG28" i="126" s="1"/>
  <c r="AL25" i="109"/>
  <c r="AI96" i="73" s="1"/>
  <c r="R28" i="122"/>
  <c r="AL24" i="109"/>
  <c r="AI95" i="73" s="1"/>
  <c r="R25" i="122"/>
  <c r="AL23" i="109"/>
  <c r="AI94" i="73" s="1"/>
  <c r="R24" i="122"/>
  <c r="AL22" i="109"/>
  <c r="AI93" i="73" s="1"/>
  <c r="R22" i="122"/>
  <c r="AG24" i="126" s="1"/>
  <c r="AL21" i="109"/>
  <c r="AI92" i="73" s="1"/>
  <c r="R21" i="122"/>
  <c r="AL20" i="109"/>
  <c r="AI91" i="73" s="1"/>
  <c r="R23" i="122"/>
  <c r="AL19" i="109"/>
  <c r="R20" i="122"/>
  <c r="AL18" i="109"/>
  <c r="AI89" i="73" s="1"/>
  <c r="R19" i="122"/>
  <c r="AG21" i="126" s="1"/>
  <c r="AL17" i="109"/>
  <c r="AI88" i="73" s="1"/>
  <c r="R16" i="122"/>
  <c r="AG18" i="126" s="1"/>
  <c r="AL16" i="109"/>
  <c r="AI87" i="73" s="1"/>
  <c r="R17" i="122"/>
  <c r="AL15" i="109"/>
  <c r="AI86" i="73" s="1"/>
  <c r="R18" i="122"/>
  <c r="AL14" i="109"/>
  <c r="AI85" i="73" s="1"/>
  <c r="R15" i="122"/>
  <c r="AG17" i="126" s="1"/>
  <c r="AL13" i="109"/>
  <c r="AI84" i="73" s="1"/>
  <c r="R14" i="122"/>
  <c r="AG16" i="126" s="1"/>
  <c r="AL12" i="109"/>
  <c r="AI83" i="73" s="1"/>
  <c r="R13" i="122"/>
  <c r="AL11" i="109"/>
  <c r="AI82" i="73" s="1"/>
  <c r="R12" i="122"/>
  <c r="AL10" i="109"/>
  <c r="AI81" i="73" s="1"/>
  <c r="R11" i="122"/>
  <c r="AG13" i="126" s="1"/>
  <c r="AL9" i="109"/>
  <c r="R10" i="122"/>
  <c r="AG12" i="126" s="1"/>
  <c r="AL8" i="109"/>
  <c r="AI79" i="73" s="1"/>
  <c r="R8" i="122"/>
  <c r="AL7" i="109"/>
  <c r="AI78" i="73" s="1"/>
  <c r="R9" i="122"/>
  <c r="AL6" i="109"/>
  <c r="AI77" i="73" s="1"/>
  <c r="R7" i="122"/>
  <c r="AG9" i="126" s="1"/>
  <c r="AL5" i="109"/>
  <c r="AI76" i="73" s="1"/>
  <c r="R6" i="122"/>
  <c r="AK31" i="109"/>
  <c r="AI65" i="73" s="1"/>
  <c r="J30" i="65"/>
  <c r="V33" i="121"/>
  <c r="AK30" i="109"/>
  <c r="AI64" i="73" s="1"/>
  <c r="J29" i="65"/>
  <c r="V31" i="121"/>
  <c r="AK29" i="109"/>
  <c r="AI63" i="73" s="1"/>
  <c r="V32" i="121"/>
  <c r="J28" i="65"/>
  <c r="AK28" i="109"/>
  <c r="AI62" i="73" s="1"/>
  <c r="V30" i="121"/>
  <c r="J27" i="65"/>
  <c r="AK27" i="109"/>
  <c r="AI61" i="73" s="1"/>
  <c r="J26" i="65"/>
  <c r="V28" i="121"/>
  <c r="AK26" i="109"/>
  <c r="J25" i="65"/>
  <c r="V27" i="121"/>
  <c r="AK25" i="109"/>
  <c r="AI59" i="73" s="1"/>
  <c r="V29" i="121"/>
  <c r="J24" i="65"/>
  <c r="AK24" i="109"/>
  <c r="AI58" i="73" s="1"/>
  <c r="V26" i="121"/>
  <c r="J23" i="65"/>
  <c r="AK23" i="109"/>
  <c r="AI57" i="73" s="1"/>
  <c r="J22" i="65"/>
  <c r="V25" i="121"/>
  <c r="AK22" i="109"/>
  <c r="AI56" i="73" s="1"/>
  <c r="J21" i="65"/>
  <c r="V23" i="121"/>
  <c r="AK21" i="109"/>
  <c r="AI55" i="73" s="1"/>
  <c r="V22" i="121"/>
  <c r="J20" i="65"/>
  <c r="AK20" i="109"/>
  <c r="AI54" i="73" s="1"/>
  <c r="V24" i="121"/>
  <c r="J19" i="65"/>
  <c r="AK19" i="109"/>
  <c r="AI53" i="73" s="1"/>
  <c r="J18" i="65"/>
  <c r="V21" i="121"/>
  <c r="AF22" i="126" s="1"/>
  <c r="AK18" i="109"/>
  <c r="AI52" i="73" s="1"/>
  <c r="J17" i="65"/>
  <c r="V20" i="121"/>
  <c r="AK17" i="109"/>
  <c r="AI51" i="73" s="1"/>
  <c r="V17" i="121"/>
  <c r="J16" i="65"/>
  <c r="AK16" i="109"/>
  <c r="V18" i="121"/>
  <c r="J15" i="65"/>
  <c r="AK15" i="109"/>
  <c r="AI49" i="73" s="1"/>
  <c r="V19" i="121"/>
  <c r="J14" i="65"/>
  <c r="AK14" i="109"/>
  <c r="AI48" i="73" s="1"/>
  <c r="J13" i="65"/>
  <c r="V16" i="121"/>
  <c r="AK13" i="109"/>
  <c r="AI47" i="73" s="1"/>
  <c r="V15" i="121"/>
  <c r="J12" i="65"/>
  <c r="AK12" i="109"/>
  <c r="AI46" i="73" s="1"/>
  <c r="V14" i="121"/>
  <c r="J11" i="65"/>
  <c r="AK11" i="109"/>
  <c r="AI45" i="73" s="1"/>
  <c r="J10" i="65"/>
  <c r="V13" i="121"/>
  <c r="AF14" i="126" s="1"/>
  <c r="AK10" i="109"/>
  <c r="AI44" i="73" s="1"/>
  <c r="J9" i="65"/>
  <c r="V12" i="121"/>
  <c r="AK9" i="109"/>
  <c r="AI43" i="73" s="1"/>
  <c r="V11" i="121"/>
  <c r="J8" i="65"/>
  <c r="J7" i="65"/>
  <c r="V9" i="121"/>
  <c r="AK7" i="109"/>
  <c r="AI41" i="73" s="1"/>
  <c r="V10" i="121"/>
  <c r="J6" i="65"/>
  <c r="AK6" i="109"/>
  <c r="J5" i="65"/>
  <c r="V8" i="121"/>
  <c r="AK5" i="109"/>
  <c r="AI39" i="73" s="1"/>
  <c r="V7" i="121"/>
  <c r="J4" i="65"/>
  <c r="U102" i="116"/>
  <c r="Y102" i="117"/>
  <c r="AJ31" i="109"/>
  <c r="AI31" i="73" s="1"/>
  <c r="U33" i="121"/>
  <c r="AJ30" i="109"/>
  <c r="U31" i="121"/>
  <c r="AJ29" i="109"/>
  <c r="AI29" i="73" s="1"/>
  <c r="U32" i="121"/>
  <c r="AJ28" i="109"/>
  <c r="AI28" i="73" s="1"/>
  <c r="U30" i="121"/>
  <c r="AF29" i="126"/>
  <c r="AJ26" i="109"/>
  <c r="AI26" i="73" s="1"/>
  <c r="U27" i="121"/>
  <c r="AJ25" i="109"/>
  <c r="AI25" i="73" s="1"/>
  <c r="U29" i="121"/>
  <c r="AJ24" i="109"/>
  <c r="AI24" i="73" s="1"/>
  <c r="U26" i="121"/>
  <c r="AJ23" i="109"/>
  <c r="AI23" i="73" s="1"/>
  <c r="U25" i="121"/>
  <c r="AJ22" i="109"/>
  <c r="AI22" i="73" s="1"/>
  <c r="U23" i="121"/>
  <c r="AJ21" i="109"/>
  <c r="AI21" i="73" s="1"/>
  <c r="U22" i="121"/>
  <c r="AJ20" i="109"/>
  <c r="U24" i="121"/>
  <c r="AJ18" i="109"/>
  <c r="AI18" i="73" s="1"/>
  <c r="U20" i="121"/>
  <c r="AJ17" i="109"/>
  <c r="AI17" i="73" s="1"/>
  <c r="U17" i="121"/>
  <c r="AJ16" i="109"/>
  <c r="AI16" i="73" s="1"/>
  <c r="U18" i="121"/>
  <c r="AJ15" i="109"/>
  <c r="AI15" i="73" s="1"/>
  <c r="U19" i="121"/>
  <c r="AJ14" i="109"/>
  <c r="AI14" i="73" s="1"/>
  <c r="U16" i="121"/>
  <c r="AJ13" i="109"/>
  <c r="AI13" i="73" s="1"/>
  <c r="U15" i="121"/>
  <c r="AJ12" i="109"/>
  <c r="AI12" i="73" s="1"/>
  <c r="U14" i="121"/>
  <c r="AJ10" i="109"/>
  <c r="U12" i="121"/>
  <c r="AJ9" i="109"/>
  <c r="AI9" i="73" s="1"/>
  <c r="U11" i="121"/>
  <c r="AJ8" i="109"/>
  <c r="AI8" i="73" s="1"/>
  <c r="U9" i="121"/>
  <c r="AJ7" i="109"/>
  <c r="AI7" i="73" s="1"/>
  <c r="U10" i="121"/>
  <c r="AJ6" i="109"/>
  <c r="AI6" i="73" s="1"/>
  <c r="U8" i="121"/>
  <c r="AJ5" i="109"/>
  <c r="AI5" i="73" s="1"/>
  <c r="U7" i="121"/>
  <c r="T102" i="113"/>
  <c r="T102" i="116"/>
  <c r="V102" i="116"/>
  <c r="X102" i="110"/>
  <c r="AN102" i="106"/>
  <c r="C34" i="124" s="1"/>
  <c r="Y102" i="110"/>
  <c r="G34" i="124" s="1"/>
  <c r="W102" i="116"/>
  <c r="Y102" i="116"/>
  <c r="M34" i="124" s="1"/>
  <c r="U102" i="117"/>
  <c r="W102" i="117"/>
  <c r="U102" i="110"/>
  <c r="J32" i="111"/>
  <c r="T102" i="111"/>
  <c r="X102" i="111"/>
  <c r="N32" i="111"/>
  <c r="Y5" i="112"/>
  <c r="U102" i="113"/>
  <c r="Y102" i="113"/>
  <c r="J34" i="124" s="1"/>
  <c r="W102" i="113"/>
  <c r="W102" i="114"/>
  <c r="U102" i="114"/>
  <c r="W102" i="115"/>
  <c r="S13" i="117"/>
  <c r="S61" i="117"/>
  <c r="T102" i="117"/>
  <c r="X102" i="117"/>
  <c r="C46" i="119"/>
  <c r="AK102" i="109"/>
  <c r="AO102" i="109"/>
  <c r="F34" i="124" s="1"/>
  <c r="AM102" i="109"/>
  <c r="AJ102" i="109"/>
  <c r="AN102" i="109"/>
  <c r="B271" i="73"/>
  <c r="P32" i="122"/>
  <c r="AH102" i="73"/>
  <c r="D434" i="73" s="1"/>
  <c r="P30" i="122"/>
  <c r="AH101" i="73"/>
  <c r="D433" i="73" s="1"/>
  <c r="P31" i="122"/>
  <c r="AH100" i="73"/>
  <c r="D432" i="73" s="1"/>
  <c r="P29" i="122"/>
  <c r="AH99" i="73"/>
  <c r="P27" i="122"/>
  <c r="AH98" i="73"/>
  <c r="P26" i="122"/>
  <c r="AH97" i="73"/>
  <c r="P25" i="122"/>
  <c r="AH95" i="73"/>
  <c r="P24" i="122"/>
  <c r="AH94" i="73"/>
  <c r="P22" i="122"/>
  <c r="AH93" i="73"/>
  <c r="P21" i="122"/>
  <c r="AH92" i="73"/>
  <c r="P23" i="122"/>
  <c r="AH91" i="73"/>
  <c r="P20" i="122"/>
  <c r="AH90" i="73"/>
  <c r="D422" i="73" s="1"/>
  <c r="P19" i="122"/>
  <c r="AH89" i="73"/>
  <c r="P16" i="122"/>
  <c r="AH88" i="73"/>
  <c r="P17" i="122"/>
  <c r="AH87" i="73"/>
  <c r="P18" i="122"/>
  <c r="AH86" i="73"/>
  <c r="P15" i="122"/>
  <c r="AH85" i="73"/>
  <c r="P14" i="122"/>
  <c r="AH84" i="73"/>
  <c r="P13" i="122"/>
  <c r="AH83" i="73"/>
  <c r="P12" i="122"/>
  <c r="AH82" i="73"/>
  <c r="P11" i="122"/>
  <c r="AH81" i="73"/>
  <c r="P10" i="122"/>
  <c r="AH80" i="73"/>
  <c r="D412" i="73" s="1"/>
  <c r="P8" i="122"/>
  <c r="AH79" i="73"/>
  <c r="P7" i="122"/>
  <c r="AH77" i="73"/>
  <c r="P6" i="122"/>
  <c r="AH76" i="73"/>
  <c r="Y41" i="111"/>
  <c r="R32" i="111"/>
  <c r="M32" i="111"/>
  <c r="I32" i="111"/>
  <c r="O32" i="111"/>
  <c r="K32" i="111"/>
  <c r="H65" i="62"/>
  <c r="K32" i="112"/>
  <c r="J96" i="62"/>
  <c r="J489" i="73"/>
  <c r="AA65" i="62"/>
  <c r="K489" i="73"/>
  <c r="AB65" i="62"/>
  <c r="M65" i="62"/>
  <c r="AL31" i="107"/>
  <c r="AG136" i="73" s="1"/>
  <c r="G30" i="65"/>
  <c r="AJ29" i="107"/>
  <c r="AG63" i="73" s="1"/>
  <c r="F28" i="65"/>
  <c r="AL27" i="107"/>
  <c r="AG132" i="73" s="1"/>
  <c r="G26" i="65"/>
  <c r="AJ25" i="107"/>
  <c r="AG59" i="73" s="1"/>
  <c r="F24" i="65"/>
  <c r="AL23" i="107"/>
  <c r="AG128" i="73" s="1"/>
  <c r="G22" i="65"/>
  <c r="AJ21" i="107"/>
  <c r="AG55" i="73" s="1"/>
  <c r="F20" i="65"/>
  <c r="AL19" i="107"/>
  <c r="AG124" i="73" s="1"/>
  <c r="G18" i="65"/>
  <c r="AJ17" i="107"/>
  <c r="AG51" i="73" s="1"/>
  <c r="F16" i="65"/>
  <c r="AL15" i="107"/>
  <c r="AG120" i="73" s="1"/>
  <c r="C499" i="73" s="1"/>
  <c r="G14" i="65"/>
  <c r="AJ13" i="107"/>
  <c r="AG47" i="73" s="1"/>
  <c r="F12" i="65"/>
  <c r="AL11" i="107"/>
  <c r="AG116" i="73" s="1"/>
  <c r="G10" i="65"/>
  <c r="AJ9" i="107"/>
  <c r="AG43" i="73" s="1"/>
  <c r="F8" i="65"/>
  <c r="AL7" i="107"/>
  <c r="AG112" i="73" s="1"/>
  <c r="G6" i="65"/>
  <c r="AJ5" i="107"/>
  <c r="AG39" i="73" s="1"/>
  <c r="F4" i="65"/>
  <c r="AJ31" i="108"/>
  <c r="H30" i="65"/>
  <c r="AJ29" i="108"/>
  <c r="H28" i="65"/>
  <c r="AJ28" i="108"/>
  <c r="H27" i="65"/>
  <c r="AJ27" i="108"/>
  <c r="H26" i="65"/>
  <c r="AJ26" i="108"/>
  <c r="H25" i="65"/>
  <c r="AJ25" i="108"/>
  <c r="H24" i="65"/>
  <c r="AJ24" i="108"/>
  <c r="H23" i="65"/>
  <c r="AJ23" i="108"/>
  <c r="H22" i="65"/>
  <c r="AJ22" i="108"/>
  <c r="H21" i="65"/>
  <c r="AJ21" i="108"/>
  <c r="H20" i="65"/>
  <c r="AJ20" i="108"/>
  <c r="H19" i="65"/>
  <c r="AJ19" i="108"/>
  <c r="H18" i="65"/>
  <c r="AJ18" i="108"/>
  <c r="H17" i="65"/>
  <c r="AJ17" i="108"/>
  <c r="H16" i="65"/>
  <c r="AJ16" i="108"/>
  <c r="H15" i="65"/>
  <c r="AJ15" i="108"/>
  <c r="H14" i="65"/>
  <c r="AJ14" i="108"/>
  <c r="H13" i="65"/>
  <c r="AJ13" i="108"/>
  <c r="H12" i="65"/>
  <c r="AJ12" i="108"/>
  <c r="H11" i="65"/>
  <c r="AJ11" i="108"/>
  <c r="H10" i="65"/>
  <c r="AJ10" i="108"/>
  <c r="H9" i="65"/>
  <c r="AJ9" i="108"/>
  <c r="H8" i="65"/>
  <c r="AJ8" i="108"/>
  <c r="H7" i="65"/>
  <c r="AJ7" i="108"/>
  <c r="H6" i="65"/>
  <c r="AJ6" i="108"/>
  <c r="H5" i="65"/>
  <c r="AJ5" i="108"/>
  <c r="H4" i="65"/>
  <c r="AO20" i="109"/>
  <c r="AO17" i="109"/>
  <c r="AO8" i="109"/>
  <c r="AO7" i="109"/>
  <c r="I32" i="110"/>
  <c r="Q32" i="110"/>
  <c r="W65" i="62"/>
  <c r="G489" i="73"/>
  <c r="I489" i="73"/>
  <c r="Z65" i="62"/>
  <c r="K65" i="62"/>
  <c r="S58" i="115"/>
  <c r="L65" i="62"/>
  <c r="S24" i="116"/>
  <c r="AC34" i="62"/>
  <c r="M489" i="73"/>
  <c r="AQ137" i="73"/>
  <c r="AJ30" i="107"/>
  <c r="AG64" i="73" s="1"/>
  <c r="F29" i="65"/>
  <c r="AL28" i="107"/>
  <c r="AG133" i="73" s="1"/>
  <c r="G27" i="65"/>
  <c r="AJ26" i="107"/>
  <c r="AG60" i="73" s="1"/>
  <c r="C348" i="73" s="1"/>
  <c r="F25" i="65"/>
  <c r="AL24" i="107"/>
  <c r="AG129" i="73" s="1"/>
  <c r="G23" i="65"/>
  <c r="AJ22" i="107"/>
  <c r="AG56" i="73" s="1"/>
  <c r="F21" i="65"/>
  <c r="AL20" i="107"/>
  <c r="AG125" i="73" s="1"/>
  <c r="G19" i="65"/>
  <c r="AJ18" i="107"/>
  <c r="AG52" i="73" s="1"/>
  <c r="F17" i="65"/>
  <c r="AL16" i="107"/>
  <c r="AG121" i="73" s="1"/>
  <c r="G15" i="65"/>
  <c r="AJ14" i="107"/>
  <c r="AG48" i="73" s="1"/>
  <c r="F13" i="65"/>
  <c r="AL12" i="107"/>
  <c r="AG117" i="73" s="1"/>
  <c r="G11" i="65"/>
  <c r="AJ10" i="107"/>
  <c r="AG44" i="73" s="1"/>
  <c r="F9" i="65"/>
  <c r="AL8" i="107"/>
  <c r="AG113" i="73" s="1"/>
  <c r="G7" i="65"/>
  <c r="AJ6" i="107"/>
  <c r="AG40" i="73" s="1"/>
  <c r="C328" i="73" s="1"/>
  <c r="F5" i="65"/>
  <c r="U102" i="111"/>
  <c r="Y102" i="111"/>
  <c r="H34" i="124" s="1"/>
  <c r="B594" i="73"/>
  <c r="AF151" i="73"/>
  <c r="S33" i="121"/>
  <c r="AH31" i="73"/>
  <c r="K29" i="123"/>
  <c r="AH171" i="73"/>
  <c r="S31" i="121"/>
  <c r="AH30" i="73"/>
  <c r="D271" i="73" s="1"/>
  <c r="K30" i="123"/>
  <c r="AH170" i="73"/>
  <c r="D594" i="73" s="1"/>
  <c r="S32" i="121"/>
  <c r="AH29" i="73"/>
  <c r="K28" i="123"/>
  <c r="AH169" i="73"/>
  <c r="S30" i="121"/>
  <c r="AH28" i="73"/>
  <c r="K26" i="123"/>
  <c r="AH168" i="73"/>
  <c r="S28" i="121"/>
  <c r="AH27" i="73"/>
  <c r="K25" i="123"/>
  <c r="AH167" i="73"/>
  <c r="S27" i="121"/>
  <c r="AH26" i="73"/>
  <c r="K27" i="123"/>
  <c r="AH166" i="73"/>
  <c r="S29" i="121"/>
  <c r="AH25" i="73"/>
  <c r="K24" i="123"/>
  <c r="AH165" i="73"/>
  <c r="S26" i="121"/>
  <c r="AH24" i="73"/>
  <c r="K23" i="123"/>
  <c r="AH164" i="73"/>
  <c r="S25" i="121"/>
  <c r="AH23" i="73"/>
  <c r="K21" i="123"/>
  <c r="AH163" i="73"/>
  <c r="S23" i="121"/>
  <c r="AH22" i="73"/>
  <c r="K20" i="123"/>
  <c r="AH162" i="73"/>
  <c r="S22" i="121"/>
  <c r="AH21" i="73"/>
  <c r="K22" i="123"/>
  <c r="AH161" i="73"/>
  <c r="S24" i="121"/>
  <c r="AH20" i="73"/>
  <c r="D261" i="73" s="1"/>
  <c r="K19" i="123"/>
  <c r="AH160" i="73"/>
  <c r="D584" i="73" s="1"/>
  <c r="S21" i="121"/>
  <c r="AH19" i="73"/>
  <c r="K18" i="123"/>
  <c r="AH159" i="73"/>
  <c r="S20" i="121"/>
  <c r="AH18" i="73"/>
  <c r="K15" i="123"/>
  <c r="AH158" i="73"/>
  <c r="K16" i="123"/>
  <c r="AH157" i="73"/>
  <c r="S18" i="121"/>
  <c r="AH16" i="73"/>
  <c r="S19" i="121"/>
  <c r="AH15" i="73"/>
  <c r="K14" i="123"/>
  <c r="AH155" i="73"/>
  <c r="K13" i="123"/>
  <c r="AH154" i="73"/>
  <c r="S15" i="121"/>
  <c r="AH13" i="73"/>
  <c r="K12" i="123"/>
  <c r="AH153" i="73"/>
  <c r="S14" i="121"/>
  <c r="AH12" i="73"/>
  <c r="K11" i="123"/>
  <c r="AH152" i="73"/>
  <c r="S13" i="121"/>
  <c r="AH11" i="73"/>
  <c r="K10" i="123"/>
  <c r="AH151" i="73"/>
  <c r="S12" i="121"/>
  <c r="AH10" i="73"/>
  <c r="D251" i="73" s="1"/>
  <c r="K9" i="123"/>
  <c r="AH150" i="73"/>
  <c r="D574" i="73" s="1"/>
  <c r="S11" i="121"/>
  <c r="AH9" i="73"/>
  <c r="K7" i="123"/>
  <c r="AH149" i="73"/>
  <c r="S9" i="121"/>
  <c r="AH8" i="73"/>
  <c r="K8" i="123"/>
  <c r="AH148" i="73"/>
  <c r="S10" i="121"/>
  <c r="AH7" i="73"/>
  <c r="K6" i="123"/>
  <c r="AH147" i="73"/>
  <c r="S8" i="121"/>
  <c r="AH6" i="73"/>
  <c r="K5" i="123"/>
  <c r="AH146" i="73"/>
  <c r="S7" i="121"/>
  <c r="AH5" i="73"/>
  <c r="AI41" i="109"/>
  <c r="AD67" i="109"/>
  <c r="F96" i="62"/>
  <c r="H96" i="62"/>
  <c r="I96" i="62"/>
  <c r="J65" i="62"/>
  <c r="S29" i="114"/>
  <c r="AA34" i="62"/>
  <c r="S42" i="115"/>
  <c r="AB34" i="62"/>
  <c r="M96" i="62"/>
  <c r="AQ103" i="73"/>
  <c r="AJ31" i="107"/>
  <c r="AG65" i="73" s="1"/>
  <c r="F30" i="65"/>
  <c r="AL29" i="107"/>
  <c r="AG134" i="73" s="1"/>
  <c r="G28" i="65"/>
  <c r="AJ27" i="107"/>
  <c r="AG61" i="73" s="1"/>
  <c r="F26" i="65"/>
  <c r="AL25" i="107"/>
  <c r="AG130" i="73" s="1"/>
  <c r="C509" i="73" s="1"/>
  <c r="G24" i="65"/>
  <c r="AJ23" i="107"/>
  <c r="AG57" i="73" s="1"/>
  <c r="F22" i="65"/>
  <c r="AL21" i="107"/>
  <c r="AG126" i="73" s="1"/>
  <c r="G20" i="65"/>
  <c r="AJ19" i="107"/>
  <c r="AG53" i="73" s="1"/>
  <c r="F18" i="65"/>
  <c r="AL17" i="107"/>
  <c r="AG122" i="73" s="1"/>
  <c r="G16" i="65"/>
  <c r="AJ15" i="107"/>
  <c r="AG49" i="73" s="1"/>
  <c r="F14" i="65"/>
  <c r="AL13" i="107"/>
  <c r="AG118" i="73" s="1"/>
  <c r="G12" i="65"/>
  <c r="AJ11" i="107"/>
  <c r="AG45" i="73" s="1"/>
  <c r="F10" i="65"/>
  <c r="AL9" i="107"/>
  <c r="AG114" i="73" s="1"/>
  <c r="G8" i="65"/>
  <c r="AJ7" i="107"/>
  <c r="AG41" i="73" s="1"/>
  <c r="F6" i="65"/>
  <c r="AL5" i="107"/>
  <c r="AG110" i="73" s="1"/>
  <c r="C489" i="73" s="1"/>
  <c r="G4" i="65"/>
  <c r="B574" i="73"/>
  <c r="B412" i="73"/>
  <c r="K31" i="123"/>
  <c r="AH172" i="73"/>
  <c r="AL30" i="108"/>
  <c r="I29" i="65"/>
  <c r="AL29" i="108"/>
  <c r="I28" i="65"/>
  <c r="AL28" i="108"/>
  <c r="I27" i="65"/>
  <c r="AL27" i="108"/>
  <c r="I26" i="65"/>
  <c r="AL26" i="108"/>
  <c r="I25" i="65"/>
  <c r="AL25" i="108"/>
  <c r="I24" i="65"/>
  <c r="AL24" i="108"/>
  <c r="I23" i="65"/>
  <c r="AL23" i="108"/>
  <c r="I22" i="65"/>
  <c r="AL22" i="108"/>
  <c r="I21" i="65"/>
  <c r="AL21" i="108"/>
  <c r="I20" i="65"/>
  <c r="AL20" i="108"/>
  <c r="I19" i="65"/>
  <c r="AL19" i="108"/>
  <c r="I18" i="65"/>
  <c r="AL18" i="108"/>
  <c r="I17" i="65"/>
  <c r="AL17" i="108"/>
  <c r="I16" i="65"/>
  <c r="AL16" i="108"/>
  <c r="I15" i="65"/>
  <c r="AL15" i="108"/>
  <c r="I14" i="65"/>
  <c r="AL14" i="108"/>
  <c r="I13" i="65"/>
  <c r="AL13" i="108"/>
  <c r="I12" i="65"/>
  <c r="AL12" i="108"/>
  <c r="I11" i="65"/>
  <c r="AL11" i="108"/>
  <c r="I10" i="65"/>
  <c r="AL10" i="108"/>
  <c r="I9" i="65"/>
  <c r="AL9" i="108"/>
  <c r="I8" i="65"/>
  <c r="AL8" i="108"/>
  <c r="I7" i="65"/>
  <c r="AL7" i="108"/>
  <c r="I6" i="65"/>
  <c r="AL6" i="108"/>
  <c r="I5" i="65"/>
  <c r="AL5" i="108"/>
  <c r="I4" i="65"/>
  <c r="AO64" i="109"/>
  <c r="AO61" i="109"/>
  <c r="AO58" i="109"/>
  <c r="W34" i="62"/>
  <c r="F32" i="111"/>
  <c r="Q32" i="111"/>
  <c r="L32" i="111"/>
  <c r="X65" i="62"/>
  <c r="Y44" i="112"/>
  <c r="Y65" i="62"/>
  <c r="I67" i="113"/>
  <c r="Z34" i="62"/>
  <c r="S13" i="114"/>
  <c r="K96" i="62"/>
  <c r="K34" i="62"/>
  <c r="S19" i="115"/>
  <c r="L96" i="62"/>
  <c r="L489" i="73"/>
  <c r="AC65" i="62"/>
  <c r="S29" i="117"/>
  <c r="AL30" i="107"/>
  <c r="AG135" i="73" s="1"/>
  <c r="G29" i="65"/>
  <c r="AJ28" i="107"/>
  <c r="AG62" i="73" s="1"/>
  <c r="F27" i="65"/>
  <c r="AL26" i="107"/>
  <c r="AG131" i="73" s="1"/>
  <c r="G25" i="65"/>
  <c r="AJ24" i="107"/>
  <c r="AG58" i="73" s="1"/>
  <c r="F23" i="65"/>
  <c r="AL22" i="107"/>
  <c r="AG127" i="73" s="1"/>
  <c r="G21" i="65"/>
  <c r="AL18" i="107"/>
  <c r="AG123" i="73" s="1"/>
  <c r="G17" i="65"/>
  <c r="AJ16" i="107"/>
  <c r="AG50" i="73" s="1"/>
  <c r="C338" i="73" s="1"/>
  <c r="F15" i="65"/>
  <c r="AL14" i="107"/>
  <c r="AG119" i="73" s="1"/>
  <c r="G13" i="65"/>
  <c r="AJ12" i="107"/>
  <c r="AG46" i="73" s="1"/>
  <c r="F11" i="65"/>
  <c r="AL10" i="107"/>
  <c r="AG115" i="73" s="1"/>
  <c r="G9" i="65"/>
  <c r="AJ8" i="107"/>
  <c r="AG42" i="73" s="1"/>
  <c r="F7" i="65"/>
  <c r="AL6" i="107"/>
  <c r="AG111" i="73" s="1"/>
  <c r="G5" i="65"/>
  <c r="AN22" i="108"/>
  <c r="AN18" i="108"/>
  <c r="AN15" i="108"/>
  <c r="AN6" i="108"/>
  <c r="AN45" i="108"/>
  <c r="AI102" i="108"/>
  <c r="S37" i="121" s="1"/>
  <c r="AM102" i="108"/>
  <c r="K35" i="123" s="1"/>
  <c r="AH102" i="108"/>
  <c r="S7" i="118" s="1"/>
  <c r="AN12" i="108"/>
  <c r="AN7" i="108"/>
  <c r="AJ102" i="108"/>
  <c r="T37" i="121" s="1"/>
  <c r="AR37" i="121" s="1"/>
  <c r="AN102" i="108"/>
  <c r="E34" i="124" s="1"/>
  <c r="AN61" i="107"/>
  <c r="AN55" i="107"/>
  <c r="AN51" i="107"/>
  <c r="AN47" i="107"/>
  <c r="AN41" i="107"/>
  <c r="AN29" i="107"/>
  <c r="D29" i="124" s="1"/>
  <c r="O33" i="126" s="1"/>
  <c r="AN25" i="107"/>
  <c r="D26" i="124" s="1"/>
  <c r="O30" i="126" s="1"/>
  <c r="AN21" i="107"/>
  <c r="D19" i="124" s="1"/>
  <c r="O23" i="126" s="1"/>
  <c r="AN17" i="107"/>
  <c r="D14" i="124" s="1"/>
  <c r="O18" i="126" s="1"/>
  <c r="AN13" i="107"/>
  <c r="D12" i="124" s="1"/>
  <c r="O16" i="126" s="1"/>
  <c r="AN9" i="107"/>
  <c r="D8" i="124" s="1"/>
  <c r="O12" i="126" s="1"/>
  <c r="AN5" i="107"/>
  <c r="D4" i="124" s="1"/>
  <c r="AN62" i="107"/>
  <c r="AN58" i="107"/>
  <c r="AN30" i="107"/>
  <c r="D28" i="124" s="1"/>
  <c r="O32" i="126" s="1"/>
  <c r="AN22" i="107"/>
  <c r="D20" i="124" s="1"/>
  <c r="O24" i="126" s="1"/>
  <c r="AN18" i="107"/>
  <c r="D17" i="124" s="1"/>
  <c r="O21" i="126" s="1"/>
  <c r="AN14" i="107"/>
  <c r="D13" i="124" s="1"/>
  <c r="O17" i="126" s="1"/>
  <c r="AH15" i="107"/>
  <c r="AN65" i="107"/>
  <c r="AN63" i="107"/>
  <c r="AN59" i="107"/>
  <c r="AN57" i="107"/>
  <c r="AN53" i="107"/>
  <c r="AN49" i="107"/>
  <c r="AN45" i="107"/>
  <c r="AN43" i="107"/>
  <c r="AN31" i="107"/>
  <c r="D30" i="124" s="1"/>
  <c r="O34" i="126" s="1"/>
  <c r="AN27" i="107"/>
  <c r="D25" i="124" s="1"/>
  <c r="O29" i="126" s="1"/>
  <c r="AN23" i="107"/>
  <c r="D22" i="124" s="1"/>
  <c r="O26" i="126" s="1"/>
  <c r="AN19" i="107"/>
  <c r="D18" i="124" s="1"/>
  <c r="O22" i="126" s="1"/>
  <c r="AN15" i="107"/>
  <c r="D16" i="124" s="1"/>
  <c r="O20" i="126" s="1"/>
  <c r="AN11" i="107"/>
  <c r="D10" i="124" s="1"/>
  <c r="O14" i="126" s="1"/>
  <c r="AN7" i="107"/>
  <c r="D7" i="124" s="1"/>
  <c r="O11" i="126" s="1"/>
  <c r="AK102" i="107"/>
  <c r="AN56" i="107"/>
  <c r="AN52" i="107"/>
  <c r="AN48" i="107"/>
  <c r="AN44" i="107"/>
  <c r="AN42" i="107"/>
  <c r="AN26" i="107"/>
  <c r="D24" i="124" s="1"/>
  <c r="O28" i="126" s="1"/>
  <c r="AN10" i="107"/>
  <c r="D9" i="124" s="1"/>
  <c r="O13" i="126" s="1"/>
  <c r="AN6" i="107"/>
  <c r="D5" i="124" s="1"/>
  <c r="O9" i="126" s="1"/>
  <c r="AH21" i="107"/>
  <c r="AN66" i="107"/>
  <c r="AN64" i="107"/>
  <c r="AN60" i="107"/>
  <c r="AN54" i="107"/>
  <c r="AN50" i="107"/>
  <c r="AN46" i="107"/>
  <c r="AN40" i="107"/>
  <c r="AN28" i="107"/>
  <c r="D27" i="124" s="1"/>
  <c r="O31" i="126" s="1"/>
  <c r="AN24" i="107"/>
  <c r="D23" i="124" s="1"/>
  <c r="O27" i="126" s="1"/>
  <c r="AN20" i="107"/>
  <c r="D21" i="124" s="1"/>
  <c r="O25" i="126" s="1"/>
  <c r="AN16" i="107"/>
  <c r="D15" i="124" s="1"/>
  <c r="O19" i="126" s="1"/>
  <c r="AN12" i="107"/>
  <c r="D11" i="124" s="1"/>
  <c r="O15" i="126" s="1"/>
  <c r="AN8" i="107"/>
  <c r="D6" i="124" s="1"/>
  <c r="O10" i="126" s="1"/>
  <c r="AJ29" i="106"/>
  <c r="AF63" i="73" s="1"/>
  <c r="D28" i="65"/>
  <c r="AJ27" i="106"/>
  <c r="AF61" i="73" s="1"/>
  <c r="D26" i="65"/>
  <c r="AJ24" i="106"/>
  <c r="AF58" i="73" s="1"/>
  <c r="D23" i="65"/>
  <c r="AJ22" i="106"/>
  <c r="AF56" i="73" s="1"/>
  <c r="D21" i="65"/>
  <c r="AJ21" i="106"/>
  <c r="AF55" i="73" s="1"/>
  <c r="D20" i="65"/>
  <c r="AJ17" i="106"/>
  <c r="AF51" i="73" s="1"/>
  <c r="D16" i="65"/>
  <c r="S67" i="108"/>
  <c r="AI54" i="108"/>
  <c r="AN19" i="108"/>
  <c r="AN14" i="108"/>
  <c r="AN11" i="108"/>
  <c r="AN10" i="108"/>
  <c r="AN5" i="108"/>
  <c r="AO63" i="109"/>
  <c r="AO59" i="109"/>
  <c r="U67" i="109"/>
  <c r="R34" i="122" s="1"/>
  <c r="AL42" i="109"/>
  <c r="AO18" i="109"/>
  <c r="AO10" i="109"/>
  <c r="AI8" i="109"/>
  <c r="AK8" i="109"/>
  <c r="AI42" i="73" s="1"/>
  <c r="G24" i="118"/>
  <c r="F127" i="62" s="1"/>
  <c r="Y62" i="110"/>
  <c r="V67" i="110"/>
  <c r="Y40" i="110"/>
  <c r="Y22" i="110"/>
  <c r="Y10" i="110"/>
  <c r="Y55" i="111"/>
  <c r="Y47" i="111"/>
  <c r="S25" i="111"/>
  <c r="T25" i="111"/>
  <c r="AK25" i="73" s="1"/>
  <c r="Y65" i="112"/>
  <c r="AM67" i="107"/>
  <c r="AG175" i="73" s="1"/>
  <c r="F48" i="119"/>
  <c r="B48" i="119"/>
  <c r="E16" i="66"/>
  <c r="AJ16" i="106"/>
  <c r="AF50" i="73" s="1"/>
  <c r="D15" i="65"/>
  <c r="E14" i="65"/>
  <c r="AJ11" i="106"/>
  <c r="AF45" i="73" s="1"/>
  <c r="D10" i="65"/>
  <c r="E8" i="65"/>
  <c r="E7" i="65"/>
  <c r="AJ7" i="106"/>
  <c r="AF41" i="73" s="1"/>
  <c r="D6" i="65"/>
  <c r="AJ6" i="106"/>
  <c r="AF40" i="73" s="1"/>
  <c r="D5" i="65"/>
  <c r="O67" i="107"/>
  <c r="O90" i="108"/>
  <c r="AH66" i="108"/>
  <c r="AN64" i="108"/>
  <c r="AN63" i="108"/>
  <c r="AN62" i="108"/>
  <c r="AN61" i="108"/>
  <c r="AN60" i="108"/>
  <c r="AN59" i="108"/>
  <c r="AN58" i="108"/>
  <c r="AK67" i="108"/>
  <c r="AH17" i="108"/>
  <c r="AI17" i="108"/>
  <c r="AE32" i="108"/>
  <c r="W32" i="108"/>
  <c r="AM15" i="108"/>
  <c r="AH14" i="108"/>
  <c r="AI14" i="108"/>
  <c r="O84" i="109"/>
  <c r="AI64" i="109"/>
  <c r="AJ64" i="109"/>
  <c r="AI61" i="109"/>
  <c r="AJ61" i="109"/>
  <c r="AI58" i="109"/>
  <c r="AJ58" i="109"/>
  <c r="AI48" i="109"/>
  <c r="AO43" i="109"/>
  <c r="AO42" i="109"/>
  <c r="AI19" i="109"/>
  <c r="AJ19" i="109"/>
  <c r="AI19" i="73" s="1"/>
  <c r="AI11" i="109"/>
  <c r="AJ11" i="109"/>
  <c r="Y65" i="110"/>
  <c r="Y63" i="110"/>
  <c r="Y59" i="110"/>
  <c r="Y57" i="110"/>
  <c r="Y56" i="110"/>
  <c r="Y55" i="110"/>
  <c r="Y54" i="110"/>
  <c r="Y53" i="110"/>
  <c r="Y52" i="110"/>
  <c r="Y51" i="110"/>
  <c r="Y50" i="110"/>
  <c r="Y49" i="110"/>
  <c r="Y48" i="110"/>
  <c r="Y47" i="110"/>
  <c r="Y46" i="110"/>
  <c r="Y45" i="110"/>
  <c r="Y44" i="110"/>
  <c r="Y41" i="110"/>
  <c r="X67" i="110"/>
  <c r="AJ175" i="73" s="1"/>
  <c r="T67" i="110"/>
  <c r="AJ34" i="73" s="1"/>
  <c r="Y31" i="110"/>
  <c r="Y27" i="110"/>
  <c r="Y23" i="110"/>
  <c r="Y19" i="110"/>
  <c r="Y15" i="110"/>
  <c r="Y11" i="110"/>
  <c r="Y7" i="110"/>
  <c r="N32" i="110"/>
  <c r="J32" i="110"/>
  <c r="F32" i="110"/>
  <c r="W5" i="110"/>
  <c r="AJ110" i="73" s="1"/>
  <c r="Y66" i="111"/>
  <c r="Y64" i="111"/>
  <c r="Y60" i="111"/>
  <c r="Y56" i="111"/>
  <c r="Y52" i="111"/>
  <c r="Y48" i="111"/>
  <c r="Y44" i="111"/>
  <c r="Y42" i="111"/>
  <c r="S41" i="111"/>
  <c r="T41" i="111"/>
  <c r="E32" i="111"/>
  <c r="S30" i="111"/>
  <c r="T30" i="111"/>
  <c r="S26" i="111"/>
  <c r="T26" i="111"/>
  <c r="AK26" i="73" s="1"/>
  <c r="S22" i="111"/>
  <c r="T22" i="111"/>
  <c r="AK22" i="73" s="1"/>
  <c r="S19" i="111"/>
  <c r="U19" i="111"/>
  <c r="AK53" i="73" s="1"/>
  <c r="S15" i="111"/>
  <c r="U15" i="111"/>
  <c r="AK49" i="73" s="1"/>
  <c r="S11" i="111"/>
  <c r="U11" i="111"/>
  <c r="AK45" i="73" s="1"/>
  <c r="S7" i="111"/>
  <c r="U7" i="111"/>
  <c r="AK41" i="73" s="1"/>
  <c r="AM32" i="107"/>
  <c r="AL31" i="106"/>
  <c r="AF136" i="73" s="1"/>
  <c r="E30" i="65"/>
  <c r="AL30" i="106"/>
  <c r="E29" i="65"/>
  <c r="AJ28" i="106"/>
  <c r="AF62" i="73" s="1"/>
  <c r="D27" i="65"/>
  <c r="AJ26" i="106"/>
  <c r="AF60" i="73" s="1"/>
  <c r="D25" i="65"/>
  <c r="AJ25" i="106"/>
  <c r="AF59" i="73" s="1"/>
  <c r="D24" i="65"/>
  <c r="AJ23" i="106"/>
  <c r="AF57" i="73" s="1"/>
  <c r="D22" i="65"/>
  <c r="AJ20" i="106"/>
  <c r="AF54" i="73" s="1"/>
  <c r="D19" i="65"/>
  <c r="AJ19" i="106"/>
  <c r="AF53" i="73" s="1"/>
  <c r="D18" i="65"/>
  <c r="AJ18" i="106"/>
  <c r="AF52" i="73" s="1"/>
  <c r="D17" i="65"/>
  <c r="AL14" i="106"/>
  <c r="AF119" i="73" s="1"/>
  <c r="E13" i="65"/>
  <c r="AL13" i="106"/>
  <c r="AF118" i="73" s="1"/>
  <c r="E12" i="65"/>
  <c r="AL12" i="106"/>
  <c r="AF117" i="73" s="1"/>
  <c r="E11" i="65"/>
  <c r="AJ10" i="106"/>
  <c r="AF44" i="73" s="1"/>
  <c r="D9" i="65"/>
  <c r="AL5" i="106"/>
  <c r="AF110" i="73" s="1"/>
  <c r="E4" i="65"/>
  <c r="AA67" i="108"/>
  <c r="AN44" i="108"/>
  <c r="AL67" i="108"/>
  <c r="AN31" i="108"/>
  <c r="AN21" i="108"/>
  <c r="AN20" i="108"/>
  <c r="AN17" i="108"/>
  <c r="AN13" i="108"/>
  <c r="AN9" i="108"/>
  <c r="AN8" i="108"/>
  <c r="AO62" i="109"/>
  <c r="AO60" i="109"/>
  <c r="AI43" i="109"/>
  <c r="AL43" i="109"/>
  <c r="AO24" i="109"/>
  <c r="AO22" i="109"/>
  <c r="AO21" i="109"/>
  <c r="AO19" i="109"/>
  <c r="AO16" i="109"/>
  <c r="AO15" i="109"/>
  <c r="AO14" i="109"/>
  <c r="AO11" i="109"/>
  <c r="AO6" i="109"/>
  <c r="AO5" i="109"/>
  <c r="Y58" i="110"/>
  <c r="U67" i="110"/>
  <c r="AJ68" i="73" s="1"/>
  <c r="Y30" i="110"/>
  <c r="Y26" i="110"/>
  <c r="Y18" i="110"/>
  <c r="Y14" i="110"/>
  <c r="Y6" i="110"/>
  <c r="Y65" i="111"/>
  <c r="Y63" i="111"/>
  <c r="Y59" i="111"/>
  <c r="Y51" i="111"/>
  <c r="X67" i="111"/>
  <c r="AK175" i="73" s="1"/>
  <c r="S40" i="111"/>
  <c r="T40" i="111"/>
  <c r="S29" i="111"/>
  <c r="T29" i="111"/>
  <c r="AK29" i="73" s="1"/>
  <c r="AI67" i="107"/>
  <c r="AG34" i="73" s="1"/>
  <c r="D61" i="119"/>
  <c r="AJ31" i="106"/>
  <c r="AF65" i="73" s="1"/>
  <c r="D30" i="65"/>
  <c r="AJ30" i="106"/>
  <c r="D29" i="65"/>
  <c r="AL29" i="106"/>
  <c r="AF134" i="73" s="1"/>
  <c r="E28" i="65"/>
  <c r="AL28" i="106"/>
  <c r="AF133" i="73" s="1"/>
  <c r="E27" i="65"/>
  <c r="AL27" i="106"/>
  <c r="AF132" i="73" s="1"/>
  <c r="E26" i="65"/>
  <c r="AL26" i="106"/>
  <c r="AF131" i="73" s="1"/>
  <c r="E25" i="65"/>
  <c r="AL25" i="106"/>
  <c r="AF130" i="73" s="1"/>
  <c r="E24" i="65"/>
  <c r="AL24" i="106"/>
  <c r="AF129" i="73" s="1"/>
  <c r="E23" i="65"/>
  <c r="AL23" i="106"/>
  <c r="AF128" i="73" s="1"/>
  <c r="E22" i="65"/>
  <c r="AL22" i="106"/>
  <c r="AF127" i="73" s="1"/>
  <c r="E21" i="65"/>
  <c r="AL21" i="106"/>
  <c r="AF126" i="73" s="1"/>
  <c r="E20" i="65"/>
  <c r="AL20" i="106"/>
  <c r="E19" i="65"/>
  <c r="AL19" i="106"/>
  <c r="AF124" i="73" s="1"/>
  <c r="E18" i="65"/>
  <c r="AL18" i="106"/>
  <c r="AF123" i="73" s="1"/>
  <c r="E17" i="65"/>
  <c r="AL17" i="106"/>
  <c r="AF122" i="73" s="1"/>
  <c r="E16" i="65"/>
  <c r="AJ14" i="106"/>
  <c r="AF48" i="73" s="1"/>
  <c r="D13" i="65"/>
  <c r="AJ13" i="106"/>
  <c r="AF47" i="73" s="1"/>
  <c r="D12" i="65"/>
  <c r="AJ12" i="106"/>
  <c r="AF46" i="73" s="1"/>
  <c r="D11" i="65"/>
  <c r="AL10" i="106"/>
  <c r="E9" i="65"/>
  <c r="AJ5" i="106"/>
  <c r="AF39" i="73" s="1"/>
  <c r="D4" i="65"/>
  <c r="Z135" i="107"/>
  <c r="Y135" i="107"/>
  <c r="O98" i="107"/>
  <c r="AH59" i="108"/>
  <c r="AI59" i="108"/>
  <c r="AH45" i="108"/>
  <c r="AN43" i="108"/>
  <c r="AN42" i="108"/>
  <c r="AN41" i="108"/>
  <c r="AN40" i="108"/>
  <c r="AH25" i="108"/>
  <c r="AK25" i="108"/>
  <c r="AH22" i="108"/>
  <c r="O32" i="108"/>
  <c r="AO66" i="109"/>
  <c r="AO65" i="109"/>
  <c r="AO57" i="109"/>
  <c r="AO56" i="109"/>
  <c r="AO55" i="109"/>
  <c r="AO54" i="109"/>
  <c r="AO53" i="109"/>
  <c r="AO52" i="109"/>
  <c r="AO51" i="109"/>
  <c r="AO50" i="109"/>
  <c r="AO49" i="109"/>
  <c r="AO41" i="109"/>
  <c r="AO40" i="109"/>
  <c r="AK67" i="109"/>
  <c r="AI68" i="73" s="1"/>
  <c r="AI24" i="109"/>
  <c r="Y66" i="110"/>
  <c r="Y64" i="110"/>
  <c r="Y60" i="110"/>
  <c r="Y42" i="110"/>
  <c r="W67" i="110"/>
  <c r="AJ139" i="73" s="1"/>
  <c r="Y28" i="110"/>
  <c r="Y24" i="110"/>
  <c r="Y20" i="110"/>
  <c r="Y16" i="110"/>
  <c r="Y12" i="110"/>
  <c r="Y8" i="110"/>
  <c r="R32" i="110"/>
  <c r="M32" i="110"/>
  <c r="E32" i="110"/>
  <c r="V5" i="110"/>
  <c r="AJ76" i="73" s="1"/>
  <c r="G25" i="118"/>
  <c r="G127" i="62" s="1"/>
  <c r="O67" i="111"/>
  <c r="Y61" i="111"/>
  <c r="Y57" i="111"/>
  <c r="Y53" i="111"/>
  <c r="Y49" i="111"/>
  <c r="F67" i="111"/>
  <c r="W47" i="111"/>
  <c r="W67" i="111" s="1"/>
  <c r="AK139" i="73" s="1"/>
  <c r="Y45" i="111"/>
  <c r="Y43" i="111"/>
  <c r="S42" i="111"/>
  <c r="T42" i="111"/>
  <c r="V67" i="111"/>
  <c r="H32" i="111"/>
  <c r="D32" i="111"/>
  <c r="S31" i="111"/>
  <c r="T31" i="111"/>
  <c r="AK31" i="73" s="1"/>
  <c r="S27" i="111"/>
  <c r="T27" i="111"/>
  <c r="AK27" i="73" s="1"/>
  <c r="M67" i="112"/>
  <c r="AL67" i="107"/>
  <c r="AG139" i="73" s="1"/>
  <c r="AK67" i="107"/>
  <c r="AG105" i="73" s="1"/>
  <c r="C738" i="73" s="1"/>
  <c r="AH50" i="108"/>
  <c r="AI50" i="108"/>
  <c r="AN16" i="108"/>
  <c r="AM67" i="109"/>
  <c r="AI139" i="73" s="1"/>
  <c r="AI27" i="109"/>
  <c r="AJ27" i="109"/>
  <c r="AI27" i="73" s="1"/>
  <c r="AO23" i="109"/>
  <c r="AO13" i="109"/>
  <c r="AO12" i="109"/>
  <c r="AO9" i="109"/>
  <c r="D64" i="119"/>
  <c r="F49" i="119"/>
  <c r="AL16" i="106"/>
  <c r="AF121" i="73" s="1"/>
  <c r="E15" i="65"/>
  <c r="AJ15" i="106"/>
  <c r="AF49" i="73" s="1"/>
  <c r="D14" i="65"/>
  <c r="E10" i="65"/>
  <c r="AL11" i="106"/>
  <c r="AF116" i="73" s="1"/>
  <c r="AJ9" i="106"/>
  <c r="AF43" i="73" s="1"/>
  <c r="D8" i="65"/>
  <c r="AJ8" i="106"/>
  <c r="AF42" i="73" s="1"/>
  <c r="D7" i="65"/>
  <c r="E6" i="65"/>
  <c r="AL7" i="106"/>
  <c r="AF112" i="73" s="1"/>
  <c r="AL6" i="106"/>
  <c r="AF111" i="73" s="1"/>
  <c r="E5" i="65"/>
  <c r="J102" i="107"/>
  <c r="AN66" i="108"/>
  <c r="AN65" i="108"/>
  <c r="AN57" i="108"/>
  <c r="AN56" i="108"/>
  <c r="AN55" i="108"/>
  <c r="AN54" i="108"/>
  <c r="AN53" i="108"/>
  <c r="AH53" i="108"/>
  <c r="AJ53" i="108"/>
  <c r="AJ67" i="108" s="1"/>
  <c r="AN52" i="108"/>
  <c r="AN51" i="108"/>
  <c r="AN50" i="108"/>
  <c r="AN49" i="108"/>
  <c r="AN48" i="108"/>
  <c r="AN47" i="108"/>
  <c r="AN46" i="108"/>
  <c r="AM67" i="108"/>
  <c r="AN30" i="108"/>
  <c r="AH30" i="108"/>
  <c r="AJ30" i="108"/>
  <c r="AN29" i="108"/>
  <c r="AN28" i="108"/>
  <c r="AN27" i="108"/>
  <c r="AN26" i="108"/>
  <c r="AN25" i="108"/>
  <c r="AN24" i="108"/>
  <c r="AN23" i="108"/>
  <c r="AH7" i="108"/>
  <c r="AK7" i="108"/>
  <c r="Y135" i="109"/>
  <c r="O98" i="109"/>
  <c r="O79" i="109"/>
  <c r="AI56" i="109"/>
  <c r="AJ56" i="109"/>
  <c r="AI51" i="109"/>
  <c r="AJ51" i="109"/>
  <c r="AO48" i="109"/>
  <c r="AO47" i="109"/>
  <c r="AO46" i="109"/>
  <c r="AO45" i="109"/>
  <c r="AO44" i="109"/>
  <c r="AN67" i="109"/>
  <c r="AI175" i="73" s="1"/>
  <c r="AO31" i="109"/>
  <c r="AO30" i="109"/>
  <c r="AO29" i="109"/>
  <c r="AO28" i="109"/>
  <c r="AO27" i="109"/>
  <c r="AO26" i="109"/>
  <c r="AO25" i="109"/>
  <c r="AH32" i="109"/>
  <c r="Y61" i="110"/>
  <c r="S56" i="110"/>
  <c r="S55" i="110"/>
  <c r="S54" i="110"/>
  <c r="S53" i="110"/>
  <c r="S52" i="110"/>
  <c r="S51" i="110"/>
  <c r="S50" i="110"/>
  <c r="S49" i="110"/>
  <c r="S48" i="110"/>
  <c r="S47" i="110"/>
  <c r="S46" i="110"/>
  <c r="S45" i="110"/>
  <c r="S44" i="110"/>
  <c r="S43" i="110"/>
  <c r="Y43" i="110"/>
  <c r="I67" i="110"/>
  <c r="Y29" i="110"/>
  <c r="Y25" i="110"/>
  <c r="Y21" i="110"/>
  <c r="Y17" i="110"/>
  <c r="Y13" i="110"/>
  <c r="Y9" i="110"/>
  <c r="Y5" i="110"/>
  <c r="G67" i="111"/>
  <c r="N33" i="123" s="1"/>
  <c r="BB36" i="126" s="1"/>
  <c r="Y62" i="111"/>
  <c r="Y58" i="111"/>
  <c r="Y54" i="111"/>
  <c r="Y50" i="111"/>
  <c r="Y46" i="111"/>
  <c r="Y40" i="111"/>
  <c r="U67" i="111"/>
  <c r="AK68" i="73" s="1"/>
  <c r="G32" i="111"/>
  <c r="C32" i="111"/>
  <c r="S28" i="111"/>
  <c r="T28" i="111"/>
  <c r="AK28" i="73" s="1"/>
  <c r="S24" i="111"/>
  <c r="T24" i="111"/>
  <c r="AK24" i="73" s="1"/>
  <c r="S20" i="111"/>
  <c r="T20" i="111"/>
  <c r="S17" i="111"/>
  <c r="U17" i="111"/>
  <c r="AK51" i="73" s="1"/>
  <c r="S13" i="111"/>
  <c r="U13" i="111"/>
  <c r="AK47" i="73" s="1"/>
  <c r="Y63" i="112"/>
  <c r="G28" i="118"/>
  <c r="J127" i="62" s="1"/>
  <c r="AJ67" i="107"/>
  <c r="AG68" i="73" s="1"/>
  <c r="S21" i="111"/>
  <c r="T21" i="111"/>
  <c r="AK21" i="73" s="1"/>
  <c r="S18" i="111"/>
  <c r="U18" i="111"/>
  <c r="AK52" i="73" s="1"/>
  <c r="S14" i="111"/>
  <c r="U14" i="111"/>
  <c r="AK48" i="73" s="1"/>
  <c r="S10" i="111"/>
  <c r="U10" i="111"/>
  <c r="AK44" i="73" s="1"/>
  <c r="S6" i="111"/>
  <c r="U6" i="111"/>
  <c r="Y46" i="112"/>
  <c r="Y55" i="112"/>
  <c r="S54" i="112"/>
  <c r="T54" i="112"/>
  <c r="Y48" i="112"/>
  <c r="Y45" i="112"/>
  <c r="S44" i="112"/>
  <c r="W44" i="112"/>
  <c r="W67" i="112" s="1"/>
  <c r="AL139" i="73" s="1"/>
  <c r="E67" i="112"/>
  <c r="X34" i="122" s="1"/>
  <c r="V41" i="112"/>
  <c r="V67" i="112" s="1"/>
  <c r="Y40" i="112"/>
  <c r="U67" i="112"/>
  <c r="AL68" i="73" s="1"/>
  <c r="Y30" i="112"/>
  <c r="Y26" i="112"/>
  <c r="Y19" i="112"/>
  <c r="Y15" i="112"/>
  <c r="Y11" i="112"/>
  <c r="Y7" i="112"/>
  <c r="N32" i="112"/>
  <c r="F32" i="112"/>
  <c r="W5" i="112"/>
  <c r="AL110" i="73" s="1"/>
  <c r="Y64" i="113"/>
  <c r="Y63" i="113"/>
  <c r="S63" i="113"/>
  <c r="U63" i="113"/>
  <c r="Y62" i="113"/>
  <c r="Y61" i="113"/>
  <c r="Y60" i="113"/>
  <c r="Y59" i="113"/>
  <c r="Y58" i="113"/>
  <c r="S58" i="113"/>
  <c r="U58" i="113"/>
  <c r="S48" i="113"/>
  <c r="W48" i="113"/>
  <c r="W67" i="113" s="1"/>
  <c r="AM139" i="73" s="1"/>
  <c r="S45" i="113"/>
  <c r="M67" i="113"/>
  <c r="E67" i="113"/>
  <c r="Z34" i="122" s="1"/>
  <c r="V43" i="113"/>
  <c r="V67" i="113" s="1"/>
  <c r="S19" i="113"/>
  <c r="W19" i="113"/>
  <c r="S16" i="113"/>
  <c r="S66" i="114"/>
  <c r="S41" i="114"/>
  <c r="X67" i="114"/>
  <c r="AN175" i="73" s="1"/>
  <c r="T67" i="114"/>
  <c r="AN34" i="73" s="1"/>
  <c r="Y29" i="114"/>
  <c r="Y28" i="114"/>
  <c r="Y27" i="114"/>
  <c r="Y26" i="114"/>
  <c r="S26" i="114"/>
  <c r="U26" i="114"/>
  <c r="Y25" i="114"/>
  <c r="Y24" i="114"/>
  <c r="Y23" i="114"/>
  <c r="Y22" i="114"/>
  <c r="Y21" i="114"/>
  <c r="Y20" i="114"/>
  <c r="Y19" i="114"/>
  <c r="Y18" i="114"/>
  <c r="S18" i="114"/>
  <c r="U18" i="114"/>
  <c r="AN52" i="73" s="1"/>
  <c r="Y17" i="114"/>
  <c r="Y16" i="114"/>
  <c r="Y15" i="114"/>
  <c r="Y14" i="114"/>
  <c r="S5" i="114"/>
  <c r="V5" i="114"/>
  <c r="AN76" i="73" s="1"/>
  <c r="Y66" i="115"/>
  <c r="Y65" i="115"/>
  <c r="Y58" i="115"/>
  <c r="Y57" i="115"/>
  <c r="Y56" i="115"/>
  <c r="Y55" i="115"/>
  <c r="S55" i="115"/>
  <c r="U55" i="115"/>
  <c r="Y54" i="115"/>
  <c r="Y53" i="115"/>
  <c r="Y52" i="115"/>
  <c r="P67" i="115"/>
  <c r="Y51" i="115"/>
  <c r="Y50" i="115"/>
  <c r="Y49" i="115"/>
  <c r="Y48" i="115"/>
  <c r="Y47" i="115"/>
  <c r="Y46" i="115"/>
  <c r="S46" i="115"/>
  <c r="U46" i="115"/>
  <c r="Y45" i="115"/>
  <c r="Y44" i="115"/>
  <c r="H67" i="115"/>
  <c r="Y43" i="115"/>
  <c r="S27" i="115"/>
  <c r="V27" i="115"/>
  <c r="AO98" i="73" s="1"/>
  <c r="W32" i="115"/>
  <c r="Y64" i="116"/>
  <c r="Y63" i="116"/>
  <c r="Y62" i="116"/>
  <c r="Y61" i="116"/>
  <c r="S61" i="116"/>
  <c r="U61" i="116"/>
  <c r="Y60" i="116"/>
  <c r="Y59" i="116"/>
  <c r="S50" i="116"/>
  <c r="V50" i="116"/>
  <c r="X67" i="116"/>
  <c r="AP175" i="73" s="1"/>
  <c r="T67" i="116"/>
  <c r="AP34" i="73" s="1"/>
  <c r="Y24" i="116"/>
  <c r="Y23" i="116"/>
  <c r="Y22" i="116"/>
  <c r="Y21" i="116"/>
  <c r="S21" i="116"/>
  <c r="U21" i="116"/>
  <c r="AP55" i="73" s="1"/>
  <c r="Y20" i="116"/>
  <c r="Y19" i="116"/>
  <c r="Y18" i="116"/>
  <c r="Y17" i="116"/>
  <c r="Y16" i="116"/>
  <c r="Y15" i="116"/>
  <c r="Y14" i="116"/>
  <c r="Y13" i="116"/>
  <c r="Y12" i="116"/>
  <c r="Y11" i="116"/>
  <c r="Y10" i="116"/>
  <c r="Y9" i="116"/>
  <c r="Y66" i="117"/>
  <c r="Y65" i="117"/>
  <c r="Y45" i="117"/>
  <c r="Y44" i="117"/>
  <c r="W67" i="117"/>
  <c r="Y13" i="117"/>
  <c r="Y12" i="117"/>
  <c r="Y11" i="117"/>
  <c r="Y10" i="117"/>
  <c r="Y9" i="117"/>
  <c r="Y8" i="117"/>
  <c r="S8" i="117"/>
  <c r="U8" i="117"/>
  <c r="Y7" i="117"/>
  <c r="Y6" i="117"/>
  <c r="H32" i="117"/>
  <c r="Y5" i="117"/>
  <c r="Y59" i="112"/>
  <c r="Y56" i="112"/>
  <c r="S55" i="112"/>
  <c r="T55" i="112"/>
  <c r="Y49" i="112"/>
  <c r="S45" i="112"/>
  <c r="T45" i="112"/>
  <c r="Y41" i="112"/>
  <c r="X67" i="112"/>
  <c r="AL175" i="73" s="1"/>
  <c r="Y31" i="112"/>
  <c r="Y27" i="112"/>
  <c r="Y20" i="112"/>
  <c r="Y16" i="112"/>
  <c r="Y12" i="112"/>
  <c r="Y8" i="112"/>
  <c r="Q67" i="113"/>
  <c r="Y43" i="113"/>
  <c r="Y42" i="113"/>
  <c r="S42" i="113"/>
  <c r="U42" i="113"/>
  <c r="Y41" i="113"/>
  <c r="Y40" i="113"/>
  <c r="Y64" i="114"/>
  <c r="Y63" i="114"/>
  <c r="Y62" i="114"/>
  <c r="Y61" i="114"/>
  <c r="Y60" i="114"/>
  <c r="S60" i="114"/>
  <c r="U60" i="114"/>
  <c r="Y59" i="114"/>
  <c r="Y58" i="114"/>
  <c r="S44" i="114"/>
  <c r="V44" i="114"/>
  <c r="V67" i="114" s="1"/>
  <c r="W67" i="114"/>
  <c r="AN139" i="73" s="1"/>
  <c r="Y13" i="114"/>
  <c r="Y12" i="114"/>
  <c r="Y11" i="114"/>
  <c r="Y10" i="114"/>
  <c r="S10" i="114"/>
  <c r="U10" i="114"/>
  <c r="AN44" i="73" s="1"/>
  <c r="Y9" i="114"/>
  <c r="Y8" i="114"/>
  <c r="Y7" i="114"/>
  <c r="P32" i="114"/>
  <c r="H32" i="114"/>
  <c r="Y6" i="114"/>
  <c r="Y5" i="114"/>
  <c r="G29" i="118"/>
  <c r="K127" i="62" s="1"/>
  <c r="Y42" i="115"/>
  <c r="Y41" i="115"/>
  <c r="Y40" i="115"/>
  <c r="Y31" i="115"/>
  <c r="Y30" i="115"/>
  <c r="Y29" i="115"/>
  <c r="Y28" i="115"/>
  <c r="Y27" i="115"/>
  <c r="Y26" i="115"/>
  <c r="Y25" i="115"/>
  <c r="Y24" i="115"/>
  <c r="Y23" i="115"/>
  <c r="S23" i="115"/>
  <c r="U23" i="115"/>
  <c r="AO57" i="73" s="1"/>
  <c r="Y22" i="115"/>
  <c r="Y21" i="115"/>
  <c r="Y20" i="115"/>
  <c r="S11" i="115"/>
  <c r="V11" i="115"/>
  <c r="AO82" i="73" s="1"/>
  <c r="Y66" i="116"/>
  <c r="Y65" i="116"/>
  <c r="Y58" i="116"/>
  <c r="Y57" i="116"/>
  <c r="Y56" i="116"/>
  <c r="Y55" i="116"/>
  <c r="Y54" i="116"/>
  <c r="Y53" i="116"/>
  <c r="S53" i="116"/>
  <c r="U53" i="116"/>
  <c r="Y52" i="116"/>
  <c r="Y51" i="116"/>
  <c r="Y50" i="116"/>
  <c r="Y49" i="116"/>
  <c r="Y48" i="116"/>
  <c r="Y47" i="116"/>
  <c r="Y46" i="116"/>
  <c r="Y45" i="116"/>
  <c r="S45" i="116"/>
  <c r="U45" i="116"/>
  <c r="Y44" i="116"/>
  <c r="W67" i="116"/>
  <c r="AP139" i="73" s="1"/>
  <c r="Y8" i="116"/>
  <c r="Y7" i="116"/>
  <c r="Y6" i="116"/>
  <c r="Y5" i="116"/>
  <c r="S5" i="116"/>
  <c r="U5" i="116"/>
  <c r="AP39" i="73" s="1"/>
  <c r="G31" i="118"/>
  <c r="M127" i="62" s="1"/>
  <c r="S45" i="117"/>
  <c r="V67" i="117"/>
  <c r="M738" i="73" s="1"/>
  <c r="X32" i="117"/>
  <c r="T32" i="117"/>
  <c r="AL102" i="107"/>
  <c r="S23" i="111"/>
  <c r="T23" i="111"/>
  <c r="AK23" i="73" s="1"/>
  <c r="S16" i="111"/>
  <c r="U16" i="111"/>
  <c r="S12" i="111"/>
  <c r="U12" i="111"/>
  <c r="AK46" i="73" s="1"/>
  <c r="S8" i="111"/>
  <c r="U8" i="111"/>
  <c r="AK42" i="73" s="1"/>
  <c r="Y62" i="112"/>
  <c r="Y66" i="112"/>
  <c r="Y60" i="112"/>
  <c r="Y57" i="112"/>
  <c r="S56" i="112"/>
  <c r="T56" i="112"/>
  <c r="Y53" i="112"/>
  <c r="Y50" i="112"/>
  <c r="Y42" i="112"/>
  <c r="Y28" i="112"/>
  <c r="Y24" i="112"/>
  <c r="Y21" i="112"/>
  <c r="Y17" i="112"/>
  <c r="Y13" i="112"/>
  <c r="Y9" i="112"/>
  <c r="V32" i="112"/>
  <c r="G27" i="118"/>
  <c r="I127" i="62" s="1"/>
  <c r="Y66" i="113"/>
  <c r="Y65" i="113"/>
  <c r="S65" i="113"/>
  <c r="U65" i="113"/>
  <c r="Y57" i="113"/>
  <c r="Y56" i="113"/>
  <c r="S56" i="113"/>
  <c r="U56" i="113"/>
  <c r="Y55" i="113"/>
  <c r="Y54" i="113"/>
  <c r="Y53" i="113"/>
  <c r="S53" i="113"/>
  <c r="U53" i="113"/>
  <c r="Y52" i="113"/>
  <c r="Y51" i="113"/>
  <c r="Y50" i="113"/>
  <c r="Y49" i="113"/>
  <c r="Y48" i="113"/>
  <c r="Y47" i="113"/>
  <c r="Y46" i="113"/>
  <c r="X67" i="113"/>
  <c r="AM175" i="73" s="1"/>
  <c r="T67" i="113"/>
  <c r="AM34" i="73" s="1"/>
  <c r="Y31" i="113"/>
  <c r="Y30" i="113"/>
  <c r="Y29" i="113"/>
  <c r="Y28" i="113"/>
  <c r="Y27" i="113"/>
  <c r="S27" i="113"/>
  <c r="U27" i="113"/>
  <c r="AM61" i="73" s="1"/>
  <c r="Y26" i="113"/>
  <c r="Y25" i="113"/>
  <c r="Y24" i="113"/>
  <c r="S24" i="113"/>
  <c r="U24" i="113"/>
  <c r="AM58" i="73" s="1"/>
  <c r="Y23" i="113"/>
  <c r="Y22" i="113"/>
  <c r="Y21" i="113"/>
  <c r="Y20" i="113"/>
  <c r="Y19" i="113"/>
  <c r="Y18" i="113"/>
  <c r="Y17" i="113"/>
  <c r="V32" i="113"/>
  <c r="Y57" i="114"/>
  <c r="Y56" i="114"/>
  <c r="Y55" i="114"/>
  <c r="Y54" i="114"/>
  <c r="Y53" i="114"/>
  <c r="Y52" i="114"/>
  <c r="S52" i="114"/>
  <c r="U52" i="114"/>
  <c r="Y51" i="114"/>
  <c r="Y50" i="114"/>
  <c r="Y49" i="114"/>
  <c r="S49" i="114"/>
  <c r="U49" i="114"/>
  <c r="Y48" i="114"/>
  <c r="Y47" i="114"/>
  <c r="Y46" i="114"/>
  <c r="Y45" i="114"/>
  <c r="Y44" i="114"/>
  <c r="Y43" i="114"/>
  <c r="Y42" i="114"/>
  <c r="X32" i="114"/>
  <c r="T32" i="114"/>
  <c r="S64" i="115"/>
  <c r="X67" i="115"/>
  <c r="AO175" i="73" s="1"/>
  <c r="T67" i="115"/>
  <c r="AO34" i="73" s="1"/>
  <c r="Y19" i="115"/>
  <c r="Y18" i="115"/>
  <c r="Y17" i="115"/>
  <c r="Y16" i="115"/>
  <c r="S16" i="115"/>
  <c r="U16" i="115"/>
  <c r="Y15" i="115"/>
  <c r="Y14" i="115"/>
  <c r="Y13" i="115"/>
  <c r="Y12" i="115"/>
  <c r="Y11" i="115"/>
  <c r="Y10" i="115"/>
  <c r="Y9" i="115"/>
  <c r="Y8" i="115"/>
  <c r="Y7" i="115"/>
  <c r="S7" i="115"/>
  <c r="U7" i="115"/>
  <c r="AO41" i="73" s="1"/>
  <c r="Y6" i="115"/>
  <c r="Y5" i="115"/>
  <c r="G30" i="118"/>
  <c r="L127" i="62" s="1"/>
  <c r="S58" i="116"/>
  <c r="V67" i="116"/>
  <c r="S8" i="116"/>
  <c r="C32" i="116"/>
  <c r="T6" i="116"/>
  <c r="X32" i="116"/>
  <c r="Y64" i="117"/>
  <c r="Y63" i="117"/>
  <c r="Y62" i="117"/>
  <c r="Y43" i="117"/>
  <c r="Y42" i="117"/>
  <c r="Y41" i="117"/>
  <c r="Y40" i="117"/>
  <c r="Y31" i="117"/>
  <c r="M677" i="73" s="1"/>
  <c r="Y30" i="117"/>
  <c r="M676" i="73" s="1"/>
  <c r="W32" i="117"/>
  <c r="AH62" i="107"/>
  <c r="AE67" i="107"/>
  <c r="AD67" i="107"/>
  <c r="Z67" i="107"/>
  <c r="AH20" i="107"/>
  <c r="AH14" i="107"/>
  <c r="AH11" i="107"/>
  <c r="Z32" i="107"/>
  <c r="V32" i="107"/>
  <c r="Y32" i="107"/>
  <c r="S9" i="111"/>
  <c r="U9" i="111"/>
  <c r="AK43" i="73" s="1"/>
  <c r="Y5" i="111"/>
  <c r="S5" i="111"/>
  <c r="U5" i="111"/>
  <c r="AK39" i="73" s="1"/>
  <c r="S63" i="112"/>
  <c r="S62" i="112"/>
  <c r="Y61" i="112"/>
  <c r="S57" i="112"/>
  <c r="T57" i="112"/>
  <c r="Y54" i="112"/>
  <c r="S53" i="112"/>
  <c r="T53" i="112"/>
  <c r="Y51" i="112"/>
  <c r="Y47" i="112"/>
  <c r="Y43" i="112"/>
  <c r="C32" i="112"/>
  <c r="Y25" i="112"/>
  <c r="Y22" i="112"/>
  <c r="Y18" i="112"/>
  <c r="Y14" i="112"/>
  <c r="Y10" i="112"/>
  <c r="J32" i="112"/>
  <c r="Y6" i="112"/>
  <c r="U32" i="112"/>
  <c r="O32" i="112"/>
  <c r="G32" i="112"/>
  <c r="X5" i="112"/>
  <c r="AL146" i="73" s="1"/>
  <c r="T32" i="112"/>
  <c r="Y45" i="113"/>
  <c r="Y44" i="113"/>
  <c r="Y16" i="113"/>
  <c r="Y15" i="113"/>
  <c r="Y14" i="113"/>
  <c r="Y13" i="113"/>
  <c r="Y12" i="113"/>
  <c r="Y11" i="113"/>
  <c r="S11" i="113"/>
  <c r="U11" i="113"/>
  <c r="AM45" i="73" s="1"/>
  <c r="Y10" i="113"/>
  <c r="Y9" i="113"/>
  <c r="Y8" i="113"/>
  <c r="S8" i="113"/>
  <c r="U8" i="113"/>
  <c r="AM42" i="73" s="1"/>
  <c r="Y7" i="113"/>
  <c r="Y6" i="113"/>
  <c r="Y5" i="113"/>
  <c r="Y66" i="114"/>
  <c r="Y65" i="114"/>
  <c r="S57" i="114"/>
  <c r="Y41" i="114"/>
  <c r="Y40" i="114"/>
  <c r="Y31" i="114"/>
  <c r="Y30" i="114"/>
  <c r="S21" i="114"/>
  <c r="V21" i="114"/>
  <c r="AN92" i="73" s="1"/>
  <c r="W32" i="114"/>
  <c r="Y64" i="115"/>
  <c r="Y63" i="115"/>
  <c r="Y62" i="115"/>
  <c r="S62" i="115"/>
  <c r="U62" i="115"/>
  <c r="Y61" i="115"/>
  <c r="Y60" i="115"/>
  <c r="Y59" i="115"/>
  <c r="S50" i="115"/>
  <c r="V50" i="115"/>
  <c r="V67" i="115" s="1"/>
  <c r="W67" i="115"/>
  <c r="AO139" i="73" s="1"/>
  <c r="C32" i="115"/>
  <c r="T8" i="115"/>
  <c r="AO8" i="73" s="1"/>
  <c r="X32" i="115"/>
  <c r="S64" i="116"/>
  <c r="Y43" i="116"/>
  <c r="Y42" i="116"/>
  <c r="Y41" i="116"/>
  <c r="P67" i="116"/>
  <c r="H67" i="116"/>
  <c r="Y40" i="116"/>
  <c r="Y31" i="116"/>
  <c r="Y30" i="116"/>
  <c r="Y29" i="116"/>
  <c r="S29" i="116"/>
  <c r="U29" i="116"/>
  <c r="AP63" i="73" s="1"/>
  <c r="Y28" i="116"/>
  <c r="Y27" i="116"/>
  <c r="Y26" i="116"/>
  <c r="Y25" i="116"/>
  <c r="S16" i="116"/>
  <c r="V16" i="116"/>
  <c r="AP87" i="73" s="1"/>
  <c r="S13" i="116"/>
  <c r="V13" i="116"/>
  <c r="AP84" i="73" s="1"/>
  <c r="W32" i="116"/>
  <c r="Y61" i="117"/>
  <c r="Y60" i="117"/>
  <c r="Y59" i="117"/>
  <c r="Y58" i="117"/>
  <c r="S58" i="117"/>
  <c r="U58" i="117"/>
  <c r="Y57" i="117"/>
  <c r="Y56" i="117"/>
  <c r="Y55" i="117"/>
  <c r="L67" i="117"/>
  <c r="Y54" i="117"/>
  <c r="Y53" i="117"/>
  <c r="S53" i="117"/>
  <c r="U53" i="117"/>
  <c r="Y52" i="117"/>
  <c r="Y51" i="117"/>
  <c r="Y50" i="117"/>
  <c r="Y49" i="117"/>
  <c r="S49" i="117"/>
  <c r="U49" i="117"/>
  <c r="Y48" i="117"/>
  <c r="Y47" i="117"/>
  <c r="Y46" i="117"/>
  <c r="X67" i="117"/>
  <c r="T67" i="117"/>
  <c r="Y29" i="117"/>
  <c r="M675" i="73" s="1"/>
  <c r="Y28" i="117"/>
  <c r="M674" i="73" s="1"/>
  <c r="Y27" i="117"/>
  <c r="M673" i="73" s="1"/>
  <c r="Y26" i="117"/>
  <c r="M672" i="73" s="1"/>
  <c r="Y25" i="117"/>
  <c r="M671" i="73" s="1"/>
  <c r="Y24" i="117"/>
  <c r="S24" i="117"/>
  <c r="U24" i="117"/>
  <c r="Y23" i="117"/>
  <c r="Y22" i="117"/>
  <c r="Y21" i="117"/>
  <c r="Y20" i="117"/>
  <c r="S20" i="117"/>
  <c r="U20" i="117"/>
  <c r="Y19" i="117"/>
  <c r="Y18" i="117"/>
  <c r="Y17" i="117"/>
  <c r="Y16" i="117"/>
  <c r="S16" i="117"/>
  <c r="U16" i="117"/>
  <c r="M338" i="73" s="1"/>
  <c r="Y15" i="117"/>
  <c r="M661" i="73" s="1"/>
  <c r="Y14" i="117"/>
  <c r="V32" i="117"/>
  <c r="AJ20" i="107"/>
  <c r="AG54" i="73" s="1"/>
  <c r="AL102" i="108"/>
  <c r="Q36" i="122" s="1"/>
  <c r="AR36" i="122" s="1"/>
  <c r="AL102" i="109"/>
  <c r="W102" i="111"/>
  <c r="V102" i="110"/>
  <c r="V102" i="112"/>
  <c r="W102" i="112"/>
  <c r="X102" i="113"/>
  <c r="Y102" i="114"/>
  <c r="K34" i="124" s="1"/>
  <c r="V102" i="114"/>
  <c r="T102" i="115"/>
  <c r="X102" i="115"/>
  <c r="AN18" i="106"/>
  <c r="C17" i="124" s="1"/>
  <c r="E21" i="126" s="1"/>
  <c r="AN26" i="106"/>
  <c r="C24" i="124" s="1"/>
  <c r="E28" i="126" s="1"/>
  <c r="AN52" i="106"/>
  <c r="AL15" i="106"/>
  <c r="AF120" i="73" s="1"/>
  <c r="AI50" i="106"/>
  <c r="AK63" i="106"/>
  <c r="AL9" i="106"/>
  <c r="AF114" i="73" s="1"/>
  <c r="AM50" i="106"/>
  <c r="AN30" i="106"/>
  <c r="C28" i="124" s="1"/>
  <c r="E32" i="126" s="1"/>
  <c r="AN28" i="106"/>
  <c r="C27" i="124" s="1"/>
  <c r="E31" i="126" s="1"/>
  <c r="AN24" i="106"/>
  <c r="C23" i="124" s="1"/>
  <c r="E27" i="126" s="1"/>
  <c r="AN22" i="106"/>
  <c r="C20" i="124" s="1"/>
  <c r="E24" i="126" s="1"/>
  <c r="AN20" i="106"/>
  <c r="C21" i="124" s="1"/>
  <c r="E25" i="126" s="1"/>
  <c r="AN16" i="106"/>
  <c r="C15" i="124" s="1"/>
  <c r="E19" i="126" s="1"/>
  <c r="AN66" i="106"/>
  <c r="AN64" i="106"/>
  <c r="AN62" i="106"/>
  <c r="AN60" i="106"/>
  <c r="AN58" i="106"/>
  <c r="AN56" i="106"/>
  <c r="AN54" i="106"/>
  <c r="F45" i="119"/>
  <c r="AM47" i="106"/>
  <c r="B45" i="119"/>
  <c r="AI47" i="106"/>
  <c r="C42" i="119"/>
  <c r="AJ44" i="106"/>
  <c r="AN27" i="106"/>
  <c r="C25" i="124" s="1"/>
  <c r="E29" i="126" s="1"/>
  <c r="AN25" i="106"/>
  <c r="C26" i="124" s="1"/>
  <c r="E30" i="126" s="1"/>
  <c r="AN23" i="106"/>
  <c r="C22" i="124" s="1"/>
  <c r="E26" i="126" s="1"/>
  <c r="AN21" i="106"/>
  <c r="C19" i="124" s="1"/>
  <c r="E23" i="126" s="1"/>
  <c r="AN19" i="106"/>
  <c r="C18" i="124" s="1"/>
  <c r="E22" i="126" s="1"/>
  <c r="AN17" i="106"/>
  <c r="C14" i="124" s="1"/>
  <c r="E18" i="126" s="1"/>
  <c r="AF76" i="73"/>
  <c r="AN65" i="106"/>
  <c r="AN63" i="106"/>
  <c r="AN61" i="106"/>
  <c r="AN59" i="106"/>
  <c r="AN57" i="106"/>
  <c r="AN55" i="106"/>
  <c r="AN53" i="106"/>
  <c r="AL67" i="106"/>
  <c r="AF139" i="73" s="1"/>
  <c r="AN31" i="106"/>
  <c r="C30" i="124" s="1"/>
  <c r="E34" i="126" s="1"/>
  <c r="AK30" i="106"/>
  <c r="AF101" i="73" s="1"/>
  <c r="AM25" i="106"/>
  <c r="AF166" i="73" s="1"/>
  <c r="AI25" i="106"/>
  <c r="AF25" i="73" s="1"/>
  <c r="AM21" i="106"/>
  <c r="AF162" i="73" s="1"/>
  <c r="AI21" i="106"/>
  <c r="AF21" i="73" s="1"/>
  <c r="AL102" i="106"/>
  <c r="AK31" i="106"/>
  <c r="AF102" i="73" s="1"/>
  <c r="AM26" i="106"/>
  <c r="AF167" i="73" s="1"/>
  <c r="AI26" i="106"/>
  <c r="AF26" i="73" s="1"/>
  <c r="AM24" i="106"/>
  <c r="AF165" i="73" s="1"/>
  <c r="AI24" i="106"/>
  <c r="AF24" i="73" s="1"/>
  <c r="AM20" i="106"/>
  <c r="AI20" i="106"/>
  <c r="AF20" i="73" s="1"/>
  <c r="AJ48" i="106"/>
  <c r="AL8" i="106"/>
  <c r="AF113" i="73" s="1"/>
  <c r="AM51" i="106"/>
  <c r="AK66" i="106"/>
  <c r="AI102" i="106"/>
  <c r="AM102" i="106"/>
  <c r="AK102" i="106"/>
  <c r="X32" i="113"/>
  <c r="S62" i="117"/>
  <c r="S57" i="117"/>
  <c r="S46" i="117"/>
  <c r="O32" i="117"/>
  <c r="G32" i="117"/>
  <c r="O67" i="117"/>
  <c r="S25" i="117"/>
  <c r="S9" i="117"/>
  <c r="S54" i="117"/>
  <c r="S21" i="117"/>
  <c r="R32" i="117"/>
  <c r="N32" i="117"/>
  <c r="J32" i="117"/>
  <c r="C62" i="119"/>
  <c r="S50" i="117"/>
  <c r="G67" i="117"/>
  <c r="S40" i="117"/>
  <c r="S28" i="117"/>
  <c r="S17" i="117"/>
  <c r="S102" i="116"/>
  <c r="S15" i="118" s="1"/>
  <c r="O67" i="116"/>
  <c r="G67" i="116"/>
  <c r="S33" i="123" s="1"/>
  <c r="CZ36" i="126" s="1"/>
  <c r="K32" i="116"/>
  <c r="S51" i="115"/>
  <c r="S28" i="115"/>
  <c r="S12" i="115"/>
  <c r="S47" i="115"/>
  <c r="K32" i="115"/>
  <c r="S8" i="115"/>
  <c r="S59" i="115"/>
  <c r="S54" i="115"/>
  <c r="S43" i="115"/>
  <c r="S20" i="115"/>
  <c r="S15" i="115"/>
  <c r="R67" i="115"/>
  <c r="N67" i="115"/>
  <c r="J67" i="115"/>
  <c r="F67" i="115"/>
  <c r="E32" i="114"/>
  <c r="E58" i="119"/>
  <c r="B38" i="119"/>
  <c r="R67" i="114"/>
  <c r="D51" i="119"/>
  <c r="S49" i="113"/>
  <c r="S44" i="113"/>
  <c r="E38" i="119"/>
  <c r="S52" i="113"/>
  <c r="N67" i="113"/>
  <c r="F67" i="113"/>
  <c r="R67" i="113"/>
  <c r="J67" i="113"/>
  <c r="S66" i="113"/>
  <c r="S60" i="112"/>
  <c r="R67" i="112"/>
  <c r="I67" i="112"/>
  <c r="Q67" i="112"/>
  <c r="L67" i="112"/>
  <c r="E62" i="119"/>
  <c r="S61" i="112"/>
  <c r="D62" i="119"/>
  <c r="F44" i="119"/>
  <c r="B44" i="119"/>
  <c r="D40" i="119"/>
  <c r="S43" i="112"/>
  <c r="E41" i="119"/>
  <c r="K20" i="66"/>
  <c r="S59" i="112"/>
  <c r="S48" i="112"/>
  <c r="S13" i="112"/>
  <c r="S9" i="112"/>
  <c r="S49" i="111"/>
  <c r="S45" i="111"/>
  <c r="N67" i="111"/>
  <c r="N67" i="110"/>
  <c r="F67" i="110"/>
  <c r="H32" i="110"/>
  <c r="E48" i="119"/>
  <c r="R67" i="110"/>
  <c r="M67" i="110"/>
  <c r="D32" i="110"/>
  <c r="F59" i="119"/>
  <c r="B59" i="119"/>
  <c r="D54" i="119"/>
  <c r="E63" i="119"/>
  <c r="E61" i="119"/>
  <c r="C60" i="119"/>
  <c r="C56" i="119"/>
  <c r="D50" i="119"/>
  <c r="D43" i="119"/>
  <c r="S8" i="118"/>
  <c r="C64" i="119"/>
  <c r="C52" i="119"/>
  <c r="E44" i="119"/>
  <c r="AI54" i="109"/>
  <c r="AC67" i="109"/>
  <c r="AI16" i="109"/>
  <c r="AB32" i="109"/>
  <c r="Q5" i="119"/>
  <c r="V67" i="109"/>
  <c r="AI21" i="109"/>
  <c r="Y32" i="109"/>
  <c r="L131" i="109"/>
  <c r="AA131" i="109" s="1"/>
  <c r="N117" i="109"/>
  <c r="O101" i="109"/>
  <c r="O76" i="109"/>
  <c r="L109" i="109"/>
  <c r="O90" i="109"/>
  <c r="AA123" i="109"/>
  <c r="AA132" i="109"/>
  <c r="AA114" i="109"/>
  <c r="R135" i="109"/>
  <c r="H8" i="118" s="1"/>
  <c r="AA124" i="109"/>
  <c r="N134" i="109"/>
  <c r="AA134" i="109" s="1"/>
  <c r="AA127" i="109"/>
  <c r="AA120" i="109"/>
  <c r="O93" i="109"/>
  <c r="O85" i="109"/>
  <c r="AA112" i="109"/>
  <c r="AH46" i="108"/>
  <c r="AB67" i="108"/>
  <c r="D57" i="119"/>
  <c r="Q25" i="66"/>
  <c r="AH64" i="108"/>
  <c r="AH63" i="108"/>
  <c r="AE67" i="108"/>
  <c r="W67" i="108"/>
  <c r="AH29" i="108"/>
  <c r="AH18" i="108"/>
  <c r="AH13" i="108"/>
  <c r="AA32" i="108"/>
  <c r="AF67" i="108"/>
  <c r="C50" i="119"/>
  <c r="E64" i="119"/>
  <c r="D47" i="119"/>
  <c r="D46" i="119"/>
  <c r="Z135" i="108"/>
  <c r="Q7" i="118" s="1"/>
  <c r="AH54" i="108"/>
  <c r="AH49" i="108"/>
  <c r="AH19" i="108"/>
  <c r="X67" i="108"/>
  <c r="Y135" i="108"/>
  <c r="P7" i="118" s="1"/>
  <c r="AH65" i="108"/>
  <c r="AH60" i="108"/>
  <c r="AH26" i="108"/>
  <c r="AH21" i="108"/>
  <c r="AD32" i="108"/>
  <c r="L123" i="108"/>
  <c r="AA123" i="108" s="1"/>
  <c r="O98" i="108"/>
  <c r="G102" i="108"/>
  <c r="O82" i="108"/>
  <c r="N115" i="108"/>
  <c r="AA115" i="108" s="1"/>
  <c r="AA128" i="108"/>
  <c r="O95" i="108"/>
  <c r="O93" i="108"/>
  <c r="O79" i="108"/>
  <c r="K102" i="108"/>
  <c r="AA120" i="108"/>
  <c r="U110" i="108"/>
  <c r="U135" i="108" s="1"/>
  <c r="K7" i="118" s="1"/>
  <c r="Q112" i="108"/>
  <c r="AA112" i="108" s="1"/>
  <c r="O94" i="108"/>
  <c r="O78" i="108"/>
  <c r="O77" i="108"/>
  <c r="O101" i="108"/>
  <c r="O87" i="108"/>
  <c r="O86" i="108"/>
  <c r="O85" i="108"/>
  <c r="O69" i="108"/>
  <c r="AH102" i="107"/>
  <c r="S6" i="118" s="1"/>
  <c r="F63" i="119"/>
  <c r="B63" i="119"/>
  <c r="F57" i="119"/>
  <c r="B57" i="119"/>
  <c r="F55" i="119"/>
  <c r="B55" i="119"/>
  <c r="F51" i="119"/>
  <c r="B51" i="119"/>
  <c r="F41" i="119"/>
  <c r="B41" i="119"/>
  <c r="D39" i="119"/>
  <c r="AH66" i="107"/>
  <c r="AH65" i="107"/>
  <c r="AH64" i="107"/>
  <c r="AH63" i="107"/>
  <c r="AH59" i="107"/>
  <c r="AH58" i="107"/>
  <c r="AH56" i="107"/>
  <c r="AH53" i="107"/>
  <c r="AH52" i="107"/>
  <c r="AH49" i="107"/>
  <c r="AH48" i="107"/>
  <c r="AH45" i="107"/>
  <c r="AH44" i="107"/>
  <c r="AA67" i="107"/>
  <c r="W67" i="107"/>
  <c r="J33" i="123" s="1"/>
  <c r="N36" i="126" s="1"/>
  <c r="AH42" i="107"/>
  <c r="V67" i="107"/>
  <c r="AH26" i="107"/>
  <c r="AH23" i="107"/>
  <c r="AH18" i="107"/>
  <c r="AH7" i="107"/>
  <c r="AH6" i="107"/>
  <c r="AD32" i="107"/>
  <c r="D59" i="119"/>
  <c r="D53" i="119"/>
  <c r="C38" i="119"/>
  <c r="Q9" i="66"/>
  <c r="AH29" i="107"/>
  <c r="AH25" i="107"/>
  <c r="AH17" i="107"/>
  <c r="AC32" i="107"/>
  <c r="E60" i="119"/>
  <c r="E54" i="119"/>
  <c r="D45" i="119"/>
  <c r="F43" i="119"/>
  <c r="B43" i="119"/>
  <c r="E40" i="119"/>
  <c r="H5" i="119"/>
  <c r="Q5" i="66"/>
  <c r="C63" i="119"/>
  <c r="C61" i="119"/>
  <c r="C57" i="119"/>
  <c r="F50" i="119"/>
  <c r="B50" i="119"/>
  <c r="E39" i="119"/>
  <c r="E59" i="119"/>
  <c r="F60" i="119"/>
  <c r="B60" i="119"/>
  <c r="F42" i="119"/>
  <c r="B42" i="119"/>
  <c r="O90" i="107"/>
  <c r="O86" i="107"/>
  <c r="O95" i="107"/>
  <c r="L131" i="107"/>
  <c r="N123" i="107"/>
  <c r="AA123" i="107" s="1"/>
  <c r="O78" i="107"/>
  <c r="K102" i="107"/>
  <c r="C102" i="107"/>
  <c r="B102" i="107"/>
  <c r="N119" i="107"/>
  <c r="AA119" i="107" s="1"/>
  <c r="P135" i="107"/>
  <c r="AA134" i="107"/>
  <c r="AA112" i="107"/>
  <c r="O82" i="107"/>
  <c r="G102" i="107"/>
  <c r="N102" i="107"/>
  <c r="F102" i="107"/>
  <c r="W102" i="106"/>
  <c r="I35" i="123" s="1"/>
  <c r="O75" i="106"/>
  <c r="U111" i="106"/>
  <c r="Y117" i="106"/>
  <c r="Y112" i="106"/>
  <c r="W108" i="106"/>
  <c r="V116" i="106"/>
  <c r="O108" i="106"/>
  <c r="AC102" i="106"/>
  <c r="V114" i="106"/>
  <c r="AH22" i="106"/>
  <c r="Y132" i="106"/>
  <c r="Y113" i="106"/>
  <c r="V109" i="106"/>
  <c r="AF67" i="106"/>
  <c r="AH30" i="106"/>
  <c r="N102" i="106"/>
  <c r="AH62" i="106"/>
  <c r="Z115" i="106"/>
  <c r="U110" i="106"/>
  <c r="Z113" i="106"/>
  <c r="Z109" i="106"/>
  <c r="W116" i="106"/>
  <c r="O97" i="106"/>
  <c r="O93" i="106"/>
  <c r="O89" i="106"/>
  <c r="Z112" i="106"/>
  <c r="AE32" i="106"/>
  <c r="Z114" i="106"/>
  <c r="AG102" i="106"/>
  <c r="S114" i="106"/>
  <c r="S112" i="106"/>
  <c r="AE67" i="106"/>
  <c r="AH58" i="106"/>
  <c r="AH54" i="106"/>
  <c r="L130" i="106"/>
  <c r="AA130" i="106" s="1"/>
  <c r="O83" i="106"/>
  <c r="AH60" i="106"/>
  <c r="AC50" i="106"/>
  <c r="L48" i="119" s="1"/>
  <c r="AC49" i="106"/>
  <c r="L47" i="119" s="1"/>
  <c r="W40" i="106"/>
  <c r="AM40" i="106" s="1"/>
  <c r="AH26" i="106"/>
  <c r="O32" i="106"/>
  <c r="AD5" i="106"/>
  <c r="M5" i="119" s="1"/>
  <c r="AH18" i="106"/>
  <c r="O67" i="106"/>
  <c r="AA32" i="106"/>
  <c r="E57" i="119"/>
  <c r="Z42" i="106"/>
  <c r="I40" i="119" s="1"/>
  <c r="U108" i="106"/>
  <c r="V117" i="106"/>
  <c r="AF11" i="106"/>
  <c r="P11" i="119" s="1"/>
  <c r="W119" i="106"/>
  <c r="Y118" i="106"/>
  <c r="W117" i="106"/>
  <c r="Y116" i="106"/>
  <c r="Y108" i="106"/>
  <c r="W111" i="106"/>
  <c r="S111" i="106"/>
  <c r="W110" i="106"/>
  <c r="S110" i="106"/>
  <c r="Z46" i="106"/>
  <c r="I44" i="119" s="1"/>
  <c r="AD42" i="106"/>
  <c r="M40" i="119" s="1"/>
  <c r="AC41" i="106"/>
  <c r="L39" i="119" s="1"/>
  <c r="Z10" i="106"/>
  <c r="I10" i="119" s="1"/>
  <c r="Z9" i="106"/>
  <c r="I9" i="119" s="1"/>
  <c r="AD8" i="106"/>
  <c r="M8" i="119" s="1"/>
  <c r="AC45" i="106"/>
  <c r="L43" i="119" s="1"/>
  <c r="V119" i="106"/>
  <c r="V115" i="106"/>
  <c r="Y110" i="106"/>
  <c r="S108" i="106"/>
  <c r="V118" i="106"/>
  <c r="W115" i="106"/>
  <c r="S113" i="106"/>
  <c r="V111" i="106"/>
  <c r="AD51" i="106"/>
  <c r="M49" i="119" s="1"/>
  <c r="AD50" i="106"/>
  <c r="M48" i="119" s="1"/>
  <c r="AB40" i="106"/>
  <c r="K38" i="119" s="1"/>
  <c r="AD14" i="106"/>
  <c r="M14" i="119" s="1"/>
  <c r="AC11" i="106"/>
  <c r="L11" i="119" s="1"/>
  <c r="Q135" i="106"/>
  <c r="G5" i="118" s="1"/>
  <c r="M135" i="106"/>
  <c r="C5" i="118" s="1"/>
  <c r="R34" i="62" s="1"/>
  <c r="Z132" i="106"/>
  <c r="AG29" i="106"/>
  <c r="N123" i="106"/>
  <c r="AA123" i="106" s="1"/>
  <c r="O90" i="106"/>
  <c r="Z118" i="106"/>
  <c r="AG15" i="106"/>
  <c r="Q15" i="119" s="1"/>
  <c r="Z15" i="106"/>
  <c r="I15" i="119" s="1"/>
  <c r="Z50" i="106"/>
  <c r="I48" i="119" s="1"/>
  <c r="S118" i="106"/>
  <c r="O81" i="106"/>
  <c r="L114" i="106"/>
  <c r="R135" i="106"/>
  <c r="H5" i="118" s="1"/>
  <c r="M135" i="108"/>
  <c r="C7" i="118" s="1"/>
  <c r="U122" i="106"/>
  <c r="J102" i="106"/>
  <c r="N133" i="106"/>
  <c r="AA133" i="106" s="1"/>
  <c r="O100" i="106"/>
  <c r="O96" i="106"/>
  <c r="L129" i="106"/>
  <c r="AA129" i="106" s="1"/>
  <c r="N117" i="106"/>
  <c r="O84" i="106"/>
  <c r="AD11" i="106"/>
  <c r="M11" i="119" s="1"/>
  <c r="AD46" i="106"/>
  <c r="M44" i="119" s="1"/>
  <c r="W114" i="106"/>
  <c r="W112" i="106"/>
  <c r="X135" i="106"/>
  <c r="N5" i="118" s="1"/>
  <c r="T135" i="106"/>
  <c r="J5" i="118" s="1"/>
  <c r="P135" i="106"/>
  <c r="F5" i="118" s="1"/>
  <c r="B96" i="62" s="1"/>
  <c r="O77" i="106"/>
  <c r="L110" i="106"/>
  <c r="U135" i="107"/>
  <c r="AA131" i="108"/>
  <c r="AA126" i="106"/>
  <c r="F102" i="106"/>
  <c r="N131" i="106"/>
  <c r="AA131" i="106" s="1"/>
  <c r="O98" i="106"/>
  <c r="O92" i="106"/>
  <c r="L125" i="106"/>
  <c r="AA125" i="106" s="1"/>
  <c r="L119" i="106"/>
  <c r="S102" i="106"/>
  <c r="O37" i="121" s="1"/>
  <c r="AQ37" i="121" s="1"/>
  <c r="S16" i="106"/>
  <c r="B16" i="119" s="1"/>
  <c r="S51" i="106"/>
  <c r="AI51" i="106" s="1"/>
  <c r="Z117" i="106"/>
  <c r="AG14" i="106"/>
  <c r="Q14" i="119" s="1"/>
  <c r="Z49" i="106"/>
  <c r="I47" i="119" s="1"/>
  <c r="S117" i="106"/>
  <c r="Z14" i="106"/>
  <c r="I14" i="119" s="1"/>
  <c r="O82" i="106"/>
  <c r="L115" i="106"/>
  <c r="O80" i="106"/>
  <c r="L113" i="106"/>
  <c r="V110" i="106"/>
  <c r="AC7" i="106"/>
  <c r="L7" i="119" s="1"/>
  <c r="AC42" i="106"/>
  <c r="L40" i="119" s="1"/>
  <c r="Q4" i="66"/>
  <c r="W32" i="106"/>
  <c r="Z116" i="106"/>
  <c r="AG13" i="106"/>
  <c r="Q13" i="119" s="1"/>
  <c r="O79" i="106"/>
  <c r="L112" i="106"/>
  <c r="Z102" i="106"/>
  <c r="AD41" i="106"/>
  <c r="M39" i="119" s="1"/>
  <c r="AD102" i="106"/>
  <c r="AD6" i="106"/>
  <c r="N119" i="106"/>
  <c r="O86" i="106"/>
  <c r="AD44" i="106"/>
  <c r="M42" i="119" s="1"/>
  <c r="AD9" i="106"/>
  <c r="M9" i="119" s="1"/>
  <c r="AA67" i="106"/>
  <c r="AG67" i="106"/>
  <c r="AA134" i="106"/>
  <c r="AA128" i="106"/>
  <c r="AA124" i="106"/>
  <c r="AA120" i="106"/>
  <c r="B102" i="106"/>
  <c r="N127" i="106"/>
  <c r="AA127" i="106" s="1"/>
  <c r="O94" i="106"/>
  <c r="O88" i="106"/>
  <c r="L121" i="106"/>
  <c r="AA121" i="106" s="1"/>
  <c r="N118" i="106"/>
  <c r="O85" i="106"/>
  <c r="AF12" i="106"/>
  <c r="P12" i="119" s="1"/>
  <c r="AF102" i="106"/>
  <c r="AD45" i="106"/>
  <c r="M43" i="119" s="1"/>
  <c r="AD10" i="106"/>
  <c r="M10" i="119" s="1"/>
  <c r="W113" i="106"/>
  <c r="AB43" i="106"/>
  <c r="K41" i="119" s="1"/>
  <c r="AB102" i="106"/>
  <c r="AB8" i="106"/>
  <c r="K8" i="119" s="1"/>
  <c r="W109" i="106"/>
  <c r="M102" i="106"/>
  <c r="I102" i="106"/>
  <c r="S109" i="106"/>
  <c r="O109" i="106"/>
  <c r="E102" i="106"/>
  <c r="AC5" i="106"/>
  <c r="L5" i="119" s="1"/>
  <c r="AC40" i="106"/>
  <c r="L38" i="119" s="1"/>
  <c r="V108" i="106"/>
  <c r="K102" i="106"/>
  <c r="G102" i="106"/>
  <c r="C102" i="106"/>
  <c r="O69" i="106"/>
  <c r="T135" i="107"/>
  <c r="R135" i="108"/>
  <c r="H7" i="118" s="1"/>
  <c r="AA130" i="107"/>
  <c r="AA124" i="107"/>
  <c r="O97" i="107"/>
  <c r="I102" i="107"/>
  <c r="S109" i="107"/>
  <c r="S135" i="107" s="1"/>
  <c r="D102" i="107"/>
  <c r="N108" i="107"/>
  <c r="AH30" i="107"/>
  <c r="AH8" i="107"/>
  <c r="AA130" i="108"/>
  <c r="X135" i="108"/>
  <c r="N7" i="118" s="1"/>
  <c r="P135" i="108"/>
  <c r="F7" i="118" s="1"/>
  <c r="L109" i="108"/>
  <c r="O76" i="108"/>
  <c r="D102" i="108"/>
  <c r="AH55" i="108"/>
  <c r="AH47" i="108"/>
  <c r="AH41" i="108"/>
  <c r="AC67" i="108"/>
  <c r="U67" i="108"/>
  <c r="AH27" i="108"/>
  <c r="AB32" i="108"/>
  <c r="AH9" i="108"/>
  <c r="T32" i="108"/>
  <c r="AC32" i="108"/>
  <c r="U32" i="108"/>
  <c r="Z135" i="109"/>
  <c r="Q8" i="118" s="1"/>
  <c r="O78" i="109"/>
  <c r="L111" i="109"/>
  <c r="AA111" i="109" s="1"/>
  <c r="U109" i="109"/>
  <c r="U135" i="109" s="1"/>
  <c r="K8" i="118" s="1"/>
  <c r="K102" i="109"/>
  <c r="M109" i="109"/>
  <c r="C102" i="109"/>
  <c r="AI55" i="109"/>
  <c r="AG32" i="109"/>
  <c r="AI5" i="109"/>
  <c r="J67" i="110"/>
  <c r="S42" i="110"/>
  <c r="S57" i="111"/>
  <c r="S21" i="112"/>
  <c r="S17" i="112"/>
  <c r="R32" i="112"/>
  <c r="I32" i="112"/>
  <c r="Q32" i="112"/>
  <c r="L32" i="112"/>
  <c r="S5" i="112"/>
  <c r="D32" i="112"/>
  <c r="F64" i="119"/>
  <c r="AH55" i="106"/>
  <c r="F52" i="119"/>
  <c r="E51" i="119"/>
  <c r="E49" i="119"/>
  <c r="C47" i="119"/>
  <c r="B46" i="119"/>
  <c r="C43" i="119"/>
  <c r="Z43" i="106"/>
  <c r="I41" i="119" s="1"/>
  <c r="C39" i="119"/>
  <c r="K8" i="66"/>
  <c r="AH25" i="106"/>
  <c r="AH17" i="106"/>
  <c r="AG7" i="106"/>
  <c r="Q7" i="119" s="1"/>
  <c r="AB7" i="106"/>
  <c r="K7" i="119" s="1"/>
  <c r="AA128" i="107"/>
  <c r="H99" i="107"/>
  <c r="R132" i="107" s="1"/>
  <c r="AA132" i="107" s="1"/>
  <c r="O93" i="107"/>
  <c r="O91" i="107"/>
  <c r="O83" i="107"/>
  <c r="O77" i="107"/>
  <c r="O75" i="107"/>
  <c r="AH43" i="107"/>
  <c r="U32" i="107"/>
  <c r="N108" i="108"/>
  <c r="F102" i="108"/>
  <c r="AH62" i="108"/>
  <c r="AH57" i="108"/>
  <c r="AH48" i="108"/>
  <c r="AA128" i="109"/>
  <c r="AI62" i="109"/>
  <c r="AI57" i="109"/>
  <c r="AI28" i="109"/>
  <c r="AI23" i="109"/>
  <c r="AI22" i="109"/>
  <c r="AE32" i="109"/>
  <c r="W32" i="109"/>
  <c r="E67" i="110"/>
  <c r="T34" i="122" s="1"/>
  <c r="S65" i="110"/>
  <c r="S28" i="116"/>
  <c r="P32" i="116"/>
  <c r="H32" i="116"/>
  <c r="L102" i="106"/>
  <c r="H102" i="106"/>
  <c r="D102" i="106"/>
  <c r="O101" i="106"/>
  <c r="O99" i="106"/>
  <c r="O95" i="106"/>
  <c r="O91" i="106"/>
  <c r="O87" i="106"/>
  <c r="O78" i="106"/>
  <c r="O76" i="106"/>
  <c r="P5" i="119"/>
  <c r="Y67" i="106"/>
  <c r="U67" i="106"/>
  <c r="L34" i="122" s="1"/>
  <c r="D63" i="119"/>
  <c r="AH64" i="106"/>
  <c r="F61" i="119"/>
  <c r="B61" i="119"/>
  <c r="C58" i="119"/>
  <c r="E56" i="119"/>
  <c r="D55" i="119"/>
  <c r="AH56" i="106"/>
  <c r="C54" i="119"/>
  <c r="F53" i="119"/>
  <c r="B53" i="119"/>
  <c r="E52" i="119"/>
  <c r="AH52" i="106"/>
  <c r="AC51" i="106"/>
  <c r="L49" i="119" s="1"/>
  <c r="D49" i="119"/>
  <c r="C48" i="119"/>
  <c r="F47" i="119"/>
  <c r="B47" i="119"/>
  <c r="AD48" i="106"/>
  <c r="M46" i="119" s="1"/>
  <c r="E46" i="119"/>
  <c r="AC47" i="106"/>
  <c r="L45" i="119" s="1"/>
  <c r="C44" i="119"/>
  <c r="E42" i="119"/>
  <c r="AC43" i="106"/>
  <c r="L41" i="119" s="1"/>
  <c r="D41" i="119"/>
  <c r="C40" i="119"/>
  <c r="F39" i="119"/>
  <c r="B39" i="119"/>
  <c r="Z40" i="106"/>
  <c r="I38" i="119" s="1"/>
  <c r="Y32" i="106"/>
  <c r="U32" i="106"/>
  <c r="AH28" i="106"/>
  <c r="AH24" i="106"/>
  <c r="E26" i="66"/>
  <c r="H17" i="66"/>
  <c r="AH20" i="106"/>
  <c r="AC13" i="106"/>
  <c r="L13" i="119" s="1"/>
  <c r="AD12" i="106"/>
  <c r="M12" i="119" s="1"/>
  <c r="H5" i="66"/>
  <c r="Q115" i="107"/>
  <c r="Q135" i="107" s="1"/>
  <c r="G6" i="118" s="1"/>
  <c r="X110" i="107"/>
  <c r="X135" i="107" s="1"/>
  <c r="O101" i="107"/>
  <c r="O100" i="107"/>
  <c r="N133" i="107"/>
  <c r="AA133" i="107" s="1"/>
  <c r="AH61" i="107"/>
  <c r="AH60" i="107"/>
  <c r="AH46" i="107"/>
  <c r="AG67" i="107"/>
  <c r="AC67" i="107"/>
  <c r="Y67" i="107"/>
  <c r="U67" i="107"/>
  <c r="N34" i="122" s="1"/>
  <c r="AH27" i="107"/>
  <c r="AH19" i="107"/>
  <c r="AH12" i="107"/>
  <c r="AF32" i="107"/>
  <c r="AB32" i="107"/>
  <c r="X32" i="107"/>
  <c r="T32" i="107"/>
  <c r="AA132" i="108"/>
  <c r="N127" i="108"/>
  <c r="AA127" i="108" s="1"/>
  <c r="AA124" i="108"/>
  <c r="N119" i="108"/>
  <c r="AA119" i="108" s="1"/>
  <c r="AA116" i="108"/>
  <c r="N111" i="108"/>
  <c r="AA111" i="108" s="1"/>
  <c r="C102" i="108"/>
  <c r="AA134" i="108"/>
  <c r="O99" i="108"/>
  <c r="L129" i="108"/>
  <c r="AA129" i="108" s="1"/>
  <c r="O96" i="108"/>
  <c r="AA126" i="108"/>
  <c r="O91" i="108"/>
  <c r="L121" i="108"/>
  <c r="AA121" i="108" s="1"/>
  <c r="O88" i="108"/>
  <c r="AA118" i="108"/>
  <c r="O83" i="108"/>
  <c r="L113" i="108"/>
  <c r="AA113" i="108" s="1"/>
  <c r="O80" i="108"/>
  <c r="O75" i="108"/>
  <c r="AH51" i="108"/>
  <c r="AH23" i="108"/>
  <c r="AH15" i="108"/>
  <c r="N118" i="109"/>
  <c r="AA118" i="109" s="1"/>
  <c r="H102" i="109"/>
  <c r="O92" i="109"/>
  <c r="L125" i="109"/>
  <c r="AA125" i="109" s="1"/>
  <c r="O91" i="109"/>
  <c r="O86" i="109"/>
  <c r="N119" i="109"/>
  <c r="AA119" i="109" s="1"/>
  <c r="AA117" i="109"/>
  <c r="AI63" i="109"/>
  <c r="AI52" i="109"/>
  <c r="AI47" i="109"/>
  <c r="AI46" i="109"/>
  <c r="AI29" i="109"/>
  <c r="AI13" i="109"/>
  <c r="AC32" i="109"/>
  <c r="U32" i="109"/>
  <c r="S66" i="110"/>
  <c r="S31" i="110"/>
  <c r="S27" i="110"/>
  <c r="S23" i="110"/>
  <c r="S19" i="110"/>
  <c r="S15" i="110"/>
  <c r="S11" i="110"/>
  <c r="L32" i="110"/>
  <c r="S7" i="110"/>
  <c r="S102" i="111"/>
  <c r="S10" i="118" s="1"/>
  <c r="S66" i="115"/>
  <c r="S31" i="115"/>
  <c r="S30" i="115"/>
  <c r="S25" i="115"/>
  <c r="S65" i="117"/>
  <c r="S12" i="117"/>
  <c r="P32" i="117"/>
  <c r="L32" i="117"/>
  <c r="S11" i="117"/>
  <c r="D32" i="117"/>
  <c r="Q32" i="117"/>
  <c r="M32" i="117"/>
  <c r="I32" i="117"/>
  <c r="S6" i="117"/>
  <c r="E32" i="117"/>
  <c r="AA131" i="107"/>
  <c r="AA120" i="107"/>
  <c r="AA116" i="107"/>
  <c r="O96" i="107"/>
  <c r="N129" i="107"/>
  <c r="AA129" i="107" s="1"/>
  <c r="M102" i="107"/>
  <c r="W109" i="107"/>
  <c r="W135" i="107" s="1"/>
  <c r="E102" i="107"/>
  <c r="O109" i="107"/>
  <c r="O135" i="107" s="1"/>
  <c r="L102" i="107"/>
  <c r="V108" i="107"/>
  <c r="V135" i="107" s="1"/>
  <c r="R108" i="107"/>
  <c r="AH57" i="107"/>
  <c r="AH41" i="107"/>
  <c r="AH16" i="107"/>
  <c r="L133" i="108"/>
  <c r="AA133" i="108" s="1"/>
  <c r="O100" i="108"/>
  <c r="L125" i="108"/>
  <c r="AA125" i="108" s="1"/>
  <c r="O92" i="108"/>
  <c r="AA122" i="108"/>
  <c r="L117" i="108"/>
  <c r="AA117" i="108" s="1"/>
  <c r="O84" i="108"/>
  <c r="AA114" i="108"/>
  <c r="T135" i="108"/>
  <c r="J7" i="118" s="1"/>
  <c r="L102" i="108"/>
  <c r="H102" i="108"/>
  <c r="AH61" i="108"/>
  <c r="AG67" i="108"/>
  <c r="Y67" i="108"/>
  <c r="AF32" i="108"/>
  <c r="X32" i="108"/>
  <c r="AG32" i="108"/>
  <c r="Y32" i="108"/>
  <c r="O100" i="109"/>
  <c r="L133" i="109"/>
  <c r="AA133" i="109" s="1"/>
  <c r="O99" i="109"/>
  <c r="O77" i="109"/>
  <c r="N110" i="109"/>
  <c r="AI44" i="109"/>
  <c r="X32" i="109"/>
  <c r="S64" i="110"/>
  <c r="S60" i="110"/>
  <c r="S66" i="111"/>
  <c r="S61" i="111"/>
  <c r="S53" i="111"/>
  <c r="M32" i="112"/>
  <c r="E32" i="112"/>
  <c r="V67" i="106"/>
  <c r="B64" i="119"/>
  <c r="AH63" i="106"/>
  <c r="D58" i="119"/>
  <c r="AH59" i="106"/>
  <c r="F56" i="119"/>
  <c r="B56" i="119"/>
  <c r="E55" i="119"/>
  <c r="C53" i="119"/>
  <c r="B52" i="119"/>
  <c r="E50" i="119"/>
  <c r="D48" i="119"/>
  <c r="F46" i="119"/>
  <c r="E45" i="119"/>
  <c r="AC46" i="106"/>
  <c r="L44" i="119" s="1"/>
  <c r="D44" i="119"/>
  <c r="V32" i="106"/>
  <c r="AH21" i="106"/>
  <c r="AC10" i="106"/>
  <c r="L10" i="119" s="1"/>
  <c r="AC9" i="106"/>
  <c r="L9" i="119" s="1"/>
  <c r="E6" i="66"/>
  <c r="O92" i="107"/>
  <c r="N125" i="107"/>
  <c r="AA125" i="107" s="1"/>
  <c r="O85" i="107"/>
  <c r="O84" i="107"/>
  <c r="N117" i="107"/>
  <c r="AA117" i="107" s="1"/>
  <c r="O76" i="107"/>
  <c r="N109" i="107"/>
  <c r="AH51" i="107"/>
  <c r="AH50" i="107"/>
  <c r="AH31" i="107"/>
  <c r="AH24" i="107"/>
  <c r="AH9" i="107"/>
  <c r="N102" i="108"/>
  <c r="AH56" i="108"/>
  <c r="AH43" i="108"/>
  <c r="AH42" i="108"/>
  <c r="AH28" i="108"/>
  <c r="AH20" i="108"/>
  <c r="AH12" i="108"/>
  <c r="L122" i="109"/>
  <c r="AA122" i="109" s="1"/>
  <c r="O89" i="109"/>
  <c r="O80" i="109"/>
  <c r="N113" i="109"/>
  <c r="AA113" i="109" s="1"/>
  <c r="AI45" i="109"/>
  <c r="AI12" i="109"/>
  <c r="AI7" i="109"/>
  <c r="AA32" i="109"/>
  <c r="AI6" i="109"/>
  <c r="S32" i="109"/>
  <c r="S27" i="116"/>
  <c r="S17" i="116"/>
  <c r="S12" i="116"/>
  <c r="L32" i="116"/>
  <c r="S11" i="116"/>
  <c r="D32" i="116"/>
  <c r="F32" i="117"/>
  <c r="S5" i="117"/>
  <c r="Z119" i="106"/>
  <c r="V112" i="106"/>
  <c r="Z108" i="106"/>
  <c r="X67" i="106"/>
  <c r="T67" i="106"/>
  <c r="AH66" i="106"/>
  <c r="AH65" i="106"/>
  <c r="F62" i="119"/>
  <c r="B62" i="119"/>
  <c r="D60" i="119"/>
  <c r="AH61" i="106"/>
  <c r="C59" i="119"/>
  <c r="F58" i="119"/>
  <c r="B58" i="119"/>
  <c r="D56" i="119"/>
  <c r="AH57" i="106"/>
  <c r="C55" i="119"/>
  <c r="F54" i="119"/>
  <c r="B54" i="119"/>
  <c r="E53" i="119"/>
  <c r="D52" i="119"/>
  <c r="AH53" i="106"/>
  <c r="C51" i="119"/>
  <c r="C49" i="119"/>
  <c r="E47" i="119"/>
  <c r="C45" i="119"/>
  <c r="E43" i="119"/>
  <c r="D42" i="119"/>
  <c r="C41" i="119"/>
  <c r="F40" i="119"/>
  <c r="B40" i="119"/>
  <c r="D38" i="119"/>
  <c r="X32" i="106"/>
  <c r="T32" i="106"/>
  <c r="AH31" i="106"/>
  <c r="AH27" i="106"/>
  <c r="AH23" i="106"/>
  <c r="AH19" i="106"/>
  <c r="H25" i="66"/>
  <c r="N20" i="66"/>
  <c r="L126" i="107"/>
  <c r="AA126" i="107" s="1"/>
  <c r="AA122" i="107"/>
  <c r="L118" i="107"/>
  <c r="AA118" i="107" s="1"/>
  <c r="AA114" i="107"/>
  <c r="AA111" i="107"/>
  <c r="L110" i="107"/>
  <c r="M108" i="107"/>
  <c r="M135" i="107" s="1"/>
  <c r="O89" i="107"/>
  <c r="O88" i="107"/>
  <c r="N121" i="107"/>
  <c r="AA121" i="107" s="1"/>
  <c r="O87" i="107"/>
  <c r="O81" i="107"/>
  <c r="O80" i="107"/>
  <c r="N113" i="107"/>
  <c r="AA113" i="107" s="1"/>
  <c r="O79" i="107"/>
  <c r="O69" i="107"/>
  <c r="S67" i="107"/>
  <c r="Q35" i="121" s="1"/>
  <c r="AH55" i="107"/>
  <c r="AH54" i="107"/>
  <c r="AH47" i="107"/>
  <c r="AF67" i="107"/>
  <c r="AB67" i="107"/>
  <c r="X67" i="107"/>
  <c r="AH40" i="107"/>
  <c r="T67" i="107"/>
  <c r="AH28" i="107"/>
  <c r="O24" i="107"/>
  <c r="O32" i="107" s="1"/>
  <c r="H32" i="107"/>
  <c r="H94" i="107"/>
  <c r="R127" i="107" s="1"/>
  <c r="AA127" i="107" s="1"/>
  <c r="AH22" i="107"/>
  <c r="AH13" i="107"/>
  <c r="AE32" i="107"/>
  <c r="AA32" i="107"/>
  <c r="W32" i="107"/>
  <c r="AH5" i="107"/>
  <c r="S32" i="107"/>
  <c r="V108" i="108"/>
  <c r="V135" i="108" s="1"/>
  <c r="L7" i="118" s="1"/>
  <c r="J102" i="108"/>
  <c r="B102" i="108"/>
  <c r="O97" i="108"/>
  <c r="O89" i="108"/>
  <c r="O81" i="108"/>
  <c r="M102" i="108"/>
  <c r="W108" i="108"/>
  <c r="W135" i="108" s="1"/>
  <c r="M7" i="118" s="1"/>
  <c r="I102" i="108"/>
  <c r="S108" i="108"/>
  <c r="S135" i="108" s="1"/>
  <c r="I7" i="118" s="1"/>
  <c r="E102" i="108"/>
  <c r="O108" i="108"/>
  <c r="O135" i="108" s="1"/>
  <c r="E7" i="118" s="1"/>
  <c r="T67" i="108"/>
  <c r="H32" i="65" s="1"/>
  <c r="AH58" i="108"/>
  <c r="AH52" i="108"/>
  <c r="AH44" i="108"/>
  <c r="AH40" i="108"/>
  <c r="AD67" i="108"/>
  <c r="Z67" i="108"/>
  <c r="V67" i="108"/>
  <c r="I32" i="65" s="1"/>
  <c r="O67" i="108"/>
  <c r="S32" i="108"/>
  <c r="AH24" i="108"/>
  <c r="AH16" i="108"/>
  <c r="AH11" i="108"/>
  <c r="AH8" i="108"/>
  <c r="AH6" i="108"/>
  <c r="V135" i="109"/>
  <c r="L8" i="118" s="1"/>
  <c r="G102" i="109"/>
  <c r="L130" i="109"/>
  <c r="AA130" i="109" s="1"/>
  <c r="O97" i="109"/>
  <c r="O94" i="109"/>
  <c r="AA126" i="109"/>
  <c r="L102" i="109"/>
  <c r="D102" i="109"/>
  <c r="X108" i="109"/>
  <c r="X135" i="109" s="1"/>
  <c r="N8" i="118" s="1"/>
  <c r="N102" i="109"/>
  <c r="T108" i="109"/>
  <c r="T135" i="109" s="1"/>
  <c r="J8" i="118" s="1"/>
  <c r="J102" i="109"/>
  <c r="P108" i="109"/>
  <c r="P135" i="109" s="1"/>
  <c r="F8" i="118" s="1"/>
  <c r="F102" i="109"/>
  <c r="L108" i="109"/>
  <c r="B102" i="109"/>
  <c r="O75" i="109"/>
  <c r="AI65" i="109"/>
  <c r="AI53" i="109"/>
  <c r="AH67" i="109"/>
  <c r="Y67" i="109"/>
  <c r="AI42" i="109"/>
  <c r="Z67" i="109"/>
  <c r="O67" i="109"/>
  <c r="T32" i="109"/>
  <c r="AI31" i="109"/>
  <c r="AI30" i="109"/>
  <c r="AI20" i="109"/>
  <c r="AI15" i="109"/>
  <c r="AI14" i="109"/>
  <c r="S102" i="110"/>
  <c r="S9" i="118" s="1"/>
  <c r="K67" i="111"/>
  <c r="S65" i="111"/>
  <c r="C67" i="111"/>
  <c r="Y35" i="121" s="1"/>
  <c r="H52" i="112"/>
  <c r="G50" i="119" s="1"/>
  <c r="S87" i="112"/>
  <c r="H102" i="112"/>
  <c r="G11" i="118" s="1"/>
  <c r="S51" i="112"/>
  <c r="S47" i="112"/>
  <c r="S64" i="113"/>
  <c r="S62" i="113"/>
  <c r="S61" i="113"/>
  <c r="N6" i="66"/>
  <c r="V31" i="108"/>
  <c r="I30" i="65" s="1"/>
  <c r="AH5" i="108"/>
  <c r="O83" i="109"/>
  <c r="L116" i="109"/>
  <c r="AA116" i="109" s="1"/>
  <c r="M102" i="109"/>
  <c r="I102" i="109"/>
  <c r="E102" i="109"/>
  <c r="Q135" i="109"/>
  <c r="G8" i="118" s="1"/>
  <c r="O69" i="109"/>
  <c r="AI60" i="109"/>
  <c r="AI50" i="109"/>
  <c r="AE67" i="109"/>
  <c r="AA67" i="109"/>
  <c r="W67" i="109"/>
  <c r="S67" i="109"/>
  <c r="U35" i="121" s="1"/>
  <c r="AI40" i="109"/>
  <c r="AI26" i="109"/>
  <c r="AI18" i="109"/>
  <c r="AI10" i="109"/>
  <c r="S63" i="110"/>
  <c r="S59" i="110"/>
  <c r="S41" i="110"/>
  <c r="S30" i="110"/>
  <c r="S26" i="110"/>
  <c r="S22" i="110"/>
  <c r="S18" i="110"/>
  <c r="S14" i="110"/>
  <c r="S10" i="110"/>
  <c r="S6" i="110"/>
  <c r="S64" i="111"/>
  <c r="S63" i="111"/>
  <c r="S59" i="111"/>
  <c r="S55" i="111"/>
  <c r="S51" i="111"/>
  <c r="S47" i="111"/>
  <c r="R67" i="111"/>
  <c r="M67" i="111"/>
  <c r="I67" i="111"/>
  <c r="E67" i="111"/>
  <c r="V34" i="122" s="1"/>
  <c r="J67" i="111"/>
  <c r="S50" i="112"/>
  <c r="S46" i="112"/>
  <c r="N67" i="112"/>
  <c r="J67" i="112"/>
  <c r="S62" i="114"/>
  <c r="S46" i="114"/>
  <c r="N67" i="114"/>
  <c r="J67" i="114"/>
  <c r="F67" i="114"/>
  <c r="O67" i="114"/>
  <c r="K67" i="114"/>
  <c r="G67" i="114"/>
  <c r="Q33" i="123" s="1"/>
  <c r="CF36" i="126" s="1"/>
  <c r="C67" i="114"/>
  <c r="AE35" i="121" s="1"/>
  <c r="S65" i="115"/>
  <c r="Q67" i="115"/>
  <c r="I67" i="115"/>
  <c r="S24" i="115"/>
  <c r="R32" i="115"/>
  <c r="J32" i="115"/>
  <c r="S55" i="116"/>
  <c r="R67" i="116"/>
  <c r="N67" i="116"/>
  <c r="J67" i="116"/>
  <c r="F67" i="116"/>
  <c r="S40" i="116"/>
  <c r="P67" i="117"/>
  <c r="H67" i="117"/>
  <c r="S42" i="117"/>
  <c r="D67" i="117"/>
  <c r="AH10" i="108"/>
  <c r="W110" i="109"/>
  <c r="W135" i="109" s="1"/>
  <c r="M8" i="118" s="1"/>
  <c r="S110" i="109"/>
  <c r="S135" i="109" s="1"/>
  <c r="I8" i="118" s="1"/>
  <c r="O110" i="109"/>
  <c r="O135" i="109" s="1"/>
  <c r="E8" i="118" s="1"/>
  <c r="O96" i="109"/>
  <c r="L129" i="109"/>
  <c r="AA129" i="109" s="1"/>
  <c r="O95" i="109"/>
  <c r="O88" i="109"/>
  <c r="L121" i="109"/>
  <c r="AA121" i="109" s="1"/>
  <c r="O87" i="109"/>
  <c r="O82" i="109"/>
  <c r="L115" i="109"/>
  <c r="AA115" i="109" s="1"/>
  <c r="O81" i="109"/>
  <c r="AI66" i="109"/>
  <c r="AI59" i="109"/>
  <c r="AI49" i="109"/>
  <c r="AG67" i="109"/>
  <c r="AB67" i="109"/>
  <c r="X67" i="109"/>
  <c r="T67" i="109"/>
  <c r="AI25" i="109"/>
  <c r="AI17" i="109"/>
  <c r="AI9" i="109"/>
  <c r="AD32" i="109"/>
  <c r="Z32" i="109"/>
  <c r="V32" i="109"/>
  <c r="O32" i="109"/>
  <c r="S62" i="110"/>
  <c r="S58" i="110"/>
  <c r="O67" i="110"/>
  <c r="K67" i="110"/>
  <c r="G67" i="110"/>
  <c r="C67" i="110"/>
  <c r="W35" i="121" s="1"/>
  <c r="S40" i="110"/>
  <c r="S29" i="110"/>
  <c r="S25" i="110"/>
  <c r="S21" i="110"/>
  <c r="S17" i="110"/>
  <c r="S13" i="110"/>
  <c r="S9" i="110"/>
  <c r="O32" i="110"/>
  <c r="K32" i="110"/>
  <c r="G32" i="110"/>
  <c r="S5" i="110"/>
  <c r="C32" i="110"/>
  <c r="S62" i="111"/>
  <c r="S58" i="111"/>
  <c r="S49" i="112"/>
  <c r="S40" i="112"/>
  <c r="D67" i="112"/>
  <c r="S29" i="112"/>
  <c r="S25" i="112"/>
  <c r="L67" i="113"/>
  <c r="H67" i="113"/>
  <c r="D67" i="113"/>
  <c r="S29" i="113"/>
  <c r="S13" i="113"/>
  <c r="R32" i="113"/>
  <c r="N32" i="113"/>
  <c r="J32" i="113"/>
  <c r="F32" i="113"/>
  <c r="O32" i="113"/>
  <c r="G32" i="113"/>
  <c r="C32" i="113"/>
  <c r="R13" i="118"/>
  <c r="K40" i="125" s="1"/>
  <c r="S23" i="114"/>
  <c r="Q32" i="114"/>
  <c r="M32" i="114"/>
  <c r="I32" i="114"/>
  <c r="S7" i="114"/>
  <c r="S63" i="115"/>
  <c r="O17" i="118"/>
  <c r="S61" i="110"/>
  <c r="S57" i="110"/>
  <c r="Q67" i="110"/>
  <c r="L67" i="110"/>
  <c r="H67" i="110"/>
  <c r="D67" i="110"/>
  <c r="S28" i="110"/>
  <c r="S24" i="110"/>
  <c r="S20" i="110"/>
  <c r="S16" i="110"/>
  <c r="S12" i="110"/>
  <c r="S8" i="110"/>
  <c r="S60" i="111"/>
  <c r="S56" i="111"/>
  <c r="S52" i="111"/>
  <c r="S48" i="111"/>
  <c r="Q67" i="111"/>
  <c r="L67" i="111"/>
  <c r="H67" i="111"/>
  <c r="S44" i="111"/>
  <c r="D67" i="111"/>
  <c r="H64" i="112"/>
  <c r="S64" i="112" s="1"/>
  <c r="S66" i="112"/>
  <c r="O67" i="112"/>
  <c r="K67" i="112"/>
  <c r="F67" i="112"/>
  <c r="S28" i="112"/>
  <c r="S24" i="112"/>
  <c r="S20" i="112"/>
  <c r="S16" i="112"/>
  <c r="S12" i="112"/>
  <c r="S8" i="112"/>
  <c r="S102" i="113"/>
  <c r="S12" i="118" s="1"/>
  <c r="S60" i="113"/>
  <c r="S54" i="113"/>
  <c r="S28" i="113"/>
  <c r="S23" i="113"/>
  <c r="S22" i="113"/>
  <c r="S12" i="113"/>
  <c r="S7" i="113"/>
  <c r="P32" i="113"/>
  <c r="L32" i="113"/>
  <c r="H32" i="113"/>
  <c r="D32" i="113"/>
  <c r="S6" i="113"/>
  <c r="S61" i="114"/>
  <c r="S56" i="114"/>
  <c r="S55" i="114"/>
  <c r="S45" i="114"/>
  <c r="P67" i="114"/>
  <c r="L67" i="114"/>
  <c r="H67" i="114"/>
  <c r="D67" i="114"/>
  <c r="S40" i="114"/>
  <c r="S22" i="114"/>
  <c r="S17" i="114"/>
  <c r="S16" i="114"/>
  <c r="R32" i="114"/>
  <c r="N32" i="114"/>
  <c r="J32" i="114"/>
  <c r="F32" i="114"/>
  <c r="S6" i="114"/>
  <c r="O32" i="114"/>
  <c r="K32" i="114"/>
  <c r="G32" i="114"/>
  <c r="C32" i="114"/>
  <c r="S61" i="115"/>
  <c r="S56" i="115"/>
  <c r="S22" i="115"/>
  <c r="S17" i="115"/>
  <c r="S65" i="116"/>
  <c r="S54" i="116"/>
  <c r="S49" i="116"/>
  <c r="S48" i="116"/>
  <c r="S26" i="116"/>
  <c r="S10" i="116"/>
  <c r="O32" i="116"/>
  <c r="G32" i="116"/>
  <c r="S64" i="117"/>
  <c r="S59" i="117"/>
  <c r="S30" i="117"/>
  <c r="K32" i="117"/>
  <c r="C32" i="117"/>
  <c r="S54" i="111"/>
  <c r="S50" i="111"/>
  <c r="S46" i="111"/>
  <c r="S43" i="111"/>
  <c r="H58" i="112"/>
  <c r="G56" i="119" s="1"/>
  <c r="S93" i="112"/>
  <c r="S41" i="112"/>
  <c r="S30" i="112"/>
  <c r="S26" i="112"/>
  <c r="S22" i="112"/>
  <c r="S18" i="112"/>
  <c r="S14" i="112"/>
  <c r="S10" i="112"/>
  <c r="S6" i="112"/>
  <c r="O67" i="113"/>
  <c r="K67" i="113"/>
  <c r="G67" i="113"/>
  <c r="P33" i="123" s="1"/>
  <c r="BV36" i="126" s="1"/>
  <c r="C67" i="113"/>
  <c r="AC35" i="121" s="1"/>
  <c r="S31" i="113"/>
  <c r="S30" i="113"/>
  <c r="S20" i="113"/>
  <c r="S15" i="113"/>
  <c r="S14" i="113"/>
  <c r="S102" i="114"/>
  <c r="S13" i="118" s="1"/>
  <c r="S63" i="114"/>
  <c r="S53" i="114"/>
  <c r="S48" i="114"/>
  <c r="S47" i="114"/>
  <c r="S30" i="114"/>
  <c r="S25" i="114"/>
  <c r="S24" i="114"/>
  <c r="S14" i="114"/>
  <c r="S9" i="114"/>
  <c r="L32" i="114"/>
  <c r="S8" i="114"/>
  <c r="D32" i="114"/>
  <c r="L67" i="115"/>
  <c r="S45" i="115"/>
  <c r="D67" i="115"/>
  <c r="M67" i="115"/>
  <c r="S40" i="115"/>
  <c r="E67" i="115"/>
  <c r="AD34" i="122" s="1"/>
  <c r="P32" i="115"/>
  <c r="L32" i="115"/>
  <c r="H32" i="115"/>
  <c r="D32" i="115"/>
  <c r="S6" i="115"/>
  <c r="S62" i="116"/>
  <c r="S57" i="116"/>
  <c r="S56" i="116"/>
  <c r="S46" i="116"/>
  <c r="K67" i="116"/>
  <c r="C67" i="116"/>
  <c r="AI35" i="121" s="1"/>
  <c r="Q67" i="116"/>
  <c r="M67" i="116"/>
  <c r="I67" i="116"/>
  <c r="S41" i="116"/>
  <c r="E67" i="116"/>
  <c r="AF34" i="122" s="1"/>
  <c r="S18" i="116"/>
  <c r="S66" i="117"/>
  <c r="S48" i="117"/>
  <c r="K67" i="117"/>
  <c r="S43" i="117"/>
  <c r="C67" i="117"/>
  <c r="S19" i="117"/>
  <c r="S14" i="117"/>
  <c r="S65" i="112"/>
  <c r="G67" i="112"/>
  <c r="O33" i="123" s="1"/>
  <c r="BL36" i="126" s="1"/>
  <c r="C67" i="112"/>
  <c r="AA35" i="121" s="1"/>
  <c r="S42" i="112"/>
  <c r="S31" i="112"/>
  <c r="S27" i="112"/>
  <c r="H23" i="112"/>
  <c r="G23" i="119" s="1"/>
  <c r="S19" i="112"/>
  <c r="S15" i="112"/>
  <c r="S11" i="112"/>
  <c r="S7" i="112"/>
  <c r="S59" i="113"/>
  <c r="S51" i="113"/>
  <c r="S46" i="113"/>
  <c r="S21" i="113"/>
  <c r="Q32" i="113"/>
  <c r="M32" i="113"/>
  <c r="I32" i="113"/>
  <c r="S5" i="113"/>
  <c r="E32" i="113"/>
  <c r="S54" i="114"/>
  <c r="S31" i="114"/>
  <c r="S15" i="114"/>
  <c r="S53" i="115"/>
  <c r="S48" i="115"/>
  <c r="S14" i="115"/>
  <c r="S9" i="115"/>
  <c r="N32" i="115"/>
  <c r="F32" i="115"/>
  <c r="O32" i="115"/>
  <c r="G32" i="115"/>
  <c r="S63" i="116"/>
  <c r="S47" i="116"/>
  <c r="L67" i="116"/>
  <c r="S42" i="116"/>
  <c r="D67" i="116"/>
  <c r="S25" i="116"/>
  <c r="S20" i="116"/>
  <c r="S19" i="116"/>
  <c r="S9" i="116"/>
  <c r="S102" i="117"/>
  <c r="S16" i="118" s="1"/>
  <c r="S56" i="117"/>
  <c r="S51" i="117"/>
  <c r="S27" i="117"/>
  <c r="S22" i="117"/>
  <c r="S97" i="112"/>
  <c r="S81" i="112"/>
  <c r="P67" i="113"/>
  <c r="S57" i="113"/>
  <c r="S55" i="113"/>
  <c r="S47" i="113"/>
  <c r="S40" i="113"/>
  <c r="S25" i="113"/>
  <c r="S17" i="113"/>
  <c r="S9" i="113"/>
  <c r="S64" i="114"/>
  <c r="S58" i="114"/>
  <c r="S50" i="114"/>
  <c r="Q67" i="114"/>
  <c r="M67" i="114"/>
  <c r="I67" i="114"/>
  <c r="S42" i="114"/>
  <c r="E67" i="114"/>
  <c r="AB34" i="122" s="1"/>
  <c r="S27" i="114"/>
  <c r="S19" i="114"/>
  <c r="S11" i="114"/>
  <c r="S57" i="115"/>
  <c r="S49" i="115"/>
  <c r="S41" i="115"/>
  <c r="S26" i="115"/>
  <c r="S18" i="115"/>
  <c r="S10" i="115"/>
  <c r="R15" i="118"/>
  <c r="S66" i="116"/>
  <c r="S59" i="116"/>
  <c r="S51" i="116"/>
  <c r="S43" i="116"/>
  <c r="S30" i="116"/>
  <c r="S22" i="116"/>
  <c r="S14" i="116"/>
  <c r="Q32" i="116"/>
  <c r="M32" i="116"/>
  <c r="I32" i="116"/>
  <c r="S6" i="116"/>
  <c r="E32" i="116"/>
  <c r="R32" i="116"/>
  <c r="N32" i="116"/>
  <c r="J32" i="116"/>
  <c r="F32" i="116"/>
  <c r="R16" i="118"/>
  <c r="N40" i="125" s="1"/>
  <c r="N41" i="125" s="1"/>
  <c r="S60" i="117"/>
  <c r="S52" i="117"/>
  <c r="S44" i="117"/>
  <c r="S31" i="117"/>
  <c r="S23" i="117"/>
  <c r="S15" i="117"/>
  <c r="S7" i="117"/>
  <c r="R14" i="118"/>
  <c r="L40" i="125" s="1"/>
  <c r="S50" i="113"/>
  <c r="S43" i="113"/>
  <c r="S41" i="113"/>
  <c r="S26" i="113"/>
  <c r="S18" i="113"/>
  <c r="S10" i="113"/>
  <c r="S65" i="114"/>
  <c r="S59" i="114"/>
  <c r="S51" i="114"/>
  <c r="S43" i="114"/>
  <c r="S28" i="114"/>
  <c r="S20" i="114"/>
  <c r="S12" i="114"/>
  <c r="S102" i="115"/>
  <c r="S14" i="118" s="1"/>
  <c r="S60" i="115"/>
  <c r="S52" i="115"/>
  <c r="S44" i="115"/>
  <c r="O67" i="115"/>
  <c r="K67" i="115"/>
  <c r="G67" i="115"/>
  <c r="R33" i="123" s="1"/>
  <c r="CP36" i="126" s="1"/>
  <c r="C67" i="115"/>
  <c r="AG35" i="121" s="1"/>
  <c r="S29" i="115"/>
  <c r="S21" i="115"/>
  <c r="S13" i="115"/>
  <c r="Q32" i="115"/>
  <c r="M32" i="115"/>
  <c r="I32" i="115"/>
  <c r="S5" i="115"/>
  <c r="E32" i="115"/>
  <c r="S60" i="116"/>
  <c r="S52" i="116"/>
  <c r="S44" i="116"/>
  <c r="S31" i="116"/>
  <c r="S23" i="116"/>
  <c r="S15" i="116"/>
  <c r="S7" i="116"/>
  <c r="S63" i="117"/>
  <c r="S55" i="117"/>
  <c r="S47" i="117"/>
  <c r="Q67" i="117"/>
  <c r="M67" i="117"/>
  <c r="I67" i="117"/>
  <c r="S41" i="117"/>
  <c r="E67" i="117"/>
  <c r="R67" i="117"/>
  <c r="N67" i="117"/>
  <c r="J67" i="117"/>
  <c r="F67" i="117"/>
  <c r="S26" i="117"/>
  <c r="S18" i="117"/>
  <c r="S10" i="117"/>
  <c r="O91" i="119"/>
  <c r="O5" i="119"/>
  <c r="N179" i="63"/>
  <c r="N178" i="63"/>
  <c r="N177" i="63"/>
  <c r="N176" i="63"/>
  <c r="N175" i="63"/>
  <c r="N174" i="63"/>
  <c r="N173" i="63"/>
  <c r="N172" i="63"/>
  <c r="N171" i="63"/>
  <c r="N170" i="63"/>
  <c r="N169" i="63"/>
  <c r="N168" i="63"/>
  <c r="N167" i="63"/>
  <c r="N166" i="63"/>
  <c r="N165" i="63"/>
  <c r="N164" i="63"/>
  <c r="N163" i="63"/>
  <c r="N162" i="63"/>
  <c r="N161" i="63"/>
  <c r="N160" i="63"/>
  <c r="N159" i="63"/>
  <c r="N158" i="63"/>
  <c r="N157" i="63"/>
  <c r="N156" i="63"/>
  <c r="N155" i="63"/>
  <c r="N154" i="63"/>
  <c r="N153" i="63"/>
  <c r="N151" i="63"/>
  <c r="N150" i="63"/>
  <c r="N149" i="63"/>
  <c r="N148" i="63"/>
  <c r="N147" i="63"/>
  <c r="N146" i="63"/>
  <c r="N145" i="63"/>
  <c r="N144" i="63"/>
  <c r="N143" i="63"/>
  <c r="N142" i="63"/>
  <c r="N141" i="63"/>
  <c r="N140" i="63"/>
  <c r="N139" i="63"/>
  <c r="N138" i="63"/>
  <c r="N137" i="63"/>
  <c r="N136" i="63"/>
  <c r="N135" i="63"/>
  <c r="N134" i="63"/>
  <c r="N133" i="63"/>
  <c r="N132" i="63"/>
  <c r="N131" i="63"/>
  <c r="N130" i="63"/>
  <c r="N129" i="63"/>
  <c r="N128" i="63"/>
  <c r="N127" i="63"/>
  <c r="N126" i="63"/>
  <c r="N125" i="63"/>
  <c r="N124" i="63"/>
  <c r="N123" i="63"/>
  <c r="N121" i="63"/>
  <c r="N120" i="63"/>
  <c r="N119" i="63"/>
  <c r="N118" i="63"/>
  <c r="N117" i="63"/>
  <c r="N116" i="63"/>
  <c r="N115" i="63"/>
  <c r="N114" i="63"/>
  <c r="N113" i="63"/>
  <c r="N112" i="63"/>
  <c r="N111" i="63"/>
  <c r="N110" i="63"/>
  <c r="N109" i="63"/>
  <c r="N108" i="63"/>
  <c r="N107" i="63"/>
  <c r="N106" i="63"/>
  <c r="N105" i="63"/>
  <c r="N104" i="63"/>
  <c r="N103" i="63"/>
  <c r="N102" i="63"/>
  <c r="N101" i="63"/>
  <c r="N100" i="63"/>
  <c r="N99" i="63"/>
  <c r="N98" i="63"/>
  <c r="N97" i="63"/>
  <c r="N96" i="63"/>
  <c r="N95" i="63"/>
  <c r="N94" i="63"/>
  <c r="N93" i="63"/>
  <c r="N91" i="63"/>
  <c r="N90" i="63"/>
  <c r="N89" i="63"/>
  <c r="N88" i="63"/>
  <c r="N87" i="63"/>
  <c r="N86" i="63"/>
  <c r="N85" i="63"/>
  <c r="N84" i="63"/>
  <c r="N83" i="63"/>
  <c r="N82" i="63"/>
  <c r="N81" i="63"/>
  <c r="N80" i="63"/>
  <c r="N79" i="63"/>
  <c r="N78" i="63"/>
  <c r="N77" i="63"/>
  <c r="N76" i="63"/>
  <c r="N75" i="63"/>
  <c r="N74" i="63"/>
  <c r="N73" i="63"/>
  <c r="N72" i="63"/>
  <c r="N71" i="63"/>
  <c r="N70" i="63"/>
  <c r="N69" i="63"/>
  <c r="N68" i="63"/>
  <c r="N67" i="63"/>
  <c r="N66" i="63"/>
  <c r="N65" i="63"/>
  <c r="N64" i="63"/>
  <c r="N63" i="63"/>
  <c r="N61" i="63"/>
  <c r="N59" i="63"/>
  <c r="N58" i="63"/>
  <c r="N57" i="63"/>
  <c r="N56" i="63"/>
  <c r="N55" i="63"/>
  <c r="N54" i="63"/>
  <c r="N53" i="63"/>
  <c r="N52" i="63"/>
  <c r="N51" i="63"/>
  <c r="N50" i="63"/>
  <c r="N49" i="63"/>
  <c r="N48" i="63"/>
  <c r="N47" i="63"/>
  <c r="N46" i="63"/>
  <c r="N45" i="63"/>
  <c r="N44" i="63"/>
  <c r="N43" i="63"/>
  <c r="N42" i="63"/>
  <c r="N41" i="63"/>
  <c r="N40" i="63"/>
  <c r="N39" i="63"/>
  <c r="N38" i="63"/>
  <c r="N37" i="63"/>
  <c r="N36" i="63"/>
  <c r="N35" i="63"/>
  <c r="N34" i="63"/>
  <c r="N33" i="63"/>
  <c r="N31" i="63"/>
  <c r="N30" i="63"/>
  <c r="N29" i="63"/>
  <c r="N28" i="63"/>
  <c r="N27" i="63"/>
  <c r="N26" i="63"/>
  <c r="N25" i="63"/>
  <c r="N24" i="63"/>
  <c r="N23" i="63"/>
  <c r="N22" i="63"/>
  <c r="N21" i="63"/>
  <c r="N20" i="63"/>
  <c r="N19" i="63"/>
  <c r="N18" i="63"/>
  <c r="N17" i="63"/>
  <c r="N16" i="63"/>
  <c r="N15" i="63"/>
  <c r="N14" i="63"/>
  <c r="N13" i="63"/>
  <c r="N12" i="63"/>
  <c r="N11" i="63"/>
  <c r="N10" i="63"/>
  <c r="N9" i="63"/>
  <c r="N8" i="63"/>
  <c r="N7" i="63"/>
  <c r="N6" i="63"/>
  <c r="N5" i="63"/>
  <c r="N4" i="63"/>
  <c r="N3" i="63"/>
  <c r="AP205" i="73" l="1"/>
  <c r="L676" i="73" s="1"/>
  <c r="M28" i="124"/>
  <c r="DA32" i="126" s="1"/>
  <c r="L738" i="73"/>
  <c r="AP105" i="73"/>
  <c r="M14" i="124"/>
  <c r="DA18" i="126" s="1"/>
  <c r="AP192" i="73"/>
  <c r="S32" i="123"/>
  <c r="S34" i="123" s="1"/>
  <c r="S36" i="123" s="1"/>
  <c r="CZ8" i="126"/>
  <c r="CZ35" i="126" s="1"/>
  <c r="CZ37" i="126" s="1"/>
  <c r="CY8" i="126"/>
  <c r="AF33" i="122"/>
  <c r="AF35" i="122" s="1"/>
  <c r="AF37" i="122" s="1"/>
  <c r="AP120" i="73"/>
  <c r="L499" i="73" s="1"/>
  <c r="AJ35" i="121"/>
  <c r="AJ36" i="121" s="1"/>
  <c r="AJ38" i="121" s="1"/>
  <c r="X32" i="65"/>
  <c r="Y32" i="65"/>
  <c r="AG34" i="122"/>
  <c r="CY36" i="126" s="1"/>
  <c r="M26" i="124"/>
  <c r="DA30" i="126" s="1"/>
  <c r="AP200" i="73"/>
  <c r="L671" i="73" s="1"/>
  <c r="AP206" i="73"/>
  <c r="L677" i="73" s="1"/>
  <c r="M30" i="124"/>
  <c r="DA34" i="126" s="1"/>
  <c r="T32" i="116"/>
  <c r="AP6" i="73"/>
  <c r="AP180" i="73"/>
  <c r="M4" i="124"/>
  <c r="M9" i="124"/>
  <c r="DA13" i="126" s="1"/>
  <c r="AP185" i="73"/>
  <c r="M13" i="124"/>
  <c r="DA17" i="126" s="1"/>
  <c r="AP189" i="73"/>
  <c r="M17" i="124"/>
  <c r="DA21" i="126" s="1"/>
  <c r="AP193" i="73"/>
  <c r="AP199" i="73"/>
  <c r="M23" i="124"/>
  <c r="DA27" i="126" s="1"/>
  <c r="AQ19" i="121"/>
  <c r="AQ31" i="121"/>
  <c r="AQ33" i="121"/>
  <c r="L25" i="126"/>
  <c r="AN30" i="122"/>
  <c r="AQ20" i="121"/>
  <c r="AQ21" i="121"/>
  <c r="AN36" i="122"/>
  <c r="AD34" i="121"/>
  <c r="CE11" i="126"/>
  <c r="CE12" i="126"/>
  <c r="CE14" i="126"/>
  <c r="CE16" i="126"/>
  <c r="CE20" i="126"/>
  <c r="CE18" i="126"/>
  <c r="CE22" i="126"/>
  <c r="AP150" i="73"/>
  <c r="L574" i="73" s="1"/>
  <c r="AP160" i="73"/>
  <c r="L584" i="73" s="1"/>
  <c r="AP170" i="73"/>
  <c r="L594" i="73" s="1"/>
  <c r="AP50" i="73"/>
  <c r="L338" i="73" s="1"/>
  <c r="AQ26" i="121"/>
  <c r="AP80" i="73"/>
  <c r="L412" i="73" s="1"/>
  <c r="CY17" i="126"/>
  <c r="AP101" i="73"/>
  <c r="L433" i="73" s="1"/>
  <c r="AG33" i="122"/>
  <c r="AG35" i="122" s="1"/>
  <c r="AG37" i="122" s="1"/>
  <c r="AP183" i="73"/>
  <c r="M6" i="124"/>
  <c r="DA10" i="126" s="1"/>
  <c r="AP188" i="73"/>
  <c r="M12" i="124"/>
  <c r="DA16" i="126" s="1"/>
  <c r="CX36" i="126"/>
  <c r="AP201" i="73"/>
  <c r="L672" i="73" s="1"/>
  <c r="M24" i="124"/>
  <c r="DA28" i="126" s="1"/>
  <c r="M5" i="124"/>
  <c r="DA9" i="126" s="1"/>
  <c r="AP181" i="73"/>
  <c r="AP186" i="73"/>
  <c r="M10" i="124"/>
  <c r="DA14" i="126" s="1"/>
  <c r="L661" i="73"/>
  <c r="AP190" i="73"/>
  <c r="M16" i="124"/>
  <c r="DA20" i="126" s="1"/>
  <c r="AP194" i="73"/>
  <c r="M18" i="124"/>
  <c r="DA22" i="126" s="1"/>
  <c r="AP196" i="73"/>
  <c r="M19" i="124"/>
  <c r="DA23" i="126" s="1"/>
  <c r="AQ28" i="121"/>
  <c r="AQ30" i="121"/>
  <c r="AQ32" i="121"/>
  <c r="M7" i="125"/>
  <c r="CX8" i="126"/>
  <c r="AI34" i="121"/>
  <c r="AI36" i="121" s="1"/>
  <c r="AI38" i="121" s="1"/>
  <c r="CX11" i="126"/>
  <c r="M9" i="125"/>
  <c r="CX10" i="126"/>
  <c r="DB10" i="126" s="1"/>
  <c r="CX12" i="126"/>
  <c r="CX13" i="126"/>
  <c r="M12" i="125"/>
  <c r="M13" i="125"/>
  <c r="CX14" i="126"/>
  <c r="DB14" i="126" s="1"/>
  <c r="CX15" i="126"/>
  <c r="M15" i="125"/>
  <c r="CX16" i="126"/>
  <c r="DB16" i="126" s="1"/>
  <c r="CX17" i="126"/>
  <c r="DB17" i="126" s="1"/>
  <c r="M16" i="125"/>
  <c r="M19" i="125"/>
  <c r="CX20" i="126"/>
  <c r="DB20" i="126" s="1"/>
  <c r="CX19" i="126"/>
  <c r="M17" i="125"/>
  <c r="CX18" i="126"/>
  <c r="DB18" i="126" s="1"/>
  <c r="CX21" i="126"/>
  <c r="DB21" i="126" s="1"/>
  <c r="M20" i="125"/>
  <c r="M21" i="125"/>
  <c r="CX22" i="126"/>
  <c r="DB22" i="126" s="1"/>
  <c r="CX25" i="126"/>
  <c r="CX23" i="126"/>
  <c r="DB23" i="126" s="1"/>
  <c r="M22" i="125"/>
  <c r="CX24" i="126"/>
  <c r="CX26" i="126"/>
  <c r="CX27" i="126"/>
  <c r="DB27" i="126" s="1"/>
  <c r="M26" i="125"/>
  <c r="M29" i="125"/>
  <c r="CX30" i="126"/>
  <c r="DB30" i="126" s="1"/>
  <c r="M27" i="125"/>
  <c r="CX28" i="126"/>
  <c r="DB28" i="126" s="1"/>
  <c r="CX29" i="126"/>
  <c r="DB29" i="126" s="1"/>
  <c r="M28" i="125"/>
  <c r="CX31" i="126"/>
  <c r="CX33" i="126"/>
  <c r="M31" i="125"/>
  <c r="CX32" i="126"/>
  <c r="DB32" i="126" s="1"/>
  <c r="M33" i="125"/>
  <c r="CX34" i="126"/>
  <c r="DB34" i="126" s="1"/>
  <c r="L348" i="73"/>
  <c r="AP60" i="73"/>
  <c r="AQ29" i="121"/>
  <c r="CY9" i="126"/>
  <c r="DB9" i="126" s="1"/>
  <c r="CY13" i="126"/>
  <c r="CY18" i="126"/>
  <c r="AP130" i="73"/>
  <c r="L509" i="73" s="1"/>
  <c r="L674" i="73"/>
  <c r="AP203" i="73"/>
  <c r="M27" i="124"/>
  <c r="DA31" i="126" s="1"/>
  <c r="AP184" i="73"/>
  <c r="M8" i="124"/>
  <c r="DA12" i="126" s="1"/>
  <c r="AP198" i="73"/>
  <c r="M22" i="124"/>
  <c r="DA26" i="126" s="1"/>
  <c r="AP202" i="73"/>
  <c r="L673" i="73" s="1"/>
  <c r="M25" i="124"/>
  <c r="DA29" i="126" s="1"/>
  <c r="L675" i="73"/>
  <c r="M29" i="124"/>
  <c r="DA33" i="126" s="1"/>
  <c r="AP204" i="73"/>
  <c r="AP182" i="73"/>
  <c r="M7" i="124"/>
  <c r="DA11" i="126" s="1"/>
  <c r="AP187" i="73"/>
  <c r="M11" i="124"/>
  <c r="DA15" i="126" s="1"/>
  <c r="AP191" i="73"/>
  <c r="M15" i="124"/>
  <c r="DA19" i="126" s="1"/>
  <c r="M21" i="124"/>
  <c r="DA25" i="126" s="1"/>
  <c r="AP195" i="73"/>
  <c r="AP197" i="73"/>
  <c r="M20" i="124"/>
  <c r="DA24" i="126" s="1"/>
  <c r="AQ9" i="121"/>
  <c r="AQ11" i="121"/>
  <c r="AQ7" i="121"/>
  <c r="AQ14" i="121"/>
  <c r="AQ15" i="121"/>
  <c r="AQ8" i="121"/>
  <c r="AQ10" i="121"/>
  <c r="AQ13" i="121"/>
  <c r="AQ12" i="121"/>
  <c r="AQ23" i="121"/>
  <c r="AQ25" i="121"/>
  <c r="BK11" i="126"/>
  <c r="CO33" i="126"/>
  <c r="CO34" i="126"/>
  <c r="L251" i="73"/>
  <c r="AP10" i="73"/>
  <c r="L261" i="73"/>
  <c r="AP20" i="73"/>
  <c r="L271" i="73"/>
  <c r="AP30" i="73"/>
  <c r="L328" i="73"/>
  <c r="AP40" i="73"/>
  <c r="AQ24" i="121"/>
  <c r="AS24" i="121" s="1"/>
  <c r="L422" i="73"/>
  <c r="AP90" i="73"/>
  <c r="AP100" i="73"/>
  <c r="L432" i="73" s="1"/>
  <c r="L434" i="73"/>
  <c r="AP102" i="73"/>
  <c r="AO105" i="73"/>
  <c r="K738" i="73" s="1"/>
  <c r="AO183" i="73"/>
  <c r="L6" i="124"/>
  <c r="CQ10" i="126" s="1"/>
  <c r="AO50" i="73"/>
  <c r="K338" i="73" s="1"/>
  <c r="AO184" i="73"/>
  <c r="L8" i="124"/>
  <c r="CQ12" i="126" s="1"/>
  <c r="AO188" i="73"/>
  <c r="L12" i="124"/>
  <c r="CQ16" i="126" s="1"/>
  <c r="AO194" i="73"/>
  <c r="L18" i="124"/>
  <c r="CQ22" i="126" s="1"/>
  <c r="L19" i="124"/>
  <c r="CQ23" i="126" s="1"/>
  <c r="AO196" i="73"/>
  <c r="AO198" i="73"/>
  <c r="L22" i="124"/>
  <c r="CQ26" i="126" s="1"/>
  <c r="K673" i="73"/>
  <c r="AO202" i="73"/>
  <c r="L25" i="124"/>
  <c r="CQ29" i="126" s="1"/>
  <c r="K677" i="73"/>
  <c r="AO206" i="73"/>
  <c r="L30" i="124"/>
  <c r="CQ34" i="126" s="1"/>
  <c r="AK32" i="107"/>
  <c r="G96" i="62"/>
  <c r="AS28" i="121"/>
  <c r="AF34" i="121"/>
  <c r="AO60" i="73"/>
  <c r="K348" i="73" s="1"/>
  <c r="AO120" i="73"/>
  <c r="CN10" i="126"/>
  <c r="CR10" i="126" s="1"/>
  <c r="K251" i="73"/>
  <c r="AO10" i="73"/>
  <c r="AO20" i="73"/>
  <c r="K261" i="73" s="1"/>
  <c r="K271" i="73"/>
  <c r="AO30" i="73"/>
  <c r="L17" i="124"/>
  <c r="CQ21" i="126" s="1"/>
  <c r="AO193" i="73"/>
  <c r="K672" i="73"/>
  <c r="AO201" i="73"/>
  <c r="L24" i="124"/>
  <c r="CQ28" i="126" s="1"/>
  <c r="L9" i="124"/>
  <c r="CQ13" i="126" s="1"/>
  <c r="AO185" i="73"/>
  <c r="L13" i="124"/>
  <c r="CQ17" i="126" s="1"/>
  <c r="AO189" i="73"/>
  <c r="L15" i="124"/>
  <c r="CQ19" i="126" s="1"/>
  <c r="AO191" i="73"/>
  <c r="AO197" i="73"/>
  <c r="L20" i="124"/>
  <c r="CQ24" i="126" s="1"/>
  <c r="L23" i="124"/>
  <c r="CQ27" i="126" s="1"/>
  <c r="AO199" i="73"/>
  <c r="L27" i="124"/>
  <c r="CQ31" i="126" s="1"/>
  <c r="AO203" i="73"/>
  <c r="K674" i="73" s="1"/>
  <c r="AR171" i="73"/>
  <c r="AN7" i="122"/>
  <c r="AN12" i="122"/>
  <c r="AX22" i="121"/>
  <c r="AQ32" i="122"/>
  <c r="AS14" i="121"/>
  <c r="AN16" i="122"/>
  <c r="AN20" i="122"/>
  <c r="AN21" i="122"/>
  <c r="AN24" i="122"/>
  <c r="AN27" i="122"/>
  <c r="AN31" i="122"/>
  <c r="AN8" i="122"/>
  <c r="AN18" i="122"/>
  <c r="AN13" i="122"/>
  <c r="AN15" i="122"/>
  <c r="AS23" i="121"/>
  <c r="K432" i="73"/>
  <c r="AO100" i="73"/>
  <c r="AO102" i="73"/>
  <c r="K434" i="73" s="1"/>
  <c r="CP8" i="126"/>
  <c r="CP35" i="126" s="1"/>
  <c r="CP37" i="126" s="1"/>
  <c r="R32" i="123"/>
  <c r="R34" i="123" s="1"/>
  <c r="R36" i="123" s="1"/>
  <c r="L5" i="124"/>
  <c r="CQ9" i="126" s="1"/>
  <c r="AO181" i="73"/>
  <c r="L11" i="124"/>
  <c r="CQ15" i="126" s="1"/>
  <c r="AO187" i="73"/>
  <c r="AO195" i="73"/>
  <c r="L21" i="124"/>
  <c r="CQ25" i="126" s="1"/>
  <c r="AO205" i="73"/>
  <c r="K676" i="73" s="1"/>
  <c r="L28" i="124"/>
  <c r="CQ32" i="126" s="1"/>
  <c r="AN17" i="122"/>
  <c r="AH35" i="121"/>
  <c r="CN36" i="126" s="1"/>
  <c r="V32" i="65"/>
  <c r="AP37" i="121"/>
  <c r="AU37" i="121" s="1"/>
  <c r="AE34" i="122"/>
  <c r="CO36" i="126" s="1"/>
  <c r="W32" i="65"/>
  <c r="L4" i="124"/>
  <c r="AO180" i="73"/>
  <c r="AO182" i="73"/>
  <c r="L7" i="124"/>
  <c r="CQ11" i="126" s="1"/>
  <c r="AO186" i="73"/>
  <c r="L10" i="124"/>
  <c r="CQ14" i="126" s="1"/>
  <c r="AO190" i="73"/>
  <c r="K661" i="73" s="1"/>
  <c r="L16" i="124"/>
  <c r="CQ20" i="126" s="1"/>
  <c r="AO192" i="73"/>
  <c r="L14" i="124"/>
  <c r="CQ18" i="126" s="1"/>
  <c r="AO200" i="73"/>
  <c r="K671" i="73" s="1"/>
  <c r="L26" i="124"/>
  <c r="CQ30" i="126" s="1"/>
  <c r="AO204" i="73"/>
  <c r="K675" i="73" s="1"/>
  <c r="L29" i="124"/>
  <c r="CQ33" i="126" s="1"/>
  <c r="AX27" i="121"/>
  <c r="CE26" i="126"/>
  <c r="CE29" i="126"/>
  <c r="CE34" i="126"/>
  <c r="AC33" i="122"/>
  <c r="AD33" i="122"/>
  <c r="AD35" i="122" s="1"/>
  <c r="AD37" i="122" s="1"/>
  <c r="CO8" i="126"/>
  <c r="CO11" i="126"/>
  <c r="CO12" i="126"/>
  <c r="AO90" i="73"/>
  <c r="K422" i="73" s="1"/>
  <c r="CO32" i="126"/>
  <c r="AN32" i="122"/>
  <c r="AO130" i="73"/>
  <c r="K509" i="73" s="1"/>
  <c r="AO150" i="73"/>
  <c r="K574" i="73" s="1"/>
  <c r="K584" i="73"/>
  <c r="AO160" i="73"/>
  <c r="AO170" i="73"/>
  <c r="K594" i="73" s="1"/>
  <c r="AN11" i="122"/>
  <c r="AN19" i="122"/>
  <c r="AN23" i="122"/>
  <c r="AN22" i="122"/>
  <c r="AN25" i="122"/>
  <c r="AN26" i="122"/>
  <c r="AN29" i="122"/>
  <c r="AS31" i="121"/>
  <c r="AQ30" i="122"/>
  <c r="AN10" i="122"/>
  <c r="AN6" i="122"/>
  <c r="AN14" i="122"/>
  <c r="AS21" i="121"/>
  <c r="AQ36" i="122"/>
  <c r="AH34" i="121"/>
  <c r="AO40" i="73"/>
  <c r="K328" i="73" s="1"/>
  <c r="AO80" i="73"/>
  <c r="K412" i="73" s="1"/>
  <c r="AO101" i="73"/>
  <c r="K433" i="73" s="1"/>
  <c r="AO36" i="122"/>
  <c r="CN8" i="126"/>
  <c r="AG34" i="121"/>
  <c r="AG36" i="121" s="1"/>
  <c r="AG38" i="121" s="1"/>
  <c r="CN9" i="126"/>
  <c r="CR9" i="126" s="1"/>
  <c r="L8" i="125"/>
  <c r="CN11" i="126"/>
  <c r="L10" i="125"/>
  <c r="CN12" i="126"/>
  <c r="CR12" i="126" s="1"/>
  <c r="CN13" i="126"/>
  <c r="L12" i="125"/>
  <c r="CN14" i="126"/>
  <c r="CR14" i="126" s="1"/>
  <c r="L13" i="125"/>
  <c r="CN15" i="126"/>
  <c r="L14" i="125"/>
  <c r="CN16" i="126"/>
  <c r="CR16" i="126" s="1"/>
  <c r="L15" i="125"/>
  <c r="CN17" i="126"/>
  <c r="CR17" i="126" s="1"/>
  <c r="L16" i="125"/>
  <c r="CN20" i="126"/>
  <c r="CR20" i="126" s="1"/>
  <c r="CN19" i="126"/>
  <c r="L18" i="125"/>
  <c r="CN18" i="126"/>
  <c r="CR18" i="126" s="1"/>
  <c r="L17" i="125"/>
  <c r="CN21" i="126"/>
  <c r="L20" i="125"/>
  <c r="CN22" i="126"/>
  <c r="CR22" i="126" s="1"/>
  <c r="CN25" i="126"/>
  <c r="CR25" i="126" s="1"/>
  <c r="L24" i="125"/>
  <c r="CN23" i="126"/>
  <c r="CR23" i="126" s="1"/>
  <c r="L22" i="125"/>
  <c r="CN24" i="126"/>
  <c r="CR24" i="126" s="1"/>
  <c r="L23" i="125"/>
  <c r="CN26" i="126"/>
  <c r="CR26" i="126" s="1"/>
  <c r="CN27" i="126"/>
  <c r="L26" i="125"/>
  <c r="CN30" i="126"/>
  <c r="CR30" i="126" s="1"/>
  <c r="L29" i="125"/>
  <c r="CN28" i="126"/>
  <c r="L27" i="125"/>
  <c r="CN29" i="126"/>
  <c r="CR29" i="126" s="1"/>
  <c r="CN31" i="126"/>
  <c r="CR31" i="126" s="1"/>
  <c r="L30" i="125"/>
  <c r="CN33" i="126"/>
  <c r="CR33" i="126" s="1"/>
  <c r="CN32" i="126"/>
  <c r="L31" i="125"/>
  <c r="CN34" i="126"/>
  <c r="CR34" i="126" s="1"/>
  <c r="L33" i="125"/>
  <c r="AF35" i="121"/>
  <c r="T32" i="65"/>
  <c r="AN181" i="73"/>
  <c r="K5" i="124"/>
  <c r="CG9" i="126" s="1"/>
  <c r="AN183" i="73"/>
  <c r="K6" i="124"/>
  <c r="CG10" i="126" s="1"/>
  <c r="AN185" i="73"/>
  <c r="K9" i="124"/>
  <c r="CG13" i="126" s="1"/>
  <c r="AN191" i="73"/>
  <c r="K15" i="124"/>
  <c r="CG19" i="126" s="1"/>
  <c r="AN193" i="73"/>
  <c r="K17" i="124"/>
  <c r="CG21" i="126" s="1"/>
  <c r="AN197" i="73"/>
  <c r="K20" i="124"/>
  <c r="CG24" i="126" s="1"/>
  <c r="AN60" i="73"/>
  <c r="J348" i="73" s="1"/>
  <c r="AN203" i="73"/>
  <c r="J674" i="73" s="1"/>
  <c r="K27" i="124"/>
  <c r="CG31" i="126" s="1"/>
  <c r="AQ7" i="122"/>
  <c r="AX9" i="121"/>
  <c r="AX11" i="121"/>
  <c r="AQ12" i="122"/>
  <c r="AX7" i="121"/>
  <c r="AX14" i="121"/>
  <c r="AX15" i="121"/>
  <c r="AQ16" i="122"/>
  <c r="AQ20" i="122"/>
  <c r="AQ21" i="122"/>
  <c r="AQ24" i="122"/>
  <c r="AQ27" i="122"/>
  <c r="AQ31" i="122"/>
  <c r="AX8" i="121"/>
  <c r="AX10" i="121"/>
  <c r="AQ8" i="122"/>
  <c r="AX13" i="121"/>
  <c r="AQ18" i="122"/>
  <c r="AX12" i="121"/>
  <c r="AQ13" i="122"/>
  <c r="AQ15" i="122"/>
  <c r="AX23" i="121"/>
  <c r="AX25" i="121"/>
  <c r="BK10" i="126"/>
  <c r="BK15" i="126"/>
  <c r="BK19" i="126"/>
  <c r="BK25" i="126"/>
  <c r="AA33" i="122"/>
  <c r="AE34" i="121"/>
  <c r="AE36" i="121" s="1"/>
  <c r="AE38" i="121" s="1"/>
  <c r="CD8" i="126"/>
  <c r="CD9" i="126"/>
  <c r="CH9" i="126" s="1"/>
  <c r="CD11" i="126"/>
  <c r="CD10" i="126"/>
  <c r="CD12" i="126"/>
  <c r="CD13" i="126"/>
  <c r="K12" i="125"/>
  <c r="CD14" i="126"/>
  <c r="CD15" i="126"/>
  <c r="CD16" i="126"/>
  <c r="CD17" i="126"/>
  <c r="CD20" i="126"/>
  <c r="CD19" i="126"/>
  <c r="CD18" i="126"/>
  <c r="CD21" i="126"/>
  <c r="K20" i="125"/>
  <c r="CD22" i="126"/>
  <c r="CD25" i="126"/>
  <c r="CD23" i="126"/>
  <c r="CD24" i="126"/>
  <c r="CD26" i="126"/>
  <c r="CD27" i="126"/>
  <c r="CD30" i="126"/>
  <c r="CD28" i="126"/>
  <c r="CD29" i="126"/>
  <c r="CD31" i="126"/>
  <c r="CH31" i="126" s="1"/>
  <c r="K30" i="125"/>
  <c r="CD33" i="126"/>
  <c r="CD32" i="126"/>
  <c r="CD34" i="126"/>
  <c r="AN50" i="73"/>
  <c r="J338" i="73" s="1"/>
  <c r="AB33" i="122"/>
  <c r="AB35" i="122" s="1"/>
  <c r="AB37" i="122" s="1"/>
  <c r="J412" i="73"/>
  <c r="AN80" i="73"/>
  <c r="AN90" i="73"/>
  <c r="J422" i="73" s="1"/>
  <c r="AN130" i="73"/>
  <c r="J509" i="73" s="1"/>
  <c r="AN205" i="73"/>
  <c r="J676" i="73" s="1"/>
  <c r="K28" i="124"/>
  <c r="CG32" i="126" s="1"/>
  <c r="AN184" i="73"/>
  <c r="K8" i="124"/>
  <c r="CG12" i="126" s="1"/>
  <c r="AN186" i="73"/>
  <c r="K10" i="124"/>
  <c r="CG14" i="126" s="1"/>
  <c r="AN105" i="73"/>
  <c r="J738" i="73" s="1"/>
  <c r="AN192" i="73"/>
  <c r="K14" i="124"/>
  <c r="CG18" i="126" s="1"/>
  <c r="AN194" i="73"/>
  <c r="K18" i="124"/>
  <c r="CG22" i="126" s="1"/>
  <c r="K22" i="124"/>
  <c r="CG26" i="126" s="1"/>
  <c r="AN198" i="73"/>
  <c r="AN204" i="73"/>
  <c r="J675" i="73" s="1"/>
  <c r="K29" i="124"/>
  <c r="CG33" i="126" s="1"/>
  <c r="AN10" i="73"/>
  <c r="J251" i="73" s="1"/>
  <c r="AN20" i="73"/>
  <c r="J261" i="73" s="1"/>
  <c r="AN30" i="73"/>
  <c r="J271" i="73" s="1"/>
  <c r="AX26" i="121"/>
  <c r="AN101" i="73"/>
  <c r="J433" i="73" s="1"/>
  <c r="K30" i="124"/>
  <c r="CG34" i="126" s="1"/>
  <c r="AN206" i="73"/>
  <c r="J677" i="73" s="1"/>
  <c r="AN187" i="73"/>
  <c r="K11" i="124"/>
  <c r="CG15" i="126" s="1"/>
  <c r="AN189" i="73"/>
  <c r="K13" i="124"/>
  <c r="CG17" i="126" s="1"/>
  <c r="K21" i="124"/>
  <c r="CG25" i="126" s="1"/>
  <c r="AN195" i="73"/>
  <c r="AN199" i="73"/>
  <c r="K23" i="124"/>
  <c r="CG27" i="126" s="1"/>
  <c r="AN201" i="73"/>
  <c r="J672" i="73" s="1"/>
  <c r="K24" i="124"/>
  <c r="CG28" i="126" s="1"/>
  <c r="AX19" i="121"/>
  <c r="AQ17" i="122"/>
  <c r="AQ11" i="122"/>
  <c r="AQ19" i="122"/>
  <c r="AQ23" i="122"/>
  <c r="AQ22" i="122"/>
  <c r="AQ25" i="122"/>
  <c r="AQ26" i="122"/>
  <c r="AQ29" i="122"/>
  <c r="AX31" i="121"/>
  <c r="AX33" i="121"/>
  <c r="R34" i="121"/>
  <c r="AQ10" i="122"/>
  <c r="AQ6" i="122"/>
  <c r="AQ14" i="122"/>
  <c r="AX20" i="121"/>
  <c r="AX21" i="121"/>
  <c r="BK34" i="126"/>
  <c r="CF8" i="126"/>
  <c r="CF35" i="126" s="1"/>
  <c r="CF37" i="126" s="1"/>
  <c r="Q32" i="123"/>
  <c r="Q34" i="123" s="1"/>
  <c r="Q36" i="123" s="1"/>
  <c r="AX29" i="121"/>
  <c r="CE33" i="126"/>
  <c r="J499" i="73"/>
  <c r="AN120" i="73"/>
  <c r="CD36" i="126"/>
  <c r="AC34" i="122"/>
  <c r="U32" i="65"/>
  <c r="AN180" i="73"/>
  <c r="K4" i="124"/>
  <c r="K7" i="125" s="1"/>
  <c r="AN182" i="73"/>
  <c r="K7" i="124"/>
  <c r="CG11" i="126" s="1"/>
  <c r="AN188" i="73"/>
  <c r="K12" i="124"/>
  <c r="CG16" i="126" s="1"/>
  <c r="AN190" i="73"/>
  <c r="J661" i="73" s="1"/>
  <c r="K16" i="124"/>
  <c r="CG20" i="126" s="1"/>
  <c r="AN196" i="73"/>
  <c r="K19" i="124"/>
  <c r="CG23" i="126" s="1"/>
  <c r="AN200" i="73"/>
  <c r="J671" i="73" s="1"/>
  <c r="K26" i="124"/>
  <c r="CG30" i="126" s="1"/>
  <c r="K25" i="124"/>
  <c r="CG29" i="126" s="1"/>
  <c r="AN202" i="73"/>
  <c r="J673" i="73" s="1"/>
  <c r="AX28" i="121"/>
  <c r="AX30" i="121"/>
  <c r="AX32" i="121"/>
  <c r="AN150" i="73"/>
  <c r="J574" i="73" s="1"/>
  <c r="AN160" i="73"/>
  <c r="J584" i="73" s="1"/>
  <c r="AN170" i="73"/>
  <c r="J594" i="73" s="1"/>
  <c r="AF36" i="121"/>
  <c r="AF38" i="121" s="1"/>
  <c r="AN40" i="73"/>
  <c r="J328" i="73" s="1"/>
  <c r="AX24" i="121"/>
  <c r="AN100" i="73"/>
  <c r="J432" i="73" s="1"/>
  <c r="AN102" i="73"/>
  <c r="J434" i="73" s="1"/>
  <c r="J8" i="124"/>
  <c r="BW12" i="126" s="1"/>
  <c r="AM184" i="73"/>
  <c r="AM202" i="73"/>
  <c r="I673" i="73" s="1"/>
  <c r="J25" i="124"/>
  <c r="BW29" i="126" s="1"/>
  <c r="AT37" i="121"/>
  <c r="AM182" i="73"/>
  <c r="J7" i="124"/>
  <c r="BW11" i="126" s="1"/>
  <c r="AM194" i="73"/>
  <c r="J18" i="124"/>
  <c r="BW22" i="126" s="1"/>
  <c r="AM206" i="73"/>
  <c r="I677" i="73" s="1"/>
  <c r="J30" i="124"/>
  <c r="BW34" i="126" s="1"/>
  <c r="G34" i="62"/>
  <c r="AS9" i="121"/>
  <c r="AS11" i="121"/>
  <c r="L23" i="126"/>
  <c r="G65" i="62"/>
  <c r="R10" i="118"/>
  <c r="H40" i="125" s="1"/>
  <c r="AA34" i="122"/>
  <c r="BU36" i="126" s="1"/>
  <c r="S32" i="65"/>
  <c r="AM186" i="73"/>
  <c r="J10" i="124"/>
  <c r="BW14" i="126" s="1"/>
  <c r="AM198" i="73"/>
  <c r="J22" i="124"/>
  <c r="BW26" i="126" s="1"/>
  <c r="F65" i="62"/>
  <c r="AK161" i="73"/>
  <c r="X32" i="111"/>
  <c r="L28" i="126"/>
  <c r="AM190" i="73"/>
  <c r="I661" i="73" s="1"/>
  <c r="J16" i="124"/>
  <c r="BW20" i="126" s="1"/>
  <c r="AM200" i="73"/>
  <c r="I671" i="73" s="1"/>
  <c r="J26" i="124"/>
  <c r="BW30" i="126" s="1"/>
  <c r="J4" i="124"/>
  <c r="AM180" i="73"/>
  <c r="I651" i="73" s="1"/>
  <c r="J12" i="124"/>
  <c r="BW16" i="126" s="1"/>
  <c r="AM188" i="73"/>
  <c r="AM192" i="73"/>
  <c r="J14" i="124"/>
  <c r="BW18" i="126" s="1"/>
  <c r="J19" i="124"/>
  <c r="BW23" i="126" s="1"/>
  <c r="AM196" i="73"/>
  <c r="J29" i="124"/>
  <c r="BW33" i="126" s="1"/>
  <c r="AM204" i="73"/>
  <c r="I675" i="73" s="1"/>
  <c r="R12" i="118"/>
  <c r="J40" i="125" s="1"/>
  <c r="AH6" i="106"/>
  <c r="M6" i="119"/>
  <c r="T32" i="113"/>
  <c r="AM181" i="73"/>
  <c r="J5" i="124"/>
  <c r="BW9" i="126" s="1"/>
  <c r="AM183" i="73"/>
  <c r="J6" i="124"/>
  <c r="BW10" i="126" s="1"/>
  <c r="AM189" i="73"/>
  <c r="J13" i="124"/>
  <c r="BW17" i="126" s="1"/>
  <c r="AM193" i="73"/>
  <c r="J17" i="124"/>
  <c r="BW21" i="126" s="1"/>
  <c r="J20" i="124"/>
  <c r="BW24" i="126" s="1"/>
  <c r="AM197" i="73"/>
  <c r="AM199" i="73"/>
  <c r="J23" i="124"/>
  <c r="BW27" i="126" s="1"/>
  <c r="I676" i="73"/>
  <c r="J28" i="124"/>
  <c r="BW32" i="126" s="1"/>
  <c r="AM205" i="73"/>
  <c r="AM105" i="73"/>
  <c r="I738" i="73" s="1"/>
  <c r="AI32" i="107"/>
  <c r="AG103" i="73"/>
  <c r="AM120" i="73"/>
  <c r="I499" i="73" s="1"/>
  <c r="BT8" i="126"/>
  <c r="AC34" i="121"/>
  <c r="AC36" i="121" s="1"/>
  <c r="AC38" i="121" s="1"/>
  <c r="BT9" i="126"/>
  <c r="BT11" i="126"/>
  <c r="BT10" i="126"/>
  <c r="J11" i="125"/>
  <c r="BT12" i="126"/>
  <c r="BT13" i="126"/>
  <c r="BT14" i="126"/>
  <c r="BT15" i="126"/>
  <c r="J15" i="125"/>
  <c r="BT16" i="126"/>
  <c r="BT17" i="126"/>
  <c r="J19" i="125"/>
  <c r="BT20" i="126"/>
  <c r="BT19" i="126"/>
  <c r="BT18" i="126"/>
  <c r="BT21" i="126"/>
  <c r="BT22" i="126"/>
  <c r="J21" i="125"/>
  <c r="BT25" i="126"/>
  <c r="BT23" i="126"/>
  <c r="J22" i="125"/>
  <c r="BT24" i="126"/>
  <c r="BT26" i="126"/>
  <c r="J25" i="125"/>
  <c r="BT27" i="126"/>
  <c r="BT30" i="126"/>
  <c r="BT28" i="126"/>
  <c r="BT29" i="126"/>
  <c r="J28" i="125"/>
  <c r="BT31" i="126"/>
  <c r="BT33" i="126"/>
  <c r="BT32" i="126"/>
  <c r="BT34" i="126"/>
  <c r="G62" i="119"/>
  <c r="T62" i="119" s="1"/>
  <c r="AM101" i="73"/>
  <c r="I433" i="73" s="1"/>
  <c r="AM40" i="73"/>
  <c r="I328" i="73" s="1"/>
  <c r="AM50" i="73"/>
  <c r="I338" i="73" s="1"/>
  <c r="BU8" i="126"/>
  <c r="Z33" i="122"/>
  <c r="Z35" i="122" s="1"/>
  <c r="Z37" i="122" s="1"/>
  <c r="BU11" i="126"/>
  <c r="BU12" i="126"/>
  <c r="BU14" i="126"/>
  <c r="BU16" i="126"/>
  <c r="BU20" i="126"/>
  <c r="BU18" i="126"/>
  <c r="BU22" i="126"/>
  <c r="BU23" i="126"/>
  <c r="BU26" i="126"/>
  <c r="BU30" i="126"/>
  <c r="BU29" i="126"/>
  <c r="BU33" i="126"/>
  <c r="BU34" i="126"/>
  <c r="AS25" i="121"/>
  <c r="BK22" i="126"/>
  <c r="AA35" i="122"/>
  <c r="AA37" i="122" s="1"/>
  <c r="AM130" i="73"/>
  <c r="I509" i="73" s="1"/>
  <c r="AM10" i="73"/>
  <c r="I251" i="73" s="1"/>
  <c r="AM20" i="73"/>
  <c r="I261" i="73" s="1"/>
  <c r="AM30" i="73"/>
  <c r="I271" i="73" s="1"/>
  <c r="M40" i="125"/>
  <c r="T13" i="118"/>
  <c r="AD35" i="121"/>
  <c r="R32" i="65"/>
  <c r="Q29" i="119"/>
  <c r="T29" i="119" s="1"/>
  <c r="T27" i="66" s="1"/>
  <c r="AW27" i="66" s="1"/>
  <c r="AR76" i="73"/>
  <c r="AM185" i="73"/>
  <c r="J9" i="124"/>
  <c r="BW13" i="126" s="1"/>
  <c r="AM187" i="73"/>
  <c r="J11" i="124"/>
  <c r="BW15" i="126" s="1"/>
  <c r="AM191" i="73"/>
  <c r="J15" i="124"/>
  <c r="BW19" i="126" s="1"/>
  <c r="AM195" i="73"/>
  <c r="J21" i="124"/>
  <c r="BW25" i="126" s="1"/>
  <c r="J24" i="124"/>
  <c r="BW28" i="126" s="1"/>
  <c r="AM201" i="73"/>
  <c r="I672" i="73" s="1"/>
  <c r="AM203" i="73"/>
  <c r="I674" i="73" s="1"/>
  <c r="J27" i="124"/>
  <c r="BW31" i="126" s="1"/>
  <c r="AM124" i="73"/>
  <c r="AM137" i="73" s="1"/>
  <c r="Y34" i="62"/>
  <c r="BV8" i="126"/>
  <c r="BV35" i="126" s="1"/>
  <c r="BV37" i="126" s="1"/>
  <c r="P32" i="123"/>
  <c r="P34" i="123" s="1"/>
  <c r="P36" i="123" s="1"/>
  <c r="I348" i="73"/>
  <c r="AM60" i="73"/>
  <c r="AM80" i="73"/>
  <c r="AM90" i="73"/>
  <c r="I422" i="73" s="1"/>
  <c r="AM100" i="73"/>
  <c r="I432" i="73" s="1"/>
  <c r="AM102" i="73"/>
  <c r="I434" i="73" s="1"/>
  <c r="Y67" i="113"/>
  <c r="AS19" i="121"/>
  <c r="AS20" i="121"/>
  <c r="BK33" i="126"/>
  <c r="AS29" i="121"/>
  <c r="AM150" i="73"/>
  <c r="I574" i="73" s="1"/>
  <c r="AM160" i="73"/>
  <c r="I584" i="73" s="1"/>
  <c r="AM170" i="73"/>
  <c r="I594" i="73" s="1"/>
  <c r="BU9" i="126"/>
  <c r="BU10" i="126"/>
  <c r="BU13" i="126"/>
  <c r="BU15" i="126"/>
  <c r="BU17" i="126"/>
  <c r="BU19" i="126"/>
  <c r="BU21" i="126"/>
  <c r="BU25" i="126"/>
  <c r="BU24" i="126"/>
  <c r="BU27" i="126"/>
  <c r="BU28" i="126"/>
  <c r="BU31" i="126"/>
  <c r="BU32" i="126"/>
  <c r="AG23" i="126"/>
  <c r="AG30" i="126"/>
  <c r="AG33" i="126"/>
  <c r="J84" i="119"/>
  <c r="Y34" i="122"/>
  <c r="BK36" i="126" s="1"/>
  <c r="Q32" i="65"/>
  <c r="AL189" i="73"/>
  <c r="I13" i="124"/>
  <c r="BM17" i="126" s="1"/>
  <c r="AL204" i="73"/>
  <c r="H675" i="73" s="1"/>
  <c r="I29" i="124"/>
  <c r="BM33" i="126" s="1"/>
  <c r="AL188" i="73"/>
  <c r="I12" i="124"/>
  <c r="BM16" i="126" s="1"/>
  <c r="AL203" i="73"/>
  <c r="H674" i="73" s="1"/>
  <c r="I27" i="124"/>
  <c r="BM31" i="126" s="1"/>
  <c r="AL191" i="73"/>
  <c r="I15" i="124"/>
  <c r="BM19" i="126" s="1"/>
  <c r="AL182" i="73"/>
  <c r="I7" i="124"/>
  <c r="BM11" i="126" s="1"/>
  <c r="AL201" i="73"/>
  <c r="H672" i="73" s="1"/>
  <c r="I24" i="124"/>
  <c r="BM28" i="126" s="1"/>
  <c r="AL105" i="73"/>
  <c r="H738" i="73" s="1"/>
  <c r="AL180" i="73"/>
  <c r="I4" i="124"/>
  <c r="I7" i="125" s="1"/>
  <c r="C24" i="125"/>
  <c r="C26" i="125"/>
  <c r="C27" i="125"/>
  <c r="BJ9" i="126"/>
  <c r="BJ13" i="126"/>
  <c r="BJ17" i="126"/>
  <c r="BJ21" i="126"/>
  <c r="BJ24" i="126"/>
  <c r="AL60" i="73"/>
  <c r="H348" i="73" s="1"/>
  <c r="BL35" i="126"/>
  <c r="BL37" i="126" s="1"/>
  <c r="AL150" i="73"/>
  <c r="H574" i="73" s="1"/>
  <c r="AB34" i="121"/>
  <c r="AL20" i="73"/>
  <c r="H261" i="73" s="1"/>
  <c r="AL50" i="73"/>
  <c r="H338" i="73" s="1"/>
  <c r="AL30" i="73"/>
  <c r="H271" i="73" s="1"/>
  <c r="AL181" i="73"/>
  <c r="I5" i="124"/>
  <c r="BM9" i="126" s="1"/>
  <c r="AL193" i="73"/>
  <c r="I17" i="124"/>
  <c r="BM21" i="126" s="1"/>
  <c r="AL192" i="73"/>
  <c r="I14" i="124"/>
  <c r="BM18" i="126" s="1"/>
  <c r="AL195" i="73"/>
  <c r="I21" i="124"/>
  <c r="BM25" i="126" s="1"/>
  <c r="AL186" i="73"/>
  <c r="I10" i="124"/>
  <c r="BM14" i="126" s="1"/>
  <c r="AL205" i="73"/>
  <c r="H676" i="73" s="1"/>
  <c r="I28" i="124"/>
  <c r="BM32" i="126" s="1"/>
  <c r="AL10" i="73"/>
  <c r="H251" i="73" s="1"/>
  <c r="BK29" i="126"/>
  <c r="AL170" i="73"/>
  <c r="H594" i="73" s="1"/>
  <c r="AA34" i="121"/>
  <c r="AA36" i="121" s="1"/>
  <c r="AA38" i="121" s="1"/>
  <c r="BJ8" i="126"/>
  <c r="BJ12" i="126"/>
  <c r="BJ16" i="126"/>
  <c r="BJ18" i="126"/>
  <c r="AL90" i="73"/>
  <c r="H422" i="73" s="1"/>
  <c r="BJ23" i="126"/>
  <c r="BK8" i="126"/>
  <c r="X33" i="122"/>
  <c r="X35" i="122" s="1"/>
  <c r="X37" i="122" s="1"/>
  <c r="BK12" i="126"/>
  <c r="BK16" i="126"/>
  <c r="BK18" i="126"/>
  <c r="AL160" i="73"/>
  <c r="H584" i="73" s="1"/>
  <c r="BK23" i="126"/>
  <c r="AB35" i="121"/>
  <c r="P32" i="65"/>
  <c r="AL197" i="73"/>
  <c r="I20" i="124"/>
  <c r="BM24" i="126" s="1"/>
  <c r="AL196" i="73"/>
  <c r="I19" i="124"/>
  <c r="BM23" i="126" s="1"/>
  <c r="AL183" i="73"/>
  <c r="I6" i="124"/>
  <c r="BM10" i="126" s="1"/>
  <c r="AL202" i="73"/>
  <c r="H673" i="73" s="1"/>
  <c r="I25" i="124"/>
  <c r="BM29" i="126" s="1"/>
  <c r="AL190" i="73"/>
  <c r="H661" i="73" s="1"/>
  <c r="I16" i="124"/>
  <c r="BM20" i="126" s="1"/>
  <c r="Y33" i="122"/>
  <c r="BJ30" i="126"/>
  <c r="I32" i="125"/>
  <c r="BJ33" i="126"/>
  <c r="AL102" i="73"/>
  <c r="H434" i="73" s="1"/>
  <c r="BJ27" i="126"/>
  <c r="BJ31" i="126"/>
  <c r="AL101" i="73"/>
  <c r="H433" i="73" s="1"/>
  <c r="BK9" i="126"/>
  <c r="BK13" i="126"/>
  <c r="BK17" i="126"/>
  <c r="AL120" i="73"/>
  <c r="H499" i="73" s="1"/>
  <c r="BK21" i="126"/>
  <c r="BK24" i="126"/>
  <c r="BK30" i="126"/>
  <c r="BJ11" i="126"/>
  <c r="AL80" i="73"/>
  <c r="H412" i="73" s="1"/>
  <c r="BJ14" i="126"/>
  <c r="BJ20" i="126"/>
  <c r="BJ22" i="126"/>
  <c r="BJ26" i="126"/>
  <c r="BK27" i="126"/>
  <c r="AL130" i="73"/>
  <c r="H509" i="73" s="1"/>
  <c r="BK31" i="126"/>
  <c r="AL185" i="73"/>
  <c r="I9" i="124"/>
  <c r="BM13" i="126" s="1"/>
  <c r="AL200" i="73"/>
  <c r="H671" i="73" s="1"/>
  <c r="I26" i="124"/>
  <c r="AL184" i="73"/>
  <c r="I8" i="124"/>
  <c r="BM12" i="126" s="1"/>
  <c r="AL199" i="73"/>
  <c r="I23" i="124"/>
  <c r="BM27" i="126" s="1"/>
  <c r="AL187" i="73"/>
  <c r="I11" i="124"/>
  <c r="BM15" i="126" s="1"/>
  <c r="AL206" i="73"/>
  <c r="H677" i="73" s="1"/>
  <c r="I30" i="124"/>
  <c r="BM34" i="126" s="1"/>
  <c r="AL194" i="73"/>
  <c r="I18" i="124"/>
  <c r="BM22" i="126" s="1"/>
  <c r="AG11" i="126"/>
  <c r="AG14" i="126"/>
  <c r="AG20" i="126"/>
  <c r="AQ30" i="126"/>
  <c r="O32" i="123"/>
  <c r="O34" i="123" s="1"/>
  <c r="O36" i="123" s="1"/>
  <c r="AL40" i="73"/>
  <c r="H328" i="73" s="1"/>
  <c r="BJ10" i="126"/>
  <c r="BJ15" i="126"/>
  <c r="BJ19" i="126"/>
  <c r="BJ25" i="126"/>
  <c r="BJ29" i="126"/>
  <c r="AL100" i="73"/>
  <c r="H432" i="73" s="1"/>
  <c r="BJ34" i="126"/>
  <c r="BJ28" i="126"/>
  <c r="BJ32" i="126"/>
  <c r="K90" i="119"/>
  <c r="G4" i="124"/>
  <c r="G7" i="125" s="1"/>
  <c r="AJ180" i="73"/>
  <c r="F651" i="73" s="1"/>
  <c r="G19" i="124"/>
  <c r="AS23" i="126" s="1"/>
  <c r="AJ196" i="73"/>
  <c r="W34" i="122"/>
  <c r="BA36" i="126" s="1"/>
  <c r="O32" i="65"/>
  <c r="G6" i="124"/>
  <c r="AS10" i="126" s="1"/>
  <c r="AJ183" i="73"/>
  <c r="G23" i="124"/>
  <c r="AS27" i="126" s="1"/>
  <c r="AJ199" i="73"/>
  <c r="G17" i="124"/>
  <c r="AS21" i="126" s="1"/>
  <c r="AJ193" i="73"/>
  <c r="G10" i="124"/>
  <c r="AS14" i="126" s="1"/>
  <c r="AJ186" i="73"/>
  <c r="G25" i="124"/>
  <c r="AS29" i="126" s="1"/>
  <c r="AJ202" i="73"/>
  <c r="F673" i="73" s="1"/>
  <c r="G20" i="124"/>
  <c r="AS24" i="126" s="1"/>
  <c r="AJ197" i="73"/>
  <c r="U32" i="110"/>
  <c r="AJ43" i="73"/>
  <c r="U33" i="122"/>
  <c r="AK188" i="73"/>
  <c r="H12" i="124"/>
  <c r="BC16" i="126" s="1"/>
  <c r="BD16" i="126" s="1"/>
  <c r="C9" i="126"/>
  <c r="B10" i="126"/>
  <c r="B12" i="126"/>
  <c r="Q34" i="121"/>
  <c r="D7" i="125"/>
  <c r="L8" i="126"/>
  <c r="H11" i="124"/>
  <c r="AK187" i="73"/>
  <c r="C18" i="126"/>
  <c r="C22" i="126"/>
  <c r="C23" i="126"/>
  <c r="F23" i="126" s="1"/>
  <c r="C26" i="126"/>
  <c r="C30" i="126"/>
  <c r="F30" i="126" s="1"/>
  <c r="C29" i="126"/>
  <c r="C33" i="126"/>
  <c r="W33" i="122"/>
  <c r="AK186" i="73"/>
  <c r="H10" i="124"/>
  <c r="BC14" i="126" s="1"/>
  <c r="M8" i="126"/>
  <c r="N33" i="122"/>
  <c r="N35" i="122" s="1"/>
  <c r="N37" i="122" s="1"/>
  <c r="BA11" i="126"/>
  <c r="AZ12" i="126"/>
  <c r="AK185" i="73"/>
  <c r="H9" i="124"/>
  <c r="BC13" i="126" s="1"/>
  <c r="BD13" i="126" s="1"/>
  <c r="C17" i="125"/>
  <c r="B18" i="126"/>
  <c r="B21" i="126"/>
  <c r="C20" i="125"/>
  <c r="C21" i="125"/>
  <c r="B22" i="126"/>
  <c r="B24" i="126"/>
  <c r="C23" i="125"/>
  <c r="B26" i="126"/>
  <c r="C25" i="125"/>
  <c r="C28" i="125"/>
  <c r="B29" i="126"/>
  <c r="AS30" i="121"/>
  <c r="B31" i="126"/>
  <c r="C30" i="125"/>
  <c r="AS32" i="121"/>
  <c r="B33" i="126"/>
  <c r="L33" i="123"/>
  <c r="AH36" i="126" s="1"/>
  <c r="D32" i="65"/>
  <c r="P35" i="121"/>
  <c r="E32" i="65"/>
  <c r="M34" i="122"/>
  <c r="AI16" i="106"/>
  <c r="AF16" i="73" s="1"/>
  <c r="O18" i="121"/>
  <c r="AQ18" i="121" s="1"/>
  <c r="U34" i="122"/>
  <c r="AQ36" i="126" s="1"/>
  <c r="M32" i="65"/>
  <c r="G8" i="124"/>
  <c r="AS12" i="126" s="1"/>
  <c r="AJ184" i="73"/>
  <c r="G26" i="124"/>
  <c r="AS30" i="126" s="1"/>
  <c r="AJ200" i="73"/>
  <c r="F671" i="73" s="1"/>
  <c r="G11" i="124"/>
  <c r="AS15" i="126" s="1"/>
  <c r="AJ187" i="73"/>
  <c r="G27" i="124"/>
  <c r="AS31" i="126" s="1"/>
  <c r="AJ203" i="73"/>
  <c r="F674" i="73" s="1"/>
  <c r="G24" i="124"/>
  <c r="AS28" i="126" s="1"/>
  <c r="AJ201" i="73"/>
  <c r="F672" i="73" s="1"/>
  <c r="AK30" i="73"/>
  <c r="G271" i="73" s="1"/>
  <c r="G16" i="124"/>
  <c r="AS20" i="126" s="1"/>
  <c r="AJ190" i="73"/>
  <c r="G30" i="124"/>
  <c r="AS34" i="126" s="1"/>
  <c r="AJ206" i="73"/>
  <c r="F677" i="73" s="1"/>
  <c r="O8" i="126"/>
  <c r="O35" i="126" s="1"/>
  <c r="D31" i="124"/>
  <c r="AR149" i="73"/>
  <c r="AR153" i="73"/>
  <c r="AQ13" i="126"/>
  <c r="AQ21" i="126"/>
  <c r="AQ28" i="126"/>
  <c r="AQ10" i="126"/>
  <c r="AQ19" i="126"/>
  <c r="AQ27" i="126"/>
  <c r="AK101" i="73"/>
  <c r="G433" i="73" s="1"/>
  <c r="AK130" i="73"/>
  <c r="G509" i="73" s="1"/>
  <c r="AK80" i="73"/>
  <c r="G412" i="73" s="1"/>
  <c r="AK150" i="73"/>
  <c r="G574" i="73" s="1"/>
  <c r="Z34" i="121"/>
  <c r="AK192" i="73"/>
  <c r="H14" i="124"/>
  <c r="BC18" i="126" s="1"/>
  <c r="BD18" i="126" s="1"/>
  <c r="AZ25" i="126"/>
  <c r="AK196" i="73"/>
  <c r="H19" i="124"/>
  <c r="BC23" i="126" s="1"/>
  <c r="AZ27" i="126"/>
  <c r="AK200" i="73"/>
  <c r="G671" i="73" s="1"/>
  <c r="H26" i="124"/>
  <c r="BC30" i="126" s="1"/>
  <c r="AZ31" i="126"/>
  <c r="AK204" i="73"/>
  <c r="G675" i="73" s="1"/>
  <c r="H29" i="124"/>
  <c r="BC33" i="126" s="1"/>
  <c r="C14" i="126"/>
  <c r="B20" i="126"/>
  <c r="C19" i="126"/>
  <c r="H15" i="124"/>
  <c r="AK191" i="73"/>
  <c r="H21" i="124"/>
  <c r="BC25" i="126" s="1"/>
  <c r="AK195" i="73"/>
  <c r="AZ26" i="126"/>
  <c r="H23" i="124"/>
  <c r="BC27" i="126" s="1"/>
  <c r="AK199" i="73"/>
  <c r="AZ29" i="126"/>
  <c r="H27" i="124"/>
  <c r="BC31" i="126" s="1"/>
  <c r="AK203" i="73"/>
  <c r="G674" i="73" s="1"/>
  <c r="AZ34" i="126"/>
  <c r="AS7" i="121"/>
  <c r="B8" i="126"/>
  <c r="C13" i="126"/>
  <c r="B15" i="126"/>
  <c r="AS15" i="121"/>
  <c r="B16" i="126"/>
  <c r="B17" i="126"/>
  <c r="AK190" i="73"/>
  <c r="G661" i="73" s="1"/>
  <c r="H16" i="124"/>
  <c r="AS8" i="121"/>
  <c r="B9" i="126"/>
  <c r="AS10" i="121"/>
  <c r="B11" i="126"/>
  <c r="C10" i="126"/>
  <c r="AZ8" i="126"/>
  <c r="BA14" i="126"/>
  <c r="AK189" i="73"/>
  <c r="H13" i="124"/>
  <c r="BC17" i="126" s="1"/>
  <c r="BD17" i="126" s="1"/>
  <c r="C16" i="126"/>
  <c r="C22" i="125"/>
  <c r="C29" i="125"/>
  <c r="AS37" i="121"/>
  <c r="G32" i="65"/>
  <c r="O34" i="122"/>
  <c r="M36" i="126" s="1"/>
  <c r="AK50" i="73"/>
  <c r="G338" i="73" s="1"/>
  <c r="AK20" i="73"/>
  <c r="G261" i="73" s="1"/>
  <c r="G12" i="124"/>
  <c r="AS16" i="126" s="1"/>
  <c r="AJ188" i="73"/>
  <c r="G29" i="124"/>
  <c r="AS33" i="126" s="1"/>
  <c r="AJ204" i="73"/>
  <c r="AK105" i="73"/>
  <c r="G738" i="73" s="1"/>
  <c r="G15" i="124"/>
  <c r="AS19" i="126" s="1"/>
  <c r="AJ191" i="73"/>
  <c r="G5" i="124"/>
  <c r="AS9" i="126" s="1"/>
  <c r="AJ181" i="73"/>
  <c r="G28" i="124"/>
  <c r="AS32" i="126" s="1"/>
  <c r="AJ205" i="73"/>
  <c r="F676" i="73" s="1"/>
  <c r="G18" i="124"/>
  <c r="AS22" i="126" s="1"/>
  <c r="AJ194" i="73"/>
  <c r="X32" i="110"/>
  <c r="AJ147" i="73"/>
  <c r="AR147" i="73" s="1"/>
  <c r="E31" i="119"/>
  <c r="N10" i="66" s="1"/>
  <c r="C11" i="126"/>
  <c r="N8" i="126"/>
  <c r="N35" i="126" s="1"/>
  <c r="N37" i="126" s="1"/>
  <c r="J32" i="123"/>
  <c r="J34" i="123" s="1"/>
  <c r="J36" i="123" s="1"/>
  <c r="C21" i="126"/>
  <c r="C25" i="126"/>
  <c r="F25" i="126" s="1"/>
  <c r="C24" i="126"/>
  <c r="C27" i="126"/>
  <c r="F27" i="126" s="1"/>
  <c r="C28" i="126"/>
  <c r="F28" i="126" s="1"/>
  <c r="C31" i="126"/>
  <c r="B32" i="126"/>
  <c r="F32" i="126" s="1"/>
  <c r="C31" i="125"/>
  <c r="AS33" i="121"/>
  <c r="C33" i="125"/>
  <c r="B34" i="126"/>
  <c r="F34" i="126" s="1"/>
  <c r="H18" i="124"/>
  <c r="BC22" i="126" s="1"/>
  <c r="BD22" i="126" s="1"/>
  <c r="AK194" i="73"/>
  <c r="AZ24" i="126"/>
  <c r="AK198" i="73"/>
  <c r="H22" i="124"/>
  <c r="BC26" i="126" s="1"/>
  <c r="AZ28" i="126"/>
  <c r="AK202" i="73"/>
  <c r="G673" i="73" s="1"/>
  <c r="H25" i="124"/>
  <c r="BC29" i="126" s="1"/>
  <c r="AZ32" i="126"/>
  <c r="AK206" i="73"/>
  <c r="G677" i="73" s="1"/>
  <c r="H30" i="124"/>
  <c r="BC34" i="126" s="1"/>
  <c r="C20" i="126"/>
  <c r="BB37" i="126"/>
  <c r="AK193" i="73"/>
  <c r="H17" i="124"/>
  <c r="BC21" i="126" s="1"/>
  <c r="BD21" i="126" s="1"/>
  <c r="AZ23" i="126"/>
  <c r="AK197" i="73"/>
  <c r="H20" i="124"/>
  <c r="BC24" i="126" s="1"/>
  <c r="AZ30" i="126"/>
  <c r="AK201" i="73"/>
  <c r="G672" i="73" s="1"/>
  <c r="H24" i="124"/>
  <c r="BC28" i="126" s="1"/>
  <c r="AZ33" i="126"/>
  <c r="AK205" i="73"/>
  <c r="G676" i="73" s="1"/>
  <c r="H28" i="124"/>
  <c r="BC32" i="126" s="1"/>
  <c r="C8" i="126"/>
  <c r="L33" i="122"/>
  <c r="AS12" i="121"/>
  <c r="B13" i="126"/>
  <c r="AS22" i="121"/>
  <c r="AS26" i="121"/>
  <c r="D8" i="126"/>
  <c r="D35" i="126" s="1"/>
  <c r="I32" i="123"/>
  <c r="X35" i="121"/>
  <c r="AP36" i="126" s="1"/>
  <c r="L32" i="65"/>
  <c r="M33" i="123"/>
  <c r="AR36" i="126" s="1"/>
  <c r="F32" i="65"/>
  <c r="R35" i="121"/>
  <c r="R36" i="121" s="1"/>
  <c r="R38" i="121" s="1"/>
  <c r="Z35" i="121"/>
  <c r="N32" i="65"/>
  <c r="L87" i="119"/>
  <c r="O81" i="119"/>
  <c r="H4" i="124"/>
  <c r="AK180" i="73"/>
  <c r="G651" i="73" s="1"/>
  <c r="AK40" i="73"/>
  <c r="G328" i="73" s="1"/>
  <c r="G14" i="124"/>
  <c r="AS18" i="126" s="1"/>
  <c r="AJ192" i="73"/>
  <c r="G21" i="124"/>
  <c r="AS25" i="126" s="1"/>
  <c r="AJ195" i="73"/>
  <c r="G13" i="124"/>
  <c r="AS17" i="126" s="1"/>
  <c r="AJ189" i="73"/>
  <c r="G7" i="124"/>
  <c r="AS11" i="126" s="1"/>
  <c r="AJ182" i="73"/>
  <c r="G22" i="124"/>
  <c r="AS26" i="126" s="1"/>
  <c r="AJ198" i="73"/>
  <c r="G9" i="124"/>
  <c r="AS13" i="126" s="1"/>
  <c r="AJ185" i="73"/>
  <c r="AQ9" i="126"/>
  <c r="AQ17" i="126"/>
  <c r="AQ24" i="126"/>
  <c r="AQ32" i="126"/>
  <c r="AK120" i="73"/>
  <c r="AK137" i="73" s="1"/>
  <c r="AK10" i="73"/>
  <c r="G251" i="73" s="1"/>
  <c r="AK90" i="73"/>
  <c r="G422" i="73" s="1"/>
  <c r="AK170" i="73"/>
  <c r="G594" i="73" s="1"/>
  <c r="AK102" i="73"/>
  <c r="G434" i="73" s="1"/>
  <c r="AK160" i="73"/>
  <c r="G584" i="73" s="1"/>
  <c r="AK100" i="73"/>
  <c r="G432" i="73" s="1"/>
  <c r="AK60" i="73"/>
  <c r="G348" i="73" s="1"/>
  <c r="BA9" i="126"/>
  <c r="AK184" i="73"/>
  <c r="H8" i="124"/>
  <c r="BC12" i="126" s="1"/>
  <c r="V35" i="122"/>
  <c r="V37" i="122" s="1"/>
  <c r="AK183" i="73"/>
  <c r="H6" i="124"/>
  <c r="H7" i="124"/>
  <c r="BC11" i="126" s="1"/>
  <c r="AK182" i="73"/>
  <c r="C12" i="126"/>
  <c r="AS13" i="121"/>
  <c r="B14" i="126"/>
  <c r="Y34" i="121"/>
  <c r="N34" i="123"/>
  <c r="N36" i="123" s="1"/>
  <c r="AK181" i="73"/>
  <c r="H5" i="124"/>
  <c r="BC9" i="126" s="1"/>
  <c r="C15" i="126"/>
  <c r="C17" i="126"/>
  <c r="AS27" i="121"/>
  <c r="V32" i="111"/>
  <c r="W32" i="111"/>
  <c r="AR159" i="73"/>
  <c r="N71" i="119"/>
  <c r="F84" i="119"/>
  <c r="C90" i="119"/>
  <c r="H87" i="119"/>
  <c r="P74" i="119"/>
  <c r="AR22" i="73"/>
  <c r="AR27" i="73"/>
  <c r="X34" i="121"/>
  <c r="AP15" i="126"/>
  <c r="G14" i="125"/>
  <c r="AP25" i="126"/>
  <c r="AP31" i="126"/>
  <c r="M32" i="123"/>
  <c r="AR8" i="126"/>
  <c r="AR35" i="126" s="1"/>
  <c r="AP11" i="126"/>
  <c r="AQ16" i="126"/>
  <c r="AP20" i="126"/>
  <c r="G19" i="125"/>
  <c r="AQ23" i="126"/>
  <c r="G25" i="125"/>
  <c r="AP26" i="126"/>
  <c r="AQ33" i="126"/>
  <c r="AP34" i="126"/>
  <c r="AP18" i="126"/>
  <c r="AP23" i="126"/>
  <c r="G22" i="125"/>
  <c r="AP28" i="126"/>
  <c r="AR16" i="73"/>
  <c r="AS8" i="126"/>
  <c r="AR31" i="73"/>
  <c r="AR12" i="73"/>
  <c r="AR158" i="73"/>
  <c r="AR163" i="73"/>
  <c r="AR164" i="73"/>
  <c r="AR168" i="73"/>
  <c r="AR169" i="73"/>
  <c r="V34" i="62"/>
  <c r="AR13" i="73"/>
  <c r="AR7" i="73"/>
  <c r="F261" i="73"/>
  <c r="T33" i="122"/>
  <c r="T35" i="122" s="1"/>
  <c r="T37" i="122" s="1"/>
  <c r="AP9" i="126"/>
  <c r="AQ15" i="126"/>
  <c r="G16" i="125"/>
  <c r="AP17" i="126"/>
  <c r="AQ25" i="126"/>
  <c r="AP24" i="126"/>
  <c r="G23" i="125"/>
  <c r="AQ31" i="126"/>
  <c r="AP32" i="126"/>
  <c r="AP13" i="126"/>
  <c r="G20" i="125"/>
  <c r="AP21" i="126"/>
  <c r="R9" i="118"/>
  <c r="G40" i="125" s="1"/>
  <c r="T32" i="110"/>
  <c r="F271" i="73"/>
  <c r="AR25" i="73"/>
  <c r="AR9" i="73"/>
  <c r="AP10" i="126"/>
  <c r="G9" i="125"/>
  <c r="AP19" i="126"/>
  <c r="AP27" i="126"/>
  <c r="AQ14" i="126"/>
  <c r="AP16" i="126"/>
  <c r="AQ26" i="126"/>
  <c r="AP30" i="126"/>
  <c r="AQ29" i="126"/>
  <c r="AQ34" i="126"/>
  <c r="AQ12" i="126"/>
  <c r="AP14" i="126"/>
  <c r="AQ18" i="126"/>
  <c r="AP22" i="126"/>
  <c r="G28" i="125"/>
  <c r="AP29" i="126"/>
  <c r="AP8" i="126"/>
  <c r="W34" i="121"/>
  <c r="AQ11" i="126"/>
  <c r="AP12" i="126"/>
  <c r="G11" i="125"/>
  <c r="AQ20" i="126"/>
  <c r="AQ22" i="126"/>
  <c r="AP33" i="126"/>
  <c r="G32" i="125"/>
  <c r="F675" i="73"/>
  <c r="I95" i="119"/>
  <c r="AR5" i="73"/>
  <c r="AM32" i="109"/>
  <c r="AJ105" i="73"/>
  <c r="F738" i="73" s="1"/>
  <c r="AR155" i="73"/>
  <c r="AR167" i="73"/>
  <c r="AR162" i="73"/>
  <c r="F661" i="73"/>
  <c r="AR79" i="73"/>
  <c r="AR83" i="73"/>
  <c r="AR91" i="73"/>
  <c r="AR95" i="73"/>
  <c r="AR99" i="73"/>
  <c r="AR86" i="73"/>
  <c r="F422" i="73"/>
  <c r="F434" i="73"/>
  <c r="F412" i="73"/>
  <c r="F432" i="73"/>
  <c r="AR77" i="73"/>
  <c r="AR81" i="73"/>
  <c r="AR85" i="73"/>
  <c r="AR89" i="73"/>
  <c r="AR93" i="73"/>
  <c r="AR97" i="73"/>
  <c r="F433" i="73"/>
  <c r="AN32" i="109"/>
  <c r="AR172" i="73"/>
  <c r="AR88" i="73"/>
  <c r="AR94" i="73"/>
  <c r="AG10" i="126"/>
  <c r="AG15" i="126"/>
  <c r="AG19" i="126"/>
  <c r="AG25" i="126"/>
  <c r="AG27" i="126"/>
  <c r="AG31" i="126"/>
  <c r="T14" i="118"/>
  <c r="T16" i="118"/>
  <c r="AI67" i="106"/>
  <c r="AF34" i="73" s="1"/>
  <c r="Q87" i="119"/>
  <c r="E81" i="119"/>
  <c r="AL32" i="109"/>
  <c r="F489" i="73"/>
  <c r="F499" i="73"/>
  <c r="F509" i="73"/>
  <c r="AR148" i="73"/>
  <c r="AR152" i="73"/>
  <c r="AR154" i="73"/>
  <c r="AR15" i="73"/>
  <c r="AR157" i="73"/>
  <c r="AR18" i="73"/>
  <c r="AF206" i="73"/>
  <c r="B677" i="73" s="1"/>
  <c r="AF192" i="73"/>
  <c r="AF200" i="73"/>
  <c r="B671" i="73" s="1"/>
  <c r="AF191" i="73"/>
  <c r="AF203" i="73"/>
  <c r="AF201" i="73"/>
  <c r="B672" i="73" s="1"/>
  <c r="AG195" i="73"/>
  <c r="AG185" i="73"/>
  <c r="AG182" i="73"/>
  <c r="AG198" i="73"/>
  <c r="AG197" i="73"/>
  <c r="AG180" i="73"/>
  <c r="C651" i="73" s="1"/>
  <c r="AG196" i="73"/>
  <c r="AR165" i="73"/>
  <c r="AR166" i="73"/>
  <c r="AF194" i="73"/>
  <c r="AF202" i="73"/>
  <c r="B673" i="73" s="1"/>
  <c r="AF195" i="73"/>
  <c r="AF205" i="73"/>
  <c r="AF193" i="73"/>
  <c r="AG183" i="73"/>
  <c r="AG199" i="73"/>
  <c r="AG201" i="73"/>
  <c r="C672" i="73" s="1"/>
  <c r="AG186" i="73"/>
  <c r="AG202" i="73"/>
  <c r="C673" i="73" s="1"/>
  <c r="AG205" i="73"/>
  <c r="C676" i="73" s="1"/>
  <c r="AG184" i="73"/>
  <c r="AG200" i="73"/>
  <c r="C671" i="73" s="1"/>
  <c r="AF196" i="73"/>
  <c r="AF197" i="73"/>
  <c r="E4" i="124"/>
  <c r="AG187" i="73"/>
  <c r="AG203" i="73"/>
  <c r="C674" i="73" s="1"/>
  <c r="AG190" i="73"/>
  <c r="C661" i="73" s="1"/>
  <c r="AG206" i="73"/>
  <c r="C677" i="73" s="1"/>
  <c r="AG189" i="73"/>
  <c r="AG188" i="73"/>
  <c r="AG204" i="73"/>
  <c r="C675" i="73" s="1"/>
  <c r="AF198" i="73"/>
  <c r="AF199" i="73"/>
  <c r="AG191" i="73"/>
  <c r="AG181" i="73"/>
  <c r="AG194" i="73"/>
  <c r="AG193" i="73"/>
  <c r="AG192" i="73"/>
  <c r="AG22" i="126"/>
  <c r="AG26" i="126"/>
  <c r="AG29" i="126"/>
  <c r="AG34" i="126"/>
  <c r="AI200" i="73"/>
  <c r="E671" i="73" s="1"/>
  <c r="F26" i="124"/>
  <c r="AI30" i="126" s="1"/>
  <c r="AI191" i="73"/>
  <c r="F15" i="124"/>
  <c r="AI19" i="126" s="1"/>
  <c r="AI20" i="73"/>
  <c r="E261" i="73" s="1"/>
  <c r="S33" i="122"/>
  <c r="T12" i="118"/>
  <c r="AI201" i="73"/>
  <c r="E672" i="73" s="1"/>
  <c r="F24" i="124"/>
  <c r="AI28" i="126" s="1"/>
  <c r="AI194" i="73"/>
  <c r="F18" i="124"/>
  <c r="AI11" i="73"/>
  <c r="AR11" i="73" s="1"/>
  <c r="AI185" i="73"/>
  <c r="F9" i="124"/>
  <c r="AI13" i="126" s="1"/>
  <c r="AF8" i="126"/>
  <c r="U34" i="121"/>
  <c r="AF12" i="126"/>
  <c r="AF16" i="126"/>
  <c r="AF18" i="126"/>
  <c r="AF23" i="126"/>
  <c r="AF30" i="126"/>
  <c r="AF33" i="126"/>
  <c r="AI60" i="73"/>
  <c r="E348" i="73" s="1"/>
  <c r="AG8" i="126"/>
  <c r="R33" i="122"/>
  <c r="R35" i="122" s="1"/>
  <c r="R37" i="122" s="1"/>
  <c r="AH8" i="126"/>
  <c r="AH35" i="126" s="1"/>
  <c r="L32" i="123"/>
  <c r="T15" i="118"/>
  <c r="U67" i="116"/>
  <c r="AP68" i="73" s="1"/>
  <c r="AI202" i="73"/>
  <c r="E673" i="73" s="1"/>
  <c r="F25" i="124"/>
  <c r="AI196" i="73"/>
  <c r="F19" i="124"/>
  <c r="AI23" i="126" s="1"/>
  <c r="AI193" i="73"/>
  <c r="F17" i="124"/>
  <c r="AI21" i="126" s="1"/>
  <c r="V34" i="121"/>
  <c r="AI80" i="73"/>
  <c r="E412" i="73" s="1"/>
  <c r="AI100" i="73"/>
  <c r="AI150" i="73"/>
  <c r="E574" i="73" s="1"/>
  <c r="AI170" i="73"/>
  <c r="E594" i="73" s="1"/>
  <c r="J32" i="65"/>
  <c r="V35" i="121"/>
  <c r="AF36" i="126" s="1"/>
  <c r="AI203" i="73"/>
  <c r="E674" i="73" s="1"/>
  <c r="F27" i="124"/>
  <c r="AI31" i="126" s="1"/>
  <c r="P8" i="118"/>
  <c r="AI180" i="73"/>
  <c r="E651" i="73" s="1"/>
  <c r="F4" i="124"/>
  <c r="AI197" i="73"/>
  <c r="F20" i="124"/>
  <c r="AI24" i="126" s="1"/>
  <c r="AI182" i="73"/>
  <c r="F7" i="124"/>
  <c r="AI11" i="126" s="1"/>
  <c r="AF9" i="126"/>
  <c r="AF13" i="126"/>
  <c r="AF17" i="126"/>
  <c r="AF21" i="126"/>
  <c r="AF24" i="126"/>
  <c r="AF28" i="126"/>
  <c r="AF32" i="126"/>
  <c r="AI50" i="73"/>
  <c r="E338" i="73" s="1"/>
  <c r="AI204" i="73"/>
  <c r="E675" i="73" s="1"/>
  <c r="F29" i="124"/>
  <c r="AI33" i="126" s="1"/>
  <c r="AI184" i="73"/>
  <c r="F8" i="124"/>
  <c r="AI12" i="126" s="1"/>
  <c r="AI181" i="73"/>
  <c r="F5" i="124"/>
  <c r="AI9" i="126" s="1"/>
  <c r="AI199" i="73"/>
  <c r="F23" i="124"/>
  <c r="AI27" i="126" s="1"/>
  <c r="AI183" i="73"/>
  <c r="F6" i="124"/>
  <c r="AI10" i="126" s="1"/>
  <c r="AI10" i="73"/>
  <c r="E251" i="73" s="1"/>
  <c r="AI30" i="73"/>
  <c r="E271" i="73" s="1"/>
  <c r="AI101" i="73"/>
  <c r="E433" i="73" s="1"/>
  <c r="AI205" i="73"/>
  <c r="E676" i="73" s="1"/>
  <c r="F28" i="124"/>
  <c r="AI32" i="126" s="1"/>
  <c r="AI187" i="73"/>
  <c r="F11" i="124"/>
  <c r="AI15" i="126" s="1"/>
  <c r="AI186" i="73"/>
  <c r="F10" i="124"/>
  <c r="AI192" i="73"/>
  <c r="F14" i="124"/>
  <c r="AI18" i="126" s="1"/>
  <c r="AF11" i="126"/>
  <c r="AF20" i="126"/>
  <c r="AF26" i="126"/>
  <c r="AF34" i="126"/>
  <c r="AI130" i="73"/>
  <c r="E509" i="73" s="1"/>
  <c r="S34" i="122"/>
  <c r="AG36" i="126" s="1"/>
  <c r="K32" i="65"/>
  <c r="AI206" i="73"/>
  <c r="E677" i="73" s="1"/>
  <c r="F30" i="124"/>
  <c r="AI34" i="126" s="1"/>
  <c r="AI188" i="73"/>
  <c r="F12" i="124"/>
  <c r="AI16" i="126" s="1"/>
  <c r="AJ32" i="106"/>
  <c r="AI189" i="73"/>
  <c r="F13" i="124"/>
  <c r="AI17" i="126" s="1"/>
  <c r="AN32" i="107"/>
  <c r="AI195" i="73"/>
  <c r="F21" i="124"/>
  <c r="AI25" i="126" s="1"/>
  <c r="AI40" i="73"/>
  <c r="E328" i="73" s="1"/>
  <c r="AI90" i="73"/>
  <c r="E422" i="73" s="1"/>
  <c r="AI102" i="73"/>
  <c r="E434" i="73" s="1"/>
  <c r="AI160" i="73"/>
  <c r="E584" i="73" s="1"/>
  <c r="AI198" i="73"/>
  <c r="F22" i="124"/>
  <c r="AI26" i="126" s="1"/>
  <c r="AI190" i="73"/>
  <c r="E661" i="73" s="1"/>
  <c r="F16" i="124"/>
  <c r="AI20" i="126" s="1"/>
  <c r="AF10" i="126"/>
  <c r="AF15" i="126"/>
  <c r="AF19" i="126"/>
  <c r="AF25" i="126"/>
  <c r="AF27" i="126"/>
  <c r="AF31" i="126"/>
  <c r="AI120" i="73"/>
  <c r="AR151" i="73"/>
  <c r="V32" i="110"/>
  <c r="H94" i="119"/>
  <c r="M95" i="119"/>
  <c r="S32" i="111"/>
  <c r="AR24" i="73"/>
  <c r="O72" i="119"/>
  <c r="AR26" i="73"/>
  <c r="B92" i="119"/>
  <c r="O92" i="119"/>
  <c r="O73" i="119"/>
  <c r="I3" i="62"/>
  <c r="F91" i="119"/>
  <c r="K75" i="119"/>
  <c r="J71" i="119"/>
  <c r="Y67" i="114"/>
  <c r="J3" i="62"/>
  <c r="J87" i="119"/>
  <c r="Q74" i="119"/>
  <c r="E75" i="119"/>
  <c r="D96" i="119"/>
  <c r="J78" i="119"/>
  <c r="K79" i="119"/>
  <c r="L94" i="119"/>
  <c r="L96" i="119"/>
  <c r="Q78" i="119"/>
  <c r="O80" i="119"/>
  <c r="O83" i="119"/>
  <c r="O79" i="119"/>
  <c r="P80" i="119"/>
  <c r="U67" i="117"/>
  <c r="L82" i="119"/>
  <c r="N86" i="119"/>
  <c r="L81" i="119"/>
  <c r="N82" i="119"/>
  <c r="F90" i="119"/>
  <c r="L97" i="119"/>
  <c r="M3" i="62"/>
  <c r="F92" i="119"/>
  <c r="J74" i="119"/>
  <c r="O76" i="119"/>
  <c r="Q93" i="119"/>
  <c r="Q96" i="119"/>
  <c r="F86" i="119"/>
  <c r="J82" i="119"/>
  <c r="F81" i="119"/>
  <c r="L3" i="62"/>
  <c r="Q80" i="119"/>
  <c r="F87" i="119"/>
  <c r="J86" i="119"/>
  <c r="B90" i="119"/>
  <c r="AR21" i="73"/>
  <c r="B86" i="119"/>
  <c r="N77" i="119"/>
  <c r="J90" i="119"/>
  <c r="N87" i="119"/>
  <c r="J91" i="119"/>
  <c r="J92" i="119"/>
  <c r="D97" i="119"/>
  <c r="C95" i="119"/>
  <c r="AJ67" i="109"/>
  <c r="AI34" i="73" s="1"/>
  <c r="M94" i="119"/>
  <c r="AL67" i="109"/>
  <c r="AK32" i="109"/>
  <c r="H97" i="119"/>
  <c r="N75" i="119"/>
  <c r="J81" i="119"/>
  <c r="B434" i="73"/>
  <c r="AR23" i="73"/>
  <c r="E8" i="124"/>
  <c r="AH184" i="73"/>
  <c r="S16" i="121"/>
  <c r="AQ16" i="121" s="1"/>
  <c r="AH14" i="73"/>
  <c r="AR14" i="73" s="1"/>
  <c r="B328" i="73"/>
  <c r="E13" i="124"/>
  <c r="AH189" i="73"/>
  <c r="E7" i="124"/>
  <c r="AH182" i="73"/>
  <c r="E20" i="124"/>
  <c r="AH197" i="73"/>
  <c r="X8" i="126"/>
  <c r="U5" i="123"/>
  <c r="X9" i="126"/>
  <c r="DT9" i="126" s="1"/>
  <c r="ED9" i="126" s="1"/>
  <c r="AT11" i="66" s="1"/>
  <c r="U6" i="123"/>
  <c r="X11" i="126"/>
  <c r="DT11" i="126" s="1"/>
  <c r="ED11" i="126" s="1"/>
  <c r="AT6" i="66" s="1"/>
  <c r="U8" i="123"/>
  <c r="X10" i="126"/>
  <c r="DT10" i="126" s="1"/>
  <c r="ED10" i="126" s="1"/>
  <c r="AT5" i="66" s="1"/>
  <c r="U7" i="123"/>
  <c r="X12" i="126"/>
  <c r="DT12" i="126" s="1"/>
  <c r="ED12" i="126" s="1"/>
  <c r="AT12" i="66" s="1"/>
  <c r="U9" i="123"/>
  <c r="X13" i="126"/>
  <c r="DT13" i="126" s="1"/>
  <c r="ED13" i="126" s="1"/>
  <c r="AT13" i="66" s="1"/>
  <c r="U10" i="123"/>
  <c r="X14" i="126"/>
  <c r="DT14" i="126" s="1"/>
  <c r="ED14" i="126" s="1"/>
  <c r="AT20" i="66" s="1"/>
  <c r="U11" i="123"/>
  <c r="X15" i="126"/>
  <c r="DT15" i="126" s="1"/>
  <c r="ED15" i="126" s="1"/>
  <c r="AT24" i="66" s="1"/>
  <c r="U12" i="123"/>
  <c r="X16" i="126"/>
  <c r="DT16" i="126" s="1"/>
  <c r="ED16" i="126" s="1"/>
  <c r="AT21" i="66" s="1"/>
  <c r="U13" i="123"/>
  <c r="X19" i="126"/>
  <c r="DT19" i="126" s="1"/>
  <c r="ED19" i="126" s="1"/>
  <c r="AT22" i="66" s="1"/>
  <c r="U16" i="123"/>
  <c r="T8" i="121"/>
  <c r="AR8" i="121" s="1"/>
  <c r="AH40" i="73"/>
  <c r="D328" i="73" s="1"/>
  <c r="T9" i="121"/>
  <c r="AR9" i="121" s="1"/>
  <c r="AH42" i="73"/>
  <c r="AR42" i="73" s="1"/>
  <c r="T12" i="121"/>
  <c r="AR12" i="121" s="1"/>
  <c r="AH44" i="73"/>
  <c r="T14" i="121"/>
  <c r="AH46" i="73"/>
  <c r="AR46" i="73" s="1"/>
  <c r="T16" i="121"/>
  <c r="AR16" i="121" s="1"/>
  <c r="AH48" i="73"/>
  <c r="T18" i="121"/>
  <c r="AR18" i="121" s="1"/>
  <c r="AH50" i="73"/>
  <c r="D338" i="73" s="1"/>
  <c r="T20" i="121"/>
  <c r="AH52" i="73"/>
  <c r="T24" i="121"/>
  <c r="AY24" i="121" s="1"/>
  <c r="AH54" i="73"/>
  <c r="T23" i="121"/>
  <c r="AR23" i="121" s="1"/>
  <c r="AH56" i="73"/>
  <c r="AR56" i="73" s="1"/>
  <c r="T26" i="121"/>
  <c r="AR26" i="121" s="1"/>
  <c r="AH58" i="73"/>
  <c r="AR58" i="73" s="1"/>
  <c r="T27" i="121"/>
  <c r="AR27" i="121" s="1"/>
  <c r="AH60" i="73"/>
  <c r="D348" i="73" s="1"/>
  <c r="T30" i="121"/>
  <c r="AR30" i="121" s="1"/>
  <c r="AH62" i="73"/>
  <c r="AR62" i="73" s="1"/>
  <c r="T33" i="121"/>
  <c r="AR33" i="121" s="1"/>
  <c r="AH65" i="73"/>
  <c r="AR65" i="73" s="1"/>
  <c r="AF103" i="73"/>
  <c r="B489" i="73"/>
  <c r="T32" i="111"/>
  <c r="E22" i="124"/>
  <c r="AH198" i="73"/>
  <c r="E25" i="124"/>
  <c r="AH202" i="73"/>
  <c r="D673" i="73" s="1"/>
  <c r="E15" i="124"/>
  <c r="AH191" i="73"/>
  <c r="T35" i="121"/>
  <c r="AH68" i="73"/>
  <c r="E19" i="124"/>
  <c r="AH196" i="73"/>
  <c r="U65" i="62"/>
  <c r="AH43" i="106"/>
  <c r="B80" i="119"/>
  <c r="J79" i="119"/>
  <c r="B37" i="64"/>
  <c r="B18" i="64"/>
  <c r="N90" i="119"/>
  <c r="B674" i="73"/>
  <c r="AK67" i="106"/>
  <c r="AF105" i="73" s="1"/>
  <c r="U32" i="113"/>
  <c r="K651" i="73"/>
  <c r="U67" i="114"/>
  <c r="AN68" i="73" s="1"/>
  <c r="AR82" i="73"/>
  <c r="E23" i="124"/>
  <c r="AH199" i="73"/>
  <c r="E27" i="124"/>
  <c r="AH203" i="73"/>
  <c r="D674" i="73" s="1"/>
  <c r="E28" i="124"/>
  <c r="AH205" i="73"/>
  <c r="D676" i="73" s="1"/>
  <c r="AI67" i="108"/>
  <c r="B509" i="73"/>
  <c r="E12" i="124"/>
  <c r="AH188" i="73"/>
  <c r="E30" i="124"/>
  <c r="AH206" i="73"/>
  <c r="D677" i="73" s="1"/>
  <c r="AR19" i="73"/>
  <c r="S17" i="121"/>
  <c r="AX17" i="121" s="1"/>
  <c r="AH17" i="73"/>
  <c r="AR17" i="73" s="1"/>
  <c r="B338" i="73"/>
  <c r="AH180" i="73"/>
  <c r="E18" i="124"/>
  <c r="AH194" i="73"/>
  <c r="E11" i="124"/>
  <c r="AH187" i="73"/>
  <c r="E5" i="124"/>
  <c r="AH181" i="73"/>
  <c r="Q6" i="122"/>
  <c r="AH110" i="73"/>
  <c r="Q9" i="122"/>
  <c r="AH112" i="73"/>
  <c r="Q10" i="122"/>
  <c r="AH114" i="73"/>
  <c r="AR114" i="73" s="1"/>
  <c r="Q12" i="122"/>
  <c r="AH116" i="73"/>
  <c r="Q14" i="122"/>
  <c r="AH118" i="73"/>
  <c r="AR118" i="73" s="1"/>
  <c r="Q18" i="122"/>
  <c r="AH120" i="73"/>
  <c r="D499" i="73" s="1"/>
  <c r="Q16" i="122"/>
  <c r="AH122" i="73"/>
  <c r="Q20" i="122"/>
  <c r="AH124" i="73"/>
  <c r="AR124" i="73" s="1"/>
  <c r="Q21" i="122"/>
  <c r="AH126" i="73"/>
  <c r="AR126" i="73" s="1"/>
  <c r="Q24" i="122"/>
  <c r="AH128" i="73"/>
  <c r="Q28" i="122"/>
  <c r="AH130" i="73"/>
  <c r="D509" i="73" s="1"/>
  <c r="Q27" i="122"/>
  <c r="AH132" i="73"/>
  <c r="Q31" i="122"/>
  <c r="AH134" i="73"/>
  <c r="AR134" i="73" s="1"/>
  <c r="X34" i="126"/>
  <c r="DT34" i="126" s="1"/>
  <c r="ED34" i="126" s="1"/>
  <c r="AT10" i="66" s="1"/>
  <c r="U31" i="123"/>
  <c r="N95" i="119"/>
  <c r="L75" i="119"/>
  <c r="M91" i="119"/>
  <c r="H96" i="119"/>
  <c r="N92" i="119"/>
  <c r="B261" i="73"/>
  <c r="B433" i="73"/>
  <c r="B676" i="73"/>
  <c r="AR87" i="73"/>
  <c r="AR8" i="73"/>
  <c r="U67" i="115"/>
  <c r="AO68" i="73" s="1"/>
  <c r="AR6" i="73"/>
  <c r="H651" i="73"/>
  <c r="U32" i="114"/>
  <c r="U67" i="113"/>
  <c r="AM68" i="73" s="1"/>
  <c r="M651" i="73"/>
  <c r="AQ207" i="73"/>
  <c r="AR98" i="73"/>
  <c r="AL32" i="107"/>
  <c r="P9" i="122"/>
  <c r="AN9" i="122" s="1"/>
  <c r="AH78" i="73"/>
  <c r="E26" i="124"/>
  <c r="AH200" i="73"/>
  <c r="D671" i="73" s="1"/>
  <c r="E29" i="124"/>
  <c r="AH204" i="73"/>
  <c r="D675" i="73" s="1"/>
  <c r="K33" i="123"/>
  <c r="AH175" i="73"/>
  <c r="P28" i="122"/>
  <c r="AQ28" i="122" s="1"/>
  <c r="AH96" i="73"/>
  <c r="AF115" i="73"/>
  <c r="E14" i="124"/>
  <c r="AH192" i="73"/>
  <c r="Q34" i="122"/>
  <c r="AH139" i="73"/>
  <c r="AR139" i="73" s="1"/>
  <c r="B348" i="73"/>
  <c r="AF135" i="73"/>
  <c r="AI32" i="108"/>
  <c r="K17" i="123"/>
  <c r="K32" i="123" s="1"/>
  <c r="AH156" i="73"/>
  <c r="AR156" i="73" s="1"/>
  <c r="E9" i="124"/>
  <c r="AH185" i="73"/>
  <c r="E16" i="124"/>
  <c r="AH190" i="73"/>
  <c r="D661" i="73" s="1"/>
  <c r="X17" i="126"/>
  <c r="DT17" i="126" s="1"/>
  <c r="ED17" i="126" s="1"/>
  <c r="AT14" i="66" s="1"/>
  <c r="U14" i="123"/>
  <c r="X18" i="126"/>
  <c r="DT18" i="126" s="1"/>
  <c r="ED18" i="126" s="1"/>
  <c r="AT25" i="66" s="1"/>
  <c r="U15" i="123"/>
  <c r="X21" i="126"/>
  <c r="DT21" i="126" s="1"/>
  <c r="ED21" i="126" s="1"/>
  <c r="AT7" i="66" s="1"/>
  <c r="U18" i="123"/>
  <c r="X22" i="126"/>
  <c r="DT22" i="126" s="1"/>
  <c r="ED22" i="126" s="1"/>
  <c r="AT15" i="66" s="1"/>
  <c r="U19" i="123"/>
  <c r="X25" i="126"/>
  <c r="DT25" i="126" s="1"/>
  <c r="ED25" i="126" s="1"/>
  <c r="AT28" i="66" s="1"/>
  <c r="U22" i="123"/>
  <c r="X23" i="126"/>
  <c r="DT23" i="126" s="1"/>
  <c r="ED23" i="126" s="1"/>
  <c r="AT16" i="66" s="1"/>
  <c r="U20" i="123"/>
  <c r="X24" i="126"/>
  <c r="DT24" i="126" s="1"/>
  <c r="ED24" i="126" s="1"/>
  <c r="AT17" i="66" s="1"/>
  <c r="U21" i="123"/>
  <c r="X26" i="126"/>
  <c r="U23" i="123"/>
  <c r="X27" i="126"/>
  <c r="DT27" i="126" s="1"/>
  <c r="ED27" i="126" s="1"/>
  <c r="AT18" i="66" s="1"/>
  <c r="U24" i="123"/>
  <c r="X30" i="126"/>
  <c r="DT30" i="126" s="1"/>
  <c r="ED30" i="126" s="1"/>
  <c r="AT29" i="66" s="1"/>
  <c r="U27" i="123"/>
  <c r="X28" i="126"/>
  <c r="DT28" i="126" s="1"/>
  <c r="ED28" i="126" s="1"/>
  <c r="AT8" i="66" s="1"/>
  <c r="U25" i="123"/>
  <c r="X29" i="126"/>
  <c r="DT29" i="126" s="1"/>
  <c r="ED29" i="126" s="1"/>
  <c r="AT9" i="66" s="1"/>
  <c r="U26" i="123"/>
  <c r="X31" i="126"/>
  <c r="DT31" i="126" s="1"/>
  <c r="ED31" i="126" s="1"/>
  <c r="AT30" i="66" s="1"/>
  <c r="U28" i="123"/>
  <c r="X33" i="126"/>
  <c r="DT33" i="126" s="1"/>
  <c r="ED33" i="126" s="1"/>
  <c r="AT27" i="66" s="1"/>
  <c r="U30" i="123"/>
  <c r="X32" i="126"/>
  <c r="DT32" i="126" s="1"/>
  <c r="ED32" i="126" s="1"/>
  <c r="AT19" i="66" s="1"/>
  <c r="U29" i="123"/>
  <c r="T7" i="121"/>
  <c r="AR7" i="121" s="1"/>
  <c r="AH39" i="73"/>
  <c r="T10" i="121"/>
  <c r="AR10" i="121" s="1"/>
  <c r="AH41" i="73"/>
  <c r="T11" i="121"/>
  <c r="AR11" i="121" s="1"/>
  <c r="AH43" i="73"/>
  <c r="AR43" i="73" s="1"/>
  <c r="T13" i="121"/>
  <c r="AR13" i="121" s="1"/>
  <c r="AH45" i="73"/>
  <c r="AR45" i="73" s="1"/>
  <c r="T15" i="121"/>
  <c r="AR15" i="121" s="1"/>
  <c r="AH47" i="73"/>
  <c r="AR47" i="73" s="1"/>
  <c r="T19" i="121"/>
  <c r="AR19" i="121" s="1"/>
  <c r="AH49" i="73"/>
  <c r="AR49" i="73" s="1"/>
  <c r="T17" i="121"/>
  <c r="AR17" i="121" s="1"/>
  <c r="AH51" i="73"/>
  <c r="AR51" i="73" s="1"/>
  <c r="T21" i="121"/>
  <c r="AR21" i="121" s="1"/>
  <c r="AH53" i="73"/>
  <c r="AR53" i="73" s="1"/>
  <c r="T22" i="121"/>
  <c r="AR22" i="121" s="1"/>
  <c r="AH55" i="73"/>
  <c r="T25" i="121"/>
  <c r="AR25" i="121" s="1"/>
  <c r="AH57" i="73"/>
  <c r="AR57" i="73" s="1"/>
  <c r="T29" i="121"/>
  <c r="AR29" i="121" s="1"/>
  <c r="AH59" i="73"/>
  <c r="AR59" i="73" s="1"/>
  <c r="T28" i="121"/>
  <c r="AR28" i="121" s="1"/>
  <c r="AH61" i="73"/>
  <c r="AR61" i="73" s="1"/>
  <c r="T32" i="121"/>
  <c r="AR32" i="121" s="1"/>
  <c r="AH63" i="73"/>
  <c r="AR63" i="73" s="1"/>
  <c r="AT3" i="63"/>
  <c r="BE3" i="63"/>
  <c r="O82" i="119"/>
  <c r="O77" i="119"/>
  <c r="O93" i="119"/>
  <c r="O96" i="119"/>
  <c r="E96" i="62"/>
  <c r="N91" i="119"/>
  <c r="P86" i="119"/>
  <c r="N94" i="119"/>
  <c r="AH5" i="106"/>
  <c r="E94" i="119"/>
  <c r="E74" i="119"/>
  <c r="AF161" i="73"/>
  <c r="AR161" i="73" s="1"/>
  <c r="B499" i="73"/>
  <c r="L651" i="73"/>
  <c r="AP207" i="73"/>
  <c r="J651" i="73"/>
  <c r="T67" i="112"/>
  <c r="AL34" i="73" s="1"/>
  <c r="H489" i="73"/>
  <c r="AR28" i="73"/>
  <c r="E24" i="124"/>
  <c r="AH201" i="73"/>
  <c r="D672" i="73" s="1"/>
  <c r="T31" i="121"/>
  <c r="AR31" i="121" s="1"/>
  <c r="AH64" i="73"/>
  <c r="AF125" i="73"/>
  <c r="AF64" i="73"/>
  <c r="E6" i="124"/>
  <c r="AH183" i="73"/>
  <c r="E21" i="124"/>
  <c r="AH195" i="73"/>
  <c r="AM32" i="108"/>
  <c r="P34" i="122"/>
  <c r="AN34" i="122" s="1"/>
  <c r="AH105" i="73"/>
  <c r="D738" i="73" s="1"/>
  <c r="E10" i="124"/>
  <c r="AH186" i="73"/>
  <c r="AN67" i="107"/>
  <c r="E17" i="124"/>
  <c r="AH193" i="73"/>
  <c r="AG137" i="73"/>
  <c r="K3" i="62"/>
  <c r="Q7" i="122"/>
  <c r="AH111" i="73"/>
  <c r="AR111" i="73" s="1"/>
  <c r="Q8" i="122"/>
  <c r="AH113" i="73"/>
  <c r="AR113" i="73" s="1"/>
  <c r="Q11" i="122"/>
  <c r="AO11" i="122" s="1"/>
  <c r="AH115" i="73"/>
  <c r="Q13" i="122"/>
  <c r="AH117" i="73"/>
  <c r="AR117" i="73" s="1"/>
  <c r="Q15" i="122"/>
  <c r="AH119" i="73"/>
  <c r="Q17" i="122"/>
  <c r="AH121" i="73"/>
  <c r="AR121" i="73" s="1"/>
  <c r="Q19" i="122"/>
  <c r="AH123" i="73"/>
  <c r="Q23" i="122"/>
  <c r="AH125" i="73"/>
  <c r="Q22" i="122"/>
  <c r="AH127" i="73"/>
  <c r="Q25" i="122"/>
  <c r="AH129" i="73"/>
  <c r="AR129" i="73" s="1"/>
  <c r="Q26" i="122"/>
  <c r="AH131" i="73"/>
  <c r="AR131" i="73" s="1"/>
  <c r="Q29" i="122"/>
  <c r="AH133" i="73"/>
  <c r="AR133" i="73" s="1"/>
  <c r="Q30" i="122"/>
  <c r="AH135" i="73"/>
  <c r="W8" i="126"/>
  <c r="Q94" i="119"/>
  <c r="Q76" i="119"/>
  <c r="Q97" i="119"/>
  <c r="T65" i="62"/>
  <c r="T34" i="62"/>
  <c r="D96" i="62"/>
  <c r="P6" i="118"/>
  <c r="P85" i="119"/>
  <c r="Q6" i="118"/>
  <c r="C6" i="118"/>
  <c r="S34" i="62" s="1"/>
  <c r="J6" i="118"/>
  <c r="F6" i="118"/>
  <c r="C96" i="62" s="1"/>
  <c r="J37" i="64" s="1"/>
  <c r="E6" i="118"/>
  <c r="S65" i="62" s="1"/>
  <c r="L6" i="118"/>
  <c r="M6" i="118"/>
  <c r="N6" i="118"/>
  <c r="I6" i="118"/>
  <c r="K6" i="118"/>
  <c r="T56" i="119"/>
  <c r="Y58" i="112"/>
  <c r="G26" i="118"/>
  <c r="H127" i="62" s="1"/>
  <c r="H3" i="62" s="1"/>
  <c r="B81" i="119"/>
  <c r="E23" i="66"/>
  <c r="X32" i="112"/>
  <c r="AR146" i="73"/>
  <c r="Y32" i="116"/>
  <c r="Y32" i="114"/>
  <c r="U32" i="117"/>
  <c r="Y67" i="110"/>
  <c r="G32" i="124" s="1"/>
  <c r="AS36" i="126" s="1"/>
  <c r="Y64" i="112"/>
  <c r="AN14" i="106"/>
  <c r="C13" i="124" s="1"/>
  <c r="E17" i="126" s="1"/>
  <c r="Y67" i="116"/>
  <c r="T32" i="115"/>
  <c r="U32" i="111"/>
  <c r="AR39" i="73"/>
  <c r="U32" i="115"/>
  <c r="Y67" i="115"/>
  <c r="W32" i="113"/>
  <c r="Y32" i="117"/>
  <c r="Y67" i="111"/>
  <c r="AK32" i="108"/>
  <c r="AO67" i="109"/>
  <c r="AN67" i="108"/>
  <c r="AJ32" i="107"/>
  <c r="T67" i="111"/>
  <c r="AK34" i="73" s="1"/>
  <c r="AR44" i="73"/>
  <c r="AN32" i="108"/>
  <c r="AL31" i="108"/>
  <c r="S52" i="112"/>
  <c r="Y52" i="112"/>
  <c r="T13" i="119"/>
  <c r="T21" i="66" s="1"/>
  <c r="AJ67" i="106"/>
  <c r="AF68" i="73" s="1"/>
  <c r="Y67" i="117"/>
  <c r="M747" i="73" s="1"/>
  <c r="Y32" i="115"/>
  <c r="U32" i="116"/>
  <c r="W32" i="112"/>
  <c r="Y32" i="110"/>
  <c r="AR48" i="73"/>
  <c r="AJ32" i="108"/>
  <c r="AR52" i="73"/>
  <c r="AR54" i="73"/>
  <c r="S102" i="112"/>
  <c r="S23" i="119"/>
  <c r="Y23" i="112"/>
  <c r="R11" i="118"/>
  <c r="I40" i="125" s="1"/>
  <c r="T41" i="119"/>
  <c r="Y32" i="113"/>
  <c r="Y32" i="111"/>
  <c r="V32" i="115"/>
  <c r="V32" i="116"/>
  <c r="V32" i="114"/>
  <c r="AO32" i="109"/>
  <c r="W32" i="110"/>
  <c r="AJ32" i="109"/>
  <c r="AR41" i="73"/>
  <c r="AR55" i="73"/>
  <c r="AF32" i="106"/>
  <c r="T55" i="119"/>
  <c r="AN40" i="106"/>
  <c r="T46" i="119"/>
  <c r="T40" i="119"/>
  <c r="T11" i="119"/>
  <c r="T20" i="66" s="1"/>
  <c r="AW20" i="66" s="1"/>
  <c r="AL32" i="106"/>
  <c r="C79" i="119"/>
  <c r="H21" i="66"/>
  <c r="AH15" i="106"/>
  <c r="T27" i="119"/>
  <c r="T9" i="66" s="1"/>
  <c r="AW9" i="66" s="1"/>
  <c r="T43" i="119"/>
  <c r="L95" i="119"/>
  <c r="T54" i="119"/>
  <c r="T53" i="119"/>
  <c r="T57" i="119"/>
  <c r="B74" i="119"/>
  <c r="T12" i="119"/>
  <c r="T24" i="66" s="1"/>
  <c r="T64" i="119"/>
  <c r="T20" i="119"/>
  <c r="T28" i="66" s="1"/>
  <c r="AW28" i="66" s="1"/>
  <c r="T24" i="119"/>
  <c r="T18" i="66" s="1"/>
  <c r="AW18" i="66" s="1"/>
  <c r="B78" i="119"/>
  <c r="AN48" i="106"/>
  <c r="AN47" i="106"/>
  <c r="AN46" i="106"/>
  <c r="AN11" i="106"/>
  <c r="C10" i="124" s="1"/>
  <c r="E14" i="126" s="1"/>
  <c r="AN50" i="106"/>
  <c r="AN45" i="106"/>
  <c r="AN10" i="106"/>
  <c r="C9" i="124" s="1"/>
  <c r="E13" i="126" s="1"/>
  <c r="T26" i="119"/>
  <c r="T8" i="66" s="1"/>
  <c r="AW8" i="66" s="1"/>
  <c r="F78" i="119"/>
  <c r="Q24" i="66"/>
  <c r="AN5" i="106"/>
  <c r="C4" i="124" s="1"/>
  <c r="AN49" i="106"/>
  <c r="AN51" i="106"/>
  <c r="C75" i="119"/>
  <c r="H12" i="66"/>
  <c r="T17" i="119"/>
  <c r="T25" i="66" s="1"/>
  <c r="AW25" i="66" s="1"/>
  <c r="D94" i="119"/>
  <c r="K30" i="66"/>
  <c r="G92" i="119"/>
  <c r="T59" i="119"/>
  <c r="J95" i="119"/>
  <c r="T39" i="119"/>
  <c r="T47" i="119"/>
  <c r="N23" i="66"/>
  <c r="N22" i="66"/>
  <c r="T22" i="119"/>
  <c r="T17" i="66" s="1"/>
  <c r="AW17" i="66" s="1"/>
  <c r="T30" i="119"/>
  <c r="T19" i="66" s="1"/>
  <c r="AW19" i="66" s="1"/>
  <c r="T48" i="119"/>
  <c r="T58" i="119"/>
  <c r="T19" i="119"/>
  <c r="T15" i="66" s="1"/>
  <c r="AW15" i="66" s="1"/>
  <c r="I91" i="119"/>
  <c r="H77" i="119"/>
  <c r="AA132" i="106"/>
  <c r="T63" i="119"/>
  <c r="T25" i="119"/>
  <c r="T29" i="66" s="1"/>
  <c r="AW29" i="66" s="1"/>
  <c r="F82" i="119"/>
  <c r="Q22" i="66"/>
  <c r="Q23" i="66"/>
  <c r="H23" i="66"/>
  <c r="H22" i="66"/>
  <c r="D87" i="119"/>
  <c r="K16" i="66"/>
  <c r="T52" i="119"/>
  <c r="AN9" i="106"/>
  <c r="C8" i="124" s="1"/>
  <c r="E12" i="126" s="1"/>
  <c r="AM32" i="106"/>
  <c r="AK32" i="106"/>
  <c r="AI32" i="106"/>
  <c r="AN41" i="106"/>
  <c r="AN44" i="106"/>
  <c r="AN12" i="106"/>
  <c r="C11" i="124" s="1"/>
  <c r="E15" i="126" s="1"/>
  <c r="T28" i="119"/>
  <c r="T30" i="66" s="1"/>
  <c r="T15" i="119"/>
  <c r="T18" i="119"/>
  <c r="T7" i="66" s="1"/>
  <c r="AW7" i="66" s="1"/>
  <c r="AN29" i="106"/>
  <c r="C29" i="124" s="1"/>
  <c r="E33" i="126" s="1"/>
  <c r="AN6" i="106"/>
  <c r="C5" i="124" s="1"/>
  <c r="E9" i="126" s="1"/>
  <c r="Q86" i="119"/>
  <c r="T9" i="119"/>
  <c r="T12" i="66" s="1"/>
  <c r="K83" i="119"/>
  <c r="T21" i="119"/>
  <c r="T16" i="66" s="1"/>
  <c r="T45" i="119"/>
  <c r="T49" i="119"/>
  <c r="T51" i="119"/>
  <c r="AH7" i="106"/>
  <c r="T31" i="119"/>
  <c r="T10" i="66" s="1"/>
  <c r="T8" i="119"/>
  <c r="T5" i="66" s="1"/>
  <c r="AW5" i="66" s="1"/>
  <c r="T44" i="119"/>
  <c r="AM67" i="106"/>
  <c r="AF175" i="73" s="1"/>
  <c r="AR175" i="73" s="1"/>
  <c r="T61" i="119"/>
  <c r="K23" i="66"/>
  <c r="K22" i="66"/>
  <c r="K95" i="119"/>
  <c r="T16" i="119"/>
  <c r="T60" i="119"/>
  <c r="T7" i="119"/>
  <c r="T6" i="66" s="1"/>
  <c r="AW6" i="66" s="1"/>
  <c r="B71" i="119"/>
  <c r="AN15" i="106"/>
  <c r="C16" i="124" s="1"/>
  <c r="E20" i="126" s="1"/>
  <c r="AN7" i="106"/>
  <c r="C7" i="124" s="1"/>
  <c r="E11" i="126" s="1"/>
  <c r="AN13" i="106"/>
  <c r="C12" i="124" s="1"/>
  <c r="E16" i="126" s="1"/>
  <c r="AN43" i="106"/>
  <c r="AN42" i="106"/>
  <c r="T42" i="119"/>
  <c r="AN8" i="106"/>
  <c r="C6" i="124" s="1"/>
  <c r="E10" i="126" s="1"/>
  <c r="AV6" i="63"/>
  <c r="AZ6" i="63"/>
  <c r="BD6" i="63"/>
  <c r="AW6" i="63"/>
  <c r="BA6" i="63"/>
  <c r="BE6" i="63"/>
  <c r="AU6" i="63"/>
  <c r="AY6" i="63"/>
  <c r="BC6" i="63"/>
  <c r="AT6" i="63"/>
  <c r="BB6" i="63"/>
  <c r="AX6" i="63"/>
  <c r="AV10" i="63"/>
  <c r="AZ10" i="63"/>
  <c r="AW10" i="63"/>
  <c r="BA10" i="63"/>
  <c r="BE10" i="63"/>
  <c r="AU10" i="63"/>
  <c r="AY10" i="63"/>
  <c r="BC10" i="63"/>
  <c r="BD10" i="63"/>
  <c r="AT10" i="63"/>
  <c r="AX10" i="63"/>
  <c r="BB10" i="63"/>
  <c r="AW18" i="63"/>
  <c r="BA18" i="63"/>
  <c r="BE18" i="63"/>
  <c r="AU18" i="63"/>
  <c r="AY18" i="63"/>
  <c r="BC18" i="63"/>
  <c r="AZ18" i="63"/>
  <c r="AV18" i="63"/>
  <c r="BD18" i="63"/>
  <c r="AX18" i="63"/>
  <c r="AT18" i="63"/>
  <c r="BB18" i="63"/>
  <c r="BE26" i="63"/>
  <c r="AU26" i="63"/>
  <c r="AY26" i="63"/>
  <c r="BC26" i="63"/>
  <c r="BA26" i="63"/>
  <c r="AW26" i="63"/>
  <c r="AX26" i="63"/>
  <c r="BD26" i="63"/>
  <c r="AT26" i="63"/>
  <c r="AZ26" i="63"/>
  <c r="AV26" i="63"/>
  <c r="BB26" i="63"/>
  <c r="AT4" i="63"/>
  <c r="AX4" i="63"/>
  <c r="BB4" i="63"/>
  <c r="BE4" i="63"/>
  <c r="AU4" i="63"/>
  <c r="AY4" i="63"/>
  <c r="BC4" i="63"/>
  <c r="AW4" i="63"/>
  <c r="BA4" i="63"/>
  <c r="AZ4" i="63"/>
  <c r="BD4" i="63"/>
  <c r="AV4" i="63"/>
  <c r="AU5" i="63"/>
  <c r="AY5" i="63"/>
  <c r="BC5" i="63"/>
  <c r="AV5" i="63"/>
  <c r="AZ5" i="63"/>
  <c r="BD5" i="63"/>
  <c r="AT5" i="63"/>
  <c r="AX5" i="63"/>
  <c r="BB5" i="63"/>
  <c r="BE5" i="63"/>
  <c r="AW5" i="63"/>
  <c r="BA5" i="63"/>
  <c r="AY9" i="63"/>
  <c r="BC9" i="63"/>
  <c r="AV9" i="63"/>
  <c r="AZ9" i="63"/>
  <c r="BD9" i="63"/>
  <c r="AT9" i="63"/>
  <c r="AX9" i="63"/>
  <c r="BB9" i="63"/>
  <c r="AU9" i="63"/>
  <c r="AW9" i="63"/>
  <c r="BA9" i="63"/>
  <c r="BE9" i="63"/>
  <c r="AV13" i="63"/>
  <c r="AZ13" i="63"/>
  <c r="BD13" i="63"/>
  <c r="AT13" i="63"/>
  <c r="AX13" i="63"/>
  <c r="BB13" i="63"/>
  <c r="BA13" i="63"/>
  <c r="BE13" i="63"/>
  <c r="AU13" i="63"/>
  <c r="BC13" i="63"/>
  <c r="AW13" i="63"/>
  <c r="AY13" i="63"/>
  <c r="AV17" i="63"/>
  <c r="AZ17" i="63"/>
  <c r="BD17" i="63"/>
  <c r="AT17" i="63"/>
  <c r="AX17" i="63"/>
  <c r="BB17" i="63"/>
  <c r="AW17" i="63"/>
  <c r="AY17" i="63"/>
  <c r="BE17" i="63"/>
  <c r="BA17" i="63"/>
  <c r="AU17" i="63"/>
  <c r="BC17" i="63"/>
  <c r="AT21" i="63"/>
  <c r="AX21" i="63"/>
  <c r="BB21" i="63"/>
  <c r="BE21" i="63"/>
  <c r="AW21" i="63"/>
  <c r="BD21" i="63"/>
  <c r="AU21" i="63"/>
  <c r="AZ21" i="63"/>
  <c r="AV21" i="63"/>
  <c r="BA21" i="63"/>
  <c r="BC21" i="63"/>
  <c r="AY21" i="63"/>
  <c r="AT25" i="63"/>
  <c r="AX25" i="63"/>
  <c r="BB25" i="63"/>
  <c r="BE25" i="63"/>
  <c r="BC25" i="63"/>
  <c r="AV25" i="63"/>
  <c r="AY25" i="63"/>
  <c r="BD25" i="63"/>
  <c r="AU25" i="63"/>
  <c r="AZ25" i="63"/>
  <c r="BA25" i="63"/>
  <c r="AW25" i="63"/>
  <c r="AT29" i="63"/>
  <c r="AX29" i="63"/>
  <c r="BB29" i="63"/>
  <c r="BA29" i="63"/>
  <c r="AU29" i="63"/>
  <c r="AV29" i="63"/>
  <c r="BE29" i="63"/>
  <c r="AW29" i="63"/>
  <c r="BC29" i="63"/>
  <c r="AY29" i="63"/>
  <c r="BD29" i="63"/>
  <c r="AZ29" i="63"/>
  <c r="AW14" i="63"/>
  <c r="BA14" i="63"/>
  <c r="BE14" i="63"/>
  <c r="AU14" i="63"/>
  <c r="AY14" i="63"/>
  <c r="BC14" i="63"/>
  <c r="AV14" i="63"/>
  <c r="AZ14" i="63"/>
  <c r="AT14" i="63"/>
  <c r="BB14" i="63"/>
  <c r="BD14" i="63"/>
  <c r="AX14" i="63"/>
  <c r="BC3" i="63"/>
  <c r="AY3" i="63"/>
  <c r="AU3" i="63"/>
  <c r="BD3" i="63"/>
  <c r="AW3" i="63"/>
  <c r="BA3" i="63"/>
  <c r="AV3" i="63"/>
  <c r="AZ3" i="63"/>
  <c r="AX3" i="63"/>
  <c r="BB3" i="63"/>
  <c r="BE7" i="63"/>
  <c r="AW7" i="63"/>
  <c r="BA7" i="63"/>
  <c r="AT7" i="63"/>
  <c r="AX7" i="63"/>
  <c r="BB7" i="63"/>
  <c r="AV7" i="63"/>
  <c r="AZ7" i="63"/>
  <c r="BD7" i="63"/>
  <c r="AU7" i="63"/>
  <c r="AY7" i="63"/>
  <c r="BC7" i="63"/>
  <c r="BE11" i="63"/>
  <c r="AW11" i="63"/>
  <c r="AT11" i="63"/>
  <c r="AX11" i="63"/>
  <c r="BB11" i="63"/>
  <c r="AV11" i="63"/>
  <c r="AZ11" i="63"/>
  <c r="BD11" i="63"/>
  <c r="BA11" i="63"/>
  <c r="BC11" i="63"/>
  <c r="AU11" i="63"/>
  <c r="AY11" i="63"/>
  <c r="BE15" i="63"/>
  <c r="AT15" i="63"/>
  <c r="AX15" i="63"/>
  <c r="BB15" i="63"/>
  <c r="AV15" i="63"/>
  <c r="AZ15" i="63"/>
  <c r="BD15" i="63"/>
  <c r="BC15" i="63"/>
  <c r="AW15" i="63"/>
  <c r="AY15" i="63"/>
  <c r="BA15" i="63"/>
  <c r="AU15" i="63"/>
  <c r="BE19" i="63"/>
  <c r="AT19" i="63"/>
  <c r="AX19" i="63"/>
  <c r="AV19" i="63"/>
  <c r="AZ19" i="63"/>
  <c r="BD19" i="63"/>
  <c r="BC19" i="63"/>
  <c r="AY19" i="63"/>
  <c r="BA19" i="63"/>
  <c r="AU19" i="63"/>
  <c r="BB19" i="63"/>
  <c r="AW19" i="63"/>
  <c r="BE23" i="63"/>
  <c r="AV23" i="63"/>
  <c r="AZ23" i="63"/>
  <c r="BD23" i="63"/>
  <c r="AW23" i="63"/>
  <c r="AX23" i="63"/>
  <c r="AT23" i="63"/>
  <c r="AY23" i="63"/>
  <c r="AU23" i="63"/>
  <c r="BA23" i="63"/>
  <c r="BB23" i="63"/>
  <c r="BC23" i="63"/>
  <c r="BE27" i="63"/>
  <c r="AV27" i="63"/>
  <c r="AZ27" i="63"/>
  <c r="BD27" i="63"/>
  <c r="AW27" i="63"/>
  <c r="AX27" i="63"/>
  <c r="BC27" i="63"/>
  <c r="AT27" i="63"/>
  <c r="AY27" i="63"/>
  <c r="AU27" i="63"/>
  <c r="BA27" i="63"/>
  <c r="BB27" i="63"/>
  <c r="BE22" i="63"/>
  <c r="AU22" i="63"/>
  <c r="AY22" i="63"/>
  <c r="BC22" i="63"/>
  <c r="BD22" i="63"/>
  <c r="AW22" i="63"/>
  <c r="AT22" i="63"/>
  <c r="AZ22" i="63"/>
  <c r="AV22" i="63"/>
  <c r="BA22" i="63"/>
  <c r="BB22" i="63"/>
  <c r="AX22" i="63"/>
  <c r="AT8" i="63"/>
  <c r="AX8" i="63"/>
  <c r="BB8" i="63"/>
  <c r="BE8" i="63"/>
  <c r="AU8" i="63"/>
  <c r="AY8" i="63"/>
  <c r="BC8" i="63"/>
  <c r="AW8" i="63"/>
  <c r="BA8" i="63"/>
  <c r="BD8" i="63"/>
  <c r="AV8" i="63"/>
  <c r="AZ8" i="63"/>
  <c r="AT12" i="63"/>
  <c r="BE12" i="63"/>
  <c r="AU12" i="63"/>
  <c r="AY12" i="63"/>
  <c r="BC12" i="63"/>
  <c r="AW12" i="63"/>
  <c r="BA12" i="63"/>
  <c r="AV12" i="63"/>
  <c r="AX12" i="63"/>
  <c r="AZ12" i="63"/>
  <c r="BB12" i="63"/>
  <c r="BD12" i="63"/>
  <c r="BE16" i="63"/>
  <c r="AU16" i="63"/>
  <c r="AY16" i="63"/>
  <c r="BC16" i="63"/>
  <c r="AW16" i="63"/>
  <c r="BA16" i="63"/>
  <c r="AX16" i="63"/>
  <c r="AT16" i="63"/>
  <c r="BB16" i="63"/>
  <c r="AV16" i="63"/>
  <c r="BD16" i="63"/>
  <c r="AZ16" i="63"/>
  <c r="BE20" i="63"/>
  <c r="AW20" i="63"/>
  <c r="BA20" i="63"/>
  <c r="AY20" i="63"/>
  <c r="BD20" i="63"/>
  <c r="AU20" i="63"/>
  <c r="AZ20" i="63"/>
  <c r="AV20" i="63"/>
  <c r="BB20" i="63"/>
  <c r="AX20" i="63"/>
  <c r="BC20" i="63"/>
  <c r="AT20" i="63"/>
  <c r="BE24" i="63"/>
  <c r="AW24" i="63"/>
  <c r="BA24" i="63"/>
  <c r="AX24" i="63"/>
  <c r="AV24" i="63"/>
  <c r="BC24" i="63"/>
  <c r="AT24" i="63"/>
  <c r="AY24" i="63"/>
  <c r="BD24" i="63"/>
  <c r="AU24" i="63"/>
  <c r="AZ24" i="63"/>
  <c r="BB24" i="63"/>
  <c r="BE28" i="63"/>
  <c r="AW28" i="63"/>
  <c r="BA28" i="63"/>
  <c r="AV28" i="63"/>
  <c r="AU28" i="63"/>
  <c r="AX28" i="63"/>
  <c r="BC28" i="63"/>
  <c r="AT28" i="63"/>
  <c r="AY28" i="63"/>
  <c r="BD28" i="63"/>
  <c r="AZ28" i="63"/>
  <c r="BB28" i="63"/>
  <c r="AT164" i="63"/>
  <c r="AY164" i="63"/>
  <c r="BC164" i="63"/>
  <c r="AU164" i="63"/>
  <c r="AW164" i="63"/>
  <c r="BA164" i="63"/>
  <c r="BE164" i="63"/>
  <c r="BB164" i="63"/>
  <c r="AV164" i="63"/>
  <c r="AZ164" i="63"/>
  <c r="AX164" i="63"/>
  <c r="BD164" i="63"/>
  <c r="AU176" i="63"/>
  <c r="BC176" i="63"/>
  <c r="AT176" i="63"/>
  <c r="AY176" i="63"/>
  <c r="AV176" i="63"/>
  <c r="BA176" i="63"/>
  <c r="BE176" i="63"/>
  <c r="BD176" i="63"/>
  <c r="BB176" i="63"/>
  <c r="AW176" i="63"/>
  <c r="AZ176" i="63"/>
  <c r="AX176" i="63"/>
  <c r="AT155" i="63"/>
  <c r="AY155" i="63"/>
  <c r="AU155" i="63"/>
  <c r="BC155" i="63"/>
  <c r="AZ155" i="63"/>
  <c r="BB155" i="63"/>
  <c r="AV155" i="63"/>
  <c r="BE155" i="63"/>
  <c r="BD155" i="63"/>
  <c r="BA155" i="63"/>
  <c r="AX155" i="63"/>
  <c r="AW155" i="63"/>
  <c r="AT159" i="63"/>
  <c r="AY159" i="63"/>
  <c r="AU159" i="63"/>
  <c r="BC159" i="63"/>
  <c r="AX159" i="63"/>
  <c r="AZ159" i="63"/>
  <c r="BB159" i="63"/>
  <c r="BE159" i="63"/>
  <c r="BD159" i="63"/>
  <c r="BA159" i="63"/>
  <c r="AV159" i="63"/>
  <c r="AW159" i="63"/>
  <c r="AT163" i="63"/>
  <c r="AU163" i="63"/>
  <c r="BC163" i="63"/>
  <c r="AY163" i="63"/>
  <c r="AV163" i="63"/>
  <c r="AZ163" i="63"/>
  <c r="AW163" i="63"/>
  <c r="BB163" i="63"/>
  <c r="BE163" i="63"/>
  <c r="BD163" i="63"/>
  <c r="BA163" i="63"/>
  <c r="AX163" i="63"/>
  <c r="AT167" i="63"/>
  <c r="AY167" i="63"/>
  <c r="AU167" i="63"/>
  <c r="BC167" i="63"/>
  <c r="AV167" i="63"/>
  <c r="AW167" i="63"/>
  <c r="BB167" i="63"/>
  <c r="AZ167" i="63"/>
  <c r="BE167" i="63"/>
  <c r="BD167" i="63"/>
  <c r="BA167" i="63"/>
  <c r="AX167" i="63"/>
  <c r="AT171" i="63"/>
  <c r="AU171" i="63"/>
  <c r="BC171" i="63"/>
  <c r="AY171" i="63"/>
  <c r="BB171" i="63"/>
  <c r="AV171" i="63"/>
  <c r="AZ171" i="63"/>
  <c r="BE171" i="63"/>
  <c r="BD171" i="63"/>
  <c r="BA171" i="63"/>
  <c r="AX171" i="63"/>
  <c r="AW171" i="63"/>
  <c r="AY175" i="63"/>
  <c r="AU175" i="63"/>
  <c r="AT175" i="63"/>
  <c r="BC175" i="63"/>
  <c r="BB175" i="63"/>
  <c r="AV175" i="63"/>
  <c r="AZ175" i="63"/>
  <c r="AW175" i="63"/>
  <c r="BE175" i="63"/>
  <c r="BD175" i="63"/>
  <c r="BA175" i="63"/>
  <c r="AX175" i="63"/>
  <c r="BC179" i="63"/>
  <c r="AU179" i="63"/>
  <c r="AT179" i="63"/>
  <c r="AY179" i="63"/>
  <c r="AX179" i="63"/>
  <c r="AW179" i="63"/>
  <c r="AZ179" i="63"/>
  <c r="BD179" i="63"/>
  <c r="BA179" i="63"/>
  <c r="BE179" i="63"/>
  <c r="BB179" i="63"/>
  <c r="AV179" i="63"/>
  <c r="AT156" i="63"/>
  <c r="AU156" i="63"/>
  <c r="AY156" i="63"/>
  <c r="BC156" i="63"/>
  <c r="AZ156" i="63"/>
  <c r="BE156" i="63"/>
  <c r="BB156" i="63"/>
  <c r="AV156" i="63"/>
  <c r="AW156" i="63"/>
  <c r="BA156" i="63"/>
  <c r="AX156" i="63"/>
  <c r="BD156" i="63"/>
  <c r="AT172" i="63"/>
  <c r="BC172" i="63"/>
  <c r="AY172" i="63"/>
  <c r="AU172" i="63"/>
  <c r="AV172" i="63"/>
  <c r="AW172" i="63"/>
  <c r="AX172" i="63"/>
  <c r="BB172" i="63"/>
  <c r="AZ172" i="63"/>
  <c r="BA172" i="63"/>
  <c r="BE172" i="63"/>
  <c r="BD172" i="63"/>
  <c r="AT157" i="63"/>
  <c r="BC157" i="63"/>
  <c r="AU157" i="63"/>
  <c r="AY157" i="63"/>
  <c r="AW157" i="63"/>
  <c r="BE157" i="63"/>
  <c r="BB157" i="63"/>
  <c r="BD157" i="63"/>
  <c r="AV157" i="63"/>
  <c r="BA157" i="63"/>
  <c r="AX157" i="63"/>
  <c r="AZ157" i="63"/>
  <c r="AT161" i="63"/>
  <c r="AY161" i="63"/>
  <c r="BC161" i="63"/>
  <c r="AU161" i="63"/>
  <c r="AZ161" i="63"/>
  <c r="BE161" i="63"/>
  <c r="BB161" i="63"/>
  <c r="BD161" i="63"/>
  <c r="AW161" i="63"/>
  <c r="AV161" i="63"/>
  <c r="BA161" i="63"/>
  <c r="AX161" i="63"/>
  <c r="AT165" i="63"/>
  <c r="BC165" i="63"/>
  <c r="AU165" i="63"/>
  <c r="AY165" i="63"/>
  <c r="AZ165" i="63"/>
  <c r="BE165" i="63"/>
  <c r="BB165" i="63"/>
  <c r="BD165" i="63"/>
  <c r="AV165" i="63"/>
  <c r="BA165" i="63"/>
  <c r="AX165" i="63"/>
  <c r="AW165" i="63"/>
  <c r="AT169" i="63"/>
  <c r="BC169" i="63"/>
  <c r="AU169" i="63"/>
  <c r="AY169" i="63"/>
  <c r="BD169" i="63"/>
  <c r="BE169" i="63"/>
  <c r="BB169" i="63"/>
  <c r="AW169" i="63"/>
  <c r="AV169" i="63"/>
  <c r="BA169" i="63"/>
  <c r="AX169" i="63"/>
  <c r="AZ169" i="63"/>
  <c r="AY173" i="63"/>
  <c r="AU173" i="63"/>
  <c r="AT173" i="63"/>
  <c r="BC173" i="63"/>
  <c r="BD173" i="63"/>
  <c r="AW173" i="63"/>
  <c r="BE173" i="63"/>
  <c r="BB173" i="63"/>
  <c r="AV173" i="63"/>
  <c r="BA173" i="63"/>
  <c r="AX173" i="63"/>
  <c r="AZ173" i="63"/>
  <c r="AU177" i="63"/>
  <c r="BC177" i="63"/>
  <c r="AT177" i="63"/>
  <c r="AY177" i="63"/>
  <c r="BD177" i="63"/>
  <c r="BE177" i="63"/>
  <c r="BB177" i="63"/>
  <c r="AV177" i="63"/>
  <c r="BA177" i="63"/>
  <c r="AX177" i="63"/>
  <c r="AZ177" i="63"/>
  <c r="AW177" i="63"/>
  <c r="AT160" i="63"/>
  <c r="AY160" i="63"/>
  <c r="BC160" i="63"/>
  <c r="AU160" i="63"/>
  <c r="BA160" i="63"/>
  <c r="AX160" i="63"/>
  <c r="BB160" i="63"/>
  <c r="AV160" i="63"/>
  <c r="AW160" i="63"/>
  <c r="AZ160" i="63"/>
  <c r="BE160" i="63"/>
  <c r="BD160" i="63"/>
  <c r="AT168" i="63"/>
  <c r="AY168" i="63"/>
  <c r="AU168" i="63"/>
  <c r="BC168" i="63"/>
  <c r="AV168" i="63"/>
  <c r="AW168" i="63"/>
  <c r="AX168" i="63"/>
  <c r="BE168" i="63"/>
  <c r="BB168" i="63"/>
  <c r="AZ168" i="63"/>
  <c r="BA168" i="63"/>
  <c r="BD168" i="63"/>
  <c r="AT154" i="63"/>
  <c r="AY154" i="63"/>
  <c r="AU154" i="63"/>
  <c r="BC154" i="63"/>
  <c r="AX154" i="63"/>
  <c r="BE154" i="63"/>
  <c r="BA154" i="63"/>
  <c r="BB154" i="63"/>
  <c r="AZ154" i="63"/>
  <c r="BD154" i="63"/>
  <c r="AW154" i="63"/>
  <c r="AV154" i="63"/>
  <c r="AT158" i="63"/>
  <c r="BC158" i="63"/>
  <c r="AY158" i="63"/>
  <c r="AU158" i="63"/>
  <c r="AW158" i="63"/>
  <c r="BA158" i="63"/>
  <c r="AV158" i="63"/>
  <c r="BB158" i="63"/>
  <c r="AZ158" i="63"/>
  <c r="BE158" i="63"/>
  <c r="BD158" i="63"/>
  <c r="AX158" i="63"/>
  <c r="AT162" i="63"/>
  <c r="AU162" i="63"/>
  <c r="BC162" i="63"/>
  <c r="AY162" i="63"/>
  <c r="AX162" i="63"/>
  <c r="AV162" i="63"/>
  <c r="BB162" i="63"/>
  <c r="AZ162" i="63"/>
  <c r="BE162" i="63"/>
  <c r="BD162" i="63"/>
  <c r="AW162" i="63"/>
  <c r="BA162" i="63"/>
  <c r="AT166" i="63"/>
  <c r="AY166" i="63"/>
  <c r="AU166" i="63"/>
  <c r="BC166" i="63"/>
  <c r="AV166" i="63"/>
  <c r="BA166" i="63"/>
  <c r="AX166" i="63"/>
  <c r="BB166" i="63"/>
  <c r="AZ166" i="63"/>
  <c r="BE166" i="63"/>
  <c r="BD166" i="63"/>
  <c r="AW166" i="63"/>
  <c r="AT170" i="63"/>
  <c r="BC170" i="63"/>
  <c r="AY170" i="63"/>
  <c r="AU170" i="63"/>
  <c r="BA170" i="63"/>
  <c r="AV170" i="63"/>
  <c r="BB170" i="63"/>
  <c r="AZ170" i="63"/>
  <c r="BE170" i="63"/>
  <c r="BD170" i="63"/>
  <c r="AW170" i="63"/>
  <c r="AX170" i="63"/>
  <c r="AY174" i="63"/>
  <c r="AU174" i="63"/>
  <c r="AT174" i="63"/>
  <c r="BC174" i="63"/>
  <c r="AX174" i="63"/>
  <c r="AV174" i="63"/>
  <c r="BA174" i="63"/>
  <c r="BB174" i="63"/>
  <c r="AZ174" i="63"/>
  <c r="BE174" i="63"/>
  <c r="BD174" i="63"/>
  <c r="AW174" i="63"/>
  <c r="AU178" i="63"/>
  <c r="AY178" i="63"/>
  <c r="AT178" i="63"/>
  <c r="BC178" i="63"/>
  <c r="BD178" i="63"/>
  <c r="AW178" i="63"/>
  <c r="AX178" i="63"/>
  <c r="BB178" i="63"/>
  <c r="AZ178" i="63"/>
  <c r="BE178" i="63"/>
  <c r="BA178" i="63"/>
  <c r="AV178" i="63"/>
  <c r="BC153" i="63"/>
  <c r="AY153" i="63"/>
  <c r="AU153" i="63"/>
  <c r="N181" i="63"/>
  <c r="BB153" i="63"/>
  <c r="AX153" i="63"/>
  <c r="AT153" i="63"/>
  <c r="BA153" i="63"/>
  <c r="BD153" i="63"/>
  <c r="AZ153" i="63"/>
  <c r="AV153" i="63"/>
  <c r="BE153" i="63"/>
  <c r="AW153" i="63"/>
  <c r="BB40" i="63"/>
  <c r="AX40" i="63"/>
  <c r="AT40" i="63"/>
  <c r="BE40" i="63"/>
  <c r="BA40" i="63"/>
  <c r="AW40" i="63"/>
  <c r="BD40" i="63"/>
  <c r="AZ40" i="63"/>
  <c r="AV40" i="63"/>
  <c r="AU40" i="63"/>
  <c r="BC40" i="63"/>
  <c r="AY40" i="63"/>
  <c r="BB56" i="63"/>
  <c r="AX56" i="63"/>
  <c r="AT56" i="63"/>
  <c r="BE56" i="63"/>
  <c r="BA56" i="63"/>
  <c r="AW56" i="63"/>
  <c r="BD56" i="63"/>
  <c r="AZ56" i="63"/>
  <c r="AV56" i="63"/>
  <c r="AY56" i="63"/>
  <c r="AU56" i="63"/>
  <c r="BC56" i="63"/>
  <c r="BB34" i="63"/>
  <c r="AX34" i="63"/>
  <c r="AT34" i="63"/>
  <c r="BE34" i="63"/>
  <c r="BA34" i="63"/>
  <c r="AW34" i="63"/>
  <c r="BD34" i="63"/>
  <c r="AZ34" i="63"/>
  <c r="AV34" i="63"/>
  <c r="BC34" i="63"/>
  <c r="AU34" i="63"/>
  <c r="AY34" i="63"/>
  <c r="BB38" i="63"/>
  <c r="AX38" i="63"/>
  <c r="AT38" i="63"/>
  <c r="BE38" i="63"/>
  <c r="BA38" i="63"/>
  <c r="AW38" i="63"/>
  <c r="BD38" i="63"/>
  <c r="AZ38" i="63"/>
  <c r="AV38" i="63"/>
  <c r="AY38" i="63"/>
  <c r="BC38" i="63"/>
  <c r="AU38" i="63"/>
  <c r="BB42" i="63"/>
  <c r="AX42" i="63"/>
  <c r="AT42" i="63"/>
  <c r="BE42" i="63"/>
  <c r="BA42" i="63"/>
  <c r="AW42" i="63"/>
  <c r="BD42" i="63"/>
  <c r="AZ42" i="63"/>
  <c r="AV42" i="63"/>
  <c r="BC42" i="63"/>
  <c r="AU42" i="63"/>
  <c r="AY42" i="63"/>
  <c r="BB46" i="63"/>
  <c r="AX46" i="63"/>
  <c r="AT46" i="63"/>
  <c r="BE46" i="63"/>
  <c r="BA46" i="63"/>
  <c r="AW46" i="63"/>
  <c r="BD46" i="63"/>
  <c r="AZ46" i="63"/>
  <c r="AV46" i="63"/>
  <c r="BC46" i="63"/>
  <c r="AY46" i="63"/>
  <c r="AU46" i="63"/>
  <c r="BB50" i="63"/>
  <c r="AX50" i="63"/>
  <c r="AT50" i="63"/>
  <c r="BE50" i="63"/>
  <c r="BA50" i="63"/>
  <c r="AW50" i="63"/>
  <c r="BD50" i="63"/>
  <c r="AZ50" i="63"/>
  <c r="AV50" i="63"/>
  <c r="BC50" i="63"/>
  <c r="AU50" i="63"/>
  <c r="AY50" i="63"/>
  <c r="BB54" i="63"/>
  <c r="AX54" i="63"/>
  <c r="AT54" i="63"/>
  <c r="BE54" i="63"/>
  <c r="BA54" i="63"/>
  <c r="AW54" i="63"/>
  <c r="BD54" i="63"/>
  <c r="AZ54" i="63"/>
  <c r="AV54" i="63"/>
  <c r="BC54" i="63"/>
  <c r="AY54" i="63"/>
  <c r="AU54" i="63"/>
  <c r="BB58" i="63"/>
  <c r="AX58" i="63"/>
  <c r="AT58" i="63"/>
  <c r="BE58" i="63"/>
  <c r="BA58" i="63"/>
  <c r="AW58" i="63"/>
  <c r="BD58" i="63"/>
  <c r="AZ58" i="63"/>
  <c r="AV58" i="63"/>
  <c r="BC58" i="63"/>
  <c r="AY58" i="63"/>
  <c r="AU58" i="63"/>
  <c r="BB48" i="63"/>
  <c r="AX48" i="63"/>
  <c r="AT48" i="63"/>
  <c r="BE48" i="63"/>
  <c r="BA48" i="63"/>
  <c r="AW48" i="63"/>
  <c r="BD48" i="63"/>
  <c r="AZ48" i="63"/>
  <c r="AV48" i="63"/>
  <c r="AY48" i="63"/>
  <c r="AU48" i="63"/>
  <c r="BC48" i="63"/>
  <c r="BB35" i="63"/>
  <c r="AX35" i="63"/>
  <c r="AT35" i="63"/>
  <c r="BE35" i="63"/>
  <c r="BA35" i="63"/>
  <c r="AW35" i="63"/>
  <c r="BD35" i="63"/>
  <c r="AZ35" i="63"/>
  <c r="AV35" i="63"/>
  <c r="AU35" i="63"/>
  <c r="BC35" i="63"/>
  <c r="AY35" i="63"/>
  <c r="BB39" i="63"/>
  <c r="AX39" i="63"/>
  <c r="AT39" i="63"/>
  <c r="BE39" i="63"/>
  <c r="BA39" i="63"/>
  <c r="AW39" i="63"/>
  <c r="BD39" i="63"/>
  <c r="AZ39" i="63"/>
  <c r="AV39" i="63"/>
  <c r="BC39" i="63"/>
  <c r="AY39" i="63"/>
  <c r="AU39" i="63"/>
  <c r="BB43" i="63"/>
  <c r="AX43" i="63"/>
  <c r="AT43" i="63"/>
  <c r="BE43" i="63"/>
  <c r="BA43" i="63"/>
  <c r="AW43" i="63"/>
  <c r="BD43" i="63"/>
  <c r="AZ43" i="63"/>
  <c r="AV43" i="63"/>
  <c r="BC43" i="63"/>
  <c r="AY43" i="63"/>
  <c r="AU43" i="63"/>
  <c r="BB47" i="63"/>
  <c r="AX47" i="63"/>
  <c r="AT47" i="63"/>
  <c r="BE47" i="63"/>
  <c r="BA47" i="63"/>
  <c r="AW47" i="63"/>
  <c r="BD47" i="63"/>
  <c r="AZ47" i="63"/>
  <c r="AV47" i="63"/>
  <c r="AY47" i="63"/>
  <c r="AU47" i="63"/>
  <c r="BC47" i="63"/>
  <c r="BB51" i="63"/>
  <c r="AX51" i="63"/>
  <c r="AT51" i="63"/>
  <c r="BE51" i="63"/>
  <c r="BA51" i="63"/>
  <c r="AW51" i="63"/>
  <c r="BD51" i="63"/>
  <c r="AZ51" i="63"/>
  <c r="AV51" i="63"/>
  <c r="AU51" i="63"/>
  <c r="BC51" i="63"/>
  <c r="AY51" i="63"/>
  <c r="BB55" i="63"/>
  <c r="AX55" i="63"/>
  <c r="AT55" i="63"/>
  <c r="BE55" i="63"/>
  <c r="BA55" i="63"/>
  <c r="AW55" i="63"/>
  <c r="BD55" i="63"/>
  <c r="AZ55" i="63"/>
  <c r="AV55" i="63"/>
  <c r="AY55" i="63"/>
  <c r="AU55" i="63"/>
  <c r="BC55" i="63"/>
  <c r="BB59" i="63"/>
  <c r="AX59" i="63"/>
  <c r="AT59" i="63"/>
  <c r="BE59" i="63"/>
  <c r="BA59" i="63"/>
  <c r="AW59" i="63"/>
  <c r="BD59" i="63"/>
  <c r="AZ59" i="63"/>
  <c r="AV59" i="63"/>
  <c r="BC59" i="63"/>
  <c r="AY59" i="63"/>
  <c r="AU59" i="63"/>
  <c r="BB36" i="63"/>
  <c r="AX36" i="63"/>
  <c r="AT36" i="63"/>
  <c r="BE36" i="63"/>
  <c r="BA36" i="63"/>
  <c r="AW36" i="63"/>
  <c r="BD36" i="63"/>
  <c r="AZ36" i="63"/>
  <c r="AV36" i="63"/>
  <c r="AU36" i="63"/>
  <c r="BC36" i="63"/>
  <c r="AY36" i="63"/>
  <c r="BB44" i="63"/>
  <c r="AX44" i="63"/>
  <c r="AT44" i="63"/>
  <c r="BE44" i="63"/>
  <c r="BA44" i="63"/>
  <c r="AW44" i="63"/>
  <c r="BD44" i="63"/>
  <c r="AZ44" i="63"/>
  <c r="AV44" i="63"/>
  <c r="AY44" i="63"/>
  <c r="AU44" i="63"/>
  <c r="BC44" i="63"/>
  <c r="BB52" i="63"/>
  <c r="AX52" i="63"/>
  <c r="AT52" i="63"/>
  <c r="BE52" i="63"/>
  <c r="BA52" i="63"/>
  <c r="AW52" i="63"/>
  <c r="BD52" i="63"/>
  <c r="AZ52" i="63"/>
  <c r="AV52" i="63"/>
  <c r="AU52" i="63"/>
  <c r="BC52" i="63"/>
  <c r="AY52" i="63"/>
  <c r="AX37" i="63"/>
  <c r="AT37" i="63"/>
  <c r="AW37" i="63"/>
  <c r="AZ37" i="63"/>
  <c r="AV37" i="63"/>
  <c r="BC37" i="63"/>
  <c r="AY37" i="63"/>
  <c r="AU37" i="63"/>
  <c r="BA37" i="63"/>
  <c r="BB37" i="63"/>
  <c r="BE37" i="63"/>
  <c r="BD37" i="63"/>
  <c r="AX41" i="63"/>
  <c r="AT41" i="63"/>
  <c r="AW41" i="63"/>
  <c r="AZ41" i="63"/>
  <c r="AV41" i="63"/>
  <c r="BC41" i="63"/>
  <c r="AY41" i="63"/>
  <c r="AU41" i="63"/>
  <c r="BD41" i="63"/>
  <c r="BE41" i="63"/>
  <c r="BB41" i="63"/>
  <c r="BA41" i="63"/>
  <c r="AX45" i="63"/>
  <c r="AT45" i="63"/>
  <c r="AW45" i="63"/>
  <c r="AZ45" i="63"/>
  <c r="AV45" i="63"/>
  <c r="AY45" i="63"/>
  <c r="BC45" i="63"/>
  <c r="AU45" i="63"/>
  <c r="BB45" i="63"/>
  <c r="BD45" i="63"/>
  <c r="BA45" i="63"/>
  <c r="BE45" i="63"/>
  <c r="AX49" i="63"/>
  <c r="AT49" i="63"/>
  <c r="AW49" i="63"/>
  <c r="AZ49" i="63"/>
  <c r="AV49" i="63"/>
  <c r="AY49" i="63"/>
  <c r="AU49" i="63"/>
  <c r="BC49" i="63"/>
  <c r="BE49" i="63"/>
  <c r="BD49" i="63"/>
  <c r="BB49" i="63"/>
  <c r="BA49" i="63"/>
  <c r="AX53" i="63"/>
  <c r="AT53" i="63"/>
  <c r="AW53" i="63"/>
  <c r="AZ53" i="63"/>
  <c r="AV53" i="63"/>
  <c r="BC53" i="63"/>
  <c r="AY53" i="63"/>
  <c r="AU53" i="63"/>
  <c r="BA53" i="63"/>
  <c r="BB53" i="63"/>
  <c r="BE53" i="63"/>
  <c r="BD53" i="63"/>
  <c r="AX57" i="63"/>
  <c r="AT57" i="63"/>
  <c r="AW57" i="63"/>
  <c r="AZ57" i="63"/>
  <c r="AV57" i="63"/>
  <c r="BC57" i="63"/>
  <c r="AY57" i="63"/>
  <c r="AU57" i="63"/>
  <c r="BD57" i="63"/>
  <c r="BE57" i="63"/>
  <c r="BB57" i="63"/>
  <c r="BA57" i="63"/>
  <c r="AY33" i="63"/>
  <c r="AU33" i="63"/>
  <c r="AV33" i="63"/>
  <c r="AX33" i="63"/>
  <c r="AT33" i="63"/>
  <c r="BD33" i="63"/>
  <c r="AW33" i="63"/>
  <c r="AZ33" i="63"/>
  <c r="BB33" i="63"/>
  <c r="BC33" i="63"/>
  <c r="BA33" i="63"/>
  <c r="BE33" i="63"/>
  <c r="AT126" i="63"/>
  <c r="AU126" i="63"/>
  <c r="BD126" i="63"/>
  <c r="AV126" i="63"/>
  <c r="AZ126" i="63"/>
  <c r="AW126" i="63"/>
  <c r="BE126" i="63"/>
  <c r="AX126" i="63"/>
  <c r="BB126" i="63"/>
  <c r="AY126" i="63"/>
  <c r="BC126" i="63"/>
  <c r="BA126" i="63"/>
  <c r="AT130" i="63"/>
  <c r="AU130" i="63"/>
  <c r="AZ130" i="63"/>
  <c r="BD130" i="63"/>
  <c r="AV130" i="63"/>
  <c r="BE130" i="63"/>
  <c r="BB130" i="63"/>
  <c r="BC130" i="63"/>
  <c r="AW130" i="63"/>
  <c r="BA130" i="63"/>
  <c r="AY130" i="63"/>
  <c r="AX130" i="63"/>
  <c r="AT134" i="63"/>
  <c r="AU134" i="63"/>
  <c r="BD134" i="63"/>
  <c r="AZ134" i="63"/>
  <c r="AV134" i="63"/>
  <c r="AX134" i="63"/>
  <c r="BB134" i="63"/>
  <c r="BC134" i="63"/>
  <c r="AW134" i="63"/>
  <c r="BA134" i="63"/>
  <c r="AY134" i="63"/>
  <c r="BE134" i="63"/>
  <c r="AT138" i="63"/>
  <c r="AU138" i="63"/>
  <c r="BD138" i="63"/>
  <c r="AV138" i="63"/>
  <c r="AZ138" i="63"/>
  <c r="BB138" i="63"/>
  <c r="BA138" i="63"/>
  <c r="AY138" i="63"/>
  <c r="AX138" i="63"/>
  <c r="BC138" i="63"/>
  <c r="AW138" i="63"/>
  <c r="BE138" i="63"/>
  <c r="AT142" i="63"/>
  <c r="AU142" i="63"/>
  <c r="AZ142" i="63"/>
  <c r="BD142" i="63"/>
  <c r="AV142" i="63"/>
  <c r="AY142" i="63"/>
  <c r="BE142" i="63"/>
  <c r="BB142" i="63"/>
  <c r="BA142" i="63"/>
  <c r="BC142" i="63"/>
  <c r="AW142" i="63"/>
  <c r="AX142" i="63"/>
  <c r="AT146" i="63"/>
  <c r="AZ146" i="63"/>
  <c r="AV146" i="63"/>
  <c r="AU146" i="63"/>
  <c r="BD146" i="63"/>
  <c r="AX146" i="63"/>
  <c r="BB146" i="63"/>
  <c r="BA146" i="63"/>
  <c r="BC146" i="63"/>
  <c r="AW146" i="63"/>
  <c r="AY146" i="63"/>
  <c r="BE146" i="63"/>
  <c r="AT127" i="63"/>
  <c r="AU127" i="63"/>
  <c r="AV127" i="63"/>
  <c r="BD127" i="63"/>
  <c r="AZ127" i="63"/>
  <c r="BE127" i="63"/>
  <c r="BC127" i="63"/>
  <c r="AW127" i="63"/>
  <c r="AX127" i="63"/>
  <c r="BB127" i="63"/>
  <c r="AY127" i="63"/>
  <c r="BA127" i="63"/>
  <c r="AT131" i="63"/>
  <c r="AU131" i="63"/>
  <c r="AZ131" i="63"/>
  <c r="AV131" i="63"/>
  <c r="BD131" i="63"/>
  <c r="BE131" i="63"/>
  <c r="BC131" i="63"/>
  <c r="AW131" i="63"/>
  <c r="AX131" i="63"/>
  <c r="BB131" i="63"/>
  <c r="AY131" i="63"/>
  <c r="BA131" i="63"/>
  <c r="AT135" i="63"/>
  <c r="AU135" i="63"/>
  <c r="AZ135" i="63"/>
  <c r="AV135" i="63"/>
  <c r="BD135" i="63"/>
  <c r="BE135" i="63"/>
  <c r="BC135" i="63"/>
  <c r="AW135" i="63"/>
  <c r="AX135" i="63"/>
  <c r="BB135" i="63"/>
  <c r="AY135" i="63"/>
  <c r="BA135" i="63"/>
  <c r="AT139" i="63"/>
  <c r="AU139" i="63"/>
  <c r="AZ139" i="63"/>
  <c r="AV139" i="63"/>
  <c r="BD139" i="63"/>
  <c r="BC139" i="63"/>
  <c r="AW139" i="63"/>
  <c r="AX139" i="63"/>
  <c r="BB139" i="63"/>
  <c r="AY139" i="63"/>
  <c r="BA139" i="63"/>
  <c r="BE139" i="63"/>
  <c r="AT143" i="63"/>
  <c r="AZ143" i="63"/>
  <c r="AV143" i="63"/>
  <c r="AU143" i="63"/>
  <c r="BD143" i="63"/>
  <c r="BC143" i="63"/>
  <c r="AW143" i="63"/>
  <c r="AX143" i="63"/>
  <c r="BB143" i="63"/>
  <c r="AY143" i="63"/>
  <c r="BA143" i="63"/>
  <c r="BE143" i="63"/>
  <c r="AT147" i="63"/>
  <c r="AZ147" i="63"/>
  <c r="AV147" i="63"/>
  <c r="AU147" i="63"/>
  <c r="BD147" i="63"/>
  <c r="BA147" i="63"/>
  <c r="BC147" i="63"/>
  <c r="BB147" i="63"/>
  <c r="AW147" i="63"/>
  <c r="AX147" i="63"/>
  <c r="AY147" i="63"/>
  <c r="BE147" i="63"/>
  <c r="AT124" i="63"/>
  <c r="AU124" i="63"/>
  <c r="AV124" i="63"/>
  <c r="BD124" i="63"/>
  <c r="AZ124" i="63"/>
  <c r="AW124" i="63"/>
  <c r="BB124" i="63"/>
  <c r="BC124" i="63"/>
  <c r="BA124" i="63"/>
  <c r="BE124" i="63"/>
  <c r="AX124" i="63"/>
  <c r="AY124" i="63"/>
  <c r="AT128" i="63"/>
  <c r="AU128" i="63"/>
  <c r="AV128" i="63"/>
  <c r="BD128" i="63"/>
  <c r="AZ128" i="63"/>
  <c r="AY128" i="63"/>
  <c r="BB128" i="63"/>
  <c r="BC128" i="63"/>
  <c r="BA128" i="63"/>
  <c r="BE128" i="63"/>
  <c r="AX128" i="63"/>
  <c r="AW128" i="63"/>
  <c r="AT132" i="63"/>
  <c r="AU132" i="63"/>
  <c r="AV132" i="63"/>
  <c r="BD132" i="63"/>
  <c r="AZ132" i="63"/>
  <c r="AY132" i="63"/>
  <c r="BB132" i="63"/>
  <c r="BC132" i="63"/>
  <c r="BA132" i="63"/>
  <c r="BE132" i="63"/>
  <c r="AX132" i="63"/>
  <c r="AW132" i="63"/>
  <c r="AT136" i="63"/>
  <c r="AU136" i="63"/>
  <c r="AV136" i="63"/>
  <c r="BD136" i="63"/>
  <c r="AZ136" i="63"/>
  <c r="AY136" i="63"/>
  <c r="AW136" i="63"/>
  <c r="BB136" i="63"/>
  <c r="BC136" i="63"/>
  <c r="BA136" i="63"/>
  <c r="BE136" i="63"/>
  <c r="AX136" i="63"/>
  <c r="AT140" i="63"/>
  <c r="AU140" i="63"/>
  <c r="AV140" i="63"/>
  <c r="BD140" i="63"/>
  <c r="AZ140" i="63"/>
  <c r="AX140" i="63"/>
  <c r="AW140" i="63"/>
  <c r="BB140" i="63"/>
  <c r="BC140" i="63"/>
  <c r="BA140" i="63"/>
  <c r="BE140" i="63"/>
  <c r="AY140" i="63"/>
  <c r="AT144" i="63"/>
  <c r="AZ144" i="63"/>
  <c r="AV144" i="63"/>
  <c r="AU144" i="63"/>
  <c r="BD144" i="63"/>
  <c r="AY144" i="63"/>
  <c r="BB144" i="63"/>
  <c r="BC144" i="63"/>
  <c r="BA144" i="63"/>
  <c r="BE144" i="63"/>
  <c r="AX144" i="63"/>
  <c r="AW144" i="63"/>
  <c r="AT148" i="63"/>
  <c r="AV148" i="63"/>
  <c r="AZ148" i="63"/>
  <c r="AU148" i="63"/>
  <c r="BD148" i="63"/>
  <c r="AY148" i="63"/>
  <c r="AW148" i="63"/>
  <c r="BC148" i="63"/>
  <c r="BA148" i="63"/>
  <c r="BB148" i="63"/>
  <c r="BE148" i="63"/>
  <c r="AX148" i="63"/>
  <c r="AT125" i="63"/>
  <c r="AU125" i="63"/>
  <c r="AV125" i="63"/>
  <c r="AZ125" i="63"/>
  <c r="BD125" i="63"/>
  <c r="BB125" i="63"/>
  <c r="BC125" i="63"/>
  <c r="BE125" i="63"/>
  <c r="AY125" i="63"/>
  <c r="AW125" i="63"/>
  <c r="AX125" i="63"/>
  <c r="BA125" i="63"/>
  <c r="AT129" i="63"/>
  <c r="AU129" i="63"/>
  <c r="AZ129" i="63"/>
  <c r="BD129" i="63"/>
  <c r="AV129" i="63"/>
  <c r="BC129" i="63"/>
  <c r="AW129" i="63"/>
  <c r="AX129" i="63"/>
  <c r="BA129" i="63"/>
  <c r="BE129" i="63"/>
  <c r="AY129" i="63"/>
  <c r="BB129" i="63"/>
  <c r="AT133" i="63"/>
  <c r="AU133" i="63"/>
  <c r="AZ133" i="63"/>
  <c r="BD133" i="63"/>
  <c r="AV133" i="63"/>
  <c r="AX133" i="63"/>
  <c r="BB133" i="63"/>
  <c r="BC133" i="63"/>
  <c r="AW133" i="63"/>
  <c r="BA133" i="63"/>
  <c r="BE133" i="63"/>
  <c r="AY133" i="63"/>
  <c r="AT137" i="63"/>
  <c r="AU137" i="63"/>
  <c r="AZ137" i="63"/>
  <c r="BD137" i="63"/>
  <c r="AV137" i="63"/>
  <c r="BB137" i="63"/>
  <c r="BA137" i="63"/>
  <c r="BE137" i="63"/>
  <c r="AY137" i="63"/>
  <c r="BC137" i="63"/>
  <c r="AW137" i="63"/>
  <c r="AX137" i="63"/>
  <c r="AT141" i="63"/>
  <c r="AU141" i="63"/>
  <c r="AZ141" i="63"/>
  <c r="BD141" i="63"/>
  <c r="AV141" i="63"/>
  <c r="BC141" i="63"/>
  <c r="AW141" i="63"/>
  <c r="AX141" i="63"/>
  <c r="BA141" i="63"/>
  <c r="BE141" i="63"/>
  <c r="AY141" i="63"/>
  <c r="BB141" i="63"/>
  <c r="AT145" i="63"/>
  <c r="AZ145" i="63"/>
  <c r="AV145" i="63"/>
  <c r="AU145" i="63"/>
  <c r="BD145" i="63"/>
  <c r="AW145" i="63"/>
  <c r="BB145" i="63"/>
  <c r="AX145" i="63"/>
  <c r="BA145" i="63"/>
  <c r="BE145" i="63"/>
  <c r="AY145" i="63"/>
  <c r="BC145" i="63"/>
  <c r="AT149" i="63"/>
  <c r="BD149" i="63"/>
  <c r="AV149" i="63"/>
  <c r="AU149" i="63"/>
  <c r="AZ149" i="63"/>
  <c r="AW149" i="63"/>
  <c r="BC149" i="63"/>
  <c r="BA149" i="63"/>
  <c r="BE149" i="63"/>
  <c r="BB149" i="63"/>
  <c r="AY149" i="63"/>
  <c r="AX149" i="63"/>
  <c r="BC123" i="63"/>
  <c r="AY123" i="63"/>
  <c r="AU123" i="63"/>
  <c r="BA123" i="63"/>
  <c r="AW123" i="63"/>
  <c r="BB123" i="63"/>
  <c r="AX123" i="63"/>
  <c r="AT123" i="63"/>
  <c r="BD123" i="63"/>
  <c r="AZ123" i="63"/>
  <c r="AV123" i="63"/>
  <c r="BE123" i="63"/>
  <c r="AT101" i="63"/>
  <c r="AU101" i="63"/>
  <c r="BD101" i="63"/>
  <c r="AZ101" i="63"/>
  <c r="AV101" i="63"/>
  <c r="AY101" i="63"/>
  <c r="BA101" i="63"/>
  <c r="BC101" i="63"/>
  <c r="BE101" i="63"/>
  <c r="BB101" i="63"/>
  <c r="AW101" i="63"/>
  <c r="AX101" i="63"/>
  <c r="AT113" i="63"/>
  <c r="BD113" i="63"/>
  <c r="AU113" i="63"/>
  <c r="AZ113" i="63"/>
  <c r="AV113" i="63"/>
  <c r="BA113" i="63"/>
  <c r="BC113" i="63"/>
  <c r="BE113" i="63"/>
  <c r="BB113" i="63"/>
  <c r="AW113" i="63"/>
  <c r="AX113" i="63"/>
  <c r="AY113" i="63"/>
  <c r="AT94" i="63"/>
  <c r="AU94" i="63"/>
  <c r="BD94" i="63"/>
  <c r="AV94" i="63"/>
  <c r="AZ94" i="63"/>
  <c r="BE94" i="63"/>
  <c r="AX94" i="63"/>
  <c r="BB94" i="63"/>
  <c r="AY94" i="63"/>
  <c r="AW94" i="63"/>
  <c r="BC94" i="63"/>
  <c r="BA94" i="63"/>
  <c r="AT98" i="63"/>
  <c r="AU98" i="63"/>
  <c r="BD98" i="63"/>
  <c r="AZ98" i="63"/>
  <c r="AV98" i="63"/>
  <c r="BE98" i="63"/>
  <c r="BB98" i="63"/>
  <c r="AY98" i="63"/>
  <c r="AW98" i="63"/>
  <c r="BC98" i="63"/>
  <c r="BA98" i="63"/>
  <c r="AX98" i="63"/>
  <c r="AT102" i="63"/>
  <c r="AU102" i="63"/>
  <c r="BD102" i="63"/>
  <c r="AZ102" i="63"/>
  <c r="AV102" i="63"/>
  <c r="AX102" i="63"/>
  <c r="BB102" i="63"/>
  <c r="AY102" i="63"/>
  <c r="AW102" i="63"/>
  <c r="BC102" i="63"/>
  <c r="BA102" i="63"/>
  <c r="BE102" i="63"/>
  <c r="AT106" i="63"/>
  <c r="AU106" i="63"/>
  <c r="BD106" i="63"/>
  <c r="AZ106" i="63"/>
  <c r="AV106" i="63"/>
  <c r="BB106" i="63"/>
  <c r="AY106" i="63"/>
  <c r="AW106" i="63"/>
  <c r="BC106" i="63"/>
  <c r="BA106" i="63"/>
  <c r="BE106" i="63"/>
  <c r="AX106" i="63"/>
  <c r="AT110" i="63"/>
  <c r="AU110" i="63"/>
  <c r="BD110" i="63"/>
  <c r="AZ110" i="63"/>
  <c r="AV110" i="63"/>
  <c r="BE110" i="63"/>
  <c r="AX110" i="63"/>
  <c r="BB110" i="63"/>
  <c r="AY110" i="63"/>
  <c r="AW110" i="63"/>
  <c r="BC110" i="63"/>
  <c r="BA110" i="63"/>
  <c r="AT114" i="63"/>
  <c r="BD114" i="63"/>
  <c r="AV114" i="63"/>
  <c r="AU114" i="63"/>
  <c r="AZ114" i="63"/>
  <c r="AW114" i="63"/>
  <c r="BB114" i="63"/>
  <c r="AY114" i="63"/>
  <c r="BC114" i="63"/>
  <c r="BA114" i="63"/>
  <c r="BE114" i="63"/>
  <c r="AX114" i="63"/>
  <c r="AT118" i="63"/>
  <c r="AV118" i="63"/>
  <c r="AZ118" i="63"/>
  <c r="AU118" i="63"/>
  <c r="BD118" i="63"/>
  <c r="AX118" i="63"/>
  <c r="BB118" i="63"/>
  <c r="AY118" i="63"/>
  <c r="AW118" i="63"/>
  <c r="BC118" i="63"/>
  <c r="BA118" i="63"/>
  <c r="BE118" i="63"/>
  <c r="AT97" i="63"/>
  <c r="AU97" i="63"/>
  <c r="AZ97" i="63"/>
  <c r="AV97" i="63"/>
  <c r="BD97" i="63"/>
  <c r="AY97" i="63"/>
  <c r="BC97" i="63"/>
  <c r="BE97" i="63"/>
  <c r="BB97" i="63"/>
  <c r="AW97" i="63"/>
  <c r="AX97" i="63"/>
  <c r="BA97" i="63"/>
  <c r="AT109" i="63"/>
  <c r="AU109" i="63"/>
  <c r="BD109" i="63"/>
  <c r="AZ109" i="63"/>
  <c r="AV109" i="63"/>
  <c r="BC109" i="63"/>
  <c r="BE109" i="63"/>
  <c r="BB109" i="63"/>
  <c r="AW109" i="63"/>
  <c r="AX109" i="63"/>
  <c r="AY109" i="63"/>
  <c r="BA109" i="63"/>
  <c r="AT95" i="63"/>
  <c r="AU95" i="63"/>
  <c r="BD95" i="63"/>
  <c r="AZ95" i="63"/>
  <c r="AV95" i="63"/>
  <c r="BC95" i="63"/>
  <c r="AW95" i="63"/>
  <c r="AX95" i="63"/>
  <c r="BA95" i="63"/>
  <c r="BE95" i="63"/>
  <c r="BB95" i="63"/>
  <c r="AY95" i="63"/>
  <c r="AT99" i="63"/>
  <c r="AU99" i="63"/>
  <c r="AV99" i="63"/>
  <c r="BD99" i="63"/>
  <c r="AZ99" i="63"/>
  <c r="BB99" i="63"/>
  <c r="BC99" i="63"/>
  <c r="AW99" i="63"/>
  <c r="AX99" i="63"/>
  <c r="BA99" i="63"/>
  <c r="BE99" i="63"/>
  <c r="AY99" i="63"/>
  <c r="AT103" i="63"/>
  <c r="AU103" i="63"/>
  <c r="BD103" i="63"/>
  <c r="AZ103" i="63"/>
  <c r="AV103" i="63"/>
  <c r="BC103" i="63"/>
  <c r="AW103" i="63"/>
  <c r="AX103" i="63"/>
  <c r="BA103" i="63"/>
  <c r="BE103" i="63"/>
  <c r="BB103" i="63"/>
  <c r="AY103" i="63"/>
  <c r="AT107" i="63"/>
  <c r="AU107" i="63"/>
  <c r="AV107" i="63"/>
  <c r="BD107" i="63"/>
  <c r="AZ107" i="63"/>
  <c r="BB107" i="63"/>
  <c r="AY107" i="63"/>
  <c r="BC107" i="63"/>
  <c r="AW107" i="63"/>
  <c r="AX107" i="63"/>
  <c r="BA107" i="63"/>
  <c r="BE107" i="63"/>
  <c r="AT111" i="63"/>
  <c r="AU111" i="63"/>
  <c r="AV111" i="63"/>
  <c r="BD111" i="63"/>
  <c r="AZ111" i="63"/>
  <c r="BB111" i="63"/>
  <c r="AY111" i="63"/>
  <c r="BC111" i="63"/>
  <c r="AW111" i="63"/>
  <c r="AX111" i="63"/>
  <c r="BE111" i="63"/>
  <c r="BA111" i="63"/>
  <c r="AT115" i="63"/>
  <c r="BD115" i="63"/>
  <c r="AV115" i="63"/>
  <c r="AU115" i="63"/>
  <c r="AZ115" i="63"/>
  <c r="AY115" i="63"/>
  <c r="BC115" i="63"/>
  <c r="AW115" i="63"/>
  <c r="AX115" i="63"/>
  <c r="BA115" i="63"/>
  <c r="BE115" i="63"/>
  <c r="BB115" i="63"/>
  <c r="AT119" i="63"/>
  <c r="AZ119" i="63"/>
  <c r="AV119" i="63"/>
  <c r="AU119" i="63"/>
  <c r="BD119" i="63"/>
  <c r="BB119" i="63"/>
  <c r="BC119" i="63"/>
  <c r="AW119" i="63"/>
  <c r="AX119" i="63"/>
  <c r="BE119" i="63"/>
  <c r="AY119" i="63"/>
  <c r="BA119" i="63"/>
  <c r="AT105" i="63"/>
  <c r="AU105" i="63"/>
  <c r="BD105" i="63"/>
  <c r="AZ105" i="63"/>
  <c r="AV105" i="63"/>
  <c r="BC105" i="63"/>
  <c r="BE105" i="63"/>
  <c r="BB105" i="63"/>
  <c r="AW105" i="63"/>
  <c r="AX105" i="63"/>
  <c r="AY105" i="63"/>
  <c r="BA105" i="63"/>
  <c r="AT117" i="63"/>
  <c r="AV117" i="63"/>
  <c r="AZ117" i="63"/>
  <c r="AU117" i="63"/>
  <c r="BD117" i="63"/>
  <c r="BA117" i="63"/>
  <c r="BC117" i="63"/>
  <c r="BE117" i="63"/>
  <c r="BB117" i="63"/>
  <c r="AW117" i="63"/>
  <c r="AX117" i="63"/>
  <c r="AY117" i="63"/>
  <c r="AT96" i="63"/>
  <c r="AU96" i="63"/>
  <c r="AZ96" i="63"/>
  <c r="AV96" i="63"/>
  <c r="BD96" i="63"/>
  <c r="AX96" i="63"/>
  <c r="BA96" i="63"/>
  <c r="AY96" i="63"/>
  <c r="BE96" i="63"/>
  <c r="BB96" i="63"/>
  <c r="BC96" i="63"/>
  <c r="AW96" i="63"/>
  <c r="AT100" i="63"/>
  <c r="AU100" i="63"/>
  <c r="AZ100" i="63"/>
  <c r="AV100" i="63"/>
  <c r="BD100" i="63"/>
  <c r="BA100" i="63"/>
  <c r="AY100" i="63"/>
  <c r="BE100" i="63"/>
  <c r="AX100" i="63"/>
  <c r="BB100" i="63"/>
  <c r="BC100" i="63"/>
  <c r="AW100" i="63"/>
  <c r="AT104" i="63"/>
  <c r="AU104" i="63"/>
  <c r="AZ104" i="63"/>
  <c r="AV104" i="63"/>
  <c r="BD104" i="63"/>
  <c r="AW104" i="63"/>
  <c r="BA104" i="63"/>
  <c r="AY104" i="63"/>
  <c r="BE104" i="63"/>
  <c r="BB104" i="63"/>
  <c r="BC104" i="63"/>
  <c r="AX104" i="63"/>
  <c r="AT108" i="63"/>
  <c r="AU108" i="63"/>
  <c r="AZ108" i="63"/>
  <c r="AV108" i="63"/>
  <c r="BD108" i="63"/>
  <c r="AW108" i="63"/>
  <c r="AX108" i="63"/>
  <c r="BA108" i="63"/>
  <c r="AY108" i="63"/>
  <c r="BE108" i="63"/>
  <c r="BB108" i="63"/>
  <c r="BC108" i="63"/>
  <c r="AT112" i="63"/>
  <c r="AU112" i="63"/>
  <c r="AZ112" i="63"/>
  <c r="AV112" i="63"/>
  <c r="BD112" i="63"/>
  <c r="BA112" i="63"/>
  <c r="AY112" i="63"/>
  <c r="BE112" i="63"/>
  <c r="BB112" i="63"/>
  <c r="BC112" i="63"/>
  <c r="AW112" i="63"/>
  <c r="AX112" i="63"/>
  <c r="AT116" i="63"/>
  <c r="AV116" i="63"/>
  <c r="AU116" i="63"/>
  <c r="BD116" i="63"/>
  <c r="AZ116" i="63"/>
  <c r="BA116" i="63"/>
  <c r="AY116" i="63"/>
  <c r="AX116" i="63"/>
  <c r="BB116" i="63"/>
  <c r="BC116" i="63"/>
  <c r="AW116" i="63"/>
  <c r="BE116" i="63"/>
  <c r="BC93" i="63"/>
  <c r="AY93" i="63"/>
  <c r="AU93" i="63"/>
  <c r="BB93" i="63"/>
  <c r="AX93" i="63"/>
  <c r="AT93" i="63"/>
  <c r="AV93" i="63"/>
  <c r="BD93" i="63"/>
  <c r="AZ93" i="63"/>
  <c r="BE93" i="63"/>
  <c r="AW93" i="63"/>
  <c r="BA93" i="63"/>
  <c r="AV69" i="63"/>
  <c r="AU69" i="63"/>
  <c r="AX69" i="63"/>
  <c r="BB69" i="63"/>
  <c r="AT69" i="63"/>
  <c r="BE69" i="63"/>
  <c r="AY69" i="63"/>
  <c r="AZ69" i="63"/>
  <c r="AW69" i="63"/>
  <c r="BC69" i="63"/>
  <c r="BD69" i="63"/>
  <c r="BA69" i="63"/>
  <c r="AV81" i="63"/>
  <c r="AU81" i="63"/>
  <c r="BB81" i="63"/>
  <c r="AX81" i="63"/>
  <c r="AT81" i="63"/>
  <c r="BE81" i="63"/>
  <c r="AY81" i="63"/>
  <c r="AZ81" i="63"/>
  <c r="AW81" i="63"/>
  <c r="BA81" i="63"/>
  <c r="BC81" i="63"/>
  <c r="BD81" i="63"/>
  <c r="AV64" i="63"/>
  <c r="AU64" i="63"/>
  <c r="AX64" i="63"/>
  <c r="AT64" i="63"/>
  <c r="BB64" i="63"/>
  <c r="BE64" i="63"/>
  <c r="AY64" i="63"/>
  <c r="AZ64" i="63"/>
  <c r="AW64" i="63"/>
  <c r="BC64" i="63"/>
  <c r="BD64" i="63"/>
  <c r="BA64" i="63"/>
  <c r="AV68" i="63"/>
  <c r="AU68" i="63"/>
  <c r="AX68" i="63"/>
  <c r="AT68" i="63"/>
  <c r="BB68" i="63"/>
  <c r="AY68" i="63"/>
  <c r="BE68" i="63"/>
  <c r="BC68" i="63"/>
  <c r="BD68" i="63"/>
  <c r="BA68" i="63"/>
  <c r="AZ68" i="63"/>
  <c r="AW68" i="63"/>
  <c r="AV72" i="63"/>
  <c r="AU72" i="63"/>
  <c r="AT72" i="63"/>
  <c r="BB72" i="63"/>
  <c r="AX72" i="63"/>
  <c r="AW72" i="63"/>
  <c r="BE72" i="63"/>
  <c r="AY72" i="63"/>
  <c r="BC72" i="63"/>
  <c r="BD72" i="63"/>
  <c r="BA72" i="63"/>
  <c r="AZ72" i="63"/>
  <c r="AV76" i="63"/>
  <c r="AU76" i="63"/>
  <c r="AX76" i="63"/>
  <c r="AT76" i="63"/>
  <c r="BB76" i="63"/>
  <c r="BE76" i="63"/>
  <c r="AZ76" i="63"/>
  <c r="AW76" i="63"/>
  <c r="BC76" i="63"/>
  <c r="BD76" i="63"/>
  <c r="BA76" i="63"/>
  <c r="AY76" i="63"/>
  <c r="AV80" i="63"/>
  <c r="AU80" i="63"/>
  <c r="AT80" i="63"/>
  <c r="BB80" i="63"/>
  <c r="AX80" i="63"/>
  <c r="AY80" i="63"/>
  <c r="AZ80" i="63"/>
  <c r="BE80" i="63"/>
  <c r="BC80" i="63"/>
  <c r="BD80" i="63"/>
  <c r="BA80" i="63"/>
  <c r="AW80" i="63"/>
  <c r="AX84" i="63"/>
  <c r="AV84" i="63"/>
  <c r="AT84" i="63"/>
  <c r="AU84" i="63"/>
  <c r="BB84" i="63"/>
  <c r="BE84" i="63"/>
  <c r="AY84" i="63"/>
  <c r="AZ84" i="63"/>
  <c r="BC84" i="63"/>
  <c r="BD84" i="63"/>
  <c r="BA84" i="63"/>
  <c r="AW84" i="63"/>
  <c r="AV88" i="63"/>
  <c r="BB88" i="63"/>
  <c r="AT88" i="63"/>
  <c r="AU88" i="63"/>
  <c r="AX88" i="63"/>
  <c r="BE88" i="63"/>
  <c r="AW88" i="63"/>
  <c r="BC88" i="63"/>
  <c r="BD88" i="63"/>
  <c r="BA88" i="63"/>
  <c r="AY88" i="63"/>
  <c r="AZ88" i="63"/>
  <c r="AV65" i="63"/>
  <c r="AU65" i="63"/>
  <c r="AX65" i="63"/>
  <c r="BB65" i="63"/>
  <c r="AT65" i="63"/>
  <c r="BE65" i="63"/>
  <c r="AY65" i="63"/>
  <c r="AZ65" i="63"/>
  <c r="AW65" i="63"/>
  <c r="BC65" i="63"/>
  <c r="BD65" i="63"/>
  <c r="BA65" i="63"/>
  <c r="AV77" i="63"/>
  <c r="AU77" i="63"/>
  <c r="BB77" i="63"/>
  <c r="AX77" i="63"/>
  <c r="AT77" i="63"/>
  <c r="BE77" i="63"/>
  <c r="AY77" i="63"/>
  <c r="AZ77" i="63"/>
  <c r="AW77" i="63"/>
  <c r="BC77" i="63"/>
  <c r="BD77" i="63"/>
  <c r="BA77" i="63"/>
  <c r="BB89" i="63"/>
  <c r="AV89" i="63"/>
  <c r="AX89" i="63"/>
  <c r="AU89" i="63"/>
  <c r="AT89" i="63"/>
  <c r="BE89" i="63"/>
  <c r="AY89" i="63"/>
  <c r="AZ89" i="63"/>
  <c r="AW89" i="63"/>
  <c r="BC89" i="63"/>
  <c r="BD89" i="63"/>
  <c r="BA89" i="63"/>
  <c r="AV66" i="63"/>
  <c r="AU66" i="63"/>
  <c r="BB66" i="63"/>
  <c r="AT66" i="63"/>
  <c r="AX66" i="63"/>
  <c r="AZ66" i="63"/>
  <c r="AW66" i="63"/>
  <c r="BE66" i="63"/>
  <c r="BC66" i="63"/>
  <c r="BD66" i="63"/>
  <c r="BA66" i="63"/>
  <c r="AY66" i="63"/>
  <c r="AV70" i="63"/>
  <c r="AU70" i="63"/>
  <c r="BB70" i="63"/>
  <c r="AT70" i="63"/>
  <c r="AX70" i="63"/>
  <c r="AZ70" i="63"/>
  <c r="AW70" i="63"/>
  <c r="BE70" i="63"/>
  <c r="BC70" i="63"/>
  <c r="BD70" i="63"/>
  <c r="BA70" i="63"/>
  <c r="AY70" i="63"/>
  <c r="AV74" i="63"/>
  <c r="AU74" i="63"/>
  <c r="BB74" i="63"/>
  <c r="AT74" i="63"/>
  <c r="AX74" i="63"/>
  <c r="AY74" i="63"/>
  <c r="AZ74" i="63"/>
  <c r="BE74" i="63"/>
  <c r="BC74" i="63"/>
  <c r="BD74" i="63"/>
  <c r="BA74" i="63"/>
  <c r="AW74" i="63"/>
  <c r="AV78" i="63"/>
  <c r="AU78" i="63"/>
  <c r="BB78" i="63"/>
  <c r="AT78" i="63"/>
  <c r="AX78" i="63"/>
  <c r="AW78" i="63"/>
  <c r="AY78" i="63"/>
  <c r="BE78" i="63"/>
  <c r="BC78" i="63"/>
  <c r="BD78" i="63"/>
  <c r="BA78" i="63"/>
  <c r="AZ78" i="63"/>
  <c r="AV82" i="63"/>
  <c r="AU82" i="63"/>
  <c r="BB82" i="63"/>
  <c r="AT82" i="63"/>
  <c r="AX82" i="63"/>
  <c r="AW82" i="63"/>
  <c r="BE82" i="63"/>
  <c r="BC82" i="63"/>
  <c r="BD82" i="63"/>
  <c r="BA82" i="63"/>
  <c r="AY82" i="63"/>
  <c r="AZ82" i="63"/>
  <c r="AX86" i="63"/>
  <c r="AV86" i="63"/>
  <c r="BB86" i="63"/>
  <c r="AU86" i="63"/>
  <c r="AT86" i="63"/>
  <c r="AY86" i="63"/>
  <c r="AZ86" i="63"/>
  <c r="AW86" i="63"/>
  <c r="BE86" i="63"/>
  <c r="BC86" i="63"/>
  <c r="BD86" i="63"/>
  <c r="BA86" i="63"/>
  <c r="AV73" i="63"/>
  <c r="AU73" i="63"/>
  <c r="BB73" i="63"/>
  <c r="AX73" i="63"/>
  <c r="AT73" i="63"/>
  <c r="BE73" i="63"/>
  <c r="AY73" i="63"/>
  <c r="AZ73" i="63"/>
  <c r="AW73" i="63"/>
  <c r="BC73" i="63"/>
  <c r="BD73" i="63"/>
  <c r="BA73" i="63"/>
  <c r="AT85" i="63"/>
  <c r="AV85" i="63"/>
  <c r="AX85" i="63"/>
  <c r="AU85" i="63"/>
  <c r="BB85" i="63"/>
  <c r="BE85" i="63"/>
  <c r="AY85" i="63"/>
  <c r="AZ85" i="63"/>
  <c r="AW85" i="63"/>
  <c r="BC85" i="63"/>
  <c r="BD85" i="63"/>
  <c r="BA85" i="63"/>
  <c r="AV67" i="63"/>
  <c r="AU67" i="63"/>
  <c r="AX67" i="63"/>
  <c r="AT67" i="63"/>
  <c r="BB67" i="63"/>
  <c r="AY67" i="63"/>
  <c r="AZ67" i="63"/>
  <c r="AW67" i="63"/>
  <c r="BE67" i="63"/>
  <c r="BC67" i="63"/>
  <c r="BD67" i="63"/>
  <c r="BA67" i="63"/>
  <c r="AV71" i="63"/>
  <c r="AU71" i="63"/>
  <c r="AX71" i="63"/>
  <c r="AT71" i="63"/>
  <c r="BB71" i="63"/>
  <c r="AY71" i="63"/>
  <c r="AZ71" i="63"/>
  <c r="AW71" i="63"/>
  <c r="BC71" i="63"/>
  <c r="BD71" i="63"/>
  <c r="BA71" i="63"/>
  <c r="BE71" i="63"/>
  <c r="AV75" i="63"/>
  <c r="AU75" i="63"/>
  <c r="AX75" i="63"/>
  <c r="AT75" i="63"/>
  <c r="BB75" i="63"/>
  <c r="AY75" i="63"/>
  <c r="AZ75" i="63"/>
  <c r="BE75" i="63"/>
  <c r="BC75" i="63"/>
  <c r="BD75" i="63"/>
  <c r="AW75" i="63"/>
  <c r="BA75" i="63"/>
  <c r="AV79" i="63"/>
  <c r="AU79" i="63"/>
  <c r="AT79" i="63"/>
  <c r="AX79" i="63"/>
  <c r="BB79" i="63"/>
  <c r="AY79" i="63"/>
  <c r="AZ79" i="63"/>
  <c r="BC79" i="63"/>
  <c r="BD79" i="63"/>
  <c r="BE79" i="63"/>
  <c r="AW79" i="63"/>
  <c r="BA79" i="63"/>
  <c r="AX83" i="63"/>
  <c r="AV83" i="63"/>
  <c r="AU83" i="63"/>
  <c r="BB83" i="63"/>
  <c r="AT83" i="63"/>
  <c r="AY83" i="63"/>
  <c r="AZ83" i="63"/>
  <c r="BE83" i="63"/>
  <c r="BC83" i="63"/>
  <c r="BD83" i="63"/>
  <c r="BA83" i="63"/>
  <c r="AW83" i="63"/>
  <c r="BB87" i="63"/>
  <c r="AV87" i="63"/>
  <c r="AT87" i="63"/>
  <c r="AU87" i="63"/>
  <c r="AX87" i="63"/>
  <c r="AY87" i="63"/>
  <c r="AZ87" i="63"/>
  <c r="BA87" i="63"/>
  <c r="BC87" i="63"/>
  <c r="BD87" i="63"/>
  <c r="AW87" i="63"/>
  <c r="BE87" i="63"/>
  <c r="BB63" i="63"/>
  <c r="AX63" i="63"/>
  <c r="AT63" i="63"/>
  <c r="BE63" i="63"/>
  <c r="BA63" i="63"/>
  <c r="AW63" i="63"/>
  <c r="BC63" i="63"/>
  <c r="AY63" i="63"/>
  <c r="AU63" i="63"/>
  <c r="BD63" i="63"/>
  <c r="AZ63" i="63"/>
  <c r="AV63" i="63"/>
  <c r="P90" i="119"/>
  <c r="S67" i="117"/>
  <c r="Q90" i="119"/>
  <c r="O89" i="119"/>
  <c r="D85" i="119"/>
  <c r="O75" i="119"/>
  <c r="P73" i="119"/>
  <c r="Q82" i="119"/>
  <c r="P82" i="119"/>
  <c r="F79" i="119"/>
  <c r="K86" i="119"/>
  <c r="D83" i="119"/>
  <c r="P88" i="119"/>
  <c r="Q77" i="119"/>
  <c r="Q84" i="119"/>
  <c r="I96" i="119"/>
  <c r="P81" i="119"/>
  <c r="P83" i="119"/>
  <c r="G84" i="119"/>
  <c r="L93" i="119"/>
  <c r="L84" i="119"/>
  <c r="G80" i="119"/>
  <c r="N78" i="119"/>
  <c r="O84" i="119"/>
  <c r="O85" i="119"/>
  <c r="H73" i="119"/>
  <c r="L85" i="119"/>
  <c r="D89" i="119"/>
  <c r="C85" i="119"/>
  <c r="Q71" i="119"/>
  <c r="G81" i="119"/>
  <c r="J94" i="119"/>
  <c r="K97" i="119"/>
  <c r="L72" i="119"/>
  <c r="G94" i="119"/>
  <c r="K89" i="119"/>
  <c r="N96" i="119"/>
  <c r="I94" i="119"/>
  <c r="O88" i="119"/>
  <c r="P84" i="119"/>
  <c r="M78" i="119"/>
  <c r="I78" i="119"/>
  <c r="M80" i="119"/>
  <c r="H84" i="119"/>
  <c r="E95" i="119"/>
  <c r="F77" i="119"/>
  <c r="P92" i="119"/>
  <c r="H86" i="119"/>
  <c r="N81" i="119"/>
  <c r="G90" i="119"/>
  <c r="E72" i="119"/>
  <c r="F94" i="119"/>
  <c r="B84" i="119"/>
  <c r="K82" i="119"/>
  <c r="M90" i="119"/>
  <c r="C97" i="119"/>
  <c r="D95" i="119"/>
  <c r="I79" i="119"/>
  <c r="G86" i="119"/>
  <c r="L91" i="119"/>
  <c r="Q79" i="119"/>
  <c r="H95" i="119"/>
  <c r="S32" i="114"/>
  <c r="F95" i="119"/>
  <c r="E91" i="119"/>
  <c r="D73" i="119"/>
  <c r="H78" i="119"/>
  <c r="H71" i="119"/>
  <c r="G78" i="119"/>
  <c r="H85" i="119"/>
  <c r="M86" i="119"/>
  <c r="H80" i="119"/>
  <c r="D84" i="119"/>
  <c r="D77" i="119"/>
  <c r="C77" i="119"/>
  <c r="H76" i="119"/>
  <c r="K93" i="119"/>
  <c r="I74" i="119"/>
  <c r="K80" i="119"/>
  <c r="N85" i="119"/>
  <c r="L86" i="119"/>
  <c r="Q91" i="119"/>
  <c r="E96" i="119"/>
  <c r="Q75" i="119"/>
  <c r="E73" i="119"/>
  <c r="E77" i="119"/>
  <c r="C83" i="119"/>
  <c r="M84" i="119"/>
  <c r="E92" i="119"/>
  <c r="P76" i="119"/>
  <c r="Q89" i="119"/>
  <c r="E93" i="119"/>
  <c r="C84" i="119"/>
  <c r="H93" i="119"/>
  <c r="C81" i="119"/>
  <c r="C80" i="119"/>
  <c r="N93" i="119"/>
  <c r="N83" i="119"/>
  <c r="C94" i="119"/>
  <c r="C89" i="119"/>
  <c r="J96" i="119"/>
  <c r="F83" i="119"/>
  <c r="M96" i="119"/>
  <c r="E78" i="119"/>
  <c r="D81" i="119"/>
  <c r="C73" i="119"/>
  <c r="B77" i="119"/>
  <c r="P79" i="119"/>
  <c r="K92" i="119"/>
  <c r="Q85" i="119"/>
  <c r="H83" i="119"/>
  <c r="C93" i="119"/>
  <c r="M82" i="119"/>
  <c r="D86" i="119"/>
  <c r="J77" i="119"/>
  <c r="E80" i="119"/>
  <c r="K84" i="119"/>
  <c r="B96" i="119"/>
  <c r="P94" i="119"/>
  <c r="N88" i="119"/>
  <c r="C86" i="119"/>
  <c r="L83" i="119"/>
  <c r="G73" i="119"/>
  <c r="S67" i="111"/>
  <c r="H72" i="119"/>
  <c r="I86" i="119"/>
  <c r="L89" i="119"/>
  <c r="D80" i="119"/>
  <c r="E79" i="119"/>
  <c r="F80" i="119"/>
  <c r="K85" i="119"/>
  <c r="F96" i="119"/>
  <c r="I90" i="119"/>
  <c r="D76" i="119"/>
  <c r="N79" i="119"/>
  <c r="P91" i="119"/>
  <c r="H79" i="119"/>
  <c r="I97" i="119"/>
  <c r="K94" i="119"/>
  <c r="D90" i="119"/>
  <c r="H92" i="119"/>
  <c r="I77" i="119"/>
  <c r="E90" i="119"/>
  <c r="H90" i="119"/>
  <c r="E86" i="119"/>
  <c r="H89" i="119"/>
  <c r="F85" i="119"/>
  <c r="K81" i="119"/>
  <c r="AA109" i="109"/>
  <c r="N135" i="109"/>
  <c r="D8" i="118" s="1"/>
  <c r="C96" i="119"/>
  <c r="D79" i="119"/>
  <c r="D71" i="119"/>
  <c r="N80" i="119"/>
  <c r="B83" i="119"/>
  <c r="M87" i="119"/>
  <c r="V32" i="108"/>
  <c r="L90" i="119"/>
  <c r="C78" i="119"/>
  <c r="J85" i="119"/>
  <c r="M92" i="119"/>
  <c r="F93" i="119"/>
  <c r="N74" i="119"/>
  <c r="D78" i="119"/>
  <c r="H75" i="119"/>
  <c r="P97" i="119"/>
  <c r="I84" i="119"/>
  <c r="H91" i="119"/>
  <c r="K96" i="119"/>
  <c r="L92" i="119"/>
  <c r="AH31" i="108"/>
  <c r="AH32" i="108" s="1"/>
  <c r="S20" i="119"/>
  <c r="J76" i="119"/>
  <c r="M79" i="119"/>
  <c r="D82" i="119"/>
  <c r="K73" i="119"/>
  <c r="J93" i="119"/>
  <c r="J83" i="119"/>
  <c r="M97" i="119"/>
  <c r="B93" i="119"/>
  <c r="F74" i="119"/>
  <c r="AA110" i="108"/>
  <c r="E87" i="119"/>
  <c r="D92" i="119"/>
  <c r="M85" i="119"/>
  <c r="F88" i="119"/>
  <c r="I93" i="119"/>
  <c r="G82" i="119"/>
  <c r="E88" i="119"/>
  <c r="L78" i="119"/>
  <c r="I85" i="119"/>
  <c r="C91" i="119"/>
  <c r="M88" i="119"/>
  <c r="Q135" i="108"/>
  <c r="G7" i="118" s="1"/>
  <c r="G17" i="118" s="1"/>
  <c r="F73" i="119"/>
  <c r="J80" i="119"/>
  <c r="K91" i="119"/>
  <c r="I92" i="119"/>
  <c r="Q72" i="119"/>
  <c r="N76" i="119"/>
  <c r="D75" i="119"/>
  <c r="D91" i="119"/>
  <c r="G91" i="119"/>
  <c r="F75" i="119"/>
  <c r="F76" i="119"/>
  <c r="D72" i="119"/>
  <c r="J75" i="119"/>
  <c r="J88" i="119"/>
  <c r="M93" i="119"/>
  <c r="C82" i="119"/>
  <c r="I88" i="119"/>
  <c r="E84" i="119"/>
  <c r="I87" i="119"/>
  <c r="E85" i="119"/>
  <c r="M71" i="119"/>
  <c r="H82" i="119"/>
  <c r="M81" i="119"/>
  <c r="P89" i="119"/>
  <c r="I72" i="119"/>
  <c r="AH32" i="107"/>
  <c r="H74" i="119"/>
  <c r="I89" i="119"/>
  <c r="AA115" i="107"/>
  <c r="R135" i="107"/>
  <c r="H6" i="118" s="1"/>
  <c r="AA109" i="107"/>
  <c r="AH45" i="106"/>
  <c r="AH41" i="106"/>
  <c r="R15" i="119"/>
  <c r="O135" i="106"/>
  <c r="E5" i="118" s="1"/>
  <c r="L80" i="119"/>
  <c r="AH8" i="106"/>
  <c r="S15" i="119"/>
  <c r="AH11" i="106"/>
  <c r="AH47" i="106"/>
  <c r="L88" i="119"/>
  <c r="S135" i="106"/>
  <c r="I5" i="118" s="1"/>
  <c r="I75" i="119"/>
  <c r="N72" i="119"/>
  <c r="E89" i="119"/>
  <c r="M73" i="119"/>
  <c r="AH42" i="106"/>
  <c r="D74" i="119"/>
  <c r="AA116" i="106"/>
  <c r="P77" i="119"/>
  <c r="F72" i="119"/>
  <c r="D88" i="119"/>
  <c r="L79" i="119"/>
  <c r="W135" i="106"/>
  <c r="M5" i="118" s="1"/>
  <c r="U135" i="106"/>
  <c r="K5" i="118" s="1"/>
  <c r="K17" i="118" s="1"/>
  <c r="AA111" i="106"/>
  <c r="Y135" i="106"/>
  <c r="P5" i="118" s="1"/>
  <c r="N135" i="106"/>
  <c r="D5" i="118" s="1"/>
  <c r="L77" i="119"/>
  <c r="E82" i="119"/>
  <c r="F97" i="119"/>
  <c r="F38" i="119"/>
  <c r="F65" i="119" s="1"/>
  <c r="Q31" i="66" s="1"/>
  <c r="W67" i="106"/>
  <c r="I33" i="123" s="1"/>
  <c r="D36" i="126" s="1"/>
  <c r="AH49" i="106"/>
  <c r="K76" i="119"/>
  <c r="AH102" i="106"/>
  <c r="S5" i="118" s="1"/>
  <c r="O102" i="106"/>
  <c r="O104" i="106" s="1"/>
  <c r="AA115" i="106"/>
  <c r="M77" i="119"/>
  <c r="C87" i="119"/>
  <c r="E83" i="119"/>
  <c r="M74" i="119"/>
  <c r="J89" i="119"/>
  <c r="K65" i="119"/>
  <c r="I73" i="119"/>
  <c r="I83" i="119"/>
  <c r="O90" i="119"/>
  <c r="K87" i="119"/>
  <c r="R41" i="119"/>
  <c r="R45" i="119"/>
  <c r="S12" i="119"/>
  <c r="C74" i="119"/>
  <c r="O95" i="119"/>
  <c r="N73" i="119"/>
  <c r="R26" i="119"/>
  <c r="E65" i="119"/>
  <c r="N31" i="66" s="1"/>
  <c r="L74" i="119"/>
  <c r="R52" i="119"/>
  <c r="J65" i="119"/>
  <c r="K74" i="119"/>
  <c r="AA118" i="106"/>
  <c r="R51" i="119"/>
  <c r="K72" i="119"/>
  <c r="R55" i="119"/>
  <c r="AB67" i="106"/>
  <c r="R43" i="119"/>
  <c r="R48" i="119"/>
  <c r="M75" i="119"/>
  <c r="O78" i="119"/>
  <c r="O87" i="119"/>
  <c r="M89" i="119"/>
  <c r="N65" i="119"/>
  <c r="R58" i="119"/>
  <c r="R59" i="119"/>
  <c r="R60" i="119"/>
  <c r="K77" i="119"/>
  <c r="P96" i="119"/>
  <c r="N97" i="119"/>
  <c r="C65" i="119"/>
  <c r="H31" i="66" s="1"/>
  <c r="S32" i="117"/>
  <c r="K32" i="119"/>
  <c r="K71" i="119"/>
  <c r="AI32" i="109"/>
  <c r="E76" i="119"/>
  <c r="H81" i="119"/>
  <c r="O74" i="119"/>
  <c r="S32" i="115"/>
  <c r="O94" i="119"/>
  <c r="O32" i="119"/>
  <c r="O71" i="119"/>
  <c r="S67" i="113"/>
  <c r="S67" i="114"/>
  <c r="H67" i="112"/>
  <c r="D32" i="119"/>
  <c r="G72" i="119"/>
  <c r="S58" i="112"/>
  <c r="G71" i="119"/>
  <c r="O102" i="109"/>
  <c r="O104" i="109" s="1"/>
  <c r="AH67" i="108"/>
  <c r="AH67" i="107"/>
  <c r="P65" i="119"/>
  <c r="G79" i="119"/>
  <c r="S13" i="119"/>
  <c r="S17" i="119"/>
  <c r="R18" i="119"/>
  <c r="S21" i="119"/>
  <c r="G87" i="119"/>
  <c r="S25" i="119"/>
  <c r="AB32" i="106"/>
  <c r="R40" i="119"/>
  <c r="R54" i="119"/>
  <c r="P75" i="119"/>
  <c r="AH9" i="106"/>
  <c r="S11" i="119"/>
  <c r="G77" i="119"/>
  <c r="R12" i="119"/>
  <c r="M83" i="119"/>
  <c r="Q92" i="119"/>
  <c r="R13" i="119"/>
  <c r="S24" i="119"/>
  <c r="D93" i="119"/>
  <c r="R63" i="119"/>
  <c r="Q65" i="119"/>
  <c r="J73" i="119"/>
  <c r="G76" i="119"/>
  <c r="I82" i="119"/>
  <c r="Q83" i="119"/>
  <c r="K88" i="119"/>
  <c r="S26" i="119"/>
  <c r="R27" i="119"/>
  <c r="J97" i="119"/>
  <c r="AG32" i="106"/>
  <c r="R53" i="119"/>
  <c r="R42" i="119"/>
  <c r="L135" i="108"/>
  <c r="B7" i="118" s="1"/>
  <c r="D34" i="62" s="1"/>
  <c r="AA109" i="108"/>
  <c r="R21" i="119"/>
  <c r="T5" i="119"/>
  <c r="AC32" i="106"/>
  <c r="AH44" i="106"/>
  <c r="M76" i="119"/>
  <c r="P78" i="119"/>
  <c r="R6" i="119"/>
  <c r="AD32" i="106"/>
  <c r="AA112" i="106"/>
  <c r="AA109" i="106"/>
  <c r="AH50" i="106"/>
  <c r="M65" i="119"/>
  <c r="AA113" i="106"/>
  <c r="AA119" i="106"/>
  <c r="AA117" i="106"/>
  <c r="Q81" i="119"/>
  <c r="P32" i="119"/>
  <c r="P71" i="119"/>
  <c r="AA110" i="106"/>
  <c r="L135" i="106"/>
  <c r="B5" i="118" s="1"/>
  <c r="B34" i="62" s="1"/>
  <c r="N17" i="118"/>
  <c r="O86" i="119"/>
  <c r="S32" i="113"/>
  <c r="S23" i="112"/>
  <c r="S32" i="112" s="1"/>
  <c r="H32" i="119"/>
  <c r="S67" i="116"/>
  <c r="S68" i="116" s="1"/>
  <c r="AI67" i="109"/>
  <c r="M135" i="109"/>
  <c r="C8" i="118" s="1"/>
  <c r="S9" i="119"/>
  <c r="G75" i="119"/>
  <c r="L135" i="109"/>
  <c r="B8" i="118" s="1"/>
  <c r="AA108" i="109"/>
  <c r="AA110" i="107"/>
  <c r="L135" i="107"/>
  <c r="B6" i="118" s="1"/>
  <c r="C34" i="62" s="1"/>
  <c r="E71" i="119"/>
  <c r="R8" i="119"/>
  <c r="P87" i="119"/>
  <c r="R30" i="119"/>
  <c r="D65" i="119"/>
  <c r="K31" i="66" s="1"/>
  <c r="R44" i="119"/>
  <c r="Z135" i="106"/>
  <c r="Q5" i="118" s="1"/>
  <c r="L76" i="119"/>
  <c r="AH10" i="106"/>
  <c r="H88" i="119"/>
  <c r="P93" i="119"/>
  <c r="AH29" i="106"/>
  <c r="S31" i="119"/>
  <c r="G97" i="119"/>
  <c r="R64" i="119"/>
  <c r="AA110" i="109"/>
  <c r="H102" i="107"/>
  <c r="S16" i="119"/>
  <c r="R25" i="119"/>
  <c r="B95" i="119"/>
  <c r="AA108" i="108"/>
  <c r="S8" i="119"/>
  <c r="G74" i="119"/>
  <c r="AH12" i="106"/>
  <c r="B85" i="119"/>
  <c r="C88" i="119"/>
  <c r="B89" i="119"/>
  <c r="C92" i="119"/>
  <c r="B97" i="119"/>
  <c r="I65" i="119"/>
  <c r="Z67" i="106"/>
  <c r="AH40" i="106"/>
  <c r="R47" i="119"/>
  <c r="R57" i="119"/>
  <c r="R61" i="119"/>
  <c r="R20" i="119"/>
  <c r="R24" i="119"/>
  <c r="B94" i="119"/>
  <c r="N135" i="107"/>
  <c r="V135" i="106"/>
  <c r="L5" i="118" s="1"/>
  <c r="F32" i="119"/>
  <c r="L73" i="119"/>
  <c r="E22" i="66"/>
  <c r="AH16" i="106"/>
  <c r="S32" i="106"/>
  <c r="AA122" i="106"/>
  <c r="AA114" i="106"/>
  <c r="C17" i="118"/>
  <c r="S32" i="110"/>
  <c r="B72" i="119"/>
  <c r="P72" i="119"/>
  <c r="S27" i="119"/>
  <c r="G93" i="119"/>
  <c r="R17" i="119"/>
  <c r="B91" i="119"/>
  <c r="J32" i="119"/>
  <c r="N89" i="119"/>
  <c r="R46" i="119"/>
  <c r="N32" i="119"/>
  <c r="K78" i="119"/>
  <c r="AH48" i="106"/>
  <c r="B49" i="119"/>
  <c r="R49" i="119" s="1"/>
  <c r="AH51" i="106"/>
  <c r="S67" i="106"/>
  <c r="O35" i="121" s="1"/>
  <c r="O65" i="119"/>
  <c r="S32" i="116"/>
  <c r="S67" i="115"/>
  <c r="S67" i="110"/>
  <c r="C72" i="119"/>
  <c r="O97" i="119"/>
  <c r="C32" i="119"/>
  <c r="C71" i="119"/>
  <c r="J72" i="119"/>
  <c r="R9" i="119"/>
  <c r="B75" i="119"/>
  <c r="B76" i="119"/>
  <c r="R22" i="119"/>
  <c r="B88" i="119"/>
  <c r="H65" i="119"/>
  <c r="R7" i="119"/>
  <c r="B73" i="119"/>
  <c r="AH13" i="106"/>
  <c r="H32" i="112"/>
  <c r="S7" i="119"/>
  <c r="B79" i="119"/>
  <c r="O102" i="108"/>
  <c r="O99" i="107"/>
  <c r="C76" i="119"/>
  <c r="R11" i="119"/>
  <c r="S18" i="119"/>
  <c r="R19" i="119"/>
  <c r="S22" i="119"/>
  <c r="G88" i="119"/>
  <c r="F89" i="119"/>
  <c r="S30" i="119"/>
  <c r="G96" i="119"/>
  <c r="R39" i="119"/>
  <c r="N135" i="108"/>
  <c r="D7" i="118" s="1"/>
  <c r="Q73" i="119"/>
  <c r="S19" i="119"/>
  <c r="G85" i="119"/>
  <c r="R28" i="119"/>
  <c r="AA108" i="107"/>
  <c r="B87" i="119"/>
  <c r="S28" i="119"/>
  <c r="O94" i="107"/>
  <c r="L65" i="119"/>
  <c r="AC67" i="106"/>
  <c r="AH46" i="106"/>
  <c r="AD67" i="106"/>
  <c r="I80" i="119"/>
  <c r="AH14" i="106"/>
  <c r="Z32" i="106"/>
  <c r="AA108" i="106"/>
  <c r="I81" i="119"/>
  <c r="L747" i="73" l="1"/>
  <c r="AP209" i="73"/>
  <c r="M32" i="124"/>
  <c r="AJ30" i="126"/>
  <c r="BN33" i="126"/>
  <c r="AN137" i="73"/>
  <c r="CH21" i="126"/>
  <c r="CH10" i="126"/>
  <c r="AO207" i="73"/>
  <c r="M32" i="125"/>
  <c r="DB26" i="126"/>
  <c r="DB12" i="126"/>
  <c r="M10" i="125"/>
  <c r="L37" i="64"/>
  <c r="R95" i="64" s="1"/>
  <c r="DA8" i="126"/>
  <c r="DA35" i="126" s="1"/>
  <c r="M31" i="124"/>
  <c r="M33" i="124" s="1"/>
  <c r="M35" i="124" s="1"/>
  <c r="AP14" i="121"/>
  <c r="AR14" i="121"/>
  <c r="DB33" i="126"/>
  <c r="M25" i="125"/>
  <c r="M11" i="125"/>
  <c r="DB11" i="126"/>
  <c r="M8" i="125"/>
  <c r="M34" i="125" s="1"/>
  <c r="BD24" i="126"/>
  <c r="AR35" i="121"/>
  <c r="BN32" i="126"/>
  <c r="I13" i="125"/>
  <c r="J29" i="125"/>
  <c r="K23" i="125"/>
  <c r="K18" i="125"/>
  <c r="CH13" i="126"/>
  <c r="K8" i="125"/>
  <c r="AP27" i="121"/>
  <c r="AP22" i="121"/>
  <c r="AO137" i="73"/>
  <c r="AP32" i="121"/>
  <c r="L9" i="125"/>
  <c r="M30" i="125"/>
  <c r="DB24" i="126"/>
  <c r="M24" i="125"/>
  <c r="M18" i="125"/>
  <c r="M14" i="125"/>
  <c r="AQ17" i="121"/>
  <c r="CY35" i="126"/>
  <c r="CY37" i="126" s="1"/>
  <c r="AR24" i="121"/>
  <c r="AP20" i="121"/>
  <c r="AR20" i="121"/>
  <c r="CE35" i="126"/>
  <c r="DB31" i="126"/>
  <c r="M23" i="125"/>
  <c r="DB25" i="126"/>
  <c r="DB19" i="126"/>
  <c r="DB15" i="126"/>
  <c r="DB13" i="126"/>
  <c r="DB8" i="126"/>
  <c r="CX35" i="126"/>
  <c r="CX37" i="126" s="1"/>
  <c r="AP137" i="73"/>
  <c r="AP18" i="121"/>
  <c r="AP17" i="121"/>
  <c r="AP31" i="121"/>
  <c r="L31" i="124"/>
  <c r="CQ8" i="126"/>
  <c r="CQ35" i="126" s="1"/>
  <c r="K37" i="64"/>
  <c r="R94" i="64" s="1"/>
  <c r="AP16" i="121"/>
  <c r="AP28" i="121"/>
  <c r="AR23" i="122"/>
  <c r="AO23" i="122"/>
  <c r="AY25" i="121"/>
  <c r="AY13" i="121"/>
  <c r="AR27" i="122"/>
  <c r="AO27" i="122"/>
  <c r="AR20" i="122"/>
  <c r="AO20" i="122"/>
  <c r="AR12" i="122"/>
  <c r="AO12" i="122"/>
  <c r="AY18" i="121"/>
  <c r="AY14" i="121"/>
  <c r="AY9" i="121"/>
  <c r="Y35" i="122"/>
  <c r="Y37" i="122" s="1"/>
  <c r="J10" i="125"/>
  <c r="AP21" i="121"/>
  <c r="CO35" i="126"/>
  <c r="CO37" i="126" s="1"/>
  <c r="AP25" i="121"/>
  <c r="AP10" i="121"/>
  <c r="AR25" i="122"/>
  <c r="AO25" i="122"/>
  <c r="AR13" i="122"/>
  <c r="AO13" i="122"/>
  <c r="R93" i="64"/>
  <c r="AR24" i="122"/>
  <c r="AO24" i="122"/>
  <c r="AR18" i="122"/>
  <c r="AO18" i="122"/>
  <c r="AR9" i="122"/>
  <c r="AO9" i="122"/>
  <c r="H29" i="125"/>
  <c r="AR30" i="122"/>
  <c r="AO30" i="122"/>
  <c r="AR26" i="122"/>
  <c r="AO26" i="122"/>
  <c r="AR22" i="122"/>
  <c r="AO22" i="122"/>
  <c r="AR19" i="122"/>
  <c r="AO19" i="122"/>
  <c r="AR15" i="122"/>
  <c r="AO15" i="122"/>
  <c r="AR7" i="122"/>
  <c r="AO7" i="122"/>
  <c r="AY29" i="121"/>
  <c r="AY17" i="121"/>
  <c r="AY11" i="121"/>
  <c r="AT11" i="121"/>
  <c r="AY7" i="121"/>
  <c r="G26" i="125"/>
  <c r="G27" i="125"/>
  <c r="BD33" i="126"/>
  <c r="BD14" i="126"/>
  <c r="AO34" i="122"/>
  <c r="I18" i="125"/>
  <c r="J31" i="125"/>
  <c r="J16" i="125"/>
  <c r="J8" i="125"/>
  <c r="CH24" i="126"/>
  <c r="CH19" i="126"/>
  <c r="CR32" i="126"/>
  <c r="CR28" i="126"/>
  <c r="CR27" i="126"/>
  <c r="CR21" i="126"/>
  <c r="CR19" i="126"/>
  <c r="CR15" i="126"/>
  <c r="CR13" i="126"/>
  <c r="CR11" i="126"/>
  <c r="L7" i="125"/>
  <c r="AP26" i="121"/>
  <c r="AH36" i="121"/>
  <c r="AH38" i="121" s="1"/>
  <c r="AE35" i="122"/>
  <c r="AE37" i="122" s="1"/>
  <c r="AP13" i="121"/>
  <c r="AP15" i="121"/>
  <c r="AP7" i="121"/>
  <c r="AP9" i="121"/>
  <c r="K499" i="73"/>
  <c r="AP30" i="121"/>
  <c r="AR29" i="122"/>
  <c r="AO29" i="122"/>
  <c r="AR17" i="122"/>
  <c r="AO17" i="122"/>
  <c r="AR8" i="122"/>
  <c r="AO8" i="122"/>
  <c r="AY19" i="121"/>
  <c r="G23" i="118"/>
  <c r="E127" i="62" s="1"/>
  <c r="AO209" i="73"/>
  <c r="K747" i="73" s="1"/>
  <c r="L32" i="124"/>
  <c r="CQ36" i="126" s="1"/>
  <c r="CR36" i="126" s="1"/>
  <c r="AR31" i="122"/>
  <c r="AO31" i="122"/>
  <c r="AR28" i="122"/>
  <c r="AO28" i="122"/>
  <c r="AR21" i="122"/>
  <c r="AO21" i="122"/>
  <c r="AR16" i="122"/>
  <c r="AO16" i="122"/>
  <c r="AR14" i="122"/>
  <c r="AO14" i="122"/>
  <c r="AR10" i="122"/>
  <c r="AO10" i="122"/>
  <c r="AR6" i="122"/>
  <c r="AO6" i="122"/>
  <c r="AY33" i="121"/>
  <c r="AY20" i="121"/>
  <c r="AY16" i="121"/>
  <c r="AY8" i="121"/>
  <c r="T10" i="118"/>
  <c r="W35" i="122"/>
  <c r="W37" i="122" s="1"/>
  <c r="J33" i="125"/>
  <c r="J26" i="125"/>
  <c r="J23" i="125"/>
  <c r="K9" i="125"/>
  <c r="L32" i="125"/>
  <c r="L28" i="125"/>
  <c r="L25" i="125"/>
  <c r="L21" i="125"/>
  <c r="L19" i="125"/>
  <c r="L11" i="125"/>
  <c r="CR8" i="126"/>
  <c r="CN35" i="126"/>
  <c r="CN37" i="126" s="1"/>
  <c r="AP24" i="121"/>
  <c r="AP33" i="121"/>
  <c r="AP29" i="121"/>
  <c r="AP23" i="121"/>
  <c r="AU23" i="121" s="1"/>
  <c r="AP12" i="121"/>
  <c r="AP8" i="121"/>
  <c r="AN28" i="122"/>
  <c r="AP11" i="121"/>
  <c r="AU11" i="121" s="1"/>
  <c r="AP19" i="121"/>
  <c r="AY30" i="121"/>
  <c r="AY26" i="121"/>
  <c r="O34" i="121"/>
  <c r="AX18" i="121"/>
  <c r="P36" i="121"/>
  <c r="AY35" i="121"/>
  <c r="BN10" i="126"/>
  <c r="I19" i="125"/>
  <c r="I17" i="125"/>
  <c r="K33" i="125"/>
  <c r="K32" i="125"/>
  <c r="K28" i="125"/>
  <c r="K29" i="125"/>
  <c r="K25" i="125"/>
  <c r="K22" i="125"/>
  <c r="K21" i="125"/>
  <c r="K17" i="125"/>
  <c r="K19" i="125"/>
  <c r="K15" i="125"/>
  <c r="K13" i="125"/>
  <c r="K11" i="125"/>
  <c r="K10" i="125"/>
  <c r="AY32" i="121"/>
  <c r="AY22" i="121"/>
  <c r="AY15" i="121"/>
  <c r="K32" i="124"/>
  <c r="CG36" i="126" s="1"/>
  <c r="AN209" i="73"/>
  <c r="J747" i="73" s="1"/>
  <c r="G17" i="125"/>
  <c r="I9" i="125"/>
  <c r="BN14" i="126"/>
  <c r="AC35" i="122"/>
  <c r="AC37" i="122" s="1"/>
  <c r="K31" i="124"/>
  <c r="CG8" i="126"/>
  <c r="CG35" i="126" s="1"/>
  <c r="AQ34" i="122"/>
  <c r="CH34" i="126"/>
  <c r="CH33" i="126"/>
  <c r="CH29" i="126"/>
  <c r="CH30" i="126"/>
  <c r="CH26" i="126"/>
  <c r="CH23" i="126"/>
  <c r="CH22" i="126"/>
  <c r="CH18" i="126"/>
  <c r="CH20" i="126"/>
  <c r="CH16" i="126"/>
  <c r="CH14" i="126"/>
  <c r="CH12" i="126"/>
  <c r="CH11" i="126"/>
  <c r="CD35" i="126"/>
  <c r="CD37" i="126" s="1"/>
  <c r="AX16" i="121"/>
  <c r="AR11" i="122"/>
  <c r="AY27" i="121"/>
  <c r="AY23" i="121"/>
  <c r="AU12" i="121"/>
  <c r="AY12" i="121"/>
  <c r="AR34" i="122"/>
  <c r="AS139" i="73" s="1"/>
  <c r="AN207" i="73"/>
  <c r="AQ9" i="122"/>
  <c r="CE36" i="126"/>
  <c r="K31" i="125"/>
  <c r="K27" i="125"/>
  <c r="K26" i="125"/>
  <c r="K24" i="125"/>
  <c r="K16" i="125"/>
  <c r="K14" i="125"/>
  <c r="AY31" i="121"/>
  <c r="AY28" i="121"/>
  <c r="AY21" i="121"/>
  <c r="AU10" i="121"/>
  <c r="AY10" i="121"/>
  <c r="AN173" i="73"/>
  <c r="CH32" i="126"/>
  <c r="CH28" i="126"/>
  <c r="CH27" i="126"/>
  <c r="CH25" i="126"/>
  <c r="CH17" i="126"/>
  <c r="CH15" i="126"/>
  <c r="G67" i="119"/>
  <c r="AM103" i="73"/>
  <c r="BX20" i="126"/>
  <c r="BX16" i="126"/>
  <c r="BX9" i="126"/>
  <c r="G34" i="119"/>
  <c r="AT13" i="126"/>
  <c r="M34" i="123"/>
  <c r="M36" i="123" s="1"/>
  <c r="BX21" i="126"/>
  <c r="BX13" i="126"/>
  <c r="BX11" i="126"/>
  <c r="G37" i="64"/>
  <c r="BX25" i="126"/>
  <c r="G3" i="62"/>
  <c r="AU17" i="121"/>
  <c r="BD31" i="126"/>
  <c r="BD11" i="126"/>
  <c r="J30" i="125"/>
  <c r="J27" i="125"/>
  <c r="BX17" i="126"/>
  <c r="J14" i="125"/>
  <c r="AT13" i="121"/>
  <c r="J32" i="124"/>
  <c r="BW36" i="126" s="1"/>
  <c r="AM209" i="73"/>
  <c r="AU13" i="121"/>
  <c r="BU35" i="126"/>
  <c r="BU37" i="126" s="1"/>
  <c r="AM207" i="73"/>
  <c r="AM208" i="73" s="1"/>
  <c r="BD28" i="126"/>
  <c r="I31" i="125"/>
  <c r="AU16" i="121"/>
  <c r="I412" i="73"/>
  <c r="Q95" i="119"/>
  <c r="AD36" i="121"/>
  <c r="AD38" i="121" s="1"/>
  <c r="J32" i="125"/>
  <c r="J17" i="125"/>
  <c r="J13" i="125"/>
  <c r="BX12" i="126"/>
  <c r="BT36" i="126"/>
  <c r="BW8" i="126"/>
  <c r="BW35" i="126" s="1"/>
  <c r="J31" i="124"/>
  <c r="AT19" i="121"/>
  <c r="AU26" i="121"/>
  <c r="AT26" i="121"/>
  <c r="H24" i="125"/>
  <c r="AU14" i="121"/>
  <c r="BX19" i="126"/>
  <c r="J17" i="118"/>
  <c r="S29" i="119"/>
  <c r="AU31" i="121"/>
  <c r="AL137" i="73"/>
  <c r="AT32" i="121"/>
  <c r="AT29" i="121"/>
  <c r="AT22" i="121"/>
  <c r="AT17" i="121"/>
  <c r="AT7" i="121"/>
  <c r="AU27" i="121"/>
  <c r="AT23" i="121"/>
  <c r="AT16" i="121"/>
  <c r="AT12" i="121"/>
  <c r="AT8" i="121"/>
  <c r="G31" i="124"/>
  <c r="W46" i="121" s="1"/>
  <c r="W55" i="121" s="1"/>
  <c r="W58" i="121" s="1"/>
  <c r="AT28" i="126"/>
  <c r="BD32" i="126"/>
  <c r="H13" i="125"/>
  <c r="BN28" i="126"/>
  <c r="BN29" i="126"/>
  <c r="BN15" i="126"/>
  <c r="AJ6" i="122"/>
  <c r="AS6" i="122" s="1"/>
  <c r="BX34" i="126"/>
  <c r="BX33" i="126"/>
  <c r="BX29" i="126"/>
  <c r="BX30" i="126"/>
  <c r="BX26" i="126"/>
  <c r="BX23" i="126"/>
  <c r="BX22" i="126"/>
  <c r="BX18" i="126"/>
  <c r="BX14" i="126"/>
  <c r="BT35" i="126"/>
  <c r="BT37" i="126" s="1"/>
  <c r="AU24" i="121"/>
  <c r="AU33" i="121"/>
  <c r="AU8" i="121"/>
  <c r="AU21" i="121"/>
  <c r="AT10" i="121"/>
  <c r="AM18" i="121"/>
  <c r="AN18" i="121" s="1"/>
  <c r="AS18" i="121"/>
  <c r="BX10" i="126"/>
  <c r="R29" i="119"/>
  <c r="Q32" i="119"/>
  <c r="AH103" i="73"/>
  <c r="W26" i="126"/>
  <c r="AS16" i="121"/>
  <c r="G24" i="125"/>
  <c r="X36" i="121"/>
  <c r="X38" i="121" s="1"/>
  <c r="I27" i="125"/>
  <c r="BN25" i="126"/>
  <c r="AU20" i="121"/>
  <c r="AS17" i="121"/>
  <c r="AU19" i="121"/>
  <c r="AU29" i="121"/>
  <c r="BX32" i="126"/>
  <c r="BX31" i="126"/>
  <c r="BX28" i="126"/>
  <c r="BX27" i="126"/>
  <c r="BX24" i="126"/>
  <c r="J24" i="125"/>
  <c r="J20" i="125"/>
  <c r="J18" i="125"/>
  <c r="BX15" i="126"/>
  <c r="J12" i="125"/>
  <c r="J9" i="125"/>
  <c r="J7" i="125"/>
  <c r="I37" i="64"/>
  <c r="R92" i="64" s="1"/>
  <c r="AU9" i="121"/>
  <c r="BN34" i="126"/>
  <c r="I28" i="125"/>
  <c r="I33" i="125"/>
  <c r="I26" i="125"/>
  <c r="BN19" i="126"/>
  <c r="I15" i="125"/>
  <c r="AT10" i="126"/>
  <c r="F29" i="126"/>
  <c r="F22" i="126"/>
  <c r="AT33" i="126"/>
  <c r="BN9" i="126"/>
  <c r="AT21" i="126"/>
  <c r="BN16" i="126"/>
  <c r="S11" i="118"/>
  <c r="BD26" i="126"/>
  <c r="BJ35" i="126"/>
  <c r="BN24" i="126"/>
  <c r="BN17" i="126"/>
  <c r="AR170" i="73"/>
  <c r="AM9" i="121"/>
  <c r="AN9" i="121" s="1"/>
  <c r="G18" i="125"/>
  <c r="AS35" i="126"/>
  <c r="AK207" i="73"/>
  <c r="AK208" i="73" s="1"/>
  <c r="BA35" i="126"/>
  <c r="BA37" i="126" s="1"/>
  <c r="C14" i="125"/>
  <c r="BD34" i="126"/>
  <c r="H28" i="125"/>
  <c r="F21" i="126"/>
  <c r="U35" i="122"/>
  <c r="U37" i="122" s="1"/>
  <c r="I24" i="125"/>
  <c r="I14" i="125"/>
  <c r="BN22" i="126"/>
  <c r="BN11" i="126"/>
  <c r="BN31" i="126"/>
  <c r="BK35" i="126"/>
  <c r="BK37" i="126" s="1"/>
  <c r="H37" i="64"/>
  <c r="R91" i="64" s="1"/>
  <c r="I23" i="125"/>
  <c r="I16" i="125"/>
  <c r="I8" i="125"/>
  <c r="BM8" i="126"/>
  <c r="AR199" i="73"/>
  <c r="AA135" i="107"/>
  <c r="AR100" i="73"/>
  <c r="AR193" i="73"/>
  <c r="AT19" i="126"/>
  <c r="G31" i="125"/>
  <c r="AT24" i="126"/>
  <c r="AT23" i="126"/>
  <c r="AR37" i="126"/>
  <c r="H31" i="125"/>
  <c r="H27" i="125"/>
  <c r="H23" i="125"/>
  <c r="H8" i="125"/>
  <c r="BM30" i="126"/>
  <c r="BN30" i="126" s="1"/>
  <c r="I21" i="125"/>
  <c r="I10" i="125"/>
  <c r="I30" i="125"/>
  <c r="I29" i="125"/>
  <c r="BN23" i="126"/>
  <c r="BN18" i="126"/>
  <c r="BN12" i="126"/>
  <c r="BJ36" i="126"/>
  <c r="AB36" i="121"/>
  <c r="AB38" i="121" s="1"/>
  <c r="BN21" i="126"/>
  <c r="BN13" i="126"/>
  <c r="AL198" i="73"/>
  <c r="AL207" i="73" s="1"/>
  <c r="I22" i="124"/>
  <c r="O22" i="124" s="1"/>
  <c r="R22" i="124" s="1"/>
  <c r="AR194" i="73"/>
  <c r="AG207" i="73"/>
  <c r="AG208" i="73" s="1"/>
  <c r="AT12" i="126"/>
  <c r="AT30" i="126"/>
  <c r="AT32" i="126"/>
  <c r="H22" i="125"/>
  <c r="F11" i="126"/>
  <c r="BD27" i="126"/>
  <c r="C32" i="125"/>
  <c r="H11" i="125"/>
  <c r="BN20" i="126"/>
  <c r="AL103" i="73"/>
  <c r="BN27" i="126"/>
  <c r="I22" i="125"/>
  <c r="I11" i="125"/>
  <c r="I20" i="125"/>
  <c r="I12" i="125"/>
  <c r="R90" i="64"/>
  <c r="T90" i="64" s="1"/>
  <c r="W14" i="126"/>
  <c r="AM33" i="121"/>
  <c r="AN33" i="121" s="1"/>
  <c r="AT33" i="121"/>
  <c r="AM20" i="121"/>
  <c r="AN20" i="121" s="1"/>
  <c r="AT20" i="121"/>
  <c r="C8" i="125"/>
  <c r="BC20" i="126"/>
  <c r="BD20" i="126" s="1"/>
  <c r="H19" i="125"/>
  <c r="C16" i="125"/>
  <c r="F16" i="126"/>
  <c r="H12" i="125"/>
  <c r="B36" i="126"/>
  <c r="V16" i="126"/>
  <c r="DR16" i="126" s="1"/>
  <c r="EB16" i="126" s="1"/>
  <c r="AR21" i="66" s="1"/>
  <c r="AT15" i="121"/>
  <c r="O36" i="121"/>
  <c r="E8" i="126"/>
  <c r="E35" i="126" s="1"/>
  <c r="C31" i="124"/>
  <c r="W29" i="126"/>
  <c r="W32" i="126"/>
  <c r="W28" i="126"/>
  <c r="W24" i="126"/>
  <c r="W21" i="126"/>
  <c r="W17" i="126"/>
  <c r="W13" i="126"/>
  <c r="W9" i="126"/>
  <c r="W20" i="126"/>
  <c r="AR197" i="73"/>
  <c r="F27" i="125"/>
  <c r="F20" i="125"/>
  <c r="L34" i="123"/>
  <c r="L36" i="123" s="1"/>
  <c r="F3" i="62"/>
  <c r="AQ35" i="126"/>
  <c r="AQ37" i="126" s="1"/>
  <c r="AT34" i="126"/>
  <c r="Y36" i="121"/>
  <c r="Y38" i="121" s="1"/>
  <c r="G499" i="73"/>
  <c r="H32" i="125"/>
  <c r="BD30" i="126"/>
  <c r="BD23" i="126"/>
  <c r="AZ36" i="126"/>
  <c r="AU15" i="121"/>
  <c r="AU7" i="121"/>
  <c r="BC19" i="126"/>
  <c r="BD19" i="126" s="1"/>
  <c r="H18" i="125"/>
  <c r="M35" i="122"/>
  <c r="F33" i="126"/>
  <c r="F31" i="126"/>
  <c r="BC15" i="126"/>
  <c r="BD15" i="126" s="1"/>
  <c r="H14" i="125"/>
  <c r="Q36" i="121"/>
  <c r="Q38" i="121" s="1"/>
  <c r="Q46" i="121"/>
  <c r="Q55" i="121" s="1"/>
  <c r="Q58" i="121" s="1"/>
  <c r="AM27" i="121"/>
  <c r="AN27" i="121" s="1"/>
  <c r="AT27" i="121"/>
  <c r="V13" i="126"/>
  <c r="DR13" i="126" s="1"/>
  <c r="EB13" i="126" s="1"/>
  <c r="AR13" i="66" s="1"/>
  <c r="AJ25" i="126"/>
  <c r="D37" i="126"/>
  <c r="D43" i="126" s="1"/>
  <c r="M17" i="118"/>
  <c r="I17" i="118"/>
  <c r="AK209" i="73"/>
  <c r="H32" i="124"/>
  <c r="DS8" i="126"/>
  <c r="EC8" i="126" s="1"/>
  <c r="AS4" i="66" s="1"/>
  <c r="AG209" i="73"/>
  <c r="C747" i="73" s="1"/>
  <c r="D32" i="124"/>
  <c r="D33" i="124" s="1"/>
  <c r="D35" i="124" s="1"/>
  <c r="D1048574" i="124" s="1"/>
  <c r="V29" i="126"/>
  <c r="DR29" i="126" s="1"/>
  <c r="EB29" i="126" s="1"/>
  <c r="AR9" i="66" s="1"/>
  <c r="AT28" i="121"/>
  <c r="V26" i="126"/>
  <c r="DR26" i="126" s="1"/>
  <c r="EB26" i="126" s="1"/>
  <c r="AR26" i="66" s="1"/>
  <c r="AT25" i="121"/>
  <c r="V22" i="126"/>
  <c r="DR22" i="126" s="1"/>
  <c r="EB22" i="126" s="1"/>
  <c r="AR15" i="66" s="1"/>
  <c r="AT21" i="121"/>
  <c r="V11" i="126"/>
  <c r="DR11" i="126" s="1"/>
  <c r="EB11" i="126" s="1"/>
  <c r="AR6" i="66" s="1"/>
  <c r="S34" i="121"/>
  <c r="W11" i="126"/>
  <c r="AR10" i="73"/>
  <c r="W33" i="126"/>
  <c r="W23" i="126"/>
  <c r="W18" i="126"/>
  <c r="W16" i="126"/>
  <c r="W12" i="126"/>
  <c r="AR50" i="73"/>
  <c r="V31" i="126"/>
  <c r="DR31" i="126" s="1"/>
  <c r="EB31" i="126" s="1"/>
  <c r="AR30" i="66" s="1"/>
  <c r="AT30" i="121"/>
  <c r="V27" i="126"/>
  <c r="DR27" i="126" s="1"/>
  <c r="EB27" i="126" s="1"/>
  <c r="AR18" i="66" s="1"/>
  <c r="V25" i="126"/>
  <c r="DR25" i="126" s="1"/>
  <c r="EB25" i="126" s="1"/>
  <c r="AR28" i="66" s="1"/>
  <c r="AT24" i="121"/>
  <c r="V19" i="126"/>
  <c r="AT18" i="121"/>
  <c r="AM14" i="121"/>
  <c r="AZ14" i="121" s="1"/>
  <c r="AT14" i="121"/>
  <c r="V10" i="126"/>
  <c r="DR10" i="126" s="1"/>
  <c r="EB10" i="126" s="1"/>
  <c r="AR5" i="66" s="1"/>
  <c r="AT9" i="121"/>
  <c r="AI207" i="73"/>
  <c r="AI208" i="73" s="1"/>
  <c r="AJ28" i="126"/>
  <c r="AR150" i="73"/>
  <c r="AH37" i="126"/>
  <c r="AR192" i="73"/>
  <c r="AR191" i="73"/>
  <c r="AR196" i="73"/>
  <c r="G13" i="125"/>
  <c r="G15" i="125"/>
  <c r="AT27" i="126"/>
  <c r="AT9" i="126"/>
  <c r="G33" i="125"/>
  <c r="G10" i="125"/>
  <c r="G30" i="125"/>
  <c r="AU22" i="121"/>
  <c r="P38" i="121"/>
  <c r="BC10" i="126"/>
  <c r="BD10" i="126" s="1"/>
  <c r="H9" i="125"/>
  <c r="F37" i="64"/>
  <c r="R89" i="64" s="1"/>
  <c r="T89" i="64" s="1"/>
  <c r="L36" i="126"/>
  <c r="F13" i="126"/>
  <c r="L35" i="122"/>
  <c r="C7" i="125"/>
  <c r="F20" i="126"/>
  <c r="F14" i="126"/>
  <c r="H30" i="125"/>
  <c r="H26" i="125"/>
  <c r="BD25" i="126"/>
  <c r="AK103" i="73"/>
  <c r="AU18" i="121"/>
  <c r="B19" i="126"/>
  <c r="F19" i="126" s="1"/>
  <c r="C18" i="125"/>
  <c r="AT35" i="121"/>
  <c r="C36" i="126"/>
  <c r="AU32" i="121"/>
  <c r="F26" i="126"/>
  <c r="F24" i="126"/>
  <c r="BD12" i="126"/>
  <c r="C11" i="125"/>
  <c r="C9" i="125"/>
  <c r="H20" i="125"/>
  <c r="H10" i="125"/>
  <c r="V30" i="126"/>
  <c r="DR30" i="126" s="1"/>
  <c r="EB30" i="126" s="1"/>
  <c r="AR29" i="66" s="1"/>
  <c r="W22" i="126"/>
  <c r="AM23" i="121"/>
  <c r="AN23" i="121" s="1"/>
  <c r="V9" i="126"/>
  <c r="DR9" i="126" s="1"/>
  <c r="EB9" i="126" s="1"/>
  <c r="AR11" i="66" s="1"/>
  <c r="AR160" i="73"/>
  <c r="W31" i="126"/>
  <c r="W27" i="126"/>
  <c r="W25" i="126"/>
  <c r="E18" i="125"/>
  <c r="E9" i="125"/>
  <c r="AM31" i="121"/>
  <c r="AN31" i="121" s="1"/>
  <c r="AT31" i="121"/>
  <c r="G21" i="125"/>
  <c r="AT14" i="126"/>
  <c r="G29" i="125"/>
  <c r="G12" i="125"/>
  <c r="AT17" i="126"/>
  <c r="G8" i="125"/>
  <c r="AT31" i="126"/>
  <c r="C13" i="125"/>
  <c r="BC8" i="126"/>
  <c r="BD8" i="126" s="1"/>
  <c r="H31" i="124"/>
  <c r="I34" i="123"/>
  <c r="I36" i="123" s="1"/>
  <c r="C12" i="125"/>
  <c r="C35" i="126"/>
  <c r="BD9" i="126"/>
  <c r="H17" i="125"/>
  <c r="AZ35" i="126"/>
  <c r="C10" i="125"/>
  <c r="F9" i="126"/>
  <c r="F17" i="126"/>
  <c r="C15" i="125"/>
  <c r="F15" i="126"/>
  <c r="H33" i="125"/>
  <c r="BD29" i="126"/>
  <c r="H25" i="125"/>
  <c r="H21" i="125"/>
  <c r="C19" i="125"/>
  <c r="Z36" i="121"/>
  <c r="Z38" i="121" s="1"/>
  <c r="AU30" i="121"/>
  <c r="AU28" i="121"/>
  <c r="AU25" i="121"/>
  <c r="F18" i="126"/>
  <c r="H15" i="125"/>
  <c r="P8" i="126"/>
  <c r="L35" i="126"/>
  <c r="F12" i="126"/>
  <c r="F10" i="126"/>
  <c r="H16" i="125"/>
  <c r="H7" i="125"/>
  <c r="R62" i="119"/>
  <c r="G95" i="119"/>
  <c r="E97" i="119"/>
  <c r="E98" i="119" s="1"/>
  <c r="AR80" i="73"/>
  <c r="W36" i="121"/>
  <c r="W38" i="121" s="1"/>
  <c r="AT16" i="126"/>
  <c r="G35" i="125"/>
  <c r="AT25" i="126"/>
  <c r="AJ207" i="73"/>
  <c r="AJ208" i="73" s="1"/>
  <c r="AS37" i="126"/>
  <c r="AR123" i="73"/>
  <c r="AR119" i="73"/>
  <c r="AR90" i="73"/>
  <c r="AR96" i="73"/>
  <c r="AR78" i="73"/>
  <c r="AR128" i="73"/>
  <c r="AR112" i="73"/>
  <c r="AR84" i="73"/>
  <c r="T9" i="118"/>
  <c r="AP35" i="126"/>
  <c r="AP37" i="126" s="1"/>
  <c r="AT8" i="126"/>
  <c r="AT22" i="126"/>
  <c r="AT36" i="126"/>
  <c r="AT11" i="126"/>
  <c r="AR195" i="73"/>
  <c r="AR29" i="73"/>
  <c r="AR20" i="73"/>
  <c r="AT29" i="126"/>
  <c r="W47" i="121"/>
  <c r="W56" i="121" s="1"/>
  <c r="W59" i="121" s="1"/>
  <c r="G33" i="124"/>
  <c r="G35" i="124" s="1"/>
  <c r="G1048574" i="124" s="1"/>
  <c r="AT18" i="126"/>
  <c r="AT26" i="126"/>
  <c r="AT20" i="126"/>
  <c r="AT15" i="126"/>
  <c r="E14" i="125"/>
  <c r="W30" i="126"/>
  <c r="AR132" i="73"/>
  <c r="AR116" i="73"/>
  <c r="E432" i="73"/>
  <c r="AJ209" i="73"/>
  <c r="AR127" i="73"/>
  <c r="AJ137" i="73"/>
  <c r="AR30" i="73"/>
  <c r="E22" i="125"/>
  <c r="E11" i="125"/>
  <c r="E7" i="125"/>
  <c r="AR101" i="73"/>
  <c r="F30" i="125"/>
  <c r="F12" i="125"/>
  <c r="AJ103" i="73"/>
  <c r="F17" i="118"/>
  <c r="U35" i="123" s="1"/>
  <c r="X35" i="123" s="1"/>
  <c r="AR120" i="73"/>
  <c r="V15" i="126"/>
  <c r="DR15" i="126" s="1"/>
  <c r="EB15" i="126" s="1"/>
  <c r="AR24" i="66" s="1"/>
  <c r="AR122" i="73"/>
  <c r="AR92" i="73"/>
  <c r="AR102" i="73"/>
  <c r="AJ31" i="126"/>
  <c r="AJ15" i="126"/>
  <c r="AJ21" i="126"/>
  <c r="AJ13" i="126"/>
  <c r="AF183" i="73"/>
  <c r="AR183" i="73" s="1"/>
  <c r="AF188" i="73"/>
  <c r="AR188" i="73" s="1"/>
  <c r="AF181" i="73"/>
  <c r="AR181" i="73" s="1"/>
  <c r="AJ27" i="126"/>
  <c r="AJ19" i="126"/>
  <c r="AJ10" i="126"/>
  <c r="AJ24" i="126"/>
  <c r="V36" i="121"/>
  <c r="V38" i="121" s="1"/>
  <c r="AF182" i="73"/>
  <c r="AR182" i="73" s="1"/>
  <c r="AF204" i="73"/>
  <c r="B675" i="73" s="1"/>
  <c r="AF187" i="73"/>
  <c r="AR187" i="73" s="1"/>
  <c r="AF186" i="73"/>
  <c r="AR186" i="73" s="1"/>
  <c r="AF189" i="73"/>
  <c r="AR189" i="73" s="1"/>
  <c r="AI137" i="73"/>
  <c r="F26" i="125"/>
  <c r="F18" i="125"/>
  <c r="F31" i="125"/>
  <c r="F23" i="125"/>
  <c r="AG35" i="126"/>
  <c r="AF190" i="73"/>
  <c r="B661" i="73" s="1"/>
  <c r="F33" i="125"/>
  <c r="AF184" i="73"/>
  <c r="AR184" i="73" s="1"/>
  <c r="D18" i="64"/>
  <c r="R39" i="64" s="1"/>
  <c r="E32" i="125"/>
  <c r="F24" i="125"/>
  <c r="D37" i="64"/>
  <c r="R87" i="64" s="1"/>
  <c r="T87" i="64" s="1"/>
  <c r="W10" i="126"/>
  <c r="AJ34" i="126"/>
  <c r="AJ11" i="126"/>
  <c r="F16" i="125"/>
  <c r="F11" i="125"/>
  <c r="AI22" i="126"/>
  <c r="AJ22" i="126" s="1"/>
  <c r="F21" i="125"/>
  <c r="S35" i="122"/>
  <c r="S37" i="122" s="1"/>
  <c r="F31" i="124"/>
  <c r="AI8" i="126"/>
  <c r="AJ8" i="126" s="1"/>
  <c r="F22" i="125"/>
  <c r="U36" i="121"/>
  <c r="U38" i="121" s="1"/>
  <c r="U46" i="121"/>
  <c r="U55" i="121" s="1"/>
  <c r="U58" i="121" s="1"/>
  <c r="AI209" i="73"/>
  <c r="F32" i="124"/>
  <c r="F35" i="125" s="1"/>
  <c r="E19" i="125"/>
  <c r="AI29" i="126"/>
  <c r="AJ29" i="126" s="1"/>
  <c r="F28" i="125"/>
  <c r="AG37" i="126"/>
  <c r="AJ23" i="126"/>
  <c r="AF35" i="126"/>
  <c r="AF37" i="126" s="1"/>
  <c r="AI105" i="73"/>
  <c r="E738" i="73" s="1"/>
  <c r="E499" i="73"/>
  <c r="F25" i="125"/>
  <c r="AI14" i="126"/>
  <c r="AJ14" i="126" s="1"/>
  <c r="F13" i="125"/>
  <c r="AJ9" i="126"/>
  <c r="AI103" i="73"/>
  <c r="F17" i="125"/>
  <c r="F7" i="125"/>
  <c r="T11" i="118"/>
  <c r="F14" i="125"/>
  <c r="AJ26" i="126"/>
  <c r="F8" i="125"/>
  <c r="AJ18" i="126"/>
  <c r="F19" i="125"/>
  <c r="F32" i="125"/>
  <c r="AJ16" i="126"/>
  <c r="E37" i="64"/>
  <c r="R88" i="64" s="1"/>
  <c r="T88" i="64" s="1"/>
  <c r="O102" i="107"/>
  <c r="O104" i="107" s="1"/>
  <c r="E34" i="62"/>
  <c r="J12" i="64" s="1"/>
  <c r="R8" i="118"/>
  <c r="F40" i="125" s="1"/>
  <c r="W19" i="126"/>
  <c r="E13" i="125"/>
  <c r="AJ20" i="126"/>
  <c r="AJ33" i="126"/>
  <c r="F15" i="125"/>
  <c r="AR205" i="73"/>
  <c r="F9" i="125"/>
  <c r="F10" i="125"/>
  <c r="AJ32" i="126"/>
  <c r="AJ17" i="126"/>
  <c r="F29" i="125"/>
  <c r="AJ12" i="126"/>
  <c r="AR206" i="73"/>
  <c r="AR125" i="73"/>
  <c r="AR135" i="73"/>
  <c r="AR64" i="73"/>
  <c r="V21" i="126"/>
  <c r="DR21" i="126" s="1"/>
  <c r="EB21" i="126" s="1"/>
  <c r="AR7" i="66" s="1"/>
  <c r="AM12" i="121"/>
  <c r="AN12" i="121" s="1"/>
  <c r="V8" i="126"/>
  <c r="V34" i="126"/>
  <c r="DR34" i="126" s="1"/>
  <c r="EB34" i="126" s="1"/>
  <c r="AR10" i="66" s="1"/>
  <c r="E12" i="125"/>
  <c r="AM15" i="121"/>
  <c r="AN15" i="121" s="1"/>
  <c r="AM8" i="121"/>
  <c r="AN8" i="121" s="1"/>
  <c r="V28" i="126"/>
  <c r="AM11" i="121"/>
  <c r="AN11" i="121" s="1"/>
  <c r="V24" i="126"/>
  <c r="DR24" i="126" s="1"/>
  <c r="EB24" i="126" s="1"/>
  <c r="AR17" i="66" s="1"/>
  <c r="R31" i="119"/>
  <c r="S67" i="112"/>
  <c r="E32" i="119"/>
  <c r="AR68" i="73"/>
  <c r="R56" i="119"/>
  <c r="K34" i="123"/>
  <c r="U32" i="123"/>
  <c r="D12" i="64"/>
  <c r="C12" i="64"/>
  <c r="B12" i="64"/>
  <c r="B65" i="62"/>
  <c r="AF185" i="73"/>
  <c r="Y67" i="112"/>
  <c r="W15" i="126"/>
  <c r="Y21" i="126"/>
  <c r="O17" i="124"/>
  <c r="R17" i="124" s="1"/>
  <c r="Y10" i="126"/>
  <c r="O6" i="124"/>
  <c r="R6" i="124" s="1"/>
  <c r="DT26" i="126"/>
  <c r="ED26" i="126" s="1"/>
  <c r="AT26" i="66" s="1"/>
  <c r="V14" i="123"/>
  <c r="X14" i="123"/>
  <c r="E15" i="125"/>
  <c r="AM13" i="121"/>
  <c r="AZ13" i="121" s="1"/>
  <c r="V12" i="126"/>
  <c r="AM10" i="121"/>
  <c r="E8" i="125"/>
  <c r="AR60" i="73"/>
  <c r="Y18" i="126"/>
  <c r="DU18" i="126" s="1"/>
  <c r="EE18" i="126" s="1"/>
  <c r="AU25" i="66" s="1"/>
  <c r="O14" i="124"/>
  <c r="R14" i="124" s="1"/>
  <c r="V31" i="123"/>
  <c r="X31" i="123"/>
  <c r="Y8" i="126"/>
  <c r="E31" i="124"/>
  <c r="O4" i="124"/>
  <c r="R4" i="124" s="1"/>
  <c r="V18" i="126"/>
  <c r="E17" i="125"/>
  <c r="AM17" i="121"/>
  <c r="AZ17" i="121" s="1"/>
  <c r="Y32" i="126"/>
  <c r="DU32" i="126" s="1"/>
  <c r="EE32" i="126" s="1"/>
  <c r="AU19" i="66" s="1"/>
  <c r="O28" i="124"/>
  <c r="R28" i="124" s="1"/>
  <c r="Y27" i="126"/>
  <c r="DU27" i="126" s="1"/>
  <c r="EE27" i="126" s="1"/>
  <c r="AU18" i="66" s="1"/>
  <c r="O23" i="124"/>
  <c r="R23" i="124" s="1"/>
  <c r="AR203" i="73"/>
  <c r="C37" i="64"/>
  <c r="R86" i="64" s="1"/>
  <c r="T86" i="64" s="1"/>
  <c r="Y23" i="126"/>
  <c r="DU23" i="126" s="1"/>
  <c r="EE23" i="126" s="1"/>
  <c r="AU16" i="66" s="1"/>
  <c r="O19" i="124"/>
  <c r="R19" i="124" s="1"/>
  <c r="Y19" i="126"/>
  <c r="O15" i="124"/>
  <c r="R15" i="124" s="1"/>
  <c r="Y26" i="126"/>
  <c r="E31" i="125"/>
  <c r="V33" i="126"/>
  <c r="AM28" i="121"/>
  <c r="E27" i="125"/>
  <c r="E29" i="125"/>
  <c r="AM25" i="121"/>
  <c r="E23" i="125"/>
  <c r="V23" i="126"/>
  <c r="AM21" i="121"/>
  <c r="E20" i="125"/>
  <c r="AM19" i="121"/>
  <c r="AZ19" i="121" s="1"/>
  <c r="E32" i="124"/>
  <c r="AH209" i="73"/>
  <c r="W36" i="126"/>
  <c r="AJ34" i="122"/>
  <c r="AM34" i="122" s="1"/>
  <c r="O24" i="124"/>
  <c r="R24" i="124" s="1"/>
  <c r="Y28" i="126"/>
  <c r="DU28" i="126" s="1"/>
  <c r="EE28" i="126" s="1"/>
  <c r="AU8" i="66" s="1"/>
  <c r="X29" i="123"/>
  <c r="V29" i="123"/>
  <c r="X28" i="123"/>
  <c r="V28" i="123"/>
  <c r="X25" i="123"/>
  <c r="V25" i="123"/>
  <c r="V24" i="123"/>
  <c r="X24" i="123"/>
  <c r="V21" i="123"/>
  <c r="X21" i="123"/>
  <c r="V22" i="123"/>
  <c r="X22" i="123"/>
  <c r="X18" i="123"/>
  <c r="V18" i="123"/>
  <c r="V14" i="126"/>
  <c r="E10" i="125"/>
  <c r="Y13" i="126"/>
  <c r="DU13" i="126" s="1"/>
  <c r="EE13" i="126" s="1"/>
  <c r="AU13" i="66" s="1"/>
  <c r="O9" i="124"/>
  <c r="R9" i="124" s="1"/>
  <c r="AF137" i="73"/>
  <c r="Y33" i="126"/>
  <c r="DU33" i="126" s="1"/>
  <c r="EE33" i="126" s="1"/>
  <c r="AU27" i="66" s="1"/>
  <c r="O29" i="124"/>
  <c r="R29" i="124" s="1"/>
  <c r="Y9" i="126"/>
  <c r="DU9" i="126" s="1"/>
  <c r="EE9" i="126" s="1"/>
  <c r="AU11" i="66" s="1"/>
  <c r="O5" i="124"/>
  <c r="R5" i="124" s="1"/>
  <c r="Y34" i="126"/>
  <c r="DU34" i="126" s="1"/>
  <c r="EE34" i="126" s="1"/>
  <c r="AU10" i="66" s="1"/>
  <c r="O30" i="124"/>
  <c r="R30" i="124" s="1"/>
  <c r="AR130" i="73"/>
  <c r="AR201" i="73"/>
  <c r="C18" i="64"/>
  <c r="R38" i="64" s="1"/>
  <c r="V32" i="126"/>
  <c r="AM30" i="121"/>
  <c r="AZ30" i="121" s="1"/>
  <c r="E28" i="125"/>
  <c r="AM26" i="121"/>
  <c r="AZ26" i="121" s="1"/>
  <c r="E25" i="125"/>
  <c r="AM24" i="121"/>
  <c r="AZ24" i="121" s="1"/>
  <c r="E21" i="125"/>
  <c r="V20" i="126"/>
  <c r="X12" i="123"/>
  <c r="V12" i="123"/>
  <c r="X10" i="123"/>
  <c r="V10" i="123"/>
  <c r="V7" i="123"/>
  <c r="X7" i="123"/>
  <c r="X6" i="123"/>
  <c r="V6" i="123"/>
  <c r="DT8" i="126"/>
  <c r="Y11" i="126"/>
  <c r="DU11" i="126" s="1"/>
  <c r="EE11" i="126" s="1"/>
  <c r="AU6" i="66" s="1"/>
  <c r="O7" i="124"/>
  <c r="R7" i="124" s="1"/>
  <c r="Y17" i="126"/>
  <c r="DU17" i="126" s="1"/>
  <c r="EE17" i="126" s="1"/>
  <c r="AU14" i="66" s="1"/>
  <c r="O13" i="124"/>
  <c r="R13" i="124" s="1"/>
  <c r="E16" i="125"/>
  <c r="V17" i="126"/>
  <c r="AM16" i="121"/>
  <c r="AP103" i="73"/>
  <c r="Q32" i="122"/>
  <c r="AH136" i="73"/>
  <c r="AH137" i="73" s="1"/>
  <c r="Y25" i="126"/>
  <c r="DU25" i="126" s="1"/>
  <c r="EE25" i="126" s="1"/>
  <c r="AU28" i="66" s="1"/>
  <c r="O21" i="124"/>
  <c r="R21" i="124" s="1"/>
  <c r="AR115" i="73"/>
  <c r="D489" i="73"/>
  <c r="O18" i="124"/>
  <c r="R18" i="124" s="1"/>
  <c r="Y22" i="126"/>
  <c r="S35" i="121"/>
  <c r="S36" i="121" s="1"/>
  <c r="S38" i="121" s="1"/>
  <c r="AH34" i="73"/>
  <c r="AR34" i="73" s="1"/>
  <c r="Y31" i="126"/>
  <c r="DU31" i="126" s="1"/>
  <c r="EE31" i="126" s="1"/>
  <c r="AU30" i="66" s="1"/>
  <c r="O27" i="124"/>
  <c r="R27" i="124" s="1"/>
  <c r="Y29" i="126"/>
  <c r="DU29" i="126" s="1"/>
  <c r="EE29" i="126" s="1"/>
  <c r="AU9" i="66" s="1"/>
  <c r="O25" i="124"/>
  <c r="R25" i="124" s="1"/>
  <c r="AN103" i="73"/>
  <c r="AM32" i="121"/>
  <c r="E30" i="125"/>
  <c r="AM29" i="121"/>
  <c r="AZ29" i="121" s="1"/>
  <c r="E26" i="125"/>
  <c r="AM22" i="121"/>
  <c r="E24" i="125"/>
  <c r="V16" i="123"/>
  <c r="X16" i="123"/>
  <c r="AR40" i="73"/>
  <c r="Y12" i="126"/>
  <c r="DU12" i="126" s="1"/>
  <c r="EE12" i="126" s="1"/>
  <c r="AU12" i="66" s="1"/>
  <c r="O8" i="124"/>
  <c r="R8" i="124" s="1"/>
  <c r="U34" i="62"/>
  <c r="I18" i="64" s="1"/>
  <c r="R44" i="64" s="1"/>
  <c r="R65" i="62"/>
  <c r="E65" i="62"/>
  <c r="P33" i="122"/>
  <c r="P35" i="122" s="1"/>
  <c r="P37" i="122" s="1"/>
  <c r="Y14" i="126"/>
  <c r="O10" i="124"/>
  <c r="R10" i="124" s="1"/>
  <c r="T34" i="121"/>
  <c r="AR34" i="121" s="1"/>
  <c r="X30" i="123"/>
  <c r="V30" i="123"/>
  <c r="V26" i="123"/>
  <c r="X26" i="123"/>
  <c r="V27" i="123"/>
  <c r="X27" i="123"/>
  <c r="X23" i="123"/>
  <c r="V23" i="123"/>
  <c r="V20" i="123"/>
  <c r="X20" i="123"/>
  <c r="V19" i="123"/>
  <c r="X19" i="123"/>
  <c r="X15" i="123"/>
  <c r="V15" i="123"/>
  <c r="AM7" i="121"/>
  <c r="AZ7" i="121" s="1"/>
  <c r="O16" i="124"/>
  <c r="R16" i="124" s="1"/>
  <c r="Y20" i="126"/>
  <c r="X20" i="126"/>
  <c r="DT20" i="126" s="1"/>
  <c r="ED20" i="126" s="1"/>
  <c r="AT23" i="66" s="1"/>
  <c r="U17" i="123"/>
  <c r="X36" i="126"/>
  <c r="DT36" i="126" s="1"/>
  <c r="ED36" i="126" s="1"/>
  <c r="U33" i="123"/>
  <c r="Y30" i="126"/>
  <c r="O26" i="124"/>
  <c r="R26" i="124" s="1"/>
  <c r="AR202" i="73"/>
  <c r="Y15" i="126"/>
  <c r="O11" i="124"/>
  <c r="R11" i="124" s="1"/>
  <c r="D651" i="73"/>
  <c r="AH207" i="73"/>
  <c r="AH208" i="73" s="1"/>
  <c r="Y16" i="126"/>
  <c r="DU16" i="126" s="1"/>
  <c r="EE16" i="126" s="1"/>
  <c r="AU21" i="66" s="1"/>
  <c r="O12" i="124"/>
  <c r="R12" i="124" s="1"/>
  <c r="AO103" i="73"/>
  <c r="B738" i="73"/>
  <c r="AR200" i="73"/>
  <c r="AR110" i="73"/>
  <c r="X13" i="123"/>
  <c r="V13" i="123"/>
  <c r="X11" i="123"/>
  <c r="V11" i="123"/>
  <c r="X9" i="123"/>
  <c r="V9" i="123"/>
  <c r="X8" i="123"/>
  <c r="V8" i="123"/>
  <c r="V5" i="123"/>
  <c r="X5" i="123"/>
  <c r="O20" i="124"/>
  <c r="R20" i="124" s="1"/>
  <c r="Y24" i="126"/>
  <c r="DU24" i="126" s="1"/>
  <c r="EE24" i="126" s="1"/>
  <c r="AU17" i="66" s="1"/>
  <c r="AW21" i="66"/>
  <c r="D65" i="62"/>
  <c r="R23" i="119"/>
  <c r="G32" i="119"/>
  <c r="G89" i="119"/>
  <c r="R89" i="119" s="1"/>
  <c r="T23" i="119"/>
  <c r="T26" i="66" s="1"/>
  <c r="AW26" i="66" s="1"/>
  <c r="AW24" i="66"/>
  <c r="AW16" i="66"/>
  <c r="D6" i="118"/>
  <c r="C65" i="62" s="1"/>
  <c r="AW12" i="66"/>
  <c r="AW10" i="66"/>
  <c r="N96" i="62"/>
  <c r="C103" i="62" s="1"/>
  <c r="AW30" i="66"/>
  <c r="AT120" i="63"/>
  <c r="G22" i="118"/>
  <c r="D127" i="62" s="1"/>
  <c r="AV90" i="63"/>
  <c r="T88" i="119"/>
  <c r="G21" i="118"/>
  <c r="C127" i="62" s="1"/>
  <c r="AW120" i="63"/>
  <c r="AV120" i="63"/>
  <c r="AU120" i="63"/>
  <c r="AL32" i="108"/>
  <c r="AV180" i="63"/>
  <c r="AT180" i="63"/>
  <c r="AU180" i="63"/>
  <c r="AW30" i="63"/>
  <c r="Y32" i="112"/>
  <c r="AT150" i="63"/>
  <c r="AZ60" i="63"/>
  <c r="T85" i="119"/>
  <c r="T10" i="119"/>
  <c r="T13" i="66" s="1"/>
  <c r="AW13" i="66" s="1"/>
  <c r="AN67" i="106"/>
  <c r="T4" i="66"/>
  <c r="AW4" i="66" s="1"/>
  <c r="R50" i="119"/>
  <c r="T50" i="119"/>
  <c r="E17" i="118"/>
  <c r="T74" i="119"/>
  <c r="T91" i="119"/>
  <c r="T78" i="119"/>
  <c r="T38" i="119"/>
  <c r="T6" i="119"/>
  <c r="T11" i="66" s="1"/>
  <c r="AW11" i="66" s="1"/>
  <c r="T87" i="119"/>
  <c r="T96" i="119"/>
  <c r="B32" i="119"/>
  <c r="B33" i="119" s="1"/>
  <c r="T97" i="119"/>
  <c r="T79" i="119"/>
  <c r="I76" i="119"/>
  <c r="T76" i="119" s="1"/>
  <c r="T86" i="119"/>
  <c r="T94" i="119"/>
  <c r="T81" i="119"/>
  <c r="T84" i="119"/>
  <c r="S5" i="119"/>
  <c r="T73" i="119"/>
  <c r="T92" i="119"/>
  <c r="T93" i="119"/>
  <c r="T75" i="119"/>
  <c r="T77" i="119"/>
  <c r="T82" i="119"/>
  <c r="T90" i="119"/>
  <c r="T80" i="119"/>
  <c r="T22" i="66"/>
  <c r="AW22" i="66" s="1"/>
  <c r="T23" i="66"/>
  <c r="AW23" i="66" s="1"/>
  <c r="AF180" i="73"/>
  <c r="AR180" i="73" s="1"/>
  <c r="AN32" i="106"/>
  <c r="T14" i="119"/>
  <c r="T14" i="66" s="1"/>
  <c r="AW14" i="66" s="1"/>
  <c r="G20" i="118"/>
  <c r="B127" i="62" s="1"/>
  <c r="L44" i="64" s="1"/>
  <c r="R111" i="64" s="1"/>
  <c r="AY30" i="63"/>
  <c r="BB30" i="63"/>
  <c r="AU30" i="63"/>
  <c r="BA30" i="63"/>
  <c r="AX30" i="63"/>
  <c r="AZ30" i="63"/>
  <c r="BD30" i="63"/>
  <c r="BC30" i="63"/>
  <c r="AT30" i="63"/>
  <c r="BE30" i="63"/>
  <c r="AV30" i="63"/>
  <c r="AW60" i="63"/>
  <c r="AV60" i="63"/>
  <c r="BB60" i="63"/>
  <c r="AT60" i="63"/>
  <c r="AX60" i="63"/>
  <c r="AZ90" i="63"/>
  <c r="BC90" i="63"/>
  <c r="AT90" i="63"/>
  <c r="BE150" i="63"/>
  <c r="BA150" i="63"/>
  <c r="BE180" i="63"/>
  <c r="BA180" i="63"/>
  <c r="AZ180" i="63"/>
  <c r="AX180" i="63"/>
  <c r="AY180" i="63"/>
  <c r="AW180" i="63"/>
  <c r="BD180" i="63"/>
  <c r="BB180" i="63"/>
  <c r="BC180" i="63"/>
  <c r="BA60" i="63"/>
  <c r="BC60" i="63"/>
  <c r="AU60" i="63"/>
  <c r="AY60" i="63"/>
  <c r="AV150" i="63"/>
  <c r="AX150" i="63"/>
  <c r="AU150" i="63"/>
  <c r="AZ150" i="63"/>
  <c r="BB150" i="63"/>
  <c r="AY150" i="63"/>
  <c r="BD150" i="63"/>
  <c r="AW150" i="63"/>
  <c r="BC150" i="63"/>
  <c r="BA120" i="63"/>
  <c r="BD120" i="63"/>
  <c r="BB120" i="63"/>
  <c r="BE120" i="63"/>
  <c r="AY120" i="63"/>
  <c r="AZ120" i="63"/>
  <c r="AX120" i="63"/>
  <c r="BC120" i="63"/>
  <c r="AY90" i="63"/>
  <c r="BE90" i="63"/>
  <c r="BD90" i="63"/>
  <c r="AW90" i="63"/>
  <c r="AX90" i="63"/>
  <c r="AU90" i="63"/>
  <c r="BA90" i="63"/>
  <c r="BB90" i="63"/>
  <c r="BE60" i="63"/>
  <c r="BD60" i="63"/>
  <c r="G83" i="119"/>
  <c r="T83" i="119" s="1"/>
  <c r="G65" i="119"/>
  <c r="G66" i="119" s="1"/>
  <c r="R86" i="119"/>
  <c r="S53" i="119" s="1"/>
  <c r="AA135" i="109"/>
  <c r="R80" i="119"/>
  <c r="S47" i="119" s="1"/>
  <c r="R90" i="119"/>
  <c r="S57" i="119" s="1"/>
  <c r="R84" i="119"/>
  <c r="S51" i="119" s="1"/>
  <c r="R91" i="119"/>
  <c r="S58" i="119" s="1"/>
  <c r="AA135" i="108"/>
  <c r="H17" i="118"/>
  <c r="R5" i="119"/>
  <c r="R77" i="119"/>
  <c r="S44" i="119" s="1"/>
  <c r="Q98" i="119"/>
  <c r="R92" i="119"/>
  <c r="S59" i="119" s="1"/>
  <c r="R38" i="119"/>
  <c r="F71" i="119"/>
  <c r="F98" i="119" s="1"/>
  <c r="R78" i="119"/>
  <c r="S45" i="119" s="1"/>
  <c r="H98" i="119"/>
  <c r="H99" i="119" s="1"/>
  <c r="J98" i="119"/>
  <c r="D98" i="119"/>
  <c r="K32" i="66" s="1"/>
  <c r="R81" i="119"/>
  <c r="S48" i="119" s="1"/>
  <c r="P17" i="118"/>
  <c r="R79" i="119"/>
  <c r="S46" i="119" s="1"/>
  <c r="AH32" i="106"/>
  <c r="I32" i="119"/>
  <c r="O98" i="119"/>
  <c r="O99" i="119" s="1"/>
  <c r="R74" i="119"/>
  <c r="S41" i="119" s="1"/>
  <c r="R93" i="119"/>
  <c r="S60" i="119" s="1"/>
  <c r="R96" i="119"/>
  <c r="S63" i="119" s="1"/>
  <c r="R87" i="119"/>
  <c r="S54" i="119" s="1"/>
  <c r="N98" i="119"/>
  <c r="N99" i="119" s="1"/>
  <c r="R94" i="119"/>
  <c r="S61" i="119" s="1"/>
  <c r="R14" i="119"/>
  <c r="C98" i="119"/>
  <c r="M72" i="119"/>
  <c r="M98" i="119" s="1"/>
  <c r="M99" i="119" s="1"/>
  <c r="M32" i="119"/>
  <c r="AA135" i="106"/>
  <c r="R75" i="119"/>
  <c r="S42" i="119" s="1"/>
  <c r="I71" i="119"/>
  <c r="L32" i="119"/>
  <c r="L71" i="119"/>
  <c r="L98" i="119" s="1"/>
  <c r="R7" i="118"/>
  <c r="S14" i="119"/>
  <c r="S6" i="119"/>
  <c r="K98" i="119"/>
  <c r="K99" i="119" s="1"/>
  <c r="R73" i="119"/>
  <c r="S40" i="119" s="1"/>
  <c r="R88" i="119"/>
  <c r="S55" i="119" s="1"/>
  <c r="B82" i="119"/>
  <c r="R16" i="119"/>
  <c r="L17" i="118"/>
  <c r="AH67" i="106"/>
  <c r="Q17" i="118"/>
  <c r="P98" i="119"/>
  <c r="S10" i="119"/>
  <c r="R10" i="119"/>
  <c r="R85" i="119"/>
  <c r="S52" i="119" s="1"/>
  <c r="R5" i="118"/>
  <c r="C40" i="125" s="1"/>
  <c r="B17" i="118"/>
  <c r="AM37" i="121" s="1"/>
  <c r="B65" i="119"/>
  <c r="AS68" i="73" l="1"/>
  <c r="AZ28" i="121"/>
  <c r="AZ25" i="121"/>
  <c r="J33" i="124"/>
  <c r="J35" i="124" s="1"/>
  <c r="J1048574" i="124" s="1"/>
  <c r="DA37" i="126"/>
  <c r="L12" i="64"/>
  <c r="R31" i="64" s="1"/>
  <c r="DU10" i="126"/>
  <c r="EE10" i="126" s="1"/>
  <c r="AU5" i="66" s="1"/>
  <c r="AQ34" i="121"/>
  <c r="DA36" i="126"/>
  <c r="DB36" i="126" s="1"/>
  <c r="M35" i="125"/>
  <c r="M36" i="125" s="1"/>
  <c r="M41" i="125" s="1"/>
  <c r="AQ35" i="121"/>
  <c r="K31" i="64"/>
  <c r="R78" i="64" s="1"/>
  <c r="L31" i="64"/>
  <c r="R79" i="64" s="1"/>
  <c r="DB35" i="126"/>
  <c r="DB37" i="126" s="1"/>
  <c r="L25" i="64"/>
  <c r="R63" i="64" s="1"/>
  <c r="AQ36" i="121"/>
  <c r="L18" i="64"/>
  <c r="R47" i="64" s="1"/>
  <c r="AK6" i="122"/>
  <c r="AN14" i="121"/>
  <c r="K34" i="125"/>
  <c r="AP35" i="121"/>
  <c r="CG37" i="126"/>
  <c r="CR35" i="126"/>
  <c r="CR37" i="126" s="1"/>
  <c r="L34" i="125"/>
  <c r="AR32" i="122"/>
  <c r="AO32" i="122"/>
  <c r="J44" i="64"/>
  <c r="K44" i="64"/>
  <c r="R110" i="64" s="1"/>
  <c r="AZ21" i="121"/>
  <c r="CH8" i="126"/>
  <c r="CH35" i="126" s="1"/>
  <c r="CH37" i="126" s="1"/>
  <c r="K33" i="124"/>
  <c r="K35" i="124" s="1"/>
  <c r="K1048574" i="124" s="1"/>
  <c r="K12" i="64"/>
  <c r="R30" i="64" s="1"/>
  <c r="CQ37" i="126"/>
  <c r="AN35" i="122"/>
  <c r="K25" i="64"/>
  <c r="R62" i="64" s="1"/>
  <c r="F8" i="126"/>
  <c r="CH36" i="126"/>
  <c r="AP34" i="121"/>
  <c r="L35" i="125"/>
  <c r="AN33" i="122"/>
  <c r="L33" i="124"/>
  <c r="L35" i="124" s="1"/>
  <c r="K18" i="64"/>
  <c r="R46" i="64" s="1"/>
  <c r="AZ12" i="121"/>
  <c r="AZ32" i="121"/>
  <c r="AZ10" i="121"/>
  <c r="AZ31" i="121"/>
  <c r="R29" i="64"/>
  <c r="J31" i="64"/>
  <c r="AQ35" i="122"/>
  <c r="AZ15" i="121"/>
  <c r="CE37" i="126"/>
  <c r="AZ23" i="121"/>
  <c r="AZ22" i="121"/>
  <c r="AZ18" i="121"/>
  <c r="K35" i="125"/>
  <c r="K36" i="125" s="1"/>
  <c r="K41" i="125" s="1"/>
  <c r="AY34" i="121"/>
  <c r="R95" i="119"/>
  <c r="S62" i="119" s="1"/>
  <c r="BW37" i="126"/>
  <c r="J35" i="125"/>
  <c r="AX34" i="121"/>
  <c r="J18" i="64"/>
  <c r="J25" i="64"/>
  <c r="AX36" i="121"/>
  <c r="BX36" i="126"/>
  <c r="AQ33" i="122"/>
  <c r="AZ16" i="121"/>
  <c r="AZ20" i="121"/>
  <c r="AX35" i="121"/>
  <c r="AS34" i="73" s="1"/>
  <c r="L37" i="126"/>
  <c r="DR19" i="126"/>
  <c r="EB19" i="126" s="1"/>
  <c r="AR22" i="66" s="1"/>
  <c r="AZ9" i="121"/>
  <c r="AZ33" i="121"/>
  <c r="AZ11" i="121"/>
  <c r="AZ27" i="121"/>
  <c r="AZ8" i="121"/>
  <c r="T95" i="119"/>
  <c r="O7" i="125"/>
  <c r="R7" i="125" s="1"/>
  <c r="AM6" i="122"/>
  <c r="AS34" i="121"/>
  <c r="J99" i="119"/>
  <c r="I44" i="64"/>
  <c r="R108" i="64" s="1"/>
  <c r="Z10" i="126"/>
  <c r="D747" i="73"/>
  <c r="AH210" i="73"/>
  <c r="E747" i="73"/>
  <c r="AI210" i="73"/>
  <c r="F747" i="73"/>
  <c r="AJ210" i="73"/>
  <c r="H33" i="124"/>
  <c r="H35" i="124" s="1"/>
  <c r="I12" i="64"/>
  <c r="R28" i="64" s="1"/>
  <c r="BX8" i="126"/>
  <c r="BX35" i="126" s="1"/>
  <c r="BX37" i="126" s="1"/>
  <c r="G747" i="73"/>
  <c r="AK210" i="73"/>
  <c r="DU30" i="126"/>
  <c r="EE30" i="126" s="1"/>
  <c r="AU29" i="66" s="1"/>
  <c r="I25" i="64"/>
  <c r="R60" i="64" s="1"/>
  <c r="C37" i="126"/>
  <c r="C43" i="126" s="1"/>
  <c r="AS34" i="122"/>
  <c r="AM210" i="73"/>
  <c r="I747" i="73"/>
  <c r="DU15" i="126"/>
  <c r="EE15" i="126" s="1"/>
  <c r="AU24" i="66" s="1"/>
  <c r="H31" i="64"/>
  <c r="R75" i="64" s="1"/>
  <c r="I31" i="64"/>
  <c r="R76" i="64" s="1"/>
  <c r="J34" i="125"/>
  <c r="J36" i="125" s="1"/>
  <c r="J41" i="125" s="1"/>
  <c r="AG210" i="73"/>
  <c r="AL208" i="73"/>
  <c r="H66" i="119"/>
  <c r="DS36" i="126"/>
  <c r="EC36" i="126" s="1"/>
  <c r="Z8" i="126"/>
  <c r="BN8" i="126"/>
  <c r="AL209" i="73"/>
  <c r="I32" i="124"/>
  <c r="H12" i="64"/>
  <c r="R97" i="119"/>
  <c r="S64" i="119" s="1"/>
  <c r="G44" i="64"/>
  <c r="R106" i="64" s="1"/>
  <c r="H44" i="64"/>
  <c r="R107" i="64" s="1"/>
  <c r="AD65" i="62"/>
  <c r="S72" i="62" s="1"/>
  <c r="H25" i="64"/>
  <c r="R59" i="64" s="1"/>
  <c r="G34" i="125"/>
  <c r="G36" i="125" s="1"/>
  <c r="G41" i="125" s="1"/>
  <c r="AU34" i="121"/>
  <c r="AS35" i="121"/>
  <c r="BM26" i="126"/>
  <c r="BN26" i="126" s="1"/>
  <c r="I25" i="125"/>
  <c r="I34" i="125" s="1"/>
  <c r="I31" i="124"/>
  <c r="BJ37" i="126"/>
  <c r="F18" i="64"/>
  <c r="R41" i="64" s="1"/>
  <c r="H18" i="64"/>
  <c r="R43" i="64" s="1"/>
  <c r="DU22" i="126"/>
  <c r="EE22" i="126" s="1"/>
  <c r="AU15" i="66" s="1"/>
  <c r="DU26" i="126"/>
  <c r="EE26" i="126" s="1"/>
  <c r="AU26" i="66" s="1"/>
  <c r="P7" i="125"/>
  <c r="H34" i="125"/>
  <c r="AR173" i="73"/>
  <c r="T36" i="121"/>
  <c r="AR36" i="121" s="1"/>
  <c r="AT34" i="121"/>
  <c r="E12" i="64"/>
  <c r="R24" i="64" s="1"/>
  <c r="F12" i="64"/>
  <c r="R25" i="64" s="1"/>
  <c r="O36" i="126"/>
  <c r="O37" i="126" s="1"/>
  <c r="Q47" i="121"/>
  <c r="Q56" i="121" s="1"/>
  <c r="Q59" i="121" s="1"/>
  <c r="D35" i="125"/>
  <c r="DU20" i="126"/>
  <c r="EE20" i="126" s="1"/>
  <c r="AU23" i="66" s="1"/>
  <c r="DR8" i="126"/>
  <c r="EB8" i="126" s="1"/>
  <c r="AR4" i="66" s="1"/>
  <c r="AZ37" i="126"/>
  <c r="Y46" i="121"/>
  <c r="Y55" i="121" s="1"/>
  <c r="Y58" i="121" s="1"/>
  <c r="G18" i="64"/>
  <c r="AF209" i="73"/>
  <c r="B747" i="73" s="1"/>
  <c r="C32" i="124"/>
  <c r="N34" i="62"/>
  <c r="DU14" i="126"/>
  <c r="EE14" i="126" s="1"/>
  <c r="AU20" i="66" s="1"/>
  <c r="AR204" i="73"/>
  <c r="E31" i="64"/>
  <c r="R72" i="64" s="1"/>
  <c r="G31" i="64"/>
  <c r="F31" i="64"/>
  <c r="R73" i="64" s="1"/>
  <c r="Q33" i="122"/>
  <c r="Q35" i="122" s="1"/>
  <c r="Q37" i="122" s="1"/>
  <c r="G25" i="64"/>
  <c r="F25" i="64"/>
  <c r="R57" i="64" s="1"/>
  <c r="B35" i="126"/>
  <c r="BD35" i="126"/>
  <c r="BC35" i="126"/>
  <c r="M37" i="122"/>
  <c r="AS36" i="121"/>
  <c r="O38" i="121"/>
  <c r="F44" i="64"/>
  <c r="R105" i="64" s="1"/>
  <c r="AR105" i="73"/>
  <c r="AS105" i="73" s="1"/>
  <c r="DU19" i="126"/>
  <c r="EE19" i="126" s="1"/>
  <c r="AU22" i="66" s="1"/>
  <c r="T89" i="119"/>
  <c r="C34" i="125"/>
  <c r="L37" i="122"/>
  <c r="BC36" i="126"/>
  <c r="BD36" i="126" s="1"/>
  <c r="Y47" i="121"/>
  <c r="Y56" i="121" s="1"/>
  <c r="Y59" i="121" s="1"/>
  <c r="G12" i="64"/>
  <c r="O46" i="121"/>
  <c r="O55" i="121" s="1"/>
  <c r="O58" i="121" s="1"/>
  <c r="AU35" i="121"/>
  <c r="H35" i="125"/>
  <c r="E44" i="64"/>
  <c r="R104" i="64" s="1"/>
  <c r="AT35" i="126"/>
  <c r="AT37" i="126" s="1"/>
  <c r="AR103" i="73"/>
  <c r="E18" i="64"/>
  <c r="R40" i="64" s="1"/>
  <c r="Z19" i="126"/>
  <c r="R6" i="118"/>
  <c r="R17" i="118" s="1"/>
  <c r="D17" i="118"/>
  <c r="AJ36" i="122" s="1"/>
  <c r="AR190" i="73"/>
  <c r="AD34" i="62"/>
  <c r="S41" i="62" s="1"/>
  <c r="Z9" i="126"/>
  <c r="F34" i="125"/>
  <c r="F36" i="125" s="1"/>
  <c r="F41" i="125" s="1"/>
  <c r="Z28" i="126"/>
  <c r="E40" i="125"/>
  <c r="T7" i="118"/>
  <c r="AI35" i="126"/>
  <c r="E3" i="62"/>
  <c r="Z13" i="126"/>
  <c r="T8" i="118"/>
  <c r="F33" i="124"/>
  <c r="F35" i="124" s="1"/>
  <c r="F1048574" i="124" s="1"/>
  <c r="H1048574" i="124" s="1"/>
  <c r="E25" i="64"/>
  <c r="R56" i="64" s="1"/>
  <c r="AJ35" i="126"/>
  <c r="AI36" i="126"/>
  <c r="AJ36" i="126" s="1"/>
  <c r="U47" i="121"/>
  <c r="U56" i="121" s="1"/>
  <c r="U59" i="121" s="1"/>
  <c r="T5" i="118"/>
  <c r="AR136" i="73"/>
  <c r="AR137" i="73" s="1"/>
  <c r="DR28" i="126"/>
  <c r="EB28" i="126" s="1"/>
  <c r="AR8" i="66" s="1"/>
  <c r="AR66" i="73"/>
  <c r="S56" i="119"/>
  <c r="AR198" i="73"/>
  <c r="P12" i="124"/>
  <c r="P11" i="124"/>
  <c r="P26" i="124"/>
  <c r="V17" i="123"/>
  <c r="X17" i="123"/>
  <c r="AN7" i="121"/>
  <c r="AM34" i="121"/>
  <c r="P13" i="124"/>
  <c r="X35" i="126"/>
  <c r="X37" i="126" s="1"/>
  <c r="AN24" i="121"/>
  <c r="AN26" i="121"/>
  <c r="AN30" i="121"/>
  <c r="DR23" i="126"/>
  <c r="EB23" i="126" s="1"/>
  <c r="AR16" i="66" s="1"/>
  <c r="Z23" i="126"/>
  <c r="P19" i="124"/>
  <c r="P23" i="124"/>
  <c r="AN17" i="121"/>
  <c r="E33" i="124"/>
  <c r="P17" i="124"/>
  <c r="AF207" i="73"/>
  <c r="AF208" i="73" s="1"/>
  <c r="D25" i="64"/>
  <c r="R55" i="64" s="1"/>
  <c r="C25" i="64"/>
  <c r="R54" i="64" s="1"/>
  <c r="B25" i="64"/>
  <c r="R22" i="64"/>
  <c r="V32" i="123"/>
  <c r="X32" i="123"/>
  <c r="Z22" i="126"/>
  <c r="B651" i="73"/>
  <c r="D31" i="64"/>
  <c r="R71" i="64" s="1"/>
  <c r="C31" i="64"/>
  <c r="R70" i="64" s="1"/>
  <c r="B31" i="64"/>
  <c r="AN22" i="121"/>
  <c r="AN32" i="121"/>
  <c r="V36" i="126"/>
  <c r="E35" i="125"/>
  <c r="S47" i="121"/>
  <c r="S56" i="121" s="1"/>
  <c r="S59" i="121" s="1"/>
  <c r="AM35" i="121"/>
  <c r="AN16" i="121"/>
  <c r="ED8" i="126"/>
  <c r="AT4" i="66" s="1"/>
  <c r="DT35" i="126"/>
  <c r="Z32" i="126"/>
  <c r="DR32" i="126"/>
  <c r="EB32" i="126" s="1"/>
  <c r="AR19" i="66" s="1"/>
  <c r="P5" i="124"/>
  <c r="P24" i="124"/>
  <c r="Y36" i="126"/>
  <c r="AN19" i="121"/>
  <c r="AN28" i="121"/>
  <c r="P22" i="124"/>
  <c r="DU8" i="126"/>
  <c r="Y35" i="126"/>
  <c r="P14" i="124"/>
  <c r="AN10" i="121"/>
  <c r="Z26" i="126"/>
  <c r="Z21" i="126"/>
  <c r="DU21" i="126"/>
  <c r="EE21" i="126" s="1"/>
  <c r="AU7" i="66" s="1"/>
  <c r="AR185" i="73"/>
  <c r="R23" i="64"/>
  <c r="Z16" i="126"/>
  <c r="K36" i="123"/>
  <c r="U34" i="123"/>
  <c r="Z25" i="126"/>
  <c r="Z31" i="126"/>
  <c r="D44" i="64"/>
  <c r="R103" i="64" s="1"/>
  <c r="C44" i="64"/>
  <c r="R102" i="64" s="1"/>
  <c r="B44" i="64"/>
  <c r="D3" i="62"/>
  <c r="V33" i="123"/>
  <c r="X33" i="123"/>
  <c r="Z15" i="126"/>
  <c r="P8" i="124"/>
  <c r="P27" i="124"/>
  <c r="W34" i="126"/>
  <c r="Z34" i="126" s="1"/>
  <c r="E33" i="125"/>
  <c r="E34" i="125" s="1"/>
  <c r="Z17" i="126"/>
  <c r="DR17" i="126"/>
  <c r="EB17" i="126" s="1"/>
  <c r="AR14" i="66" s="1"/>
  <c r="P7" i="124"/>
  <c r="Z20" i="126"/>
  <c r="DR20" i="126"/>
  <c r="EB20" i="126" s="1"/>
  <c r="AR23" i="66" s="1"/>
  <c r="Z24" i="126"/>
  <c r="P9" i="124"/>
  <c r="V35" i="126"/>
  <c r="Z14" i="126"/>
  <c r="DR14" i="126"/>
  <c r="EB14" i="126" s="1"/>
  <c r="AR20" i="66" s="1"/>
  <c r="AK34" i="122"/>
  <c r="AN25" i="121"/>
  <c r="Z33" i="126"/>
  <c r="DR33" i="126"/>
  <c r="EB33" i="126" s="1"/>
  <c r="AR27" i="66" s="1"/>
  <c r="P15" i="124"/>
  <c r="P28" i="124"/>
  <c r="Z18" i="126"/>
  <c r="DR18" i="126"/>
  <c r="EB18" i="126" s="1"/>
  <c r="AR25" i="66" s="1"/>
  <c r="Z12" i="126"/>
  <c r="DR12" i="126"/>
  <c r="EB12" i="126" s="1"/>
  <c r="AR12" i="66" s="1"/>
  <c r="P6" i="124"/>
  <c r="B3" i="62"/>
  <c r="Z29" i="126"/>
  <c r="Z11" i="126"/>
  <c r="P20" i="124"/>
  <c r="P16" i="124"/>
  <c r="P10" i="124"/>
  <c r="AN29" i="121"/>
  <c r="P25" i="124"/>
  <c r="P18" i="124"/>
  <c r="S46" i="121"/>
  <c r="S55" i="121" s="1"/>
  <c r="S58" i="121" s="1"/>
  <c r="P21" i="124"/>
  <c r="P30" i="124"/>
  <c r="P29" i="124"/>
  <c r="AN21" i="121"/>
  <c r="P4" i="124"/>
  <c r="AN13" i="121"/>
  <c r="Z30" i="126"/>
  <c r="Z27" i="126"/>
  <c r="G98" i="119"/>
  <c r="G99" i="119" s="1"/>
  <c r="R83" i="119"/>
  <c r="S50" i="119" s="1"/>
  <c r="R72" i="62"/>
  <c r="Z72" i="62"/>
  <c r="N65" i="62"/>
  <c r="C72" i="62" s="1"/>
  <c r="T6" i="62"/>
  <c r="D103" i="62"/>
  <c r="E103" i="62"/>
  <c r="F103" i="62"/>
  <c r="L103" i="62"/>
  <c r="G103" i="62"/>
  <c r="H103" i="62"/>
  <c r="I103" i="62"/>
  <c r="J103" i="62"/>
  <c r="M103" i="62"/>
  <c r="B103" i="62"/>
  <c r="K103" i="62"/>
  <c r="T2" i="62"/>
  <c r="I41" i="62"/>
  <c r="C3" i="62"/>
  <c r="N127" i="62"/>
  <c r="G32" i="118"/>
  <c r="O34" i="124" s="1"/>
  <c r="R34" i="124" s="1"/>
  <c r="T71" i="119"/>
  <c r="G33" i="119"/>
  <c r="H33" i="119" s="1"/>
  <c r="C99" i="119"/>
  <c r="H32" i="66"/>
  <c r="F99" i="119"/>
  <c r="Q32" i="66"/>
  <c r="E31" i="66"/>
  <c r="R76" i="119"/>
  <c r="S43" i="119" s="1"/>
  <c r="R65" i="119"/>
  <c r="T72" i="119"/>
  <c r="E99" i="119"/>
  <c r="N32" i="66"/>
  <c r="I98" i="119"/>
  <c r="I99" i="119" s="1"/>
  <c r="T65" i="119"/>
  <c r="T31" i="66" s="1"/>
  <c r="T32" i="119"/>
  <c r="Q99" i="119"/>
  <c r="R72" i="119"/>
  <c r="S39" i="119" s="1"/>
  <c r="P99" i="119"/>
  <c r="R32" i="119"/>
  <c r="BB34" i="66" s="1"/>
  <c r="BA34" i="66" s="1"/>
  <c r="S32" i="119"/>
  <c r="R71" i="119"/>
  <c r="S38" i="119" s="1"/>
  <c r="L99" i="119"/>
  <c r="R82" i="119"/>
  <c r="S49" i="119" s="1"/>
  <c r="B98" i="119"/>
  <c r="CS32" i="66"/>
  <c r="AZ80" i="66" s="1"/>
  <c r="CT32" i="66"/>
  <c r="AZ85" i="66"/>
  <c r="AC72" i="62" l="1"/>
  <c r="T72" i="62"/>
  <c r="H36" i="125"/>
  <c r="H41" i="125" s="1"/>
  <c r="Y72" i="62"/>
  <c r="T5" i="62"/>
  <c r="R61" i="64"/>
  <c r="X72" i="62"/>
  <c r="V72" i="62"/>
  <c r="R45" i="64"/>
  <c r="L36" i="125"/>
  <c r="L41" i="125" s="1"/>
  <c r="R109" i="64"/>
  <c r="AA72" i="62"/>
  <c r="AB72" i="62"/>
  <c r="W72" i="62"/>
  <c r="U72" i="62"/>
  <c r="R77" i="64"/>
  <c r="AQ38" i="121"/>
  <c r="AP36" i="121"/>
  <c r="AM36" i="122"/>
  <c r="AZ35" i="121"/>
  <c r="AZ34" i="121"/>
  <c r="J5" i="64"/>
  <c r="AY36" i="121"/>
  <c r="J41" i="62"/>
  <c r="BM35" i="126"/>
  <c r="B41" i="62"/>
  <c r="E41" i="62"/>
  <c r="AR209" i="73"/>
  <c r="AF210" i="73"/>
  <c r="H747" i="73"/>
  <c r="AL210" i="73"/>
  <c r="G41" i="62"/>
  <c r="AS36" i="122"/>
  <c r="C41" i="62"/>
  <c r="AS103" i="73"/>
  <c r="AS38" i="121"/>
  <c r="AU36" i="121"/>
  <c r="AR67" i="73"/>
  <c r="AS66" i="73"/>
  <c r="H41" i="62"/>
  <c r="W17" i="123"/>
  <c r="V35" i="123"/>
  <c r="AR138" i="73"/>
  <c r="AR174" i="73"/>
  <c r="AS173" i="73"/>
  <c r="AR104" i="73"/>
  <c r="BC37" i="126"/>
  <c r="I33" i="124"/>
  <c r="I35" i="124" s="1"/>
  <c r="P36" i="126"/>
  <c r="BD37" i="126"/>
  <c r="V37" i="126"/>
  <c r="DV8" i="126"/>
  <c r="EF8" i="126" s="1"/>
  <c r="O31" i="124"/>
  <c r="R31" i="124" s="1"/>
  <c r="BM36" i="126"/>
  <c r="BN36" i="126" s="1"/>
  <c r="I35" i="125"/>
  <c r="I36" i="125" s="1"/>
  <c r="I41" i="125" s="1"/>
  <c r="R27" i="64"/>
  <c r="BN35" i="126"/>
  <c r="L41" i="62"/>
  <c r="K41" i="62"/>
  <c r="D41" i="62"/>
  <c r="M41" i="62"/>
  <c r="F41" i="62"/>
  <c r="R26" i="64"/>
  <c r="R74" i="64"/>
  <c r="E36" i="126"/>
  <c r="O47" i="121"/>
  <c r="O56" i="121" s="1"/>
  <c r="O59" i="121" s="1"/>
  <c r="C35" i="125"/>
  <c r="B37" i="126"/>
  <c r="F35" i="126"/>
  <c r="C33" i="124"/>
  <c r="C35" i="124" s="1"/>
  <c r="C1048574" i="124" s="1"/>
  <c r="E1048574" i="124" s="1"/>
  <c r="R58" i="64"/>
  <c r="O32" i="124"/>
  <c r="R32" i="124" s="1"/>
  <c r="R42" i="64"/>
  <c r="T38" i="121"/>
  <c r="AR38" i="121" s="1"/>
  <c r="AT36" i="121"/>
  <c r="D99" i="119"/>
  <c r="U41" i="62"/>
  <c r="X41" i="62"/>
  <c r="Z41" i="62"/>
  <c r="T6" i="118"/>
  <c r="R41" i="62"/>
  <c r="S50" i="62" s="1"/>
  <c r="V41" i="62"/>
  <c r="T41" i="62"/>
  <c r="D40" i="125"/>
  <c r="AB41" i="62"/>
  <c r="AA41" i="62"/>
  <c r="Y41" i="62"/>
  <c r="E32" i="66"/>
  <c r="AC41" i="62"/>
  <c r="W41" i="62"/>
  <c r="T3" i="62"/>
  <c r="AJ37" i="126"/>
  <c r="AJ39" i="126" s="1"/>
  <c r="B5" i="64"/>
  <c r="R5" i="64" s="1"/>
  <c r="AI37" i="126"/>
  <c r="E36" i="125"/>
  <c r="E41" i="125" s="1"/>
  <c r="D5" i="64"/>
  <c r="W33" i="123"/>
  <c r="Z35" i="126"/>
  <c r="I5" i="64"/>
  <c r="G5" i="64"/>
  <c r="M5" i="64"/>
  <c r="K5" i="64"/>
  <c r="F5" i="64"/>
  <c r="H5" i="64"/>
  <c r="E5" i="64"/>
  <c r="L5" i="64"/>
  <c r="AW31" i="66"/>
  <c r="Y37" i="126"/>
  <c r="ED35" i="126"/>
  <c r="DT37" i="126"/>
  <c r="ED37" i="126" s="1"/>
  <c r="AT31" i="66" s="1"/>
  <c r="AN35" i="121"/>
  <c r="C5" i="64"/>
  <c r="O40" i="125"/>
  <c r="DU35" i="126"/>
  <c r="EE8" i="126"/>
  <c r="AU4" i="66" s="1"/>
  <c r="AR207" i="73"/>
  <c r="E35" i="124"/>
  <c r="DR35" i="126"/>
  <c r="W32" i="123"/>
  <c r="X34" i="123"/>
  <c r="W34" i="123"/>
  <c r="U36" i="123"/>
  <c r="X36" i="123" s="1"/>
  <c r="V34" i="123"/>
  <c r="W25" i="123"/>
  <c r="W18" i="123"/>
  <c r="W12" i="123"/>
  <c r="W30" i="123"/>
  <c r="W20" i="123"/>
  <c r="W8" i="123"/>
  <c r="W31" i="123"/>
  <c r="W28" i="123"/>
  <c r="W22" i="123"/>
  <c r="W6" i="123"/>
  <c r="W23" i="123"/>
  <c r="W9" i="123"/>
  <c r="W14" i="123"/>
  <c r="W29" i="123"/>
  <c r="W21" i="123"/>
  <c r="W7" i="123"/>
  <c r="W16" i="123"/>
  <c r="W27" i="123"/>
  <c r="W15" i="123"/>
  <c r="W11" i="123"/>
  <c r="W24" i="123"/>
  <c r="W10" i="123"/>
  <c r="W26" i="123"/>
  <c r="W19" i="123"/>
  <c r="W13" i="123"/>
  <c r="W5" i="123"/>
  <c r="AN34" i="121"/>
  <c r="AM36" i="121"/>
  <c r="DR36" i="126"/>
  <c r="Z36" i="126"/>
  <c r="W35" i="126"/>
  <c r="W37" i="126" s="1"/>
  <c r="T98" i="119"/>
  <c r="T32" i="66" s="1"/>
  <c r="T4" i="62"/>
  <c r="D72" i="62"/>
  <c r="E72" i="62"/>
  <c r="F72" i="62"/>
  <c r="M72" i="62"/>
  <c r="B72" i="62"/>
  <c r="G72" i="62"/>
  <c r="H72" i="62"/>
  <c r="I72" i="62"/>
  <c r="J72" i="62"/>
  <c r="L72" i="62"/>
  <c r="K72" i="62"/>
  <c r="C122" i="62"/>
  <c r="C118" i="62"/>
  <c r="C114" i="62"/>
  <c r="C112" i="62"/>
  <c r="C123" i="62"/>
  <c r="C119" i="62"/>
  <c r="C121" i="62"/>
  <c r="C117" i="62"/>
  <c r="C113" i="62"/>
  <c r="C120" i="62"/>
  <c r="C116" i="62"/>
  <c r="C115" i="62"/>
  <c r="N103" i="62"/>
  <c r="C134" i="62"/>
  <c r="T7" i="62"/>
  <c r="C50" i="62"/>
  <c r="C51" i="62"/>
  <c r="S83" i="62"/>
  <c r="S89" i="62"/>
  <c r="S81" i="62"/>
  <c r="S84" i="62"/>
  <c r="S82" i="62"/>
  <c r="S88" i="62"/>
  <c r="D134" i="62"/>
  <c r="H134" i="62"/>
  <c r="L134" i="62"/>
  <c r="G134" i="62"/>
  <c r="E134" i="62"/>
  <c r="I134" i="62"/>
  <c r="M134" i="62"/>
  <c r="K134" i="62"/>
  <c r="F134" i="62"/>
  <c r="J134" i="62"/>
  <c r="B134" i="62"/>
  <c r="N3" i="62"/>
  <c r="BB43" i="66"/>
  <c r="BB40" i="66"/>
  <c r="BB49" i="66"/>
  <c r="BB37" i="66"/>
  <c r="BB46" i="66"/>
  <c r="B99" i="119"/>
  <c r="R98" i="119"/>
  <c r="S91" i="62" l="1"/>
  <c r="R15" i="64"/>
  <c r="S90" i="62"/>
  <c r="R14" i="64"/>
  <c r="AP38" i="121"/>
  <c r="AU38" i="121" s="1"/>
  <c r="S85" i="62"/>
  <c r="S92" i="62"/>
  <c r="S87" i="62"/>
  <c r="AD72" i="62"/>
  <c r="S86" i="62"/>
  <c r="AZ36" i="121"/>
  <c r="C60" i="62"/>
  <c r="R13" i="64"/>
  <c r="P31" i="124"/>
  <c r="C54" i="62"/>
  <c r="C52" i="62"/>
  <c r="C55" i="62"/>
  <c r="C56" i="62"/>
  <c r="O35" i="125"/>
  <c r="R35" i="125" s="1"/>
  <c r="C61" i="62"/>
  <c r="C53" i="62"/>
  <c r="C59" i="62"/>
  <c r="R12" i="64"/>
  <c r="AT38" i="121"/>
  <c r="C58" i="62"/>
  <c r="C57" i="62"/>
  <c r="AS207" i="73"/>
  <c r="S7" i="125"/>
  <c r="EG8" i="126"/>
  <c r="Z37" i="126"/>
  <c r="BN37" i="126"/>
  <c r="BM37" i="126"/>
  <c r="O33" i="124"/>
  <c r="Q34" i="124" s="1"/>
  <c r="R11" i="64"/>
  <c r="I1048574" i="124"/>
  <c r="N41" i="62"/>
  <c r="R10" i="64"/>
  <c r="F36" i="126"/>
  <c r="E37" i="126"/>
  <c r="E43" i="126" s="1"/>
  <c r="C36" i="125"/>
  <c r="C41" i="125" s="1"/>
  <c r="B43" i="126"/>
  <c r="P32" i="124"/>
  <c r="DU36" i="126"/>
  <c r="EE36" i="126" s="1"/>
  <c r="S51" i="62"/>
  <c r="S56" i="62"/>
  <c r="S17" i="118"/>
  <c r="T17" i="118" s="1"/>
  <c r="S55" i="62"/>
  <c r="AD41" i="62"/>
  <c r="S60" i="62"/>
  <c r="R9" i="64"/>
  <c r="S53" i="62"/>
  <c r="S59" i="62"/>
  <c r="S58" i="62"/>
  <c r="S54" i="62"/>
  <c r="S57" i="62"/>
  <c r="S52" i="62"/>
  <c r="R7" i="64"/>
  <c r="R6" i="64"/>
  <c r="S61" i="62"/>
  <c r="AR208" i="73"/>
  <c r="T117" i="64"/>
  <c r="R8" i="64"/>
  <c r="AO34" i="121"/>
  <c r="AO36" i="121"/>
  <c r="AN36" i="121"/>
  <c r="AM38" i="121"/>
  <c r="AO14" i="121"/>
  <c r="AO11" i="121"/>
  <c r="AO12" i="121"/>
  <c r="AO31" i="121"/>
  <c r="AO27" i="121"/>
  <c r="AO20" i="121"/>
  <c r="AO9" i="121"/>
  <c r="AO18" i="121"/>
  <c r="AO15" i="121"/>
  <c r="AO8" i="121"/>
  <c r="AO33" i="121"/>
  <c r="AO23" i="121"/>
  <c r="AO24" i="121"/>
  <c r="AO30" i="121"/>
  <c r="AO19" i="121"/>
  <c r="AO10" i="121"/>
  <c r="AO25" i="121"/>
  <c r="AO17" i="121"/>
  <c r="AO22" i="121"/>
  <c r="AO16" i="121"/>
  <c r="AO21" i="121"/>
  <c r="AO7" i="121"/>
  <c r="AO26" i="121"/>
  <c r="AO28" i="121"/>
  <c r="AO13" i="121"/>
  <c r="AO32" i="121"/>
  <c r="AO29" i="121"/>
  <c r="EB35" i="126"/>
  <c r="DR37" i="126"/>
  <c r="EB37" i="126" s="1"/>
  <c r="AR31" i="66" s="1"/>
  <c r="EE35" i="126"/>
  <c r="AO35" i="121"/>
  <c r="EB36" i="126"/>
  <c r="R99" i="119"/>
  <c r="B9" i="62"/>
  <c r="C10" i="62"/>
  <c r="B10" i="62"/>
  <c r="C19" i="62" s="1"/>
  <c r="C153" i="62"/>
  <c r="C149" i="62"/>
  <c r="C145" i="62"/>
  <c r="C147" i="62"/>
  <c r="C154" i="62"/>
  <c r="C146" i="62"/>
  <c r="C152" i="62"/>
  <c r="C148" i="62"/>
  <c r="C144" i="62"/>
  <c r="C151" i="62"/>
  <c r="C143" i="62"/>
  <c r="C150" i="62"/>
  <c r="C91" i="62"/>
  <c r="C87" i="62"/>
  <c r="C83" i="62"/>
  <c r="C89" i="62"/>
  <c r="C85" i="62"/>
  <c r="C88" i="62"/>
  <c r="C90" i="62"/>
  <c r="C86" i="62"/>
  <c r="C82" i="62"/>
  <c r="C81" i="62"/>
  <c r="C92" i="62"/>
  <c r="C84" i="62"/>
  <c r="N72" i="62"/>
  <c r="F10" i="62"/>
  <c r="D10" i="62"/>
  <c r="M10" i="62"/>
  <c r="E10" i="62"/>
  <c r="J10" i="62"/>
  <c r="H10" i="62"/>
  <c r="L10" i="62"/>
  <c r="K10" i="62"/>
  <c r="I10" i="62"/>
  <c r="G10" i="62"/>
  <c r="N134" i="62"/>
  <c r="AQ4" i="66"/>
  <c r="DV36" i="126" l="1"/>
  <c r="EF36" i="126" s="1"/>
  <c r="S35" i="125" s="1"/>
  <c r="Q11" i="124"/>
  <c r="P35" i="125"/>
  <c r="Q6" i="124"/>
  <c r="Q21" i="124"/>
  <c r="Q9" i="124"/>
  <c r="Q16" i="124"/>
  <c r="Q27" i="124"/>
  <c r="Q31" i="124"/>
  <c r="Q7" i="124"/>
  <c r="Q14" i="124"/>
  <c r="Q18" i="124"/>
  <c r="Q8" i="124"/>
  <c r="Q4" i="124"/>
  <c r="Q24" i="124"/>
  <c r="P33" i="124"/>
  <c r="Q29" i="124"/>
  <c r="Q23" i="124"/>
  <c r="Q17" i="124"/>
  <c r="Q10" i="124"/>
  <c r="Q22" i="124"/>
  <c r="Q30" i="124"/>
  <c r="Q5" i="124"/>
  <c r="Q32" i="124"/>
  <c r="Q20" i="124"/>
  <c r="Q25" i="124"/>
  <c r="Q12" i="124"/>
  <c r="Q15" i="124"/>
  <c r="Q13" i="124"/>
  <c r="Q28" i="124"/>
  <c r="Q19" i="124"/>
  <c r="Q26" i="124"/>
  <c r="O35" i="124"/>
  <c r="R35" i="124" s="1"/>
  <c r="R33" i="124"/>
  <c r="Q33" i="124"/>
  <c r="DU37" i="126"/>
  <c r="EE37" i="126" s="1"/>
  <c r="AU31" i="66" s="1"/>
  <c r="F37" i="126"/>
  <c r="F43" i="126" s="1"/>
  <c r="T118" i="64"/>
  <c r="C21" i="62"/>
  <c r="C20" i="62"/>
  <c r="C28" i="62"/>
  <c r="C26" i="62"/>
  <c r="C27" i="62"/>
  <c r="C30" i="62"/>
  <c r="N10" i="62"/>
  <c r="C24" i="62"/>
  <c r="C22" i="62"/>
  <c r="C23" i="62"/>
  <c r="C25" i="62"/>
  <c r="C29" i="62"/>
  <c r="Z31" i="66"/>
  <c r="Z30" i="66"/>
  <c r="T119" i="64" l="1"/>
  <c r="G2" i="69"/>
  <c r="G3" i="69"/>
  <c r="G4" i="69"/>
  <c r="G5" i="69"/>
  <c r="G6" i="69"/>
  <c r="G7" i="69"/>
  <c r="G8" i="69"/>
  <c r="G9" i="69"/>
  <c r="G10" i="69"/>
  <c r="G11" i="69"/>
  <c r="G12" i="69"/>
  <c r="T120" i="64" l="1"/>
  <c r="F242" i="73"/>
  <c r="T121" i="64" l="1"/>
  <c r="T122" i="64"/>
  <c r="BO32" i="66"/>
  <c r="AZ47" i="66" s="1"/>
  <c r="BR32" i="66"/>
  <c r="AZ50" i="66" s="1"/>
  <c r="BU32" i="66"/>
  <c r="CI32" i="66"/>
  <c r="CH32" i="66"/>
  <c r="CG32" i="66"/>
  <c r="AZ65" i="66" s="1"/>
  <c r="CF32" i="66"/>
  <c r="CM32" i="66"/>
  <c r="CL32" i="66"/>
  <c r="CK32" i="66"/>
  <c r="AZ69" i="66" s="1"/>
  <c r="CJ32" i="66"/>
  <c r="CC32" i="66"/>
  <c r="AZ61" i="66" s="1"/>
  <c r="CB32" i="66"/>
  <c r="BZ32" i="66"/>
  <c r="T123" i="64" l="1"/>
  <c r="T124" i="64" s="1"/>
  <c r="T125" i="64" s="1"/>
  <c r="CN32" i="66"/>
  <c r="AZ67" i="66"/>
  <c r="E55" i="69"/>
  <c r="C55" i="69"/>
  <c r="T126" i="64" l="1"/>
  <c r="T127" i="64" s="1"/>
  <c r="BL32" i="66"/>
  <c r="AZ44" i="66" s="1"/>
  <c r="BK32" i="66"/>
  <c r="BI32" i="66"/>
  <c r="AZ41" i="66" s="1"/>
  <c r="BH32" i="66"/>
  <c r="BF32" i="66"/>
  <c r="AZ38" i="66" s="1"/>
  <c r="BE32" i="66"/>
  <c r="BC32" i="66"/>
  <c r="CR32" i="66"/>
  <c r="AZ76" i="66" s="1"/>
  <c r="CQ32" i="66"/>
  <c r="AZ75" i="66" s="1"/>
  <c r="CP32" i="66"/>
  <c r="AZ74" i="66" s="1"/>
  <c r="CO32" i="66"/>
  <c r="AZ73" i="66" s="1"/>
  <c r="AZ72" i="66"/>
  <c r="AZ66" i="66"/>
  <c r="AZ64" i="66"/>
  <c r="AZ53" i="66"/>
  <c r="O10" i="66"/>
  <c r="O11" i="66"/>
  <c r="O12" i="66"/>
  <c r="O13" i="66"/>
  <c r="O14" i="66"/>
  <c r="O15" i="66"/>
  <c r="O16" i="66"/>
  <c r="O17" i="66"/>
  <c r="O18" i="66"/>
  <c r="O19" i="66"/>
  <c r="O20" i="66"/>
  <c r="O21" i="66"/>
  <c r="O22" i="66"/>
  <c r="O23" i="66"/>
  <c r="O24" i="66"/>
  <c r="O25" i="66"/>
  <c r="O26" i="66"/>
  <c r="O27" i="66"/>
  <c r="O28" i="66"/>
  <c r="O29" i="66"/>
  <c r="O30" i="66"/>
  <c r="O31" i="66"/>
  <c r="BD44" i="66" s="1"/>
  <c r="O4" i="66"/>
  <c r="O5" i="66"/>
  <c r="O6" i="66"/>
  <c r="O7" i="66"/>
  <c r="O8" i="66"/>
  <c r="O9" i="66"/>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BD38" i="66" s="1"/>
  <c r="I4" i="66"/>
  <c r="AZ40" i="66" l="1"/>
  <c r="BJ32" i="66"/>
  <c r="AZ42" i="66" s="1"/>
  <c r="AZ35" i="66"/>
  <c r="AZ77" i="66" s="1"/>
  <c r="BD32" i="66"/>
  <c r="AZ36" i="66" s="1"/>
  <c r="AZ37" i="66"/>
  <c r="BG32" i="66"/>
  <c r="AZ39" i="66" s="1"/>
  <c r="AZ43" i="66"/>
  <c r="BM32" i="66"/>
  <c r="AZ45" i="66" s="1"/>
  <c r="I32" i="66"/>
  <c r="O32" i="66"/>
  <c r="H239" i="73" l="1"/>
  <c r="H235" i="73"/>
  <c r="H227" i="73"/>
  <c r="H223" i="73"/>
  <c r="H219" i="73"/>
  <c r="H215" i="73"/>
  <c r="H231" i="73"/>
  <c r="H236" i="73"/>
  <c r="H232" i="73"/>
  <c r="H228" i="73"/>
  <c r="H224" i="73"/>
  <c r="H216" i="73"/>
  <c r="H234" i="73"/>
  <c r="H226" i="73"/>
  <c r="H222" i="73"/>
  <c r="H237" i="73"/>
  <c r="H233" i="73"/>
  <c r="H229" i="73"/>
  <c r="H225" i="73"/>
  <c r="H221" i="73"/>
  <c r="H217" i="73"/>
  <c r="H238" i="73"/>
  <c r="H218" i="73"/>
  <c r="H241" i="73"/>
  <c r="H214" i="73"/>
  <c r="W215" i="73"/>
  <c r="W216" i="73"/>
  <c r="W217" i="73"/>
  <c r="W218" i="73"/>
  <c r="W219" i="73"/>
  <c r="W221" i="73"/>
  <c r="W222" i="73"/>
  <c r="W223" i="73"/>
  <c r="W224" i="73"/>
  <c r="W225" i="73"/>
  <c r="W226" i="73"/>
  <c r="W227" i="73"/>
  <c r="W228" i="73"/>
  <c r="W229" i="73"/>
  <c r="W231" i="73"/>
  <c r="W232" i="73"/>
  <c r="W233" i="73"/>
  <c r="W234" i="73"/>
  <c r="W235" i="73"/>
  <c r="W236" i="73"/>
  <c r="W237" i="73"/>
  <c r="W238" i="73"/>
  <c r="W239" i="73"/>
  <c r="W241" i="73"/>
  <c r="AC32" i="66" l="1"/>
  <c r="AE32" i="66" l="1"/>
  <c r="AF32" i="66"/>
  <c r="W32" i="66" l="1"/>
  <c r="U5" i="66" l="1"/>
  <c r="U6" i="66"/>
  <c r="U7" i="66"/>
  <c r="U8" i="66"/>
  <c r="U9" i="66"/>
  <c r="U10" i="66"/>
  <c r="U11" i="66"/>
  <c r="U12" i="66"/>
  <c r="U13" i="66"/>
  <c r="U14" i="66"/>
  <c r="U15" i="66"/>
  <c r="U16" i="66"/>
  <c r="U17" i="66"/>
  <c r="U18" i="66"/>
  <c r="U19" i="66"/>
  <c r="U20" i="66"/>
  <c r="U21" i="66"/>
  <c r="U22" i="66"/>
  <c r="U23" i="66"/>
  <c r="U24" i="66"/>
  <c r="U25" i="66"/>
  <c r="U26" i="66"/>
  <c r="U27" i="66"/>
  <c r="U28" i="66"/>
  <c r="U29" i="66"/>
  <c r="U30" i="66"/>
  <c r="U31" i="66"/>
  <c r="BD50" i="66" s="1"/>
  <c r="BD51" i="66" s="1"/>
  <c r="U4" i="66"/>
  <c r="R5" i="66"/>
  <c r="R6" i="66"/>
  <c r="R7" i="66"/>
  <c r="R8" i="66"/>
  <c r="R9" i="66"/>
  <c r="R10" i="66"/>
  <c r="R11" i="66"/>
  <c r="R12" i="66"/>
  <c r="R13" i="66"/>
  <c r="R14" i="66"/>
  <c r="R15" i="66"/>
  <c r="R16" i="66"/>
  <c r="R17" i="66"/>
  <c r="R18" i="66"/>
  <c r="R19" i="66"/>
  <c r="R20" i="66"/>
  <c r="R21" i="66"/>
  <c r="R22" i="66"/>
  <c r="R23" i="66"/>
  <c r="R24" i="66"/>
  <c r="R25" i="66"/>
  <c r="R26" i="66"/>
  <c r="R27" i="66"/>
  <c r="R28" i="66"/>
  <c r="R29" i="66"/>
  <c r="R30" i="66"/>
  <c r="R31" i="66"/>
  <c r="BD47" i="66" s="1"/>
  <c r="BD48" i="66" s="1"/>
  <c r="R4" i="66"/>
  <c r="L5" i="66"/>
  <c r="L6" i="66"/>
  <c r="L7" i="66"/>
  <c r="L8" i="66"/>
  <c r="L9" i="66"/>
  <c r="L10" i="66"/>
  <c r="L11" i="66"/>
  <c r="L12" i="66"/>
  <c r="L13" i="66"/>
  <c r="L14" i="66"/>
  <c r="L15" i="66"/>
  <c r="L16" i="66"/>
  <c r="L17" i="66"/>
  <c r="L18" i="66"/>
  <c r="L19" i="66"/>
  <c r="L20" i="66"/>
  <c r="L21" i="66"/>
  <c r="L22" i="66"/>
  <c r="L23" i="66"/>
  <c r="L24" i="66"/>
  <c r="L25" i="66"/>
  <c r="L26" i="66"/>
  <c r="L27" i="66"/>
  <c r="L28" i="66"/>
  <c r="L29" i="66"/>
  <c r="L30" i="66"/>
  <c r="L31" i="66"/>
  <c r="BD41" i="66" s="1"/>
  <c r="BD42" i="66" s="1"/>
  <c r="L4" i="66"/>
  <c r="F31" i="66"/>
  <c r="BD35" i="66" s="1"/>
  <c r="F28" i="66"/>
  <c r="F29" i="66"/>
  <c r="F30" i="66"/>
  <c r="F27" i="66"/>
  <c r="F26" i="66"/>
  <c r="F24" i="66"/>
  <c r="F25" i="66"/>
  <c r="F23" i="66"/>
  <c r="F12" i="66"/>
  <c r="F13" i="66"/>
  <c r="F14" i="66"/>
  <c r="F15" i="66"/>
  <c r="F16" i="66"/>
  <c r="F17" i="66"/>
  <c r="F18" i="66"/>
  <c r="F19" i="66"/>
  <c r="F20" i="66"/>
  <c r="F21" i="66"/>
  <c r="F22" i="66"/>
  <c r="F8" i="66"/>
  <c r="F9" i="66"/>
  <c r="F10" i="66"/>
  <c r="F11" i="66"/>
  <c r="F5" i="66"/>
  <c r="F6" i="66"/>
  <c r="F7" i="66"/>
  <c r="AX4" i="66" l="1"/>
  <c r="BD36" i="66"/>
  <c r="AZ82" i="66"/>
  <c r="L32" i="66"/>
  <c r="R32" i="66"/>
  <c r="U32" i="66"/>
  <c r="BY32" i="66" l="1"/>
  <c r="AZ57" i="66" s="1"/>
  <c r="BX32" i="66"/>
  <c r="AZ71" i="66"/>
  <c r="AZ70" i="66"/>
  <c r="AZ68" i="66"/>
  <c r="CE32" i="66"/>
  <c r="AZ63" i="66" s="1"/>
  <c r="AZ56" i="66" l="1"/>
  <c r="CA32" i="66"/>
  <c r="AZ59" i="66" s="1"/>
  <c r="AZ60" i="66"/>
  <c r="AZ58" i="66"/>
  <c r="CD32" i="66" l="1"/>
  <c r="AZ62" i="66" s="1"/>
  <c r="AA3" i="62" l="1"/>
  <c r="G242" i="73"/>
  <c r="AA4" i="62" s="1"/>
  <c r="N10" i="64"/>
  <c r="G13" i="69" l="1"/>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AD4" i="66"/>
  <c r="Z5" i="66"/>
  <c r="AD5" i="66"/>
  <c r="AQ5" i="66"/>
  <c r="Z6" i="66"/>
  <c r="AD6" i="66"/>
  <c r="AQ6" i="66"/>
  <c r="Z7" i="66"/>
  <c r="AD7" i="66"/>
  <c r="AQ7" i="66"/>
  <c r="Z8" i="66"/>
  <c r="AD8" i="66"/>
  <c r="AQ8" i="66"/>
  <c r="Z9" i="66"/>
  <c r="AD9" i="66"/>
  <c r="AQ9" i="66"/>
  <c r="Z10" i="66"/>
  <c r="AD10" i="66"/>
  <c r="AQ10" i="66"/>
  <c r="Z11" i="66"/>
  <c r="AD11" i="66"/>
  <c r="AQ11" i="66"/>
  <c r="Z12" i="66"/>
  <c r="AD12" i="66"/>
  <c r="AQ12" i="66"/>
  <c r="Z13" i="66"/>
  <c r="AD13" i="66"/>
  <c r="AQ13" i="66"/>
  <c r="Z14" i="66"/>
  <c r="AD14" i="66"/>
  <c r="AQ14" i="66"/>
  <c r="Z15" i="66"/>
  <c r="AD15" i="66"/>
  <c r="AQ15" i="66"/>
  <c r="Z16" i="66"/>
  <c r="AD16" i="66"/>
  <c r="AQ16" i="66"/>
  <c r="Z17" i="66"/>
  <c r="AD17" i="66"/>
  <c r="AQ17" i="66"/>
  <c r="Z18" i="66"/>
  <c r="AD18" i="66"/>
  <c r="AQ18" i="66"/>
  <c r="Z19" i="66"/>
  <c r="AD19" i="66"/>
  <c r="AQ19" i="66"/>
  <c r="Z20" i="66"/>
  <c r="AD20" i="66"/>
  <c r="AQ20" i="66"/>
  <c r="Z21" i="66"/>
  <c r="AD21" i="66"/>
  <c r="AQ21" i="66"/>
  <c r="Z22" i="66"/>
  <c r="AD22" i="66"/>
  <c r="AQ22" i="66"/>
  <c r="Z23" i="66"/>
  <c r="AD23" i="66"/>
  <c r="AQ23" i="66"/>
  <c r="Z24" i="66"/>
  <c r="AD24" i="66"/>
  <c r="AQ24" i="66"/>
  <c r="Z25" i="66"/>
  <c r="AD25" i="66"/>
  <c r="AQ25" i="66"/>
  <c r="Z26" i="66"/>
  <c r="AD26" i="66"/>
  <c r="AQ26" i="66"/>
  <c r="Z27" i="66"/>
  <c r="AD27" i="66"/>
  <c r="AQ27" i="66"/>
  <c r="Z28" i="66"/>
  <c r="AD28" i="66"/>
  <c r="AQ28" i="66"/>
  <c r="Z29" i="66"/>
  <c r="AD29" i="66"/>
  <c r="AQ29" i="66"/>
  <c r="AD30" i="66"/>
  <c r="BN32" i="66"/>
  <c r="BQ32" i="66"/>
  <c r="BT32" i="66"/>
  <c r="BV32" i="66"/>
  <c r="AZ54" i="66" s="1"/>
  <c r="AZ49" i="66" l="1"/>
  <c r="BS32" i="66"/>
  <c r="AZ51" i="66" s="1"/>
  <c r="AZ46" i="66"/>
  <c r="BP32" i="66"/>
  <c r="AZ48" i="66" s="1"/>
  <c r="AZ52" i="66"/>
  <c r="BW32" i="66"/>
  <c r="AZ55" i="66" s="1"/>
  <c r="G55" i="69"/>
  <c r="N42" i="64"/>
  <c r="G57" i="69"/>
  <c r="AZ81" i="66" l="1"/>
  <c r="AZ78" i="66"/>
  <c r="AZ79" i="66" s="1"/>
  <c r="N23" i="64"/>
  <c r="N5" i="62" l="1"/>
  <c r="G12" i="62" s="1"/>
  <c r="AD37" i="62"/>
  <c r="R44" i="62" s="1"/>
  <c r="AD38" i="62"/>
  <c r="R45" i="62" s="1"/>
  <c r="AD39" i="62"/>
  <c r="AD68" i="62"/>
  <c r="AD69" i="62"/>
  <c r="AD70" i="62"/>
  <c r="N130" i="62"/>
  <c r="L137" i="62" s="1"/>
  <c r="N131" i="62"/>
  <c r="L138" i="62" s="1"/>
  <c r="N132" i="62"/>
  <c r="G139" i="62" s="1"/>
  <c r="N7" i="62"/>
  <c r="E14" i="62" s="1"/>
  <c r="N8" i="62"/>
  <c r="C15" i="62" s="1"/>
  <c r="N37" i="62"/>
  <c r="N38" i="62"/>
  <c r="N39" i="62"/>
  <c r="N67" i="62"/>
  <c r="N68" i="62"/>
  <c r="N69" i="62"/>
  <c r="N70" i="62"/>
  <c r="N98" i="62"/>
  <c r="L105" i="62" s="1"/>
  <c r="N99" i="62"/>
  <c r="J106" i="62" s="1"/>
  <c r="N100" i="62"/>
  <c r="E107" i="62" s="1"/>
  <c r="N101" i="62"/>
  <c r="K108" i="62" s="1"/>
  <c r="E139" i="62"/>
  <c r="M138" i="62"/>
  <c r="J138" i="62"/>
  <c r="G138" i="62"/>
  <c r="E138" i="62"/>
  <c r="B138" i="62"/>
  <c r="I106" i="62"/>
  <c r="K12" i="62"/>
  <c r="E106" i="62" l="1"/>
  <c r="C138" i="62"/>
  <c r="I138" i="62"/>
  <c r="M106" i="62"/>
  <c r="F138" i="62"/>
  <c r="K138" i="62"/>
  <c r="H108" i="62"/>
  <c r="I105" i="62"/>
  <c r="H105" i="62"/>
  <c r="L14" i="62"/>
  <c r="F106" i="62"/>
  <c r="K14" i="62"/>
  <c r="L108" i="62"/>
  <c r="M108" i="62"/>
  <c r="J137" i="62"/>
  <c r="D108" i="62"/>
  <c r="I108" i="62"/>
  <c r="E108" i="62"/>
  <c r="L106" i="62"/>
  <c r="E137" i="62"/>
  <c r="J12" i="62"/>
  <c r="B12" i="62"/>
  <c r="E19" i="62" s="1"/>
  <c r="C12" i="62"/>
  <c r="H14" i="62"/>
  <c r="G14" i="62"/>
  <c r="D14" i="62"/>
  <c r="C14" i="62"/>
  <c r="F15" i="62"/>
  <c r="F137" i="62"/>
  <c r="K137" i="62"/>
  <c r="F14" i="62"/>
  <c r="J108" i="62"/>
  <c r="M15" i="62"/>
  <c r="E15" i="62"/>
  <c r="J105" i="62"/>
  <c r="K105" i="62"/>
  <c r="J15" i="62"/>
  <c r="B15" i="62"/>
  <c r="J14" i="62"/>
  <c r="B14" i="62"/>
  <c r="B108" i="62"/>
  <c r="F108" i="62"/>
  <c r="B137" i="62"/>
  <c r="G137" i="62"/>
  <c r="M137" i="62"/>
  <c r="I15" i="62"/>
  <c r="M14" i="62"/>
  <c r="I14" i="62"/>
  <c r="D105" i="62"/>
  <c r="C108" i="62"/>
  <c r="G108" i="62"/>
  <c r="C137" i="62"/>
  <c r="I137" i="62"/>
  <c r="I139" i="62"/>
  <c r="M139" i="62"/>
  <c r="N6" i="62"/>
  <c r="D12" i="62"/>
  <c r="H12" i="62"/>
  <c r="L12" i="62"/>
  <c r="I12" i="62"/>
  <c r="E12" i="62"/>
  <c r="M12" i="62"/>
  <c r="F12" i="62"/>
  <c r="C139" i="62"/>
  <c r="K139" i="62"/>
  <c r="D137" i="62"/>
  <c r="H137" i="62"/>
  <c r="D138" i="62"/>
  <c r="H138" i="62"/>
  <c r="D139" i="62"/>
  <c r="H139" i="62"/>
  <c r="L139" i="62"/>
  <c r="B139" i="62"/>
  <c r="F139" i="62"/>
  <c r="J139" i="62"/>
  <c r="L15" i="62"/>
  <c r="H15" i="62"/>
  <c r="D15" i="62"/>
  <c r="K15" i="62"/>
  <c r="G15" i="62"/>
  <c r="B106" i="62"/>
  <c r="E105" i="62"/>
  <c r="M105" i="62"/>
  <c r="B105" i="62"/>
  <c r="I107" i="62"/>
  <c r="M107" i="62"/>
  <c r="B107" i="62"/>
  <c r="F107" i="62"/>
  <c r="J107" i="62"/>
  <c r="C106" i="62"/>
  <c r="G106" i="62"/>
  <c r="K106" i="62"/>
  <c r="C107" i="62"/>
  <c r="G107" i="62"/>
  <c r="K107" i="62"/>
  <c r="F105" i="62"/>
  <c r="D106" i="62"/>
  <c r="H106" i="62"/>
  <c r="D107" i="62"/>
  <c r="H107" i="62"/>
  <c r="L107" i="62"/>
  <c r="C105" i="62"/>
  <c r="G105" i="62"/>
  <c r="N138" i="62" l="1"/>
  <c r="N107" i="62"/>
  <c r="N137" i="62"/>
  <c r="N106" i="62"/>
  <c r="N139" i="62"/>
  <c r="H19" i="62"/>
  <c r="N15" i="62"/>
  <c r="N12" i="62"/>
  <c r="I13" i="62"/>
  <c r="B13" i="62"/>
  <c r="G19" i="62"/>
  <c r="N14" i="62"/>
  <c r="N105" i="62"/>
  <c r="N108" i="62"/>
  <c r="M13" i="62"/>
  <c r="J13" i="62"/>
  <c r="C13" i="62"/>
  <c r="K13" i="62"/>
  <c r="E13" i="62"/>
  <c r="G13" i="62"/>
  <c r="F13" i="62"/>
  <c r="L13" i="62"/>
  <c r="D13" i="62"/>
  <c r="H13" i="62"/>
  <c r="N13" i="62" l="1"/>
  <c r="F19" i="62"/>
  <c r="W31" i="65"/>
  <c r="M31" i="65"/>
  <c r="L31" i="65"/>
  <c r="C31" i="65" l="1"/>
  <c r="V31" i="65"/>
  <c r="B31" i="65" l="1"/>
  <c r="C33" i="65"/>
  <c r="B33" i="65" l="1"/>
  <c r="A40" i="64" l="1"/>
  <c r="AM10" i="64" s="1"/>
  <c r="A34" i="64"/>
  <c r="AM9" i="64" s="1"/>
  <c r="A28" i="64"/>
  <c r="AM8" i="64" s="1"/>
  <c r="A21" i="64"/>
  <c r="AM7" i="64" s="1"/>
  <c r="A15" i="64"/>
  <c r="AM6" i="64" s="1"/>
  <c r="A8" i="64"/>
  <c r="AM5" i="64" s="1"/>
  <c r="A1" i="64"/>
  <c r="AR152" i="63"/>
  <c r="AR151" i="63"/>
  <c r="AC151" i="63"/>
  <c r="AR150" i="63"/>
  <c r="AC150" i="63"/>
  <c r="AR122" i="63"/>
  <c r="AR121" i="63"/>
  <c r="AC121" i="63"/>
  <c r="AR120" i="63"/>
  <c r="AC120" i="63"/>
  <c r="AR92" i="63"/>
  <c r="AR91" i="63"/>
  <c r="AC91" i="63"/>
  <c r="AR90" i="63"/>
  <c r="AC90" i="63"/>
  <c r="AR62" i="63"/>
  <c r="AR61" i="63"/>
  <c r="AC61" i="63"/>
  <c r="AR60" i="63"/>
  <c r="AC60" i="63"/>
  <c r="AR32" i="63"/>
  <c r="AR31" i="63"/>
  <c r="AC31" i="63"/>
  <c r="AR30" i="63"/>
  <c r="AC30" i="63"/>
  <c r="N129" i="62"/>
  <c r="J136" i="62" l="1"/>
  <c r="F136" i="62"/>
  <c r="B136" i="62"/>
  <c r="H136" i="62"/>
  <c r="M136" i="62"/>
  <c r="I136" i="62"/>
  <c r="E136" i="62"/>
  <c r="K136" i="62"/>
  <c r="G136" i="62"/>
  <c r="C136" i="62"/>
  <c r="L136" i="62"/>
  <c r="D136" i="62"/>
  <c r="AC3" i="63"/>
  <c r="AR3" i="63"/>
  <c r="CB3" i="63" s="1"/>
  <c r="AC4" i="63"/>
  <c r="BH4" i="63" s="1"/>
  <c r="AR4" i="63"/>
  <c r="BT4" i="63" s="1"/>
  <c r="AC5" i="63"/>
  <c r="BN5" i="63" s="1"/>
  <c r="AR5" i="63"/>
  <c r="BX5" i="63" s="1"/>
  <c r="AC6" i="63"/>
  <c r="BI6" i="63" s="1"/>
  <c r="AR6" i="63"/>
  <c r="BY6" i="63" s="1"/>
  <c r="AC7" i="63"/>
  <c r="BQ7" i="63" s="1"/>
  <c r="AR7" i="63"/>
  <c r="CB7" i="63" s="1"/>
  <c r="AC8" i="63"/>
  <c r="BG8" i="63" s="1"/>
  <c r="AR8" i="63"/>
  <c r="BX8" i="63" s="1"/>
  <c r="AC9" i="63"/>
  <c r="BK9" i="63" s="1"/>
  <c r="AR9" i="63"/>
  <c r="BX9" i="63" s="1"/>
  <c r="AC10" i="63"/>
  <c r="BK10" i="63" s="1"/>
  <c r="AC13" i="63"/>
  <c r="BL13" i="63" s="1"/>
  <c r="AR13" i="63"/>
  <c r="CA13" i="63" s="1"/>
  <c r="AC15" i="63"/>
  <c r="BR15" i="63" s="1"/>
  <c r="AR15" i="63"/>
  <c r="BV15" i="63" s="1"/>
  <c r="AC17" i="63"/>
  <c r="BN17" i="63" s="1"/>
  <c r="AR17" i="63"/>
  <c r="BW17" i="63" s="1"/>
  <c r="AC19" i="63"/>
  <c r="BL19" i="63" s="1"/>
  <c r="AR19" i="63"/>
  <c r="CB19" i="63" s="1"/>
  <c r="AC21" i="63"/>
  <c r="BL21" i="63" s="1"/>
  <c r="AR21" i="63"/>
  <c r="CE21" i="63" s="1"/>
  <c r="AC23" i="63"/>
  <c r="BN23" i="63" s="1"/>
  <c r="AR23" i="63"/>
  <c r="CB23" i="63" s="1"/>
  <c r="AC25" i="63"/>
  <c r="BI25" i="63" s="1"/>
  <c r="AR25" i="63"/>
  <c r="CA25" i="63" s="1"/>
  <c r="AC27" i="63"/>
  <c r="BL27" i="63" s="1"/>
  <c r="AR27" i="63"/>
  <c r="BV27" i="63" s="1"/>
  <c r="AC29" i="63"/>
  <c r="BL29" i="63" s="1"/>
  <c r="AR29" i="63"/>
  <c r="CD29" i="63" s="1"/>
  <c r="AC63" i="63"/>
  <c r="BG63" i="63" s="1"/>
  <c r="AC64" i="63"/>
  <c r="BH64" i="63" s="1"/>
  <c r="AR64" i="63"/>
  <c r="BX64" i="63" s="1"/>
  <c r="AC65" i="63"/>
  <c r="BQ65" i="63" s="1"/>
  <c r="AC66" i="63"/>
  <c r="BG66" i="63" s="1"/>
  <c r="AR66" i="63"/>
  <c r="BX66" i="63" s="1"/>
  <c r="AC67" i="63"/>
  <c r="BO67" i="63" s="1"/>
  <c r="AC68" i="63"/>
  <c r="BQ68" i="63" s="1"/>
  <c r="AR68" i="63"/>
  <c r="BT68" i="63" s="1"/>
  <c r="AC69" i="63"/>
  <c r="BK69" i="63" s="1"/>
  <c r="AC70" i="63"/>
  <c r="BM70" i="63" s="1"/>
  <c r="AR70" i="63"/>
  <c r="BX70" i="63" s="1"/>
  <c r="AC71" i="63"/>
  <c r="BR71" i="63" s="1"/>
  <c r="AC72" i="63"/>
  <c r="AR72" i="63"/>
  <c r="CA72" i="63" s="1"/>
  <c r="AC73" i="63"/>
  <c r="BL73" i="63" s="1"/>
  <c r="AC74" i="63"/>
  <c r="AR74" i="63"/>
  <c r="BZ74" i="63" s="1"/>
  <c r="AC75" i="63"/>
  <c r="BH75" i="63" s="1"/>
  <c r="AC76" i="63"/>
  <c r="BG76" i="63" s="1"/>
  <c r="AR76" i="63"/>
  <c r="CE76" i="63" s="1"/>
  <c r="AC77" i="63"/>
  <c r="BN77" i="63" s="1"/>
  <c r="AC78" i="63"/>
  <c r="BG78" i="63" s="1"/>
  <c r="AR78" i="63"/>
  <c r="BT78" i="63" s="1"/>
  <c r="AC79" i="63"/>
  <c r="BQ79" i="63" s="1"/>
  <c r="AC80" i="63"/>
  <c r="AR80" i="63"/>
  <c r="BU80" i="63" s="1"/>
  <c r="AC81" i="63"/>
  <c r="BO81" i="63" s="1"/>
  <c r="AC82" i="63"/>
  <c r="AR82" i="63"/>
  <c r="BW82" i="63" s="1"/>
  <c r="AC83" i="63"/>
  <c r="BQ83" i="63" s="1"/>
  <c r="AC84" i="63"/>
  <c r="BR84" i="63" s="1"/>
  <c r="AR84" i="63"/>
  <c r="CB84" i="63" s="1"/>
  <c r="AC86" i="63"/>
  <c r="BI86" i="63" s="1"/>
  <c r="AC88" i="63"/>
  <c r="BM88" i="63" s="1"/>
  <c r="AR132" i="63"/>
  <c r="CC132" i="63" s="1"/>
  <c r="AC133" i="63"/>
  <c r="BR133" i="63" s="1"/>
  <c r="AR133" i="63"/>
  <c r="CA133" i="63" s="1"/>
  <c r="AC106" i="63"/>
  <c r="BI106" i="63" s="1"/>
  <c r="AR106" i="63"/>
  <c r="BT106" i="63" s="1"/>
  <c r="AC108" i="63"/>
  <c r="BR108" i="63" s="1"/>
  <c r="AR112" i="63"/>
  <c r="CD112" i="63" s="1"/>
  <c r="AR175" i="63"/>
  <c r="CA175" i="63" s="1"/>
  <c r="AC159" i="63"/>
  <c r="BR159" i="63" s="1"/>
  <c r="AR159" i="63"/>
  <c r="BT159" i="63" s="1"/>
  <c r="AR167" i="63"/>
  <c r="BV167" i="63" s="1"/>
  <c r="AR169" i="63"/>
  <c r="BT169" i="63" s="1"/>
  <c r="AR114" i="63"/>
  <c r="BT114" i="63" s="1"/>
  <c r="AC116" i="63"/>
  <c r="BQ116" i="63" s="1"/>
  <c r="AC135" i="63"/>
  <c r="BH135" i="63" s="1"/>
  <c r="AC146" i="63"/>
  <c r="BR146" i="63" s="1"/>
  <c r="AC33" i="63"/>
  <c r="BJ33" i="63" s="1"/>
  <c r="AR33" i="63"/>
  <c r="CD33" i="63" s="1"/>
  <c r="AC35" i="63"/>
  <c r="BQ35" i="63" s="1"/>
  <c r="AR35" i="63"/>
  <c r="BY35" i="63" s="1"/>
  <c r="AC37" i="63"/>
  <c r="BM37" i="63" s="1"/>
  <c r="AR37" i="63"/>
  <c r="CD37" i="63" s="1"/>
  <c r="AC39" i="63"/>
  <c r="BQ39" i="63" s="1"/>
  <c r="AR39" i="63"/>
  <c r="BY39" i="63" s="1"/>
  <c r="AC41" i="63"/>
  <c r="BI41" i="63" s="1"/>
  <c r="AR41" i="63"/>
  <c r="CD41" i="63" s="1"/>
  <c r="AC43" i="63"/>
  <c r="BQ43" i="63" s="1"/>
  <c r="AR43" i="63"/>
  <c r="CE43" i="63" s="1"/>
  <c r="AC45" i="63"/>
  <c r="BN45" i="63" s="1"/>
  <c r="AR45" i="63"/>
  <c r="CD45" i="63" s="1"/>
  <c r="AC47" i="63"/>
  <c r="BQ47" i="63" s="1"/>
  <c r="AR47" i="63"/>
  <c r="BZ47" i="63" s="1"/>
  <c r="AR48" i="63"/>
  <c r="CA48" i="63" s="1"/>
  <c r="AR50" i="63"/>
  <c r="BT50" i="63" s="1"/>
  <c r="AC51" i="63"/>
  <c r="BP51" i="63" s="1"/>
  <c r="AC52" i="63"/>
  <c r="BN52" i="63" s="1"/>
  <c r="AR52" i="63"/>
  <c r="BX52" i="63" s="1"/>
  <c r="AC53" i="63"/>
  <c r="BO53" i="63" s="1"/>
  <c r="AC54" i="63"/>
  <c r="AR54" i="63"/>
  <c r="CA54" i="63" s="1"/>
  <c r="AC55" i="63"/>
  <c r="BI55" i="63" s="1"/>
  <c r="AC56" i="63"/>
  <c r="BM56" i="63" s="1"/>
  <c r="AR56" i="63"/>
  <c r="BX56" i="63" s="1"/>
  <c r="AC57" i="63"/>
  <c r="BM57" i="63" s="1"/>
  <c r="AR58" i="63"/>
  <c r="BT58" i="63" s="1"/>
  <c r="AR100" i="63"/>
  <c r="CE100" i="63" s="1"/>
  <c r="AR140" i="63"/>
  <c r="CC140" i="63" s="1"/>
  <c r="AC141" i="63"/>
  <c r="BN141" i="63" s="1"/>
  <c r="AC142" i="63"/>
  <c r="BO142" i="63" s="1"/>
  <c r="AR142" i="63"/>
  <c r="BX142" i="63" s="1"/>
  <c r="AC148" i="63"/>
  <c r="AR148" i="63"/>
  <c r="CE148" i="63" s="1"/>
  <c r="AR153" i="63"/>
  <c r="BT153" i="63" s="1"/>
  <c r="AR154" i="63"/>
  <c r="BZ154" i="63" s="1"/>
  <c r="AC161" i="63"/>
  <c r="BN161" i="63" s="1"/>
  <c r="AR161" i="63"/>
  <c r="BX161" i="63" s="1"/>
  <c r="AC171" i="63"/>
  <c r="BO171" i="63" s="1"/>
  <c r="AR171" i="63"/>
  <c r="BX171" i="63" s="1"/>
  <c r="AC178" i="63"/>
  <c r="BQ178" i="63" s="1"/>
  <c r="AR178" i="63"/>
  <c r="BW178" i="63" s="1"/>
  <c r="AC114" i="63"/>
  <c r="BQ114" i="63" s="1"/>
  <c r="AR135" i="63"/>
  <c r="BT135" i="63" s="1"/>
  <c r="AR139" i="63"/>
  <c r="BT139" i="63" s="1"/>
  <c r="AR146" i="63"/>
  <c r="BX146" i="63" s="1"/>
  <c r="AC124" i="63"/>
  <c r="BQ124" i="63" s="1"/>
  <c r="AR124" i="63"/>
  <c r="BW124" i="63" s="1"/>
  <c r="AC126" i="63"/>
  <c r="AR126" i="63"/>
  <c r="BU126" i="63" s="1"/>
  <c r="AC130" i="63"/>
  <c r="BJ130" i="63" s="1"/>
  <c r="AR130" i="63"/>
  <c r="CC130" i="63" s="1"/>
  <c r="AR131" i="63"/>
  <c r="CE131" i="63" s="1"/>
  <c r="AC144" i="63"/>
  <c r="BG144" i="63" s="1"/>
  <c r="AR144" i="63"/>
  <c r="BZ144" i="63" s="1"/>
  <c r="AC155" i="63"/>
  <c r="BK155" i="63" s="1"/>
  <c r="AC157" i="63"/>
  <c r="BO157" i="63" s="1"/>
  <c r="AR157" i="63"/>
  <c r="CC157" i="63" s="1"/>
  <c r="AR163" i="63"/>
  <c r="BU163" i="63" s="1"/>
  <c r="AR166" i="63"/>
  <c r="BX166" i="63" s="1"/>
  <c r="AC173" i="63"/>
  <c r="BL173" i="63" s="1"/>
  <c r="AR173" i="63"/>
  <c r="BV173" i="63" s="1"/>
  <c r="AD36" i="62"/>
  <c r="R43" i="62" s="1"/>
  <c r="AC58" i="63"/>
  <c r="BK58" i="63" s="1"/>
  <c r="AC59" i="63"/>
  <c r="BI59" i="63" s="1"/>
  <c r="AC166" i="63"/>
  <c r="BQ166" i="63" s="1"/>
  <c r="AD67" i="62"/>
  <c r="AC153" i="63"/>
  <c r="BR153" i="63" s="1"/>
  <c r="AC169" i="63"/>
  <c r="BK169" i="63" s="1"/>
  <c r="BO5" i="63"/>
  <c r="AR10" i="63"/>
  <c r="BT10" i="63" s="1"/>
  <c r="N36" i="62"/>
  <c r="AC11" i="63"/>
  <c r="BG11" i="63" s="1"/>
  <c r="AR11" i="63"/>
  <c r="BT11" i="63" s="1"/>
  <c r="AC12" i="63"/>
  <c r="AC14" i="63"/>
  <c r="AC16" i="63"/>
  <c r="AC18" i="63"/>
  <c r="BG18" i="63" s="1"/>
  <c r="AC20" i="63"/>
  <c r="AC22" i="63"/>
  <c r="AC24" i="63"/>
  <c r="AC26" i="63"/>
  <c r="BG26" i="63" s="1"/>
  <c r="AC28" i="63"/>
  <c r="AC34" i="63"/>
  <c r="BG34" i="63" s="1"/>
  <c r="AC36" i="63"/>
  <c r="AC38" i="63"/>
  <c r="AC40" i="63"/>
  <c r="BG40" i="63" s="1"/>
  <c r="AC42" i="63"/>
  <c r="BG42" i="63" s="1"/>
  <c r="AC44" i="63"/>
  <c r="AC46" i="63"/>
  <c r="AC48" i="63"/>
  <c r="BG48" i="63" s="1"/>
  <c r="AR12" i="63"/>
  <c r="BT12" i="63" s="1"/>
  <c r="AR14" i="63"/>
  <c r="BT14" i="63" s="1"/>
  <c r="AR16" i="63"/>
  <c r="AR18" i="63"/>
  <c r="AR20" i="63"/>
  <c r="BT20" i="63" s="1"/>
  <c r="AR22" i="63"/>
  <c r="BT22" i="63" s="1"/>
  <c r="AR24" i="63"/>
  <c r="AR26" i="63"/>
  <c r="AR28" i="63"/>
  <c r="BT28" i="63" s="1"/>
  <c r="AR34" i="63"/>
  <c r="BT34" i="63" s="1"/>
  <c r="AR36" i="63"/>
  <c r="BT36" i="63" s="1"/>
  <c r="AR38" i="63"/>
  <c r="AR40" i="63"/>
  <c r="BT40" i="63" s="1"/>
  <c r="AR42" i="63"/>
  <c r="BT42" i="63" s="1"/>
  <c r="AR44" i="63"/>
  <c r="BT44" i="63" s="1"/>
  <c r="AR46" i="63"/>
  <c r="AC50" i="63"/>
  <c r="BH77" i="63"/>
  <c r="AC49" i="63"/>
  <c r="BG49" i="63" s="1"/>
  <c r="AR49" i="63"/>
  <c r="BT49" i="63" s="1"/>
  <c r="AR51" i="63"/>
  <c r="BT51" i="63" s="1"/>
  <c r="AR53" i="63"/>
  <c r="BT53" i="63" s="1"/>
  <c r="AR55" i="63"/>
  <c r="AR57" i="63"/>
  <c r="BT57" i="63" s="1"/>
  <c r="AR59" i="63"/>
  <c r="BT59" i="63" s="1"/>
  <c r="AR63" i="63"/>
  <c r="AR65" i="63"/>
  <c r="BT65" i="63" s="1"/>
  <c r="AR67" i="63"/>
  <c r="BT67" i="63" s="1"/>
  <c r="AR69" i="63"/>
  <c r="AR71" i="63"/>
  <c r="AR73" i="63"/>
  <c r="BT73" i="63" s="1"/>
  <c r="AR75" i="63"/>
  <c r="BT75" i="63" s="1"/>
  <c r="AR77" i="63"/>
  <c r="AR79" i="63"/>
  <c r="AR81" i="63"/>
  <c r="BT81" i="63" s="1"/>
  <c r="AR83" i="63"/>
  <c r="BT83" i="63" s="1"/>
  <c r="AR88" i="63"/>
  <c r="BT88" i="63" s="1"/>
  <c r="AR86" i="63"/>
  <c r="BT86" i="63" s="1"/>
  <c r="AC94" i="63"/>
  <c r="BG94" i="63" s="1"/>
  <c r="AR94" i="63"/>
  <c r="BT94" i="63" s="1"/>
  <c r="AC85" i="63"/>
  <c r="AC87" i="63"/>
  <c r="BG87" i="63" s="1"/>
  <c r="AC89" i="63"/>
  <c r="BG89" i="63" s="1"/>
  <c r="AC93" i="63"/>
  <c r="BG93" i="63" s="1"/>
  <c r="AC95" i="63"/>
  <c r="BG95" i="63" s="1"/>
  <c r="AC96" i="63"/>
  <c r="AR96" i="63"/>
  <c r="AC99" i="63"/>
  <c r="BG99" i="63" s="1"/>
  <c r="AC100" i="63"/>
  <c r="AC103" i="63"/>
  <c r="BG103" i="63" s="1"/>
  <c r="AC104" i="63"/>
  <c r="AR104" i="63"/>
  <c r="AC107" i="63"/>
  <c r="BG107" i="63" s="1"/>
  <c r="AC112" i="63"/>
  <c r="AC115" i="63"/>
  <c r="BG115" i="63" s="1"/>
  <c r="AR85" i="63"/>
  <c r="BT85" i="63" s="1"/>
  <c r="AR87" i="63"/>
  <c r="BT87" i="63" s="1"/>
  <c r="AR89" i="63"/>
  <c r="AR93" i="63"/>
  <c r="AR95" i="63"/>
  <c r="BT95" i="63" s="1"/>
  <c r="AR99" i="63"/>
  <c r="BT99" i="63" s="1"/>
  <c r="AR103" i="63"/>
  <c r="BT103" i="63" s="1"/>
  <c r="AC105" i="63"/>
  <c r="BG105" i="63" s="1"/>
  <c r="AC110" i="63"/>
  <c r="AR110" i="63"/>
  <c r="AC113" i="63"/>
  <c r="BG113" i="63" s="1"/>
  <c r="AC118" i="63"/>
  <c r="AR118" i="63"/>
  <c r="AC97" i="63"/>
  <c r="BG97" i="63" s="1"/>
  <c r="AC98" i="63"/>
  <c r="AR98" i="63"/>
  <c r="AC101" i="63"/>
  <c r="BG101" i="63" s="1"/>
  <c r="AC102" i="63"/>
  <c r="AR102" i="63"/>
  <c r="AR108" i="63"/>
  <c r="AC111" i="63"/>
  <c r="BG111" i="63" s="1"/>
  <c r="AR116" i="63"/>
  <c r="AC119" i="63"/>
  <c r="BG119" i="63" s="1"/>
  <c r="AC123" i="63"/>
  <c r="BG123" i="63" s="1"/>
  <c r="AR97" i="63"/>
  <c r="BT97" i="63" s="1"/>
  <c r="AR101" i="63"/>
  <c r="BT101" i="63" s="1"/>
  <c r="AC109" i="63"/>
  <c r="BG109" i="63" s="1"/>
  <c r="AC117" i="63"/>
  <c r="BG117" i="63" s="1"/>
  <c r="AC125" i="63"/>
  <c r="BG125" i="63" s="1"/>
  <c r="AC129" i="63"/>
  <c r="BG129" i="63" s="1"/>
  <c r="AC138" i="63"/>
  <c r="BG138" i="63" s="1"/>
  <c r="AC149" i="63"/>
  <c r="BG149" i="63" s="1"/>
  <c r="AR105" i="63"/>
  <c r="BT105" i="63" s="1"/>
  <c r="AR107" i="63"/>
  <c r="AR109" i="63"/>
  <c r="BT109" i="63" s="1"/>
  <c r="AR111" i="63"/>
  <c r="BT111" i="63" s="1"/>
  <c r="AR113" i="63"/>
  <c r="AR115" i="63"/>
  <c r="AR117" i="63"/>
  <c r="BT117" i="63" s="1"/>
  <c r="AR119" i="63"/>
  <c r="BT119" i="63" s="1"/>
  <c r="AR123" i="63"/>
  <c r="BT123" i="63" s="1"/>
  <c r="AR125" i="63"/>
  <c r="AC128" i="63"/>
  <c r="BG128" i="63" s="1"/>
  <c r="AR129" i="63"/>
  <c r="AC136" i="63"/>
  <c r="BG136" i="63" s="1"/>
  <c r="AR138" i="63"/>
  <c r="AC145" i="63"/>
  <c r="BG145" i="63" s="1"/>
  <c r="AC127" i="63"/>
  <c r="AR128" i="63"/>
  <c r="AC131" i="63"/>
  <c r="AC134" i="63"/>
  <c r="BG134" i="63" s="1"/>
  <c r="AR136" i="63"/>
  <c r="AC139" i="63"/>
  <c r="AR127" i="63"/>
  <c r="AC132" i="63"/>
  <c r="BG132" i="63" s="1"/>
  <c r="AR134" i="63"/>
  <c r="AC137" i="63"/>
  <c r="AR137" i="63"/>
  <c r="AC140" i="63"/>
  <c r="BG140" i="63" s="1"/>
  <c r="AR145" i="63"/>
  <c r="AR149" i="63"/>
  <c r="AR155" i="63"/>
  <c r="AC160" i="63"/>
  <c r="BG160" i="63" s="1"/>
  <c r="AC143" i="63"/>
  <c r="AC147" i="63"/>
  <c r="BG147" i="63" s="1"/>
  <c r="AC156" i="63"/>
  <c r="BG156" i="63" s="1"/>
  <c r="AC170" i="63"/>
  <c r="BG170" i="63" s="1"/>
  <c r="AR141" i="63"/>
  <c r="BT141" i="63" s="1"/>
  <c r="AR143" i="63"/>
  <c r="AR147" i="63"/>
  <c r="AC154" i="63"/>
  <c r="BG154" i="63" s="1"/>
  <c r="AR156" i="63"/>
  <c r="AR160" i="63"/>
  <c r="AC164" i="63"/>
  <c r="AR164" i="63"/>
  <c r="AC167" i="63"/>
  <c r="BG167" i="63" s="1"/>
  <c r="AC158" i="63"/>
  <c r="AC162" i="63"/>
  <c r="BG162" i="63" s="1"/>
  <c r="AC165" i="63"/>
  <c r="BG165" i="63" s="1"/>
  <c r="AR158" i="63"/>
  <c r="AR162" i="63"/>
  <c r="AC163" i="63"/>
  <c r="BG163" i="63" s="1"/>
  <c r="AR165" i="63"/>
  <c r="AC174" i="63"/>
  <c r="BG174" i="63" s="1"/>
  <c r="AR170" i="63"/>
  <c r="AR174" i="63"/>
  <c r="AC176" i="63"/>
  <c r="AR176" i="63"/>
  <c r="AC168" i="63"/>
  <c r="BG168" i="63" s="1"/>
  <c r="AC172" i="63"/>
  <c r="AC177" i="63"/>
  <c r="BG177" i="63" s="1"/>
  <c r="AR168" i="63"/>
  <c r="BT168" i="63" s="1"/>
  <c r="AR172" i="63"/>
  <c r="AC175" i="63"/>
  <c r="BG175" i="63" s="1"/>
  <c r="AR177" i="63"/>
  <c r="AC179" i="63"/>
  <c r="BG179" i="63" s="1"/>
  <c r="AR179" i="63"/>
  <c r="CG78" i="63" l="1"/>
  <c r="BZ139" i="63"/>
  <c r="CG97" i="63"/>
  <c r="BX175" i="63"/>
  <c r="CG11" i="63"/>
  <c r="CD139" i="63"/>
  <c r="CB139" i="63"/>
  <c r="CB27" i="63"/>
  <c r="BR169" i="63"/>
  <c r="BU148" i="63"/>
  <c r="BR157" i="63"/>
  <c r="CG94" i="63"/>
  <c r="CG95" i="63"/>
  <c r="CG40" i="63"/>
  <c r="B46" i="73" s="1"/>
  <c r="CG42" i="63"/>
  <c r="CG34" i="63"/>
  <c r="N136" i="62"/>
  <c r="BX169" i="63"/>
  <c r="CK169" i="63" s="1"/>
  <c r="BW161" i="63"/>
  <c r="BM146" i="63"/>
  <c r="BW54" i="63"/>
  <c r="Q46" i="73"/>
  <c r="BT178" i="63"/>
  <c r="CG119" i="63"/>
  <c r="CG87" i="63"/>
  <c r="CK9" i="63"/>
  <c r="CG168" i="63"/>
  <c r="BM173" i="63"/>
  <c r="CA178" i="63"/>
  <c r="BV148" i="63"/>
  <c r="BU139" i="63"/>
  <c r="CE139" i="63"/>
  <c r="CB133" i="63"/>
  <c r="CC133" i="63"/>
  <c r="CG111" i="63"/>
  <c r="CG101" i="63"/>
  <c r="CG99" i="63"/>
  <c r="CG49" i="63"/>
  <c r="BW66" i="63"/>
  <c r="CG109" i="63"/>
  <c r="CG103" i="63"/>
  <c r="BU169" i="63"/>
  <c r="BV178" i="63"/>
  <c r="BY161" i="63"/>
  <c r="BH146" i="63"/>
  <c r="BO52" i="63"/>
  <c r="CB72" i="63"/>
  <c r="BY47" i="63"/>
  <c r="BV169" i="63"/>
  <c r="BQ173" i="63"/>
  <c r="BI169" i="63"/>
  <c r="BT161" i="63"/>
  <c r="BX148" i="63"/>
  <c r="BU146" i="63"/>
  <c r="BY139" i="63"/>
  <c r="BY131" i="63"/>
  <c r="CG117" i="63"/>
  <c r="CG123" i="63"/>
  <c r="CG105" i="63"/>
  <c r="BJ59" i="63"/>
  <c r="BQ78" i="63"/>
  <c r="BU178" i="63"/>
  <c r="CE178" i="63"/>
  <c r="CC161" i="63"/>
  <c r="BJ146" i="63"/>
  <c r="BG57" i="63"/>
  <c r="CG57" i="63" s="1"/>
  <c r="BH70" i="63"/>
  <c r="CD43" i="63"/>
  <c r="CQ43" i="63" s="1"/>
  <c r="BP141" i="63"/>
  <c r="BW169" i="63"/>
  <c r="BY169" i="63"/>
  <c r="BX178" i="63"/>
  <c r="CB175" i="63"/>
  <c r="BZ178" i="63"/>
  <c r="CB161" i="63"/>
  <c r="CA161" i="63"/>
  <c r="CN161" i="63" s="1"/>
  <c r="BW148" i="63"/>
  <c r="BY148" i="63"/>
  <c r="BI146" i="63"/>
  <c r="BL146" i="63"/>
  <c r="BJ141" i="63"/>
  <c r="BR57" i="63"/>
  <c r="CB54" i="63"/>
  <c r="BW64" i="63"/>
  <c r="BI17" i="63"/>
  <c r="CA173" i="63"/>
  <c r="CA169" i="63"/>
  <c r="CC169" i="63"/>
  <c r="BW175" i="63"/>
  <c r="CC175" i="63"/>
  <c r="BH173" i="63"/>
  <c r="BY178" i="63"/>
  <c r="CD178" i="63"/>
  <c r="CQ178" i="63" s="1"/>
  <c r="CC167" i="63"/>
  <c r="BZ148" i="63"/>
  <c r="BV161" i="63"/>
  <c r="CE161" i="63"/>
  <c r="BP161" i="63"/>
  <c r="CA148" i="63"/>
  <c r="CC148" i="63"/>
  <c r="BO146" i="63"/>
  <c r="BQ146" i="63"/>
  <c r="BN146" i="63"/>
  <c r="BP146" i="63"/>
  <c r="CC139" i="63"/>
  <c r="BW139" i="63"/>
  <c r="CA131" i="63"/>
  <c r="CD140" i="63"/>
  <c r="BI57" i="63"/>
  <c r="BH52" i="63"/>
  <c r="BL83" i="63"/>
  <c r="BN75" i="63"/>
  <c r="BP69" i="63"/>
  <c r="CE39" i="63"/>
  <c r="BN25" i="63"/>
  <c r="CN25" i="63" s="1"/>
  <c r="CB15" i="63"/>
  <c r="BN8" i="63"/>
  <c r="BZ169" i="63"/>
  <c r="CE169" i="63"/>
  <c r="CB178" i="63"/>
  <c r="CC178" i="63"/>
  <c r="BK157" i="63"/>
  <c r="BZ161" i="63"/>
  <c r="CD161" i="63"/>
  <c r="BU161" i="63"/>
  <c r="BO141" i="63"/>
  <c r="BG146" i="63"/>
  <c r="BK146" i="63"/>
  <c r="CK146" i="63" s="1"/>
  <c r="BX139" i="63"/>
  <c r="BV139" i="63"/>
  <c r="CA139" i="63"/>
  <c r="BJ144" i="63"/>
  <c r="BU54" i="63"/>
  <c r="BJ52" i="63"/>
  <c r="CC82" i="63"/>
  <c r="BU74" i="63"/>
  <c r="BI67" i="63"/>
  <c r="CE35" i="63"/>
  <c r="CD4" i="63"/>
  <c r="BN4" i="63"/>
  <c r="BO3" i="63"/>
  <c r="CO3" i="63" s="1"/>
  <c r="BO59" i="63"/>
  <c r="BU35" i="63"/>
  <c r="BG45" i="63"/>
  <c r="BU48" i="63"/>
  <c r="BV29" i="63"/>
  <c r="BL159" i="63"/>
  <c r="BI81" i="63"/>
  <c r="BV58" i="63"/>
  <c r="BZ17" i="63"/>
  <c r="BG7" i="63"/>
  <c r="CE132" i="63"/>
  <c r="BM84" i="63"/>
  <c r="CC21" i="63"/>
  <c r="BL142" i="63"/>
  <c r="BU70" i="63"/>
  <c r="CD25" i="63"/>
  <c r="BY13" i="63"/>
  <c r="CL13" i="63" s="1"/>
  <c r="BV37" i="63"/>
  <c r="BI171" i="63"/>
  <c r="BY153" i="63"/>
  <c r="BU132" i="63"/>
  <c r="BU114" i="63"/>
  <c r="BY106" i="63"/>
  <c r="BL171" i="63"/>
  <c r="CC163" i="63"/>
  <c r="CE144" i="63"/>
  <c r="BJ159" i="63"/>
  <c r="BJ142" i="63"/>
  <c r="BV132" i="63"/>
  <c r="CE114" i="63"/>
  <c r="BL124" i="63"/>
  <c r="CB106" i="63"/>
  <c r="CE52" i="63"/>
  <c r="BJ81" i="63"/>
  <c r="CB78" i="63"/>
  <c r="BG41" i="63"/>
  <c r="BI45" i="63"/>
  <c r="BU39" i="63"/>
  <c r="BR37" i="63"/>
  <c r="CB29" i="63"/>
  <c r="BY25" i="63"/>
  <c r="BX21" i="63"/>
  <c r="BU17" i="63"/>
  <c r="BL7" i="63"/>
  <c r="BI5" i="63"/>
  <c r="BV78" i="63"/>
  <c r="BR73" i="63"/>
  <c r="BZ70" i="63"/>
  <c r="CM70" i="63" s="1"/>
  <c r="BL68" i="63"/>
  <c r="BL65" i="63"/>
  <c r="BT48" i="63"/>
  <c r="CG48" i="63" s="1"/>
  <c r="BG33" i="63"/>
  <c r="CD48" i="63"/>
  <c r="BO41" i="63"/>
  <c r="CA29" i="63"/>
  <c r="BW21" i="63"/>
  <c r="CE17" i="63"/>
  <c r="CD13" i="63"/>
  <c r="BJ3" i="63"/>
  <c r="BW163" i="63"/>
  <c r="BI130" i="63"/>
  <c r="CA58" i="63"/>
  <c r="BO55" i="63"/>
  <c r="BU52" i="63"/>
  <c r="BJ171" i="63"/>
  <c r="BX163" i="63"/>
  <c r="CD153" i="63"/>
  <c r="BG159" i="63"/>
  <c r="CG159" i="63" s="1"/>
  <c r="BI142" i="63"/>
  <c r="BZ114" i="63"/>
  <c r="CD106" i="63"/>
  <c r="BL130" i="63"/>
  <c r="CB58" i="63"/>
  <c r="BZ52" i="63"/>
  <c r="CA78" i="63"/>
  <c r="BQ76" i="63"/>
  <c r="BQ73" i="63"/>
  <c r="CE70" i="63"/>
  <c r="BG68" i="63"/>
  <c r="CG68" i="63" s="1"/>
  <c r="BG37" i="63"/>
  <c r="BT21" i="63"/>
  <c r="BN41" i="63"/>
  <c r="BH37" i="63"/>
  <c r="BP33" i="63"/>
  <c r="BJ9" i="63"/>
  <c r="BI166" i="63"/>
  <c r="BZ146" i="63"/>
  <c r="CM146" i="63" s="1"/>
  <c r="BH141" i="63"/>
  <c r="BM141" i="63"/>
  <c r="BR141" i="63"/>
  <c r="BN106" i="63"/>
  <c r="BH88" i="63"/>
  <c r="BJ57" i="63"/>
  <c r="BH57" i="63"/>
  <c r="BQ57" i="63"/>
  <c r="BV54" i="63"/>
  <c r="CE54" i="63"/>
  <c r="BI52" i="63"/>
  <c r="BR52" i="63"/>
  <c r="BZ80" i="63"/>
  <c r="BM75" i="63"/>
  <c r="BV72" i="63"/>
  <c r="BR70" i="63"/>
  <c r="BJ67" i="63"/>
  <c r="BT47" i="63"/>
  <c r="BT43" i="63"/>
  <c r="BT39" i="63"/>
  <c r="BT35" i="63"/>
  <c r="CD47" i="63"/>
  <c r="CQ47" i="63" s="1"/>
  <c r="BY43" i="63"/>
  <c r="BZ39" i="63"/>
  <c r="BZ35" i="63"/>
  <c r="BQ29" i="63"/>
  <c r="CQ29" i="63" s="1"/>
  <c r="BO25" i="63"/>
  <c r="BQ21" i="63"/>
  <c r="BQ13" i="63"/>
  <c r="BN166" i="63"/>
  <c r="CD146" i="63"/>
  <c r="BK141" i="63"/>
  <c r="BL141" i="63"/>
  <c r="BQ141" i="63"/>
  <c r="BG75" i="63"/>
  <c r="CG75" i="63" s="1"/>
  <c r="BN57" i="63"/>
  <c r="BL57" i="63"/>
  <c r="BZ54" i="63"/>
  <c r="BX54" i="63"/>
  <c r="BM52" i="63"/>
  <c r="BK52" i="63"/>
  <c r="CK52" i="63" s="1"/>
  <c r="BR83" i="63"/>
  <c r="CE80" i="63"/>
  <c r="BL78" i="63"/>
  <c r="CC64" i="63"/>
  <c r="BG13" i="63"/>
  <c r="BU47" i="63"/>
  <c r="CE47" i="63"/>
  <c r="BZ43" i="63"/>
  <c r="CD39" i="63"/>
  <c r="CQ39" i="63" s="1"/>
  <c r="CD35" i="63"/>
  <c r="CQ35" i="63" s="1"/>
  <c r="BO17" i="63"/>
  <c r="BO166" i="63"/>
  <c r="BG141" i="63"/>
  <c r="CG141" i="63" s="1"/>
  <c r="BI141" i="63"/>
  <c r="BO57" i="63"/>
  <c r="CC54" i="63"/>
  <c r="BP52" i="63"/>
  <c r="BG29" i="63"/>
  <c r="BU43" i="63"/>
  <c r="BG171" i="63"/>
  <c r="BM171" i="63"/>
  <c r="BH171" i="63"/>
  <c r="CB153" i="63"/>
  <c r="BV163" i="63"/>
  <c r="BT163" i="63"/>
  <c r="CG163" i="63" s="1"/>
  <c r="BY163" i="63"/>
  <c r="BU153" i="63"/>
  <c r="BZ153" i="63"/>
  <c r="CE153" i="63"/>
  <c r="CR153" i="63" s="1"/>
  <c r="BM159" i="63"/>
  <c r="BQ159" i="63"/>
  <c r="BH159" i="63"/>
  <c r="BG142" i="63"/>
  <c r="BM142" i="63"/>
  <c r="BH142" i="63"/>
  <c r="CA132" i="63"/>
  <c r="CB132" i="63"/>
  <c r="BG114" i="63"/>
  <c r="CG114" i="63" s="1"/>
  <c r="BV114" i="63"/>
  <c r="CA114" i="63"/>
  <c r="BU106" i="63"/>
  <c r="BZ106" i="63"/>
  <c r="CE106" i="63"/>
  <c r="BN130" i="63"/>
  <c r="BK124" i="63"/>
  <c r="BJ124" i="63"/>
  <c r="CJ124" i="63" s="1"/>
  <c r="CC58" i="63"/>
  <c r="BW58" i="63"/>
  <c r="BX58" i="63"/>
  <c r="CK58" i="63" s="1"/>
  <c r="BK55" i="63"/>
  <c r="BV52" i="63"/>
  <c r="CA52" i="63"/>
  <c r="CN52" i="63" s="1"/>
  <c r="CB52" i="63"/>
  <c r="BI84" i="63"/>
  <c r="BO84" i="63"/>
  <c r="CO84" i="63" s="1"/>
  <c r="BH81" i="63"/>
  <c r="CC78" i="63"/>
  <c r="BW78" i="63"/>
  <c r="BX78" i="63"/>
  <c r="BM76" i="63"/>
  <c r="BN73" i="63"/>
  <c r="BM73" i="63"/>
  <c r="BV70" i="63"/>
  <c r="CA70" i="63"/>
  <c r="CB70" i="63"/>
  <c r="BJ68" i="63"/>
  <c r="BK65" i="63"/>
  <c r="BT17" i="63"/>
  <c r="CB48" i="63"/>
  <c r="BZ48" i="63"/>
  <c r="CE48" i="63"/>
  <c r="BP45" i="63"/>
  <c r="BM41" i="63"/>
  <c r="BQ37" i="63"/>
  <c r="CQ37" i="63" s="1"/>
  <c r="BL33" i="63"/>
  <c r="BX29" i="63"/>
  <c r="CC29" i="63"/>
  <c r="BW29" i="63"/>
  <c r="BU25" i="63"/>
  <c r="BZ25" i="63"/>
  <c r="CE25" i="63"/>
  <c r="BY21" i="63"/>
  <c r="CL21" i="63" s="1"/>
  <c r="CD21" i="63"/>
  <c r="CB17" i="63"/>
  <c r="BV17" i="63"/>
  <c r="CA17" i="63"/>
  <c r="CN17" i="63" s="1"/>
  <c r="BU13" i="63"/>
  <c r="BZ13" i="63"/>
  <c r="CE13" i="63"/>
  <c r="BH7" i="63"/>
  <c r="BR7" i="63"/>
  <c r="BQ3" i="63"/>
  <c r="BQ9" i="63"/>
  <c r="BP5" i="63"/>
  <c r="BK5" i="63"/>
  <c r="CK5" i="63" s="1"/>
  <c r="BQ171" i="63"/>
  <c r="BN171" i="63"/>
  <c r="BP171" i="63"/>
  <c r="CA163" i="63"/>
  <c r="CB163" i="63"/>
  <c r="CC153" i="63"/>
  <c r="BW153" i="63"/>
  <c r="BO159" i="63"/>
  <c r="BN159" i="63"/>
  <c r="BP159" i="63"/>
  <c r="BQ142" i="63"/>
  <c r="BN142" i="63"/>
  <c r="BP142" i="63"/>
  <c r="BZ132" i="63"/>
  <c r="BT132" i="63"/>
  <c r="CG132" i="63" s="1"/>
  <c r="BY132" i="63"/>
  <c r="BY114" i="63"/>
  <c r="CD114" i="63"/>
  <c r="CQ114" i="63" s="1"/>
  <c r="CC106" i="63"/>
  <c r="BW106" i="63"/>
  <c r="BQ130" i="63"/>
  <c r="BP130" i="63"/>
  <c r="CP130" i="63" s="1"/>
  <c r="BP124" i="63"/>
  <c r="CB114" i="63"/>
  <c r="BG73" i="63"/>
  <c r="CG73" i="63" s="1"/>
  <c r="BU58" i="63"/>
  <c r="BZ58" i="63"/>
  <c r="CE58" i="63"/>
  <c r="BP55" i="63"/>
  <c r="BY52" i="63"/>
  <c r="CD52" i="63"/>
  <c r="BT52" i="63"/>
  <c r="BN84" i="63"/>
  <c r="BN81" i="63"/>
  <c r="BM81" i="63"/>
  <c r="BU78" i="63"/>
  <c r="BZ78" i="63"/>
  <c r="CE78" i="63"/>
  <c r="BH76" i="63"/>
  <c r="BR76" i="63"/>
  <c r="CR76" i="63" s="1"/>
  <c r="BH73" i="63"/>
  <c r="BY70" i="63"/>
  <c r="CD70" i="63"/>
  <c r="BT70" i="63"/>
  <c r="BP68" i="63"/>
  <c r="BK68" i="63"/>
  <c r="BP65" i="63"/>
  <c r="BT29" i="63"/>
  <c r="BT25" i="63"/>
  <c r="BV48" i="63"/>
  <c r="BY48" i="63"/>
  <c r="BW48" i="63"/>
  <c r="BK45" i="63"/>
  <c r="BJ45" i="63"/>
  <c r="BH41" i="63"/>
  <c r="BR41" i="63"/>
  <c r="BL37" i="63"/>
  <c r="BQ33" i="63"/>
  <c r="CQ33" i="63" s="1"/>
  <c r="BU29" i="63"/>
  <c r="BZ29" i="63"/>
  <c r="CE29" i="63"/>
  <c r="BX25" i="63"/>
  <c r="CC25" i="63"/>
  <c r="BW25" i="63"/>
  <c r="CB21" i="63"/>
  <c r="BV21" i="63"/>
  <c r="CA21" i="63"/>
  <c r="BY17" i="63"/>
  <c r="CD17" i="63"/>
  <c r="BX13" i="63"/>
  <c r="CC13" i="63"/>
  <c r="BW13" i="63"/>
  <c r="BM7" i="63"/>
  <c r="BL3" i="63"/>
  <c r="BG3" i="63"/>
  <c r="BL9" i="63"/>
  <c r="BG9" i="63"/>
  <c r="BJ5" i="63"/>
  <c r="BK171" i="63"/>
  <c r="CK171" i="63" s="1"/>
  <c r="BR171" i="63"/>
  <c r="BZ163" i="63"/>
  <c r="CD163" i="63"/>
  <c r="CE163" i="63"/>
  <c r="BX153" i="63"/>
  <c r="BV153" i="63"/>
  <c r="CA153" i="63"/>
  <c r="BK159" i="63"/>
  <c r="BI159" i="63"/>
  <c r="BK142" i="63"/>
  <c r="CK142" i="63" s="1"/>
  <c r="BR142" i="63"/>
  <c r="CD132" i="63"/>
  <c r="BW132" i="63"/>
  <c r="BX132" i="63"/>
  <c r="BX114" i="63"/>
  <c r="CC114" i="63"/>
  <c r="BW114" i="63"/>
  <c r="BX106" i="63"/>
  <c r="BV106" i="63"/>
  <c r="CI106" i="63" s="1"/>
  <c r="CA106" i="63"/>
  <c r="BG124" i="63"/>
  <c r="BY58" i="63"/>
  <c r="CD58" i="63"/>
  <c r="BJ55" i="63"/>
  <c r="CC52" i="63"/>
  <c r="BW52" i="63"/>
  <c r="BH84" i="63"/>
  <c r="BY78" i="63"/>
  <c r="CD78" i="63"/>
  <c r="BL76" i="63"/>
  <c r="CC70" i="63"/>
  <c r="BW70" i="63"/>
  <c r="BR65" i="63"/>
  <c r="BT13" i="63"/>
  <c r="BX48" i="63"/>
  <c r="CC48" i="63"/>
  <c r="BO45" i="63"/>
  <c r="BK33" i="63"/>
  <c r="BY29" i="63"/>
  <c r="CL29" i="63" s="1"/>
  <c r="CB25" i="63"/>
  <c r="BV25" i="63"/>
  <c r="CI25" i="63" s="1"/>
  <c r="BU21" i="63"/>
  <c r="BZ21" i="63"/>
  <c r="BX17" i="63"/>
  <c r="CC17" i="63"/>
  <c r="CB13" i="63"/>
  <c r="BV13" i="63"/>
  <c r="BP3" i="63"/>
  <c r="BK3" i="63"/>
  <c r="BP9" i="63"/>
  <c r="CE159" i="63"/>
  <c r="CR159" i="63" s="1"/>
  <c r="BT142" i="63"/>
  <c r="BV45" i="63"/>
  <c r="BY3" i="63"/>
  <c r="CB166" i="63"/>
  <c r="BU130" i="63"/>
  <c r="BY100" i="63"/>
  <c r="CA171" i="63"/>
  <c r="BU154" i="63"/>
  <c r="BY84" i="63"/>
  <c r="BX76" i="63"/>
  <c r="BV68" i="63"/>
  <c r="CB33" i="63"/>
  <c r="CE5" i="63"/>
  <c r="BU9" i="63"/>
  <c r="BP153" i="63"/>
  <c r="BP58" i="63"/>
  <c r="CB171" i="63"/>
  <c r="CO171" i="63" s="1"/>
  <c r="BG153" i="63"/>
  <c r="CG153" i="63" s="1"/>
  <c r="BO133" i="63"/>
  <c r="CE154" i="63"/>
  <c r="BW130" i="63"/>
  <c r="CJ130" i="63" s="1"/>
  <c r="BW76" i="63"/>
  <c r="BW50" i="63"/>
  <c r="CB45" i="63"/>
  <c r="CA41" i="63"/>
  <c r="CB37" i="63"/>
  <c r="BZ5" i="63"/>
  <c r="BT7" i="63"/>
  <c r="CC171" i="63"/>
  <c r="CC166" i="63"/>
  <c r="BJ153" i="63"/>
  <c r="BW142" i="63"/>
  <c r="BL108" i="63"/>
  <c r="BT100" i="63"/>
  <c r="BX124" i="63"/>
  <c r="BX100" i="63"/>
  <c r="BN58" i="63"/>
  <c r="CN58" i="63" s="1"/>
  <c r="BP53" i="63"/>
  <c r="CD84" i="63"/>
  <c r="CA68" i="63"/>
  <c r="BT45" i="63"/>
  <c r="CA45" i="63"/>
  <c r="CN45" i="63" s="1"/>
  <c r="CB41" i="63"/>
  <c r="CA37" i="63"/>
  <c r="BV33" i="63"/>
  <c r="BZ9" i="63"/>
  <c r="CD3" i="63"/>
  <c r="BY7" i="63"/>
  <c r="BW166" i="63"/>
  <c r="BY142" i="63"/>
  <c r="BV130" i="63"/>
  <c r="CD154" i="63"/>
  <c r="BH116" i="63"/>
  <c r="BZ124" i="63"/>
  <c r="BW100" i="63"/>
  <c r="BT84" i="63"/>
  <c r="CC76" i="63"/>
  <c r="CB68" i="63"/>
  <c r="CC50" i="63"/>
  <c r="BV41" i="63"/>
  <c r="CI41" i="63" s="1"/>
  <c r="CA33" i="63"/>
  <c r="BU5" i="63"/>
  <c r="CE9" i="63"/>
  <c r="BT3" i="63"/>
  <c r="CD7" i="63"/>
  <c r="CQ7" i="63" s="1"/>
  <c r="BO153" i="63"/>
  <c r="CO153" i="63" s="1"/>
  <c r="BL153" i="63"/>
  <c r="CL153" i="63" s="1"/>
  <c r="BQ153" i="63"/>
  <c r="BI133" i="63"/>
  <c r="BL58" i="63"/>
  <c r="BJ58" i="63"/>
  <c r="CJ58" i="63" s="1"/>
  <c r="BO58" i="63"/>
  <c r="CO58" i="63" s="1"/>
  <c r="BK153" i="63"/>
  <c r="BI153" i="63"/>
  <c r="BN153" i="63"/>
  <c r="BR116" i="63"/>
  <c r="BI58" i="63"/>
  <c r="BG58" i="63"/>
  <c r="CG58" i="63" s="1"/>
  <c r="BN56" i="63"/>
  <c r="BP19" i="63"/>
  <c r="BI15" i="63"/>
  <c r="CI15" i="63" s="1"/>
  <c r="BH153" i="63"/>
  <c r="CH153" i="63" s="1"/>
  <c r="BM153" i="63"/>
  <c r="CM153" i="63" s="1"/>
  <c r="BQ58" i="63"/>
  <c r="CQ58" i="63" s="1"/>
  <c r="BM27" i="63"/>
  <c r="BP23" i="63"/>
  <c r="BI155" i="63"/>
  <c r="BN155" i="63"/>
  <c r="BH133" i="63"/>
  <c r="BH108" i="63"/>
  <c r="BO23" i="63"/>
  <c r="CO23" i="63" s="1"/>
  <c r="BH15" i="63"/>
  <c r="BG56" i="63"/>
  <c r="BQ56" i="63"/>
  <c r="BL56" i="63"/>
  <c r="BK56" i="63"/>
  <c r="CK56" i="63" s="1"/>
  <c r="BJ56" i="63"/>
  <c r="BP56" i="63"/>
  <c r="BM53" i="63"/>
  <c r="BH53" i="63"/>
  <c r="BN53" i="63"/>
  <c r="BQ53" i="63"/>
  <c r="BL53" i="63"/>
  <c r="BR53" i="63"/>
  <c r="BG53" i="63"/>
  <c r="CG53" i="63" s="1"/>
  <c r="BO116" i="63"/>
  <c r="BJ116" i="63"/>
  <c r="BP116" i="63"/>
  <c r="BG116" i="63"/>
  <c r="BN116" i="63"/>
  <c r="BI116" i="63"/>
  <c r="BO108" i="63"/>
  <c r="BJ108" i="63"/>
  <c r="BP108" i="63"/>
  <c r="BG108" i="63"/>
  <c r="BN108" i="63"/>
  <c r="BI108" i="63"/>
  <c r="BQ133" i="63"/>
  <c r="BL133" i="63"/>
  <c r="BG133" i="63"/>
  <c r="BK133" i="63"/>
  <c r="BJ133" i="63"/>
  <c r="BP133" i="63"/>
  <c r="BO82" i="63"/>
  <c r="BQ82" i="63"/>
  <c r="BG82" i="63"/>
  <c r="BI79" i="63"/>
  <c r="BR79" i="63"/>
  <c r="BL79" i="63"/>
  <c r="BG79" i="63"/>
  <c r="BO74" i="63"/>
  <c r="BG74" i="63"/>
  <c r="BI71" i="63"/>
  <c r="BL71" i="63"/>
  <c r="BG71" i="63"/>
  <c r="BQ71" i="63"/>
  <c r="BO66" i="63"/>
  <c r="BL66" i="63"/>
  <c r="BI63" i="63"/>
  <c r="BL63" i="63"/>
  <c r="BQ63" i="63"/>
  <c r="BJ27" i="63"/>
  <c r="BP27" i="63"/>
  <c r="BK27" i="63"/>
  <c r="BN27" i="63"/>
  <c r="BI27" i="63"/>
  <c r="CI27" i="63" s="1"/>
  <c r="BO27" i="63"/>
  <c r="BR23" i="63"/>
  <c r="BM23" i="63"/>
  <c r="BH23" i="63"/>
  <c r="BQ23" i="63"/>
  <c r="BL23" i="63"/>
  <c r="BN19" i="63"/>
  <c r="BI19" i="63"/>
  <c r="BO19" i="63"/>
  <c r="CO19" i="63" s="1"/>
  <c r="BR19" i="63"/>
  <c r="BM19" i="63"/>
  <c r="BH19" i="63"/>
  <c r="BQ15" i="63"/>
  <c r="BL15" i="63"/>
  <c r="BJ15" i="63"/>
  <c r="BP15" i="63"/>
  <c r="BK15" i="63"/>
  <c r="BM133" i="63"/>
  <c r="BL116" i="63"/>
  <c r="BM108" i="63"/>
  <c r="BH56" i="63"/>
  <c r="BR56" i="63"/>
  <c r="BJ53" i="63"/>
  <c r="BI53" i="63"/>
  <c r="BL82" i="63"/>
  <c r="BL74" i="63"/>
  <c r="BR63" i="63"/>
  <c r="BQ27" i="63"/>
  <c r="BI23" i="63"/>
  <c r="BQ19" i="63"/>
  <c r="BM15" i="63"/>
  <c r="BK108" i="63"/>
  <c r="BK116" i="63"/>
  <c r="BR130" i="63"/>
  <c r="BK130" i="63"/>
  <c r="BG130" i="63"/>
  <c r="BH130" i="63"/>
  <c r="BM130" i="63"/>
  <c r="BO130" i="63"/>
  <c r="BN124" i="63"/>
  <c r="BI124" i="63"/>
  <c r="BO124" i="63"/>
  <c r="BR124" i="63"/>
  <c r="BM124" i="63"/>
  <c r="CM124" i="63" s="1"/>
  <c r="BH124" i="63"/>
  <c r="BM55" i="63"/>
  <c r="BH55" i="63"/>
  <c r="BN55" i="63"/>
  <c r="BG55" i="63"/>
  <c r="BQ55" i="63"/>
  <c r="BL55" i="63"/>
  <c r="BR55" i="63"/>
  <c r="BR45" i="63"/>
  <c r="BM45" i="63"/>
  <c r="BH45" i="63"/>
  <c r="BQ45" i="63"/>
  <c r="CQ45" i="63" s="1"/>
  <c r="BL45" i="63"/>
  <c r="BQ41" i="63"/>
  <c r="CQ41" i="63" s="1"/>
  <c r="BL41" i="63"/>
  <c r="BJ41" i="63"/>
  <c r="BP41" i="63"/>
  <c r="BK41" i="63"/>
  <c r="BJ37" i="63"/>
  <c r="BP37" i="63"/>
  <c r="BK37" i="63"/>
  <c r="BN37" i="63"/>
  <c r="CN37" i="63" s="1"/>
  <c r="BI37" i="63"/>
  <c r="CI37" i="63" s="1"/>
  <c r="BO37" i="63"/>
  <c r="BN33" i="63"/>
  <c r="BI33" i="63"/>
  <c r="BO33" i="63"/>
  <c r="BR33" i="63"/>
  <c r="BM33" i="63"/>
  <c r="BH33" i="63"/>
  <c r="BG84" i="63"/>
  <c r="BQ84" i="63"/>
  <c r="BL84" i="63"/>
  <c r="BK84" i="63"/>
  <c r="BJ84" i="63"/>
  <c r="BP84" i="63"/>
  <c r="BQ81" i="63"/>
  <c r="BL81" i="63"/>
  <c r="BR81" i="63"/>
  <c r="BG81" i="63"/>
  <c r="CG81" i="63" s="1"/>
  <c r="BP81" i="63"/>
  <c r="BK81" i="63"/>
  <c r="BK76" i="63"/>
  <c r="BJ76" i="63"/>
  <c r="CJ76" i="63" s="1"/>
  <c r="BP76" i="63"/>
  <c r="BO76" i="63"/>
  <c r="BN76" i="63"/>
  <c r="BI76" i="63"/>
  <c r="BP73" i="63"/>
  <c r="BK73" i="63"/>
  <c r="BI73" i="63"/>
  <c r="BO73" i="63"/>
  <c r="BJ73" i="63"/>
  <c r="BO68" i="63"/>
  <c r="BN68" i="63"/>
  <c r="BI68" i="63"/>
  <c r="BR68" i="63"/>
  <c r="BM68" i="63"/>
  <c r="BH68" i="63"/>
  <c r="BI65" i="63"/>
  <c r="BO65" i="63"/>
  <c r="BJ65" i="63"/>
  <c r="BM65" i="63"/>
  <c r="BH65" i="63"/>
  <c r="BN65" i="63"/>
  <c r="BG65" i="63"/>
  <c r="CG65" i="63" s="1"/>
  <c r="BO9" i="63"/>
  <c r="BN9" i="63"/>
  <c r="BI9" i="63"/>
  <c r="BR9" i="63"/>
  <c r="BM9" i="63"/>
  <c r="BH9" i="63"/>
  <c r="CH9" i="63" s="1"/>
  <c r="BK7" i="63"/>
  <c r="BJ7" i="63"/>
  <c r="BP7" i="63"/>
  <c r="BO7" i="63"/>
  <c r="CO7" i="63" s="1"/>
  <c r="BN7" i="63"/>
  <c r="BI7" i="63"/>
  <c r="BR5" i="63"/>
  <c r="CR5" i="63" s="1"/>
  <c r="BM5" i="63"/>
  <c r="BH5" i="63"/>
  <c r="BG5" i="63"/>
  <c r="BQ5" i="63"/>
  <c r="BL5" i="63"/>
  <c r="BN133" i="63"/>
  <c r="CN133" i="63" s="1"/>
  <c r="BM116" i="63"/>
  <c r="BQ108" i="63"/>
  <c r="BI56" i="63"/>
  <c r="BO56" i="63"/>
  <c r="BK53" i="63"/>
  <c r="BQ74" i="63"/>
  <c r="BQ66" i="63"/>
  <c r="BG27" i="63"/>
  <c r="BG23" i="63"/>
  <c r="BG19" i="63"/>
  <c r="BG15" i="63"/>
  <c r="BH27" i="63"/>
  <c r="BR27" i="63"/>
  <c r="BK23" i="63"/>
  <c r="BJ23" i="63"/>
  <c r="BK19" i="63"/>
  <c r="BJ19" i="63"/>
  <c r="BO15" i="63"/>
  <c r="BN15" i="63"/>
  <c r="BH3" i="63"/>
  <c r="BM3" i="63"/>
  <c r="BR3" i="63"/>
  <c r="BI3" i="63"/>
  <c r="BN3" i="63"/>
  <c r="AA74" i="62"/>
  <c r="W74" i="62"/>
  <c r="S74" i="62"/>
  <c r="Y74" i="62"/>
  <c r="AB74" i="62"/>
  <c r="T74" i="62"/>
  <c r="Z74" i="62"/>
  <c r="V74" i="62"/>
  <c r="R74" i="62"/>
  <c r="AC74" i="62"/>
  <c r="U74" i="62"/>
  <c r="X74" i="62"/>
  <c r="AA75" i="62"/>
  <c r="W75" i="62"/>
  <c r="S75" i="62"/>
  <c r="X75" i="62"/>
  <c r="Z75" i="62"/>
  <c r="V75" i="62"/>
  <c r="R75" i="62"/>
  <c r="AC75" i="62"/>
  <c r="Y75" i="62"/>
  <c r="U75" i="62"/>
  <c r="AB75" i="62"/>
  <c r="T75" i="62"/>
  <c r="AA76" i="62"/>
  <c r="W76" i="62"/>
  <c r="S76" i="62"/>
  <c r="AB76" i="62"/>
  <c r="T76" i="62"/>
  <c r="Z76" i="62"/>
  <c r="V76" i="62"/>
  <c r="R76" i="62"/>
  <c r="W81" i="62" s="1"/>
  <c r="AC76" i="62"/>
  <c r="Y76" i="62"/>
  <c r="U76" i="62"/>
  <c r="X76" i="62"/>
  <c r="AA77" i="62"/>
  <c r="W77" i="62"/>
  <c r="S77" i="62"/>
  <c r="X77" i="62"/>
  <c r="Z77" i="62"/>
  <c r="V77" i="62"/>
  <c r="R77" i="62"/>
  <c r="AC77" i="62"/>
  <c r="Y77" i="62"/>
  <c r="U77" i="62"/>
  <c r="AB77" i="62"/>
  <c r="T77" i="62"/>
  <c r="AA46" i="62"/>
  <c r="W46" i="62"/>
  <c r="S46" i="62"/>
  <c r="Z46" i="62"/>
  <c r="V46" i="62"/>
  <c r="R46" i="62"/>
  <c r="T46" i="62"/>
  <c r="AC46" i="62"/>
  <c r="Y46" i="62"/>
  <c r="U46" i="62"/>
  <c r="AB46" i="62"/>
  <c r="X46" i="62"/>
  <c r="AA44" i="62"/>
  <c r="W44" i="62"/>
  <c r="S44" i="62"/>
  <c r="X44" i="62"/>
  <c r="Z44" i="62"/>
  <c r="V44" i="62"/>
  <c r="AB44" i="62"/>
  <c r="AC44" i="62"/>
  <c r="Y44" i="62"/>
  <c r="U44" i="62"/>
  <c r="T44" i="62"/>
  <c r="AA43" i="62"/>
  <c r="W43" i="62"/>
  <c r="S43" i="62"/>
  <c r="X43" i="62"/>
  <c r="Z43" i="62"/>
  <c r="V43" i="62"/>
  <c r="AB43" i="62"/>
  <c r="AC43" i="62"/>
  <c r="Y43" i="62"/>
  <c r="U43" i="62"/>
  <c r="T43" i="62"/>
  <c r="AA45" i="62"/>
  <c r="W45" i="62"/>
  <c r="S45" i="62"/>
  <c r="X45" i="62"/>
  <c r="Z45" i="62"/>
  <c r="V45" i="62"/>
  <c r="AC45" i="62"/>
  <c r="Y45" i="62"/>
  <c r="U45" i="62"/>
  <c r="AB45" i="62"/>
  <c r="T45" i="62"/>
  <c r="J76" i="62"/>
  <c r="M76" i="62"/>
  <c r="I76" i="62"/>
  <c r="E76" i="62"/>
  <c r="L76" i="62"/>
  <c r="H76" i="62"/>
  <c r="D76" i="62"/>
  <c r="K76" i="62"/>
  <c r="G76" i="62"/>
  <c r="C76" i="62"/>
  <c r="F76" i="62"/>
  <c r="B76" i="62"/>
  <c r="C77" i="62"/>
  <c r="J77" i="62"/>
  <c r="B77" i="62"/>
  <c r="M77" i="62"/>
  <c r="I77" i="62"/>
  <c r="E77" i="62"/>
  <c r="L77" i="62"/>
  <c r="H77" i="62"/>
  <c r="D77" i="62"/>
  <c r="K77" i="62"/>
  <c r="G77" i="62"/>
  <c r="F77" i="62"/>
  <c r="J74" i="62"/>
  <c r="M74" i="62"/>
  <c r="I74" i="62"/>
  <c r="E74" i="62"/>
  <c r="L74" i="62"/>
  <c r="H74" i="62"/>
  <c r="D74" i="62"/>
  <c r="K74" i="62"/>
  <c r="G74" i="62"/>
  <c r="C74" i="62"/>
  <c r="F74" i="62"/>
  <c r="B74" i="62"/>
  <c r="J75" i="62"/>
  <c r="M75" i="62"/>
  <c r="I75" i="62"/>
  <c r="E75" i="62"/>
  <c r="L75" i="62"/>
  <c r="H75" i="62"/>
  <c r="D75" i="62"/>
  <c r="K75" i="62"/>
  <c r="G75" i="62"/>
  <c r="C75" i="62"/>
  <c r="F75" i="62"/>
  <c r="B75" i="62"/>
  <c r="K43" i="62"/>
  <c r="G43" i="62"/>
  <c r="C43" i="62"/>
  <c r="I43" i="62"/>
  <c r="L43" i="62"/>
  <c r="D43" i="62"/>
  <c r="J43" i="62"/>
  <c r="F43" i="62"/>
  <c r="B43" i="62"/>
  <c r="M43" i="62"/>
  <c r="E43" i="62"/>
  <c r="H43" i="62"/>
  <c r="K46" i="62"/>
  <c r="G46" i="62"/>
  <c r="C46" i="62"/>
  <c r="I46" i="62"/>
  <c r="H46" i="62"/>
  <c r="D46" i="62"/>
  <c r="J46" i="62"/>
  <c r="F46" i="62"/>
  <c r="B46" i="62"/>
  <c r="M46" i="62"/>
  <c r="E46" i="62"/>
  <c r="L46" i="62"/>
  <c r="K45" i="62"/>
  <c r="G45" i="62"/>
  <c r="C45" i="62"/>
  <c r="M45" i="62"/>
  <c r="I45" i="62"/>
  <c r="D45" i="62"/>
  <c r="J45" i="62"/>
  <c r="F45" i="62"/>
  <c r="B45" i="62"/>
  <c r="E45" i="62"/>
  <c r="L45" i="62"/>
  <c r="H45" i="62"/>
  <c r="K44" i="62"/>
  <c r="G44" i="62"/>
  <c r="C44" i="62"/>
  <c r="M44" i="62"/>
  <c r="E44" i="62"/>
  <c r="H44" i="62"/>
  <c r="J44" i="62"/>
  <c r="F44" i="62"/>
  <c r="B44" i="62"/>
  <c r="I44" i="62"/>
  <c r="L44" i="62"/>
  <c r="D44" i="62"/>
  <c r="CC173" i="63"/>
  <c r="BL178" i="63"/>
  <c r="CL178" i="63" s="1"/>
  <c r="BQ161" i="63"/>
  <c r="BV126" i="63"/>
  <c r="CB126" i="63"/>
  <c r="CE140" i="63"/>
  <c r="CD135" i="63"/>
  <c r="BR51" i="63"/>
  <c r="BZ175" i="63"/>
  <c r="BY175" i="63"/>
  <c r="BT175" i="63"/>
  <c r="CG175" i="63" s="1"/>
  <c r="BV175" i="63"/>
  <c r="BU175" i="63"/>
  <c r="CE175" i="63"/>
  <c r="CD175" i="63"/>
  <c r="BO106" i="63"/>
  <c r="BK106" i="63"/>
  <c r="BJ106" i="63"/>
  <c r="CJ106" i="63" s="1"/>
  <c r="BP106" i="63"/>
  <c r="BG106" i="63"/>
  <c r="CG106" i="63" s="1"/>
  <c r="BQ106" i="63"/>
  <c r="BL106" i="63"/>
  <c r="CL106" i="63" s="1"/>
  <c r="BR106" i="63"/>
  <c r="BM106" i="63"/>
  <c r="BH106" i="63"/>
  <c r="CH106" i="63" s="1"/>
  <c r="BI88" i="63"/>
  <c r="BO88" i="63"/>
  <c r="BJ88" i="63"/>
  <c r="BP88" i="63"/>
  <c r="BK88" i="63"/>
  <c r="BN88" i="63"/>
  <c r="BR88" i="63"/>
  <c r="BQ88" i="63"/>
  <c r="BL88" i="63"/>
  <c r="BG88" i="63"/>
  <c r="CG88" i="63" s="1"/>
  <c r="BM83" i="63"/>
  <c r="BH83" i="63"/>
  <c r="BN83" i="63"/>
  <c r="BI83" i="63"/>
  <c r="BO83" i="63"/>
  <c r="BJ83" i="63"/>
  <c r="BP83" i="63"/>
  <c r="BK83" i="63"/>
  <c r="BG83" i="63"/>
  <c r="CG83" i="63" s="1"/>
  <c r="CB80" i="63"/>
  <c r="CA80" i="63"/>
  <c r="BV80" i="63"/>
  <c r="BX80" i="63"/>
  <c r="BW80" i="63"/>
  <c r="CC80" i="63"/>
  <c r="BT80" i="63"/>
  <c r="CD80" i="63"/>
  <c r="BY80" i="63"/>
  <c r="BR78" i="63"/>
  <c r="BM78" i="63"/>
  <c r="BH78" i="63"/>
  <c r="BO78" i="63"/>
  <c r="BN78" i="63"/>
  <c r="CN78" i="63" s="1"/>
  <c r="BI78" i="63"/>
  <c r="BK78" i="63"/>
  <c r="BJ78" i="63"/>
  <c r="CJ78" i="63" s="1"/>
  <c r="BP78" i="63"/>
  <c r="BI75" i="63"/>
  <c r="BO75" i="63"/>
  <c r="BJ75" i="63"/>
  <c r="BP75" i="63"/>
  <c r="BK75" i="63"/>
  <c r="BQ75" i="63"/>
  <c r="BL75" i="63"/>
  <c r="BR75" i="63"/>
  <c r="BX72" i="63"/>
  <c r="BW72" i="63"/>
  <c r="CC72" i="63"/>
  <c r="BT72" i="63"/>
  <c r="CD72" i="63"/>
  <c r="BY72" i="63"/>
  <c r="CE72" i="63"/>
  <c r="BZ72" i="63"/>
  <c r="BU72" i="63"/>
  <c r="BO70" i="63"/>
  <c r="BN70" i="63"/>
  <c r="BI70" i="63"/>
  <c r="CI70" i="63" s="1"/>
  <c r="BK70" i="63"/>
  <c r="CK70" i="63" s="1"/>
  <c r="BJ70" i="63"/>
  <c r="BP70" i="63"/>
  <c r="CP70" i="63" s="1"/>
  <c r="BG70" i="63"/>
  <c r="BQ70" i="63"/>
  <c r="BL70" i="63"/>
  <c r="BP67" i="63"/>
  <c r="BK67" i="63"/>
  <c r="BG67" i="63"/>
  <c r="CG67" i="63" s="1"/>
  <c r="BQ67" i="63"/>
  <c r="BL67" i="63"/>
  <c r="BR67" i="63"/>
  <c r="BM67" i="63"/>
  <c r="BH67" i="63"/>
  <c r="BN67" i="63"/>
  <c r="BT64" i="63"/>
  <c r="CD64" i="63"/>
  <c r="BY64" i="63"/>
  <c r="CE64" i="63"/>
  <c r="BZ64" i="63"/>
  <c r="BU64" i="63"/>
  <c r="CH64" i="63" s="1"/>
  <c r="CB64" i="63"/>
  <c r="CA64" i="63"/>
  <c r="BV64" i="63"/>
  <c r="BR29" i="63"/>
  <c r="BM29" i="63"/>
  <c r="BH29" i="63"/>
  <c r="CH29" i="63" s="1"/>
  <c r="BN29" i="63"/>
  <c r="CN29" i="63" s="1"/>
  <c r="BI29" i="63"/>
  <c r="BO29" i="63"/>
  <c r="BJ29" i="63"/>
  <c r="CJ29" i="63" s="1"/>
  <c r="BP29" i="63"/>
  <c r="BK29" i="63"/>
  <c r="BJ25" i="63"/>
  <c r="BP25" i="63"/>
  <c r="CP25" i="63" s="1"/>
  <c r="BK25" i="63"/>
  <c r="BQ25" i="63"/>
  <c r="BL25" i="63"/>
  <c r="BR25" i="63"/>
  <c r="CR25" i="63" s="1"/>
  <c r="BM25" i="63"/>
  <c r="BH25" i="63"/>
  <c r="BG25" i="63"/>
  <c r="BR21" i="63"/>
  <c r="CR21" i="63" s="1"/>
  <c r="BM21" i="63"/>
  <c r="BH21" i="63"/>
  <c r="BN21" i="63"/>
  <c r="BI21" i="63"/>
  <c r="CI21" i="63" s="1"/>
  <c r="BO21" i="63"/>
  <c r="BG21" i="63"/>
  <c r="BJ21" i="63"/>
  <c r="BP21" i="63"/>
  <c r="CP21" i="63" s="1"/>
  <c r="BK21" i="63"/>
  <c r="BJ17" i="63"/>
  <c r="CJ17" i="63" s="1"/>
  <c r="BP17" i="63"/>
  <c r="BK17" i="63"/>
  <c r="CK17" i="63" s="1"/>
  <c r="BG17" i="63"/>
  <c r="BQ17" i="63"/>
  <c r="BL17" i="63"/>
  <c r="BR17" i="63"/>
  <c r="CR17" i="63" s="1"/>
  <c r="BM17" i="63"/>
  <c r="BH17" i="63"/>
  <c r="BR13" i="63"/>
  <c r="BM13" i="63"/>
  <c r="BH13" i="63"/>
  <c r="CH13" i="63" s="1"/>
  <c r="BN13" i="63"/>
  <c r="CN13" i="63" s="1"/>
  <c r="BI13" i="63"/>
  <c r="BO13" i="63"/>
  <c r="BJ13" i="63"/>
  <c r="CJ13" i="63" s="1"/>
  <c r="BP13" i="63"/>
  <c r="BK13" i="63"/>
  <c r="BV8" i="63"/>
  <c r="BZ8" i="63"/>
  <c r="CE8" i="63"/>
  <c r="CC8" i="63"/>
  <c r="BW8" i="63"/>
  <c r="BU8" i="63"/>
  <c r="BZ6" i="63"/>
  <c r="CB6" i="63"/>
  <c r="CD6" i="63"/>
  <c r="BT6" i="63"/>
  <c r="BV6" i="63"/>
  <c r="CI6" i="63" s="1"/>
  <c r="CA6" i="63"/>
  <c r="BZ4" i="63"/>
  <c r="BV4" i="63"/>
  <c r="CA4" i="63"/>
  <c r="BY4" i="63"/>
  <c r="CB4" i="63"/>
  <c r="BX157" i="63"/>
  <c r="CA157" i="63"/>
  <c r="CB157" i="63"/>
  <c r="CO157" i="63" s="1"/>
  <c r="BH144" i="63"/>
  <c r="BQ144" i="63"/>
  <c r="BM144" i="63"/>
  <c r="CM144" i="63" s="1"/>
  <c r="BR144" i="63"/>
  <c r="BI144" i="63"/>
  <c r="BK144" i="63"/>
  <c r="BP144" i="63"/>
  <c r="BN144" i="63"/>
  <c r="BO144" i="63"/>
  <c r="CE126" i="63"/>
  <c r="BZ126" i="63"/>
  <c r="CD126" i="63"/>
  <c r="CC126" i="63"/>
  <c r="CA126" i="63"/>
  <c r="BY126" i="63"/>
  <c r="BW126" i="63"/>
  <c r="BT126" i="63"/>
  <c r="CE135" i="63"/>
  <c r="BZ135" i="63"/>
  <c r="BU135" i="63"/>
  <c r="CH135" i="63" s="1"/>
  <c r="CB135" i="63"/>
  <c r="CA135" i="63"/>
  <c r="BV135" i="63"/>
  <c r="BX135" i="63"/>
  <c r="BW135" i="63"/>
  <c r="CC135" i="63"/>
  <c r="BR178" i="63"/>
  <c r="BM178" i="63"/>
  <c r="BH178" i="63"/>
  <c r="CH178" i="63" s="1"/>
  <c r="BN178" i="63"/>
  <c r="BI178" i="63"/>
  <c r="BO178" i="63"/>
  <c r="BJ178" i="63"/>
  <c r="CJ178" i="63" s="1"/>
  <c r="BP178" i="63"/>
  <c r="BK178" i="63"/>
  <c r="BG178" i="63"/>
  <c r="BL161" i="63"/>
  <c r="BJ161" i="63"/>
  <c r="BI161" i="63"/>
  <c r="BG161" i="63"/>
  <c r="BH161" i="63"/>
  <c r="BM161" i="63"/>
  <c r="BR161" i="63"/>
  <c r="BK161" i="63"/>
  <c r="CK161" i="63" s="1"/>
  <c r="BO161" i="63"/>
  <c r="CO161" i="63" s="1"/>
  <c r="BH148" i="63"/>
  <c r="BG148" i="63"/>
  <c r="BL148" i="63"/>
  <c r="BU140" i="63"/>
  <c r="CA140" i="63"/>
  <c r="BV140" i="63"/>
  <c r="CB140" i="63"/>
  <c r="BW140" i="63"/>
  <c r="BX140" i="63"/>
  <c r="BR54" i="63"/>
  <c r="BI54" i="63"/>
  <c r="BN135" i="63"/>
  <c r="BR135" i="63"/>
  <c r="CR135" i="63" s="1"/>
  <c r="BM135" i="63"/>
  <c r="CM135" i="63" s="1"/>
  <c r="BL144" i="63"/>
  <c r="BJ148" i="63"/>
  <c r="BY135" i="63"/>
  <c r="BX126" i="63"/>
  <c r="BP169" i="63"/>
  <c r="BN169" i="63"/>
  <c r="CN169" i="63" s="1"/>
  <c r="BO169" i="63"/>
  <c r="BL169" i="63"/>
  <c r="BJ169" i="63"/>
  <c r="BG169" i="63"/>
  <c r="CG169" i="63" s="1"/>
  <c r="BH169" i="63"/>
  <c r="BQ169" i="63"/>
  <c r="BM169" i="63"/>
  <c r="CD56" i="63"/>
  <c r="BL126" i="63"/>
  <c r="BQ126" i="63"/>
  <c r="BO114" i="63"/>
  <c r="BN114" i="63"/>
  <c r="BI114" i="63"/>
  <c r="CI114" i="63" s="1"/>
  <c r="BK114" i="63"/>
  <c r="BR114" i="63"/>
  <c r="BM114" i="63"/>
  <c r="CM114" i="63" s="1"/>
  <c r="BH114" i="63"/>
  <c r="CE133" i="63"/>
  <c r="CR133" i="63" s="1"/>
  <c r="BZ133" i="63"/>
  <c r="BU133" i="63"/>
  <c r="BT133" i="63"/>
  <c r="BK80" i="63"/>
  <c r="BJ80" i="63"/>
  <c r="BP80" i="63"/>
  <c r="BG80" i="63"/>
  <c r="BQ80" i="63"/>
  <c r="BL80" i="63"/>
  <c r="BO80" i="63"/>
  <c r="CO80" i="63" s="1"/>
  <c r="BN80" i="63"/>
  <c r="CN80" i="63" s="1"/>
  <c r="BI80" i="63"/>
  <c r="CI80" i="63" s="1"/>
  <c r="BR72" i="63"/>
  <c r="BM72" i="63"/>
  <c r="BH72" i="63"/>
  <c r="BO72" i="63"/>
  <c r="BN72" i="63"/>
  <c r="CN72" i="63" s="1"/>
  <c r="BI72" i="63"/>
  <c r="CI72" i="63" s="1"/>
  <c r="BG72" i="63"/>
  <c r="CG72" i="63" s="1"/>
  <c r="BQ72" i="63"/>
  <c r="CQ72" i="63" s="1"/>
  <c r="BL72" i="63"/>
  <c r="CL72" i="63" s="1"/>
  <c r="BK64" i="63"/>
  <c r="CK64" i="63" s="1"/>
  <c r="BJ64" i="63"/>
  <c r="CJ64" i="63" s="1"/>
  <c r="BP64" i="63"/>
  <c r="BG64" i="63"/>
  <c r="BQ64" i="63"/>
  <c r="BL64" i="63"/>
  <c r="BO64" i="63"/>
  <c r="BN64" i="63"/>
  <c r="BI64" i="63"/>
  <c r="CD19" i="63"/>
  <c r="BY19" i="63"/>
  <c r="CL19" i="63" s="1"/>
  <c r="CE19" i="63"/>
  <c r="BZ19" i="63"/>
  <c r="BU19" i="63"/>
  <c r="BT19" i="63"/>
  <c r="BW19" i="63"/>
  <c r="CC19" i="63"/>
  <c r="BX19" i="63"/>
  <c r="BP8" i="63"/>
  <c r="BK8" i="63"/>
  <c r="CK8" i="63" s="1"/>
  <c r="BQ8" i="63"/>
  <c r="BL8" i="63"/>
  <c r="BR8" i="63"/>
  <c r="CR8" i="63" s="1"/>
  <c r="BI8" i="63"/>
  <c r="BO8" i="63"/>
  <c r="BJ8" i="63"/>
  <c r="BO173" i="63"/>
  <c r="BN173" i="63"/>
  <c r="BP173" i="63"/>
  <c r="CP173" i="63" s="1"/>
  <c r="BW167" i="63"/>
  <c r="BI157" i="63"/>
  <c r="BL157" i="63"/>
  <c r="CA146" i="63"/>
  <c r="CC146" i="63"/>
  <c r="BK173" i="63"/>
  <c r="BI173" i="63"/>
  <c r="CI173" i="63" s="1"/>
  <c r="BR173" i="63"/>
  <c r="BX167" i="63"/>
  <c r="BQ157" i="63"/>
  <c r="BN157" i="63"/>
  <c r="BP157" i="63"/>
  <c r="CP157" i="63" s="1"/>
  <c r="BV146" i="63"/>
  <c r="CE146" i="63"/>
  <c r="CR146" i="63" s="1"/>
  <c r="BU131" i="63"/>
  <c r="CD131" i="63"/>
  <c r="BY133" i="63"/>
  <c r="BW133" i="63"/>
  <c r="BP114" i="63"/>
  <c r="BJ86" i="63"/>
  <c r="BR80" i="63"/>
  <c r="BK72" i="63"/>
  <c r="CK72" i="63" s="1"/>
  <c r="CC66" i="63"/>
  <c r="BY140" i="63"/>
  <c r="BT140" i="63"/>
  <c r="CG140" i="63" s="1"/>
  <c r="BZ140" i="63"/>
  <c r="CA56" i="63"/>
  <c r="CC56" i="63"/>
  <c r="CB56" i="63"/>
  <c r="BW56" i="63"/>
  <c r="BY56" i="63"/>
  <c r="BT56" i="63"/>
  <c r="BV56" i="63"/>
  <c r="BO54" i="63"/>
  <c r="BJ54" i="63"/>
  <c r="BH54" i="63"/>
  <c r="BK54" i="63"/>
  <c r="BM54" i="63"/>
  <c r="BN54" i="63"/>
  <c r="CN54" i="63" s="1"/>
  <c r="BP54" i="63"/>
  <c r="BQ51" i="63"/>
  <c r="BH51" i="63"/>
  <c r="BM51" i="63"/>
  <c r="BK51" i="63"/>
  <c r="BL51" i="63"/>
  <c r="BN51" i="63"/>
  <c r="BL47" i="63"/>
  <c r="BJ47" i="63"/>
  <c r="BK47" i="63"/>
  <c r="BP47" i="63"/>
  <c r="BL43" i="63"/>
  <c r="BG43" i="63"/>
  <c r="CG43" i="63" s="1"/>
  <c r="BJ43" i="63"/>
  <c r="BK43" i="63"/>
  <c r="BP43" i="63"/>
  <c r="BL39" i="63"/>
  <c r="CL39" i="63" s="1"/>
  <c r="BJ39" i="63"/>
  <c r="BK39" i="63"/>
  <c r="BP39" i="63"/>
  <c r="BL35" i="63"/>
  <c r="CL35" i="63" s="1"/>
  <c r="BJ35" i="63"/>
  <c r="BK35" i="63"/>
  <c r="BP35" i="63"/>
  <c r="BG35" i="63"/>
  <c r="BR86" i="63"/>
  <c r="BN86" i="63"/>
  <c r="BQ86" i="63"/>
  <c r="BL86" i="63"/>
  <c r="BM86" i="63"/>
  <c r="BH86" i="63"/>
  <c r="BP86" i="63"/>
  <c r="BK86" i="63"/>
  <c r="BG86" i="63"/>
  <c r="CG86" i="63" s="1"/>
  <c r="BP77" i="63"/>
  <c r="BK77" i="63"/>
  <c r="BG77" i="63"/>
  <c r="BQ77" i="63"/>
  <c r="BL77" i="63"/>
  <c r="BR77" i="63"/>
  <c r="BI77" i="63"/>
  <c r="BO77" i="63"/>
  <c r="BJ77" i="63"/>
  <c r="BM69" i="63"/>
  <c r="BH69" i="63"/>
  <c r="BN69" i="63"/>
  <c r="BG69" i="63"/>
  <c r="BI69" i="63"/>
  <c r="BO69" i="63"/>
  <c r="BJ69" i="63"/>
  <c r="BQ69" i="63"/>
  <c r="BL69" i="63"/>
  <c r="BR69" i="63"/>
  <c r="CD23" i="63"/>
  <c r="BY23" i="63"/>
  <c r="CE23" i="63"/>
  <c r="BZ23" i="63"/>
  <c r="BU23" i="63"/>
  <c r="BW23" i="63"/>
  <c r="CC23" i="63"/>
  <c r="BX23" i="63"/>
  <c r="BT23" i="63"/>
  <c r="BQ10" i="63"/>
  <c r="BL10" i="63"/>
  <c r="BO10" i="63"/>
  <c r="BM10" i="63"/>
  <c r="BH10" i="63"/>
  <c r="BN10" i="63"/>
  <c r="BI10" i="63"/>
  <c r="BJ10" i="63"/>
  <c r="BG10" i="63"/>
  <c r="CG10" i="63" s="1"/>
  <c r="BQ6" i="63"/>
  <c r="BL6" i="63"/>
  <c r="CL6" i="63" s="1"/>
  <c r="BR6" i="63"/>
  <c r="BM6" i="63"/>
  <c r="CM6" i="63" s="1"/>
  <c r="BH6" i="63"/>
  <c r="BN6" i="63"/>
  <c r="CN6" i="63" s="1"/>
  <c r="BG6" i="63"/>
  <c r="BP6" i="63"/>
  <c r="BK6" i="63"/>
  <c r="BG173" i="63"/>
  <c r="BJ173" i="63"/>
  <c r="BM157" i="63"/>
  <c r="BH157" i="63"/>
  <c r="BT146" i="63"/>
  <c r="BW146" i="63"/>
  <c r="BY146" i="63"/>
  <c r="BV131" i="63"/>
  <c r="BX133" i="63"/>
  <c r="BV133" i="63"/>
  <c r="BJ114" i="63"/>
  <c r="BN126" i="63"/>
  <c r="BH80" i="63"/>
  <c r="CH80" i="63" s="1"/>
  <c r="BM77" i="63"/>
  <c r="BP72" i="63"/>
  <c r="BM64" i="63"/>
  <c r="BV23" i="63"/>
  <c r="BV19" i="63"/>
  <c r="BP10" i="63"/>
  <c r="BH8" i="63"/>
  <c r="BJ6" i="63"/>
  <c r="BQ59" i="63"/>
  <c r="BL59" i="63"/>
  <c r="BR59" i="63"/>
  <c r="BG59" i="63"/>
  <c r="CG59" i="63" s="1"/>
  <c r="BM59" i="63"/>
  <c r="BH59" i="63"/>
  <c r="BN59" i="63"/>
  <c r="BP59" i="63"/>
  <c r="BK59" i="63"/>
  <c r="BT131" i="63"/>
  <c r="BW131" i="63"/>
  <c r="CC131" i="63"/>
  <c r="CA112" i="63"/>
  <c r="BV112" i="63"/>
  <c r="BX112" i="63"/>
  <c r="BT112" i="63"/>
  <c r="BW112" i="63"/>
  <c r="CC112" i="63"/>
  <c r="CB112" i="63"/>
  <c r="CE112" i="63"/>
  <c r="BZ112" i="63"/>
  <c r="BU112" i="63"/>
  <c r="CE82" i="63"/>
  <c r="BZ82" i="63"/>
  <c r="BU82" i="63"/>
  <c r="CB82" i="63"/>
  <c r="CA82" i="63"/>
  <c r="BV82" i="63"/>
  <c r="BT82" i="63"/>
  <c r="CD82" i="63"/>
  <c r="BY82" i="63"/>
  <c r="BX74" i="63"/>
  <c r="BW74" i="63"/>
  <c r="CC74" i="63"/>
  <c r="BT74" i="63"/>
  <c r="CD74" i="63"/>
  <c r="BY74" i="63"/>
  <c r="CB74" i="63"/>
  <c r="CA74" i="63"/>
  <c r="BV74" i="63"/>
  <c r="CE66" i="63"/>
  <c r="BZ66" i="63"/>
  <c r="BU66" i="63"/>
  <c r="CB66" i="63"/>
  <c r="CA66" i="63"/>
  <c r="BV66" i="63"/>
  <c r="BT66" i="63"/>
  <c r="CG66" i="63" s="1"/>
  <c r="CD66" i="63"/>
  <c r="BY66" i="63"/>
  <c r="CD27" i="63"/>
  <c r="BY27" i="63"/>
  <c r="CL27" i="63" s="1"/>
  <c r="CE27" i="63"/>
  <c r="BZ27" i="63"/>
  <c r="BU27" i="63"/>
  <c r="BT27" i="63"/>
  <c r="BW27" i="63"/>
  <c r="CC27" i="63"/>
  <c r="BX27" i="63"/>
  <c r="CD15" i="63"/>
  <c r="BY15" i="63"/>
  <c r="CE15" i="63"/>
  <c r="CR15" i="63" s="1"/>
  <c r="BZ15" i="63"/>
  <c r="BU15" i="63"/>
  <c r="BW15" i="63"/>
  <c r="CC15" i="63"/>
  <c r="BX15" i="63"/>
  <c r="BT15" i="63"/>
  <c r="BP4" i="63"/>
  <c r="BK4" i="63"/>
  <c r="BG4" i="63"/>
  <c r="CG4" i="63" s="1"/>
  <c r="BQ4" i="63"/>
  <c r="BL4" i="63"/>
  <c r="CL4" i="63" s="1"/>
  <c r="BR4" i="63"/>
  <c r="BI4" i="63"/>
  <c r="BO4" i="63"/>
  <c r="BJ4" i="63"/>
  <c r="BG157" i="63"/>
  <c r="BJ157" i="63"/>
  <c r="CB131" i="63"/>
  <c r="CB146" i="63"/>
  <c r="BX131" i="63"/>
  <c r="BZ131" i="63"/>
  <c r="CD133" i="63"/>
  <c r="BL114" i="63"/>
  <c r="BY112" i="63"/>
  <c r="BO86" i="63"/>
  <c r="BX82" i="63"/>
  <c r="BM80" i="63"/>
  <c r="CE74" i="63"/>
  <c r="BJ72" i="63"/>
  <c r="BR64" i="63"/>
  <c r="CA27" i="63"/>
  <c r="CA23" i="63"/>
  <c r="CN23" i="63" s="1"/>
  <c r="CA19" i="63"/>
  <c r="CA15" i="63"/>
  <c r="BR10" i="63"/>
  <c r="BM8" i="63"/>
  <c r="BO6" i="63"/>
  <c r="BM4" i="63"/>
  <c r="BW159" i="63"/>
  <c r="BY159" i="63"/>
  <c r="CD171" i="63"/>
  <c r="BU171" i="63"/>
  <c r="BZ159" i="63"/>
  <c r="CA159" i="63"/>
  <c r="CC159" i="63"/>
  <c r="BT171" i="63"/>
  <c r="BW171" i="63"/>
  <c r="BY171" i="63"/>
  <c r="BV159" i="63"/>
  <c r="BY166" i="63"/>
  <c r="CD166" i="63"/>
  <c r="CQ166" i="63" s="1"/>
  <c r="BZ142" i="63"/>
  <c r="CD142" i="63"/>
  <c r="BU142" i="63"/>
  <c r="BT130" i="63"/>
  <c r="CA154" i="63"/>
  <c r="CB154" i="63"/>
  <c r="BZ130" i="63"/>
  <c r="BX130" i="63"/>
  <c r="CB130" i="63"/>
  <c r="CB100" i="63"/>
  <c r="BT124" i="63"/>
  <c r="CC124" i="63"/>
  <c r="CE124" i="63"/>
  <c r="CD100" i="63"/>
  <c r="BU84" i="63"/>
  <c r="BZ84" i="63"/>
  <c r="CE84" i="63"/>
  <c r="CR84" i="63" s="1"/>
  <c r="BY76" i="63"/>
  <c r="CD76" i="63"/>
  <c r="BT76" i="63"/>
  <c r="CG76" i="63" s="1"/>
  <c r="CC68" i="63"/>
  <c r="BW68" i="63"/>
  <c r="BX68" i="63"/>
  <c r="BY50" i="63"/>
  <c r="CD50" i="63"/>
  <c r="BT37" i="63"/>
  <c r="BX45" i="63"/>
  <c r="CC45" i="63"/>
  <c r="BW45" i="63"/>
  <c r="BX41" i="63"/>
  <c r="CC41" i="63"/>
  <c r="BW41" i="63"/>
  <c r="BX37" i="63"/>
  <c r="CC37" i="63"/>
  <c r="BW37" i="63"/>
  <c r="BX33" i="63"/>
  <c r="CC33" i="63"/>
  <c r="BW33" i="63"/>
  <c r="CJ33" i="63" s="1"/>
  <c r="BV5" i="63"/>
  <c r="CA5" i="63"/>
  <c r="CN5" i="63" s="1"/>
  <c r="CB5" i="63"/>
  <c r="CO5" i="63" s="1"/>
  <c r="BV9" i="63"/>
  <c r="CA9" i="63"/>
  <c r="CB9" i="63"/>
  <c r="BT8" i="63"/>
  <c r="CG8" i="63" s="1"/>
  <c r="BY8" i="63"/>
  <c r="CD8" i="63"/>
  <c r="BW6" i="63"/>
  <c r="BX6" i="63"/>
  <c r="CC6" i="63"/>
  <c r="BW4" i="63"/>
  <c r="BX4" i="63"/>
  <c r="CC4" i="63"/>
  <c r="BU3" i="63"/>
  <c r="BZ3" i="63"/>
  <c r="CE3" i="63"/>
  <c r="BU7" i="63"/>
  <c r="BZ7" i="63"/>
  <c r="CE7" i="63"/>
  <c r="BX159" i="63"/>
  <c r="BU159" i="63"/>
  <c r="BV171" i="63"/>
  <c r="CE171" i="63"/>
  <c r="BT166" i="63"/>
  <c r="BV166" i="63"/>
  <c r="CA166" i="63"/>
  <c r="CB142" i="63"/>
  <c r="CO142" i="63" s="1"/>
  <c r="CA142" i="63"/>
  <c r="CC142" i="63"/>
  <c r="BV154" i="63"/>
  <c r="BT154" i="63"/>
  <c r="CG154" i="63" s="1"/>
  <c r="BY154" i="63"/>
  <c r="CA130" i="63"/>
  <c r="BY130" i="63"/>
  <c r="BU124" i="63"/>
  <c r="CD124" i="63"/>
  <c r="CQ124" i="63" s="1"/>
  <c r="BV100" i="63"/>
  <c r="CA100" i="63"/>
  <c r="CC84" i="63"/>
  <c r="BW84" i="63"/>
  <c r="BX84" i="63"/>
  <c r="BV76" i="63"/>
  <c r="CA76" i="63"/>
  <c r="CB76" i="63"/>
  <c r="BU68" i="63"/>
  <c r="BZ68" i="63"/>
  <c r="CE68" i="63"/>
  <c r="BX50" i="63"/>
  <c r="BV50" i="63"/>
  <c r="CA50" i="63"/>
  <c r="BT33" i="63"/>
  <c r="BU45" i="63"/>
  <c r="BZ45" i="63"/>
  <c r="CE45" i="63"/>
  <c r="BU41" i="63"/>
  <c r="BZ41" i="63"/>
  <c r="CE41" i="63"/>
  <c r="BU37" i="63"/>
  <c r="BZ37" i="63"/>
  <c r="CM37" i="63" s="1"/>
  <c r="CE37" i="63"/>
  <c r="BU33" i="63"/>
  <c r="BZ33" i="63"/>
  <c r="CE33" i="63"/>
  <c r="BY5" i="63"/>
  <c r="CD5" i="63"/>
  <c r="BT5" i="63"/>
  <c r="BY9" i="63"/>
  <c r="CD9" i="63"/>
  <c r="BT9" i="63"/>
  <c r="CA8" i="63"/>
  <c r="CB8" i="63"/>
  <c r="CE6" i="63"/>
  <c r="BU6" i="63"/>
  <c r="CE4" i="63"/>
  <c r="BU4" i="63"/>
  <c r="CH4" i="63" s="1"/>
  <c r="CC3" i="63"/>
  <c r="BW3" i="63"/>
  <c r="BX3" i="63"/>
  <c r="CC7" i="63"/>
  <c r="BW7" i="63"/>
  <c r="BX7" i="63"/>
  <c r="BZ171" i="63"/>
  <c r="BU166" i="63"/>
  <c r="BZ166" i="63"/>
  <c r="CE166" i="63"/>
  <c r="BV142" i="63"/>
  <c r="CE142" i="63"/>
  <c r="CD130" i="63"/>
  <c r="BW154" i="63"/>
  <c r="BX154" i="63"/>
  <c r="CC154" i="63"/>
  <c r="CE130" i="63"/>
  <c r="BY124" i="63"/>
  <c r="BZ100" i="63"/>
  <c r="CB50" i="63"/>
  <c r="BV84" i="63"/>
  <c r="CA84" i="63"/>
  <c r="BU76" i="63"/>
  <c r="BZ76" i="63"/>
  <c r="BY68" i="63"/>
  <c r="CD68" i="63"/>
  <c r="CQ68" i="63" s="1"/>
  <c r="BU50" i="63"/>
  <c r="BZ50" i="63"/>
  <c r="CE50" i="63"/>
  <c r="BT41" i="63"/>
  <c r="BY45" i="63"/>
  <c r="BY41" i="63"/>
  <c r="BY37" i="63"/>
  <c r="BY33" i="63"/>
  <c r="CC5" i="63"/>
  <c r="BW5" i="63"/>
  <c r="CC9" i="63"/>
  <c r="BW9" i="63"/>
  <c r="BV3" i="63"/>
  <c r="CA3" i="63"/>
  <c r="BV7" i="63"/>
  <c r="CA7" i="63"/>
  <c r="BO155" i="63"/>
  <c r="BG166" i="63"/>
  <c r="BK166" i="63"/>
  <c r="CK166" i="63" s="1"/>
  <c r="BP166" i="63"/>
  <c r="CP166" i="63" s="1"/>
  <c r="BJ166" i="63"/>
  <c r="BG155" i="63"/>
  <c r="BP155" i="63"/>
  <c r="BJ155" i="63"/>
  <c r="BH166" i="63"/>
  <c r="BM166" i="63"/>
  <c r="BR166" i="63"/>
  <c r="BH155" i="63"/>
  <c r="BM155" i="63"/>
  <c r="BR155" i="63"/>
  <c r="BL166" i="63"/>
  <c r="BL155" i="63"/>
  <c r="BQ155" i="63"/>
  <c r="BO135" i="63"/>
  <c r="BK135" i="63"/>
  <c r="CK135" i="63" s="1"/>
  <c r="BO148" i="63"/>
  <c r="BN148" i="63"/>
  <c r="BP148" i="63"/>
  <c r="BL135" i="63"/>
  <c r="BQ135" i="63"/>
  <c r="BG126" i="63"/>
  <c r="BK126" i="63"/>
  <c r="BR126" i="63"/>
  <c r="BK148" i="63"/>
  <c r="BI148" i="63"/>
  <c r="BR148" i="63"/>
  <c r="CR148" i="63" s="1"/>
  <c r="BG135" i="63"/>
  <c r="CG135" i="63" s="1"/>
  <c r="BP135" i="63"/>
  <c r="CP135" i="63" s="1"/>
  <c r="BJ135" i="63"/>
  <c r="BO126" i="63"/>
  <c r="BM126" i="63"/>
  <c r="BH126" i="63"/>
  <c r="CH126" i="63" s="1"/>
  <c r="BM148" i="63"/>
  <c r="BQ148" i="63"/>
  <c r="BI135" i="63"/>
  <c r="BI126" i="63"/>
  <c r="BJ126" i="63"/>
  <c r="BP126" i="63"/>
  <c r="BH82" i="63"/>
  <c r="BM82" i="63"/>
  <c r="BR82" i="63"/>
  <c r="BN79" i="63"/>
  <c r="BH79" i="63"/>
  <c r="BM79" i="63"/>
  <c r="BH74" i="63"/>
  <c r="BM74" i="63"/>
  <c r="CM74" i="63" s="1"/>
  <c r="BR74" i="63"/>
  <c r="BN71" i="63"/>
  <c r="BH71" i="63"/>
  <c r="BM71" i="63"/>
  <c r="BH66" i="63"/>
  <c r="CH66" i="63" s="1"/>
  <c r="BM66" i="63"/>
  <c r="BR66" i="63"/>
  <c r="BN63" i="63"/>
  <c r="BH63" i="63"/>
  <c r="BM63" i="63"/>
  <c r="BP82" i="63"/>
  <c r="BJ82" i="63"/>
  <c r="CJ82" i="63" s="1"/>
  <c r="BK82" i="63"/>
  <c r="BK79" i="63"/>
  <c r="BP79" i="63"/>
  <c r="BP74" i="63"/>
  <c r="BJ74" i="63"/>
  <c r="BK74" i="63"/>
  <c r="BK71" i="63"/>
  <c r="BP71" i="63"/>
  <c r="BP66" i="63"/>
  <c r="CP66" i="63" s="1"/>
  <c r="BJ66" i="63"/>
  <c r="BK66" i="63"/>
  <c r="CK66" i="63" s="1"/>
  <c r="BK63" i="63"/>
  <c r="BP63" i="63"/>
  <c r="BI82" i="63"/>
  <c r="BN82" i="63"/>
  <c r="BJ79" i="63"/>
  <c r="BO79" i="63"/>
  <c r="BI74" i="63"/>
  <c r="BN74" i="63"/>
  <c r="BJ71" i="63"/>
  <c r="BO71" i="63"/>
  <c r="BI66" i="63"/>
  <c r="BN66" i="63"/>
  <c r="BJ63" i="63"/>
  <c r="BO63" i="63"/>
  <c r="CD144" i="63"/>
  <c r="CB144" i="63"/>
  <c r="CA167" i="63"/>
  <c r="CB167" i="63"/>
  <c r="BV157" i="63"/>
  <c r="CE157" i="63"/>
  <c r="BX144" i="63"/>
  <c r="BU144" i="63"/>
  <c r="CD148" i="63"/>
  <c r="CB148" i="63"/>
  <c r="BT148" i="63"/>
  <c r="BP57" i="63"/>
  <c r="BK57" i="63"/>
  <c r="BT54" i="63"/>
  <c r="CD54" i="63"/>
  <c r="BY54" i="63"/>
  <c r="BG52" i="63"/>
  <c r="CG52" i="63" s="1"/>
  <c r="BQ52" i="63"/>
  <c r="BL52" i="63"/>
  <c r="CA47" i="63"/>
  <c r="BV47" i="63"/>
  <c r="CB47" i="63"/>
  <c r="BW47" i="63"/>
  <c r="CC47" i="63"/>
  <c r="BX47" i="63"/>
  <c r="CA43" i="63"/>
  <c r="BV43" i="63"/>
  <c r="CB43" i="63"/>
  <c r="BW43" i="63"/>
  <c r="CC43" i="63"/>
  <c r="BX43" i="63"/>
  <c r="CA39" i="63"/>
  <c r="BV39" i="63"/>
  <c r="CB39" i="63"/>
  <c r="BW39" i="63"/>
  <c r="CC39" i="63"/>
  <c r="BX39" i="63"/>
  <c r="CA35" i="63"/>
  <c r="BV35" i="63"/>
  <c r="CB35" i="63"/>
  <c r="BW35" i="63"/>
  <c r="CC35" i="63"/>
  <c r="BX35" i="63"/>
  <c r="CD173" i="63"/>
  <c r="CB173" i="63"/>
  <c r="BW144" i="63"/>
  <c r="BY144" i="63"/>
  <c r="CE56" i="63"/>
  <c r="BZ56" i="63"/>
  <c r="CM56" i="63" s="1"/>
  <c r="BU56" i="63"/>
  <c r="BG54" i="63"/>
  <c r="BQ54" i="63"/>
  <c r="BL54" i="63"/>
  <c r="BI51" i="63"/>
  <c r="BO51" i="63"/>
  <c r="BJ51" i="63"/>
  <c r="BG51" i="63"/>
  <c r="CG51" i="63" s="1"/>
  <c r="BR47" i="63"/>
  <c r="BM47" i="63"/>
  <c r="CM47" i="63" s="1"/>
  <c r="BH47" i="63"/>
  <c r="CH47" i="63" s="1"/>
  <c r="BN47" i="63"/>
  <c r="BI47" i="63"/>
  <c r="BO47" i="63"/>
  <c r="BG47" i="63"/>
  <c r="CG47" i="63" s="1"/>
  <c r="BR43" i="63"/>
  <c r="CR43" i="63" s="1"/>
  <c r="BM43" i="63"/>
  <c r="BH43" i="63"/>
  <c r="BN43" i="63"/>
  <c r="BI43" i="63"/>
  <c r="BO43" i="63"/>
  <c r="BR39" i="63"/>
  <c r="BM39" i="63"/>
  <c r="BH39" i="63"/>
  <c r="BN39" i="63"/>
  <c r="BI39" i="63"/>
  <c r="BO39" i="63"/>
  <c r="BG39" i="63"/>
  <c r="BR35" i="63"/>
  <c r="BM35" i="63"/>
  <c r="BH35" i="63"/>
  <c r="CH35" i="63" s="1"/>
  <c r="BN35" i="63"/>
  <c r="BI35" i="63"/>
  <c r="BO35" i="63"/>
  <c r="BZ173" i="63"/>
  <c r="CE173" i="63"/>
  <c r="CD167" i="63"/>
  <c r="BX173" i="63"/>
  <c r="BU173" i="63"/>
  <c r="CE167" i="63"/>
  <c r="BU167" i="63"/>
  <c r="BZ157" i="63"/>
  <c r="CD157" i="63"/>
  <c r="BU157" i="63"/>
  <c r="BW173" i="63"/>
  <c r="BY173" i="63"/>
  <c r="CL173" i="63" s="1"/>
  <c r="BZ167" i="63"/>
  <c r="BT167" i="63"/>
  <c r="CG167" i="63" s="1"/>
  <c r="BY167" i="63"/>
  <c r="BT157" i="63"/>
  <c r="BW157" i="63"/>
  <c r="BY157" i="63"/>
  <c r="CA144" i="63"/>
  <c r="CC144" i="63"/>
  <c r="BV144" i="63"/>
  <c r="BR58" i="63"/>
  <c r="CR58" i="63" s="1"/>
  <c r="BM58" i="63"/>
  <c r="BH58" i="63"/>
  <c r="BT173" i="63"/>
  <c r="BT144" i="63"/>
  <c r="CG144" i="63" s="1"/>
  <c r="CA124" i="63"/>
  <c r="BV124" i="63"/>
  <c r="CB124" i="63"/>
  <c r="CC100" i="63"/>
  <c r="BU100" i="63"/>
  <c r="CD159" i="63"/>
  <c r="CB159" i="63"/>
  <c r="CD169" i="63"/>
  <c r="CB169" i="63"/>
  <c r="E81" i="62"/>
  <c r="F50" i="62"/>
  <c r="CC177" i="63"/>
  <c r="BY177" i="63"/>
  <c r="BU177" i="63"/>
  <c r="CB177" i="63"/>
  <c r="BX177" i="63"/>
  <c r="BT177" i="63"/>
  <c r="CG177" i="63" s="1"/>
  <c r="CE177" i="63"/>
  <c r="CA177" i="63"/>
  <c r="BW177" i="63"/>
  <c r="BZ177" i="63"/>
  <c r="BV177" i="63"/>
  <c r="CD177" i="63"/>
  <c r="CE172" i="63"/>
  <c r="CA172" i="63"/>
  <c r="BW172" i="63"/>
  <c r="CC172" i="63"/>
  <c r="BY172" i="63"/>
  <c r="BU172" i="63"/>
  <c r="BX172" i="63"/>
  <c r="CD172" i="63"/>
  <c r="BV172" i="63"/>
  <c r="CB172" i="63"/>
  <c r="BT172" i="63"/>
  <c r="BZ172" i="63"/>
  <c r="BR172" i="63"/>
  <c r="CR172" i="63" s="1"/>
  <c r="BN172" i="63"/>
  <c r="CN172" i="63" s="1"/>
  <c r="BJ172" i="63"/>
  <c r="CJ172" i="63" s="1"/>
  <c r="BP172" i="63"/>
  <c r="BL172" i="63"/>
  <c r="BH172" i="63"/>
  <c r="CH172" i="63" s="1"/>
  <c r="BO172" i="63"/>
  <c r="BM172" i="63"/>
  <c r="CM172" i="63" s="1"/>
  <c r="BK172" i="63"/>
  <c r="BQ172" i="63"/>
  <c r="BI172" i="63"/>
  <c r="BR168" i="63"/>
  <c r="BN168" i="63"/>
  <c r="BJ168" i="63"/>
  <c r="BP168" i="63"/>
  <c r="BL168" i="63"/>
  <c r="BH168" i="63"/>
  <c r="BO168" i="63"/>
  <c r="BM168" i="63"/>
  <c r="BK168" i="63"/>
  <c r="BI168" i="63"/>
  <c r="BQ168" i="63"/>
  <c r="CE176" i="63"/>
  <c r="CA176" i="63"/>
  <c r="BW176" i="63"/>
  <c r="CD176" i="63"/>
  <c r="BZ176" i="63"/>
  <c r="BV176" i="63"/>
  <c r="CC176" i="63"/>
  <c r="BY176" i="63"/>
  <c r="BU176" i="63"/>
  <c r="CB176" i="63"/>
  <c r="BX176" i="63"/>
  <c r="BT176" i="63"/>
  <c r="CE170" i="63"/>
  <c r="CA170" i="63"/>
  <c r="BW170" i="63"/>
  <c r="CC170" i="63"/>
  <c r="BY170" i="63"/>
  <c r="BU170" i="63"/>
  <c r="CB170" i="63"/>
  <c r="BT170" i="63"/>
  <c r="CG170" i="63" s="1"/>
  <c r="BZ170" i="63"/>
  <c r="BX170" i="63"/>
  <c r="CD170" i="63"/>
  <c r="BV170" i="63"/>
  <c r="BP163" i="63"/>
  <c r="BL163" i="63"/>
  <c r="CL163" i="63" s="1"/>
  <c r="BH163" i="63"/>
  <c r="CH163" i="63" s="1"/>
  <c r="BO163" i="63"/>
  <c r="BK163" i="63"/>
  <c r="BR163" i="63"/>
  <c r="CR163" i="63" s="1"/>
  <c r="BN163" i="63"/>
  <c r="BJ163" i="63"/>
  <c r="BQ163" i="63"/>
  <c r="BM163" i="63"/>
  <c r="BI163" i="63"/>
  <c r="CE158" i="63"/>
  <c r="CA158" i="63"/>
  <c r="BW158" i="63"/>
  <c r="CC158" i="63"/>
  <c r="BY158" i="63"/>
  <c r="BU158" i="63"/>
  <c r="BX158" i="63"/>
  <c r="CD158" i="63"/>
  <c r="BV158" i="63"/>
  <c r="CB158" i="63"/>
  <c r="BT158" i="63"/>
  <c r="BZ158" i="63"/>
  <c r="BG172" i="63"/>
  <c r="BP167" i="63"/>
  <c r="BL167" i="63"/>
  <c r="BH167" i="63"/>
  <c r="BO167" i="63"/>
  <c r="BK167" i="63"/>
  <c r="BR167" i="63"/>
  <c r="BN167" i="63"/>
  <c r="BJ167" i="63"/>
  <c r="BM167" i="63"/>
  <c r="BI167" i="63"/>
  <c r="CI167" i="63" s="1"/>
  <c r="BQ167" i="63"/>
  <c r="CE160" i="63"/>
  <c r="CA160" i="63"/>
  <c r="BW160" i="63"/>
  <c r="CC160" i="63"/>
  <c r="BY160" i="63"/>
  <c r="BU160" i="63"/>
  <c r="CB160" i="63"/>
  <c r="BT160" i="63"/>
  <c r="CG160" i="63" s="1"/>
  <c r="BZ160" i="63"/>
  <c r="BX160" i="63"/>
  <c r="BV160" i="63"/>
  <c r="CD160" i="63"/>
  <c r="CE141" i="63"/>
  <c r="CA141" i="63"/>
  <c r="CN141" i="63" s="1"/>
  <c r="BW141" i="63"/>
  <c r="CC141" i="63"/>
  <c r="BY141" i="63"/>
  <c r="BU141" i="63"/>
  <c r="CB141" i="63"/>
  <c r="BZ141" i="63"/>
  <c r="BX141" i="63"/>
  <c r="CD141" i="63"/>
  <c r="BV141" i="63"/>
  <c r="BR170" i="63"/>
  <c r="BN170" i="63"/>
  <c r="BJ170" i="63"/>
  <c r="BP170" i="63"/>
  <c r="BL170" i="63"/>
  <c r="BH170" i="63"/>
  <c r="BK170" i="63"/>
  <c r="BQ170" i="63"/>
  <c r="BI170" i="63"/>
  <c r="BO170" i="63"/>
  <c r="BM170" i="63"/>
  <c r="CM170" i="63" s="1"/>
  <c r="BR160" i="63"/>
  <c r="BN160" i="63"/>
  <c r="BJ160" i="63"/>
  <c r="BP160" i="63"/>
  <c r="BL160" i="63"/>
  <c r="BH160" i="63"/>
  <c r="BK160" i="63"/>
  <c r="BQ160" i="63"/>
  <c r="BI160" i="63"/>
  <c r="CI160" i="63" s="1"/>
  <c r="BO160" i="63"/>
  <c r="BM160" i="63"/>
  <c r="CM160" i="63" s="1"/>
  <c r="BP132" i="63"/>
  <c r="CP132" i="63" s="1"/>
  <c r="BL132" i="63"/>
  <c r="BH132" i="63"/>
  <c r="BO132" i="63"/>
  <c r="BK132" i="63"/>
  <c r="BR132" i="63"/>
  <c r="BN132" i="63"/>
  <c r="BJ132" i="63"/>
  <c r="BQ132" i="63"/>
  <c r="BM132" i="63"/>
  <c r="CM132" i="63" s="1"/>
  <c r="BI132" i="63"/>
  <c r="CE127" i="63"/>
  <c r="CA127" i="63"/>
  <c r="BW127" i="63"/>
  <c r="CC127" i="63"/>
  <c r="BY127" i="63"/>
  <c r="BU127" i="63"/>
  <c r="BX127" i="63"/>
  <c r="CD127" i="63"/>
  <c r="BV127" i="63"/>
  <c r="CB127" i="63"/>
  <c r="BT127" i="63"/>
  <c r="BZ127" i="63"/>
  <c r="BP134" i="63"/>
  <c r="BL134" i="63"/>
  <c r="BH134" i="63"/>
  <c r="BO134" i="63"/>
  <c r="BK134" i="63"/>
  <c r="BR134" i="63"/>
  <c r="BN134" i="63"/>
  <c r="BJ134" i="63"/>
  <c r="BI134" i="63"/>
  <c r="BQ134" i="63"/>
  <c r="BM134" i="63"/>
  <c r="BR145" i="63"/>
  <c r="BN145" i="63"/>
  <c r="BJ145" i="63"/>
  <c r="BP145" i="63"/>
  <c r="BL145" i="63"/>
  <c r="BH145" i="63"/>
  <c r="BK145" i="63"/>
  <c r="BQ145" i="63"/>
  <c r="BI145" i="63"/>
  <c r="BO145" i="63"/>
  <c r="BM145" i="63"/>
  <c r="CE125" i="63"/>
  <c r="CA125" i="63"/>
  <c r="BW125" i="63"/>
  <c r="CC125" i="63"/>
  <c r="BY125" i="63"/>
  <c r="BU125" i="63"/>
  <c r="CB125" i="63"/>
  <c r="BT125" i="63"/>
  <c r="CG125" i="63" s="1"/>
  <c r="BZ125" i="63"/>
  <c r="BX125" i="63"/>
  <c r="CD125" i="63"/>
  <c r="BV125" i="63"/>
  <c r="CC115" i="63"/>
  <c r="BY115" i="63"/>
  <c r="BU115" i="63"/>
  <c r="CB115" i="63"/>
  <c r="BX115" i="63"/>
  <c r="CE115" i="63"/>
  <c r="CA115" i="63"/>
  <c r="BW115" i="63"/>
  <c r="CD115" i="63"/>
  <c r="BZ115" i="63"/>
  <c r="BV115" i="63"/>
  <c r="CC107" i="63"/>
  <c r="BY107" i="63"/>
  <c r="BU107" i="63"/>
  <c r="CB107" i="63"/>
  <c r="BX107" i="63"/>
  <c r="CE107" i="63"/>
  <c r="CA107" i="63"/>
  <c r="BW107" i="63"/>
  <c r="CD107" i="63"/>
  <c r="BZ107" i="63"/>
  <c r="BV107" i="63"/>
  <c r="BR149" i="63"/>
  <c r="BN149" i="63"/>
  <c r="BJ149" i="63"/>
  <c r="BP149" i="63"/>
  <c r="BL149" i="63"/>
  <c r="BH149" i="63"/>
  <c r="BK149" i="63"/>
  <c r="BQ149" i="63"/>
  <c r="BI149" i="63"/>
  <c r="BO149" i="63"/>
  <c r="BM149" i="63"/>
  <c r="BP109" i="63"/>
  <c r="BL109" i="63"/>
  <c r="BH109" i="63"/>
  <c r="BO109" i="63"/>
  <c r="BK109" i="63"/>
  <c r="BR109" i="63"/>
  <c r="BN109" i="63"/>
  <c r="BJ109" i="63"/>
  <c r="BQ109" i="63"/>
  <c r="BM109" i="63"/>
  <c r="BI109" i="63"/>
  <c r="CC97" i="63"/>
  <c r="BY97" i="63"/>
  <c r="BU97" i="63"/>
  <c r="CB97" i="63"/>
  <c r="BX97" i="63"/>
  <c r="CE97" i="63"/>
  <c r="BW97" i="63"/>
  <c r="CD97" i="63"/>
  <c r="BV97" i="63"/>
  <c r="CA97" i="63"/>
  <c r="BZ97" i="63"/>
  <c r="BP119" i="63"/>
  <c r="BL119" i="63"/>
  <c r="BH119" i="63"/>
  <c r="BO119" i="63"/>
  <c r="BK119" i="63"/>
  <c r="BR119" i="63"/>
  <c r="BN119" i="63"/>
  <c r="BJ119" i="63"/>
  <c r="BI119" i="63"/>
  <c r="BQ119" i="63"/>
  <c r="BM119" i="63"/>
  <c r="CE102" i="63"/>
  <c r="CA102" i="63"/>
  <c r="BW102" i="63"/>
  <c r="CD102" i="63"/>
  <c r="BZ102" i="63"/>
  <c r="BV102" i="63"/>
  <c r="BY102" i="63"/>
  <c r="BX102" i="63"/>
  <c r="CC102" i="63"/>
  <c r="BU102" i="63"/>
  <c r="CB102" i="63"/>
  <c r="BT102" i="63"/>
  <c r="BP97" i="63"/>
  <c r="BL97" i="63"/>
  <c r="BH97" i="63"/>
  <c r="BO97" i="63"/>
  <c r="BK97" i="63"/>
  <c r="BN97" i="63"/>
  <c r="BM97" i="63"/>
  <c r="BR97" i="63"/>
  <c r="BJ97" i="63"/>
  <c r="CJ97" i="63" s="1"/>
  <c r="BQ97" i="63"/>
  <c r="BI97" i="63"/>
  <c r="CI97" i="63" s="1"/>
  <c r="BT115" i="63"/>
  <c r="CG115" i="63" s="1"/>
  <c r="CE110" i="63"/>
  <c r="CA110" i="63"/>
  <c r="BW110" i="63"/>
  <c r="CD110" i="63"/>
  <c r="BZ110" i="63"/>
  <c r="BV110" i="63"/>
  <c r="CC110" i="63"/>
  <c r="BY110" i="63"/>
  <c r="BU110" i="63"/>
  <c r="CB110" i="63"/>
  <c r="BX110" i="63"/>
  <c r="BT110" i="63"/>
  <c r="CC99" i="63"/>
  <c r="BY99" i="63"/>
  <c r="BU99" i="63"/>
  <c r="CB99" i="63"/>
  <c r="BX99" i="63"/>
  <c r="CA99" i="63"/>
  <c r="BZ99" i="63"/>
  <c r="CE99" i="63"/>
  <c r="BW99" i="63"/>
  <c r="CD99" i="63"/>
  <c r="BV99" i="63"/>
  <c r="CB93" i="63"/>
  <c r="BX93" i="63"/>
  <c r="CE93" i="63"/>
  <c r="CA93" i="63"/>
  <c r="BW93" i="63"/>
  <c r="CD93" i="63"/>
  <c r="BZ93" i="63"/>
  <c r="BV93" i="63"/>
  <c r="CC93" i="63"/>
  <c r="BY93" i="63"/>
  <c r="BU93" i="63"/>
  <c r="BR100" i="63"/>
  <c r="CR100" i="63" s="1"/>
  <c r="BN100" i="63"/>
  <c r="BJ100" i="63"/>
  <c r="BQ100" i="63"/>
  <c r="BM100" i="63"/>
  <c r="BI100" i="63"/>
  <c r="CI100" i="63" s="1"/>
  <c r="BL100" i="63"/>
  <c r="BK100" i="63"/>
  <c r="BP100" i="63"/>
  <c r="BH100" i="63"/>
  <c r="BO100" i="63"/>
  <c r="CO100" i="63" s="1"/>
  <c r="BG100" i="63"/>
  <c r="BR96" i="63"/>
  <c r="BN96" i="63"/>
  <c r="BJ96" i="63"/>
  <c r="BQ96" i="63"/>
  <c r="BM96" i="63"/>
  <c r="BI96" i="63"/>
  <c r="BL96" i="63"/>
  <c r="BK96" i="63"/>
  <c r="BP96" i="63"/>
  <c r="BH96" i="63"/>
  <c r="BO96" i="63"/>
  <c r="BG96" i="63"/>
  <c r="BO93" i="63"/>
  <c r="BK93" i="63"/>
  <c r="BR93" i="63"/>
  <c r="BN93" i="63"/>
  <c r="BJ93" i="63"/>
  <c r="BQ93" i="63"/>
  <c r="BM93" i="63"/>
  <c r="BI93" i="63"/>
  <c r="BP93" i="63"/>
  <c r="BL93" i="63"/>
  <c r="BH93" i="63"/>
  <c r="CD86" i="63"/>
  <c r="BZ86" i="63"/>
  <c r="BV86" i="63"/>
  <c r="CI86" i="63" s="1"/>
  <c r="CC86" i="63"/>
  <c r="BY86" i="63"/>
  <c r="BU86" i="63"/>
  <c r="CB86" i="63"/>
  <c r="BX86" i="63"/>
  <c r="CE86" i="63"/>
  <c r="CA86" i="63"/>
  <c r="BW86" i="63"/>
  <c r="CD79" i="63"/>
  <c r="CQ79" i="63" s="1"/>
  <c r="BZ79" i="63"/>
  <c r="BV79" i="63"/>
  <c r="CC79" i="63"/>
  <c r="BY79" i="63"/>
  <c r="BU79" i="63"/>
  <c r="CB79" i="63"/>
  <c r="BX79" i="63"/>
  <c r="CE79" i="63"/>
  <c r="CA79" i="63"/>
  <c r="BW79" i="63"/>
  <c r="CD71" i="63"/>
  <c r="BZ71" i="63"/>
  <c r="BV71" i="63"/>
  <c r="CC71" i="63"/>
  <c r="BY71" i="63"/>
  <c r="BU71" i="63"/>
  <c r="CB71" i="63"/>
  <c r="BX71" i="63"/>
  <c r="CE71" i="63"/>
  <c r="CR71" i="63" s="1"/>
  <c r="CA71" i="63"/>
  <c r="BW71" i="63"/>
  <c r="CD63" i="63"/>
  <c r="BZ63" i="63"/>
  <c r="BV63" i="63"/>
  <c r="CC63" i="63"/>
  <c r="BY63" i="63"/>
  <c r="BU63" i="63"/>
  <c r="CB63" i="63"/>
  <c r="BX63" i="63"/>
  <c r="CE63" i="63"/>
  <c r="CA63" i="63"/>
  <c r="BW63" i="63"/>
  <c r="CD53" i="63"/>
  <c r="BZ53" i="63"/>
  <c r="BV53" i="63"/>
  <c r="CC53" i="63"/>
  <c r="BY53" i="63"/>
  <c r="BU53" i="63"/>
  <c r="CB53" i="63"/>
  <c r="CO53" i="63" s="1"/>
  <c r="BX53" i="63"/>
  <c r="CE53" i="63"/>
  <c r="CA53" i="63"/>
  <c r="BW53" i="63"/>
  <c r="CC46" i="63"/>
  <c r="BY46" i="63"/>
  <c r="BU46" i="63"/>
  <c r="CB46" i="63"/>
  <c r="BX46" i="63"/>
  <c r="CE46" i="63"/>
  <c r="CA46" i="63"/>
  <c r="BW46" i="63"/>
  <c r="CD46" i="63"/>
  <c r="BZ46" i="63"/>
  <c r="BV46" i="63"/>
  <c r="CC38" i="63"/>
  <c r="BY38" i="63"/>
  <c r="BU38" i="63"/>
  <c r="CB38" i="63"/>
  <c r="BX38" i="63"/>
  <c r="CE38" i="63"/>
  <c r="CA38" i="63"/>
  <c r="BW38" i="63"/>
  <c r="CD38" i="63"/>
  <c r="BZ38" i="63"/>
  <c r="BV38" i="63"/>
  <c r="CC26" i="63"/>
  <c r="BY26" i="63"/>
  <c r="BU26" i="63"/>
  <c r="CB26" i="63"/>
  <c r="BX26" i="63"/>
  <c r="CE26" i="63"/>
  <c r="CA26" i="63"/>
  <c r="BW26" i="63"/>
  <c r="CD26" i="63"/>
  <c r="BZ26" i="63"/>
  <c r="BV26" i="63"/>
  <c r="CC18" i="63"/>
  <c r="BY18" i="63"/>
  <c r="BU18" i="63"/>
  <c r="CB18" i="63"/>
  <c r="BX18" i="63"/>
  <c r="CE18" i="63"/>
  <c r="CA18" i="63"/>
  <c r="BW18" i="63"/>
  <c r="CD18" i="63"/>
  <c r="BZ18" i="63"/>
  <c r="BV18" i="63"/>
  <c r="BP44" i="63"/>
  <c r="BL44" i="63"/>
  <c r="BH44" i="63"/>
  <c r="BO44" i="63"/>
  <c r="BK44" i="63"/>
  <c r="BR44" i="63"/>
  <c r="BN44" i="63"/>
  <c r="BJ44" i="63"/>
  <c r="BQ44" i="63"/>
  <c r="BM44" i="63"/>
  <c r="BI44" i="63"/>
  <c r="BP36" i="63"/>
  <c r="BL36" i="63"/>
  <c r="BH36" i="63"/>
  <c r="BO36" i="63"/>
  <c r="BK36" i="63"/>
  <c r="BR36" i="63"/>
  <c r="BN36" i="63"/>
  <c r="BJ36" i="63"/>
  <c r="BQ36" i="63"/>
  <c r="BM36" i="63"/>
  <c r="BI36" i="63"/>
  <c r="BP28" i="63"/>
  <c r="BL28" i="63"/>
  <c r="BH28" i="63"/>
  <c r="BO28" i="63"/>
  <c r="BK28" i="63"/>
  <c r="BR28" i="63"/>
  <c r="BN28" i="63"/>
  <c r="BJ28" i="63"/>
  <c r="BQ28" i="63"/>
  <c r="BM28" i="63"/>
  <c r="BI28" i="63"/>
  <c r="BP20" i="63"/>
  <c r="BL20" i="63"/>
  <c r="BH20" i="63"/>
  <c r="BO20" i="63"/>
  <c r="BK20" i="63"/>
  <c r="BR20" i="63"/>
  <c r="BN20" i="63"/>
  <c r="BJ20" i="63"/>
  <c r="BQ20" i="63"/>
  <c r="BM20" i="63"/>
  <c r="BI20" i="63"/>
  <c r="BP12" i="63"/>
  <c r="BL12" i="63"/>
  <c r="BH12" i="63"/>
  <c r="BO12" i="63"/>
  <c r="BK12" i="63"/>
  <c r="BR12" i="63"/>
  <c r="BN12" i="63"/>
  <c r="BJ12" i="63"/>
  <c r="BQ12" i="63"/>
  <c r="BM12" i="63"/>
  <c r="BI12" i="63"/>
  <c r="BT46" i="63"/>
  <c r="BT38" i="63"/>
  <c r="G154" i="62"/>
  <c r="G152" i="62"/>
  <c r="G150" i="62"/>
  <c r="G148" i="62"/>
  <c r="G146" i="62"/>
  <c r="G144" i="62"/>
  <c r="G153" i="62"/>
  <c r="G151" i="62"/>
  <c r="G149" i="62"/>
  <c r="G147" i="62"/>
  <c r="G145" i="62"/>
  <c r="G143" i="62"/>
  <c r="H123" i="62"/>
  <c r="H121" i="62"/>
  <c r="H119" i="62"/>
  <c r="H117" i="62"/>
  <c r="H115" i="62"/>
  <c r="H113" i="62"/>
  <c r="H122" i="62"/>
  <c r="H120" i="62"/>
  <c r="H118" i="62"/>
  <c r="H116" i="62"/>
  <c r="H114" i="62"/>
  <c r="H112" i="62"/>
  <c r="F29" i="62"/>
  <c r="F21" i="62"/>
  <c r="F27" i="62"/>
  <c r="F25" i="62"/>
  <c r="F30" i="62"/>
  <c r="F28" i="62"/>
  <c r="F26" i="62"/>
  <c r="F24" i="62"/>
  <c r="F22" i="62"/>
  <c r="F20" i="62"/>
  <c r="F23" i="62"/>
  <c r="CE179" i="63"/>
  <c r="CA179" i="63"/>
  <c r="BW179" i="63"/>
  <c r="CC179" i="63"/>
  <c r="BY179" i="63"/>
  <c r="BU179" i="63"/>
  <c r="BX179" i="63"/>
  <c r="CD179" i="63"/>
  <c r="BV179" i="63"/>
  <c r="CB179" i="63"/>
  <c r="BT179" i="63"/>
  <c r="CG179" i="63" s="1"/>
  <c r="BZ179" i="63"/>
  <c r="BP175" i="63"/>
  <c r="BL175" i="63"/>
  <c r="BH175" i="63"/>
  <c r="BO175" i="63"/>
  <c r="BK175" i="63"/>
  <c r="BR175" i="63"/>
  <c r="BN175" i="63"/>
  <c r="CN175" i="63" s="1"/>
  <c r="BJ175" i="63"/>
  <c r="BQ175" i="63"/>
  <c r="BM175" i="63"/>
  <c r="BI175" i="63"/>
  <c r="BR176" i="63"/>
  <c r="BN176" i="63"/>
  <c r="BJ176" i="63"/>
  <c r="BQ176" i="63"/>
  <c r="BM176" i="63"/>
  <c r="BI176" i="63"/>
  <c r="BP176" i="63"/>
  <c r="BL176" i="63"/>
  <c r="BH176" i="63"/>
  <c r="BO176" i="63"/>
  <c r="BK176" i="63"/>
  <c r="BG176" i="63"/>
  <c r="BR162" i="63"/>
  <c r="BN162" i="63"/>
  <c r="BJ162" i="63"/>
  <c r="BP162" i="63"/>
  <c r="BL162" i="63"/>
  <c r="BH162" i="63"/>
  <c r="BO162" i="63"/>
  <c r="BM162" i="63"/>
  <c r="BK162" i="63"/>
  <c r="BI162" i="63"/>
  <c r="BQ162" i="63"/>
  <c r="BR158" i="63"/>
  <c r="BN158" i="63"/>
  <c r="BJ158" i="63"/>
  <c r="BP158" i="63"/>
  <c r="BL158" i="63"/>
  <c r="BH158" i="63"/>
  <c r="BO158" i="63"/>
  <c r="BM158" i="63"/>
  <c r="BK158" i="63"/>
  <c r="BQ158" i="63"/>
  <c r="BI158" i="63"/>
  <c r="BP154" i="63"/>
  <c r="CP154" i="63" s="1"/>
  <c r="BL154" i="63"/>
  <c r="BH154" i="63"/>
  <c r="BO154" i="63"/>
  <c r="BK154" i="63"/>
  <c r="BR154" i="63"/>
  <c r="BN154" i="63"/>
  <c r="BJ154" i="63"/>
  <c r="BQ154" i="63"/>
  <c r="CQ154" i="63" s="1"/>
  <c r="BM154" i="63"/>
  <c r="CM154" i="63" s="1"/>
  <c r="BI154" i="63"/>
  <c r="CE147" i="63"/>
  <c r="CA147" i="63"/>
  <c r="BW147" i="63"/>
  <c r="CC147" i="63"/>
  <c r="BY147" i="63"/>
  <c r="BU147" i="63"/>
  <c r="BX147" i="63"/>
  <c r="CD147" i="63"/>
  <c r="BV147" i="63"/>
  <c r="CB147" i="63"/>
  <c r="BT147" i="63"/>
  <c r="CG147" i="63" s="1"/>
  <c r="BZ147" i="63"/>
  <c r="CE149" i="63"/>
  <c r="CA149" i="63"/>
  <c r="BW149" i="63"/>
  <c r="CC149" i="63"/>
  <c r="BY149" i="63"/>
  <c r="BU149" i="63"/>
  <c r="CB149" i="63"/>
  <c r="BT149" i="63"/>
  <c r="CG149" i="63" s="1"/>
  <c r="BZ149" i="63"/>
  <c r="BX149" i="63"/>
  <c r="CD149" i="63"/>
  <c r="BV149" i="63"/>
  <c r="CC134" i="63"/>
  <c r="BY134" i="63"/>
  <c r="BU134" i="63"/>
  <c r="CB134" i="63"/>
  <c r="BX134" i="63"/>
  <c r="BT134" i="63"/>
  <c r="CG134" i="63" s="1"/>
  <c r="CE134" i="63"/>
  <c r="CA134" i="63"/>
  <c r="BW134" i="63"/>
  <c r="BZ134" i="63"/>
  <c r="BV134" i="63"/>
  <c r="CD134" i="63"/>
  <c r="BR139" i="63"/>
  <c r="BN139" i="63"/>
  <c r="BJ139" i="63"/>
  <c r="BQ139" i="63"/>
  <c r="CQ139" i="63" s="1"/>
  <c r="BM139" i="63"/>
  <c r="CM139" i="63" s="1"/>
  <c r="BI139" i="63"/>
  <c r="CI139" i="63" s="1"/>
  <c r="BP139" i="63"/>
  <c r="BL139" i="63"/>
  <c r="BH139" i="63"/>
  <c r="BK139" i="63"/>
  <c r="BG139" i="63"/>
  <c r="CG139" i="63" s="1"/>
  <c r="BO139" i="63"/>
  <c r="CC128" i="63"/>
  <c r="BY128" i="63"/>
  <c r="BU128" i="63"/>
  <c r="CE128" i="63"/>
  <c r="CA128" i="63"/>
  <c r="BW128" i="63"/>
  <c r="BZ128" i="63"/>
  <c r="BX128" i="63"/>
  <c r="CD128" i="63"/>
  <c r="BV128" i="63"/>
  <c r="CB128" i="63"/>
  <c r="BT128" i="63"/>
  <c r="CG128" i="63" s="1"/>
  <c r="CE129" i="63"/>
  <c r="CA129" i="63"/>
  <c r="BW129" i="63"/>
  <c r="CC129" i="63"/>
  <c r="BY129" i="63"/>
  <c r="BU129" i="63"/>
  <c r="CB129" i="63"/>
  <c r="BT129" i="63"/>
  <c r="CG129" i="63" s="1"/>
  <c r="BZ129" i="63"/>
  <c r="BX129" i="63"/>
  <c r="CD129" i="63"/>
  <c r="BV129" i="63"/>
  <c r="CC123" i="63"/>
  <c r="BY123" i="63"/>
  <c r="BU123" i="63"/>
  <c r="CB123" i="63"/>
  <c r="BX123" i="63"/>
  <c r="CE123" i="63"/>
  <c r="CA123" i="63"/>
  <c r="BW123" i="63"/>
  <c r="CD123" i="63"/>
  <c r="BZ123" i="63"/>
  <c r="BV123" i="63"/>
  <c r="CC113" i="63"/>
  <c r="BY113" i="63"/>
  <c r="BU113" i="63"/>
  <c r="CB113" i="63"/>
  <c r="BX113" i="63"/>
  <c r="CE113" i="63"/>
  <c r="CA113" i="63"/>
  <c r="BW113" i="63"/>
  <c r="CD113" i="63"/>
  <c r="BZ113" i="63"/>
  <c r="BV113" i="63"/>
  <c r="CC105" i="63"/>
  <c r="BY105" i="63"/>
  <c r="BU105" i="63"/>
  <c r="CB105" i="63"/>
  <c r="BX105" i="63"/>
  <c r="CE105" i="63"/>
  <c r="CA105" i="63"/>
  <c r="BW105" i="63"/>
  <c r="CD105" i="63"/>
  <c r="BZ105" i="63"/>
  <c r="BV105" i="63"/>
  <c r="BP138" i="63"/>
  <c r="BL138" i="63"/>
  <c r="BH138" i="63"/>
  <c r="BO138" i="63"/>
  <c r="BK138" i="63"/>
  <c r="BR138" i="63"/>
  <c r="BN138" i="63"/>
  <c r="BJ138" i="63"/>
  <c r="BQ138" i="63"/>
  <c r="BM138" i="63"/>
  <c r="BI138" i="63"/>
  <c r="BR129" i="63"/>
  <c r="CR129" i="63" s="1"/>
  <c r="BN129" i="63"/>
  <c r="CN129" i="63" s="1"/>
  <c r="BJ129" i="63"/>
  <c r="CJ129" i="63" s="1"/>
  <c r="BP129" i="63"/>
  <c r="CP129" i="63" s="1"/>
  <c r="BL129" i="63"/>
  <c r="CL129" i="63" s="1"/>
  <c r="BH129" i="63"/>
  <c r="CH129" i="63" s="1"/>
  <c r="BK129" i="63"/>
  <c r="BQ129" i="63"/>
  <c r="BI129" i="63"/>
  <c r="BO129" i="63"/>
  <c r="BM129" i="63"/>
  <c r="BR125" i="63"/>
  <c r="BN125" i="63"/>
  <c r="BJ125" i="63"/>
  <c r="BP125" i="63"/>
  <c r="BL125" i="63"/>
  <c r="BH125" i="63"/>
  <c r="BK125" i="63"/>
  <c r="BQ125" i="63"/>
  <c r="BI125" i="63"/>
  <c r="BO125" i="63"/>
  <c r="BM125" i="63"/>
  <c r="BP117" i="63"/>
  <c r="BL117" i="63"/>
  <c r="BH117" i="63"/>
  <c r="BO117" i="63"/>
  <c r="BK117" i="63"/>
  <c r="BR117" i="63"/>
  <c r="BN117" i="63"/>
  <c r="BJ117" i="63"/>
  <c r="BQ117" i="63"/>
  <c r="BM117" i="63"/>
  <c r="BI117" i="63"/>
  <c r="BT113" i="63"/>
  <c r="CG113" i="63" s="1"/>
  <c r="CE108" i="63"/>
  <c r="CR108" i="63" s="1"/>
  <c r="CA108" i="63"/>
  <c r="BW108" i="63"/>
  <c r="CD108" i="63"/>
  <c r="BZ108" i="63"/>
  <c r="BV108" i="63"/>
  <c r="CC108" i="63"/>
  <c r="BY108" i="63"/>
  <c r="BU108" i="63"/>
  <c r="CB108" i="63"/>
  <c r="BX108" i="63"/>
  <c r="BT108" i="63"/>
  <c r="BR102" i="63"/>
  <c r="BN102" i="63"/>
  <c r="BJ102" i="63"/>
  <c r="BQ102" i="63"/>
  <c r="BM102" i="63"/>
  <c r="BI102" i="63"/>
  <c r="BP102" i="63"/>
  <c r="BH102" i="63"/>
  <c r="BO102" i="63"/>
  <c r="BG102" i="63"/>
  <c r="BL102" i="63"/>
  <c r="BK102" i="63"/>
  <c r="BP113" i="63"/>
  <c r="BL113" i="63"/>
  <c r="BH113" i="63"/>
  <c r="BO113" i="63"/>
  <c r="BK113" i="63"/>
  <c r="BR113" i="63"/>
  <c r="BN113" i="63"/>
  <c r="BJ113" i="63"/>
  <c r="BM113" i="63"/>
  <c r="BI113" i="63"/>
  <c r="BQ113" i="63"/>
  <c r="BR110" i="63"/>
  <c r="BN110" i="63"/>
  <c r="BJ110" i="63"/>
  <c r="BQ110" i="63"/>
  <c r="BM110" i="63"/>
  <c r="BI110" i="63"/>
  <c r="BP110" i="63"/>
  <c r="BL110" i="63"/>
  <c r="BH110" i="63"/>
  <c r="BO110" i="63"/>
  <c r="BK110" i="63"/>
  <c r="BG110" i="63"/>
  <c r="CC103" i="63"/>
  <c r="BY103" i="63"/>
  <c r="BU103" i="63"/>
  <c r="CB103" i="63"/>
  <c r="BX103" i="63"/>
  <c r="CA103" i="63"/>
  <c r="BZ103" i="63"/>
  <c r="CE103" i="63"/>
  <c r="BW103" i="63"/>
  <c r="CD103" i="63"/>
  <c r="BV103" i="63"/>
  <c r="CB89" i="63"/>
  <c r="BX89" i="63"/>
  <c r="CE89" i="63"/>
  <c r="CA89" i="63"/>
  <c r="BW89" i="63"/>
  <c r="CD89" i="63"/>
  <c r="BZ89" i="63"/>
  <c r="BV89" i="63"/>
  <c r="CC89" i="63"/>
  <c r="BY89" i="63"/>
  <c r="BU89" i="63"/>
  <c r="BP115" i="63"/>
  <c r="BL115" i="63"/>
  <c r="BH115" i="63"/>
  <c r="BO115" i="63"/>
  <c r="BK115" i="63"/>
  <c r="BR115" i="63"/>
  <c r="BN115" i="63"/>
  <c r="BJ115" i="63"/>
  <c r="BQ115" i="63"/>
  <c r="BM115" i="63"/>
  <c r="BI115" i="63"/>
  <c r="BP107" i="63"/>
  <c r="BL107" i="63"/>
  <c r="BH107" i="63"/>
  <c r="BO107" i="63"/>
  <c r="BK107" i="63"/>
  <c r="BR107" i="63"/>
  <c r="BN107" i="63"/>
  <c r="BJ107" i="63"/>
  <c r="BQ107" i="63"/>
  <c r="BM107" i="63"/>
  <c r="BI107" i="63"/>
  <c r="CE104" i="63"/>
  <c r="CA104" i="63"/>
  <c r="BW104" i="63"/>
  <c r="CD104" i="63"/>
  <c r="BZ104" i="63"/>
  <c r="BV104" i="63"/>
  <c r="CC104" i="63"/>
  <c r="BU104" i="63"/>
  <c r="CB104" i="63"/>
  <c r="BT104" i="63"/>
  <c r="BY104" i="63"/>
  <c r="BX104" i="63"/>
  <c r="BP99" i="63"/>
  <c r="BL99" i="63"/>
  <c r="BH99" i="63"/>
  <c r="BO99" i="63"/>
  <c r="BK99" i="63"/>
  <c r="BR99" i="63"/>
  <c r="BJ99" i="63"/>
  <c r="BQ99" i="63"/>
  <c r="BI99" i="63"/>
  <c r="BN99" i="63"/>
  <c r="BM99" i="63"/>
  <c r="BP95" i="63"/>
  <c r="BL95" i="63"/>
  <c r="BH95" i="63"/>
  <c r="BO95" i="63"/>
  <c r="BK95" i="63"/>
  <c r="BQ95" i="63"/>
  <c r="BI95" i="63"/>
  <c r="BN95" i="63"/>
  <c r="BM95" i="63"/>
  <c r="BR95" i="63"/>
  <c r="BJ95" i="63"/>
  <c r="BO89" i="63"/>
  <c r="BK89" i="63"/>
  <c r="BR89" i="63"/>
  <c r="BN89" i="63"/>
  <c r="BJ89" i="63"/>
  <c r="BQ89" i="63"/>
  <c r="BM89" i="63"/>
  <c r="BI89" i="63"/>
  <c r="BL89" i="63"/>
  <c r="BH89" i="63"/>
  <c r="BP89" i="63"/>
  <c r="BO85" i="63"/>
  <c r="BK85" i="63"/>
  <c r="BR85" i="63"/>
  <c r="BN85" i="63"/>
  <c r="BJ85" i="63"/>
  <c r="BQ85" i="63"/>
  <c r="BM85" i="63"/>
  <c r="BI85" i="63"/>
  <c r="BP85" i="63"/>
  <c r="BL85" i="63"/>
  <c r="BH85" i="63"/>
  <c r="BQ94" i="63"/>
  <c r="BM94" i="63"/>
  <c r="BI94" i="63"/>
  <c r="BP94" i="63"/>
  <c r="BL94" i="63"/>
  <c r="BH94" i="63"/>
  <c r="BO94" i="63"/>
  <c r="BK94" i="63"/>
  <c r="BJ94" i="63"/>
  <c r="BR94" i="63"/>
  <c r="BN94" i="63"/>
  <c r="BT93" i="63"/>
  <c r="CG93" i="63" s="1"/>
  <c r="BG85" i="63"/>
  <c r="CG85" i="63" s="1"/>
  <c r="CD77" i="63"/>
  <c r="BZ77" i="63"/>
  <c r="BV77" i="63"/>
  <c r="CC77" i="63"/>
  <c r="BY77" i="63"/>
  <c r="BU77" i="63"/>
  <c r="CH77" i="63" s="1"/>
  <c r="CB77" i="63"/>
  <c r="BX77" i="63"/>
  <c r="CE77" i="63"/>
  <c r="CA77" i="63"/>
  <c r="CN77" i="63" s="1"/>
  <c r="BW77" i="63"/>
  <c r="CD69" i="63"/>
  <c r="BZ69" i="63"/>
  <c r="BV69" i="63"/>
  <c r="CC69" i="63"/>
  <c r="BY69" i="63"/>
  <c r="BU69" i="63"/>
  <c r="CB69" i="63"/>
  <c r="BX69" i="63"/>
  <c r="CK69" i="63" s="1"/>
  <c r="CE69" i="63"/>
  <c r="CA69" i="63"/>
  <c r="BW69" i="63"/>
  <c r="CD59" i="63"/>
  <c r="BZ59" i="63"/>
  <c r="BV59" i="63"/>
  <c r="CI59" i="63" s="1"/>
  <c r="CC59" i="63"/>
  <c r="BY59" i="63"/>
  <c r="BU59" i="63"/>
  <c r="CB59" i="63"/>
  <c r="BX59" i="63"/>
  <c r="CE59" i="63"/>
  <c r="CA59" i="63"/>
  <c r="BW59" i="63"/>
  <c r="CD51" i="63"/>
  <c r="BZ51" i="63"/>
  <c r="BV51" i="63"/>
  <c r="CC51" i="63"/>
  <c r="CP51" i="63" s="1"/>
  <c r="BY51" i="63"/>
  <c r="BU51" i="63"/>
  <c r="CB51" i="63"/>
  <c r="BX51" i="63"/>
  <c r="CE51" i="63"/>
  <c r="CA51" i="63"/>
  <c r="BW51" i="63"/>
  <c r="BT79" i="63"/>
  <c r="BT77" i="63"/>
  <c r="BT71" i="63"/>
  <c r="BT69" i="63"/>
  <c r="BT63" i="63"/>
  <c r="CG63" i="63" s="1"/>
  <c r="CC44" i="63"/>
  <c r="BY44" i="63"/>
  <c r="BU44" i="63"/>
  <c r="CB44" i="63"/>
  <c r="BX44" i="63"/>
  <c r="CE44" i="63"/>
  <c r="CA44" i="63"/>
  <c r="BW44" i="63"/>
  <c r="CD44" i="63"/>
  <c r="BZ44" i="63"/>
  <c r="BV44" i="63"/>
  <c r="CC36" i="63"/>
  <c r="BY36" i="63"/>
  <c r="BU36" i="63"/>
  <c r="CB36" i="63"/>
  <c r="BX36" i="63"/>
  <c r="CE36" i="63"/>
  <c r="CA36" i="63"/>
  <c r="BW36" i="63"/>
  <c r="CD36" i="63"/>
  <c r="BZ36" i="63"/>
  <c r="BV36" i="63"/>
  <c r="CC24" i="63"/>
  <c r="BY24" i="63"/>
  <c r="BU24" i="63"/>
  <c r="CB24" i="63"/>
  <c r="BX24" i="63"/>
  <c r="CE24" i="63"/>
  <c r="CA24" i="63"/>
  <c r="BW24" i="63"/>
  <c r="CD24" i="63"/>
  <c r="BZ24" i="63"/>
  <c r="BV24" i="63"/>
  <c r="CC16" i="63"/>
  <c r="BY16" i="63"/>
  <c r="BU16" i="63"/>
  <c r="CB16" i="63"/>
  <c r="BX16" i="63"/>
  <c r="CE16" i="63"/>
  <c r="CA16" i="63"/>
  <c r="BW16" i="63"/>
  <c r="CD16" i="63"/>
  <c r="BZ16" i="63"/>
  <c r="BV16" i="63"/>
  <c r="BP46" i="63"/>
  <c r="BL46" i="63"/>
  <c r="BH46" i="63"/>
  <c r="BO46" i="63"/>
  <c r="BK46" i="63"/>
  <c r="BR46" i="63"/>
  <c r="BN46" i="63"/>
  <c r="BJ46" i="63"/>
  <c r="BQ46" i="63"/>
  <c r="BM46" i="63"/>
  <c r="BI46" i="63"/>
  <c r="BP38" i="63"/>
  <c r="BL38" i="63"/>
  <c r="BH38" i="63"/>
  <c r="BO38" i="63"/>
  <c r="BK38" i="63"/>
  <c r="BR38" i="63"/>
  <c r="BN38" i="63"/>
  <c r="BJ38" i="63"/>
  <c r="BQ38" i="63"/>
  <c r="BM38" i="63"/>
  <c r="BI38" i="63"/>
  <c r="BP22" i="63"/>
  <c r="BL22" i="63"/>
  <c r="BH22" i="63"/>
  <c r="BO22" i="63"/>
  <c r="BK22" i="63"/>
  <c r="BR22" i="63"/>
  <c r="BN22" i="63"/>
  <c r="BJ22" i="63"/>
  <c r="BQ22" i="63"/>
  <c r="BM22" i="63"/>
  <c r="BI22" i="63"/>
  <c r="BP14" i="63"/>
  <c r="BL14" i="63"/>
  <c r="BH14" i="63"/>
  <c r="BO14" i="63"/>
  <c r="BK14" i="63"/>
  <c r="BR14" i="63"/>
  <c r="BN14" i="63"/>
  <c r="BJ14" i="63"/>
  <c r="BQ14" i="63"/>
  <c r="BM14" i="63"/>
  <c r="BI14" i="63"/>
  <c r="BG46" i="63"/>
  <c r="BG44" i="63"/>
  <c r="CG44" i="63" s="1"/>
  <c r="BG38" i="63"/>
  <c r="BG36" i="63"/>
  <c r="CG36" i="63" s="1"/>
  <c r="CE11" i="63"/>
  <c r="CA11" i="63"/>
  <c r="BW11" i="63"/>
  <c r="CD11" i="63"/>
  <c r="BZ11" i="63"/>
  <c r="BV11" i="63"/>
  <c r="CC11" i="63"/>
  <c r="BY11" i="63"/>
  <c r="BU11" i="63"/>
  <c r="CB11" i="63"/>
  <c r="BX11" i="63"/>
  <c r="BT26" i="63"/>
  <c r="CG26" i="63" s="1"/>
  <c r="BT24" i="63"/>
  <c r="BT18" i="63"/>
  <c r="CG18" i="63" s="1"/>
  <c r="BT16" i="63"/>
  <c r="H153" i="62"/>
  <c r="H151" i="62"/>
  <c r="H149" i="62"/>
  <c r="H147" i="62"/>
  <c r="H145" i="62"/>
  <c r="H143" i="62"/>
  <c r="H154" i="62"/>
  <c r="H152" i="62"/>
  <c r="H150" i="62"/>
  <c r="H148" i="62"/>
  <c r="H146" i="62"/>
  <c r="H144" i="62"/>
  <c r="E122" i="62"/>
  <c r="E120" i="62"/>
  <c r="E118" i="62"/>
  <c r="E116" i="62"/>
  <c r="E114" i="62"/>
  <c r="E112" i="62"/>
  <c r="E123" i="62"/>
  <c r="E121" i="62"/>
  <c r="E119" i="62"/>
  <c r="E117" i="62"/>
  <c r="E115" i="62"/>
  <c r="E113" i="62"/>
  <c r="G30" i="62"/>
  <c r="G28" i="62"/>
  <c r="G26" i="62"/>
  <c r="G24" i="62"/>
  <c r="G22" i="62"/>
  <c r="G20" i="62"/>
  <c r="G29" i="62"/>
  <c r="G27" i="62"/>
  <c r="G25" i="62"/>
  <c r="G23" i="62"/>
  <c r="G21" i="62"/>
  <c r="CE168" i="63"/>
  <c r="CA168" i="63"/>
  <c r="BW168" i="63"/>
  <c r="CC168" i="63"/>
  <c r="BY168" i="63"/>
  <c r="BU168" i="63"/>
  <c r="BX168" i="63"/>
  <c r="CD168" i="63"/>
  <c r="BV168" i="63"/>
  <c r="CB168" i="63"/>
  <c r="BZ168" i="63"/>
  <c r="CE174" i="63"/>
  <c r="CA174" i="63"/>
  <c r="BW174" i="63"/>
  <c r="CD174" i="63"/>
  <c r="CC174" i="63"/>
  <c r="BY174" i="63"/>
  <c r="BU174" i="63"/>
  <c r="CB174" i="63"/>
  <c r="BT174" i="63"/>
  <c r="CG174" i="63" s="1"/>
  <c r="BZ174" i="63"/>
  <c r="BX174" i="63"/>
  <c r="BV174" i="63"/>
  <c r="BR174" i="63"/>
  <c r="BN174" i="63"/>
  <c r="CN174" i="63" s="1"/>
  <c r="BJ174" i="63"/>
  <c r="CJ174" i="63" s="1"/>
  <c r="BP174" i="63"/>
  <c r="BL174" i="63"/>
  <c r="BH174" i="63"/>
  <c r="BK174" i="63"/>
  <c r="CK174" i="63" s="1"/>
  <c r="BQ174" i="63"/>
  <c r="CQ174" i="63" s="1"/>
  <c r="BI174" i="63"/>
  <c r="BO174" i="63"/>
  <c r="BM174" i="63"/>
  <c r="CE162" i="63"/>
  <c r="CA162" i="63"/>
  <c r="BW162" i="63"/>
  <c r="CD162" i="63"/>
  <c r="BZ162" i="63"/>
  <c r="BV162" i="63"/>
  <c r="CC162" i="63"/>
  <c r="BY162" i="63"/>
  <c r="BU162" i="63"/>
  <c r="CB162" i="63"/>
  <c r="BX162" i="63"/>
  <c r="BT162" i="63"/>
  <c r="CG162" i="63" s="1"/>
  <c r="CE164" i="63"/>
  <c r="CA164" i="63"/>
  <c r="BW164" i="63"/>
  <c r="CD164" i="63"/>
  <c r="BZ164" i="63"/>
  <c r="BV164" i="63"/>
  <c r="CC164" i="63"/>
  <c r="BY164" i="63"/>
  <c r="BU164" i="63"/>
  <c r="CB164" i="63"/>
  <c r="BX164" i="63"/>
  <c r="BT164" i="63"/>
  <c r="CE156" i="63"/>
  <c r="CA156" i="63"/>
  <c r="BW156" i="63"/>
  <c r="CC156" i="63"/>
  <c r="BY156" i="63"/>
  <c r="BU156" i="63"/>
  <c r="CB156" i="63"/>
  <c r="BT156" i="63"/>
  <c r="CG156" i="63" s="1"/>
  <c r="BZ156" i="63"/>
  <c r="BX156" i="63"/>
  <c r="CD156" i="63"/>
  <c r="BV156" i="63"/>
  <c r="BR147" i="63"/>
  <c r="BN147" i="63"/>
  <c r="BJ147" i="63"/>
  <c r="BP147" i="63"/>
  <c r="BL147" i="63"/>
  <c r="BH147" i="63"/>
  <c r="BO147" i="63"/>
  <c r="CO147" i="63" s="1"/>
  <c r="BM147" i="63"/>
  <c r="BK147" i="63"/>
  <c r="BI147" i="63"/>
  <c r="CI147" i="63" s="1"/>
  <c r="BQ147" i="63"/>
  <c r="BR143" i="63"/>
  <c r="BN143" i="63"/>
  <c r="BJ143" i="63"/>
  <c r="BP143" i="63"/>
  <c r="BL143" i="63"/>
  <c r="BH143" i="63"/>
  <c r="BO143" i="63"/>
  <c r="BM143" i="63"/>
  <c r="BK143" i="63"/>
  <c r="BQ143" i="63"/>
  <c r="BI143" i="63"/>
  <c r="CE137" i="63"/>
  <c r="CA137" i="63"/>
  <c r="BW137" i="63"/>
  <c r="CD137" i="63"/>
  <c r="BZ137" i="63"/>
  <c r="BV137" i="63"/>
  <c r="CC137" i="63"/>
  <c r="BY137" i="63"/>
  <c r="BU137" i="63"/>
  <c r="BX137" i="63"/>
  <c r="BT137" i="63"/>
  <c r="CB137" i="63"/>
  <c r="CC136" i="63"/>
  <c r="BY136" i="63"/>
  <c r="BU136" i="63"/>
  <c r="CB136" i="63"/>
  <c r="BX136" i="63"/>
  <c r="BT136" i="63"/>
  <c r="CG136" i="63" s="1"/>
  <c r="CE136" i="63"/>
  <c r="CA136" i="63"/>
  <c r="BW136" i="63"/>
  <c r="CD136" i="63"/>
  <c r="BZ136" i="63"/>
  <c r="BV136" i="63"/>
  <c r="BR131" i="63"/>
  <c r="CR131" i="63" s="1"/>
  <c r="BN131" i="63"/>
  <c r="CN131" i="63" s="1"/>
  <c r="BJ131" i="63"/>
  <c r="BQ131" i="63"/>
  <c r="BM131" i="63"/>
  <c r="BI131" i="63"/>
  <c r="BP131" i="63"/>
  <c r="BL131" i="63"/>
  <c r="BH131" i="63"/>
  <c r="CH131" i="63" s="1"/>
  <c r="BK131" i="63"/>
  <c r="BG131" i="63"/>
  <c r="BO131" i="63"/>
  <c r="CO131" i="63" s="1"/>
  <c r="BR127" i="63"/>
  <c r="BN127" i="63"/>
  <c r="BJ127" i="63"/>
  <c r="BP127" i="63"/>
  <c r="BL127" i="63"/>
  <c r="BH127" i="63"/>
  <c r="BO127" i="63"/>
  <c r="BM127" i="63"/>
  <c r="BK127" i="63"/>
  <c r="BQ127" i="63"/>
  <c r="BI127" i="63"/>
  <c r="CC138" i="63"/>
  <c r="BY138" i="63"/>
  <c r="BU138" i="63"/>
  <c r="CB138" i="63"/>
  <c r="BX138" i="63"/>
  <c r="BT138" i="63"/>
  <c r="CG138" i="63" s="1"/>
  <c r="CE138" i="63"/>
  <c r="CA138" i="63"/>
  <c r="BW138" i="63"/>
  <c r="CD138" i="63"/>
  <c r="BZ138" i="63"/>
  <c r="BV138" i="63"/>
  <c r="BP128" i="63"/>
  <c r="CP128" i="63" s="1"/>
  <c r="BL128" i="63"/>
  <c r="CL128" i="63" s="1"/>
  <c r="BH128" i="63"/>
  <c r="CH128" i="63" s="1"/>
  <c r="BR128" i="63"/>
  <c r="CR128" i="63" s="1"/>
  <c r="BN128" i="63"/>
  <c r="CN128" i="63" s="1"/>
  <c r="BJ128" i="63"/>
  <c r="CJ128" i="63" s="1"/>
  <c r="BQ128" i="63"/>
  <c r="BI128" i="63"/>
  <c r="BO128" i="63"/>
  <c r="BM128" i="63"/>
  <c r="BK128" i="63"/>
  <c r="CC119" i="63"/>
  <c r="BY119" i="63"/>
  <c r="BU119" i="63"/>
  <c r="CB119" i="63"/>
  <c r="BX119" i="63"/>
  <c r="CE119" i="63"/>
  <c r="CA119" i="63"/>
  <c r="BW119" i="63"/>
  <c r="BZ119" i="63"/>
  <c r="BV119" i="63"/>
  <c r="CD119" i="63"/>
  <c r="CC111" i="63"/>
  <c r="BY111" i="63"/>
  <c r="BU111" i="63"/>
  <c r="CB111" i="63"/>
  <c r="BX111" i="63"/>
  <c r="CE111" i="63"/>
  <c r="CA111" i="63"/>
  <c r="BW111" i="63"/>
  <c r="BZ111" i="63"/>
  <c r="BV111" i="63"/>
  <c r="CD111" i="63"/>
  <c r="BG143" i="63"/>
  <c r="CC101" i="63"/>
  <c r="BY101" i="63"/>
  <c r="BU101" i="63"/>
  <c r="CB101" i="63"/>
  <c r="BX101" i="63"/>
  <c r="CE101" i="63"/>
  <c r="BW101" i="63"/>
  <c r="CD101" i="63"/>
  <c r="BV101" i="63"/>
  <c r="CA101" i="63"/>
  <c r="BZ101" i="63"/>
  <c r="BP123" i="63"/>
  <c r="BL123" i="63"/>
  <c r="BH123" i="63"/>
  <c r="BO123" i="63"/>
  <c r="BK123" i="63"/>
  <c r="BR123" i="63"/>
  <c r="BN123" i="63"/>
  <c r="BJ123" i="63"/>
  <c r="BQ123" i="63"/>
  <c r="BM123" i="63"/>
  <c r="BI123" i="63"/>
  <c r="BP111" i="63"/>
  <c r="BL111" i="63"/>
  <c r="BH111" i="63"/>
  <c r="BO111" i="63"/>
  <c r="BK111" i="63"/>
  <c r="BR111" i="63"/>
  <c r="BN111" i="63"/>
  <c r="BJ111" i="63"/>
  <c r="BI111" i="63"/>
  <c r="BQ111" i="63"/>
  <c r="BM111" i="63"/>
  <c r="CM111" i="63" s="1"/>
  <c r="BP101" i="63"/>
  <c r="BL101" i="63"/>
  <c r="BH101" i="63"/>
  <c r="BO101" i="63"/>
  <c r="BK101" i="63"/>
  <c r="BN101" i="63"/>
  <c r="BM101" i="63"/>
  <c r="BR101" i="63"/>
  <c r="BJ101" i="63"/>
  <c r="BQ101" i="63"/>
  <c r="BI101" i="63"/>
  <c r="CE98" i="63"/>
  <c r="CA98" i="63"/>
  <c r="BW98" i="63"/>
  <c r="CD98" i="63"/>
  <c r="BZ98" i="63"/>
  <c r="BV98" i="63"/>
  <c r="BY98" i="63"/>
  <c r="BX98" i="63"/>
  <c r="CC98" i="63"/>
  <c r="BU98" i="63"/>
  <c r="CB98" i="63"/>
  <c r="BT98" i="63"/>
  <c r="CE118" i="63"/>
  <c r="CA118" i="63"/>
  <c r="BW118" i="63"/>
  <c r="CD118" i="63"/>
  <c r="BZ118" i="63"/>
  <c r="BV118" i="63"/>
  <c r="CC118" i="63"/>
  <c r="BY118" i="63"/>
  <c r="BU118" i="63"/>
  <c r="CB118" i="63"/>
  <c r="BX118" i="63"/>
  <c r="BT118" i="63"/>
  <c r="BT107" i="63"/>
  <c r="CG107" i="63" s="1"/>
  <c r="CC95" i="63"/>
  <c r="BY95" i="63"/>
  <c r="BU95" i="63"/>
  <c r="CB95" i="63"/>
  <c r="BX95" i="63"/>
  <c r="BZ95" i="63"/>
  <c r="CE95" i="63"/>
  <c r="BW95" i="63"/>
  <c r="CD95" i="63"/>
  <c r="BV95" i="63"/>
  <c r="CA95" i="63"/>
  <c r="CB87" i="63"/>
  <c r="BX87" i="63"/>
  <c r="CE87" i="63"/>
  <c r="CA87" i="63"/>
  <c r="BW87" i="63"/>
  <c r="CD87" i="63"/>
  <c r="BZ87" i="63"/>
  <c r="BV87" i="63"/>
  <c r="BY87" i="63"/>
  <c r="BU87" i="63"/>
  <c r="CC87" i="63"/>
  <c r="BG127" i="63"/>
  <c r="BR104" i="63"/>
  <c r="BN104" i="63"/>
  <c r="BJ104" i="63"/>
  <c r="BQ104" i="63"/>
  <c r="BM104" i="63"/>
  <c r="BI104" i="63"/>
  <c r="BL104" i="63"/>
  <c r="BK104" i="63"/>
  <c r="BP104" i="63"/>
  <c r="BH104" i="63"/>
  <c r="BO104" i="63"/>
  <c r="BG104" i="63"/>
  <c r="BT89" i="63"/>
  <c r="CG89" i="63" s="1"/>
  <c r="CD88" i="63"/>
  <c r="BZ88" i="63"/>
  <c r="CM88" i="63" s="1"/>
  <c r="BV88" i="63"/>
  <c r="CC88" i="63"/>
  <c r="BY88" i="63"/>
  <c r="BU88" i="63"/>
  <c r="CB88" i="63"/>
  <c r="BX88" i="63"/>
  <c r="CE88" i="63"/>
  <c r="CA88" i="63"/>
  <c r="BW88" i="63"/>
  <c r="CD83" i="63"/>
  <c r="CQ83" i="63" s="1"/>
  <c r="BZ83" i="63"/>
  <c r="BV83" i="63"/>
  <c r="CC83" i="63"/>
  <c r="BY83" i="63"/>
  <c r="BU83" i="63"/>
  <c r="CB83" i="63"/>
  <c r="BX83" i="63"/>
  <c r="CE83" i="63"/>
  <c r="CA83" i="63"/>
  <c r="BW83" i="63"/>
  <c r="CD75" i="63"/>
  <c r="BZ75" i="63"/>
  <c r="BV75" i="63"/>
  <c r="CC75" i="63"/>
  <c r="BY75" i="63"/>
  <c r="BU75" i="63"/>
  <c r="CH75" i="63" s="1"/>
  <c r="CB75" i="63"/>
  <c r="BX75" i="63"/>
  <c r="CE75" i="63"/>
  <c r="CA75" i="63"/>
  <c r="BW75" i="63"/>
  <c r="CD67" i="63"/>
  <c r="BZ67" i="63"/>
  <c r="BV67" i="63"/>
  <c r="CC67" i="63"/>
  <c r="BY67" i="63"/>
  <c r="BU67" i="63"/>
  <c r="CB67" i="63"/>
  <c r="CO67" i="63" s="1"/>
  <c r="BX67" i="63"/>
  <c r="CE67" i="63"/>
  <c r="CA67" i="63"/>
  <c r="BW67" i="63"/>
  <c r="CD57" i="63"/>
  <c r="BZ57" i="63"/>
  <c r="CM57" i="63" s="1"/>
  <c r="BV57" i="63"/>
  <c r="CC57" i="63"/>
  <c r="BY57" i="63"/>
  <c r="BU57" i="63"/>
  <c r="CB57" i="63"/>
  <c r="BX57" i="63"/>
  <c r="CE57" i="63"/>
  <c r="CA57" i="63"/>
  <c r="BW57" i="63"/>
  <c r="CC49" i="63"/>
  <c r="BY49" i="63"/>
  <c r="BU49" i="63"/>
  <c r="CB49" i="63"/>
  <c r="BX49" i="63"/>
  <c r="CE49" i="63"/>
  <c r="CA49" i="63"/>
  <c r="BW49" i="63"/>
  <c r="BV49" i="63"/>
  <c r="CD49" i="63"/>
  <c r="BZ49" i="63"/>
  <c r="CC42" i="63"/>
  <c r="BY42" i="63"/>
  <c r="BU42" i="63"/>
  <c r="CB42" i="63"/>
  <c r="BX42" i="63"/>
  <c r="CE42" i="63"/>
  <c r="CA42" i="63"/>
  <c r="BW42" i="63"/>
  <c r="CD42" i="63"/>
  <c r="BZ42" i="63"/>
  <c r="BV42" i="63"/>
  <c r="CC34" i="63"/>
  <c r="BY34" i="63"/>
  <c r="BU34" i="63"/>
  <c r="CB34" i="63"/>
  <c r="BX34" i="63"/>
  <c r="CE34" i="63"/>
  <c r="CA34" i="63"/>
  <c r="BW34" i="63"/>
  <c r="CD34" i="63"/>
  <c r="BZ34" i="63"/>
  <c r="BV34" i="63"/>
  <c r="CC22" i="63"/>
  <c r="BY22" i="63"/>
  <c r="BU22" i="63"/>
  <c r="CB22" i="63"/>
  <c r="BX22" i="63"/>
  <c r="CE22" i="63"/>
  <c r="CA22" i="63"/>
  <c r="BW22" i="63"/>
  <c r="CD22" i="63"/>
  <c r="BZ22" i="63"/>
  <c r="BV22" i="63"/>
  <c r="CC14" i="63"/>
  <c r="BY14" i="63"/>
  <c r="BU14" i="63"/>
  <c r="CB14" i="63"/>
  <c r="BX14" i="63"/>
  <c r="CE14" i="63"/>
  <c r="CA14" i="63"/>
  <c r="BW14" i="63"/>
  <c r="CD14" i="63"/>
  <c r="BZ14" i="63"/>
  <c r="BV14" i="63"/>
  <c r="BR48" i="63"/>
  <c r="BP48" i="63"/>
  <c r="CP48" i="63" s="1"/>
  <c r="BQ48" i="63"/>
  <c r="BL48" i="63"/>
  <c r="BH48" i="63"/>
  <c r="BO48" i="63"/>
  <c r="BK48" i="63"/>
  <c r="BN48" i="63"/>
  <c r="CN48" i="63" s="1"/>
  <c r="BJ48" i="63"/>
  <c r="BM48" i="63"/>
  <c r="CM48" i="63" s="1"/>
  <c r="BI48" i="63"/>
  <c r="BP40" i="63"/>
  <c r="BL40" i="63"/>
  <c r="BH40" i="63"/>
  <c r="BO40" i="63"/>
  <c r="BK40" i="63"/>
  <c r="BR40" i="63"/>
  <c r="BN40" i="63"/>
  <c r="BJ40" i="63"/>
  <c r="BQ40" i="63"/>
  <c r="BM40" i="63"/>
  <c r="BI40" i="63"/>
  <c r="BP24" i="63"/>
  <c r="BL24" i="63"/>
  <c r="BH24" i="63"/>
  <c r="BO24" i="63"/>
  <c r="BK24" i="63"/>
  <c r="BR24" i="63"/>
  <c r="BN24" i="63"/>
  <c r="BJ24" i="63"/>
  <c r="BQ24" i="63"/>
  <c r="BM24" i="63"/>
  <c r="BI24" i="63"/>
  <c r="BP16" i="63"/>
  <c r="BL16" i="63"/>
  <c r="BH16" i="63"/>
  <c r="BO16" i="63"/>
  <c r="BK16" i="63"/>
  <c r="BR16" i="63"/>
  <c r="BN16" i="63"/>
  <c r="BJ16" i="63"/>
  <c r="BQ16" i="63"/>
  <c r="BM16" i="63"/>
  <c r="BI16" i="63"/>
  <c r="BG28" i="63"/>
  <c r="CG28" i="63" s="1"/>
  <c r="BG24" i="63"/>
  <c r="BG22" i="63"/>
  <c r="CG22" i="63" s="1"/>
  <c r="BG20" i="63"/>
  <c r="CG20" i="63" s="1"/>
  <c r="BG16" i="63"/>
  <c r="CG16" i="63" s="1"/>
  <c r="BG14" i="63"/>
  <c r="CG14" i="63" s="1"/>
  <c r="BG12" i="63"/>
  <c r="CG12" i="63" s="1"/>
  <c r="E153" i="62"/>
  <c r="E151" i="62"/>
  <c r="E149" i="62"/>
  <c r="E147" i="62"/>
  <c r="E145" i="62"/>
  <c r="E143" i="62"/>
  <c r="E154" i="62"/>
  <c r="E152" i="62"/>
  <c r="E150" i="62"/>
  <c r="E148" i="62"/>
  <c r="E146" i="62"/>
  <c r="E144" i="62"/>
  <c r="CB10" i="63"/>
  <c r="BX10" i="63"/>
  <c r="CK10" i="63" s="1"/>
  <c r="CE10" i="63"/>
  <c r="CA10" i="63"/>
  <c r="BW10" i="63"/>
  <c r="CD10" i="63"/>
  <c r="BZ10" i="63"/>
  <c r="BV10" i="63"/>
  <c r="CC10" i="63"/>
  <c r="BY10" i="63"/>
  <c r="BU10" i="63"/>
  <c r="F122" i="62"/>
  <c r="F120" i="62"/>
  <c r="F118" i="62"/>
  <c r="F116" i="62"/>
  <c r="F114" i="62"/>
  <c r="F112" i="62"/>
  <c r="F123" i="62"/>
  <c r="F121" i="62"/>
  <c r="F119" i="62"/>
  <c r="F117" i="62"/>
  <c r="F115" i="62"/>
  <c r="F113" i="62"/>
  <c r="H24" i="62"/>
  <c r="H29" i="62"/>
  <c r="H27" i="62"/>
  <c r="H25" i="62"/>
  <c r="H23" i="62"/>
  <c r="H21" i="62"/>
  <c r="H28" i="62"/>
  <c r="H22" i="62"/>
  <c r="H30" i="62"/>
  <c r="H26" i="62"/>
  <c r="H20" i="62"/>
  <c r="E29" i="62"/>
  <c r="E27" i="62"/>
  <c r="E25" i="62"/>
  <c r="E23" i="62"/>
  <c r="E21" i="62"/>
  <c r="E30" i="62"/>
  <c r="E28" i="62"/>
  <c r="E26" i="62"/>
  <c r="E24" i="62"/>
  <c r="E22" i="62"/>
  <c r="E20" i="62"/>
  <c r="BR179" i="63"/>
  <c r="BN179" i="63"/>
  <c r="BJ179" i="63"/>
  <c r="BP179" i="63"/>
  <c r="BL179" i="63"/>
  <c r="BH179" i="63"/>
  <c r="BO179" i="63"/>
  <c r="BM179" i="63"/>
  <c r="BK179" i="63"/>
  <c r="BQ179" i="63"/>
  <c r="BI179" i="63"/>
  <c r="BP177" i="63"/>
  <c r="BL177" i="63"/>
  <c r="BH177" i="63"/>
  <c r="BO177" i="63"/>
  <c r="BK177" i="63"/>
  <c r="BR177" i="63"/>
  <c r="BN177" i="63"/>
  <c r="BJ177" i="63"/>
  <c r="BI177" i="63"/>
  <c r="CI177" i="63" s="1"/>
  <c r="BQ177" i="63"/>
  <c r="BM177" i="63"/>
  <c r="CC165" i="63"/>
  <c r="BY165" i="63"/>
  <c r="BU165" i="63"/>
  <c r="CB165" i="63"/>
  <c r="BX165" i="63"/>
  <c r="BT165" i="63"/>
  <c r="CG165" i="63" s="1"/>
  <c r="CE165" i="63"/>
  <c r="CA165" i="63"/>
  <c r="BW165" i="63"/>
  <c r="BZ165" i="63"/>
  <c r="BV165" i="63"/>
  <c r="CD165" i="63"/>
  <c r="BP165" i="63"/>
  <c r="CP165" i="63" s="1"/>
  <c r="BL165" i="63"/>
  <c r="BH165" i="63"/>
  <c r="CH165" i="63" s="1"/>
  <c r="BO165" i="63"/>
  <c r="CO165" i="63" s="1"/>
  <c r="BK165" i="63"/>
  <c r="CK165" i="63" s="1"/>
  <c r="BR165" i="63"/>
  <c r="BN165" i="63"/>
  <c r="BJ165" i="63"/>
  <c r="BI165" i="63"/>
  <c r="BQ165" i="63"/>
  <c r="BM165" i="63"/>
  <c r="BR164" i="63"/>
  <c r="BN164" i="63"/>
  <c r="BJ164" i="63"/>
  <c r="BQ164" i="63"/>
  <c r="BM164" i="63"/>
  <c r="BI164" i="63"/>
  <c r="BP164" i="63"/>
  <c r="BL164" i="63"/>
  <c r="BH164" i="63"/>
  <c r="BO164" i="63"/>
  <c r="BK164" i="63"/>
  <c r="BG164" i="63"/>
  <c r="CE143" i="63"/>
  <c r="CA143" i="63"/>
  <c r="BW143" i="63"/>
  <c r="CC143" i="63"/>
  <c r="BY143" i="63"/>
  <c r="BU143" i="63"/>
  <c r="BX143" i="63"/>
  <c r="CD143" i="63"/>
  <c r="BV143" i="63"/>
  <c r="CB143" i="63"/>
  <c r="BT143" i="63"/>
  <c r="BZ143" i="63"/>
  <c r="BR156" i="63"/>
  <c r="BN156" i="63"/>
  <c r="BJ156" i="63"/>
  <c r="BP156" i="63"/>
  <c r="BL156" i="63"/>
  <c r="BH156" i="63"/>
  <c r="BK156" i="63"/>
  <c r="CK156" i="63" s="1"/>
  <c r="BQ156" i="63"/>
  <c r="BI156" i="63"/>
  <c r="CI156" i="63" s="1"/>
  <c r="BO156" i="63"/>
  <c r="BM156" i="63"/>
  <c r="CE155" i="63"/>
  <c r="CA155" i="63"/>
  <c r="BW155" i="63"/>
  <c r="CD155" i="63"/>
  <c r="BZ155" i="63"/>
  <c r="BV155" i="63"/>
  <c r="CC155" i="63"/>
  <c r="BY155" i="63"/>
  <c r="BU155" i="63"/>
  <c r="CB155" i="63"/>
  <c r="BX155" i="63"/>
  <c r="CK155" i="63" s="1"/>
  <c r="BT155" i="63"/>
  <c r="CE145" i="63"/>
  <c r="CA145" i="63"/>
  <c r="BW145" i="63"/>
  <c r="CC145" i="63"/>
  <c r="BY145" i="63"/>
  <c r="BU145" i="63"/>
  <c r="CB145" i="63"/>
  <c r="BT145" i="63"/>
  <c r="CG145" i="63" s="1"/>
  <c r="BZ145" i="63"/>
  <c r="BX145" i="63"/>
  <c r="BV145" i="63"/>
  <c r="CD145" i="63"/>
  <c r="BP140" i="63"/>
  <c r="CP140" i="63" s="1"/>
  <c r="BL140" i="63"/>
  <c r="BH140" i="63"/>
  <c r="BO140" i="63"/>
  <c r="CO140" i="63" s="1"/>
  <c r="BK140" i="63"/>
  <c r="BR140" i="63"/>
  <c r="BN140" i="63"/>
  <c r="BJ140" i="63"/>
  <c r="BQ140" i="63"/>
  <c r="BM140" i="63"/>
  <c r="BI140" i="63"/>
  <c r="BR137" i="63"/>
  <c r="BN137" i="63"/>
  <c r="BJ137" i="63"/>
  <c r="BQ137" i="63"/>
  <c r="BM137" i="63"/>
  <c r="BI137" i="63"/>
  <c r="BP137" i="63"/>
  <c r="BL137" i="63"/>
  <c r="BH137" i="63"/>
  <c r="BG137" i="63"/>
  <c r="BO137" i="63"/>
  <c r="BK137" i="63"/>
  <c r="BG158" i="63"/>
  <c r="BP136" i="63"/>
  <c r="BL136" i="63"/>
  <c r="BH136" i="63"/>
  <c r="CH136" i="63" s="1"/>
  <c r="BO136" i="63"/>
  <c r="CO136" i="63" s="1"/>
  <c r="BK136" i="63"/>
  <c r="BR136" i="63"/>
  <c r="BN136" i="63"/>
  <c r="BJ136" i="63"/>
  <c r="BM136" i="63"/>
  <c r="BI136" i="63"/>
  <c r="BQ136" i="63"/>
  <c r="CC117" i="63"/>
  <c r="BY117" i="63"/>
  <c r="BU117" i="63"/>
  <c r="CB117" i="63"/>
  <c r="BX117" i="63"/>
  <c r="CE117" i="63"/>
  <c r="CA117" i="63"/>
  <c r="BW117" i="63"/>
  <c r="BV117" i="63"/>
  <c r="CD117" i="63"/>
  <c r="BZ117" i="63"/>
  <c r="CC109" i="63"/>
  <c r="BY109" i="63"/>
  <c r="BU109" i="63"/>
  <c r="CB109" i="63"/>
  <c r="BX109" i="63"/>
  <c r="CE109" i="63"/>
  <c r="CA109" i="63"/>
  <c r="BW109" i="63"/>
  <c r="BV109" i="63"/>
  <c r="CD109" i="63"/>
  <c r="BZ109" i="63"/>
  <c r="CE116" i="63"/>
  <c r="CA116" i="63"/>
  <c r="BW116" i="63"/>
  <c r="CD116" i="63"/>
  <c r="CQ116" i="63" s="1"/>
  <c r="BZ116" i="63"/>
  <c r="BV116" i="63"/>
  <c r="CC116" i="63"/>
  <c r="BY116" i="63"/>
  <c r="BU116" i="63"/>
  <c r="CB116" i="63"/>
  <c r="BX116" i="63"/>
  <c r="BT116" i="63"/>
  <c r="BR98" i="63"/>
  <c r="CR98" i="63" s="1"/>
  <c r="BN98" i="63"/>
  <c r="CN98" i="63" s="1"/>
  <c r="BJ98" i="63"/>
  <c r="CJ98" i="63" s="1"/>
  <c r="BQ98" i="63"/>
  <c r="BM98" i="63"/>
  <c r="BI98" i="63"/>
  <c r="CI98" i="63" s="1"/>
  <c r="BP98" i="63"/>
  <c r="BH98" i="63"/>
  <c r="BO98" i="63"/>
  <c r="BG98" i="63"/>
  <c r="BL98" i="63"/>
  <c r="CL98" i="63" s="1"/>
  <c r="BK98" i="63"/>
  <c r="BR118" i="63"/>
  <c r="BN118" i="63"/>
  <c r="CN118" i="63" s="1"/>
  <c r="BJ118" i="63"/>
  <c r="BQ118" i="63"/>
  <c r="BM118" i="63"/>
  <c r="CM118" i="63" s="1"/>
  <c r="BI118" i="63"/>
  <c r="CI118" i="63" s="1"/>
  <c r="BP118" i="63"/>
  <c r="CP118" i="63" s="1"/>
  <c r="BL118" i="63"/>
  <c r="BH118" i="63"/>
  <c r="BO118" i="63"/>
  <c r="CO118" i="63" s="1"/>
  <c r="BK118" i="63"/>
  <c r="BG118" i="63"/>
  <c r="BP105" i="63"/>
  <c r="CP105" i="63" s="1"/>
  <c r="BL105" i="63"/>
  <c r="CL105" i="63" s="1"/>
  <c r="BH105" i="63"/>
  <c r="CH105" i="63" s="1"/>
  <c r="BO105" i="63"/>
  <c r="BK105" i="63"/>
  <c r="CK105" i="63" s="1"/>
  <c r="BR105" i="63"/>
  <c r="CR105" i="63" s="1"/>
  <c r="BN105" i="63"/>
  <c r="CN105" i="63" s="1"/>
  <c r="BJ105" i="63"/>
  <c r="BM105" i="63"/>
  <c r="BI105" i="63"/>
  <c r="BQ105" i="63"/>
  <c r="CB85" i="63"/>
  <c r="BX85" i="63"/>
  <c r="CE85" i="63"/>
  <c r="CA85" i="63"/>
  <c r="BW85" i="63"/>
  <c r="CD85" i="63"/>
  <c r="BZ85" i="63"/>
  <c r="BV85" i="63"/>
  <c r="BU85" i="63"/>
  <c r="CC85" i="63"/>
  <c r="BY85" i="63"/>
  <c r="BR112" i="63"/>
  <c r="BN112" i="63"/>
  <c r="BJ112" i="63"/>
  <c r="BQ112" i="63"/>
  <c r="CQ112" i="63" s="1"/>
  <c r="BM112" i="63"/>
  <c r="BI112" i="63"/>
  <c r="BP112" i="63"/>
  <c r="BL112" i="63"/>
  <c r="BH112" i="63"/>
  <c r="BO112" i="63"/>
  <c r="BK112" i="63"/>
  <c r="BG112" i="63"/>
  <c r="BP103" i="63"/>
  <c r="BL103" i="63"/>
  <c r="BH103" i="63"/>
  <c r="BO103" i="63"/>
  <c r="BK103" i="63"/>
  <c r="BR103" i="63"/>
  <c r="BJ103" i="63"/>
  <c r="BQ103" i="63"/>
  <c r="BI103" i="63"/>
  <c r="BN103" i="63"/>
  <c r="BM103" i="63"/>
  <c r="CE96" i="63"/>
  <c r="CA96" i="63"/>
  <c r="BW96" i="63"/>
  <c r="CD96" i="63"/>
  <c r="BZ96" i="63"/>
  <c r="BV96" i="63"/>
  <c r="CC96" i="63"/>
  <c r="BU96" i="63"/>
  <c r="CB96" i="63"/>
  <c r="BT96" i="63"/>
  <c r="BY96" i="63"/>
  <c r="BX96" i="63"/>
  <c r="BO87" i="63"/>
  <c r="BK87" i="63"/>
  <c r="BR87" i="63"/>
  <c r="BN87" i="63"/>
  <c r="BJ87" i="63"/>
  <c r="BQ87" i="63"/>
  <c r="BM87" i="63"/>
  <c r="BI87" i="63"/>
  <c r="BH87" i="63"/>
  <c r="CH87" i="63" s="1"/>
  <c r="BP87" i="63"/>
  <c r="CP87" i="63" s="1"/>
  <c r="BL87" i="63"/>
  <c r="CD94" i="63"/>
  <c r="BZ94" i="63"/>
  <c r="BV94" i="63"/>
  <c r="CC94" i="63"/>
  <c r="BY94" i="63"/>
  <c r="BU94" i="63"/>
  <c r="CB94" i="63"/>
  <c r="BX94" i="63"/>
  <c r="CA94" i="63"/>
  <c r="BW94" i="63"/>
  <c r="CE94" i="63"/>
  <c r="CD81" i="63"/>
  <c r="BZ81" i="63"/>
  <c r="BV81" i="63"/>
  <c r="CC81" i="63"/>
  <c r="BY81" i="63"/>
  <c r="BU81" i="63"/>
  <c r="CB81" i="63"/>
  <c r="CO81" i="63" s="1"/>
  <c r="BX81" i="63"/>
  <c r="CE81" i="63"/>
  <c r="CA81" i="63"/>
  <c r="BW81" i="63"/>
  <c r="CD73" i="63"/>
  <c r="BZ73" i="63"/>
  <c r="BV73" i="63"/>
  <c r="CC73" i="63"/>
  <c r="BY73" i="63"/>
  <c r="CL73" i="63" s="1"/>
  <c r="BU73" i="63"/>
  <c r="CB73" i="63"/>
  <c r="BX73" i="63"/>
  <c r="CE73" i="63"/>
  <c r="CA73" i="63"/>
  <c r="BW73" i="63"/>
  <c r="CD65" i="63"/>
  <c r="CQ65" i="63" s="1"/>
  <c r="BZ65" i="63"/>
  <c r="BV65" i="63"/>
  <c r="CC65" i="63"/>
  <c r="BY65" i="63"/>
  <c r="BU65" i="63"/>
  <c r="CB65" i="63"/>
  <c r="BX65" i="63"/>
  <c r="CE65" i="63"/>
  <c r="CA65" i="63"/>
  <c r="BW65" i="63"/>
  <c r="CD55" i="63"/>
  <c r="BZ55" i="63"/>
  <c r="BV55" i="63"/>
  <c r="CI55" i="63" s="1"/>
  <c r="CC55" i="63"/>
  <c r="BY55" i="63"/>
  <c r="BU55" i="63"/>
  <c r="CB55" i="63"/>
  <c r="BX55" i="63"/>
  <c r="CE55" i="63"/>
  <c r="CA55" i="63"/>
  <c r="BW55" i="63"/>
  <c r="BT55" i="63"/>
  <c r="BP49" i="63"/>
  <c r="BL49" i="63"/>
  <c r="CL49" i="63" s="1"/>
  <c r="BH49" i="63"/>
  <c r="CH49" i="63" s="1"/>
  <c r="BO49" i="63"/>
  <c r="BK49" i="63"/>
  <c r="CK49" i="63" s="1"/>
  <c r="BR49" i="63"/>
  <c r="CR49" i="63" s="1"/>
  <c r="BN49" i="63"/>
  <c r="CN49" i="63" s="1"/>
  <c r="BJ49" i="63"/>
  <c r="BQ49" i="63"/>
  <c r="BM49" i="63"/>
  <c r="BI49" i="63"/>
  <c r="BR50" i="63"/>
  <c r="BN50" i="63"/>
  <c r="BJ50" i="63"/>
  <c r="BQ50" i="63"/>
  <c r="BM50" i="63"/>
  <c r="BI50" i="63"/>
  <c r="BP50" i="63"/>
  <c r="BL50" i="63"/>
  <c r="BH50" i="63"/>
  <c r="BO50" i="63"/>
  <c r="BK50" i="63"/>
  <c r="BG50" i="63"/>
  <c r="CG50" i="63" s="1"/>
  <c r="CC40" i="63"/>
  <c r="BY40" i="63"/>
  <c r="BU40" i="63"/>
  <c r="CB40" i="63"/>
  <c r="BX40" i="63"/>
  <c r="CE40" i="63"/>
  <c r="CA40" i="63"/>
  <c r="BW40" i="63"/>
  <c r="CD40" i="63"/>
  <c r="BZ40" i="63"/>
  <c r="BV40" i="63"/>
  <c r="CC28" i="63"/>
  <c r="BY28" i="63"/>
  <c r="BU28" i="63"/>
  <c r="CB28" i="63"/>
  <c r="BX28" i="63"/>
  <c r="CE28" i="63"/>
  <c r="CA28" i="63"/>
  <c r="BW28" i="63"/>
  <c r="CD28" i="63"/>
  <c r="BZ28" i="63"/>
  <c r="BV28" i="63"/>
  <c r="CC20" i="63"/>
  <c r="BY20" i="63"/>
  <c r="BU20" i="63"/>
  <c r="CB20" i="63"/>
  <c r="BX20" i="63"/>
  <c r="CE20" i="63"/>
  <c r="CA20" i="63"/>
  <c r="BW20" i="63"/>
  <c r="CD20" i="63"/>
  <c r="BZ20" i="63"/>
  <c r="BV20" i="63"/>
  <c r="CC12" i="63"/>
  <c r="BY12" i="63"/>
  <c r="BU12" i="63"/>
  <c r="CB12" i="63"/>
  <c r="BX12" i="63"/>
  <c r="CE12" i="63"/>
  <c r="CA12" i="63"/>
  <c r="BW12" i="63"/>
  <c r="CD12" i="63"/>
  <c r="BZ12" i="63"/>
  <c r="BV12" i="63"/>
  <c r="BP42" i="63"/>
  <c r="BL42" i="63"/>
  <c r="CL42" i="63" s="1"/>
  <c r="BH42" i="63"/>
  <c r="CH42" i="63" s="1"/>
  <c r="BO42" i="63"/>
  <c r="CO42" i="63" s="1"/>
  <c r="BK42" i="63"/>
  <c r="BR42" i="63"/>
  <c r="BN42" i="63"/>
  <c r="CN42" i="63" s="1"/>
  <c r="BJ42" i="63"/>
  <c r="CJ42" i="63" s="1"/>
  <c r="BQ42" i="63"/>
  <c r="BM42" i="63"/>
  <c r="CM42" i="63" s="1"/>
  <c r="BI42" i="63"/>
  <c r="CI42" i="63" s="1"/>
  <c r="BP34" i="63"/>
  <c r="CP34" i="63" s="1"/>
  <c r="BL34" i="63"/>
  <c r="BH34" i="63"/>
  <c r="BO34" i="63"/>
  <c r="CO34" i="63" s="1"/>
  <c r="BK34" i="63"/>
  <c r="CK34" i="63" s="1"/>
  <c r="BR34" i="63"/>
  <c r="BN34" i="63"/>
  <c r="CN34" i="63" s="1"/>
  <c r="BJ34" i="63"/>
  <c r="CJ34" i="63" s="1"/>
  <c r="BQ34" i="63"/>
  <c r="CQ34" i="63" s="1"/>
  <c r="BM34" i="63"/>
  <c r="BI34" i="63"/>
  <c r="BP26" i="63"/>
  <c r="BL26" i="63"/>
  <c r="BH26" i="63"/>
  <c r="BO26" i="63"/>
  <c r="BK26" i="63"/>
  <c r="BR26" i="63"/>
  <c r="BN26" i="63"/>
  <c r="BJ26" i="63"/>
  <c r="BQ26" i="63"/>
  <c r="BM26" i="63"/>
  <c r="BI26" i="63"/>
  <c r="BP18" i="63"/>
  <c r="BL18" i="63"/>
  <c r="BH18" i="63"/>
  <c r="BO18" i="63"/>
  <c r="BK18" i="63"/>
  <c r="BR18" i="63"/>
  <c r="BN18" i="63"/>
  <c r="BJ18" i="63"/>
  <c r="BQ18" i="63"/>
  <c r="BM18" i="63"/>
  <c r="BI18" i="63"/>
  <c r="BR11" i="63"/>
  <c r="BQ11" i="63"/>
  <c r="BM11" i="63"/>
  <c r="CM11" i="63" s="1"/>
  <c r="BI11" i="63"/>
  <c r="CI11" i="63" s="1"/>
  <c r="BP11" i="63"/>
  <c r="BL11" i="63"/>
  <c r="CL11" i="63" s="1"/>
  <c r="BH11" i="63"/>
  <c r="CH11" i="63" s="1"/>
  <c r="BO11" i="63"/>
  <c r="CO11" i="63" s="1"/>
  <c r="BK11" i="63"/>
  <c r="BJ11" i="63"/>
  <c r="BN11" i="63"/>
  <c r="F154" i="62"/>
  <c r="F152" i="62"/>
  <c r="F150" i="62"/>
  <c r="F148" i="62"/>
  <c r="F146" i="62"/>
  <c r="F144" i="62"/>
  <c r="F153" i="62"/>
  <c r="F151" i="62"/>
  <c r="F149" i="62"/>
  <c r="F147" i="62"/>
  <c r="F145" i="62"/>
  <c r="F143" i="62"/>
  <c r="G123" i="62"/>
  <c r="G121" i="62"/>
  <c r="G119" i="62"/>
  <c r="G117" i="62"/>
  <c r="G115" i="62"/>
  <c r="G113" i="62"/>
  <c r="G122" i="62"/>
  <c r="G120" i="62"/>
  <c r="G118" i="62"/>
  <c r="G116" i="62"/>
  <c r="G114" i="62"/>
  <c r="G112" i="62"/>
  <c r="CR139" i="63" l="1"/>
  <c r="CK175" i="63"/>
  <c r="CO27" i="63"/>
  <c r="CN11" i="63"/>
  <c r="CP50" i="63"/>
  <c r="CO164" i="63"/>
  <c r="CI179" i="63"/>
  <c r="S206" i="73" s="1"/>
  <c r="D704" i="73" s="1"/>
  <c r="CM38" i="63"/>
  <c r="CP46" i="63"/>
  <c r="CJ99" i="63"/>
  <c r="CJ50" i="63"/>
  <c r="T56" i="73" s="1"/>
  <c r="CO103" i="63"/>
  <c r="CI105" i="63"/>
  <c r="CN136" i="63"/>
  <c r="CQ137" i="63"/>
  <c r="CH156" i="63"/>
  <c r="CN164" i="63"/>
  <c r="CL38" i="63"/>
  <c r="CK46" i="63"/>
  <c r="CI50" i="63"/>
  <c r="CJ112" i="63"/>
  <c r="CR140" i="63"/>
  <c r="CQ127" i="63"/>
  <c r="CK131" i="63"/>
  <c r="CQ38" i="63"/>
  <c r="CK38" i="63"/>
  <c r="CP38" i="63"/>
  <c r="CJ46" i="63"/>
  <c r="CO46" i="63"/>
  <c r="CR99" i="63"/>
  <c r="AB116" i="73" s="1"/>
  <c r="CI140" i="63"/>
  <c r="S163" i="73" s="1"/>
  <c r="CI127" i="63"/>
  <c r="CG131" i="63"/>
  <c r="CR38" i="63"/>
  <c r="CQ46" i="63"/>
  <c r="CI154" i="63"/>
  <c r="CO38" i="63"/>
  <c r="CH46" i="63"/>
  <c r="CM125" i="63"/>
  <c r="CN139" i="63"/>
  <c r="I162" i="73" s="1"/>
  <c r="I640" i="73" s="1"/>
  <c r="CM175" i="63"/>
  <c r="CQ132" i="63"/>
  <c r="CK163" i="63"/>
  <c r="U190" i="73" s="1"/>
  <c r="F688" i="73" s="1"/>
  <c r="CQ4" i="63"/>
  <c r="L6" i="73" s="1"/>
  <c r="L301" i="73" s="1"/>
  <c r="CL43" i="63"/>
  <c r="CP114" i="63"/>
  <c r="CR114" i="63"/>
  <c r="CG178" i="63"/>
  <c r="Q205" i="73" s="1"/>
  <c r="B703" i="73" s="1"/>
  <c r="CR144" i="63"/>
  <c r="CN21" i="63"/>
  <c r="CJ70" i="63"/>
  <c r="T83" i="73" s="1"/>
  <c r="CM106" i="63"/>
  <c r="H123" i="73" s="1"/>
  <c r="CI33" i="63"/>
  <c r="CK127" i="63"/>
  <c r="CI46" i="63"/>
  <c r="D52" i="73" s="1"/>
  <c r="D394" i="73" s="1"/>
  <c r="CL50" i="63"/>
  <c r="V56" i="73" s="1"/>
  <c r="CK103" i="63"/>
  <c r="CP103" i="63"/>
  <c r="CR112" i="63"/>
  <c r="CG158" i="63"/>
  <c r="CJ140" i="63"/>
  <c r="CL48" i="63"/>
  <c r="CI38" i="63"/>
  <c r="CN38" i="63"/>
  <c r="CH38" i="63"/>
  <c r="CM46" i="63"/>
  <c r="CR46" i="63"/>
  <c r="CL46" i="63"/>
  <c r="CQ99" i="63"/>
  <c r="CH139" i="63"/>
  <c r="CO158" i="63"/>
  <c r="CM58" i="63"/>
  <c r="CQ52" i="63"/>
  <c r="CR157" i="63"/>
  <c r="CP82" i="63"/>
  <c r="Z95" i="73" s="1"/>
  <c r="K454" i="73" s="1"/>
  <c r="CM148" i="63"/>
  <c r="W171" i="73" s="1"/>
  <c r="H622" i="73" s="1"/>
  <c r="CN148" i="63"/>
  <c r="CJ166" i="63"/>
  <c r="CO54" i="63"/>
  <c r="Y60" i="73" s="1"/>
  <c r="J375" i="73" s="1"/>
  <c r="CL169" i="63"/>
  <c r="G196" i="73" s="1"/>
  <c r="G721" i="73" s="1"/>
  <c r="CI178" i="63"/>
  <c r="CR178" i="63"/>
  <c r="CP13" i="63"/>
  <c r="CQ70" i="63"/>
  <c r="L83" i="73" s="1"/>
  <c r="L469" i="73" s="1"/>
  <c r="CI78" i="63"/>
  <c r="CP106" i="63"/>
  <c r="CL84" i="63"/>
  <c r="CN33" i="63"/>
  <c r="CH130" i="63"/>
  <c r="CJ153" i="63"/>
  <c r="CG127" i="63"/>
  <c r="CJ38" i="63"/>
  <c r="CN46" i="63"/>
  <c r="CI99" i="63"/>
  <c r="CO139" i="63"/>
  <c r="J162" i="73" s="1"/>
  <c r="J640" i="73" s="1"/>
  <c r="CL139" i="63"/>
  <c r="G162" i="73" s="1"/>
  <c r="G640" i="73" s="1"/>
  <c r="CH39" i="63"/>
  <c r="CK54" i="63"/>
  <c r="CR80" i="63"/>
  <c r="AB93" i="73" s="1"/>
  <c r="CH114" i="63"/>
  <c r="C131" i="73" s="1"/>
  <c r="C564" i="73" s="1"/>
  <c r="CM161" i="63"/>
  <c r="CJ161" i="63"/>
  <c r="CK21" i="63"/>
  <c r="F23" i="73" s="1"/>
  <c r="F318" i="73" s="1"/>
  <c r="Z78" i="62"/>
  <c r="CQ49" i="63"/>
  <c r="CM103" i="63"/>
  <c r="H120" i="73" s="1"/>
  <c r="H553" i="73" s="1"/>
  <c r="CH103" i="63"/>
  <c r="R120" i="73" s="1"/>
  <c r="C526" i="73" s="1"/>
  <c r="CR136" i="63"/>
  <c r="CP137" i="63"/>
  <c r="CR156" i="63"/>
  <c r="CH164" i="63"/>
  <c r="CR164" i="63"/>
  <c r="CM177" i="63"/>
  <c r="CQ179" i="63"/>
  <c r="AA206" i="73" s="1"/>
  <c r="L704" i="73" s="1"/>
  <c r="CP104" i="63"/>
  <c r="Z121" i="73" s="1"/>
  <c r="CK128" i="63"/>
  <c r="CM147" i="63"/>
  <c r="CP147" i="63"/>
  <c r="CI89" i="63"/>
  <c r="D102" i="73" s="1"/>
  <c r="D488" i="73" s="1"/>
  <c r="CN89" i="63"/>
  <c r="X102" i="73" s="1"/>
  <c r="I461" i="73" s="1"/>
  <c r="CK113" i="63"/>
  <c r="CP113" i="63"/>
  <c r="CM102" i="63"/>
  <c r="H119" i="73" s="1"/>
  <c r="CR102" i="63"/>
  <c r="AB119" i="73" s="1"/>
  <c r="CQ125" i="63"/>
  <c r="CL158" i="63"/>
  <c r="CR158" i="63"/>
  <c r="CG176" i="63"/>
  <c r="CL176" i="63"/>
  <c r="CQ176" i="63"/>
  <c r="CL93" i="63"/>
  <c r="CQ93" i="63"/>
  <c r="CK93" i="63"/>
  <c r="CH100" i="63"/>
  <c r="CN100" i="63"/>
  <c r="X117" i="73" s="1"/>
  <c r="CI170" i="63"/>
  <c r="S197" i="73" s="1"/>
  <c r="CQ167" i="63"/>
  <c r="CH167" i="63"/>
  <c r="CN35" i="63"/>
  <c r="CI66" i="63"/>
  <c r="CM66" i="63"/>
  <c r="CQ135" i="63"/>
  <c r="CH72" i="63"/>
  <c r="CG80" i="63"/>
  <c r="B93" i="73" s="1"/>
  <c r="CL126" i="63"/>
  <c r="CH148" i="63"/>
  <c r="CR11" i="63"/>
  <c r="AB13" i="73" s="1"/>
  <c r="CJ18" i="63"/>
  <c r="E20" i="73" s="1"/>
  <c r="E315" i="73" s="1"/>
  <c r="CO18" i="63"/>
  <c r="CI26" i="63"/>
  <c r="CN26" i="63"/>
  <c r="I28" i="73" s="1"/>
  <c r="I323" i="73" s="1"/>
  <c r="CH26" i="63"/>
  <c r="R28" i="73" s="1"/>
  <c r="C296" i="73" s="1"/>
  <c r="CH50" i="63"/>
  <c r="CI112" i="63"/>
  <c r="CH98" i="63"/>
  <c r="CM136" i="63"/>
  <c r="CG137" i="63"/>
  <c r="CL177" i="63"/>
  <c r="CJ16" i="63"/>
  <c r="CO16" i="63"/>
  <c r="CI24" i="63"/>
  <c r="CN24" i="63"/>
  <c r="CH24" i="63"/>
  <c r="CH48" i="63"/>
  <c r="C54" i="73" s="1"/>
  <c r="C396" i="73" s="1"/>
  <c r="CK104" i="63"/>
  <c r="CQ104" i="63"/>
  <c r="L121" i="73" s="1"/>
  <c r="CM101" i="63"/>
  <c r="W118" i="73" s="1"/>
  <c r="CH101" i="63"/>
  <c r="C118" i="73" s="1"/>
  <c r="CQ111" i="63"/>
  <c r="CR111" i="63"/>
  <c r="CL111" i="63"/>
  <c r="CQ123" i="63"/>
  <c r="CK123" i="63"/>
  <c r="CP123" i="63"/>
  <c r="CL127" i="63"/>
  <c r="CR127" i="63"/>
  <c r="CM131" i="63"/>
  <c r="CQ147" i="63"/>
  <c r="CO174" i="63"/>
  <c r="CG38" i="63"/>
  <c r="CM14" i="63"/>
  <c r="CR14" i="63"/>
  <c r="CL14" i="63"/>
  <c r="CQ22" i="63"/>
  <c r="CK22" i="63"/>
  <c r="CP22" i="63"/>
  <c r="CP89" i="63"/>
  <c r="Z102" i="73" s="1"/>
  <c r="K461" i="73" s="1"/>
  <c r="CK99" i="63"/>
  <c r="F116" i="73" s="1"/>
  <c r="CP99" i="63"/>
  <c r="CJ107" i="63"/>
  <c r="T124" i="73" s="1"/>
  <c r="CO107" i="63"/>
  <c r="J124" i="73" s="1"/>
  <c r="CI115" i="63"/>
  <c r="CN115" i="63"/>
  <c r="CH115" i="63"/>
  <c r="CH110" i="63"/>
  <c r="R127" i="73" s="1"/>
  <c r="CM110" i="63"/>
  <c r="H127" i="73" s="1"/>
  <c r="CR110" i="63"/>
  <c r="CH102" i="63"/>
  <c r="R119" i="73" s="1"/>
  <c r="CJ125" i="63"/>
  <c r="CK139" i="63"/>
  <c r="F162" i="73" s="1"/>
  <c r="F640" i="73" s="1"/>
  <c r="CK154" i="63"/>
  <c r="CM100" i="63"/>
  <c r="H117" i="73" s="1"/>
  <c r="CM97" i="63"/>
  <c r="CH97" i="63"/>
  <c r="CL160" i="63"/>
  <c r="CR160" i="63"/>
  <c r="AB187" i="73" s="1"/>
  <c r="CP170" i="63"/>
  <c r="Z197" i="73" s="1"/>
  <c r="CL167" i="63"/>
  <c r="CM163" i="63"/>
  <c r="CO39" i="63"/>
  <c r="Y45" i="73" s="1"/>
  <c r="CN43" i="63"/>
  <c r="CQ54" i="63"/>
  <c r="CK82" i="63"/>
  <c r="CI135" i="63"/>
  <c r="CM126" i="63"/>
  <c r="CL166" i="63"/>
  <c r="CM80" i="63"/>
  <c r="CL114" i="63"/>
  <c r="CJ4" i="63"/>
  <c r="CG35" i="63"/>
  <c r="Q41" i="73" s="1"/>
  <c r="B356" i="73" s="1"/>
  <c r="CP54" i="63"/>
  <c r="CH54" i="63"/>
  <c r="CQ64" i="63"/>
  <c r="CN114" i="63"/>
  <c r="X131" i="73" s="1"/>
  <c r="I537" i="73" s="1"/>
  <c r="CJ148" i="63"/>
  <c r="CH161" i="63"/>
  <c r="CL161" i="63"/>
  <c r="V188" i="73" s="1"/>
  <c r="G686" i="73" s="1"/>
  <c r="CO13" i="63"/>
  <c r="Y15" i="73" s="1"/>
  <c r="J283" i="73" s="1"/>
  <c r="CM13" i="63"/>
  <c r="CN70" i="63"/>
  <c r="X83" i="73" s="1"/>
  <c r="CK106" i="63"/>
  <c r="U123" i="73" s="1"/>
  <c r="F529" i="73" s="1"/>
  <c r="CG3" i="63"/>
  <c r="B5" i="73" s="1"/>
  <c r="CR169" i="63"/>
  <c r="CN50" i="63"/>
  <c r="CP112" i="63"/>
  <c r="Z129" i="73" s="1"/>
  <c r="K535" i="73" s="1"/>
  <c r="CM105" i="63"/>
  <c r="W122" i="73" s="1"/>
  <c r="CJ137" i="63"/>
  <c r="CM140" i="63"/>
  <c r="H163" i="73" s="1"/>
  <c r="CL156" i="63"/>
  <c r="CM164" i="63"/>
  <c r="CG24" i="63"/>
  <c r="CQ87" i="63"/>
  <c r="CK87" i="63"/>
  <c r="CI103" i="63"/>
  <c r="D120" i="73" s="1"/>
  <c r="D553" i="73" s="1"/>
  <c r="CH112" i="63"/>
  <c r="CM156" i="63"/>
  <c r="CM179" i="63"/>
  <c r="H206" i="73" s="1"/>
  <c r="H731" i="73" s="1"/>
  <c r="CP179" i="63"/>
  <c r="K206" i="73" s="1"/>
  <c r="K731" i="73" s="1"/>
  <c r="CL104" i="63"/>
  <c r="CJ104" i="63"/>
  <c r="CN101" i="63"/>
  <c r="I118" i="73" s="1"/>
  <c r="CL101" i="63"/>
  <c r="V118" i="73" s="1"/>
  <c r="CI111" i="63"/>
  <c r="CJ123" i="63"/>
  <c r="CO123" i="63"/>
  <c r="CI174" i="63"/>
  <c r="CQ113" i="63"/>
  <c r="CP102" i="63"/>
  <c r="CO125" i="63"/>
  <c r="CI129" i="63"/>
  <c r="S152" i="73" s="1"/>
  <c r="CO154" i="63"/>
  <c r="CI158" i="63"/>
  <c r="CQ175" i="63"/>
  <c r="CQ100" i="63"/>
  <c r="L117" i="73" s="1"/>
  <c r="CK132" i="63"/>
  <c r="CO172" i="63"/>
  <c r="CM35" i="63"/>
  <c r="H41" i="73" s="1"/>
  <c r="H383" i="73" s="1"/>
  <c r="CO47" i="63"/>
  <c r="CG54" i="63"/>
  <c r="CP74" i="63"/>
  <c r="CK126" i="63"/>
  <c r="F149" i="73" s="1"/>
  <c r="F627" i="73" s="1"/>
  <c r="CJ54" i="63"/>
  <c r="T60" i="73" s="1"/>
  <c r="E375" i="73" s="1"/>
  <c r="CN157" i="63"/>
  <c r="CI54" i="63"/>
  <c r="CG161" i="63"/>
  <c r="Q188" i="73" s="1"/>
  <c r="B686" i="73" s="1"/>
  <c r="CJ21" i="63"/>
  <c r="T23" i="73" s="1"/>
  <c r="E291" i="73" s="1"/>
  <c r="CG25" i="63"/>
  <c r="CO29" i="63"/>
  <c r="CO106" i="63"/>
  <c r="Y123" i="73" s="1"/>
  <c r="CR9" i="63"/>
  <c r="AB11" i="73" s="1"/>
  <c r="CK118" i="63"/>
  <c r="CJ118" i="63"/>
  <c r="CL165" i="63"/>
  <c r="V192" i="73" s="1"/>
  <c r="G690" i="73" s="1"/>
  <c r="CR174" i="63"/>
  <c r="AB201" i="73" s="1"/>
  <c r="CQ97" i="63"/>
  <c r="CL47" i="63"/>
  <c r="CM49" i="63"/>
  <c r="W55" i="73" s="1"/>
  <c r="CL137" i="63"/>
  <c r="CI164" i="63"/>
  <c r="CQ11" i="63"/>
  <c r="CI34" i="63"/>
  <c r="CH34" i="63"/>
  <c r="CR42" i="63"/>
  <c r="CP49" i="63"/>
  <c r="CH118" i="63"/>
  <c r="CR118" i="63"/>
  <c r="CM98" i="63"/>
  <c r="CL136" i="63"/>
  <c r="CR97" i="63"/>
  <c r="AB114" i="73" s="1"/>
  <c r="CN163" i="63"/>
  <c r="X190" i="73" s="1"/>
  <c r="I688" i="73" s="1"/>
  <c r="CL172" i="63"/>
  <c r="CG39" i="63"/>
  <c r="Q45" i="73" s="1"/>
  <c r="B360" i="73" s="1"/>
  <c r="CM8" i="63"/>
  <c r="CG6" i="63"/>
  <c r="CG70" i="63"/>
  <c r="U78" i="62"/>
  <c r="CO37" i="63"/>
  <c r="J43" i="73" s="1"/>
  <c r="J385" i="73" s="1"/>
  <c r="CP172" i="63"/>
  <c r="Z199" i="73" s="1"/>
  <c r="K697" i="73" s="1"/>
  <c r="AD43" i="62"/>
  <c r="CN156" i="63"/>
  <c r="V78" i="62"/>
  <c r="CP76" i="63"/>
  <c r="CQ13" i="63"/>
  <c r="AB196" i="73"/>
  <c r="M196" i="73"/>
  <c r="U196" i="73"/>
  <c r="F694" i="73" s="1"/>
  <c r="F196" i="73"/>
  <c r="L92" i="73"/>
  <c r="L478" i="73" s="1"/>
  <c r="AA92" i="73"/>
  <c r="L451" i="73" s="1"/>
  <c r="W83" i="73"/>
  <c r="H442" i="73" s="1"/>
  <c r="H83" i="73"/>
  <c r="S65" i="73"/>
  <c r="D65" i="73"/>
  <c r="D407" i="73" s="1"/>
  <c r="B206" i="73"/>
  <c r="B731" i="73" s="1"/>
  <c r="Q206" i="73"/>
  <c r="B704" i="73" s="1"/>
  <c r="B187" i="73"/>
  <c r="B712" i="73" s="1"/>
  <c r="Q187" i="73"/>
  <c r="B685" i="73" s="1"/>
  <c r="L55" i="73"/>
  <c r="AA55" i="73"/>
  <c r="W120" i="73"/>
  <c r="H526" i="73" s="1"/>
  <c r="Z122" i="73"/>
  <c r="K122" i="73"/>
  <c r="W163" i="73"/>
  <c r="Q124" i="73"/>
  <c r="B124" i="73"/>
  <c r="B557" i="73" s="1"/>
  <c r="I102" i="73"/>
  <c r="I488" i="73" s="1"/>
  <c r="M116" i="73"/>
  <c r="AB125" i="73"/>
  <c r="M125" i="73"/>
  <c r="S117" i="73"/>
  <c r="D117" i="73"/>
  <c r="D550" i="73" s="1"/>
  <c r="C45" i="73"/>
  <c r="C387" i="73" s="1"/>
  <c r="R45" i="73"/>
  <c r="C360" i="73" s="1"/>
  <c r="Q163" i="73"/>
  <c r="B163" i="73"/>
  <c r="M93" i="73"/>
  <c r="I93" i="73"/>
  <c r="I479" i="73" s="1"/>
  <c r="X93" i="73"/>
  <c r="X31" i="73"/>
  <c r="I299" i="73" s="1"/>
  <c r="I31" i="73"/>
  <c r="Q83" i="73"/>
  <c r="B83" i="73"/>
  <c r="B469" i="73" s="1"/>
  <c r="S83" i="73"/>
  <c r="D442" i="73" s="1"/>
  <c r="D83" i="73"/>
  <c r="V123" i="73"/>
  <c r="G123" i="73"/>
  <c r="T123" i="73"/>
  <c r="E529" i="73" s="1"/>
  <c r="E123" i="73"/>
  <c r="C78" i="62"/>
  <c r="H78" i="62"/>
  <c r="M78" i="62"/>
  <c r="AD44" i="62"/>
  <c r="AD77" i="62"/>
  <c r="AD75" i="62"/>
  <c r="S78" i="62"/>
  <c r="R11" i="73"/>
  <c r="C279" i="73" s="1"/>
  <c r="C11" i="73"/>
  <c r="C306" i="73" s="1"/>
  <c r="CJ59" i="63"/>
  <c r="Q120" i="73"/>
  <c r="B526" i="73" s="1"/>
  <c r="B120" i="73"/>
  <c r="B553" i="73" s="1"/>
  <c r="Q116" i="73"/>
  <c r="B116" i="73"/>
  <c r="B549" i="73" s="1"/>
  <c r="R56" i="73"/>
  <c r="C56" i="73"/>
  <c r="CL87" i="63"/>
  <c r="CN103" i="63"/>
  <c r="CL103" i="63"/>
  <c r="CN112" i="63"/>
  <c r="I129" i="73" s="1"/>
  <c r="I562" i="73" s="1"/>
  <c r="CI137" i="63"/>
  <c r="CN137" i="63"/>
  <c r="CQ140" i="63"/>
  <c r="CK140" i="63"/>
  <c r="Z163" i="73"/>
  <c r="K163" i="73"/>
  <c r="K641" i="73" s="1"/>
  <c r="CP156" i="63"/>
  <c r="CG164" i="63"/>
  <c r="CL164" i="63"/>
  <c r="CQ164" i="63"/>
  <c r="CK179" i="63"/>
  <c r="F12" i="73"/>
  <c r="F307" i="73" s="1"/>
  <c r="U12" i="73"/>
  <c r="CM40" i="63"/>
  <c r="CR40" i="63"/>
  <c r="CL40" i="63"/>
  <c r="CJ48" i="63"/>
  <c r="CR48" i="63"/>
  <c r="CG104" i="63"/>
  <c r="U121" i="73"/>
  <c r="F121" i="73"/>
  <c r="AA121" i="73"/>
  <c r="CI101" i="63"/>
  <c r="CM128" i="63"/>
  <c r="CM143" i="63"/>
  <c r="CP143" i="63"/>
  <c r="CJ147" i="63"/>
  <c r="CH174" i="63"/>
  <c r="CJ94" i="63"/>
  <c r="CL94" i="63"/>
  <c r="CQ94" i="63"/>
  <c r="CM89" i="63"/>
  <c r="CR89" i="63"/>
  <c r="CQ95" i="63"/>
  <c r="CL95" i="63"/>
  <c r="S116" i="73"/>
  <c r="D116" i="73"/>
  <c r="Z116" i="73"/>
  <c r="K116" i="73"/>
  <c r="E124" i="73"/>
  <c r="W127" i="73"/>
  <c r="AB127" i="73"/>
  <c r="M127" i="73"/>
  <c r="CJ113" i="63"/>
  <c r="CO113" i="63"/>
  <c r="CK102" i="63"/>
  <c r="C119" i="73"/>
  <c r="CQ102" i="63"/>
  <c r="CJ117" i="63"/>
  <c r="CO117" i="63"/>
  <c r="CK125" i="63"/>
  <c r="CO129" i="63"/>
  <c r="C152" i="73"/>
  <c r="R152" i="73"/>
  <c r="X152" i="73"/>
  <c r="I152" i="73"/>
  <c r="CK138" i="63"/>
  <c r="CP138" i="63"/>
  <c r="D162" i="73"/>
  <c r="D640" i="73" s="1"/>
  <c r="S162" i="73"/>
  <c r="D613" i="73" s="1"/>
  <c r="CM158" i="63"/>
  <c r="CP158" i="63"/>
  <c r="CQ162" i="63"/>
  <c r="CO162" i="63"/>
  <c r="CK176" i="63"/>
  <c r="CP176" i="63"/>
  <c r="CJ176" i="63"/>
  <c r="CR175" i="63"/>
  <c r="CL175" i="63"/>
  <c r="CP93" i="63"/>
  <c r="CJ93" i="63"/>
  <c r="CO93" i="63"/>
  <c r="CP96" i="63"/>
  <c r="CM96" i="63"/>
  <c r="CR96" i="63"/>
  <c r="CP100" i="63"/>
  <c r="W117" i="73"/>
  <c r="AB117" i="73"/>
  <c r="M117" i="73"/>
  <c r="CR119" i="63"/>
  <c r="CL119" i="63"/>
  <c r="CJ109" i="63"/>
  <c r="CO109" i="63"/>
  <c r="CM149" i="63"/>
  <c r="CJ149" i="63"/>
  <c r="CN134" i="63"/>
  <c r="CH134" i="63"/>
  <c r="CR132" i="63"/>
  <c r="AB155" i="73" s="1"/>
  <c r="CL132" i="63"/>
  <c r="D187" i="73"/>
  <c r="S187" i="73"/>
  <c r="G187" i="73"/>
  <c r="V187" i="73"/>
  <c r="M187" i="73"/>
  <c r="CQ170" i="63"/>
  <c r="CR167" i="63"/>
  <c r="CK168" i="63"/>
  <c r="J45" i="73"/>
  <c r="CM39" i="63"/>
  <c r="CP57" i="63"/>
  <c r="CO63" i="63"/>
  <c r="CO71" i="63"/>
  <c r="CP63" i="63"/>
  <c r="CJ74" i="63"/>
  <c r="CH63" i="63"/>
  <c r="CR74" i="63"/>
  <c r="CH79" i="63"/>
  <c r="CH82" i="63"/>
  <c r="CR126" i="63"/>
  <c r="CL135" i="63"/>
  <c r="CR166" i="63"/>
  <c r="CP155" i="63"/>
  <c r="CR10" i="63"/>
  <c r="W93" i="73"/>
  <c r="H93" i="73"/>
  <c r="CP4" i="63"/>
  <c r="CP59" i="63"/>
  <c r="B65" i="73"/>
  <c r="B407" i="73" s="1"/>
  <c r="Q65" i="73"/>
  <c r="B380" i="73" s="1"/>
  <c r="R93" i="73"/>
  <c r="C452" i="73" s="1"/>
  <c r="C93" i="73"/>
  <c r="CI10" i="63"/>
  <c r="CO10" i="63"/>
  <c r="CO69" i="63"/>
  <c r="CH69" i="63"/>
  <c r="CI77" i="63"/>
  <c r="CG77" i="63"/>
  <c r="CK86" i="63"/>
  <c r="CL86" i="63"/>
  <c r="G45" i="73"/>
  <c r="G387" i="73" s="1"/>
  <c r="V45" i="73"/>
  <c r="G360" i="73" s="1"/>
  <c r="CJ47" i="63"/>
  <c r="CK51" i="63"/>
  <c r="CJ86" i="63"/>
  <c r="CR173" i="63"/>
  <c r="CO8" i="63"/>
  <c r="CQ8" i="63"/>
  <c r="CI64" i="63"/>
  <c r="CM72" i="63"/>
  <c r="J93" i="73"/>
  <c r="Y93" i="73"/>
  <c r="CP80" i="63"/>
  <c r="B196" i="73"/>
  <c r="Q196" i="73"/>
  <c r="B694" i="73" s="1"/>
  <c r="X196" i="73"/>
  <c r="I196" i="73"/>
  <c r="I721" i="73" s="1"/>
  <c r="CN135" i="63"/>
  <c r="CO144" i="63"/>
  <c r="E31" i="73"/>
  <c r="T31" i="73"/>
  <c r="R31" i="73"/>
  <c r="C31" i="73"/>
  <c r="CL67" i="63"/>
  <c r="CP67" i="63"/>
  <c r="Z83" i="73"/>
  <c r="K442" i="73" s="1"/>
  <c r="K83" i="73"/>
  <c r="K469" i="73" s="1"/>
  <c r="I83" i="73"/>
  <c r="I469" i="73" s="1"/>
  <c r="CJ75" i="63"/>
  <c r="CO78" i="63"/>
  <c r="Y91" i="73" s="1"/>
  <c r="J450" i="73" s="1"/>
  <c r="CJ83" i="63"/>
  <c r="CH83" i="63"/>
  <c r="CQ88" i="63"/>
  <c r="L101" i="73" s="1"/>
  <c r="L487" i="73" s="1"/>
  <c r="CP88" i="63"/>
  <c r="R123" i="73"/>
  <c r="C123" i="73"/>
  <c r="C556" i="73" s="1"/>
  <c r="CQ106" i="63"/>
  <c r="N44" i="62"/>
  <c r="N45" i="62"/>
  <c r="N46" i="62"/>
  <c r="N43" i="62"/>
  <c r="G78" i="62"/>
  <c r="L78" i="62"/>
  <c r="J78" i="62"/>
  <c r="AD46" i="62"/>
  <c r="AC78" i="62"/>
  <c r="T78" i="62"/>
  <c r="W78" i="62"/>
  <c r="CO15" i="63"/>
  <c r="CM9" i="63"/>
  <c r="CK76" i="63"/>
  <c r="F89" i="73" s="1"/>
  <c r="F475" i="73" s="1"/>
  <c r="CK153" i="63"/>
  <c r="T153" i="73"/>
  <c r="E604" i="73" s="1"/>
  <c r="E153" i="73"/>
  <c r="E631" i="73" s="1"/>
  <c r="CG29" i="63"/>
  <c r="CI52" i="63"/>
  <c r="S58" i="73" s="1"/>
  <c r="D373" i="73" s="1"/>
  <c r="CL142" i="63"/>
  <c r="Q122" i="73"/>
  <c r="B528" i="73" s="1"/>
  <c r="B122" i="73"/>
  <c r="B555" i="73" s="1"/>
  <c r="Q126" i="73"/>
  <c r="B532" i="73" s="1"/>
  <c r="B126" i="73"/>
  <c r="B559" i="73" s="1"/>
  <c r="Q118" i="73"/>
  <c r="B524" i="73" s="1"/>
  <c r="B118" i="73"/>
  <c r="Q136" i="73"/>
  <c r="B542" i="73" s="1"/>
  <c r="B136" i="73"/>
  <c r="B569" i="73" s="1"/>
  <c r="S56" i="73"/>
  <c r="D371" i="73" s="1"/>
  <c r="D56" i="73"/>
  <c r="U55" i="73"/>
  <c r="F55" i="73"/>
  <c r="U122" i="73"/>
  <c r="F122" i="73"/>
  <c r="U120" i="73"/>
  <c r="F526" i="73" s="1"/>
  <c r="F120" i="73"/>
  <c r="F553" i="73" s="1"/>
  <c r="Z120" i="73"/>
  <c r="K526" i="73" s="1"/>
  <c r="K120" i="73"/>
  <c r="K553" i="73" s="1"/>
  <c r="CM112" i="63"/>
  <c r="CQ105" i="63"/>
  <c r="X122" i="73"/>
  <c r="I122" i="73"/>
  <c r="R122" i="73"/>
  <c r="C122" i="73"/>
  <c r="CP98" i="63"/>
  <c r="CJ136" i="63"/>
  <c r="CH137" i="63"/>
  <c r="CM137" i="63"/>
  <c r="CR137" i="63"/>
  <c r="T163" i="73"/>
  <c r="E163" i="73"/>
  <c r="Y163" i="73"/>
  <c r="J163" i="73"/>
  <c r="CJ156" i="63"/>
  <c r="CK164" i="63"/>
  <c r="CP164" i="63"/>
  <c r="CJ164" i="63"/>
  <c r="CQ165" i="63"/>
  <c r="CR165" i="63"/>
  <c r="CK177" i="63"/>
  <c r="F204" i="73" s="1"/>
  <c r="F729" i="73" s="1"/>
  <c r="CP177" i="63"/>
  <c r="Z204" i="73" s="1"/>
  <c r="K702" i="73" s="1"/>
  <c r="Z206" i="73"/>
  <c r="K704" i="73" s="1"/>
  <c r="Q22" i="73"/>
  <c r="B22" i="73"/>
  <c r="B317" i="73" s="1"/>
  <c r="CI16" i="63"/>
  <c r="CN16" i="63"/>
  <c r="CH16" i="63"/>
  <c r="CM24" i="63"/>
  <c r="CR24" i="63"/>
  <c r="CL24" i="63"/>
  <c r="CQ40" i="63"/>
  <c r="CK40" i="63"/>
  <c r="CP40" i="63"/>
  <c r="V121" i="73"/>
  <c r="G121" i="73"/>
  <c r="T121" i="73"/>
  <c r="E121" i="73"/>
  <c r="E554" i="73" s="1"/>
  <c r="CK111" i="63"/>
  <c r="CP111" i="63"/>
  <c r="CO128" i="63"/>
  <c r="Y151" i="73" s="1"/>
  <c r="J602" i="73" s="1"/>
  <c r="CM127" i="63"/>
  <c r="CP127" i="63"/>
  <c r="CL131" i="63"/>
  <c r="CI143" i="63"/>
  <c r="CQ14" i="63"/>
  <c r="CK14" i="63"/>
  <c r="CP14" i="63"/>
  <c r="CJ22" i="63"/>
  <c r="CO22" i="63"/>
  <c r="F82" i="73"/>
  <c r="F468" i="73" s="1"/>
  <c r="U82" i="73"/>
  <c r="CK94" i="63"/>
  <c r="CP94" i="63"/>
  <c r="CH85" i="63"/>
  <c r="CH89" i="63"/>
  <c r="CK95" i="63"/>
  <c r="CP95" i="63"/>
  <c r="AA116" i="73"/>
  <c r="L116" i="73"/>
  <c r="CO99" i="63"/>
  <c r="CI107" i="63"/>
  <c r="CN107" i="63"/>
  <c r="CH107" i="63"/>
  <c r="CM115" i="63"/>
  <c r="CR115" i="63"/>
  <c r="CL115" i="63"/>
  <c r="CG110" i="63"/>
  <c r="CL110" i="63"/>
  <c r="CQ110" i="63"/>
  <c r="Z119" i="73"/>
  <c r="K119" i="73"/>
  <c r="CN117" i="63"/>
  <c r="CH117" i="63"/>
  <c r="CH125" i="63"/>
  <c r="CN125" i="63"/>
  <c r="G152" i="73"/>
  <c r="V152" i="73"/>
  <c r="M152" i="73"/>
  <c r="AB152" i="73"/>
  <c r="CO138" i="63"/>
  <c r="R162" i="73"/>
  <c r="C162" i="73"/>
  <c r="W162" i="73"/>
  <c r="H162" i="73"/>
  <c r="H640" i="73" s="1"/>
  <c r="AB162" i="73"/>
  <c r="M162" i="73"/>
  <c r="CJ154" i="63"/>
  <c r="CH162" i="63"/>
  <c r="CK96" i="63"/>
  <c r="CQ96" i="63"/>
  <c r="CG100" i="63"/>
  <c r="AA117" i="73"/>
  <c r="CN97" i="63"/>
  <c r="CL97" i="63"/>
  <c r="CK119" i="63"/>
  <c r="CP119" i="63"/>
  <c r="CN109" i="63"/>
  <c r="CH109" i="63"/>
  <c r="CO149" i="63"/>
  <c r="CM145" i="63"/>
  <c r="CK145" i="63"/>
  <c r="CQ134" i="63"/>
  <c r="CR134" i="63"/>
  <c r="CQ160" i="63"/>
  <c r="CP160" i="63"/>
  <c r="W197" i="73"/>
  <c r="H197" i="73"/>
  <c r="CJ170" i="63"/>
  <c r="CK167" i="63"/>
  <c r="CM168" i="63"/>
  <c r="CI172" i="63"/>
  <c r="CI39" i="63"/>
  <c r="CH43" i="63"/>
  <c r="CJ63" i="63"/>
  <c r="CN63" i="63"/>
  <c r="CM71" i="63"/>
  <c r="CQ148" i="63"/>
  <c r="CP148" i="63"/>
  <c r="CR155" i="63"/>
  <c r="CH8" i="63"/>
  <c r="CM64" i="63"/>
  <c r="CN126" i="63"/>
  <c r="CH157" i="63"/>
  <c r="CK6" i="63"/>
  <c r="CH6" i="63"/>
  <c r="CN10" i="63"/>
  <c r="CI69" i="63"/>
  <c r="CM69" i="63"/>
  <c r="CR77" i="63"/>
  <c r="CP86" i="63"/>
  <c r="CP35" i="63"/>
  <c r="CP43" i="63"/>
  <c r="CL157" i="63"/>
  <c r="CG64" i="63"/>
  <c r="CO114" i="63"/>
  <c r="Y131" i="73" s="1"/>
  <c r="J537" i="73" s="1"/>
  <c r="CP169" i="63"/>
  <c r="CO178" i="63"/>
  <c r="CN144" i="63"/>
  <c r="CL17" i="63"/>
  <c r="V19" i="73" s="1"/>
  <c r="G287" i="73" s="1"/>
  <c r="CP17" i="63"/>
  <c r="K19" i="73" s="1"/>
  <c r="K314" i="73" s="1"/>
  <c r="CJ25" i="63"/>
  <c r="J31" i="73"/>
  <c r="J326" i="73" s="1"/>
  <c r="Y31" i="73"/>
  <c r="J299" i="73" s="1"/>
  <c r="CM29" i="63"/>
  <c r="CO75" i="63"/>
  <c r="CK78" i="63"/>
  <c r="U91" i="73" s="1"/>
  <c r="F450" i="73" s="1"/>
  <c r="CH78" i="63"/>
  <c r="CM83" i="63"/>
  <c r="CR88" i="63"/>
  <c r="W123" i="73"/>
  <c r="Q123" i="73"/>
  <c r="B123" i="73"/>
  <c r="B556" i="73" s="1"/>
  <c r="CR51" i="63"/>
  <c r="F81" i="62"/>
  <c r="N75" i="62"/>
  <c r="N74" i="62"/>
  <c r="B78" i="62"/>
  <c r="K78" i="62"/>
  <c r="E78" i="62"/>
  <c r="N76" i="62"/>
  <c r="AD45" i="62"/>
  <c r="U81" i="62"/>
  <c r="AD74" i="62"/>
  <c r="R78" i="62"/>
  <c r="R81" i="62" s="1"/>
  <c r="AB78" i="62"/>
  <c r="AA78" i="62"/>
  <c r="CM3" i="63"/>
  <c r="CJ19" i="63"/>
  <c r="CG23" i="63"/>
  <c r="CK53" i="63"/>
  <c r="CM116" i="63"/>
  <c r="W133" i="73" s="1"/>
  <c r="H539" i="73" s="1"/>
  <c r="CG5" i="63"/>
  <c r="CJ65" i="63"/>
  <c r="CM68" i="63"/>
  <c r="CO68" i="63"/>
  <c r="CK73" i="63"/>
  <c r="U86" i="73" s="1"/>
  <c r="F445" i="73" s="1"/>
  <c r="CL81" i="63"/>
  <c r="CK84" i="63"/>
  <c r="F97" i="73" s="1"/>
  <c r="F483" i="73" s="1"/>
  <c r="CH33" i="63"/>
  <c r="CK41" i="63"/>
  <c r="CM45" i="63"/>
  <c r="CQ55" i="63"/>
  <c r="CM55" i="63"/>
  <c r="CM130" i="63"/>
  <c r="CQ19" i="63"/>
  <c r="CL74" i="63"/>
  <c r="CM133" i="63"/>
  <c r="CR19" i="63"/>
  <c r="CL23" i="63"/>
  <c r="CR23" i="63"/>
  <c r="CK27" i="63"/>
  <c r="CQ71" i="63"/>
  <c r="CG74" i="63"/>
  <c r="CR79" i="63"/>
  <c r="CO82" i="63"/>
  <c r="CG133" i="63"/>
  <c r="CN108" i="63"/>
  <c r="CO108" i="63"/>
  <c r="CR53" i="63"/>
  <c r="CH15" i="63"/>
  <c r="CN155" i="63"/>
  <c r="CR116" i="63"/>
  <c r="CQ153" i="63"/>
  <c r="CP58" i="63"/>
  <c r="Z64" i="73" s="1"/>
  <c r="K379" i="73" s="1"/>
  <c r="AB186" i="73"/>
  <c r="M186" i="73"/>
  <c r="V31" i="73"/>
  <c r="G31" i="73"/>
  <c r="G326" i="73" s="1"/>
  <c r="CH84" i="63"/>
  <c r="S123" i="73"/>
  <c r="D529" i="73" s="1"/>
  <c r="D123" i="73"/>
  <c r="CR142" i="63"/>
  <c r="CJ5" i="63"/>
  <c r="CL3" i="63"/>
  <c r="CJ45" i="63"/>
  <c r="CK68" i="63"/>
  <c r="F81" i="73" s="1"/>
  <c r="F467" i="73" s="1"/>
  <c r="CN81" i="63"/>
  <c r="Z153" i="73"/>
  <c r="K604" i="73" s="1"/>
  <c r="K153" i="73"/>
  <c r="CP159" i="63"/>
  <c r="CN171" i="63"/>
  <c r="CN73" i="63"/>
  <c r="I86" i="73" s="1"/>
  <c r="I472" i="73" s="1"/>
  <c r="CK124" i="63"/>
  <c r="CG142" i="63"/>
  <c r="CM171" i="63"/>
  <c r="CP52" i="63"/>
  <c r="K58" i="73" s="1"/>
  <c r="K400" i="73" s="1"/>
  <c r="L45" i="73"/>
  <c r="L387" i="73" s="1"/>
  <c r="AA45" i="73"/>
  <c r="L360" i="73" s="1"/>
  <c r="CG13" i="63"/>
  <c r="CR83" i="63"/>
  <c r="AB96" i="73" s="1"/>
  <c r="CQ141" i="63"/>
  <c r="CN166" i="63"/>
  <c r="I193" i="73" s="1"/>
  <c r="I718" i="73" s="1"/>
  <c r="L31" i="73"/>
  <c r="L326" i="73" s="1"/>
  <c r="AA31" i="73"/>
  <c r="L299" i="73" s="1"/>
  <c r="CM75" i="63"/>
  <c r="CM141" i="63"/>
  <c r="W164" i="73" s="1"/>
  <c r="H615" i="73" s="1"/>
  <c r="CJ9" i="63"/>
  <c r="CI142" i="63"/>
  <c r="CI130" i="63"/>
  <c r="CI5" i="63"/>
  <c r="S7" i="73" s="1"/>
  <c r="D275" i="73" s="1"/>
  <c r="CI45" i="63"/>
  <c r="CO59" i="63"/>
  <c r="CJ52" i="63"/>
  <c r="CK157" i="63"/>
  <c r="F184" i="73" s="1"/>
  <c r="F709" i="73" s="1"/>
  <c r="CH52" i="63"/>
  <c r="CQ146" i="63"/>
  <c r="AA169" i="73" s="1"/>
  <c r="L620" i="73" s="1"/>
  <c r="CP161" i="63"/>
  <c r="CR57" i="63"/>
  <c r="AB63" i="73" s="1"/>
  <c r="U11" i="73"/>
  <c r="F11" i="73"/>
  <c r="F306" i="73" s="1"/>
  <c r="X56" i="73"/>
  <c r="I56" i="73"/>
  <c r="Z55" i="73"/>
  <c r="K55" i="73"/>
  <c r="C120" i="73"/>
  <c r="C553" i="73" s="1"/>
  <c r="AB163" i="73"/>
  <c r="M163" i="73"/>
  <c r="B102" i="73"/>
  <c r="B488" i="73" s="1"/>
  <c r="Q102" i="73"/>
  <c r="B461" i="73" s="1"/>
  <c r="E152" i="73"/>
  <c r="T152" i="73"/>
  <c r="Q162" i="73"/>
  <c r="B162" i="73"/>
  <c r="B640" i="73" s="1"/>
  <c r="R117" i="73"/>
  <c r="C117" i="73"/>
  <c r="CI18" i="63"/>
  <c r="CN18" i="63"/>
  <c r="CH18" i="63"/>
  <c r="CM26" i="63"/>
  <c r="CR26" i="63"/>
  <c r="CL26" i="63"/>
  <c r="Q56" i="73"/>
  <c r="B56" i="73"/>
  <c r="B398" i="73" s="1"/>
  <c r="CQ50" i="63"/>
  <c r="CI49" i="63"/>
  <c r="X55" i="73"/>
  <c r="I55" i="73"/>
  <c r="R55" i="73"/>
  <c r="C55" i="73"/>
  <c r="Z56" i="73"/>
  <c r="K371" i="73" s="1"/>
  <c r="K56" i="73"/>
  <c r="E56" i="73"/>
  <c r="AB55" i="73"/>
  <c r="M55" i="73"/>
  <c r="V55" i="73"/>
  <c r="G55" i="73"/>
  <c r="CJ87" i="63"/>
  <c r="CO87" i="63"/>
  <c r="CQ103" i="63"/>
  <c r="Y120" i="73"/>
  <c r="J526" i="73" s="1"/>
  <c r="J120" i="73"/>
  <c r="J553" i="73" s="1"/>
  <c r="CL112" i="63"/>
  <c r="S122" i="73"/>
  <c r="D528" i="73" s="1"/>
  <c r="D122" i="73"/>
  <c r="AB122" i="73"/>
  <c r="M122" i="73"/>
  <c r="V122" i="73"/>
  <c r="G122" i="73"/>
  <c r="CQ136" i="63"/>
  <c r="CK137" i="63"/>
  <c r="CN140" i="63"/>
  <c r="CI165" i="63"/>
  <c r="CJ177" i="63"/>
  <c r="CJ179" i="63"/>
  <c r="CI104" i="63"/>
  <c r="CN104" i="63"/>
  <c r="CK101" i="63"/>
  <c r="CP101" i="63"/>
  <c r="CI123" i="63"/>
  <c r="CN123" i="63"/>
  <c r="CH123" i="63"/>
  <c r="CK147" i="63"/>
  <c r="U170" i="73" s="1"/>
  <c r="F621" i="73" s="1"/>
  <c r="CG46" i="63"/>
  <c r="T116" i="73"/>
  <c r="E116" i="73"/>
  <c r="CG102" i="63"/>
  <c r="CQ129" i="63"/>
  <c r="K152" i="73"/>
  <c r="Z152" i="73"/>
  <c r="Q152" i="73"/>
  <c r="B603" i="73" s="1"/>
  <c r="B152" i="73"/>
  <c r="V162" i="73"/>
  <c r="G613" i="73" s="1"/>
  <c r="AA162" i="73"/>
  <c r="L613" i="73" s="1"/>
  <c r="L162" i="73"/>
  <c r="L640" i="73" s="1"/>
  <c r="Q172" i="73"/>
  <c r="B623" i="73" s="1"/>
  <c r="B172" i="73"/>
  <c r="B650" i="73" s="1"/>
  <c r="CN154" i="63"/>
  <c r="X181" i="73" s="1"/>
  <c r="I679" i="73" s="1"/>
  <c r="CQ158" i="63"/>
  <c r="Y117" i="73"/>
  <c r="J117" i="73"/>
  <c r="CL100" i="63"/>
  <c r="CJ132" i="63"/>
  <c r="H187" i="73"/>
  <c r="W187" i="73"/>
  <c r="CO170" i="63"/>
  <c r="CJ167" i="63"/>
  <c r="Q197" i="73"/>
  <c r="B695" i="73" s="1"/>
  <c r="B197" i="73"/>
  <c r="B722" i="73" s="1"/>
  <c r="CI47" i="63"/>
  <c r="CR47" i="63"/>
  <c r="CN66" i="63"/>
  <c r="CR66" i="63"/>
  <c r="CH74" i="63"/>
  <c r="C87" i="73" s="1"/>
  <c r="C473" i="73" s="1"/>
  <c r="CI4" i="63"/>
  <c r="CJ114" i="63"/>
  <c r="T131" i="73" s="1"/>
  <c r="E537" i="73" s="1"/>
  <c r="Q12" i="73"/>
  <c r="B280" i="73" s="1"/>
  <c r="B12" i="73"/>
  <c r="B307" i="73" s="1"/>
  <c r="V21" i="73"/>
  <c r="G21" i="73"/>
  <c r="S93" i="73"/>
  <c r="D452" i="73" s="1"/>
  <c r="D93" i="73"/>
  <c r="D479" i="73" s="1"/>
  <c r="V196" i="73"/>
  <c r="CI161" i="63"/>
  <c r="CK178" i="63"/>
  <c r="U205" i="73" s="1"/>
  <c r="F703" i="73" s="1"/>
  <c r="CH17" i="63"/>
  <c r="CH25" i="63"/>
  <c r="C27" i="73" s="1"/>
  <c r="C322" i="73" s="1"/>
  <c r="U83" i="73"/>
  <c r="F83" i="73"/>
  <c r="F469" i="73" s="1"/>
  <c r="CR106" i="63"/>
  <c r="Z123" i="73"/>
  <c r="K123" i="73"/>
  <c r="CQ161" i="63"/>
  <c r="L188" i="73" s="1"/>
  <c r="L713" i="73" s="1"/>
  <c r="F78" i="62"/>
  <c r="D78" i="62"/>
  <c r="I78" i="62"/>
  <c r="N77" i="62"/>
  <c r="AD76" i="62"/>
  <c r="X78" i="62"/>
  <c r="Y78" i="62"/>
  <c r="CH3" i="63"/>
  <c r="R5" i="73" s="1"/>
  <c r="CK19" i="63"/>
  <c r="CH27" i="63"/>
  <c r="CO56" i="63"/>
  <c r="CH5" i="63"/>
  <c r="R7" i="73" s="1"/>
  <c r="C275" i="73" s="1"/>
  <c r="CN7" i="63"/>
  <c r="CK7" i="63"/>
  <c r="CI9" i="63"/>
  <c r="CO65" i="63"/>
  <c r="CJ73" i="63"/>
  <c r="CQ81" i="63"/>
  <c r="CM33" i="63"/>
  <c r="CK37" i="63"/>
  <c r="CL45" i="63"/>
  <c r="CR45" i="63"/>
  <c r="CG55" i="63"/>
  <c r="R153" i="73"/>
  <c r="C153" i="73"/>
  <c r="CH56" i="63"/>
  <c r="CK15" i="63"/>
  <c r="Y21" i="73"/>
  <c r="J289" i="73" s="1"/>
  <c r="J21" i="73"/>
  <c r="J316" i="73" s="1"/>
  <c r="CQ23" i="63"/>
  <c r="CP27" i="63"/>
  <c r="CI63" i="63"/>
  <c r="CO74" i="63"/>
  <c r="CL133" i="63"/>
  <c r="CI155" i="63"/>
  <c r="CO133" i="63"/>
  <c r="Y156" i="73" s="1"/>
  <c r="J607" i="73" s="1"/>
  <c r="CL76" i="63"/>
  <c r="CG9" i="63"/>
  <c r="CM7" i="63"/>
  <c r="CP68" i="63"/>
  <c r="Z81" i="73" s="1"/>
  <c r="K440" i="73" s="1"/>
  <c r="CH73" i="63"/>
  <c r="CN84" i="63"/>
  <c r="CP55" i="63"/>
  <c r="CP142" i="63"/>
  <c r="K165" i="73" s="1"/>
  <c r="K643" i="73" s="1"/>
  <c r="CN159" i="63"/>
  <c r="CQ171" i="63"/>
  <c r="AA198" i="73" s="1"/>
  <c r="L696" i="73" s="1"/>
  <c r="CN130" i="63"/>
  <c r="CH159" i="63"/>
  <c r="CL57" i="63"/>
  <c r="CL141" i="63"/>
  <c r="G164" i="73" s="1"/>
  <c r="G642" i="73" s="1"/>
  <c r="CJ67" i="63"/>
  <c r="CP33" i="63"/>
  <c r="Z39" i="73" s="1"/>
  <c r="CG37" i="63"/>
  <c r="CL130" i="63"/>
  <c r="B186" i="73"/>
  <c r="Q186" i="73"/>
  <c r="B684" i="73" s="1"/>
  <c r="CG41" i="63"/>
  <c r="CL171" i="63"/>
  <c r="V198" i="73" s="1"/>
  <c r="G696" i="73" s="1"/>
  <c r="CI67" i="63"/>
  <c r="CN8" i="63"/>
  <c r="X10" i="73" s="1"/>
  <c r="I278" i="73" s="1"/>
  <c r="CP141" i="63"/>
  <c r="CJ146" i="63"/>
  <c r="E169" i="73" s="1"/>
  <c r="E647" i="73" s="1"/>
  <c r="CQ78" i="63"/>
  <c r="Q55" i="73"/>
  <c r="B370" i="73" s="1"/>
  <c r="B55" i="73"/>
  <c r="B397" i="73" s="1"/>
  <c r="H83" i="62"/>
  <c r="CN85" i="63"/>
  <c r="CR95" i="63"/>
  <c r="CQ138" i="63"/>
  <c r="CI12" i="63"/>
  <c r="CR20" i="63"/>
  <c r="CQ28" i="63"/>
  <c r="CJ36" i="63"/>
  <c r="CN44" i="63"/>
  <c r="CK149" i="63"/>
  <c r="CP145" i="63"/>
  <c r="CL168" i="63"/>
  <c r="CO79" i="63"/>
  <c r="CG173" i="63"/>
  <c r="CH144" i="63"/>
  <c r="CN67" i="63"/>
  <c r="CI7" i="63"/>
  <c r="CL15" i="63"/>
  <c r="CQ9" i="63"/>
  <c r="CM41" i="63"/>
  <c r="CJ57" i="63"/>
  <c r="T63" i="73" s="1"/>
  <c r="E378" i="73" s="1"/>
  <c r="CQ73" i="63"/>
  <c r="CJ171" i="63"/>
  <c r="CL68" i="63"/>
  <c r="CO141" i="63"/>
  <c r="J164" i="73" s="1"/>
  <c r="J642" i="73" s="1"/>
  <c r="CI85" i="63"/>
  <c r="CH12" i="63"/>
  <c r="CL20" i="63"/>
  <c r="CP28" i="63"/>
  <c r="CI44" i="63"/>
  <c r="CM134" i="63"/>
  <c r="CI144" i="63"/>
  <c r="CL75" i="63"/>
  <c r="CR27" i="63"/>
  <c r="CK81" i="63"/>
  <c r="U94" i="73" s="1"/>
  <c r="F453" i="73" s="1"/>
  <c r="CO124" i="63"/>
  <c r="CH53" i="63"/>
  <c r="CP19" i="63"/>
  <c r="CM18" i="63"/>
  <c r="CK26" i="63"/>
  <c r="CO177" i="63"/>
  <c r="CQ101" i="63"/>
  <c r="CH147" i="63"/>
  <c r="CM12" i="63"/>
  <c r="CL12" i="63"/>
  <c r="CK20" i="63"/>
  <c r="CJ28" i="63"/>
  <c r="CI36" i="63"/>
  <c r="CH36" i="63"/>
  <c r="CR44" i="63"/>
  <c r="CG96" i="63"/>
  <c r="CK100" i="63"/>
  <c r="CI119" i="63"/>
  <c r="CI109" i="63"/>
  <c r="CH149" i="63"/>
  <c r="CJ145" i="63"/>
  <c r="CQ163" i="63"/>
  <c r="L190" i="73" s="1"/>
  <c r="L715" i="73" s="1"/>
  <c r="CP163" i="63"/>
  <c r="CO35" i="63"/>
  <c r="CL52" i="63"/>
  <c r="CJ71" i="63"/>
  <c r="CK63" i="63"/>
  <c r="CP126" i="63"/>
  <c r="CO126" i="63"/>
  <c r="CG155" i="63"/>
  <c r="CM4" i="63"/>
  <c r="CR64" i="63"/>
  <c r="CR59" i="63"/>
  <c r="CP39" i="63"/>
  <c r="CI8" i="63"/>
  <c r="CL80" i="63"/>
  <c r="CM169" i="63"/>
  <c r="CL144" i="63"/>
  <c r="CI13" i="63"/>
  <c r="CR13" i="63"/>
  <c r="CL25" i="63"/>
  <c r="CQ67" i="63"/>
  <c r="CQ75" i="63"/>
  <c r="CO83" i="63"/>
  <c r="CN3" i="63"/>
  <c r="CG27" i="63"/>
  <c r="CN65" i="63"/>
  <c r="CR68" i="63"/>
  <c r="CP73" i="63"/>
  <c r="CP81" i="63"/>
  <c r="CP41" i="63"/>
  <c r="CH124" i="63"/>
  <c r="CI124" i="63"/>
  <c r="CK116" i="63"/>
  <c r="CI23" i="63"/>
  <c r="CL82" i="63"/>
  <c r="CQ15" i="63"/>
  <c r="CG71" i="63"/>
  <c r="CI79" i="63"/>
  <c r="CP133" i="63"/>
  <c r="Z156" i="73" s="1"/>
  <c r="K607" i="73" s="1"/>
  <c r="CG108" i="63"/>
  <c r="CI116" i="63"/>
  <c r="CJ116" i="63"/>
  <c r="CL53" i="63"/>
  <c r="CM53" i="63"/>
  <c r="CL56" i="63"/>
  <c r="CN56" i="63"/>
  <c r="CN153" i="63"/>
  <c r="CP153" i="63"/>
  <c r="CP9" i="63"/>
  <c r="CK33" i="63"/>
  <c r="CL37" i="63"/>
  <c r="G43" i="73" s="1"/>
  <c r="G385" i="73" s="1"/>
  <c r="CK45" i="63"/>
  <c r="CQ130" i="63"/>
  <c r="CQ3" i="63"/>
  <c r="CP45" i="63"/>
  <c r="Z51" i="73" s="1"/>
  <c r="K366" i="73" s="1"/>
  <c r="CM76" i="63"/>
  <c r="CH81" i="63"/>
  <c r="R94" i="73" s="1"/>
  <c r="C453" i="73" s="1"/>
  <c r="CG171" i="63"/>
  <c r="CO166" i="63"/>
  <c r="Y193" i="73" s="1"/>
  <c r="J691" i="73" s="1"/>
  <c r="CH88" i="63"/>
  <c r="CH141" i="63"/>
  <c r="C164" i="73" s="1"/>
  <c r="C642" i="73" s="1"/>
  <c r="CQ76" i="63"/>
  <c r="CG33" i="63"/>
  <c r="CL7" i="63"/>
  <c r="CJ142" i="63"/>
  <c r="T165" i="73" s="1"/>
  <c r="E616" i="73" s="1"/>
  <c r="CM84" i="63"/>
  <c r="CP69" i="63"/>
  <c r="CI57" i="63"/>
  <c r="CO146" i="63"/>
  <c r="J169" i="73" s="1"/>
  <c r="J647" i="73" s="1"/>
  <c r="CI17" i="63"/>
  <c r="CJ141" i="63"/>
  <c r="T164" i="73" s="1"/>
  <c r="E615" i="73" s="1"/>
  <c r="CQ173" i="63"/>
  <c r="CQ119" i="63"/>
  <c r="CJ51" i="63"/>
  <c r="CJ6" i="63"/>
  <c r="CR69" i="63"/>
  <c r="CO76" i="63"/>
  <c r="CR56" i="63"/>
  <c r="CL63" i="63"/>
  <c r="CR18" i="63"/>
  <c r="CQ26" i="63"/>
  <c r="CO143" i="63"/>
  <c r="CR85" i="63"/>
  <c r="CQ89" i="63"/>
  <c r="CM95" i="63"/>
  <c r="CN113" i="63"/>
  <c r="CL102" i="63"/>
  <c r="CJ102" i="63"/>
  <c r="CJ11" i="63"/>
  <c r="CQ18" i="63"/>
  <c r="CP18" i="63"/>
  <c r="CO26" i="63"/>
  <c r="CO50" i="63"/>
  <c r="CI87" i="63"/>
  <c r="CI136" i="63"/>
  <c r="CO137" i="63"/>
  <c r="CL140" i="63"/>
  <c r="CJ165" i="63"/>
  <c r="CN177" i="63"/>
  <c r="CH177" i="63"/>
  <c r="CH179" i="63"/>
  <c r="CN179" i="63"/>
  <c r="CM16" i="63"/>
  <c r="CR16" i="63"/>
  <c r="CL16" i="63"/>
  <c r="CQ24" i="63"/>
  <c r="CK24" i="63"/>
  <c r="CP24" i="63"/>
  <c r="CJ40" i="63"/>
  <c r="CO40" i="63"/>
  <c r="CI48" i="63"/>
  <c r="D54" i="73" s="1"/>
  <c r="D396" i="73" s="1"/>
  <c r="CK48" i="63"/>
  <c r="CQ48" i="63"/>
  <c r="L54" i="73" s="1"/>
  <c r="L396" i="73" s="1"/>
  <c r="CH104" i="63"/>
  <c r="CJ101" i="63"/>
  <c r="CJ111" i="63"/>
  <c r="CO111" i="63"/>
  <c r="CI128" i="63"/>
  <c r="CO127" i="63"/>
  <c r="CJ127" i="63"/>
  <c r="CP131" i="63"/>
  <c r="CJ131" i="63"/>
  <c r="CQ143" i="63"/>
  <c r="CH143" i="63"/>
  <c r="CN143" i="63"/>
  <c r="CL147" i="63"/>
  <c r="CR147" i="63"/>
  <c r="CP174" i="63"/>
  <c r="CJ14" i="63"/>
  <c r="CO14" i="63"/>
  <c r="CI22" i="63"/>
  <c r="CN22" i="63"/>
  <c r="CH22" i="63"/>
  <c r="CN94" i="63"/>
  <c r="CO94" i="63"/>
  <c r="CI94" i="63"/>
  <c r="CL85" i="63"/>
  <c r="CQ85" i="63"/>
  <c r="CK85" i="63"/>
  <c r="CL89" i="63"/>
  <c r="CJ89" i="63"/>
  <c r="CO89" i="63"/>
  <c r="CN95" i="63"/>
  <c r="CO95" i="63"/>
  <c r="CM99" i="63"/>
  <c r="CH99" i="63"/>
  <c r="CM107" i="63"/>
  <c r="CR107" i="63"/>
  <c r="CL107" i="63"/>
  <c r="CQ115" i="63"/>
  <c r="CK115" i="63"/>
  <c r="CP115" i="63"/>
  <c r="CK110" i="63"/>
  <c r="CP110" i="63"/>
  <c r="CJ110" i="63"/>
  <c r="CI113" i="63"/>
  <c r="CR113" i="63"/>
  <c r="CL113" i="63"/>
  <c r="CI102" i="63"/>
  <c r="CN102" i="63"/>
  <c r="CM117" i="63"/>
  <c r="CR117" i="63"/>
  <c r="CL117" i="63"/>
  <c r="CI125" i="63"/>
  <c r="CL125" i="63"/>
  <c r="CR125" i="63"/>
  <c r="CI138" i="63"/>
  <c r="CN138" i="63"/>
  <c r="CH138" i="63"/>
  <c r="CH154" i="63"/>
  <c r="CH158" i="63"/>
  <c r="CN158" i="63"/>
  <c r="CK162" i="63"/>
  <c r="CL162" i="63"/>
  <c r="CR162" i="63"/>
  <c r="CH176" i="63"/>
  <c r="CM176" i="63"/>
  <c r="CR176" i="63"/>
  <c r="CJ175" i="63"/>
  <c r="T202" i="73" s="1"/>
  <c r="E700" i="73" s="1"/>
  <c r="CO175" i="63"/>
  <c r="CQ12" i="63"/>
  <c r="CK12" i="63"/>
  <c r="CP12" i="63"/>
  <c r="CJ20" i="63"/>
  <c r="CO20" i="63"/>
  <c r="CI28" i="63"/>
  <c r="CN28" i="63"/>
  <c r="CH28" i="63"/>
  <c r="CM36" i="63"/>
  <c r="CR36" i="63"/>
  <c r="CL36" i="63"/>
  <c r="CQ44" i="63"/>
  <c r="CK44" i="63"/>
  <c r="CP44" i="63"/>
  <c r="CH93" i="63"/>
  <c r="CM93" i="63"/>
  <c r="CR93" i="63"/>
  <c r="CO96" i="63"/>
  <c r="CL96" i="63"/>
  <c r="CJ96" i="63"/>
  <c r="CJ100" i="63"/>
  <c r="CK97" i="63"/>
  <c r="CP97" i="63"/>
  <c r="CJ119" i="63"/>
  <c r="CO119" i="63"/>
  <c r="CM109" i="63"/>
  <c r="CR109" i="63"/>
  <c r="CL109" i="63"/>
  <c r="CI149" i="63"/>
  <c r="CL149" i="63"/>
  <c r="CR149" i="63"/>
  <c r="CO145" i="63"/>
  <c r="CH145" i="63"/>
  <c r="CN145" i="63"/>
  <c r="CI134" i="63"/>
  <c r="CK134" i="63"/>
  <c r="CP134" i="63"/>
  <c r="CO132" i="63"/>
  <c r="CK160" i="63"/>
  <c r="CJ160" i="63"/>
  <c r="CH170" i="63"/>
  <c r="CN170" i="63"/>
  <c r="CO167" i="63"/>
  <c r="Y194" i="73" s="1"/>
  <c r="J692" i="73" s="1"/>
  <c r="CG172" i="63"/>
  <c r="CJ163" i="63"/>
  <c r="T190" i="73" s="1"/>
  <c r="E688" i="73" s="1"/>
  <c r="CO163" i="63"/>
  <c r="CQ168" i="63"/>
  <c r="CO168" i="63"/>
  <c r="CJ168" i="63"/>
  <c r="CQ172" i="63"/>
  <c r="CI35" i="63"/>
  <c r="D41" i="73" s="1"/>
  <c r="D383" i="73" s="1"/>
  <c r="CR35" i="63"/>
  <c r="CN39" i="63"/>
  <c r="CO43" i="63"/>
  <c r="CM43" i="63"/>
  <c r="W49" i="73" s="1"/>
  <c r="H364" i="73" s="1"/>
  <c r="CI51" i="63"/>
  <c r="CN74" i="63"/>
  <c r="CN82" i="63"/>
  <c r="CK71" i="63"/>
  <c r="F84" i="73" s="1"/>
  <c r="F470" i="73" s="1"/>
  <c r="CP79" i="63"/>
  <c r="CH71" i="63"/>
  <c r="CR82" i="63"/>
  <c r="CJ126" i="63"/>
  <c r="CJ135" i="63"/>
  <c r="CI148" i="63"/>
  <c r="S171" i="73" s="1"/>
  <c r="D622" i="73" s="1"/>
  <c r="CG126" i="63"/>
  <c r="CQ155" i="63"/>
  <c r="AA182" i="73" s="1"/>
  <c r="L680" i="73" s="1"/>
  <c r="CM155" i="63"/>
  <c r="CH166" i="63"/>
  <c r="CO155" i="63"/>
  <c r="CO6" i="63"/>
  <c r="CJ72" i="63"/>
  <c r="CO86" i="63"/>
  <c r="CJ157" i="63"/>
  <c r="CH59" i="63"/>
  <c r="CL59" i="63"/>
  <c r="CP10" i="63"/>
  <c r="CP72" i="63"/>
  <c r="CM157" i="63"/>
  <c r="CP6" i="63"/>
  <c r="CH10" i="63"/>
  <c r="CQ10" i="63"/>
  <c r="CQ69" i="63"/>
  <c r="CG69" i="63"/>
  <c r="CJ77" i="63"/>
  <c r="CL77" i="63"/>
  <c r="CP77" i="63"/>
  <c r="CH86" i="63"/>
  <c r="CN86" i="63"/>
  <c r="CK35" i="63"/>
  <c r="CK39" i="63"/>
  <c r="CK43" i="63"/>
  <c r="CP47" i="63"/>
  <c r="CN51" i="63"/>
  <c r="CH51" i="63"/>
  <c r="CM54" i="63"/>
  <c r="CQ157" i="63"/>
  <c r="CK173" i="63"/>
  <c r="CI157" i="63"/>
  <c r="D184" i="73" s="1"/>
  <c r="D709" i="73" s="1"/>
  <c r="CO173" i="63"/>
  <c r="CP8" i="63"/>
  <c r="CO64" i="63"/>
  <c r="CP64" i="63"/>
  <c r="K77" i="73" s="1"/>
  <c r="K463" i="73" s="1"/>
  <c r="CO72" i="63"/>
  <c r="CQ80" i="63"/>
  <c r="CK80" i="63"/>
  <c r="CK114" i="63"/>
  <c r="CQ126" i="63"/>
  <c r="CQ169" i="63"/>
  <c r="CR54" i="63"/>
  <c r="CG148" i="63"/>
  <c r="Q171" i="73" s="1"/>
  <c r="B622" i="73" s="1"/>
  <c r="CR161" i="63"/>
  <c r="CP144" i="63"/>
  <c r="Z167" i="73" s="1"/>
  <c r="K618" i="73" s="1"/>
  <c r="CQ17" i="63"/>
  <c r="CG21" i="63"/>
  <c r="CH21" i="63"/>
  <c r="CQ25" i="63"/>
  <c r="AA27" i="73" s="1"/>
  <c r="L295" i="73" s="1"/>
  <c r="CK29" i="63"/>
  <c r="CI29" i="63"/>
  <c r="CR29" i="63"/>
  <c r="CM67" i="63"/>
  <c r="W80" i="73" s="1"/>
  <c r="H439" i="73" s="1"/>
  <c r="CK75" i="63"/>
  <c r="CI75" i="63"/>
  <c r="CM78" i="63"/>
  <c r="CK83" i="63"/>
  <c r="F96" i="73" s="1"/>
  <c r="F482" i="73" s="1"/>
  <c r="CI83" i="63"/>
  <c r="CN88" i="63"/>
  <c r="CO88" i="63"/>
  <c r="H86" i="62"/>
  <c r="W59" i="62"/>
  <c r="X56" i="62"/>
  <c r="X89" i="62"/>
  <c r="CI3" i="63"/>
  <c r="CN15" i="63"/>
  <c r="CJ23" i="63"/>
  <c r="E25" i="73" s="1"/>
  <c r="E320" i="73" s="1"/>
  <c r="CG15" i="63"/>
  <c r="CQ66" i="63"/>
  <c r="CI56" i="63"/>
  <c r="CL5" i="63"/>
  <c r="CM5" i="63"/>
  <c r="CN9" i="63"/>
  <c r="CH65" i="63"/>
  <c r="CI65" i="63"/>
  <c r="CI68" i="63"/>
  <c r="CO73" i="63"/>
  <c r="CI76" i="63"/>
  <c r="CP84" i="63"/>
  <c r="CQ84" i="63"/>
  <c r="CR33" i="63"/>
  <c r="CP37" i="63"/>
  <c r="CJ41" i="63"/>
  <c r="CR55" i="63"/>
  <c r="CN55" i="63"/>
  <c r="I61" i="73" s="1"/>
  <c r="I403" i="73" s="1"/>
  <c r="CN124" i="63"/>
  <c r="CG130" i="63"/>
  <c r="CK108" i="63"/>
  <c r="CQ27" i="63"/>
  <c r="CI53" i="63"/>
  <c r="CM108" i="63"/>
  <c r="CP15" i="63"/>
  <c r="CH19" i="63"/>
  <c r="CI19" i="63"/>
  <c r="CH23" i="63"/>
  <c r="CJ27" i="63"/>
  <c r="CL66" i="63"/>
  <c r="V79" i="73" s="1"/>
  <c r="G438" i="73" s="1"/>
  <c r="CL71" i="63"/>
  <c r="CG79" i="63"/>
  <c r="CG82" i="63"/>
  <c r="CJ133" i="63"/>
  <c r="CQ133" i="63"/>
  <c r="CP108" i="63"/>
  <c r="CN116" i="63"/>
  <c r="CO116" i="63"/>
  <c r="CQ53" i="63"/>
  <c r="CP56" i="63"/>
  <c r="CQ56" i="63"/>
  <c r="CH108" i="63"/>
  <c r="CP23" i="63"/>
  <c r="CI153" i="63"/>
  <c r="S180" i="73" s="1"/>
  <c r="CL58" i="63"/>
  <c r="CP53" i="63"/>
  <c r="Z59" i="73" s="1"/>
  <c r="K374" i="73" s="1"/>
  <c r="CK3" i="63"/>
  <c r="CO45" i="63"/>
  <c r="CR65" i="63"/>
  <c r="CG124" i="63"/>
  <c r="Q147" i="73" s="1"/>
  <c r="B598" i="73" s="1"/>
  <c r="CI159" i="63"/>
  <c r="CR171" i="63"/>
  <c r="AB198" i="73" s="1"/>
  <c r="CL9" i="63"/>
  <c r="CR41" i="63"/>
  <c r="M47" i="73" s="1"/>
  <c r="CN142" i="63"/>
  <c r="CO159" i="63"/>
  <c r="CR7" i="63"/>
  <c r="CL33" i="63"/>
  <c r="V39" i="73" s="1"/>
  <c r="CK65" i="63"/>
  <c r="CH142" i="63"/>
  <c r="R165" i="73" s="1"/>
  <c r="C616" i="73" s="1"/>
  <c r="CQ159" i="63"/>
  <c r="CO57" i="63"/>
  <c r="Y63" i="73" s="1"/>
  <c r="J378" i="73" s="1"/>
  <c r="CO17" i="63"/>
  <c r="CL78" i="63"/>
  <c r="CM52" i="63"/>
  <c r="H58" i="73" s="1"/>
  <c r="H400" i="73" s="1"/>
  <c r="CN57" i="63"/>
  <c r="I63" i="73" s="1"/>
  <c r="I405" i="73" s="1"/>
  <c r="CK141" i="63"/>
  <c r="CQ21" i="63"/>
  <c r="L23" i="73" s="1"/>
  <c r="L318" i="73" s="1"/>
  <c r="CR70" i="63"/>
  <c r="CR52" i="63"/>
  <c r="CQ57" i="63"/>
  <c r="CN106" i="63"/>
  <c r="CH37" i="63"/>
  <c r="CO55" i="63"/>
  <c r="J61" i="73" s="1"/>
  <c r="J403" i="73" s="1"/>
  <c r="CJ3" i="63"/>
  <c r="CR73" i="63"/>
  <c r="M86" i="73" s="1"/>
  <c r="CR37" i="63"/>
  <c r="CL124" i="63"/>
  <c r="G147" i="73" s="1"/>
  <c r="G625" i="73" s="1"/>
  <c r="CJ159" i="63"/>
  <c r="CI171" i="63"/>
  <c r="D198" i="73" s="1"/>
  <c r="D723" i="73" s="1"/>
  <c r="CI81" i="63"/>
  <c r="CG45" i="63"/>
  <c r="Q51" i="73" s="1"/>
  <c r="B366" i="73" s="1"/>
  <c r="CN4" i="63"/>
  <c r="CJ144" i="63"/>
  <c r="T167" i="73" s="1"/>
  <c r="E618" i="73" s="1"/>
  <c r="CN75" i="63"/>
  <c r="CP146" i="63"/>
  <c r="Z169" i="73" s="1"/>
  <c r="K620" i="73" s="1"/>
  <c r="CL146" i="63"/>
  <c r="CO52" i="63"/>
  <c r="Y58" i="73" s="1"/>
  <c r="J373" i="73" s="1"/>
  <c r="CH146" i="63"/>
  <c r="CM173" i="63"/>
  <c r="W200" i="73" s="1"/>
  <c r="H698" i="73" s="1"/>
  <c r="CG143" i="63"/>
  <c r="CJ162" i="63"/>
  <c r="CN12" i="63"/>
  <c r="CM20" i="63"/>
  <c r="CK28" i="63"/>
  <c r="CO36" i="63"/>
  <c r="CH44" i="63"/>
  <c r="CQ145" i="63"/>
  <c r="CR168" i="63"/>
  <c r="CJ7" i="63"/>
  <c r="CR130" i="63"/>
  <c r="CP116" i="63"/>
  <c r="CL18" i="63"/>
  <c r="CP26" i="63"/>
  <c r="CK50" i="63"/>
  <c r="CG112" i="63"/>
  <c r="Q129" i="73" s="1"/>
  <c r="B535" i="73" s="1"/>
  <c r="CG98" i="63"/>
  <c r="CH140" i="63"/>
  <c r="CO156" i="63"/>
  <c r="CO179" i="63"/>
  <c r="CO104" i="63"/>
  <c r="CQ131" i="63"/>
  <c r="CJ143" i="63"/>
  <c r="CN147" i="63"/>
  <c r="CL174" i="63"/>
  <c r="CM85" i="63"/>
  <c r="CK89" i="63"/>
  <c r="CH113" i="63"/>
  <c r="CI117" i="63"/>
  <c r="CJ138" i="63"/>
  <c r="CJ158" i="63"/>
  <c r="CI162" i="63"/>
  <c r="CN162" i="63"/>
  <c r="CO176" i="63"/>
  <c r="CI176" i="63"/>
  <c r="CN176" i="63"/>
  <c r="CP175" i="63"/>
  <c r="CR12" i="63"/>
  <c r="CQ20" i="63"/>
  <c r="CP20" i="63"/>
  <c r="CO28" i="63"/>
  <c r="CN36" i="63"/>
  <c r="CM44" i="63"/>
  <c r="CL44" i="63"/>
  <c r="CI93" i="63"/>
  <c r="CN93" i="63"/>
  <c r="CN149" i="63"/>
  <c r="CL134" i="63"/>
  <c r="CK170" i="63"/>
  <c r="CM167" i="63"/>
  <c r="CP167" i="63"/>
  <c r="CP168" i="63"/>
  <c r="CH58" i="63"/>
  <c r="CR39" i="63"/>
  <c r="CO51" i="63"/>
  <c r="CJ79" i="63"/>
  <c r="CP71" i="63"/>
  <c r="CN79" i="63"/>
  <c r="CO135" i="63"/>
  <c r="CM166" i="63"/>
  <c r="CG166" i="63"/>
  <c r="CO4" i="63"/>
  <c r="CN59" i="63"/>
  <c r="CQ6" i="63"/>
  <c r="CL10" i="63"/>
  <c r="CL69" i="63"/>
  <c r="CK77" i="63"/>
  <c r="CQ86" i="63"/>
  <c r="CM51" i="63"/>
  <c r="CN173" i="63"/>
  <c r="X200" i="73" s="1"/>
  <c r="I698" i="73" s="1"/>
  <c r="CN64" i="63"/>
  <c r="CR72" i="63"/>
  <c r="CJ80" i="63"/>
  <c r="CJ169" i="63"/>
  <c r="CL148" i="63"/>
  <c r="CM178" i="63"/>
  <c r="W205" i="73" s="1"/>
  <c r="H703" i="73" s="1"/>
  <c r="CK13" i="63"/>
  <c r="CH67" i="63"/>
  <c r="CL70" i="63"/>
  <c r="CO70" i="63"/>
  <c r="CJ88" i="63"/>
  <c r="CK18" i="63"/>
  <c r="CJ26" i="63"/>
  <c r="CN87" i="63"/>
  <c r="CJ103" i="63"/>
  <c r="CK112" i="63"/>
  <c r="U129" i="73" s="1"/>
  <c r="F535" i="73" s="1"/>
  <c r="CO98" i="63"/>
  <c r="CK11" i="63"/>
  <c r="CP11" i="63"/>
  <c r="CM34" i="63"/>
  <c r="CR34" i="63"/>
  <c r="CL34" i="63"/>
  <c r="CQ42" i="63"/>
  <c r="CK42" i="63"/>
  <c r="CP42" i="63"/>
  <c r="CM50" i="63"/>
  <c r="CR50" i="63"/>
  <c r="CJ49" i="63"/>
  <c r="CO49" i="63"/>
  <c r="CM87" i="63"/>
  <c r="CR87" i="63"/>
  <c r="CR103" i="63"/>
  <c r="CO112" i="63"/>
  <c r="CJ105" i="63"/>
  <c r="CO105" i="63"/>
  <c r="CG118" i="63"/>
  <c r="CL118" i="63"/>
  <c r="CQ118" i="63"/>
  <c r="CK98" i="63"/>
  <c r="CQ98" i="63"/>
  <c r="CK136" i="63"/>
  <c r="CP136" i="63"/>
  <c r="CQ156" i="63"/>
  <c r="CM165" i="63"/>
  <c r="CN165" i="63"/>
  <c r="CQ177" i="63"/>
  <c r="CR177" i="63"/>
  <c r="CL179" i="63"/>
  <c r="CR179" i="63"/>
  <c r="CQ16" i="63"/>
  <c r="L18" i="73" s="1"/>
  <c r="L313" i="73" s="1"/>
  <c r="CK16" i="63"/>
  <c r="CP16" i="63"/>
  <c r="Z18" i="73" s="1"/>
  <c r="K286" i="73" s="1"/>
  <c r="CJ24" i="63"/>
  <c r="CO24" i="63"/>
  <c r="J26" i="73" s="1"/>
  <c r="J321" i="73" s="1"/>
  <c r="CI40" i="63"/>
  <c r="CN40" i="63"/>
  <c r="CH40" i="63"/>
  <c r="CO48" i="63"/>
  <c r="Y54" i="73" s="1"/>
  <c r="J369" i="73" s="1"/>
  <c r="CM104" i="63"/>
  <c r="CR104" i="63"/>
  <c r="CR101" i="63"/>
  <c r="CO101" i="63"/>
  <c r="CN111" i="63"/>
  <c r="CH111" i="63"/>
  <c r="CM123" i="63"/>
  <c r="CR123" i="63"/>
  <c r="CL123" i="63"/>
  <c r="CQ128" i="63"/>
  <c r="CH127" i="63"/>
  <c r="CN127" i="63"/>
  <c r="CI131" i="63"/>
  <c r="CK143" i="63"/>
  <c r="CL143" i="63"/>
  <c r="CR143" i="63"/>
  <c r="CM174" i="63"/>
  <c r="CI14" i="63"/>
  <c r="CN14" i="63"/>
  <c r="CH14" i="63"/>
  <c r="CM22" i="63"/>
  <c r="CR22" i="63"/>
  <c r="CL22" i="63"/>
  <c r="CR94" i="63"/>
  <c r="CH94" i="63"/>
  <c r="CM94" i="63"/>
  <c r="CP85" i="63"/>
  <c r="CJ85" i="63"/>
  <c r="CO85" i="63"/>
  <c r="CJ95" i="63"/>
  <c r="CI95" i="63"/>
  <c r="CH95" i="63"/>
  <c r="CN99" i="63"/>
  <c r="CL99" i="63"/>
  <c r="CQ107" i="63"/>
  <c r="CK107" i="63"/>
  <c r="CP107" i="63"/>
  <c r="CJ115" i="63"/>
  <c r="CO115" i="63"/>
  <c r="CO110" i="63"/>
  <c r="CI110" i="63"/>
  <c r="CN110" i="63"/>
  <c r="CM113" i="63"/>
  <c r="CO102" i="63"/>
  <c r="CQ117" i="63"/>
  <c r="CK117" i="63"/>
  <c r="CP117" i="63"/>
  <c r="CP125" i="63"/>
  <c r="CM129" i="63"/>
  <c r="CK129" i="63"/>
  <c r="CM138" i="63"/>
  <c r="CR138" i="63"/>
  <c r="CL138" i="63"/>
  <c r="CP139" i="63"/>
  <c r="CJ139" i="63"/>
  <c r="CR154" i="63"/>
  <c r="CL154" i="63"/>
  <c r="CK158" i="63"/>
  <c r="CM162" i="63"/>
  <c r="CP162" i="63"/>
  <c r="CI175" i="63"/>
  <c r="CH175" i="63"/>
  <c r="CJ12" i="63"/>
  <c r="CO12" i="63"/>
  <c r="CI20" i="63"/>
  <c r="CN20" i="63"/>
  <c r="CH20" i="63"/>
  <c r="CM28" i="63"/>
  <c r="CR28" i="63"/>
  <c r="CL28" i="63"/>
  <c r="CQ36" i="63"/>
  <c r="CK36" i="63"/>
  <c r="CP36" i="63"/>
  <c r="CJ44" i="63"/>
  <c r="CO44" i="63"/>
  <c r="CH96" i="63"/>
  <c r="CI96" i="63"/>
  <c r="CN96" i="63"/>
  <c r="CO97" i="63"/>
  <c r="CM119" i="63"/>
  <c r="CN119" i="63"/>
  <c r="CH119" i="63"/>
  <c r="CQ109" i="63"/>
  <c r="CK109" i="63"/>
  <c r="CP109" i="63"/>
  <c r="CQ149" i="63"/>
  <c r="CP149" i="63"/>
  <c r="CI145" i="63"/>
  <c r="CL145" i="63"/>
  <c r="CR145" i="63"/>
  <c r="CJ134" i="63"/>
  <c r="CO134" i="63"/>
  <c r="CI132" i="63"/>
  <c r="CN132" i="63"/>
  <c r="X155" i="73" s="1"/>
  <c r="I606" i="73" s="1"/>
  <c r="CH132" i="63"/>
  <c r="CO160" i="63"/>
  <c r="CH160" i="63"/>
  <c r="CN160" i="63"/>
  <c r="CL170" i="63"/>
  <c r="CR170" i="63"/>
  <c r="CN167" i="63"/>
  <c r="CI163" i="63"/>
  <c r="S190" i="73" s="1"/>
  <c r="D688" i="73" s="1"/>
  <c r="CI168" i="63"/>
  <c r="CH168" i="63"/>
  <c r="CN168" i="63"/>
  <c r="CK172" i="63"/>
  <c r="CI43" i="63"/>
  <c r="CN47" i="63"/>
  <c r="CL54" i="63"/>
  <c r="CK57" i="63"/>
  <c r="CI74" i="63"/>
  <c r="CI82" i="63"/>
  <c r="S95" i="73" s="1"/>
  <c r="D454" i="73" s="1"/>
  <c r="CJ66" i="63"/>
  <c r="CK74" i="63"/>
  <c r="F87" i="73" s="1"/>
  <c r="F473" i="73" s="1"/>
  <c r="CK79" i="63"/>
  <c r="CM63" i="63"/>
  <c r="CN71" i="63"/>
  <c r="CM79" i="63"/>
  <c r="CM82" i="63"/>
  <c r="CI126" i="63"/>
  <c r="D149" i="73" s="1"/>
  <c r="D627" i="73" s="1"/>
  <c r="CK148" i="63"/>
  <c r="CO148" i="63"/>
  <c r="CL155" i="63"/>
  <c r="CH155" i="63"/>
  <c r="CJ155" i="63"/>
  <c r="CG157" i="63"/>
  <c r="CR4" i="63"/>
  <c r="CK4" i="63"/>
  <c r="CK59" i="63"/>
  <c r="CM59" i="63"/>
  <c r="CQ59" i="63"/>
  <c r="CM77" i="63"/>
  <c r="CJ173" i="63"/>
  <c r="CR6" i="63"/>
  <c r="CJ10" i="63"/>
  <c r="CM10" i="63"/>
  <c r="CJ69" i="63"/>
  <c r="CN69" i="63"/>
  <c r="CO77" i="63"/>
  <c r="CQ77" i="63"/>
  <c r="CM86" i="63"/>
  <c r="CR86" i="63"/>
  <c r="CJ35" i="63"/>
  <c r="CJ39" i="63"/>
  <c r="CJ43" i="63"/>
  <c r="CK47" i="63"/>
  <c r="CL51" i="63"/>
  <c r="CQ51" i="63"/>
  <c r="L57" i="73" s="1"/>
  <c r="L399" i="73" s="1"/>
  <c r="CJ8" i="63"/>
  <c r="CL8" i="63"/>
  <c r="V10" i="73" s="1"/>
  <c r="G278" i="73" s="1"/>
  <c r="CL64" i="63"/>
  <c r="CH169" i="63"/>
  <c r="CO169" i="63"/>
  <c r="CP178" i="63"/>
  <c r="Z205" i="73" s="1"/>
  <c r="K703" i="73" s="1"/>
  <c r="CN178" i="63"/>
  <c r="CK144" i="63"/>
  <c r="CQ144" i="63"/>
  <c r="CM17" i="63"/>
  <c r="H19" i="73" s="1"/>
  <c r="H314" i="73" s="1"/>
  <c r="CG17" i="63"/>
  <c r="CO21" i="63"/>
  <c r="Y23" i="73" s="1"/>
  <c r="J291" i="73" s="1"/>
  <c r="CM21" i="63"/>
  <c r="CM25" i="63"/>
  <c r="W27" i="73" s="1"/>
  <c r="H295" i="73" s="1"/>
  <c r="CK25" i="63"/>
  <c r="CP29" i="63"/>
  <c r="CR67" i="63"/>
  <c r="CK67" i="63"/>
  <c r="CR75" i="63"/>
  <c r="CP75" i="63"/>
  <c r="CP78" i="63"/>
  <c r="CR78" i="63"/>
  <c r="CP83" i="63"/>
  <c r="CN83" i="63"/>
  <c r="CL88" i="63"/>
  <c r="CK88" i="63"/>
  <c r="CI88" i="63"/>
  <c r="CR3" i="63"/>
  <c r="CK23" i="63"/>
  <c r="CG19" i="63"/>
  <c r="CQ74" i="63"/>
  <c r="CQ108" i="63"/>
  <c r="CQ5" i="63"/>
  <c r="CP7" i="63"/>
  <c r="CO9" i="63"/>
  <c r="CM65" i="63"/>
  <c r="CH68" i="63"/>
  <c r="CN68" i="63"/>
  <c r="CI73" i="63"/>
  <c r="CN76" i="63"/>
  <c r="CR81" i="63"/>
  <c r="CJ84" i="63"/>
  <c r="CG84" i="63"/>
  <c r="CO33" i="63"/>
  <c r="CJ37" i="63"/>
  <c r="CL41" i="63"/>
  <c r="CH45" i="63"/>
  <c r="CL55" i="63"/>
  <c r="CH55" i="63"/>
  <c r="CR124" i="63"/>
  <c r="CO130" i="63"/>
  <c r="CK130" i="63"/>
  <c r="CM15" i="63"/>
  <c r="CR63" i="63"/>
  <c r="CJ53" i="63"/>
  <c r="CL116" i="63"/>
  <c r="CJ15" i="63"/>
  <c r="CM19" i="63"/>
  <c r="CN19" i="63"/>
  <c r="CM23" i="63"/>
  <c r="CN27" i="63"/>
  <c r="CQ63" i="63"/>
  <c r="CO66" i="63"/>
  <c r="CI71" i="63"/>
  <c r="CL79" i="63"/>
  <c r="CQ82" i="63"/>
  <c r="CK133" i="63"/>
  <c r="CI108" i="63"/>
  <c r="CJ108" i="63"/>
  <c r="CG116" i="63"/>
  <c r="CN53" i="63"/>
  <c r="CJ56" i="63"/>
  <c r="CG56" i="63"/>
  <c r="CH133" i="63"/>
  <c r="CM27" i="63"/>
  <c r="CI58" i="63"/>
  <c r="D64" i="73" s="1"/>
  <c r="D406" i="73" s="1"/>
  <c r="CI133" i="63"/>
  <c r="CH116" i="63"/>
  <c r="C133" i="73" s="1"/>
  <c r="C566" i="73" s="1"/>
  <c r="CL108" i="63"/>
  <c r="CP3" i="63"/>
  <c r="K5" i="73" s="1"/>
  <c r="CJ55" i="63"/>
  <c r="CK159" i="63"/>
  <c r="CH41" i="63"/>
  <c r="CP65" i="63"/>
  <c r="K78" i="73" s="1"/>
  <c r="K464" i="73" s="1"/>
  <c r="CH76" i="63"/>
  <c r="CM81" i="63"/>
  <c r="W94" i="73" s="1"/>
  <c r="H453" i="73" s="1"/>
  <c r="CP124" i="63"/>
  <c r="CQ142" i="63"/>
  <c r="L165" i="73" s="1"/>
  <c r="L643" i="73" s="1"/>
  <c r="CP171" i="63"/>
  <c r="CP5" i="63"/>
  <c r="CH7" i="63"/>
  <c r="CJ68" i="63"/>
  <c r="T81" i="73" s="1"/>
  <c r="E440" i="73" s="1"/>
  <c r="CM73" i="63"/>
  <c r="CI84" i="63"/>
  <c r="CK55" i="63"/>
  <c r="U61" i="73" s="1"/>
  <c r="F376" i="73" s="1"/>
  <c r="CM142" i="63"/>
  <c r="W165" i="73" s="1"/>
  <c r="H616" i="73" s="1"/>
  <c r="CM159" i="63"/>
  <c r="CH171" i="63"/>
  <c r="C198" i="73" s="1"/>
  <c r="C723" i="73" s="1"/>
  <c r="CI141" i="63"/>
  <c r="D164" i="73" s="1"/>
  <c r="D642" i="73" s="1"/>
  <c r="CO25" i="63"/>
  <c r="Y27" i="73" s="1"/>
  <c r="J295" i="73" s="1"/>
  <c r="CH57" i="63"/>
  <c r="CR141" i="63"/>
  <c r="AB164" i="73" s="1"/>
  <c r="CI166" i="63"/>
  <c r="CN41" i="63"/>
  <c r="X47" i="73" s="1"/>
  <c r="I362" i="73" s="1"/>
  <c r="CO41" i="63"/>
  <c r="CL65" i="63"/>
  <c r="V78" i="73" s="1"/>
  <c r="G437" i="73" s="1"/>
  <c r="CJ81" i="63"/>
  <c r="T94" i="73" s="1"/>
  <c r="E453" i="73" s="1"/>
  <c r="CG7" i="63"/>
  <c r="B9" i="73" s="1"/>
  <c r="B304" i="73" s="1"/>
  <c r="CL159" i="63"/>
  <c r="CG146" i="63"/>
  <c r="B169" i="73" s="1"/>
  <c r="B647" i="73" s="1"/>
  <c r="CL83" i="63"/>
  <c r="CN146" i="63"/>
  <c r="I169" i="73" s="1"/>
  <c r="I647" i="73" s="1"/>
  <c r="CH173" i="63"/>
  <c r="CI146" i="63"/>
  <c r="D169" i="73" s="1"/>
  <c r="D647" i="73" s="1"/>
  <c r="CH70" i="63"/>
  <c r="CI169" i="63"/>
  <c r="U90" i="62"/>
  <c r="U82" i="62"/>
  <c r="H82" i="62"/>
  <c r="U61" i="62"/>
  <c r="F86" i="62"/>
  <c r="H91" i="62"/>
  <c r="U83" i="62"/>
  <c r="H90" i="62"/>
  <c r="T201" i="73"/>
  <c r="E699" i="73" s="1"/>
  <c r="BJ60" i="63"/>
  <c r="CD60" i="63"/>
  <c r="BG120" i="63"/>
  <c r="S19" i="73"/>
  <c r="D287" i="73" s="1"/>
  <c r="BG150" i="63"/>
  <c r="BI150" i="63"/>
  <c r="CD150" i="63"/>
  <c r="BR180" i="63"/>
  <c r="CB30" i="63"/>
  <c r="BN150" i="63"/>
  <c r="BH150" i="63"/>
  <c r="BZ150" i="63"/>
  <c r="CE150" i="63"/>
  <c r="BY150" i="63"/>
  <c r="CE90" i="63"/>
  <c r="BY90" i="63"/>
  <c r="CD90" i="63"/>
  <c r="BP120" i="63"/>
  <c r="BJ120" i="63"/>
  <c r="BO120" i="63"/>
  <c r="BV120" i="63"/>
  <c r="CA120" i="63"/>
  <c r="BO90" i="63"/>
  <c r="BP90" i="63"/>
  <c r="BH90" i="63"/>
  <c r="BX30" i="63"/>
  <c r="BZ60" i="63"/>
  <c r="BU30" i="63"/>
  <c r="BW60" i="63"/>
  <c r="G89" i="73"/>
  <c r="G475" i="73" s="1"/>
  <c r="V49" i="73"/>
  <c r="G364" i="73" s="1"/>
  <c r="AB131" i="73"/>
  <c r="J205" i="73"/>
  <c r="J730" i="73" s="1"/>
  <c r="M167" i="73"/>
  <c r="BI30" i="63"/>
  <c r="BR60" i="63"/>
  <c r="R180" i="73"/>
  <c r="BH180" i="63"/>
  <c r="BI180" i="63"/>
  <c r="BO180" i="63"/>
  <c r="V165" i="73"/>
  <c r="G616" i="73" s="1"/>
  <c r="BG180" i="63"/>
  <c r="BK30" i="63"/>
  <c r="BX180" i="63"/>
  <c r="BL60" i="63"/>
  <c r="BU180" i="63"/>
  <c r="CB180" i="63"/>
  <c r="CD180" i="63"/>
  <c r="BJ30" i="63"/>
  <c r="BR150" i="63"/>
  <c r="BX150" i="63"/>
  <c r="BX90" i="63"/>
  <c r="BI120" i="63"/>
  <c r="BZ120" i="63"/>
  <c r="BK90" i="63"/>
  <c r="BN90" i="63"/>
  <c r="CA30" i="63"/>
  <c r="BW30" i="63"/>
  <c r="BU60" i="63"/>
  <c r="BO60" i="63"/>
  <c r="BR90" i="63"/>
  <c r="BK180" i="63"/>
  <c r="CA60" i="63"/>
  <c r="BV60" i="63"/>
  <c r="BP30" i="63"/>
  <c r="BG30" i="63"/>
  <c r="BW180" i="63"/>
  <c r="BT150" i="63"/>
  <c r="BM150" i="63"/>
  <c r="CC150" i="63"/>
  <c r="CC90" i="63"/>
  <c r="BN120" i="63"/>
  <c r="BU120" i="63"/>
  <c r="CE120" i="63"/>
  <c r="BJ90" i="63"/>
  <c r="CC60" i="63"/>
  <c r="BR30" i="63"/>
  <c r="BQ90" i="63"/>
  <c r="BQ150" i="63"/>
  <c r="BK150" i="63"/>
  <c r="BP150" i="63"/>
  <c r="BT120" i="63"/>
  <c r="BW150" i="63"/>
  <c r="CB150" i="63"/>
  <c r="BW90" i="63"/>
  <c r="CB90" i="63"/>
  <c r="BV90" i="63"/>
  <c r="BH120" i="63"/>
  <c r="BM120" i="63"/>
  <c r="BR120" i="63"/>
  <c r="BY120" i="63"/>
  <c r="CD120" i="63"/>
  <c r="BX120" i="63"/>
  <c r="F190" i="73"/>
  <c r="F715" i="73" s="1"/>
  <c r="BV30" i="63"/>
  <c r="CC30" i="63"/>
  <c r="CE30" i="63"/>
  <c r="BX60" i="63"/>
  <c r="BM30" i="63"/>
  <c r="BH60" i="63"/>
  <c r="BI60" i="63"/>
  <c r="BL90" i="63"/>
  <c r="BQ180" i="63"/>
  <c r="BT30" i="63"/>
  <c r="CB60" i="63"/>
  <c r="CA180" i="63"/>
  <c r="BL30" i="63"/>
  <c r="AA39" i="73"/>
  <c r="BQ60" i="63"/>
  <c r="CC180" i="63"/>
  <c r="CE180" i="63"/>
  <c r="BT180" i="63"/>
  <c r="BL150" i="63"/>
  <c r="BJ150" i="63"/>
  <c r="BO150" i="63"/>
  <c r="BT90" i="63"/>
  <c r="BV150" i="63"/>
  <c r="CA150" i="63"/>
  <c r="BU150" i="63"/>
  <c r="CA90" i="63"/>
  <c r="BU90" i="63"/>
  <c r="BZ90" i="63"/>
  <c r="BL120" i="63"/>
  <c r="BQ120" i="63"/>
  <c r="BK120" i="63"/>
  <c r="CC120" i="63"/>
  <c r="BW120" i="63"/>
  <c r="CB120" i="63"/>
  <c r="C41" i="73"/>
  <c r="C383" i="73" s="1"/>
  <c r="BM90" i="63"/>
  <c r="BY60" i="63"/>
  <c r="CE60" i="63"/>
  <c r="BT60" i="63"/>
  <c r="BZ30" i="63"/>
  <c r="Q49" i="73"/>
  <c r="B364" i="73" s="1"/>
  <c r="S85" i="73"/>
  <c r="D444" i="73" s="1"/>
  <c r="W131" i="73"/>
  <c r="H537" i="73" s="1"/>
  <c r="E171" i="73"/>
  <c r="E649" i="73" s="1"/>
  <c r="BN30" i="63"/>
  <c r="BH30" i="63"/>
  <c r="BM60" i="63"/>
  <c r="BN60" i="63"/>
  <c r="BI90" i="63"/>
  <c r="BM180" i="63"/>
  <c r="BN180" i="63"/>
  <c r="G180" i="73"/>
  <c r="BL180" i="63"/>
  <c r="CD30" i="63"/>
  <c r="BJ180" i="63"/>
  <c r="BP180" i="63"/>
  <c r="BY30" i="63"/>
  <c r="BK60" i="63"/>
  <c r="BV180" i="63"/>
  <c r="BQ30" i="63"/>
  <c r="BZ180" i="63"/>
  <c r="BP60" i="63"/>
  <c r="BG60" i="63"/>
  <c r="BY180" i="63"/>
  <c r="BO30" i="63"/>
  <c r="BG90" i="63"/>
  <c r="V63" i="73"/>
  <c r="G378" i="73" s="1"/>
  <c r="W9" i="73"/>
  <c r="H277" i="73" s="1"/>
  <c r="B43" i="73"/>
  <c r="B385" i="73" s="1"/>
  <c r="U17" i="73"/>
  <c r="F285" i="73" s="1"/>
  <c r="B58" i="73"/>
  <c r="B400" i="73" s="1"/>
  <c r="M78" i="73"/>
  <c r="D94" i="73"/>
  <c r="D480" i="73" s="1"/>
  <c r="E155" i="73"/>
  <c r="E633" i="73" s="1"/>
  <c r="K17" i="73"/>
  <c r="K312" i="73" s="1"/>
  <c r="B95" i="73"/>
  <c r="B481" i="73" s="1"/>
  <c r="R19" i="73"/>
  <c r="C287" i="73" s="1"/>
  <c r="AB43" i="73"/>
  <c r="Y19" i="73"/>
  <c r="J287" i="73" s="1"/>
  <c r="AA63" i="73"/>
  <c r="L378" i="73" s="1"/>
  <c r="T27" i="73"/>
  <c r="E295" i="73" s="1"/>
  <c r="F91" i="73"/>
  <c r="F477" i="73" s="1"/>
  <c r="D59" i="73"/>
  <c r="D401" i="73" s="1"/>
  <c r="G84" i="73"/>
  <c r="G470" i="73" s="1"/>
  <c r="F5" i="73"/>
  <c r="E54" i="73"/>
  <c r="E396" i="73" s="1"/>
  <c r="AB54" i="73"/>
  <c r="AB64" i="73"/>
  <c r="V64" i="73"/>
  <c r="G379" i="73" s="1"/>
  <c r="L5" i="73"/>
  <c r="D129" i="73"/>
  <c r="D562" i="73" s="1"/>
  <c r="R101" i="73"/>
  <c r="C460" i="73" s="1"/>
  <c r="W89" i="73"/>
  <c r="H448" i="73" s="1"/>
  <c r="B198" i="73"/>
  <c r="B723" i="73" s="1"/>
  <c r="Z60" i="73"/>
  <c r="K375" i="73" s="1"/>
  <c r="H15" i="73"/>
  <c r="H310" i="73" s="1"/>
  <c r="D51" i="73"/>
  <c r="D393" i="73" s="1"/>
  <c r="K61" i="73"/>
  <c r="K403" i="73" s="1"/>
  <c r="E80" i="73"/>
  <c r="E466" i="73" s="1"/>
  <c r="U155" i="73"/>
  <c r="F606" i="73" s="1"/>
  <c r="Q47" i="73"/>
  <c r="B362" i="73" s="1"/>
  <c r="X97" i="73"/>
  <c r="I456" i="73" s="1"/>
  <c r="W97" i="73"/>
  <c r="H456" i="73" s="1"/>
  <c r="H452" i="73"/>
  <c r="Q19" i="73"/>
  <c r="B287" i="73" s="1"/>
  <c r="I94" i="73"/>
  <c r="I480" i="73" s="1"/>
  <c r="K181" i="73"/>
  <c r="K706" i="73" s="1"/>
  <c r="U18" i="73"/>
  <c r="F286" i="73" s="1"/>
  <c r="T26" i="73"/>
  <c r="E294" i="73" s="1"/>
  <c r="W88" i="73"/>
  <c r="H447" i="73" s="1"/>
  <c r="R181" i="73"/>
  <c r="C679" i="73" s="1"/>
  <c r="W155" i="73"/>
  <c r="H606" i="73" s="1"/>
  <c r="C64" i="73"/>
  <c r="C406" i="73" s="1"/>
  <c r="AB204" i="73"/>
  <c r="E51" i="73"/>
  <c r="E393" i="73" s="1"/>
  <c r="AA19" i="73"/>
  <c r="L287" i="73" s="1"/>
  <c r="C23" i="73"/>
  <c r="C318" i="73" s="1"/>
  <c r="W91" i="73"/>
  <c r="H450" i="73" s="1"/>
  <c r="S131" i="73"/>
  <c r="D537" i="73" s="1"/>
  <c r="U78" i="73"/>
  <c r="F437" i="73" s="1"/>
  <c r="G554" i="73"/>
  <c r="L40" i="73"/>
  <c r="L382" i="73" s="1"/>
  <c r="F40" i="73"/>
  <c r="F382" i="73" s="1"/>
  <c r="K40" i="73"/>
  <c r="K382" i="73" s="1"/>
  <c r="E48" i="73"/>
  <c r="E390" i="73" s="1"/>
  <c r="J48" i="73"/>
  <c r="J390" i="73" s="1"/>
  <c r="Y101" i="73"/>
  <c r="J460" i="73" s="1"/>
  <c r="Z90" i="73"/>
  <c r="K449" i="73" s="1"/>
  <c r="G155" i="73"/>
  <c r="G633" i="73" s="1"/>
  <c r="AB53" i="73"/>
  <c r="M9" i="73"/>
  <c r="F51" i="73"/>
  <c r="F393" i="73" s="1"/>
  <c r="U95" i="73"/>
  <c r="F454" i="73" s="1"/>
  <c r="L156" i="73"/>
  <c r="L634" i="73" s="1"/>
  <c r="V9" i="73"/>
  <c r="G277" i="73" s="1"/>
  <c r="B15" i="73"/>
  <c r="B310" i="73" s="1"/>
  <c r="M58" i="73"/>
  <c r="T44" i="73"/>
  <c r="E359" i="73" s="1"/>
  <c r="Y44" i="73"/>
  <c r="J359" i="73" s="1"/>
  <c r="X52" i="73"/>
  <c r="I367" i="73" s="1"/>
  <c r="R52" i="73"/>
  <c r="C367" i="73" s="1"/>
  <c r="U164" i="73"/>
  <c r="F615" i="73" s="1"/>
  <c r="H190" i="73"/>
  <c r="H715" i="73" s="1"/>
  <c r="U200" i="73"/>
  <c r="F698" i="73" s="1"/>
  <c r="C49" i="73"/>
  <c r="C391" i="73" s="1"/>
  <c r="K87" i="73"/>
  <c r="K473" i="73" s="1"/>
  <c r="C43" i="73"/>
  <c r="C385" i="73" s="1"/>
  <c r="X165" i="73"/>
  <c r="I616" i="73" s="1"/>
  <c r="G131" i="73"/>
  <c r="G564" i="73" s="1"/>
  <c r="T15" i="73"/>
  <c r="E283" i="73" s="1"/>
  <c r="R15" i="73"/>
  <c r="C283" i="73" s="1"/>
  <c r="X91" i="73"/>
  <c r="I450" i="73" s="1"/>
  <c r="G529" i="73"/>
  <c r="K190" i="73"/>
  <c r="K715" i="73" s="1"/>
  <c r="W47" i="73"/>
  <c r="H362" i="73" s="1"/>
  <c r="L86" i="73"/>
  <c r="L472" i="73" s="1"/>
  <c r="J129" i="73"/>
  <c r="J562" i="73" s="1"/>
  <c r="J182" i="73"/>
  <c r="J707" i="73" s="1"/>
  <c r="F54" i="73"/>
  <c r="F396" i="73" s="1"/>
  <c r="AA181" i="73"/>
  <c r="L679" i="73" s="1"/>
  <c r="Y155" i="73"/>
  <c r="J606" i="73" s="1"/>
  <c r="C79" i="73"/>
  <c r="C465" i="73" s="1"/>
  <c r="G81" i="73"/>
  <c r="G467" i="73" s="1"/>
  <c r="H198" i="73"/>
  <c r="H723" i="73" s="1"/>
  <c r="J20" i="73"/>
  <c r="J315" i="73" s="1"/>
  <c r="D28" i="73"/>
  <c r="D323" i="73" s="1"/>
  <c r="W61" i="73"/>
  <c r="H376" i="73" s="1"/>
  <c r="AB133" i="73"/>
  <c r="E154" i="73"/>
  <c r="E632" i="73" s="1"/>
  <c r="S155" i="73"/>
  <c r="D606" i="73" s="1"/>
  <c r="R155" i="73"/>
  <c r="C606" i="73" s="1"/>
  <c r="AA164" i="73"/>
  <c r="L615" i="73" s="1"/>
  <c r="Q53" i="73"/>
  <c r="B368" i="73" s="1"/>
  <c r="T7" i="73"/>
  <c r="E275" i="73" s="1"/>
  <c r="AA40" i="73"/>
  <c r="L355" i="73" s="1"/>
  <c r="U40" i="73"/>
  <c r="F355" i="73" s="1"/>
  <c r="Z40" i="73"/>
  <c r="K355" i="73" s="1"/>
  <c r="T48" i="73"/>
  <c r="E363" i="73" s="1"/>
  <c r="B371" i="73"/>
  <c r="T77" i="73"/>
  <c r="E436" i="73" s="1"/>
  <c r="E77" i="73"/>
  <c r="E463" i="73" s="1"/>
  <c r="AA78" i="73"/>
  <c r="L437" i="73" s="1"/>
  <c r="L78" i="73"/>
  <c r="L464" i="73" s="1"/>
  <c r="Z86" i="73"/>
  <c r="K445" i="73" s="1"/>
  <c r="K86" i="73"/>
  <c r="K472" i="73" s="1"/>
  <c r="E94" i="73"/>
  <c r="E480" i="73" s="1"/>
  <c r="Y94" i="73"/>
  <c r="J453" i="73" s="1"/>
  <c r="J94" i="73"/>
  <c r="J480" i="73" s="1"/>
  <c r="S94" i="73"/>
  <c r="D453" i="73" s="1"/>
  <c r="Q78" i="73"/>
  <c r="B437" i="73" s="1"/>
  <c r="B78" i="73"/>
  <c r="B464" i="73" s="1"/>
  <c r="Q128" i="73"/>
  <c r="B534" i="73" s="1"/>
  <c r="B128" i="73"/>
  <c r="B561" i="73" s="1"/>
  <c r="W167" i="73"/>
  <c r="H618" i="73" s="1"/>
  <c r="H167" i="73"/>
  <c r="H645" i="73" s="1"/>
  <c r="K614" i="73"/>
  <c r="Y192" i="73"/>
  <c r="J690" i="73" s="1"/>
  <c r="J192" i="73"/>
  <c r="J717" i="73" s="1"/>
  <c r="F280" i="73"/>
  <c r="X51" i="73"/>
  <c r="I366" i="73" s="1"/>
  <c r="I51" i="73"/>
  <c r="I393" i="73" s="1"/>
  <c r="F18" i="73"/>
  <c r="F313" i="73" s="1"/>
  <c r="W54" i="73"/>
  <c r="H369" i="73" s="1"/>
  <c r="H54" i="73"/>
  <c r="H396" i="73" s="1"/>
  <c r="AA81" i="73"/>
  <c r="L440" i="73" s="1"/>
  <c r="L81" i="73"/>
  <c r="L467" i="73" s="1"/>
  <c r="X58" i="73"/>
  <c r="I373" i="73" s="1"/>
  <c r="I58" i="73"/>
  <c r="I400" i="73" s="1"/>
  <c r="G63" i="73"/>
  <c r="G405" i="73" s="1"/>
  <c r="L63" i="73"/>
  <c r="L405" i="73" s="1"/>
  <c r="Q110" i="73"/>
  <c r="B110" i="73"/>
  <c r="B522" i="73"/>
  <c r="Q134" i="73"/>
  <c r="B540" i="73" s="1"/>
  <c r="B134" i="73"/>
  <c r="B567" i="73" s="1"/>
  <c r="U201" i="73"/>
  <c r="F699" i="73" s="1"/>
  <c r="F201" i="73"/>
  <c r="F726" i="73" s="1"/>
  <c r="V23" i="73"/>
  <c r="G291" i="73" s="1"/>
  <c r="G23" i="73"/>
  <c r="G318" i="73" s="1"/>
  <c r="Q50" i="73"/>
  <c r="B365" i="73" s="1"/>
  <c r="B50" i="73"/>
  <c r="B392" i="73" s="1"/>
  <c r="Q76" i="73"/>
  <c r="B76" i="73"/>
  <c r="AB89" i="73"/>
  <c r="M89" i="73"/>
  <c r="U58" i="73"/>
  <c r="F373" i="73" s="1"/>
  <c r="F58" i="73"/>
  <c r="F400" i="73" s="1"/>
  <c r="Q98" i="73"/>
  <c r="B457" i="73" s="1"/>
  <c r="B98" i="73"/>
  <c r="B484" i="73" s="1"/>
  <c r="Q114" i="73"/>
  <c r="B520" i="73" s="1"/>
  <c r="B114" i="73"/>
  <c r="B547" i="73" s="1"/>
  <c r="X171" i="73"/>
  <c r="I622" i="73" s="1"/>
  <c r="I171" i="73"/>
  <c r="I649" i="73" s="1"/>
  <c r="Y180" i="73"/>
  <c r="J180" i="73"/>
  <c r="X202" i="73"/>
  <c r="I700" i="73" s="1"/>
  <c r="I202" i="73"/>
  <c r="I727" i="73" s="1"/>
  <c r="F279" i="73"/>
  <c r="AA41" i="73"/>
  <c r="L356" i="73" s="1"/>
  <c r="L41" i="73"/>
  <c r="L383" i="73" s="1"/>
  <c r="AA49" i="73"/>
  <c r="L364" i="73" s="1"/>
  <c r="L49" i="73"/>
  <c r="L391" i="73" s="1"/>
  <c r="AB180" i="73"/>
  <c r="M180" i="73"/>
  <c r="X164" i="73"/>
  <c r="I615" i="73" s="1"/>
  <c r="I164" i="73"/>
  <c r="I642" i="73" s="1"/>
  <c r="S194" i="73"/>
  <c r="D692" i="73" s="1"/>
  <c r="D194" i="73"/>
  <c r="D719" i="73" s="1"/>
  <c r="R190" i="73"/>
  <c r="C688" i="73" s="1"/>
  <c r="C190" i="73"/>
  <c r="C715" i="73" s="1"/>
  <c r="V199" i="73"/>
  <c r="G697" i="73" s="1"/>
  <c r="G199" i="73"/>
  <c r="G724" i="73" s="1"/>
  <c r="AB199" i="73"/>
  <c r="M199" i="73"/>
  <c r="Q48" i="73"/>
  <c r="B363" i="73" s="1"/>
  <c r="B48" i="73"/>
  <c r="B390" i="73" s="1"/>
  <c r="F721" i="73"/>
  <c r="R200" i="73"/>
  <c r="C698" i="73" s="1"/>
  <c r="C200" i="73"/>
  <c r="C725" i="73" s="1"/>
  <c r="R41" i="73"/>
  <c r="C356" i="73" s="1"/>
  <c r="R53" i="73"/>
  <c r="C368" i="73" s="1"/>
  <c r="C53" i="73"/>
  <c r="C395" i="73" s="1"/>
  <c r="R169" i="73"/>
  <c r="C620" i="73" s="1"/>
  <c r="C169" i="73"/>
  <c r="C647" i="73" s="1"/>
  <c r="AB184" i="73"/>
  <c r="M184" i="73"/>
  <c r="AA6" i="73"/>
  <c r="L274" i="73" s="1"/>
  <c r="T95" i="73"/>
  <c r="E454" i="73" s="1"/>
  <c r="E95" i="73"/>
  <c r="E481" i="73" s="1"/>
  <c r="W87" i="73"/>
  <c r="H446" i="73" s="1"/>
  <c r="H87" i="73"/>
  <c r="H473" i="73" s="1"/>
  <c r="AB171" i="73"/>
  <c r="M171" i="73"/>
  <c r="Z171" i="73"/>
  <c r="K622" i="73" s="1"/>
  <c r="K171" i="73"/>
  <c r="K649" i="73" s="1"/>
  <c r="E7" i="73"/>
  <c r="E302" i="73" s="1"/>
  <c r="X7" i="73"/>
  <c r="I275" i="73" s="1"/>
  <c r="I7" i="73"/>
  <c r="I302" i="73" s="1"/>
  <c r="Q89" i="73"/>
  <c r="B448" i="73" s="1"/>
  <c r="B89" i="73"/>
  <c r="B475" i="73" s="1"/>
  <c r="AA193" i="73"/>
  <c r="L691" i="73" s="1"/>
  <c r="L193" i="73"/>
  <c r="L718" i="73" s="1"/>
  <c r="C479" i="73"/>
  <c r="Q99" i="73"/>
  <c r="B458" i="73" s="1"/>
  <c r="B99" i="73"/>
  <c r="B485" i="73" s="1"/>
  <c r="U60" i="73"/>
  <c r="F375" i="73" s="1"/>
  <c r="F60" i="73"/>
  <c r="F402" i="73" s="1"/>
  <c r="B614" i="73"/>
  <c r="B641" i="73"/>
  <c r="Q85" i="73"/>
  <c r="B444" i="73" s="1"/>
  <c r="B85" i="73"/>
  <c r="B471" i="73" s="1"/>
  <c r="I452" i="73"/>
  <c r="AB158" i="73"/>
  <c r="M158" i="73"/>
  <c r="R171" i="73"/>
  <c r="C622" i="73" s="1"/>
  <c r="C171" i="73"/>
  <c r="C649" i="73" s="1"/>
  <c r="W188" i="73"/>
  <c r="H686" i="73" s="1"/>
  <c r="H188" i="73"/>
  <c r="H713" i="73" s="1"/>
  <c r="T188" i="73"/>
  <c r="E686" i="73" s="1"/>
  <c r="E188" i="73"/>
  <c r="E713" i="73" s="1"/>
  <c r="X205" i="73"/>
  <c r="I703" i="73" s="1"/>
  <c r="I205" i="73"/>
  <c r="I730" i="73" s="1"/>
  <c r="U23" i="73"/>
  <c r="F291" i="73" s="1"/>
  <c r="V205" i="73"/>
  <c r="G703" i="73" s="1"/>
  <c r="G205" i="73"/>
  <c r="G730" i="73" s="1"/>
  <c r="X19" i="73"/>
  <c r="I287" i="73" s="1"/>
  <c r="I19" i="73"/>
  <c r="I314" i="73" s="1"/>
  <c r="Y17" i="73"/>
  <c r="J285" i="73" s="1"/>
  <c r="J17" i="73"/>
  <c r="J312" i="73" s="1"/>
  <c r="AB7" i="73"/>
  <c r="M7" i="73"/>
  <c r="S43" i="73"/>
  <c r="D358" i="73" s="1"/>
  <c r="D43" i="73"/>
  <c r="D385" i="73" s="1"/>
  <c r="Q59" i="73"/>
  <c r="B374" i="73" s="1"/>
  <c r="B59" i="73"/>
  <c r="B401" i="73" s="1"/>
  <c r="S17" i="73"/>
  <c r="D285" i="73" s="1"/>
  <c r="D17" i="73"/>
  <c r="D312" i="73" s="1"/>
  <c r="AA9" i="73"/>
  <c r="L277" i="73" s="1"/>
  <c r="L9" i="73"/>
  <c r="L304" i="73" s="1"/>
  <c r="X64" i="73"/>
  <c r="I379" i="73" s="1"/>
  <c r="I64" i="73"/>
  <c r="I406" i="73" s="1"/>
  <c r="J27" i="73"/>
  <c r="J322" i="73" s="1"/>
  <c r="U198" i="73"/>
  <c r="F696" i="73" s="1"/>
  <c r="F198" i="73"/>
  <c r="F723" i="73" s="1"/>
  <c r="Q155" i="73"/>
  <c r="B606" i="73" s="1"/>
  <c r="B155" i="73"/>
  <c r="B633" i="73" s="1"/>
  <c r="T147" i="73"/>
  <c r="E598" i="73" s="1"/>
  <c r="E147" i="73"/>
  <c r="E625" i="73" s="1"/>
  <c r="Q131" i="73"/>
  <c r="B537" i="73" s="1"/>
  <c r="B131" i="73"/>
  <c r="B564" i="73" s="1"/>
  <c r="U79" i="73"/>
  <c r="F438" i="73" s="1"/>
  <c r="F79" i="73"/>
  <c r="F465" i="73" s="1"/>
  <c r="T91" i="73"/>
  <c r="E450" i="73" s="1"/>
  <c r="E91" i="73"/>
  <c r="E477" i="73" s="1"/>
  <c r="W58" i="73"/>
  <c r="H373" i="73" s="1"/>
  <c r="W62" i="73"/>
  <c r="H377" i="73" s="1"/>
  <c r="H62" i="73"/>
  <c r="H404" i="73" s="1"/>
  <c r="Z78" i="73"/>
  <c r="K437" i="73" s="1"/>
  <c r="Q86" i="73"/>
  <c r="B445" i="73" s="1"/>
  <c r="B86" i="73"/>
  <c r="B472" i="73" s="1"/>
  <c r="Q111" i="73"/>
  <c r="B517" i="73" s="1"/>
  <c r="B111" i="73"/>
  <c r="B544" i="73" s="1"/>
  <c r="AA129" i="73"/>
  <c r="L535" i="73" s="1"/>
  <c r="L129" i="73"/>
  <c r="L562" i="73" s="1"/>
  <c r="D555" i="73"/>
  <c r="Q115" i="73"/>
  <c r="B521" i="73" s="1"/>
  <c r="B115" i="73"/>
  <c r="B548" i="73" s="1"/>
  <c r="AA133" i="73"/>
  <c r="L539" i="73" s="1"/>
  <c r="L133" i="73"/>
  <c r="L566" i="73" s="1"/>
  <c r="Q146" i="73"/>
  <c r="B146" i="73"/>
  <c r="Q168" i="73"/>
  <c r="B619" i="73" s="1"/>
  <c r="B168" i="73"/>
  <c r="B646" i="73" s="1"/>
  <c r="R192" i="73"/>
  <c r="C690" i="73" s="1"/>
  <c r="C192" i="73"/>
  <c r="C717" i="73" s="1"/>
  <c r="M204" i="73"/>
  <c r="B290" i="73"/>
  <c r="Q30" i="73"/>
  <c r="B298" i="73" s="1"/>
  <c r="B30" i="73"/>
  <c r="B325" i="73" s="1"/>
  <c r="T54" i="73"/>
  <c r="E369" i="73" s="1"/>
  <c r="Q91" i="73"/>
  <c r="B450" i="73" s="1"/>
  <c r="B91" i="73"/>
  <c r="B477" i="73" s="1"/>
  <c r="Y80" i="73"/>
  <c r="J439" i="73" s="1"/>
  <c r="J80" i="73"/>
  <c r="J466" i="73" s="1"/>
  <c r="S80" i="73"/>
  <c r="D439" i="73" s="1"/>
  <c r="D80" i="73"/>
  <c r="D466" i="73" s="1"/>
  <c r="X88" i="73"/>
  <c r="I447" i="73" s="1"/>
  <c r="I88" i="73"/>
  <c r="I474" i="73" s="1"/>
  <c r="R88" i="73"/>
  <c r="C447" i="73" s="1"/>
  <c r="C88" i="73"/>
  <c r="C474" i="73" s="1"/>
  <c r="V96" i="73"/>
  <c r="G455" i="73" s="1"/>
  <c r="G96" i="73"/>
  <c r="G482" i="73" s="1"/>
  <c r="AA96" i="73"/>
  <c r="L455" i="73" s="1"/>
  <c r="L96" i="73"/>
  <c r="L482" i="73" s="1"/>
  <c r="Q63" i="73"/>
  <c r="B378" i="73" s="1"/>
  <c r="B63" i="73"/>
  <c r="B405" i="73" s="1"/>
  <c r="Q161" i="73"/>
  <c r="B612" i="73" s="1"/>
  <c r="B161" i="73"/>
  <c r="B639" i="73" s="1"/>
  <c r="S154" i="73"/>
  <c r="D605" i="73" s="1"/>
  <c r="D154" i="73"/>
  <c r="D632" i="73" s="1"/>
  <c r="X154" i="73"/>
  <c r="I605" i="73" s="1"/>
  <c r="I154" i="73"/>
  <c r="I632" i="73" s="1"/>
  <c r="Q159" i="73"/>
  <c r="B610" i="73" s="1"/>
  <c r="B159" i="73"/>
  <c r="B637" i="73" s="1"/>
  <c r="X201" i="73"/>
  <c r="I699" i="73" s="1"/>
  <c r="I201" i="73"/>
  <c r="I726" i="73" s="1"/>
  <c r="G299" i="73"/>
  <c r="T51" i="73"/>
  <c r="E366" i="73" s="1"/>
  <c r="W77" i="73"/>
  <c r="H436" i="73" s="1"/>
  <c r="H77" i="73"/>
  <c r="H463" i="73" s="1"/>
  <c r="H469" i="73"/>
  <c r="T58" i="73"/>
  <c r="E373" i="73" s="1"/>
  <c r="E58" i="73"/>
  <c r="E400" i="73" s="1"/>
  <c r="F441" i="73"/>
  <c r="Q130" i="73"/>
  <c r="B536" i="73" s="1"/>
  <c r="B130" i="73"/>
  <c r="B563" i="73" s="1"/>
  <c r="C613" i="73"/>
  <c r="C640" i="73"/>
  <c r="H613" i="73"/>
  <c r="C181" i="73"/>
  <c r="C706" i="73" s="1"/>
  <c r="AA43" i="73"/>
  <c r="L358" i="73" s="1"/>
  <c r="L43" i="73"/>
  <c r="L385" i="73" s="1"/>
  <c r="Q64" i="73"/>
  <c r="B379" i="73" s="1"/>
  <c r="B64" i="73"/>
  <c r="B406" i="73" s="1"/>
  <c r="AA114" i="73"/>
  <c r="L520" i="73" s="1"/>
  <c r="L114" i="73"/>
  <c r="L547" i="73" s="1"/>
  <c r="D556" i="73"/>
  <c r="V155" i="73"/>
  <c r="G606" i="73" s="1"/>
  <c r="V164" i="73"/>
  <c r="G615" i="73" s="1"/>
  <c r="U194" i="73"/>
  <c r="F692" i="73" s="1"/>
  <c r="F194" i="73"/>
  <c r="F719" i="73" s="1"/>
  <c r="Z194" i="73"/>
  <c r="K692" i="73" s="1"/>
  <c r="K194" i="73"/>
  <c r="K719" i="73" s="1"/>
  <c r="AB190" i="73"/>
  <c r="M190" i="73"/>
  <c r="V190" i="73"/>
  <c r="G688" i="73" s="1"/>
  <c r="G190" i="73"/>
  <c r="G715" i="73" s="1"/>
  <c r="W199" i="73"/>
  <c r="H697" i="73" s="1"/>
  <c r="H199" i="73"/>
  <c r="H724" i="73" s="1"/>
  <c r="S29" i="73"/>
  <c r="D297" i="73" s="1"/>
  <c r="D29" i="73"/>
  <c r="D324" i="73" s="1"/>
  <c r="R64" i="73"/>
  <c r="C379" i="73" s="1"/>
  <c r="Q54" i="73"/>
  <c r="B369" i="73" s="1"/>
  <c r="B54" i="73"/>
  <c r="B396" i="73" s="1"/>
  <c r="Y198" i="73"/>
  <c r="J696" i="73" s="1"/>
  <c r="J198" i="73"/>
  <c r="J723" i="73" s="1"/>
  <c r="R49" i="73"/>
  <c r="C364" i="73" s="1"/>
  <c r="W53" i="73"/>
  <c r="H368" i="73" s="1"/>
  <c r="H53" i="73"/>
  <c r="H395" i="73" s="1"/>
  <c r="Q13" i="73"/>
  <c r="B281" i="73" s="1"/>
  <c r="B13" i="73"/>
  <c r="B308" i="73" s="1"/>
  <c r="W169" i="73"/>
  <c r="H620" i="73" s="1"/>
  <c r="H169" i="73"/>
  <c r="H647" i="73" s="1"/>
  <c r="AA200" i="73"/>
  <c r="L698" i="73" s="1"/>
  <c r="L200" i="73"/>
  <c r="L725" i="73" s="1"/>
  <c r="R131" i="73"/>
  <c r="C537" i="73" s="1"/>
  <c r="U7" i="73"/>
  <c r="F275" i="73" s="1"/>
  <c r="F7" i="73"/>
  <c r="F302" i="73" s="1"/>
  <c r="R87" i="73"/>
  <c r="C446" i="73" s="1"/>
  <c r="Z188" i="73"/>
  <c r="K686" i="73" s="1"/>
  <c r="K188" i="73"/>
  <c r="K713" i="73" s="1"/>
  <c r="Y165" i="73"/>
  <c r="J616" i="73" s="1"/>
  <c r="J165" i="73"/>
  <c r="J643" i="73" s="1"/>
  <c r="AA89" i="73"/>
  <c r="L448" i="73" s="1"/>
  <c r="L89" i="73"/>
  <c r="L475" i="73" s="1"/>
  <c r="R97" i="73"/>
  <c r="C456" i="73" s="1"/>
  <c r="C97" i="73"/>
  <c r="C483" i="73" s="1"/>
  <c r="Q198" i="73"/>
  <c r="B696" i="73" s="1"/>
  <c r="Q169" i="73"/>
  <c r="B620" i="73" s="1"/>
  <c r="V8" i="73"/>
  <c r="G276" i="73" s="1"/>
  <c r="G8" i="73"/>
  <c r="G303" i="73" s="1"/>
  <c r="V41" i="73"/>
  <c r="G356" i="73" s="1"/>
  <c r="G41" i="73"/>
  <c r="G383" i="73" s="1"/>
  <c r="B49" i="73"/>
  <c r="B391" i="73" s="1"/>
  <c r="R60" i="73"/>
  <c r="C375" i="73" s="1"/>
  <c r="C60" i="73"/>
  <c r="C402" i="73" s="1"/>
  <c r="Z184" i="73"/>
  <c r="K682" i="73" s="1"/>
  <c r="K184" i="73"/>
  <c r="K709" i="73" s="1"/>
  <c r="X169" i="73"/>
  <c r="I620" i="73" s="1"/>
  <c r="U77" i="73"/>
  <c r="F436" i="73" s="1"/>
  <c r="F77" i="73"/>
  <c r="F463" i="73" s="1"/>
  <c r="D85" i="73"/>
  <c r="D471" i="73" s="1"/>
  <c r="H131" i="73"/>
  <c r="H564" i="73" s="1"/>
  <c r="B721" i="73"/>
  <c r="I694" i="73"/>
  <c r="T171" i="73"/>
  <c r="E622" i="73" s="1"/>
  <c r="Y188" i="73"/>
  <c r="J686" i="73" s="1"/>
  <c r="J188" i="73"/>
  <c r="J713" i="73" s="1"/>
  <c r="R188" i="73"/>
  <c r="C686" i="73" s="1"/>
  <c r="C188" i="73"/>
  <c r="C713" i="73" s="1"/>
  <c r="G188" i="73"/>
  <c r="G713" i="73" s="1"/>
  <c r="T205" i="73"/>
  <c r="E703" i="73" s="1"/>
  <c r="E205" i="73"/>
  <c r="E730" i="73" s="1"/>
  <c r="R205" i="73"/>
  <c r="C703" i="73" s="1"/>
  <c r="C205" i="73"/>
  <c r="C730" i="73" s="1"/>
  <c r="AB19" i="73"/>
  <c r="M19" i="73"/>
  <c r="Z23" i="73"/>
  <c r="K291" i="73" s="1"/>
  <c r="K23" i="73"/>
  <c r="K318" i="73" s="1"/>
  <c r="S23" i="73"/>
  <c r="D291" i="73" s="1"/>
  <c r="D23" i="73"/>
  <c r="D318" i="73" s="1"/>
  <c r="AB23" i="73"/>
  <c r="M23" i="73"/>
  <c r="AB27" i="73"/>
  <c r="M27" i="73"/>
  <c r="C529" i="73"/>
  <c r="D19" i="73"/>
  <c r="D314" i="73" s="1"/>
  <c r="X43" i="73"/>
  <c r="I358" i="73" s="1"/>
  <c r="I43" i="73"/>
  <c r="I385" i="73" s="1"/>
  <c r="AA47" i="73"/>
  <c r="L362" i="73" s="1"/>
  <c r="L47" i="73"/>
  <c r="L389" i="73" s="1"/>
  <c r="U62" i="73"/>
  <c r="F377" i="73" s="1"/>
  <c r="F62" i="73"/>
  <c r="F404" i="73" s="1"/>
  <c r="AA64" i="73"/>
  <c r="L379" i="73" s="1"/>
  <c r="L64" i="73"/>
  <c r="L406" i="73" s="1"/>
  <c r="S47" i="73"/>
  <c r="D362" i="73" s="1"/>
  <c r="D47" i="73"/>
  <c r="D389" i="73" s="1"/>
  <c r="K631" i="73"/>
  <c r="AA131" i="73"/>
  <c r="L537" i="73" s="1"/>
  <c r="L131" i="73"/>
  <c r="L564" i="73" s="1"/>
  <c r="F95" i="73"/>
  <c r="F481" i="73" s="1"/>
  <c r="R58" i="73"/>
  <c r="C373" i="73" s="1"/>
  <c r="C58" i="73"/>
  <c r="C400" i="73" s="1"/>
  <c r="M64" i="73"/>
  <c r="Z61" i="73"/>
  <c r="K376" i="73" s="1"/>
  <c r="R86" i="73"/>
  <c r="C445" i="73" s="1"/>
  <c r="C86" i="73"/>
  <c r="C472" i="73" s="1"/>
  <c r="W86" i="73"/>
  <c r="H445" i="73" s="1"/>
  <c r="H86" i="73"/>
  <c r="H472" i="73" s="1"/>
  <c r="H171" i="73"/>
  <c r="H649" i="73" s="1"/>
  <c r="U182" i="73"/>
  <c r="F680" i="73" s="1"/>
  <c r="F182" i="73"/>
  <c r="F707" i="73" s="1"/>
  <c r="Q192" i="73"/>
  <c r="B690" i="73" s="1"/>
  <c r="B192" i="73"/>
  <c r="B717" i="73" s="1"/>
  <c r="K204" i="73"/>
  <c r="K729" i="73" s="1"/>
  <c r="S8" i="73"/>
  <c r="D276" i="73" s="1"/>
  <c r="D8" i="73"/>
  <c r="D303" i="73" s="1"/>
  <c r="Q14" i="73"/>
  <c r="B282" i="73" s="1"/>
  <c r="B14" i="73"/>
  <c r="B309" i="73" s="1"/>
  <c r="Q24" i="73"/>
  <c r="B292" i="73" s="1"/>
  <c r="B24" i="73"/>
  <c r="B319" i="73" s="1"/>
  <c r="I47" i="73"/>
  <c r="I389" i="73" s="1"/>
  <c r="X54" i="73"/>
  <c r="I369" i="73" s="1"/>
  <c r="I54" i="73"/>
  <c r="I396" i="73" s="1"/>
  <c r="V54" i="73"/>
  <c r="G369" i="73" s="1"/>
  <c r="G54" i="73"/>
  <c r="G396" i="73" s="1"/>
  <c r="Q79" i="73"/>
  <c r="B438" i="73" s="1"/>
  <c r="B79" i="73"/>
  <c r="B465" i="73" s="1"/>
  <c r="AA91" i="73"/>
  <c r="L450" i="73" s="1"/>
  <c r="L91" i="73"/>
  <c r="L477" i="73" s="1"/>
  <c r="Y64" i="73"/>
  <c r="J379" i="73" s="1"/>
  <c r="J64" i="73"/>
  <c r="J406" i="73" s="1"/>
  <c r="S63" i="73"/>
  <c r="D378" i="73" s="1"/>
  <c r="D63" i="73"/>
  <c r="D405" i="73" s="1"/>
  <c r="Q80" i="73"/>
  <c r="B439" i="73" s="1"/>
  <c r="B80" i="73"/>
  <c r="B466" i="73" s="1"/>
  <c r="Q101" i="73"/>
  <c r="B460" i="73" s="1"/>
  <c r="B101" i="73"/>
  <c r="B487" i="73" s="1"/>
  <c r="W154" i="73"/>
  <c r="H605" i="73" s="1"/>
  <c r="H154" i="73"/>
  <c r="H632" i="73" s="1"/>
  <c r="AB154" i="73"/>
  <c r="M154" i="73"/>
  <c r="Q201" i="73"/>
  <c r="B699" i="73" s="1"/>
  <c r="B201" i="73"/>
  <c r="B726" i="73" s="1"/>
  <c r="AA15" i="73"/>
  <c r="L283" i="73" s="1"/>
  <c r="L15" i="73"/>
  <c r="L310" i="73" s="1"/>
  <c r="Q20" i="73"/>
  <c r="B288" i="73" s="1"/>
  <c r="B20" i="73"/>
  <c r="B315" i="73" s="1"/>
  <c r="Q28" i="73"/>
  <c r="B296" i="73" s="1"/>
  <c r="B28" i="73"/>
  <c r="B323" i="73" s="1"/>
  <c r="Q42" i="73"/>
  <c r="B357" i="73" s="1"/>
  <c r="B42" i="73"/>
  <c r="B384" i="73" s="1"/>
  <c r="R77" i="73"/>
  <c r="C436" i="73" s="1"/>
  <c r="C77" i="73"/>
  <c r="C463" i="73" s="1"/>
  <c r="V57" i="73"/>
  <c r="G372" i="73" s="1"/>
  <c r="G57" i="73"/>
  <c r="G399" i="73" s="1"/>
  <c r="AA57" i="73"/>
  <c r="L372" i="73" s="1"/>
  <c r="X90" i="73"/>
  <c r="I449" i="73" s="1"/>
  <c r="I90" i="73"/>
  <c r="I476" i="73" s="1"/>
  <c r="R90" i="73"/>
  <c r="C449" i="73" s="1"/>
  <c r="C90" i="73"/>
  <c r="C476" i="73" s="1"/>
  <c r="B630" i="73"/>
  <c r="Q151" i="73"/>
  <c r="B602" i="73" s="1"/>
  <c r="B151" i="73"/>
  <c r="B629" i="73" s="1"/>
  <c r="Q157" i="73"/>
  <c r="B608" i="73" s="1"/>
  <c r="B157" i="73"/>
  <c r="B635" i="73" s="1"/>
  <c r="Q170" i="73"/>
  <c r="B621" i="73" s="1"/>
  <c r="B170" i="73"/>
  <c r="B648" i="73" s="1"/>
  <c r="W181" i="73"/>
  <c r="H679" i="73" s="1"/>
  <c r="H181" i="73"/>
  <c r="H706" i="73" s="1"/>
  <c r="Q190" i="73"/>
  <c r="B688" i="73" s="1"/>
  <c r="B190" i="73"/>
  <c r="B715" i="73" s="1"/>
  <c r="U202" i="73"/>
  <c r="F700" i="73" s="1"/>
  <c r="F202" i="73"/>
  <c r="F727" i="73" s="1"/>
  <c r="Z202" i="73"/>
  <c r="K700" i="73" s="1"/>
  <c r="K202" i="73"/>
  <c r="K727" i="73" s="1"/>
  <c r="AA53" i="73"/>
  <c r="L368" i="73" s="1"/>
  <c r="L53" i="73"/>
  <c r="L395" i="73" s="1"/>
  <c r="Y97" i="73"/>
  <c r="J456" i="73" s="1"/>
  <c r="J97" i="73"/>
  <c r="J483" i="73" s="1"/>
  <c r="T114" i="73"/>
  <c r="E520" i="73" s="1"/>
  <c r="E114" i="73"/>
  <c r="E547" i="73" s="1"/>
  <c r="Q148" i="73"/>
  <c r="B599" i="73" s="1"/>
  <c r="B148" i="73"/>
  <c r="B626" i="73" s="1"/>
  <c r="Z155" i="73"/>
  <c r="K606" i="73" s="1"/>
  <c r="K155" i="73"/>
  <c r="K633" i="73" s="1"/>
  <c r="Z164" i="73"/>
  <c r="K615" i="73" s="1"/>
  <c r="K164" i="73"/>
  <c r="K642" i="73" s="1"/>
  <c r="T199" i="73"/>
  <c r="E697" i="73" s="1"/>
  <c r="E199" i="73"/>
  <c r="E724" i="73" s="1"/>
  <c r="B361" i="73"/>
  <c r="B388" i="73"/>
  <c r="Y29" i="73"/>
  <c r="J297" i="73" s="1"/>
  <c r="J29" i="73"/>
  <c r="J324" i="73" s="1"/>
  <c r="Q194" i="73"/>
  <c r="B692" i="73" s="1"/>
  <c r="B194" i="73"/>
  <c r="B719" i="73" s="1"/>
  <c r="AB41" i="73"/>
  <c r="M41" i="73"/>
  <c r="Q15" i="73"/>
  <c r="B283" i="73" s="1"/>
  <c r="B711" i="73"/>
  <c r="J5" i="73"/>
  <c r="Y184" i="73"/>
  <c r="J682" i="73" s="1"/>
  <c r="J184" i="73"/>
  <c r="J709" i="73" s="1"/>
  <c r="S87" i="73"/>
  <c r="D446" i="73" s="1"/>
  <c r="D87" i="73"/>
  <c r="D473" i="73" s="1"/>
  <c r="T79" i="73"/>
  <c r="E438" i="73" s="1"/>
  <c r="E79" i="73"/>
  <c r="E465" i="73" s="1"/>
  <c r="W95" i="73"/>
  <c r="H454" i="73" s="1"/>
  <c r="H95" i="73"/>
  <c r="H481" i="73" s="1"/>
  <c r="R149" i="73"/>
  <c r="C600" i="73" s="1"/>
  <c r="C149" i="73"/>
  <c r="C627" i="73" s="1"/>
  <c r="Z158" i="73"/>
  <c r="K609" i="73" s="1"/>
  <c r="K158" i="73"/>
  <c r="K636" i="73" s="1"/>
  <c r="U171" i="73"/>
  <c r="F622" i="73" s="1"/>
  <c r="F171" i="73"/>
  <c r="F649" i="73" s="1"/>
  <c r="Z193" i="73"/>
  <c r="K691" i="73" s="1"/>
  <c r="K193" i="73"/>
  <c r="K718" i="73" s="1"/>
  <c r="X188" i="73"/>
  <c r="I686" i="73" s="1"/>
  <c r="I188" i="73"/>
  <c r="I713" i="73" s="1"/>
  <c r="R6" i="73"/>
  <c r="C274" i="73" s="1"/>
  <c r="C6" i="73"/>
  <c r="C301" i="73" s="1"/>
  <c r="Y9" i="73"/>
  <c r="J277" i="73" s="1"/>
  <c r="J9" i="73"/>
  <c r="J304" i="73" s="1"/>
  <c r="AA147" i="73"/>
  <c r="L598" i="73" s="1"/>
  <c r="L147" i="73"/>
  <c r="L625" i="73" s="1"/>
  <c r="H165" i="73"/>
  <c r="H643" i="73" s="1"/>
  <c r="H9" i="73"/>
  <c r="H304" i="73" s="1"/>
  <c r="G10" i="73"/>
  <c r="G305" i="73" s="1"/>
  <c r="T39" i="73"/>
  <c r="E39" i="73"/>
  <c r="V89" i="73"/>
  <c r="G448" i="73" s="1"/>
  <c r="AA165" i="73"/>
  <c r="L616" i="73" s="1"/>
  <c r="Q6" i="73"/>
  <c r="B274" i="73" s="1"/>
  <c r="B6" i="73"/>
  <c r="B301" i="73" s="1"/>
  <c r="F17" i="73"/>
  <c r="F312" i="73" s="1"/>
  <c r="E131" i="73"/>
  <c r="E564" i="73" s="1"/>
  <c r="U169" i="73"/>
  <c r="F620" i="73" s="1"/>
  <c r="F169" i="73"/>
  <c r="F647" i="73" s="1"/>
  <c r="G49" i="73"/>
  <c r="G391" i="73" s="1"/>
  <c r="V53" i="73"/>
  <c r="G368" i="73" s="1"/>
  <c r="G53" i="73"/>
  <c r="G395" i="73" s="1"/>
  <c r="X60" i="73"/>
  <c r="I375" i="73" s="1"/>
  <c r="I60" i="73"/>
  <c r="I402" i="73" s="1"/>
  <c r="S200" i="73"/>
  <c r="D698" i="73" s="1"/>
  <c r="D200" i="73"/>
  <c r="D725" i="73" s="1"/>
  <c r="U10" i="73"/>
  <c r="F278" i="73" s="1"/>
  <c r="F10" i="73"/>
  <c r="F305" i="73" s="1"/>
  <c r="V85" i="73"/>
  <c r="G444" i="73" s="1"/>
  <c r="G85" i="73"/>
  <c r="G471" i="73" s="1"/>
  <c r="X85" i="73"/>
  <c r="I444" i="73" s="1"/>
  <c r="I85" i="73"/>
  <c r="I471" i="73" s="1"/>
  <c r="M131" i="73"/>
  <c r="S60" i="73"/>
  <c r="D375" i="73" s="1"/>
  <c r="D60" i="73"/>
  <c r="D402" i="73" s="1"/>
  <c r="V171" i="73"/>
  <c r="G622" i="73" s="1"/>
  <c r="G171" i="73"/>
  <c r="G649" i="73" s="1"/>
  <c r="U188" i="73"/>
  <c r="F686" i="73" s="1"/>
  <c r="F188" i="73"/>
  <c r="F713" i="73" s="1"/>
  <c r="B188" i="73"/>
  <c r="B713" i="73" s="1"/>
  <c r="B205" i="73"/>
  <c r="B730" i="73" s="1"/>
  <c r="Y205" i="73"/>
  <c r="J703" i="73" s="1"/>
  <c r="R158" i="73"/>
  <c r="C609" i="73" s="1"/>
  <c r="C158" i="73"/>
  <c r="C636" i="73" s="1"/>
  <c r="Q27" i="73"/>
  <c r="B295" i="73" s="1"/>
  <c r="B27" i="73"/>
  <c r="B322" i="73" s="1"/>
  <c r="E27" i="73"/>
  <c r="E322" i="73" s="1"/>
  <c r="R91" i="73"/>
  <c r="C450" i="73" s="1"/>
  <c r="C91" i="73"/>
  <c r="C477" i="73" s="1"/>
  <c r="Q96" i="73"/>
  <c r="B455" i="73" s="1"/>
  <c r="B96" i="73"/>
  <c r="B482" i="73" s="1"/>
  <c r="B529" i="73"/>
  <c r="J19" i="73"/>
  <c r="J314" i="73" s="1"/>
  <c r="X156" i="73"/>
  <c r="I607" i="73" s="1"/>
  <c r="I156" i="73"/>
  <c r="I634" i="73" s="1"/>
  <c r="Y25" i="73"/>
  <c r="J293" i="73" s="1"/>
  <c r="J25" i="73"/>
  <c r="J320" i="73" s="1"/>
  <c r="H180" i="73"/>
  <c r="T64" i="73"/>
  <c r="E379" i="73" s="1"/>
  <c r="E64" i="73"/>
  <c r="E406" i="73" s="1"/>
  <c r="V180" i="73"/>
  <c r="U165" i="73"/>
  <c r="F616" i="73" s="1"/>
  <c r="F165" i="73"/>
  <c r="F643" i="73" s="1"/>
  <c r="Y20" i="73"/>
  <c r="J288" i="73" s="1"/>
  <c r="T61" i="73"/>
  <c r="E376" i="73" s="1"/>
  <c r="E61" i="73"/>
  <c r="E403" i="73" s="1"/>
  <c r="S61" i="73"/>
  <c r="D376" i="73" s="1"/>
  <c r="D61" i="73"/>
  <c r="D403" i="73" s="1"/>
  <c r="V86" i="73"/>
  <c r="G445" i="73" s="1"/>
  <c r="G86" i="73"/>
  <c r="G472" i="73" s="1"/>
  <c r="S129" i="73"/>
  <c r="D535" i="73" s="1"/>
  <c r="B551" i="73"/>
  <c r="Y182" i="73"/>
  <c r="J680" i="73" s="1"/>
  <c r="U192" i="73"/>
  <c r="F690" i="73" s="1"/>
  <c r="F192" i="73"/>
  <c r="F717" i="73" s="1"/>
  <c r="Z192" i="73"/>
  <c r="K690" i="73" s="1"/>
  <c r="K192" i="73"/>
  <c r="K717" i="73" s="1"/>
  <c r="Q16" i="73"/>
  <c r="B284" i="73" s="1"/>
  <c r="B16" i="73"/>
  <c r="B311" i="73" s="1"/>
  <c r="Y47" i="73"/>
  <c r="J362" i="73" s="1"/>
  <c r="J47" i="73"/>
  <c r="J389" i="73" s="1"/>
  <c r="AA54" i="73"/>
  <c r="L369" i="73" s="1"/>
  <c r="Q81" i="73"/>
  <c r="B440" i="73" s="1"/>
  <c r="B81" i="73"/>
  <c r="B467" i="73" s="1"/>
  <c r="R63" i="73"/>
  <c r="C378" i="73" s="1"/>
  <c r="C63" i="73"/>
  <c r="C405" i="73" s="1"/>
  <c r="W63" i="73"/>
  <c r="H378" i="73" s="1"/>
  <c r="H63" i="73"/>
  <c r="H405" i="73" s="1"/>
  <c r="W101" i="73"/>
  <c r="H460" i="73" s="1"/>
  <c r="H101" i="73"/>
  <c r="H487" i="73" s="1"/>
  <c r="Q88" i="73"/>
  <c r="B447" i="73" s="1"/>
  <c r="B88" i="73"/>
  <c r="B474" i="73" s="1"/>
  <c r="Q112" i="73"/>
  <c r="B518" i="73" s="1"/>
  <c r="B112" i="73"/>
  <c r="B545" i="73" s="1"/>
  <c r="B530" i="73"/>
  <c r="Q164" i="73"/>
  <c r="B615" i="73" s="1"/>
  <c r="B164" i="73"/>
  <c r="B642" i="73" s="1"/>
  <c r="V154" i="73"/>
  <c r="G605" i="73" s="1"/>
  <c r="G154" i="73"/>
  <c r="G632" i="73" s="1"/>
  <c r="Q183" i="73"/>
  <c r="B681" i="73" s="1"/>
  <c r="B183" i="73"/>
  <c r="B708" i="73" s="1"/>
  <c r="Q189" i="73"/>
  <c r="B687" i="73" s="1"/>
  <c r="B189" i="73"/>
  <c r="B714" i="73" s="1"/>
  <c r="V200" i="73"/>
  <c r="G698" i="73" s="1"/>
  <c r="G200" i="73"/>
  <c r="G725" i="73" s="1"/>
  <c r="AA201" i="73"/>
  <c r="L699" i="73" s="1"/>
  <c r="L201" i="73"/>
  <c r="L726" i="73" s="1"/>
  <c r="V15" i="73"/>
  <c r="G283" i="73" s="1"/>
  <c r="G15" i="73"/>
  <c r="G310" i="73" s="1"/>
  <c r="V29" i="73"/>
  <c r="G297" i="73" s="1"/>
  <c r="G29" i="73"/>
  <c r="G324" i="73" s="1"/>
  <c r="AB97" i="73"/>
  <c r="M97" i="73"/>
  <c r="U64" i="73"/>
  <c r="F379" i="73" s="1"/>
  <c r="F64" i="73"/>
  <c r="F406" i="73" s="1"/>
  <c r="Z57" i="73"/>
  <c r="K372" i="73" s="1"/>
  <c r="K57" i="73"/>
  <c r="K399" i="73" s="1"/>
  <c r="D380" i="73"/>
  <c r="B613" i="73"/>
  <c r="Z181" i="73"/>
  <c r="K679" i="73" s="1"/>
  <c r="Q195" i="73"/>
  <c r="B693" i="73" s="1"/>
  <c r="B195" i="73"/>
  <c r="B720" i="73" s="1"/>
  <c r="E202" i="73"/>
  <c r="E727" i="73" s="1"/>
  <c r="Y202" i="73"/>
  <c r="J700" i="73" s="1"/>
  <c r="J202" i="73"/>
  <c r="J727" i="73" s="1"/>
  <c r="Y7" i="73"/>
  <c r="J275" i="73" s="1"/>
  <c r="J7" i="73"/>
  <c r="J302" i="73" s="1"/>
  <c r="L39" i="73"/>
  <c r="Y59" i="73"/>
  <c r="J374" i="73" s="1"/>
  <c r="J59" i="73"/>
  <c r="J401" i="73" s="1"/>
  <c r="AB84" i="73"/>
  <c r="M84" i="73"/>
  <c r="V84" i="73"/>
  <c r="G443" i="73" s="1"/>
  <c r="S99" i="73"/>
  <c r="D458" i="73" s="1"/>
  <c r="D99" i="73"/>
  <c r="D485" i="73" s="1"/>
  <c r="Q132" i="73"/>
  <c r="B538" i="73" s="1"/>
  <c r="B132" i="73"/>
  <c r="B565" i="73" s="1"/>
  <c r="T155" i="73"/>
  <c r="E606" i="73" s="1"/>
  <c r="Z165" i="73"/>
  <c r="K616" i="73" s="1"/>
  <c r="Y164" i="73"/>
  <c r="J615" i="73" s="1"/>
  <c r="AA205" i="73"/>
  <c r="L703" i="73" s="1"/>
  <c r="L205" i="73"/>
  <c r="L730" i="73" s="1"/>
  <c r="E190" i="73"/>
  <c r="E715" i="73" s="1"/>
  <c r="Y190" i="73"/>
  <c r="J688" i="73" s="1"/>
  <c r="J190" i="73"/>
  <c r="J715" i="73" s="1"/>
  <c r="R199" i="73"/>
  <c r="C697" i="73" s="1"/>
  <c r="C199" i="73"/>
  <c r="C724" i="73" s="1"/>
  <c r="X199" i="73"/>
  <c r="I697" i="73" s="1"/>
  <c r="I199" i="73"/>
  <c r="I724" i="73" s="1"/>
  <c r="Q204" i="73"/>
  <c r="B702" i="73" s="1"/>
  <c r="B204" i="73"/>
  <c r="B729" i="73" s="1"/>
  <c r="Q40" i="73"/>
  <c r="B355" i="73" s="1"/>
  <c r="B40" i="73"/>
  <c r="B382" i="73" s="1"/>
  <c r="Q167" i="73"/>
  <c r="B618" i="73" s="1"/>
  <c r="B167" i="73"/>
  <c r="B645" i="73" s="1"/>
  <c r="AB49" i="73"/>
  <c r="M49" i="73"/>
  <c r="Q57" i="73"/>
  <c r="B372" i="73" s="1"/>
  <c r="B57" i="73"/>
  <c r="B399" i="73" s="1"/>
  <c r="Q100" i="73"/>
  <c r="B459" i="73" s="1"/>
  <c r="B100" i="73"/>
  <c r="B486" i="73" s="1"/>
  <c r="Q158" i="73"/>
  <c r="B609" i="73" s="1"/>
  <c r="B158" i="73"/>
  <c r="B636" i="73" s="1"/>
  <c r="U193" i="73"/>
  <c r="F691" i="73" s="1"/>
  <c r="F193" i="73"/>
  <c r="F718" i="73" s="1"/>
  <c r="V81" i="73"/>
  <c r="G440" i="73" s="1"/>
  <c r="W43" i="73"/>
  <c r="H358" i="73" s="1"/>
  <c r="H43" i="73"/>
  <c r="H385" i="73" s="1"/>
  <c r="Q181" i="73"/>
  <c r="B679" i="73" s="1"/>
  <c r="B181" i="73"/>
  <c r="B706" i="73" s="1"/>
  <c r="S193" i="73"/>
  <c r="D691" i="73" s="1"/>
  <c r="D193" i="73"/>
  <c r="D718" i="73" s="1"/>
  <c r="Q10" i="73"/>
  <c r="B278" i="73" s="1"/>
  <c r="B10" i="73"/>
  <c r="B305" i="73" s="1"/>
  <c r="X25" i="73"/>
  <c r="I293" i="73" s="1"/>
  <c r="I25" i="73"/>
  <c r="I320" i="73" s="1"/>
  <c r="Z17" i="73"/>
  <c r="K285" i="73" s="1"/>
  <c r="AB17" i="73"/>
  <c r="M17" i="73"/>
  <c r="Q95" i="73"/>
  <c r="B454" i="73" s="1"/>
  <c r="V169" i="73"/>
  <c r="G620" i="73" s="1"/>
  <c r="G169" i="73"/>
  <c r="G647" i="73" s="1"/>
  <c r="W8" i="73"/>
  <c r="H276" i="73" s="1"/>
  <c r="H8" i="73"/>
  <c r="H303" i="73" s="1"/>
  <c r="J60" i="73"/>
  <c r="J402" i="73" s="1"/>
  <c r="U85" i="73"/>
  <c r="F444" i="73" s="1"/>
  <c r="F85" i="73"/>
  <c r="F471" i="73" s="1"/>
  <c r="AB169" i="73"/>
  <c r="M169" i="73"/>
  <c r="AB10" i="73"/>
  <c r="M10" i="73"/>
  <c r="G289" i="73"/>
  <c r="G316" i="73"/>
  <c r="AA85" i="73"/>
  <c r="L444" i="73" s="1"/>
  <c r="L85" i="73"/>
  <c r="L471" i="73" s="1"/>
  <c r="Y85" i="73"/>
  <c r="J444" i="73" s="1"/>
  <c r="J85" i="73"/>
  <c r="J471" i="73" s="1"/>
  <c r="AB156" i="73"/>
  <c r="M156" i="73"/>
  <c r="G694" i="73"/>
  <c r="W158" i="73"/>
  <c r="H609" i="73" s="1"/>
  <c r="H158" i="73"/>
  <c r="H636" i="73" s="1"/>
  <c r="AB188" i="73"/>
  <c r="M188" i="73"/>
  <c r="S188" i="73"/>
  <c r="D686" i="73" s="1"/>
  <c r="D188" i="73"/>
  <c r="D713" i="73" s="1"/>
  <c r="S205" i="73"/>
  <c r="D703" i="73" s="1"/>
  <c r="D205" i="73"/>
  <c r="D730" i="73" s="1"/>
  <c r="AB205" i="73"/>
  <c r="M205" i="73"/>
  <c r="X6" i="73"/>
  <c r="I274" i="73" s="1"/>
  <c r="I6" i="73"/>
  <c r="I301" i="73" s="1"/>
  <c r="X15" i="73"/>
  <c r="I283" i="73" s="1"/>
  <c r="I15" i="73"/>
  <c r="I310" i="73" s="1"/>
  <c r="C19" i="73"/>
  <c r="C314" i="73" s="1"/>
  <c r="T19" i="73"/>
  <c r="E287" i="73" s="1"/>
  <c r="E19" i="73"/>
  <c r="E314" i="73" s="1"/>
  <c r="L27" i="73"/>
  <c r="L322" i="73" s="1"/>
  <c r="F442" i="73"/>
  <c r="S91" i="73"/>
  <c r="D450" i="73" s="1"/>
  <c r="D91" i="73"/>
  <c r="D477" i="73" s="1"/>
  <c r="H91" i="73"/>
  <c r="H477" i="73" s="1"/>
  <c r="Q202" i="73"/>
  <c r="B700" i="73" s="1"/>
  <c r="B202" i="73"/>
  <c r="B727" i="73" s="1"/>
  <c r="X27" i="73"/>
  <c r="I295" i="73" s="1"/>
  <c r="I27" i="73"/>
  <c r="I322" i="73" s="1"/>
  <c r="Q94" i="73"/>
  <c r="B453" i="73" s="1"/>
  <c r="B94" i="73"/>
  <c r="B480" i="73" s="1"/>
  <c r="Y43" i="73"/>
  <c r="J358" i="73" s="1"/>
  <c r="AA51" i="73"/>
  <c r="L366" i="73" s="1"/>
  <c r="L51" i="73"/>
  <c r="L393" i="73" s="1"/>
  <c r="W147" i="73"/>
  <c r="H598" i="73" s="1"/>
  <c r="H147" i="73"/>
  <c r="H625" i="73" s="1"/>
  <c r="C180" i="73"/>
  <c r="Q180" i="73"/>
  <c r="B180" i="73"/>
  <c r="S27" i="73"/>
  <c r="D295" i="73" s="1"/>
  <c r="D27" i="73"/>
  <c r="D322" i="73" s="1"/>
  <c r="X60" i="62"/>
  <c r="X61" i="62"/>
  <c r="W52" i="62"/>
  <c r="W53" i="62"/>
  <c r="X53" i="62"/>
  <c r="V92" i="62"/>
  <c r="X88" i="62"/>
  <c r="V87" i="62"/>
  <c r="X90" i="62"/>
  <c r="W90" i="62"/>
  <c r="V88" i="62"/>
  <c r="X81" i="62"/>
  <c r="X84" i="62"/>
  <c r="V81" i="62"/>
  <c r="F87" i="62"/>
  <c r="H89" i="62"/>
  <c r="U85" i="62"/>
  <c r="X82" i="62"/>
  <c r="X86" i="62"/>
  <c r="X91" i="62"/>
  <c r="V83" i="62"/>
  <c r="V91" i="62"/>
  <c r="W85" i="62"/>
  <c r="V90" i="62"/>
  <c r="X85" i="62"/>
  <c r="W82" i="62"/>
  <c r="U89" i="62"/>
  <c r="X83" i="62"/>
  <c r="X87" i="62"/>
  <c r="V84" i="62"/>
  <c r="X57" i="62"/>
  <c r="W57" i="62"/>
  <c r="U52" i="62"/>
  <c r="X52" i="62"/>
  <c r="W50" i="62"/>
  <c r="U53" i="62"/>
  <c r="H87" i="62"/>
  <c r="F90" i="62"/>
  <c r="H84" i="62"/>
  <c r="H88" i="62"/>
  <c r="F83" i="62"/>
  <c r="F91" i="62"/>
  <c r="F82" i="62"/>
  <c r="H81" i="62"/>
  <c r="H85" i="62"/>
  <c r="W87" i="62"/>
  <c r="H92" i="62"/>
  <c r="X59" i="62"/>
  <c r="W89" i="62"/>
  <c r="U60" i="62"/>
  <c r="W56" i="62"/>
  <c r="F89" i="62"/>
  <c r="X50" i="62"/>
  <c r="X58" i="62"/>
  <c r="U86" i="62"/>
  <c r="W55" i="62"/>
  <c r="F88" i="62"/>
  <c r="X92" i="62"/>
  <c r="V85" i="62"/>
  <c r="V89" i="62"/>
  <c r="W86" i="62"/>
  <c r="U56" i="62"/>
  <c r="X54" i="62"/>
  <c r="U91" i="62"/>
  <c r="W61" i="62"/>
  <c r="F84" i="62"/>
  <c r="F92" i="62"/>
  <c r="X51" i="62"/>
  <c r="X55" i="62"/>
  <c r="U87" i="62"/>
  <c r="W51" i="62"/>
  <c r="F85" i="62"/>
  <c r="V82" i="62"/>
  <c r="V86" i="62"/>
  <c r="W83" i="62"/>
  <c r="U57" i="62"/>
  <c r="W84" i="62"/>
  <c r="W91" i="62"/>
  <c r="U58" i="62"/>
  <c r="W60" i="62"/>
  <c r="U92" i="62"/>
  <c r="U84" i="62"/>
  <c r="U88" i="62"/>
  <c r="W54" i="62"/>
  <c r="W58" i="62"/>
  <c r="F60" i="62"/>
  <c r="W88" i="62"/>
  <c r="W92" i="62"/>
  <c r="U51" i="62"/>
  <c r="U55" i="62"/>
  <c r="U59" i="62"/>
  <c r="U50" i="62"/>
  <c r="U54" i="62"/>
  <c r="H61" i="62"/>
  <c r="H60" i="62"/>
  <c r="H59" i="62"/>
  <c r="H58" i="62"/>
  <c r="H57" i="62"/>
  <c r="H56" i="62"/>
  <c r="H55" i="62"/>
  <c r="H54" i="62"/>
  <c r="H53" i="62"/>
  <c r="H52" i="62"/>
  <c r="H51" i="62"/>
  <c r="H50" i="62"/>
  <c r="F53" i="62"/>
  <c r="F57" i="62"/>
  <c r="F61" i="62"/>
  <c r="E84" i="62"/>
  <c r="E88" i="62"/>
  <c r="E92" i="62"/>
  <c r="F54" i="62"/>
  <c r="F58" i="62"/>
  <c r="E85" i="62"/>
  <c r="E89" i="62"/>
  <c r="G61" i="62"/>
  <c r="G60" i="62"/>
  <c r="G59" i="62"/>
  <c r="G58" i="62"/>
  <c r="G57" i="62"/>
  <c r="G56" i="62"/>
  <c r="G55" i="62"/>
  <c r="G54" i="62"/>
  <c r="G53" i="62"/>
  <c r="G52" i="62"/>
  <c r="G51" i="62"/>
  <c r="G50" i="62"/>
  <c r="G92" i="62"/>
  <c r="G91" i="62"/>
  <c r="G90" i="62"/>
  <c r="G89" i="62"/>
  <c r="G88" i="62"/>
  <c r="G87" i="62"/>
  <c r="G86" i="62"/>
  <c r="G85" i="62"/>
  <c r="G84" i="62"/>
  <c r="G83" i="62"/>
  <c r="G82" i="62"/>
  <c r="G81" i="62"/>
  <c r="E61" i="62"/>
  <c r="E60" i="62"/>
  <c r="E59" i="62"/>
  <c r="E58" i="62"/>
  <c r="E57" i="62"/>
  <c r="E56" i="62"/>
  <c r="E55" i="62"/>
  <c r="E54" i="62"/>
  <c r="E53" i="62"/>
  <c r="E52" i="62"/>
  <c r="E51" i="62"/>
  <c r="E50" i="62"/>
  <c r="F51" i="62"/>
  <c r="F55" i="62"/>
  <c r="F59" i="62"/>
  <c r="E82" i="62"/>
  <c r="E86" i="62"/>
  <c r="E90" i="62"/>
  <c r="V61" i="62"/>
  <c r="V60" i="62"/>
  <c r="V59" i="62"/>
  <c r="V58" i="62"/>
  <c r="V57" i="62"/>
  <c r="V56" i="62"/>
  <c r="V55" i="62"/>
  <c r="V54" i="62"/>
  <c r="V53" i="62"/>
  <c r="V52" i="62"/>
  <c r="V51" i="62"/>
  <c r="V50" i="62"/>
  <c r="F52" i="62"/>
  <c r="F56" i="62"/>
  <c r="E83" i="62"/>
  <c r="E87" i="62"/>
  <c r="E91" i="62"/>
  <c r="L206" i="73" l="1"/>
  <c r="L731" i="73" s="1"/>
  <c r="B45" i="73"/>
  <c r="B387" i="73" s="1"/>
  <c r="Y124" i="73"/>
  <c r="W119" i="73"/>
  <c r="H525" i="73" s="1"/>
  <c r="J123" i="73"/>
  <c r="J556" i="73" s="1"/>
  <c r="X118" i="73"/>
  <c r="K102" i="73"/>
  <c r="K488" i="73" s="1"/>
  <c r="F205" i="73"/>
  <c r="F730" i="73" s="1"/>
  <c r="K95" i="73"/>
  <c r="K481" i="73" s="1"/>
  <c r="U87" i="73"/>
  <c r="F446" i="73" s="1"/>
  <c r="G192" i="73"/>
  <c r="G717" i="73" s="1"/>
  <c r="R133" i="73"/>
  <c r="C539" i="73" s="1"/>
  <c r="AA101" i="73"/>
  <c r="L460" i="73" s="1"/>
  <c r="Y162" i="73"/>
  <c r="J613" i="73" s="1"/>
  <c r="D206" i="73"/>
  <c r="D731" i="73" s="1"/>
  <c r="W206" i="73"/>
  <c r="H704" i="73" s="1"/>
  <c r="K197" i="73"/>
  <c r="C127" i="73"/>
  <c r="H118" i="73"/>
  <c r="H551" i="73" s="1"/>
  <c r="AA188" i="73"/>
  <c r="L686" i="73" s="1"/>
  <c r="E164" i="73"/>
  <c r="E642" i="73" s="1"/>
  <c r="M114" i="73"/>
  <c r="K156" i="73"/>
  <c r="K634" i="73" s="1"/>
  <c r="F170" i="73"/>
  <c r="F648" i="73" s="1"/>
  <c r="U89" i="73"/>
  <c r="F448" i="73" s="1"/>
  <c r="H164" i="73"/>
  <c r="H642" i="73" s="1"/>
  <c r="S198" i="73"/>
  <c r="D696" i="73" s="1"/>
  <c r="D163" i="73"/>
  <c r="D641" i="73" s="1"/>
  <c r="H55" i="73"/>
  <c r="I117" i="73"/>
  <c r="I550" i="73" s="1"/>
  <c r="S102" i="73"/>
  <c r="D461" i="73" s="1"/>
  <c r="E83" i="73"/>
  <c r="E469" i="73" s="1"/>
  <c r="K121" i="73"/>
  <c r="F123" i="73"/>
  <c r="K81" i="73"/>
  <c r="K467" i="73" s="1"/>
  <c r="J156" i="73"/>
  <c r="J634" i="73" s="1"/>
  <c r="Z19" i="73"/>
  <c r="K287" i="73" s="1"/>
  <c r="H49" i="73"/>
  <c r="H391" i="73" s="1"/>
  <c r="L182" i="73"/>
  <c r="L707" i="73" s="1"/>
  <c r="K64" i="73"/>
  <c r="K406" i="73" s="1"/>
  <c r="I10" i="73"/>
  <c r="I305" i="73" s="1"/>
  <c r="L169" i="73"/>
  <c r="L647" i="73" s="1"/>
  <c r="AA23" i="73"/>
  <c r="L291" i="73" s="1"/>
  <c r="AB86" i="73"/>
  <c r="I200" i="73"/>
  <c r="I725" i="73" s="1"/>
  <c r="J151" i="73"/>
  <c r="J629" i="73" s="1"/>
  <c r="M164" i="73"/>
  <c r="M642" i="73" s="1"/>
  <c r="D58" i="73"/>
  <c r="D400" i="73" s="1"/>
  <c r="K205" i="73"/>
  <c r="K730" i="73" s="1"/>
  <c r="F129" i="73"/>
  <c r="F562" i="73" s="1"/>
  <c r="S169" i="73"/>
  <c r="D620" i="73" s="1"/>
  <c r="X162" i="73"/>
  <c r="I613" i="73" s="1"/>
  <c r="U162" i="73"/>
  <c r="F613" i="73" s="1"/>
  <c r="R118" i="73"/>
  <c r="E167" i="73"/>
  <c r="E645" i="73" s="1"/>
  <c r="J58" i="73"/>
  <c r="J400" i="73" s="1"/>
  <c r="B171" i="73"/>
  <c r="B649" i="73" s="1"/>
  <c r="S184" i="73"/>
  <c r="D682" i="73" s="1"/>
  <c r="H94" i="73"/>
  <c r="H480" i="73" s="1"/>
  <c r="W19" i="73"/>
  <c r="H287" i="73" s="1"/>
  <c r="G78" i="73"/>
  <c r="G464" i="73" s="1"/>
  <c r="AA83" i="73"/>
  <c r="L442" i="73" s="1"/>
  <c r="G56" i="73"/>
  <c r="G398" i="73" s="1"/>
  <c r="M11" i="73"/>
  <c r="S120" i="73"/>
  <c r="D526" i="73" s="1"/>
  <c r="C7" i="73"/>
  <c r="C302" i="73" s="1"/>
  <c r="M201" i="73"/>
  <c r="N201" i="73" s="1"/>
  <c r="K59" i="73"/>
  <c r="K401" i="73" s="1"/>
  <c r="E23" i="73"/>
  <c r="E318" i="73" s="1"/>
  <c r="I131" i="73"/>
  <c r="I564" i="73" s="1"/>
  <c r="K199" i="73"/>
  <c r="K724" i="73" s="1"/>
  <c r="T169" i="73"/>
  <c r="E620" i="73" s="1"/>
  <c r="R164" i="73"/>
  <c r="C615" i="73" s="1"/>
  <c r="AB47" i="73"/>
  <c r="V147" i="73"/>
  <c r="G598" i="73" s="1"/>
  <c r="D152" i="73"/>
  <c r="D630" i="73" s="1"/>
  <c r="G118" i="73"/>
  <c r="G551" i="73" s="1"/>
  <c r="U116" i="73"/>
  <c r="Q93" i="73"/>
  <c r="B452" i="73" s="1"/>
  <c r="D197" i="73"/>
  <c r="D722" i="73" s="1"/>
  <c r="G198" i="73"/>
  <c r="G723" i="73" s="1"/>
  <c r="H205" i="73"/>
  <c r="H730" i="73" s="1"/>
  <c r="E60" i="73"/>
  <c r="E402" i="73" s="1"/>
  <c r="K169" i="73"/>
  <c r="K647" i="73" s="1"/>
  <c r="C94" i="73"/>
  <c r="C480" i="73" s="1"/>
  <c r="S149" i="73"/>
  <c r="D600" i="73" s="1"/>
  <c r="M119" i="73"/>
  <c r="H122" i="73"/>
  <c r="H555" i="73" s="1"/>
  <c r="AA190" i="73"/>
  <c r="L688" i="73" s="1"/>
  <c r="X193" i="73"/>
  <c r="I691" i="73" s="1"/>
  <c r="U81" i="73"/>
  <c r="F440" i="73" s="1"/>
  <c r="E81" i="73"/>
  <c r="E467" i="73" s="1"/>
  <c r="X61" i="73"/>
  <c r="I376" i="73" s="1"/>
  <c r="D171" i="73"/>
  <c r="D649" i="73" s="1"/>
  <c r="X63" i="73"/>
  <c r="I378" i="73" s="1"/>
  <c r="L198" i="73"/>
  <c r="L723" i="73" s="1"/>
  <c r="G39" i="73"/>
  <c r="G381" i="73" s="1"/>
  <c r="D95" i="73"/>
  <c r="D481" i="73" s="1"/>
  <c r="D7" i="73"/>
  <c r="D302" i="73" s="1"/>
  <c r="B129" i="73"/>
  <c r="B562" i="73" s="1"/>
  <c r="H200" i="73"/>
  <c r="H725" i="73" s="1"/>
  <c r="Y61" i="73"/>
  <c r="J376" i="73" s="1"/>
  <c r="M63" i="73"/>
  <c r="M405" i="73" s="1"/>
  <c r="S196" i="73"/>
  <c r="D694" i="73" s="1"/>
  <c r="D196" i="73"/>
  <c r="D721" i="73" s="1"/>
  <c r="T125" i="73"/>
  <c r="E531" i="73" s="1"/>
  <c r="E125" i="73"/>
  <c r="E558" i="73" s="1"/>
  <c r="G92" i="73"/>
  <c r="G478" i="73" s="1"/>
  <c r="V92" i="73"/>
  <c r="G451" i="73" s="1"/>
  <c r="Y196" i="73"/>
  <c r="J694" i="73" s="1"/>
  <c r="J196" i="73"/>
  <c r="J721" i="73" s="1"/>
  <c r="E82" i="73"/>
  <c r="E468" i="73" s="1"/>
  <c r="T82" i="73"/>
  <c r="E441" i="73" s="1"/>
  <c r="U65" i="73"/>
  <c r="F65" i="73"/>
  <c r="F407" i="73" s="1"/>
  <c r="C187" i="73"/>
  <c r="C712" i="73" s="1"/>
  <c r="R187" i="73"/>
  <c r="C685" i="73" s="1"/>
  <c r="K126" i="73"/>
  <c r="K559" i="73" s="1"/>
  <c r="Z126" i="73"/>
  <c r="K532" i="73" s="1"/>
  <c r="X136" i="73"/>
  <c r="I136" i="73"/>
  <c r="I569" i="73" s="1"/>
  <c r="S22" i="73"/>
  <c r="D22" i="73"/>
  <c r="D317" i="73" s="1"/>
  <c r="H152" i="73"/>
  <c r="H630" i="73" s="1"/>
  <c r="W152" i="73"/>
  <c r="H603" i="73" s="1"/>
  <c r="S127" i="73"/>
  <c r="D127" i="73"/>
  <c r="D560" i="73" s="1"/>
  <c r="Z124" i="73"/>
  <c r="K124" i="73"/>
  <c r="K557" i="73" s="1"/>
  <c r="X116" i="73"/>
  <c r="I116" i="73"/>
  <c r="I549" i="73" s="1"/>
  <c r="W121" i="73"/>
  <c r="H121" i="73"/>
  <c r="H554" i="73" s="1"/>
  <c r="S46" i="73"/>
  <c r="D46" i="73"/>
  <c r="D388" i="73" s="1"/>
  <c r="Y122" i="73"/>
  <c r="J122" i="73"/>
  <c r="J555" i="73" s="1"/>
  <c r="AB56" i="73"/>
  <c r="M56" i="73"/>
  <c r="M398" i="73" s="1"/>
  <c r="T120" i="73"/>
  <c r="E526" i="73" s="1"/>
  <c r="E120" i="73"/>
  <c r="E553" i="73" s="1"/>
  <c r="T93" i="73"/>
  <c r="E93" i="73"/>
  <c r="E479" i="73" s="1"/>
  <c r="G12" i="73"/>
  <c r="G307" i="73" s="1"/>
  <c r="V12" i="73"/>
  <c r="F197" i="73"/>
  <c r="U197" i="73"/>
  <c r="F695" i="73" s="1"/>
  <c r="Y121" i="73"/>
  <c r="J121" i="73"/>
  <c r="E186" i="73"/>
  <c r="E711" i="73" s="1"/>
  <c r="T186" i="73"/>
  <c r="E684" i="73" s="1"/>
  <c r="S186" i="73"/>
  <c r="D684" i="73" s="1"/>
  <c r="D186" i="73"/>
  <c r="D711" i="73" s="1"/>
  <c r="D21" i="73"/>
  <c r="D316" i="73" s="1"/>
  <c r="S21" i="73"/>
  <c r="D289" i="73" s="1"/>
  <c r="F31" i="73"/>
  <c r="F326" i="73" s="1"/>
  <c r="U31" i="73"/>
  <c r="F299" i="73" s="1"/>
  <c r="U93" i="73"/>
  <c r="F93" i="73"/>
  <c r="F479" i="73" s="1"/>
  <c r="L12" i="73"/>
  <c r="L307" i="73" s="1"/>
  <c r="AA12" i="73"/>
  <c r="I197" i="73"/>
  <c r="X197" i="73"/>
  <c r="I695" i="73" s="1"/>
  <c r="V172" i="73"/>
  <c r="G172" i="73"/>
  <c r="G650" i="73" s="1"/>
  <c r="H126" i="73"/>
  <c r="W126" i="73"/>
  <c r="H532" i="73" s="1"/>
  <c r="Z127" i="73"/>
  <c r="K127" i="73"/>
  <c r="K560" i="73" s="1"/>
  <c r="R116" i="73"/>
  <c r="C522" i="73" s="1"/>
  <c r="C116" i="73"/>
  <c r="C549" i="73" s="1"/>
  <c r="J102" i="73"/>
  <c r="J488" i="73" s="1"/>
  <c r="Y102" i="73"/>
  <c r="J461" i="73" s="1"/>
  <c r="R121" i="73"/>
  <c r="C121" i="73"/>
  <c r="C554" i="73" s="1"/>
  <c r="Y46" i="73"/>
  <c r="J361" i="73" s="1"/>
  <c r="J46" i="73"/>
  <c r="X206" i="73"/>
  <c r="I704" i="73" s="1"/>
  <c r="I206" i="73"/>
  <c r="I731" i="73" s="1"/>
  <c r="D92" i="73"/>
  <c r="D478" i="73" s="1"/>
  <c r="S92" i="73"/>
  <c r="D451" i="73" s="1"/>
  <c r="S126" i="73"/>
  <c r="D532" i="73" s="1"/>
  <c r="D126" i="73"/>
  <c r="D559" i="73" s="1"/>
  <c r="U22" i="73"/>
  <c r="F22" i="73"/>
  <c r="F317" i="73" s="1"/>
  <c r="AA118" i="73"/>
  <c r="L118" i="73"/>
  <c r="L551" i="73" s="1"/>
  <c r="Z21" i="73"/>
  <c r="K21" i="73"/>
  <c r="K316" i="73" s="1"/>
  <c r="U172" i="73"/>
  <c r="F172" i="73"/>
  <c r="F650" i="73" s="1"/>
  <c r="AB22" i="73"/>
  <c r="M22" i="73"/>
  <c r="X153" i="73"/>
  <c r="I604" i="73" s="1"/>
  <c r="I153" i="73"/>
  <c r="I631" i="73" s="1"/>
  <c r="S11" i="73"/>
  <c r="D11" i="73"/>
  <c r="D306" i="73" s="1"/>
  <c r="U118" i="73"/>
  <c r="F118" i="73"/>
  <c r="F551" i="73" s="1"/>
  <c r="X163" i="73"/>
  <c r="I614" i="73" s="1"/>
  <c r="I163" i="73"/>
  <c r="I641" i="73" s="1"/>
  <c r="AA56" i="73"/>
  <c r="L56" i="73"/>
  <c r="L398" i="73" s="1"/>
  <c r="E11" i="73"/>
  <c r="E306" i="73" s="1"/>
  <c r="T11" i="73"/>
  <c r="E279" i="73" s="1"/>
  <c r="X125" i="73"/>
  <c r="I125" i="73"/>
  <c r="I558" i="73" s="1"/>
  <c r="L21" i="73"/>
  <c r="L316" i="73" s="1"/>
  <c r="AA21" i="73"/>
  <c r="L289" i="73" s="1"/>
  <c r="W31" i="73"/>
  <c r="H299" i="73" s="1"/>
  <c r="H31" i="73"/>
  <c r="H326" i="73" s="1"/>
  <c r="Z196" i="73"/>
  <c r="K694" i="73" s="1"/>
  <c r="K196" i="73"/>
  <c r="K721" i="73" s="1"/>
  <c r="H82" i="73"/>
  <c r="W82" i="73"/>
  <c r="H441" i="73" s="1"/>
  <c r="D45" i="73"/>
  <c r="D387" i="73" s="1"/>
  <c r="S45" i="73"/>
  <c r="D360" i="73" s="1"/>
  <c r="T197" i="73"/>
  <c r="E197" i="73"/>
  <c r="E722" i="73" s="1"/>
  <c r="AA187" i="73"/>
  <c r="L685" i="73" s="1"/>
  <c r="L187" i="73"/>
  <c r="L712" i="73" s="1"/>
  <c r="Z136" i="73"/>
  <c r="K542" i="73" s="1"/>
  <c r="K136" i="73"/>
  <c r="Q127" i="73"/>
  <c r="B127" i="73"/>
  <c r="B560" i="73" s="1"/>
  <c r="R124" i="73"/>
  <c r="C124" i="73"/>
  <c r="C557" i="73" s="1"/>
  <c r="C102" i="73"/>
  <c r="C488" i="73" s="1"/>
  <c r="R102" i="73"/>
  <c r="C461" i="73" s="1"/>
  <c r="AA46" i="73"/>
  <c r="L361" i="73" s="1"/>
  <c r="L46" i="73"/>
  <c r="L388" i="73" s="1"/>
  <c r="B31" i="73"/>
  <c r="B326" i="73" s="1"/>
  <c r="Q31" i="73"/>
  <c r="B299" i="73" s="1"/>
  <c r="AA123" i="73"/>
  <c r="L529" i="73" s="1"/>
  <c r="L123" i="73"/>
  <c r="L556" i="73" s="1"/>
  <c r="Y12" i="73"/>
  <c r="J280" i="73" s="1"/>
  <c r="J12" i="73"/>
  <c r="J307" i="73" s="1"/>
  <c r="C92" i="73"/>
  <c r="C478" i="73" s="1"/>
  <c r="R92" i="73"/>
  <c r="C451" i="73" s="1"/>
  <c r="H45" i="73"/>
  <c r="H387" i="73" s="1"/>
  <c r="W45" i="73"/>
  <c r="H360" i="73" s="1"/>
  <c r="J126" i="73"/>
  <c r="J559" i="73" s="1"/>
  <c r="Y126" i="73"/>
  <c r="J532" i="73" s="1"/>
  <c r="Z117" i="73"/>
  <c r="K117" i="73"/>
  <c r="K550" i="73" s="1"/>
  <c r="Y152" i="73"/>
  <c r="J603" i="73" s="1"/>
  <c r="J152" i="73"/>
  <c r="J630" i="73" s="1"/>
  <c r="AA119" i="73"/>
  <c r="L525" i="73" s="1"/>
  <c r="L119" i="73"/>
  <c r="L552" i="73" s="1"/>
  <c r="AB102" i="73"/>
  <c r="M102" i="73"/>
  <c r="S118" i="73"/>
  <c r="D118" i="73"/>
  <c r="D551" i="73" s="1"/>
  <c r="V46" i="73"/>
  <c r="G361" i="73" s="1"/>
  <c r="G46" i="73"/>
  <c r="G388" i="73" s="1"/>
  <c r="U163" i="73"/>
  <c r="F163" i="73"/>
  <c r="F641" i="73" s="1"/>
  <c r="R83" i="73"/>
  <c r="C442" i="73" s="1"/>
  <c r="C83" i="73"/>
  <c r="C469" i="73" s="1"/>
  <c r="S125" i="73"/>
  <c r="D125" i="73"/>
  <c r="D558" i="73" s="1"/>
  <c r="U153" i="73"/>
  <c r="F153" i="73"/>
  <c r="F631" i="73" s="1"/>
  <c r="AA125" i="73"/>
  <c r="L125" i="73"/>
  <c r="L558" i="73" s="1"/>
  <c r="K31" i="73"/>
  <c r="Z31" i="73"/>
  <c r="K299" i="73" s="1"/>
  <c r="R196" i="73"/>
  <c r="C694" i="73" s="1"/>
  <c r="C196" i="73"/>
  <c r="C721" i="73" s="1"/>
  <c r="E45" i="73"/>
  <c r="T45" i="73"/>
  <c r="E360" i="73" s="1"/>
  <c r="W12" i="73"/>
  <c r="H12" i="73"/>
  <c r="H307" i="73" s="1"/>
  <c r="AB197" i="73"/>
  <c r="M197" i="73"/>
  <c r="J187" i="73"/>
  <c r="J712" i="73" s="1"/>
  <c r="Y187" i="73"/>
  <c r="J685" i="73" s="1"/>
  <c r="U126" i="73"/>
  <c r="F532" i="73" s="1"/>
  <c r="F126" i="73"/>
  <c r="F559" i="73" s="1"/>
  <c r="W136" i="73"/>
  <c r="H136" i="73"/>
  <c r="H569" i="73" s="1"/>
  <c r="Y119" i="73"/>
  <c r="J525" i="73" s="1"/>
  <c r="J119" i="73"/>
  <c r="J552" i="73" s="1"/>
  <c r="Y127" i="73"/>
  <c r="J127" i="73"/>
  <c r="U124" i="73"/>
  <c r="F124" i="73"/>
  <c r="F557" i="73" s="1"/>
  <c r="Y118" i="73"/>
  <c r="J118" i="73"/>
  <c r="J551" i="73" s="1"/>
  <c r="T122" i="73"/>
  <c r="E528" i="73" s="1"/>
  <c r="E122" i="73"/>
  <c r="E555" i="73" s="1"/>
  <c r="W56" i="73"/>
  <c r="H56" i="73"/>
  <c r="H398" i="73" s="1"/>
  <c r="Y83" i="73"/>
  <c r="J442" i="73" s="1"/>
  <c r="J83" i="73"/>
  <c r="J469" i="73" s="1"/>
  <c r="E92" i="73"/>
  <c r="E478" i="73" s="1"/>
  <c r="T92" i="73"/>
  <c r="E451" i="73" s="1"/>
  <c r="Z22" i="73"/>
  <c r="K22" i="73"/>
  <c r="K317" i="73" s="1"/>
  <c r="J206" i="73"/>
  <c r="J731" i="73" s="1"/>
  <c r="Y206" i="73"/>
  <c r="J704" i="73" s="1"/>
  <c r="H22" i="73"/>
  <c r="H317" i="73" s="1"/>
  <c r="W22" i="73"/>
  <c r="H290" i="73" s="1"/>
  <c r="R125" i="73"/>
  <c r="C531" i="73" s="1"/>
  <c r="C125" i="73"/>
  <c r="C558" i="73" s="1"/>
  <c r="R21" i="73"/>
  <c r="C21" i="73"/>
  <c r="X11" i="73"/>
  <c r="I11" i="73"/>
  <c r="I306" i="73" s="1"/>
  <c r="AA196" i="73"/>
  <c r="L196" i="73"/>
  <c r="L721" i="73" s="1"/>
  <c r="AA93" i="73"/>
  <c r="L93" i="73"/>
  <c r="L479" i="73" s="1"/>
  <c r="C12" i="73"/>
  <c r="R12" i="73"/>
  <c r="C280" i="73" s="1"/>
  <c r="Z12" i="73"/>
  <c r="K280" i="73" s="1"/>
  <c r="K12" i="73"/>
  <c r="K307" i="73" s="1"/>
  <c r="X45" i="73"/>
  <c r="I45" i="73"/>
  <c r="I387" i="73" s="1"/>
  <c r="R197" i="73"/>
  <c r="C197" i="73"/>
  <c r="C722" i="73" s="1"/>
  <c r="S172" i="73"/>
  <c r="D172" i="73"/>
  <c r="D650" i="73" s="1"/>
  <c r="Y136" i="73"/>
  <c r="J136" i="73"/>
  <c r="J569" i="73" s="1"/>
  <c r="T117" i="73"/>
  <c r="E523" i="73" s="1"/>
  <c r="E117" i="73"/>
  <c r="E550" i="73" s="1"/>
  <c r="Y22" i="73"/>
  <c r="J22" i="73"/>
  <c r="J317" i="73" s="1"/>
  <c r="U127" i="73"/>
  <c r="F127" i="73"/>
  <c r="F560" i="73" s="1"/>
  <c r="V124" i="73"/>
  <c r="G124" i="73"/>
  <c r="G557" i="73" s="1"/>
  <c r="W116" i="73"/>
  <c r="H116" i="73"/>
  <c r="H549" i="73" s="1"/>
  <c r="E102" i="73"/>
  <c r="E488" i="73" s="1"/>
  <c r="T102" i="73"/>
  <c r="E461" i="73" s="1"/>
  <c r="T46" i="73"/>
  <c r="E46" i="73"/>
  <c r="E388" i="73" s="1"/>
  <c r="C206" i="73"/>
  <c r="C731" i="73" s="1"/>
  <c r="R206" i="73"/>
  <c r="C704" i="73" s="1"/>
  <c r="V163" i="73"/>
  <c r="G163" i="73"/>
  <c r="G641" i="73" s="1"/>
  <c r="Y56" i="73"/>
  <c r="J371" i="73" s="1"/>
  <c r="J56" i="73"/>
  <c r="J398" i="73" s="1"/>
  <c r="AA136" i="73"/>
  <c r="L136" i="73"/>
  <c r="L569" i="73" s="1"/>
  <c r="AA153" i="73"/>
  <c r="L604" i="73" s="1"/>
  <c r="L153" i="73"/>
  <c r="L631" i="73" s="1"/>
  <c r="Z11" i="73"/>
  <c r="K279" i="73" s="1"/>
  <c r="K11" i="73"/>
  <c r="K306" i="73" s="1"/>
  <c r="K45" i="73"/>
  <c r="K387" i="73" s="1"/>
  <c r="Z45" i="73"/>
  <c r="K360" i="73" s="1"/>
  <c r="S136" i="73"/>
  <c r="D542" i="73" s="1"/>
  <c r="D136" i="73"/>
  <c r="D569" i="73" s="1"/>
  <c r="J92" i="73"/>
  <c r="J478" i="73" s="1"/>
  <c r="Y92" i="73"/>
  <c r="J451" i="73" s="1"/>
  <c r="V153" i="73"/>
  <c r="G604" i="73" s="1"/>
  <c r="G153" i="73"/>
  <c r="G631" i="73" s="1"/>
  <c r="Q11" i="73"/>
  <c r="B279" i="73" s="1"/>
  <c r="B11" i="73"/>
  <c r="B306" i="73" s="1"/>
  <c r="Y197" i="73"/>
  <c r="J695" i="73" s="1"/>
  <c r="J197" i="73"/>
  <c r="J722" i="73" s="1"/>
  <c r="V117" i="73"/>
  <c r="G523" i="73" s="1"/>
  <c r="G117" i="73"/>
  <c r="G550" i="73" s="1"/>
  <c r="X121" i="73"/>
  <c r="I527" i="73" s="1"/>
  <c r="I121" i="73"/>
  <c r="I554" i="73" s="1"/>
  <c r="K186" i="73"/>
  <c r="K711" i="73" s="1"/>
  <c r="Z186" i="73"/>
  <c r="K684" i="73" s="1"/>
  <c r="M21" i="73"/>
  <c r="AB21" i="73"/>
  <c r="W153" i="73"/>
  <c r="H604" i="73" s="1"/>
  <c r="H153" i="73"/>
  <c r="H631" i="73" s="1"/>
  <c r="S82" i="73"/>
  <c r="D441" i="73" s="1"/>
  <c r="D82" i="73"/>
  <c r="D468" i="73" s="1"/>
  <c r="Y172" i="73"/>
  <c r="J172" i="73"/>
  <c r="J650" i="73" s="1"/>
  <c r="U136" i="73"/>
  <c r="F136" i="73"/>
  <c r="F569" i="73" s="1"/>
  <c r="X124" i="73"/>
  <c r="I124" i="73"/>
  <c r="W11" i="73"/>
  <c r="H279" i="73" s="1"/>
  <c r="H11" i="73"/>
  <c r="H306" i="73" s="1"/>
  <c r="K93" i="73"/>
  <c r="K479" i="73" s="1"/>
  <c r="Z93" i="73"/>
  <c r="K452" i="73" s="1"/>
  <c r="D12" i="73"/>
  <c r="S12" i="73"/>
  <c r="D280" i="73" s="1"/>
  <c r="E126" i="73"/>
  <c r="E559" i="73" s="1"/>
  <c r="T126" i="73"/>
  <c r="E532" i="73" s="1"/>
  <c r="W102" i="73"/>
  <c r="H461" i="73" s="1"/>
  <c r="H102" i="73"/>
  <c r="H488" i="73" s="1"/>
  <c r="Q121" i="73"/>
  <c r="B121" i="73"/>
  <c r="B554" i="73" s="1"/>
  <c r="AB46" i="73"/>
  <c r="M46" i="73"/>
  <c r="F206" i="73"/>
  <c r="F731" i="73" s="1"/>
  <c r="U206" i="73"/>
  <c r="F704" i="73" s="1"/>
  <c r="AA163" i="73"/>
  <c r="L614" i="73" s="1"/>
  <c r="L163" i="73"/>
  <c r="L641" i="73" s="1"/>
  <c r="V120" i="73"/>
  <c r="G526" i="73" s="1"/>
  <c r="G120" i="73"/>
  <c r="G553" i="73" s="1"/>
  <c r="V125" i="73"/>
  <c r="G125" i="73"/>
  <c r="G558" i="73" s="1"/>
  <c r="I21" i="73"/>
  <c r="I316" i="73" s="1"/>
  <c r="X21" i="73"/>
  <c r="I289" i="73" s="1"/>
  <c r="Y153" i="73"/>
  <c r="J153" i="73"/>
  <c r="J631" i="73" s="1"/>
  <c r="Y11" i="73"/>
  <c r="J11" i="73"/>
  <c r="J306" i="73" s="1"/>
  <c r="T12" i="73"/>
  <c r="E12" i="73"/>
  <c r="E307" i="73" s="1"/>
  <c r="AA65" i="73"/>
  <c r="L65" i="73"/>
  <c r="L407" i="73" s="1"/>
  <c r="F92" i="73"/>
  <c r="F478" i="73" s="1"/>
  <c r="U92" i="73"/>
  <c r="F451" i="73" s="1"/>
  <c r="V197" i="73"/>
  <c r="G197" i="73"/>
  <c r="G722" i="73" s="1"/>
  <c r="Z172" i="73"/>
  <c r="K623" i="73" s="1"/>
  <c r="K172" i="73"/>
  <c r="K650" i="73" s="1"/>
  <c r="AA126" i="73"/>
  <c r="L126" i="73"/>
  <c r="L559" i="73" s="1"/>
  <c r="R22" i="73"/>
  <c r="C290" i="73" s="1"/>
  <c r="C22" i="73"/>
  <c r="C317" i="73" s="1"/>
  <c r="E162" i="73"/>
  <c r="E640" i="73" s="1"/>
  <c r="T162" i="73"/>
  <c r="E613" i="73" s="1"/>
  <c r="AA124" i="73"/>
  <c r="L124" i="73"/>
  <c r="L557" i="73" s="1"/>
  <c r="AB118" i="73"/>
  <c r="M118" i="73"/>
  <c r="R46" i="73"/>
  <c r="C46" i="73"/>
  <c r="C388" i="73" s="1"/>
  <c r="M206" i="73"/>
  <c r="AB206" i="73"/>
  <c r="Y55" i="73"/>
  <c r="J55" i="73"/>
  <c r="J397" i="73" s="1"/>
  <c r="V83" i="73"/>
  <c r="G442" i="73" s="1"/>
  <c r="G83" i="73"/>
  <c r="G469" i="73" s="1"/>
  <c r="X65" i="73"/>
  <c r="I380" i="73" s="1"/>
  <c r="I65" i="73"/>
  <c r="I407" i="73" s="1"/>
  <c r="X172" i="73"/>
  <c r="I172" i="73"/>
  <c r="I650" i="73" s="1"/>
  <c r="AA22" i="73"/>
  <c r="L22" i="73"/>
  <c r="L317" i="73" s="1"/>
  <c r="F102" i="73"/>
  <c r="F488" i="73" s="1"/>
  <c r="U102" i="73"/>
  <c r="F461" i="73" s="1"/>
  <c r="U56" i="73"/>
  <c r="F371" i="73" s="1"/>
  <c r="F56" i="73"/>
  <c r="F398" i="73" s="1"/>
  <c r="AB153" i="73"/>
  <c r="M153" i="73"/>
  <c r="AB83" i="73"/>
  <c r="M442" i="73" s="1"/>
  <c r="M83" i="73"/>
  <c r="M469" i="73" s="1"/>
  <c r="AA186" i="73"/>
  <c r="L684" i="73" s="1"/>
  <c r="L186" i="73"/>
  <c r="L711" i="73" s="1"/>
  <c r="V11" i="73"/>
  <c r="G279" i="73" s="1"/>
  <c r="G11" i="73"/>
  <c r="G306" i="73" s="1"/>
  <c r="U125" i="73"/>
  <c r="F125" i="73"/>
  <c r="F558" i="73" s="1"/>
  <c r="AB31" i="73"/>
  <c r="M299" i="73" s="1"/>
  <c r="M31" i="73"/>
  <c r="M326" i="73" s="1"/>
  <c r="B82" i="73"/>
  <c r="B468" i="73" s="1"/>
  <c r="Q82" i="73"/>
  <c r="B441" i="73" s="1"/>
  <c r="V65" i="73"/>
  <c r="G380" i="73" s="1"/>
  <c r="G65" i="73"/>
  <c r="G407" i="73" s="1"/>
  <c r="K92" i="73"/>
  <c r="K478" i="73" s="1"/>
  <c r="Z92" i="73"/>
  <c r="K451" i="73" s="1"/>
  <c r="E187" i="73"/>
  <c r="T187" i="73"/>
  <c r="E685" i="73" s="1"/>
  <c r="V126" i="73"/>
  <c r="G532" i="73" s="1"/>
  <c r="G126" i="73"/>
  <c r="T136" i="73"/>
  <c r="E136" i="73"/>
  <c r="E569" i="73" s="1"/>
  <c r="E22" i="73"/>
  <c r="E317" i="73" s="1"/>
  <c r="T22" i="73"/>
  <c r="E290" i="73" s="1"/>
  <c r="X119" i="73"/>
  <c r="I525" i="73" s="1"/>
  <c r="I119" i="73"/>
  <c r="I552" i="73" s="1"/>
  <c r="AB124" i="73"/>
  <c r="M124" i="73"/>
  <c r="G102" i="73"/>
  <c r="G488" i="73" s="1"/>
  <c r="V102" i="73"/>
  <c r="G461" i="73" s="1"/>
  <c r="T119" i="73"/>
  <c r="E525" i="73" s="1"/>
  <c r="E119" i="73"/>
  <c r="E552" i="73" s="1"/>
  <c r="L102" i="73"/>
  <c r="L488" i="73" s="1"/>
  <c r="AA102" i="73"/>
  <c r="L461" i="73" s="1"/>
  <c r="M82" i="73"/>
  <c r="AB82" i="73"/>
  <c r="Q125" i="73"/>
  <c r="B125" i="73"/>
  <c r="B558" i="73" s="1"/>
  <c r="W196" i="73"/>
  <c r="H694" i="73" s="1"/>
  <c r="H196" i="73"/>
  <c r="H721" i="73" s="1"/>
  <c r="AB65" i="73"/>
  <c r="M65" i="73"/>
  <c r="M407" i="73" s="1"/>
  <c r="U117" i="73"/>
  <c r="F523" i="73" s="1"/>
  <c r="F117" i="73"/>
  <c r="F550" i="73" s="1"/>
  <c r="V22" i="73"/>
  <c r="G22" i="73"/>
  <c r="G317" i="73" s="1"/>
  <c r="X186" i="73"/>
  <c r="I684" i="73" s="1"/>
  <c r="I186" i="73"/>
  <c r="I711" i="73" s="1"/>
  <c r="U21" i="73"/>
  <c r="F21" i="73"/>
  <c r="F316" i="73" s="1"/>
  <c r="AB123" i="73"/>
  <c r="M529" i="73" s="1"/>
  <c r="M123" i="73"/>
  <c r="M556" i="73" s="1"/>
  <c r="L152" i="73"/>
  <c r="AA152" i="73"/>
  <c r="L603" i="73" s="1"/>
  <c r="S121" i="73"/>
  <c r="D527" i="73" s="1"/>
  <c r="D121" i="73"/>
  <c r="D554" i="73" s="1"/>
  <c r="AA120" i="73"/>
  <c r="L526" i="73" s="1"/>
  <c r="L120" i="73"/>
  <c r="L553" i="73" s="1"/>
  <c r="S153" i="73"/>
  <c r="D604" i="73" s="1"/>
  <c r="D153" i="73"/>
  <c r="D631" i="73" s="1"/>
  <c r="N78" i="62"/>
  <c r="X12" i="73"/>
  <c r="I280" i="73" s="1"/>
  <c r="I12" i="73"/>
  <c r="I307" i="73" s="1"/>
  <c r="R126" i="73"/>
  <c r="C532" i="73" s="1"/>
  <c r="C126" i="73"/>
  <c r="Q117" i="73"/>
  <c r="B523" i="73" s="1"/>
  <c r="B117" i="73"/>
  <c r="B550" i="73" s="1"/>
  <c r="AA127" i="73"/>
  <c r="L533" i="73" s="1"/>
  <c r="L127" i="73"/>
  <c r="S124" i="73"/>
  <c r="D530" i="73" s="1"/>
  <c r="D124" i="73"/>
  <c r="D557" i="73" s="1"/>
  <c r="Z46" i="73"/>
  <c r="K361" i="73" s="1"/>
  <c r="K46" i="73"/>
  <c r="AA122" i="73"/>
  <c r="L528" i="73" s="1"/>
  <c r="L122" i="73"/>
  <c r="L555" i="73" s="1"/>
  <c r="C82" i="73"/>
  <c r="C468" i="73" s="1"/>
  <c r="R82" i="73"/>
  <c r="C441" i="73" s="1"/>
  <c r="Z65" i="73"/>
  <c r="K380" i="73" s="1"/>
  <c r="K65" i="73"/>
  <c r="K407" i="73" s="1"/>
  <c r="M12" i="73"/>
  <c r="AB12" i="73"/>
  <c r="T172" i="73"/>
  <c r="E623" i="73" s="1"/>
  <c r="E172" i="73"/>
  <c r="E650" i="73" s="1"/>
  <c r="V136" i="73"/>
  <c r="G542" i="73" s="1"/>
  <c r="G136" i="73"/>
  <c r="G569" i="73" s="1"/>
  <c r="W46" i="73"/>
  <c r="H46" i="73"/>
  <c r="H388" i="73" s="1"/>
  <c r="X120" i="73"/>
  <c r="I526" i="73" s="1"/>
  <c r="I120" i="73"/>
  <c r="I553" i="73" s="1"/>
  <c r="T65" i="73"/>
  <c r="E380" i="73" s="1"/>
  <c r="E65" i="73"/>
  <c r="E407" i="73" s="1"/>
  <c r="V186" i="73"/>
  <c r="G684" i="73" s="1"/>
  <c r="G186" i="73"/>
  <c r="G711" i="73" s="1"/>
  <c r="H186" i="73"/>
  <c r="H711" i="73" s="1"/>
  <c r="W186" i="73"/>
  <c r="H684" i="73" s="1"/>
  <c r="U186" i="73"/>
  <c r="F684" i="73" s="1"/>
  <c r="F186" i="73"/>
  <c r="W21" i="73"/>
  <c r="H289" i="73" s="1"/>
  <c r="H21" i="73"/>
  <c r="H316" i="73" s="1"/>
  <c r="Q21" i="73"/>
  <c r="B289" i="73" s="1"/>
  <c r="B21" i="73"/>
  <c r="B316" i="73" s="1"/>
  <c r="I82" i="73"/>
  <c r="I468" i="73" s="1"/>
  <c r="X82" i="73"/>
  <c r="I441" i="73" s="1"/>
  <c r="H65" i="73"/>
  <c r="H407" i="73" s="1"/>
  <c r="W65" i="73"/>
  <c r="H92" i="73"/>
  <c r="H478" i="73" s="1"/>
  <c r="W92" i="73"/>
  <c r="H451" i="73" s="1"/>
  <c r="I187" i="73"/>
  <c r="X187" i="73"/>
  <c r="I685" i="73" s="1"/>
  <c r="AA172" i="73"/>
  <c r="L623" i="73" s="1"/>
  <c r="L172" i="73"/>
  <c r="L650" i="73" s="1"/>
  <c r="R136" i="73"/>
  <c r="C542" i="73" s="1"/>
  <c r="C136" i="73"/>
  <c r="X22" i="73"/>
  <c r="I290" i="73" s="1"/>
  <c r="I22" i="73"/>
  <c r="I317" i="73" s="1"/>
  <c r="Z162" i="73"/>
  <c r="K613" i="73" s="1"/>
  <c r="K162" i="73"/>
  <c r="K640" i="73" s="1"/>
  <c r="F152" i="73"/>
  <c r="F630" i="73" s="1"/>
  <c r="U152" i="73"/>
  <c r="F603" i="73" s="1"/>
  <c r="X127" i="73"/>
  <c r="I533" i="73" s="1"/>
  <c r="I127" i="73"/>
  <c r="V116" i="73"/>
  <c r="G522" i="73" s="1"/>
  <c r="G116" i="73"/>
  <c r="G549" i="73" s="1"/>
  <c r="AB121" i="73"/>
  <c r="M121" i="73"/>
  <c r="X46" i="73"/>
  <c r="I361" i="73" s="1"/>
  <c r="I46" i="73"/>
  <c r="I388" i="73" s="1"/>
  <c r="G206" i="73"/>
  <c r="G731" i="73" s="1"/>
  <c r="V206" i="73"/>
  <c r="G704" i="73" s="1"/>
  <c r="AB120" i="73"/>
  <c r="M120" i="73"/>
  <c r="T55" i="73"/>
  <c r="E370" i="73" s="1"/>
  <c r="E55" i="73"/>
  <c r="E397" i="73" s="1"/>
  <c r="T196" i="73"/>
  <c r="E694" i="73" s="1"/>
  <c r="E196" i="73"/>
  <c r="E721" i="73" s="1"/>
  <c r="G82" i="73"/>
  <c r="G468" i="73" s="1"/>
  <c r="V82" i="73"/>
  <c r="I92" i="73"/>
  <c r="I478" i="73" s="1"/>
  <c r="X92" i="73"/>
  <c r="M45" i="73"/>
  <c r="N45" i="73" s="1"/>
  <c r="AB45" i="73"/>
  <c r="R163" i="73"/>
  <c r="C614" i="73" s="1"/>
  <c r="C163" i="73"/>
  <c r="C641" i="73" s="1"/>
  <c r="X123" i="73"/>
  <c r="I529" i="73" s="1"/>
  <c r="I123" i="73"/>
  <c r="J186" i="73"/>
  <c r="J711" i="73" s="1"/>
  <c r="Y186" i="73"/>
  <c r="J684" i="73" s="1"/>
  <c r="Z125" i="73"/>
  <c r="K531" i="73" s="1"/>
  <c r="K125" i="73"/>
  <c r="B92" i="73"/>
  <c r="B478" i="73" s="1"/>
  <c r="Q92" i="73"/>
  <c r="B451" i="73" s="1"/>
  <c r="W125" i="73"/>
  <c r="H531" i="73" s="1"/>
  <c r="H125" i="73"/>
  <c r="H558" i="73" s="1"/>
  <c r="Q153" i="73"/>
  <c r="B604" i="73" s="1"/>
  <c r="B153" i="73"/>
  <c r="B631" i="73" s="1"/>
  <c r="S31" i="73"/>
  <c r="D299" i="73" s="1"/>
  <c r="D31" i="73"/>
  <c r="D326" i="73" s="1"/>
  <c r="F45" i="73"/>
  <c r="F387" i="73" s="1"/>
  <c r="U45" i="73"/>
  <c r="F360" i="73" s="1"/>
  <c r="L82" i="73"/>
  <c r="L468" i="73" s="1"/>
  <c r="AA82" i="73"/>
  <c r="C65" i="73"/>
  <c r="C407" i="73" s="1"/>
  <c r="R65" i="73"/>
  <c r="C380" i="73" s="1"/>
  <c r="F187" i="73"/>
  <c r="F712" i="73" s="1"/>
  <c r="U187" i="73"/>
  <c r="F685" i="73" s="1"/>
  <c r="AB172" i="73"/>
  <c r="M172" i="73"/>
  <c r="M126" i="73"/>
  <c r="AB126" i="73"/>
  <c r="S119" i="73"/>
  <c r="D525" i="73" s="1"/>
  <c r="D119" i="73"/>
  <c r="D552" i="73" s="1"/>
  <c r="T127" i="73"/>
  <c r="E533" i="73" s="1"/>
  <c r="E127" i="73"/>
  <c r="E560" i="73" s="1"/>
  <c r="W124" i="73"/>
  <c r="H530" i="73" s="1"/>
  <c r="H124" i="73"/>
  <c r="H557" i="73" s="1"/>
  <c r="T118" i="73"/>
  <c r="E524" i="73" s="1"/>
  <c r="E118" i="73"/>
  <c r="V119" i="73"/>
  <c r="G525" i="73" s="1"/>
  <c r="G119" i="73"/>
  <c r="G552" i="73" s="1"/>
  <c r="K82" i="73"/>
  <c r="K468" i="73" s="1"/>
  <c r="Z82" i="73"/>
  <c r="K441" i="73" s="1"/>
  <c r="G93" i="73"/>
  <c r="G479" i="73" s="1"/>
  <c r="V93" i="73"/>
  <c r="R172" i="73"/>
  <c r="C623" i="73" s="1"/>
  <c r="C172" i="73"/>
  <c r="AA11" i="73"/>
  <c r="L279" i="73" s="1"/>
  <c r="L11" i="73"/>
  <c r="L306" i="73" s="1"/>
  <c r="R186" i="73"/>
  <c r="C684" i="73" s="1"/>
  <c r="C186" i="73"/>
  <c r="C711" i="73" s="1"/>
  <c r="Q119" i="73"/>
  <c r="B525" i="73" s="1"/>
  <c r="B119" i="73"/>
  <c r="B552" i="73" s="1"/>
  <c r="Z118" i="73"/>
  <c r="K524" i="73" s="1"/>
  <c r="K118" i="73"/>
  <c r="K551" i="73" s="1"/>
  <c r="E206" i="73"/>
  <c r="E731" i="73" s="1"/>
  <c r="T206" i="73"/>
  <c r="E704" i="73" s="1"/>
  <c r="D55" i="73"/>
  <c r="D397" i="73" s="1"/>
  <c r="S55" i="73"/>
  <c r="Y65" i="73"/>
  <c r="J380" i="73" s="1"/>
  <c r="J65" i="73"/>
  <c r="J407" i="73" s="1"/>
  <c r="Y125" i="73"/>
  <c r="J531" i="73" s="1"/>
  <c r="J125" i="73"/>
  <c r="M92" i="73"/>
  <c r="AB92" i="73"/>
  <c r="T21" i="73"/>
  <c r="E21" i="73"/>
  <c r="E316" i="73" s="1"/>
  <c r="AD78" i="62"/>
  <c r="Z187" i="73"/>
  <c r="K685" i="73" s="1"/>
  <c r="K187" i="73"/>
  <c r="K712" i="73" s="1"/>
  <c r="X126" i="73"/>
  <c r="I126" i="73"/>
  <c r="I559" i="73" s="1"/>
  <c r="V127" i="73"/>
  <c r="G533" i="73" s="1"/>
  <c r="G127" i="73"/>
  <c r="Y116" i="73"/>
  <c r="J116" i="73"/>
  <c r="J549" i="73" s="1"/>
  <c r="U46" i="73"/>
  <c r="F361" i="73" s="1"/>
  <c r="F46" i="73"/>
  <c r="F388" i="73" s="1"/>
  <c r="J82" i="73"/>
  <c r="Y82" i="73"/>
  <c r="J441" i="73" s="1"/>
  <c r="AA197" i="73"/>
  <c r="L695" i="73" s="1"/>
  <c r="L197" i="73"/>
  <c r="L722" i="73" s="1"/>
  <c r="W172" i="73"/>
  <c r="H172" i="73"/>
  <c r="H650" i="73" s="1"/>
  <c r="AB136" i="73"/>
  <c r="M136" i="73"/>
  <c r="U119" i="73"/>
  <c r="F119" i="73"/>
  <c r="F552" i="73" s="1"/>
  <c r="C705" i="73"/>
  <c r="M730" i="73"/>
  <c r="N205" i="73"/>
  <c r="M305" i="73"/>
  <c r="N10" i="73"/>
  <c r="D678" i="73"/>
  <c r="M729" i="73"/>
  <c r="N204" i="73"/>
  <c r="M678" i="73"/>
  <c r="AC180" i="73"/>
  <c r="C678" i="73"/>
  <c r="M703" i="73"/>
  <c r="AC205" i="73"/>
  <c r="M278" i="73"/>
  <c r="AC10" i="73"/>
  <c r="J705" i="73"/>
  <c r="M702" i="73"/>
  <c r="AC204" i="73"/>
  <c r="B705" i="73"/>
  <c r="H705" i="73"/>
  <c r="M715" i="73"/>
  <c r="N190" i="73"/>
  <c r="J678" i="73"/>
  <c r="B543" i="73"/>
  <c r="G705" i="73"/>
  <c r="B678" i="73"/>
  <c r="G678" i="73"/>
  <c r="M699" i="73"/>
  <c r="AC201" i="73"/>
  <c r="M688" i="73"/>
  <c r="AC190" i="73"/>
  <c r="M705" i="73"/>
  <c r="N180" i="73"/>
  <c r="B516" i="73"/>
  <c r="B91" i="62"/>
  <c r="B81" i="62"/>
  <c r="B23" i="64" s="1"/>
  <c r="S53" i="64" s="1"/>
  <c r="B82" i="62"/>
  <c r="C23" i="64" s="1"/>
  <c r="R92" i="62"/>
  <c r="W198" i="73"/>
  <c r="H696" i="73" s="1"/>
  <c r="R79" i="73"/>
  <c r="C438" i="73" s="1"/>
  <c r="G527" i="73"/>
  <c r="F61" i="73"/>
  <c r="F403" i="73" s="1"/>
  <c r="G9" i="73"/>
  <c r="G304" i="73" s="1"/>
  <c r="J91" i="73"/>
  <c r="J477" i="73" s="1"/>
  <c r="B147" i="73"/>
  <c r="B625" i="73" s="1"/>
  <c r="AB9" i="73"/>
  <c r="AC9" i="73" s="1"/>
  <c r="K167" i="73"/>
  <c r="K645" i="73" s="1"/>
  <c r="F164" i="73"/>
  <c r="F642" i="73" s="1"/>
  <c r="H155" i="73"/>
  <c r="H633" i="73" s="1"/>
  <c r="K39" i="73"/>
  <c r="K381" i="73" s="1"/>
  <c r="G19" i="73"/>
  <c r="G314" i="73" s="1"/>
  <c r="K398" i="73"/>
  <c r="S64" i="73"/>
  <c r="D379" i="73" s="1"/>
  <c r="E556" i="73"/>
  <c r="Z87" i="73"/>
  <c r="K446" i="73" s="1"/>
  <c r="D190" i="73"/>
  <c r="D715" i="73" s="1"/>
  <c r="K90" i="73"/>
  <c r="K476" i="73" s="1"/>
  <c r="E201" i="73"/>
  <c r="E726" i="73" s="1"/>
  <c r="L371" i="73"/>
  <c r="J101" i="73"/>
  <c r="J487" i="73" s="1"/>
  <c r="X86" i="73"/>
  <c r="I445" i="73" s="1"/>
  <c r="K60" i="73"/>
  <c r="K402" i="73" s="1"/>
  <c r="Y169" i="73"/>
  <c r="J620" i="73" s="1"/>
  <c r="I97" i="73"/>
  <c r="I483" i="73" s="1"/>
  <c r="Y129" i="73"/>
  <c r="J535" i="73" s="1"/>
  <c r="S41" i="73"/>
  <c r="D356" i="73" s="1"/>
  <c r="AA156" i="73"/>
  <c r="L607" i="73" s="1"/>
  <c r="R23" i="73"/>
  <c r="C291" i="73" s="1"/>
  <c r="T80" i="73"/>
  <c r="E439" i="73" s="1"/>
  <c r="B442" i="73"/>
  <c r="U184" i="73"/>
  <c r="F682" i="73" s="1"/>
  <c r="H97" i="73"/>
  <c r="H483" i="73" s="1"/>
  <c r="D155" i="73"/>
  <c r="D633" i="73" s="1"/>
  <c r="E26" i="73"/>
  <c r="E321" i="73" s="1"/>
  <c r="CG150" i="63"/>
  <c r="Q175" i="73" s="1"/>
  <c r="CR90" i="63"/>
  <c r="AB105" i="73" s="1"/>
  <c r="CO30" i="63"/>
  <c r="Y34" i="73" s="1"/>
  <c r="CH150" i="63"/>
  <c r="R175" i="73" s="1"/>
  <c r="CP90" i="63"/>
  <c r="Z105" i="73" s="1"/>
  <c r="K739" i="73" s="1"/>
  <c r="CG30" i="63"/>
  <c r="Q34" i="73" s="1"/>
  <c r="CM180" i="63"/>
  <c r="W209" i="73" s="1"/>
  <c r="H748" i="73" s="1"/>
  <c r="CQ120" i="63"/>
  <c r="AA139" i="73" s="1"/>
  <c r="CI120" i="63"/>
  <c r="S139" i="73" s="1"/>
  <c r="CQ150" i="63"/>
  <c r="AA175" i="73" s="1"/>
  <c r="CH120" i="63"/>
  <c r="R139" i="73" s="1"/>
  <c r="CP120" i="63"/>
  <c r="Z139" i="73" s="1"/>
  <c r="CK90" i="63"/>
  <c r="U105" i="73" s="1"/>
  <c r="F739" i="73" s="1"/>
  <c r="CQ90" i="63"/>
  <c r="AA105" i="73" s="1"/>
  <c r="L739" i="73" s="1"/>
  <c r="CN60" i="63"/>
  <c r="X68" i="73" s="1"/>
  <c r="CI90" i="63"/>
  <c r="S105" i="73" s="1"/>
  <c r="D739" i="73" s="1"/>
  <c r="CH90" i="63"/>
  <c r="R105" i="73" s="1"/>
  <c r="C739" i="73" s="1"/>
  <c r="CH60" i="63"/>
  <c r="R68" i="73" s="1"/>
  <c r="CN30" i="63"/>
  <c r="X34" i="73" s="1"/>
  <c r="CJ180" i="63"/>
  <c r="T209" i="73" s="1"/>
  <c r="E748" i="73" s="1"/>
  <c r="CP180" i="63"/>
  <c r="Z209" i="73" s="1"/>
  <c r="K748" i="73" s="1"/>
  <c r="R27" i="73"/>
  <c r="C295" i="73" s="1"/>
  <c r="S164" i="73"/>
  <c r="D615" i="73" s="1"/>
  <c r="Q9" i="73"/>
  <c r="B277" i="73" s="1"/>
  <c r="X129" i="73"/>
  <c r="I535" i="73" s="1"/>
  <c r="F94" i="73"/>
  <c r="F480" i="73" s="1"/>
  <c r="T20" i="73"/>
  <c r="E288" i="73" s="1"/>
  <c r="J529" i="73"/>
  <c r="AB167" i="73"/>
  <c r="M618" i="73" s="1"/>
  <c r="Z58" i="73"/>
  <c r="K373" i="73" s="1"/>
  <c r="R198" i="73"/>
  <c r="C696" i="73" s="1"/>
  <c r="I326" i="73"/>
  <c r="Q58" i="73"/>
  <c r="B373" i="73" s="1"/>
  <c r="U39" i="73"/>
  <c r="F354" i="73" s="1"/>
  <c r="CK60" i="63"/>
  <c r="U68" i="73" s="1"/>
  <c r="CJ30" i="63"/>
  <c r="T34" i="73" s="1"/>
  <c r="CP60" i="63"/>
  <c r="Z68" i="73" s="1"/>
  <c r="CG90" i="63"/>
  <c r="Q105" i="73" s="1"/>
  <c r="B739" i="73" s="1"/>
  <c r="CG180" i="63"/>
  <c r="Q209" i="73" s="1"/>
  <c r="B748" i="73" s="1"/>
  <c r="CJ60" i="63"/>
  <c r="T68" i="73" s="1"/>
  <c r="CL120" i="63"/>
  <c r="V139" i="73" s="1"/>
  <c r="CL150" i="63"/>
  <c r="V175" i="73" s="1"/>
  <c r="CJ90" i="63"/>
  <c r="T105" i="73" s="1"/>
  <c r="E739" i="73" s="1"/>
  <c r="CK180" i="63"/>
  <c r="U209" i="73" s="1"/>
  <c r="F748" i="73" s="1"/>
  <c r="CK30" i="63"/>
  <c r="U34" i="73" s="1"/>
  <c r="CP150" i="63"/>
  <c r="Z175" i="73" s="1"/>
  <c r="CR120" i="63"/>
  <c r="AB139" i="73" s="1"/>
  <c r="CO120" i="63"/>
  <c r="Y139" i="73" s="1"/>
  <c r="CN90" i="63"/>
  <c r="X105" i="73" s="1"/>
  <c r="I739" i="73" s="1"/>
  <c r="CN150" i="63"/>
  <c r="X175" i="73" s="1"/>
  <c r="CO150" i="63"/>
  <c r="Y175" i="73" s="1"/>
  <c r="CM90" i="63"/>
  <c r="W105" i="73" s="1"/>
  <c r="H739" i="73" s="1"/>
  <c r="CR150" i="63"/>
  <c r="AB175" i="73" s="1"/>
  <c r="CM30" i="63"/>
  <c r="W34" i="73" s="1"/>
  <c r="CM60" i="63"/>
  <c r="W68" i="73" s="1"/>
  <c r="CO90" i="63"/>
  <c r="Y105" i="73" s="1"/>
  <c r="J739" i="73" s="1"/>
  <c r="CI30" i="63"/>
  <c r="S34" i="73" s="1"/>
  <c r="CL30" i="63"/>
  <c r="V34" i="73" s="1"/>
  <c r="CN180" i="63"/>
  <c r="X209" i="73" s="1"/>
  <c r="I748" i="73" s="1"/>
  <c r="G165" i="73"/>
  <c r="G643" i="73" s="1"/>
  <c r="G79" i="73"/>
  <c r="G465" i="73" s="1"/>
  <c r="C28" i="73"/>
  <c r="C323" i="73" s="1"/>
  <c r="W180" i="73"/>
  <c r="M53" i="73"/>
  <c r="M395" i="73" s="1"/>
  <c r="C52" i="73"/>
  <c r="C394" i="73" s="1"/>
  <c r="H479" i="73"/>
  <c r="CQ30" i="63"/>
  <c r="AA34" i="73" s="1"/>
  <c r="CL60" i="63"/>
  <c r="V68" i="73" s="1"/>
  <c r="CL180" i="63"/>
  <c r="V209" i="73" s="1"/>
  <c r="G748" i="73" s="1"/>
  <c r="CR180" i="63"/>
  <c r="AB209" i="73" s="1"/>
  <c r="CP30" i="63"/>
  <c r="Z34" i="73" s="1"/>
  <c r="CH180" i="63"/>
  <c r="R209" i="73" s="1"/>
  <c r="C748" i="73" s="1"/>
  <c r="CL90" i="63"/>
  <c r="V105" i="73" s="1"/>
  <c r="G739" i="73" s="1"/>
  <c r="CR60" i="63"/>
  <c r="AB68" i="73" s="1"/>
  <c r="CQ60" i="63"/>
  <c r="AA68" i="73" s="1"/>
  <c r="CK120" i="63"/>
  <c r="U139" i="73" s="1"/>
  <c r="CN120" i="63"/>
  <c r="X139" i="73" s="1"/>
  <c r="CK150" i="63"/>
  <c r="U175" i="73" s="1"/>
  <c r="CM120" i="63"/>
  <c r="W139" i="73" s="1"/>
  <c r="CJ120" i="63"/>
  <c r="T139" i="73" s="1"/>
  <c r="CI150" i="63"/>
  <c r="S175" i="73" s="1"/>
  <c r="CJ150" i="63"/>
  <c r="T175" i="73" s="1"/>
  <c r="CR30" i="63"/>
  <c r="AB34" i="73" s="1"/>
  <c r="CM150" i="63"/>
  <c r="W175" i="73" s="1"/>
  <c r="CO60" i="63"/>
  <c r="Y68" i="73" s="1"/>
  <c r="CI60" i="63"/>
  <c r="S68" i="73" s="1"/>
  <c r="CH30" i="63"/>
  <c r="R34" i="73" s="1"/>
  <c r="S59" i="73"/>
  <c r="D374" i="73" s="1"/>
  <c r="U96" i="73"/>
  <c r="F455" i="73" s="1"/>
  <c r="F556" i="73"/>
  <c r="I181" i="73"/>
  <c r="I706" i="73" s="1"/>
  <c r="L180" i="73"/>
  <c r="CQ180" i="63"/>
  <c r="AA209" i="73" s="1"/>
  <c r="L748" i="73" s="1"/>
  <c r="D180" i="73"/>
  <c r="CI180" i="63"/>
  <c r="S209" i="73" s="1"/>
  <c r="D748" i="73" s="1"/>
  <c r="Q39" i="73"/>
  <c r="B354" i="73" s="1"/>
  <c r="CG60" i="63"/>
  <c r="Q68" i="73" s="1"/>
  <c r="CG120" i="63"/>
  <c r="Q139" i="73" s="1"/>
  <c r="CO180" i="63"/>
  <c r="Y209" i="73" s="1"/>
  <c r="J748" i="73" s="1"/>
  <c r="Q43" i="73"/>
  <c r="B358" i="73" s="1"/>
  <c r="AB78" i="73"/>
  <c r="M437" i="73" s="1"/>
  <c r="B39" i="73"/>
  <c r="B381" i="73" s="1"/>
  <c r="M43" i="73"/>
  <c r="M385" i="73" s="1"/>
  <c r="B47" i="73"/>
  <c r="B389" i="73" s="1"/>
  <c r="M54" i="73"/>
  <c r="M396" i="73" s="1"/>
  <c r="H27" i="73"/>
  <c r="H322" i="73" s="1"/>
  <c r="L19" i="73"/>
  <c r="L314" i="73" s="1"/>
  <c r="J63" i="73"/>
  <c r="J405" i="73" s="1"/>
  <c r="C15" i="73"/>
  <c r="C310" i="73" s="1"/>
  <c r="L441" i="73"/>
  <c r="M133" i="73"/>
  <c r="N133" i="73" s="1"/>
  <c r="G556" i="73"/>
  <c r="E63" i="73"/>
  <c r="E405" i="73" s="1"/>
  <c r="F200" i="73"/>
  <c r="F725" i="73" s="1"/>
  <c r="E44" i="73"/>
  <c r="E386" i="73" s="1"/>
  <c r="U97" i="73"/>
  <c r="F456" i="73" s="1"/>
  <c r="J44" i="73"/>
  <c r="J386" i="73" s="1"/>
  <c r="B19" i="73"/>
  <c r="B314" i="73" s="1"/>
  <c r="E15" i="73"/>
  <c r="E310" i="73" s="1"/>
  <c r="F39" i="73"/>
  <c r="F381" i="73" s="1"/>
  <c r="E5" i="73"/>
  <c r="E300" i="73" s="1"/>
  <c r="D131" i="73"/>
  <c r="D564" i="73" s="1"/>
  <c r="B51" i="73"/>
  <c r="B393" i="73" s="1"/>
  <c r="I190" i="73"/>
  <c r="I715" i="73" s="1"/>
  <c r="I155" i="73"/>
  <c r="I633" i="73" s="1"/>
  <c r="J54" i="73"/>
  <c r="J396" i="73" s="1"/>
  <c r="Z77" i="73"/>
  <c r="K436" i="73" s="1"/>
  <c r="V43" i="73"/>
  <c r="G358" i="73" s="1"/>
  <c r="U54" i="73"/>
  <c r="F369" i="73" s="1"/>
  <c r="T25" i="73"/>
  <c r="E293" i="73" s="1"/>
  <c r="E527" i="73"/>
  <c r="U204" i="73"/>
  <c r="F702" i="73" s="1"/>
  <c r="U51" i="73"/>
  <c r="F366" i="73" s="1"/>
  <c r="R54" i="73"/>
  <c r="C369" i="73" s="1"/>
  <c r="S51" i="73"/>
  <c r="D366" i="73" s="1"/>
  <c r="X94" i="73"/>
  <c r="I453" i="73" s="1"/>
  <c r="V131" i="73"/>
  <c r="G537" i="73" s="1"/>
  <c r="U149" i="73"/>
  <c r="F600" i="73" s="1"/>
  <c r="U84" i="73"/>
  <c r="F443" i="73" s="1"/>
  <c r="J155" i="73"/>
  <c r="J633" i="73" s="1"/>
  <c r="C101" i="73"/>
  <c r="C487" i="73" s="1"/>
  <c r="M13" i="73"/>
  <c r="M308" i="73" s="1"/>
  <c r="J131" i="73"/>
  <c r="J564" i="73" s="1"/>
  <c r="H47" i="73"/>
  <c r="H389" i="73" s="1"/>
  <c r="F155" i="73"/>
  <c r="F633" i="73" s="1"/>
  <c r="G64" i="73"/>
  <c r="G406" i="73" s="1"/>
  <c r="K51" i="73"/>
  <c r="K393" i="73" s="1"/>
  <c r="D398" i="73"/>
  <c r="E165" i="73"/>
  <c r="E643" i="73" s="1"/>
  <c r="J15" i="73"/>
  <c r="J310" i="73" s="1"/>
  <c r="B41" i="73"/>
  <c r="B383" i="73" s="1"/>
  <c r="M155" i="73"/>
  <c r="M633" i="73" s="1"/>
  <c r="M96" i="73"/>
  <c r="M482" i="73" s="1"/>
  <c r="I165" i="73"/>
  <c r="I643" i="73" s="1"/>
  <c r="H89" i="73"/>
  <c r="H475" i="73" s="1"/>
  <c r="B53" i="73"/>
  <c r="B395" i="73" s="1"/>
  <c r="K18" i="73"/>
  <c r="K313" i="73" s="1"/>
  <c r="AB58" i="73"/>
  <c r="M373" i="73" s="1"/>
  <c r="H133" i="73"/>
  <c r="H566" i="73" s="1"/>
  <c r="I442" i="73"/>
  <c r="W15" i="73"/>
  <c r="H283" i="73" s="1"/>
  <c r="W41" i="73"/>
  <c r="H356" i="73" s="1"/>
  <c r="R43" i="73"/>
  <c r="C358" i="73" s="1"/>
  <c r="D523" i="73"/>
  <c r="S54" i="73"/>
  <c r="D369" i="73" s="1"/>
  <c r="AA86" i="73"/>
  <c r="L445" i="73" s="1"/>
  <c r="Z190" i="73"/>
  <c r="K688" i="73" s="1"/>
  <c r="H80" i="73"/>
  <c r="H466" i="73" s="1"/>
  <c r="K129" i="73"/>
  <c r="K562" i="73" s="1"/>
  <c r="I52" i="73"/>
  <c r="I394" i="73" s="1"/>
  <c r="H88" i="73"/>
  <c r="H474" i="73" s="1"/>
  <c r="I91" i="73"/>
  <c r="I477" i="73" s="1"/>
  <c r="J23" i="73"/>
  <c r="J318" i="73" s="1"/>
  <c r="L164" i="73"/>
  <c r="L642" i="73" s="1"/>
  <c r="X28" i="73"/>
  <c r="I296" i="73" s="1"/>
  <c r="S28" i="73"/>
  <c r="D296" i="73" s="1"/>
  <c r="AA180" i="73"/>
  <c r="W190" i="73"/>
  <c r="H688" i="73" s="1"/>
  <c r="F78" i="73"/>
  <c r="F464" i="73" s="1"/>
  <c r="Y26" i="73"/>
  <c r="J294" i="73" s="1"/>
  <c r="AA18" i="73"/>
  <c r="L286" i="73" s="1"/>
  <c r="L181" i="73"/>
  <c r="L706" i="73" s="1"/>
  <c r="J194" i="73"/>
  <c r="J719" i="73" s="1"/>
  <c r="M198" i="73"/>
  <c r="N198" i="73" s="1"/>
  <c r="C165" i="73"/>
  <c r="C643" i="73" s="1"/>
  <c r="D469" i="73"/>
  <c r="T154" i="73"/>
  <c r="E605" i="73" s="1"/>
  <c r="Y48" i="73"/>
  <c r="J363" i="73" s="1"/>
  <c r="S52" i="73"/>
  <c r="D367" i="73" s="1"/>
  <c r="C155" i="73"/>
  <c r="C633" i="73" s="1"/>
  <c r="J193" i="73"/>
  <c r="J718" i="73" s="1"/>
  <c r="F86" i="73"/>
  <c r="F472" i="73" s="1"/>
  <c r="H61" i="73"/>
  <c r="H403" i="73" s="1"/>
  <c r="U168" i="73"/>
  <c r="F619" i="73" s="1"/>
  <c r="F168" i="73"/>
  <c r="F646" i="73" s="1"/>
  <c r="V113" i="73"/>
  <c r="G519" i="73" s="1"/>
  <c r="G113" i="73"/>
  <c r="G546" i="73" s="1"/>
  <c r="AA50" i="73"/>
  <c r="L365" i="73" s="1"/>
  <c r="L50" i="73"/>
  <c r="L392" i="73" s="1"/>
  <c r="W14" i="73"/>
  <c r="H282" i="73" s="1"/>
  <c r="H14" i="73"/>
  <c r="H309" i="73" s="1"/>
  <c r="Z112" i="73"/>
  <c r="K518" i="73" s="1"/>
  <c r="K112" i="73"/>
  <c r="K545" i="73" s="1"/>
  <c r="AB16" i="73"/>
  <c r="M16" i="73"/>
  <c r="AB195" i="73"/>
  <c r="M195" i="73"/>
  <c r="W168" i="73"/>
  <c r="H619" i="73" s="1"/>
  <c r="H168" i="73"/>
  <c r="H646" i="73" s="1"/>
  <c r="Y113" i="73"/>
  <c r="J519" i="73" s="1"/>
  <c r="J113" i="73"/>
  <c r="J546" i="73" s="1"/>
  <c r="AB30" i="73"/>
  <c r="M30" i="73"/>
  <c r="R134" i="73"/>
  <c r="C540" i="73" s="1"/>
  <c r="C134" i="73"/>
  <c r="C567" i="73" s="1"/>
  <c r="U112" i="73"/>
  <c r="F518" i="73" s="1"/>
  <c r="F112" i="73"/>
  <c r="F545" i="73" s="1"/>
  <c r="U24" i="73"/>
  <c r="F292" i="73" s="1"/>
  <c r="F24" i="73"/>
  <c r="F319" i="73" s="1"/>
  <c r="W16" i="73"/>
  <c r="H284" i="73" s="1"/>
  <c r="H16" i="73"/>
  <c r="H311" i="73" s="1"/>
  <c r="S195" i="73"/>
  <c r="D693" i="73" s="1"/>
  <c r="D195" i="73"/>
  <c r="D720" i="73" s="1"/>
  <c r="Z168" i="73"/>
  <c r="K619" i="73" s="1"/>
  <c r="K168" i="73"/>
  <c r="K646" i="73" s="1"/>
  <c r="Q113" i="73"/>
  <c r="B519" i="73" s="1"/>
  <c r="B113" i="73"/>
  <c r="B546" i="73" s="1"/>
  <c r="V42" i="73"/>
  <c r="G357" i="73" s="1"/>
  <c r="G42" i="73"/>
  <c r="G384" i="73" s="1"/>
  <c r="D290" i="73"/>
  <c r="U161" i="73"/>
  <c r="F612" i="73" s="1"/>
  <c r="F161" i="73"/>
  <c r="F639" i="73" s="1"/>
  <c r="V112" i="73"/>
  <c r="G518" i="73" s="1"/>
  <c r="G112" i="73"/>
  <c r="G545" i="73" s="1"/>
  <c r="V24" i="73"/>
  <c r="G292" i="73" s="1"/>
  <c r="G24" i="73"/>
  <c r="G319" i="73" s="1"/>
  <c r="X16" i="73"/>
  <c r="I284" i="73" s="1"/>
  <c r="I16" i="73"/>
  <c r="I311" i="73" s="1"/>
  <c r="Y195" i="73"/>
  <c r="J693" i="73" s="1"/>
  <c r="J195" i="73"/>
  <c r="J720" i="73" s="1"/>
  <c r="AB168" i="73"/>
  <c r="M168" i="73"/>
  <c r="X50" i="73"/>
  <c r="I365" i="73" s="1"/>
  <c r="I50" i="73"/>
  <c r="I392" i="73" s="1"/>
  <c r="S42" i="73"/>
  <c r="D357" i="73" s="1"/>
  <c r="D42" i="73"/>
  <c r="D384" i="73" s="1"/>
  <c r="R189" i="73"/>
  <c r="C687" i="73" s="1"/>
  <c r="C189" i="73"/>
  <c r="C714" i="73" s="1"/>
  <c r="R112" i="73"/>
  <c r="C518" i="73" s="1"/>
  <c r="C112" i="73"/>
  <c r="C545" i="73" s="1"/>
  <c r="T98" i="73"/>
  <c r="E457" i="73" s="1"/>
  <c r="E98" i="73"/>
  <c r="E484" i="73" s="1"/>
  <c r="Y16" i="73"/>
  <c r="J284" i="73" s="1"/>
  <c r="J16" i="73"/>
  <c r="J311" i="73" s="1"/>
  <c r="Y50" i="73"/>
  <c r="J365" i="73" s="1"/>
  <c r="J50" i="73"/>
  <c r="J392" i="73" s="1"/>
  <c r="V195" i="73"/>
  <c r="G693" i="73" s="1"/>
  <c r="G195" i="73"/>
  <c r="G720" i="73" s="1"/>
  <c r="AA157" i="73"/>
  <c r="L608" i="73" s="1"/>
  <c r="L157" i="73"/>
  <c r="L635" i="73" s="1"/>
  <c r="Z50" i="73"/>
  <c r="K365" i="73" s="1"/>
  <c r="K50" i="73"/>
  <c r="K392" i="73" s="1"/>
  <c r="U42" i="73"/>
  <c r="F357" i="73" s="1"/>
  <c r="F42" i="73"/>
  <c r="F384" i="73" s="1"/>
  <c r="W30" i="73"/>
  <c r="H298" i="73" s="1"/>
  <c r="H30" i="73"/>
  <c r="H325" i="73" s="1"/>
  <c r="V14" i="73"/>
  <c r="G282" i="73" s="1"/>
  <c r="G14" i="73"/>
  <c r="G309" i="73" s="1"/>
  <c r="W189" i="73"/>
  <c r="H687" i="73" s="1"/>
  <c r="H189" i="73"/>
  <c r="H714" i="73" s="1"/>
  <c r="X134" i="73"/>
  <c r="I540" i="73" s="1"/>
  <c r="I134" i="73"/>
  <c r="I567" i="73" s="1"/>
  <c r="W112" i="73"/>
  <c r="H518" i="73" s="1"/>
  <c r="H112" i="73"/>
  <c r="H545" i="73" s="1"/>
  <c r="Z111" i="73"/>
  <c r="K517" i="73" s="1"/>
  <c r="K111" i="73"/>
  <c r="K544" i="73" s="1"/>
  <c r="AA24" i="73"/>
  <c r="L292" i="73" s="1"/>
  <c r="L24" i="73"/>
  <c r="L319" i="73" s="1"/>
  <c r="T166" i="73"/>
  <c r="E617" i="73" s="1"/>
  <c r="E166" i="73"/>
  <c r="E644" i="73" s="1"/>
  <c r="R157" i="73"/>
  <c r="C608" i="73" s="1"/>
  <c r="C157" i="73"/>
  <c r="C635" i="73" s="1"/>
  <c r="AA168" i="73"/>
  <c r="L619" i="73" s="1"/>
  <c r="L168" i="73"/>
  <c r="L646" i="73" s="1"/>
  <c r="L542" i="73"/>
  <c r="V50" i="73"/>
  <c r="G365" i="73" s="1"/>
  <c r="G50" i="73"/>
  <c r="G392" i="73" s="1"/>
  <c r="AB42" i="73"/>
  <c r="M42" i="73"/>
  <c r="S30" i="73"/>
  <c r="D298" i="73" s="1"/>
  <c r="D30" i="73"/>
  <c r="D325" i="73" s="1"/>
  <c r="R14" i="73"/>
  <c r="C282" i="73" s="1"/>
  <c r="C14" i="73"/>
  <c r="C309" i="73" s="1"/>
  <c r="V189" i="73"/>
  <c r="G687" i="73" s="1"/>
  <c r="G189" i="73"/>
  <c r="G714" i="73" s="1"/>
  <c r="AA161" i="73"/>
  <c r="L612" i="73" s="1"/>
  <c r="L161" i="73"/>
  <c r="L639" i="73" s="1"/>
  <c r="AA112" i="73"/>
  <c r="L518" i="73" s="1"/>
  <c r="L112" i="73"/>
  <c r="L545" i="73" s="1"/>
  <c r="AA111" i="73"/>
  <c r="L517" i="73" s="1"/>
  <c r="L111" i="73"/>
  <c r="L544" i="73" s="1"/>
  <c r="AB24" i="73"/>
  <c r="M24" i="73"/>
  <c r="S16" i="73"/>
  <c r="D284" i="73" s="1"/>
  <c r="D16" i="73"/>
  <c r="D311" i="73" s="1"/>
  <c r="E361" i="73"/>
  <c r="AA195" i="73"/>
  <c r="L693" i="73" s="1"/>
  <c r="L195" i="73"/>
  <c r="L720" i="73" s="1"/>
  <c r="V168" i="73"/>
  <c r="G619" i="73" s="1"/>
  <c r="G168" i="73"/>
  <c r="G646" i="73" s="1"/>
  <c r="D623" i="73"/>
  <c r="C569" i="73"/>
  <c r="W113" i="73"/>
  <c r="H519" i="73" s="1"/>
  <c r="H113" i="73"/>
  <c r="H546" i="73" s="1"/>
  <c r="S50" i="73"/>
  <c r="D365" i="73" s="1"/>
  <c r="D50" i="73"/>
  <c r="D392" i="73" s="1"/>
  <c r="Y30" i="73"/>
  <c r="J298" i="73" s="1"/>
  <c r="J30" i="73"/>
  <c r="J325" i="73" s="1"/>
  <c r="Y14" i="73"/>
  <c r="J282" i="73" s="1"/>
  <c r="J14" i="73"/>
  <c r="J309" i="73" s="1"/>
  <c r="S189" i="73"/>
  <c r="D687" i="73" s="1"/>
  <c r="D189" i="73"/>
  <c r="D714" i="73" s="1"/>
  <c r="Z134" i="73"/>
  <c r="K540" i="73" s="1"/>
  <c r="K134" i="73"/>
  <c r="K567" i="73" s="1"/>
  <c r="S112" i="73"/>
  <c r="D518" i="73" s="1"/>
  <c r="D112" i="73"/>
  <c r="D545" i="73" s="1"/>
  <c r="Z98" i="73"/>
  <c r="K457" i="73" s="1"/>
  <c r="K98" i="73"/>
  <c r="K484" i="73" s="1"/>
  <c r="R24" i="73"/>
  <c r="C292" i="73" s="1"/>
  <c r="C24" i="73"/>
  <c r="C319" i="73" s="1"/>
  <c r="T16" i="73"/>
  <c r="E284" i="73" s="1"/>
  <c r="E16" i="73"/>
  <c r="E311" i="73" s="1"/>
  <c r="Q166" i="73"/>
  <c r="B617" i="73" s="1"/>
  <c r="B166" i="73"/>
  <c r="B644" i="73" s="1"/>
  <c r="U157" i="73"/>
  <c r="F608" i="73" s="1"/>
  <c r="F157" i="73"/>
  <c r="F635" i="73" s="1"/>
  <c r="Y168" i="73"/>
  <c r="J619" i="73" s="1"/>
  <c r="J168" i="73"/>
  <c r="J646" i="73" s="1"/>
  <c r="S114" i="73"/>
  <c r="D520" i="73" s="1"/>
  <c r="D114" i="73"/>
  <c r="D547" i="73" s="1"/>
  <c r="U110" i="73"/>
  <c r="F110" i="73"/>
  <c r="T50" i="73"/>
  <c r="E365" i="73" s="1"/>
  <c r="E50" i="73"/>
  <c r="E392" i="73" s="1"/>
  <c r="U30" i="73"/>
  <c r="F298" i="73" s="1"/>
  <c r="F30" i="73"/>
  <c r="F325" i="73" s="1"/>
  <c r="L290" i="73"/>
  <c r="T189" i="73"/>
  <c r="E687" i="73" s="1"/>
  <c r="E189" i="73"/>
  <c r="E714" i="73" s="1"/>
  <c r="X161" i="73"/>
  <c r="I612" i="73" s="1"/>
  <c r="I161" i="73"/>
  <c r="I639" i="73" s="1"/>
  <c r="AB134" i="73"/>
  <c r="M134" i="73"/>
  <c r="Y112" i="73"/>
  <c r="J518" i="73" s="1"/>
  <c r="J112" i="73"/>
  <c r="J545" i="73" s="1"/>
  <c r="AA98" i="73"/>
  <c r="L457" i="73" s="1"/>
  <c r="L98" i="73"/>
  <c r="L484" i="73" s="1"/>
  <c r="X111" i="73"/>
  <c r="I517" i="73" s="1"/>
  <c r="I111" i="73"/>
  <c r="I544" i="73" s="1"/>
  <c r="U16" i="73"/>
  <c r="F284" i="73" s="1"/>
  <c r="F16" i="73"/>
  <c r="F311" i="73" s="1"/>
  <c r="X166" i="73"/>
  <c r="I617" i="73" s="1"/>
  <c r="I166" i="73"/>
  <c r="I644" i="73" s="1"/>
  <c r="AB128" i="73"/>
  <c r="M128" i="73"/>
  <c r="AA194" i="73"/>
  <c r="L692" i="73" s="1"/>
  <c r="L194" i="73"/>
  <c r="L719" i="73" s="1"/>
  <c r="X110" i="73"/>
  <c r="I110" i="73"/>
  <c r="G603" i="73"/>
  <c r="G630" i="73"/>
  <c r="I522" i="73"/>
  <c r="S170" i="73"/>
  <c r="D621" i="73" s="1"/>
  <c r="D170" i="73"/>
  <c r="D648" i="73" s="1"/>
  <c r="U146" i="73"/>
  <c r="F146" i="73"/>
  <c r="E695" i="73"/>
  <c r="I712" i="73"/>
  <c r="W110" i="73"/>
  <c r="H110" i="73"/>
  <c r="Z203" i="73"/>
  <c r="K701" i="73" s="1"/>
  <c r="K203" i="73"/>
  <c r="K728" i="73" s="1"/>
  <c r="AB148" i="73"/>
  <c r="M148" i="73"/>
  <c r="W130" i="73"/>
  <c r="H536" i="73" s="1"/>
  <c r="H130" i="73"/>
  <c r="H563" i="73" s="1"/>
  <c r="D522" i="73"/>
  <c r="D549" i="73"/>
  <c r="T150" i="73"/>
  <c r="E601" i="73" s="1"/>
  <c r="E150" i="73"/>
  <c r="E628" i="73" s="1"/>
  <c r="Z128" i="73"/>
  <c r="K534" i="73" s="1"/>
  <c r="K128" i="73"/>
  <c r="K561" i="73" s="1"/>
  <c r="Q150" i="73"/>
  <c r="B601" i="73" s="1"/>
  <c r="B150" i="73"/>
  <c r="B628" i="73" s="1"/>
  <c r="S192" i="73"/>
  <c r="D690" i="73" s="1"/>
  <c r="D192" i="73"/>
  <c r="D717" i="73" s="1"/>
  <c r="S160" i="73"/>
  <c r="D611" i="73" s="1"/>
  <c r="D160" i="73"/>
  <c r="D638" i="73" s="1"/>
  <c r="T115" i="73"/>
  <c r="E521" i="73" s="1"/>
  <c r="E115" i="73"/>
  <c r="E548" i="73" s="1"/>
  <c r="U135" i="73"/>
  <c r="F541" i="73" s="1"/>
  <c r="F135" i="73"/>
  <c r="F568" i="73" s="1"/>
  <c r="V100" i="73"/>
  <c r="G459" i="73" s="1"/>
  <c r="G100" i="73"/>
  <c r="G486" i="73" s="1"/>
  <c r="Z201" i="73"/>
  <c r="K699" i="73" s="1"/>
  <c r="K201" i="73"/>
  <c r="K726" i="73" s="1"/>
  <c r="AA192" i="73"/>
  <c r="L690" i="73" s="1"/>
  <c r="L192" i="73"/>
  <c r="L717" i="73" s="1"/>
  <c r="U191" i="73"/>
  <c r="F689" i="73" s="1"/>
  <c r="F191" i="73"/>
  <c r="F716" i="73" s="1"/>
  <c r="X115" i="73"/>
  <c r="I521" i="73" s="1"/>
  <c r="I115" i="73"/>
  <c r="I548" i="73" s="1"/>
  <c r="Y135" i="73"/>
  <c r="J541" i="73" s="1"/>
  <c r="J135" i="73"/>
  <c r="J568" i="73" s="1"/>
  <c r="R48" i="73"/>
  <c r="C363" i="73" s="1"/>
  <c r="C48" i="73"/>
  <c r="C390" i="73" s="1"/>
  <c r="T40" i="73"/>
  <c r="E355" i="73" s="1"/>
  <c r="E40" i="73"/>
  <c r="E382" i="73" s="1"/>
  <c r="X53" i="73"/>
  <c r="I368" i="73" s="1"/>
  <c r="I53" i="73"/>
  <c r="I395" i="73" s="1"/>
  <c r="G685" i="73"/>
  <c r="G712" i="73"/>
  <c r="S201" i="73"/>
  <c r="D699" i="73" s="1"/>
  <c r="D201" i="73"/>
  <c r="D726" i="73" s="1"/>
  <c r="V114" i="73"/>
  <c r="G520" i="73" s="1"/>
  <c r="G114" i="73"/>
  <c r="G547" i="73" s="1"/>
  <c r="T110" i="73"/>
  <c r="E110" i="73"/>
  <c r="Y52" i="73"/>
  <c r="J367" i="73" s="1"/>
  <c r="J52" i="73"/>
  <c r="J394" i="73" s="1"/>
  <c r="AA44" i="73"/>
  <c r="L359" i="73" s="1"/>
  <c r="L44" i="73"/>
  <c r="L386" i="73" s="1"/>
  <c r="X159" i="73"/>
  <c r="I610" i="73" s="1"/>
  <c r="I159" i="73"/>
  <c r="I637" i="73" s="1"/>
  <c r="I523" i="73"/>
  <c r="X191" i="73"/>
  <c r="I689" i="73" s="1"/>
  <c r="I191" i="73"/>
  <c r="I716" i="73" s="1"/>
  <c r="W48" i="73"/>
  <c r="H363" i="73" s="1"/>
  <c r="H48" i="73"/>
  <c r="H390" i="73" s="1"/>
  <c r="W193" i="73"/>
  <c r="H691" i="73" s="1"/>
  <c r="H193" i="73"/>
  <c r="H718" i="73" s="1"/>
  <c r="Z84" i="73"/>
  <c r="K443" i="73" s="1"/>
  <c r="K84" i="73"/>
  <c r="K470" i="73" s="1"/>
  <c r="AA170" i="73"/>
  <c r="L621" i="73" s="1"/>
  <c r="L170" i="73"/>
  <c r="L648" i="73" s="1"/>
  <c r="V204" i="73"/>
  <c r="G702" i="73" s="1"/>
  <c r="G204" i="73"/>
  <c r="G729" i="73" s="1"/>
  <c r="C370" i="73"/>
  <c r="C397" i="73"/>
  <c r="AB28" i="73"/>
  <c r="M28" i="73"/>
  <c r="S20" i="73"/>
  <c r="D288" i="73" s="1"/>
  <c r="D20" i="73"/>
  <c r="D315" i="73" s="1"/>
  <c r="T200" i="73"/>
  <c r="E698" i="73" s="1"/>
  <c r="E200" i="73"/>
  <c r="E725" i="73" s="1"/>
  <c r="X128" i="73"/>
  <c r="I534" i="73" s="1"/>
  <c r="I128" i="73"/>
  <c r="I561" i="73" s="1"/>
  <c r="R114" i="73"/>
  <c r="C520" i="73" s="1"/>
  <c r="C114" i="73"/>
  <c r="C547" i="73" s="1"/>
  <c r="R203" i="73"/>
  <c r="C701" i="73" s="1"/>
  <c r="C203" i="73"/>
  <c r="C728" i="73" s="1"/>
  <c r="T148" i="73"/>
  <c r="E599" i="73" s="1"/>
  <c r="E148" i="73"/>
  <c r="E626" i="73" s="1"/>
  <c r="V52" i="73"/>
  <c r="G367" i="73" s="1"/>
  <c r="G52" i="73"/>
  <c r="G394" i="73" s="1"/>
  <c r="X44" i="73"/>
  <c r="I359" i="73" s="1"/>
  <c r="I44" i="73"/>
  <c r="I386" i="73" s="1"/>
  <c r="AA151" i="73"/>
  <c r="L602" i="73" s="1"/>
  <c r="L151" i="73"/>
  <c r="L629" i="73" s="1"/>
  <c r="S146" i="73"/>
  <c r="D146" i="73"/>
  <c r="J527" i="73"/>
  <c r="J554" i="73"/>
  <c r="R18" i="73"/>
  <c r="C286" i="73" s="1"/>
  <c r="C18" i="73"/>
  <c r="C313" i="73" s="1"/>
  <c r="V159" i="73"/>
  <c r="G610" i="73" s="1"/>
  <c r="G159" i="73"/>
  <c r="G637" i="73" s="1"/>
  <c r="U115" i="73"/>
  <c r="F521" i="73" s="1"/>
  <c r="F115" i="73"/>
  <c r="F548" i="73" s="1"/>
  <c r="X100" i="73"/>
  <c r="I459" i="73" s="1"/>
  <c r="I100" i="73"/>
  <c r="I486" i="73" s="1"/>
  <c r="S26" i="73"/>
  <c r="D294" i="73" s="1"/>
  <c r="D26" i="73"/>
  <c r="D321" i="73" s="1"/>
  <c r="W115" i="73"/>
  <c r="H521" i="73" s="1"/>
  <c r="H115" i="73"/>
  <c r="H548" i="73" s="1"/>
  <c r="Y203" i="73"/>
  <c r="J701" i="73" s="1"/>
  <c r="J203" i="73"/>
  <c r="J728" i="73" s="1"/>
  <c r="L522" i="73"/>
  <c r="L549" i="73"/>
  <c r="T57" i="73"/>
  <c r="E372" i="73" s="1"/>
  <c r="E57" i="73"/>
  <c r="E399" i="73" s="1"/>
  <c r="T146" i="73"/>
  <c r="E146" i="73"/>
  <c r="T182" i="73"/>
  <c r="E680" i="73" s="1"/>
  <c r="E182" i="73"/>
  <c r="E707" i="73" s="1"/>
  <c r="W135" i="73"/>
  <c r="H541" i="73" s="1"/>
  <c r="H135" i="73"/>
  <c r="H568" i="73" s="1"/>
  <c r="T100" i="73"/>
  <c r="E459" i="73" s="1"/>
  <c r="E100" i="73"/>
  <c r="E486" i="73" s="1"/>
  <c r="AB95" i="73"/>
  <c r="M95" i="73"/>
  <c r="T99" i="73"/>
  <c r="E458" i="73" s="1"/>
  <c r="E99" i="73"/>
  <c r="E485" i="73" s="1"/>
  <c r="C524" i="73"/>
  <c r="C551" i="73"/>
  <c r="Z9" i="73"/>
  <c r="K277" i="73" s="1"/>
  <c r="K9" i="73"/>
  <c r="K304" i="73" s="1"/>
  <c r="Z88" i="73"/>
  <c r="K447" i="73" s="1"/>
  <c r="K88" i="73"/>
  <c r="K474" i="73" s="1"/>
  <c r="D531" i="73"/>
  <c r="AB88" i="73"/>
  <c r="M88" i="73"/>
  <c r="Q133" i="73"/>
  <c r="B539" i="73" s="1"/>
  <c r="B133" i="73"/>
  <c r="B566" i="73" s="1"/>
  <c r="AB6" i="73"/>
  <c r="AC6" i="73" s="1"/>
  <c r="M6" i="73"/>
  <c r="L531" i="73"/>
  <c r="D307" i="73"/>
  <c r="U101" i="73"/>
  <c r="F460" i="73" s="1"/>
  <c r="F101" i="73"/>
  <c r="F487" i="73" s="1"/>
  <c r="Q87" i="73"/>
  <c r="B446" i="73" s="1"/>
  <c r="B87" i="73"/>
  <c r="B473" i="73" s="1"/>
  <c r="Y84" i="73"/>
  <c r="J443" i="73" s="1"/>
  <c r="J84" i="73"/>
  <c r="J470" i="73" s="1"/>
  <c r="AA132" i="73"/>
  <c r="L538" i="73" s="1"/>
  <c r="L132" i="73"/>
  <c r="L565" i="73" s="1"/>
  <c r="U90" i="73"/>
  <c r="F449" i="73" s="1"/>
  <c r="F90" i="73"/>
  <c r="F476" i="73" s="1"/>
  <c r="Z101" i="73"/>
  <c r="K460" i="73" s="1"/>
  <c r="K101" i="73"/>
  <c r="K487" i="73" s="1"/>
  <c r="Y158" i="73"/>
  <c r="J609" i="73" s="1"/>
  <c r="J158" i="73"/>
  <c r="J636" i="73" s="1"/>
  <c r="Y147" i="73"/>
  <c r="J598" i="73" s="1"/>
  <c r="J147" i="73"/>
  <c r="J625" i="73" s="1"/>
  <c r="W202" i="73"/>
  <c r="H700" i="73" s="1"/>
  <c r="H202" i="73"/>
  <c r="H727" i="73" s="1"/>
  <c r="AB90" i="73"/>
  <c r="M90" i="73"/>
  <c r="F524" i="73"/>
  <c r="U26" i="73"/>
  <c r="F294" i="73" s="1"/>
  <c r="F26" i="73"/>
  <c r="F321" i="73" s="1"/>
  <c r="W18" i="73"/>
  <c r="H286" i="73" s="1"/>
  <c r="H18" i="73"/>
  <c r="H313" i="73" s="1"/>
  <c r="Q191" i="73"/>
  <c r="B689" i="73" s="1"/>
  <c r="B191" i="73"/>
  <c r="B716" i="73" s="1"/>
  <c r="T62" i="73"/>
  <c r="E377" i="73" s="1"/>
  <c r="E62" i="73"/>
  <c r="E404" i="73" s="1"/>
  <c r="Y79" i="73"/>
  <c r="J438" i="73" s="1"/>
  <c r="J79" i="73"/>
  <c r="J465" i="73" s="1"/>
  <c r="W17" i="73"/>
  <c r="H285" i="73" s="1"/>
  <c r="H17" i="73"/>
  <c r="H312" i="73" s="1"/>
  <c r="R51" i="73"/>
  <c r="C366" i="73" s="1"/>
  <c r="C51" i="73"/>
  <c r="C393" i="73" s="1"/>
  <c r="AA7" i="73"/>
  <c r="L275" i="73" s="1"/>
  <c r="L7" i="73"/>
  <c r="L302" i="73" s="1"/>
  <c r="M5" i="73"/>
  <c r="Z200" i="73"/>
  <c r="K698" i="73" s="1"/>
  <c r="K200" i="73"/>
  <c r="K725" i="73" s="1"/>
  <c r="S90" i="73"/>
  <c r="D449" i="73" s="1"/>
  <c r="D90" i="73"/>
  <c r="D476" i="73" s="1"/>
  <c r="W57" i="73"/>
  <c r="H372" i="73" s="1"/>
  <c r="H57" i="73"/>
  <c r="H399" i="73" s="1"/>
  <c r="W146" i="73"/>
  <c r="H146" i="73"/>
  <c r="X80" i="73"/>
  <c r="I439" i="73" s="1"/>
  <c r="I80" i="73"/>
  <c r="I466" i="73" s="1"/>
  <c r="R154" i="73"/>
  <c r="C605" i="73" s="1"/>
  <c r="C154" i="73"/>
  <c r="C632" i="73" s="1"/>
  <c r="Z133" i="73"/>
  <c r="K539" i="73" s="1"/>
  <c r="K133" i="73"/>
  <c r="K566" i="73" s="1"/>
  <c r="E371" i="73"/>
  <c r="E398" i="73"/>
  <c r="AA84" i="73"/>
  <c r="L443" i="73" s="1"/>
  <c r="L84" i="73"/>
  <c r="L470" i="73" s="1"/>
  <c r="AB25" i="73"/>
  <c r="M25" i="73"/>
  <c r="R95" i="73"/>
  <c r="C454" i="73" s="1"/>
  <c r="C95" i="73"/>
  <c r="C481" i="73" s="1"/>
  <c r="W90" i="73"/>
  <c r="H449" i="73" s="1"/>
  <c r="H90" i="73"/>
  <c r="H476" i="73" s="1"/>
  <c r="AB100" i="73"/>
  <c r="M100" i="73"/>
  <c r="Z20" i="73"/>
  <c r="K288" i="73" s="1"/>
  <c r="K20" i="73"/>
  <c r="K315" i="73" s="1"/>
  <c r="T193" i="73"/>
  <c r="E691" i="73" s="1"/>
  <c r="E193" i="73"/>
  <c r="E718" i="73" s="1"/>
  <c r="V62" i="73"/>
  <c r="G377" i="73" s="1"/>
  <c r="G62" i="73"/>
  <c r="G404" i="73" s="1"/>
  <c r="Y200" i="73"/>
  <c r="J698" i="73" s="1"/>
  <c r="J200" i="73"/>
  <c r="J725" i="73" s="1"/>
  <c r="G531" i="73"/>
  <c r="AA80" i="73"/>
  <c r="L439" i="73" s="1"/>
  <c r="L80" i="73"/>
  <c r="L466" i="73" s="1"/>
  <c r="D279" i="73"/>
  <c r="U9" i="73"/>
  <c r="F277" i="73" s="1"/>
  <c r="F9" i="73"/>
  <c r="F304" i="73" s="1"/>
  <c r="Q84" i="73"/>
  <c r="B443" i="73" s="1"/>
  <c r="B84" i="73"/>
  <c r="B470" i="73" s="1"/>
  <c r="R80" i="73"/>
  <c r="C439" i="73" s="1"/>
  <c r="C80" i="73"/>
  <c r="C466" i="73" s="1"/>
  <c r="AA94" i="73"/>
  <c r="L453" i="73" s="1"/>
  <c r="L94" i="73"/>
  <c r="L480" i="73" s="1"/>
  <c r="AA17" i="73"/>
  <c r="L285" i="73" s="1"/>
  <c r="L17" i="73"/>
  <c r="L312" i="73" s="1"/>
  <c r="R62" i="73"/>
  <c r="C377" i="73" s="1"/>
  <c r="C62" i="73"/>
  <c r="C404" i="73" s="1"/>
  <c r="X57" i="73"/>
  <c r="I372" i="73" s="1"/>
  <c r="I57" i="73"/>
  <c r="I399" i="73" s="1"/>
  <c r="Y39" i="73"/>
  <c r="J39" i="73"/>
  <c r="S132" i="73"/>
  <c r="D538" i="73" s="1"/>
  <c r="D132" i="73"/>
  <c r="D565" i="73" s="1"/>
  <c r="R183" i="73"/>
  <c r="C681" i="73" s="1"/>
  <c r="C183" i="73"/>
  <c r="C708" i="73" s="1"/>
  <c r="U48" i="73"/>
  <c r="F363" i="73" s="1"/>
  <c r="F48" i="73"/>
  <c r="F390" i="73" s="1"/>
  <c r="W40" i="73"/>
  <c r="H355" i="73" s="1"/>
  <c r="H40" i="73"/>
  <c r="H382" i="73" s="1"/>
  <c r="U41" i="73"/>
  <c r="F356" i="73" s="1"/>
  <c r="F41" i="73"/>
  <c r="F383" i="73" s="1"/>
  <c r="V193" i="73"/>
  <c r="G691" i="73" s="1"/>
  <c r="G193" i="73"/>
  <c r="G718" i="73" s="1"/>
  <c r="Z63" i="73"/>
  <c r="K378" i="73" s="1"/>
  <c r="K63" i="73"/>
  <c r="K405" i="73" s="1"/>
  <c r="E712" i="73"/>
  <c r="AA13" i="73"/>
  <c r="L281" i="73" s="1"/>
  <c r="L13" i="73"/>
  <c r="L308" i="73" s="1"/>
  <c r="V156" i="73"/>
  <c r="G607" i="73" s="1"/>
  <c r="G156" i="73"/>
  <c r="G634" i="73" s="1"/>
  <c r="S147" i="73"/>
  <c r="D598" i="73" s="1"/>
  <c r="D147" i="73"/>
  <c r="D625" i="73" s="1"/>
  <c r="AB81" i="73"/>
  <c r="M81" i="73"/>
  <c r="W156" i="73"/>
  <c r="H607" i="73" s="1"/>
  <c r="H156" i="73"/>
  <c r="H634" i="73" s="1"/>
  <c r="X77" i="73"/>
  <c r="I436" i="73" s="1"/>
  <c r="I77" i="73"/>
  <c r="I463" i="73" s="1"/>
  <c r="Z99" i="73"/>
  <c r="K458" i="73" s="1"/>
  <c r="K99" i="73"/>
  <c r="K485" i="73" s="1"/>
  <c r="U8" i="73"/>
  <c r="F276" i="73" s="1"/>
  <c r="F8" i="73"/>
  <c r="F303" i="73" s="1"/>
  <c r="AB79" i="73"/>
  <c r="M79" i="73"/>
  <c r="S79" i="73"/>
  <c r="D438" i="73" s="1"/>
  <c r="D79" i="73"/>
  <c r="D465" i="73" s="1"/>
  <c r="Q203" i="73"/>
  <c r="B701" i="73" s="1"/>
  <c r="B203" i="73"/>
  <c r="B728" i="73" s="1"/>
  <c r="K370" i="73"/>
  <c r="K397" i="73"/>
  <c r="K289" i="73"/>
  <c r="R96" i="73"/>
  <c r="C455" i="73" s="1"/>
  <c r="C96" i="73"/>
  <c r="C482" i="73" s="1"/>
  <c r="V25" i="73"/>
  <c r="G293" i="73" s="1"/>
  <c r="G25" i="73"/>
  <c r="G320" i="73" s="1"/>
  <c r="S39" i="73"/>
  <c r="D39" i="73"/>
  <c r="T10" i="73"/>
  <c r="E278" i="73" s="1"/>
  <c r="E10" i="73"/>
  <c r="E305" i="73" s="1"/>
  <c r="R29" i="73"/>
  <c r="C297" i="73" s="1"/>
  <c r="C29" i="73"/>
  <c r="C324" i="73" s="1"/>
  <c r="T132" i="73"/>
  <c r="E538" i="73" s="1"/>
  <c r="E132" i="73"/>
  <c r="E565" i="73" s="1"/>
  <c r="Z150" i="73"/>
  <c r="K601" i="73" s="1"/>
  <c r="K150" i="73"/>
  <c r="K628" i="73" s="1"/>
  <c r="W96" i="73"/>
  <c r="H455" i="73" s="1"/>
  <c r="H96" i="73"/>
  <c r="H482" i="73" s="1"/>
  <c r="H695" i="73"/>
  <c r="H722" i="73"/>
  <c r="H522" i="73"/>
  <c r="AA160" i="73"/>
  <c r="L611" i="73" s="1"/>
  <c r="L160" i="73"/>
  <c r="L638" i="73" s="1"/>
  <c r="Z10" i="73"/>
  <c r="K278" i="73" s="1"/>
  <c r="K10" i="73"/>
  <c r="K305" i="73" s="1"/>
  <c r="AA60" i="73"/>
  <c r="L375" i="73" s="1"/>
  <c r="L60" i="73"/>
  <c r="L402" i="73" s="1"/>
  <c r="S148" i="73"/>
  <c r="D599" i="73" s="1"/>
  <c r="D148" i="73"/>
  <c r="D626" i="73" s="1"/>
  <c r="H371" i="73"/>
  <c r="T89" i="73"/>
  <c r="E448" i="73" s="1"/>
  <c r="E89" i="73"/>
  <c r="E475" i="73" s="1"/>
  <c r="C5" i="73"/>
  <c r="V77" i="73"/>
  <c r="G436" i="73" s="1"/>
  <c r="G77" i="73"/>
  <c r="G463" i="73" s="1"/>
  <c r="Q77" i="73"/>
  <c r="B436" i="73" s="1"/>
  <c r="B77" i="73"/>
  <c r="B463" i="73" s="1"/>
  <c r="Z147" i="73"/>
  <c r="K598" i="73" s="1"/>
  <c r="K147" i="73"/>
  <c r="K625" i="73" s="1"/>
  <c r="AB99" i="73"/>
  <c r="M99" i="73"/>
  <c r="F614" i="73"/>
  <c r="E299" i="73"/>
  <c r="E326" i="73"/>
  <c r="E387" i="73"/>
  <c r="AA90" i="73"/>
  <c r="L449" i="73" s="1"/>
  <c r="L90" i="73"/>
  <c r="L476" i="73" s="1"/>
  <c r="Q8" i="73"/>
  <c r="B276" i="73" s="1"/>
  <c r="B8" i="73"/>
  <c r="B303" i="73" s="1"/>
  <c r="S97" i="73"/>
  <c r="D456" i="73" s="1"/>
  <c r="D97" i="73"/>
  <c r="D483" i="73" s="1"/>
  <c r="T41" i="73"/>
  <c r="E356" i="73" s="1"/>
  <c r="E41" i="73"/>
  <c r="E383" i="73" s="1"/>
  <c r="Y204" i="73"/>
  <c r="J702" i="73" s="1"/>
  <c r="J204" i="73"/>
  <c r="J729" i="73" s="1"/>
  <c r="F711" i="73"/>
  <c r="R10" i="73"/>
  <c r="C278" i="73" s="1"/>
  <c r="C10" i="73"/>
  <c r="C305" i="73" s="1"/>
  <c r="X184" i="73"/>
  <c r="I682" i="73" s="1"/>
  <c r="I184" i="73"/>
  <c r="I709" i="73" s="1"/>
  <c r="W149" i="73"/>
  <c r="H600" i="73" s="1"/>
  <c r="H149" i="73"/>
  <c r="H627" i="73" s="1"/>
  <c r="AA202" i="73"/>
  <c r="L700" i="73" s="1"/>
  <c r="L202" i="73"/>
  <c r="L727" i="73" s="1"/>
  <c r="H614" i="73"/>
  <c r="H641" i="73"/>
  <c r="Z62" i="73"/>
  <c r="K377" i="73" s="1"/>
  <c r="K62" i="73"/>
  <c r="K404" i="73" s="1"/>
  <c r="AA158" i="73"/>
  <c r="L609" i="73" s="1"/>
  <c r="L158" i="73"/>
  <c r="L636" i="73" s="1"/>
  <c r="F531" i="73"/>
  <c r="D614" i="73"/>
  <c r="C289" i="73"/>
  <c r="C316" i="73"/>
  <c r="T29" i="73"/>
  <c r="E297" i="73" s="1"/>
  <c r="E29" i="73"/>
  <c r="E324" i="73" s="1"/>
  <c r="X147" i="73"/>
  <c r="I598" i="73" s="1"/>
  <c r="I147" i="73"/>
  <c r="I625" i="73" s="1"/>
  <c r="W132" i="73"/>
  <c r="H538" i="73" s="1"/>
  <c r="H132" i="73"/>
  <c r="H565" i="73" s="1"/>
  <c r="Z52" i="73"/>
  <c r="K367" i="73" s="1"/>
  <c r="K52" i="73"/>
  <c r="K394" i="73" s="1"/>
  <c r="AB44" i="73"/>
  <c r="M44" i="73"/>
  <c r="U88" i="73"/>
  <c r="F447" i="73" s="1"/>
  <c r="F88" i="73"/>
  <c r="F474" i="73" s="1"/>
  <c r="W160" i="73"/>
  <c r="H611" i="73" s="1"/>
  <c r="H160" i="73"/>
  <c r="H638" i="73" s="1"/>
  <c r="AA59" i="73"/>
  <c r="L374" i="73" s="1"/>
  <c r="L59" i="73"/>
  <c r="L401" i="73" s="1"/>
  <c r="X17" i="73"/>
  <c r="I285" i="73" s="1"/>
  <c r="I17" i="73"/>
  <c r="I312" i="73" s="1"/>
  <c r="F452" i="73"/>
  <c r="Q149" i="73"/>
  <c r="B600" i="73" s="1"/>
  <c r="B149" i="73"/>
  <c r="B627" i="73" s="1"/>
  <c r="K522" i="73"/>
  <c r="K549" i="73"/>
  <c r="AB191" i="73"/>
  <c r="M191" i="73"/>
  <c r="V183" i="73"/>
  <c r="G681" i="73" s="1"/>
  <c r="G183" i="73"/>
  <c r="G708" i="73" s="1"/>
  <c r="X198" i="73"/>
  <c r="I696" i="73" s="1"/>
  <c r="I198" i="73"/>
  <c r="I723" i="73" s="1"/>
  <c r="S15" i="73"/>
  <c r="D283" i="73" s="1"/>
  <c r="D15" i="73"/>
  <c r="D310" i="73" s="1"/>
  <c r="V91" i="73"/>
  <c r="G450" i="73" s="1"/>
  <c r="G91" i="73"/>
  <c r="G477" i="73" s="1"/>
  <c r="AB91" i="73"/>
  <c r="M91" i="73"/>
  <c r="W23" i="73"/>
  <c r="H291" i="73" s="1"/>
  <c r="H23" i="73"/>
  <c r="H318" i="73" s="1"/>
  <c r="B533" i="73"/>
  <c r="M607" i="73"/>
  <c r="AC156" i="73"/>
  <c r="AC17" i="73"/>
  <c r="M285" i="73"/>
  <c r="AC49" i="73"/>
  <c r="M364" i="73"/>
  <c r="AC84" i="73"/>
  <c r="M443" i="73"/>
  <c r="M456" i="73"/>
  <c r="AC97" i="73"/>
  <c r="M684" i="73"/>
  <c r="AC186" i="73"/>
  <c r="AC86" i="73"/>
  <c r="M445" i="73"/>
  <c r="M537" i="73"/>
  <c r="AC131" i="73"/>
  <c r="G354" i="73"/>
  <c r="AC53" i="73"/>
  <c r="M368" i="73"/>
  <c r="M356" i="73"/>
  <c r="AC41" i="73"/>
  <c r="AC64" i="73"/>
  <c r="M379" i="73"/>
  <c r="AC27" i="73"/>
  <c r="M295" i="73"/>
  <c r="AC19" i="73"/>
  <c r="M287" i="73"/>
  <c r="B624" i="73"/>
  <c r="M636" i="73"/>
  <c r="N158" i="73"/>
  <c r="M550" i="73"/>
  <c r="N117" i="73"/>
  <c r="N89" i="73"/>
  <c r="M475" i="73"/>
  <c r="B462" i="73"/>
  <c r="N78" i="73"/>
  <c r="M464" i="73"/>
  <c r="U195" i="73"/>
  <c r="F693" i="73" s="1"/>
  <c r="F195" i="73"/>
  <c r="F720" i="73" s="1"/>
  <c r="T168" i="73"/>
  <c r="E619" i="73" s="1"/>
  <c r="E168" i="73"/>
  <c r="E646" i="73" s="1"/>
  <c r="F623" i="73"/>
  <c r="L532" i="73"/>
  <c r="T113" i="73"/>
  <c r="E519" i="73" s="1"/>
  <c r="E113" i="73"/>
  <c r="E546" i="73" s="1"/>
  <c r="U50" i="73"/>
  <c r="F365" i="73" s="1"/>
  <c r="F50" i="73"/>
  <c r="F392" i="73" s="1"/>
  <c r="AA42" i="73"/>
  <c r="L357" i="73" s="1"/>
  <c r="L42" i="73"/>
  <c r="L384" i="73" s="1"/>
  <c r="G290" i="73"/>
  <c r="AB14" i="73"/>
  <c r="M14" i="73"/>
  <c r="Y161" i="73"/>
  <c r="J612" i="73" s="1"/>
  <c r="J161" i="73"/>
  <c r="J639" i="73" s="1"/>
  <c r="S134" i="73"/>
  <c r="D540" i="73" s="1"/>
  <c r="D134" i="73"/>
  <c r="D567" i="73" s="1"/>
  <c r="AB98" i="73"/>
  <c r="M98" i="73"/>
  <c r="U111" i="73"/>
  <c r="F517" i="73" s="1"/>
  <c r="F111" i="73"/>
  <c r="F544" i="73" s="1"/>
  <c r="V16" i="73"/>
  <c r="G284" i="73" s="1"/>
  <c r="G16" i="73"/>
  <c r="G311" i="73" s="1"/>
  <c r="Y166" i="73"/>
  <c r="J617" i="73" s="1"/>
  <c r="J166" i="73"/>
  <c r="J644" i="73" s="1"/>
  <c r="D361" i="73"/>
  <c r="X195" i="73"/>
  <c r="I693" i="73" s="1"/>
  <c r="I195" i="73"/>
  <c r="I720" i="73" s="1"/>
  <c r="X157" i="73"/>
  <c r="I608" i="73" s="1"/>
  <c r="I157" i="73"/>
  <c r="I635" i="73" s="1"/>
  <c r="H559" i="73"/>
  <c r="AA113" i="73"/>
  <c r="L519" i="73" s="1"/>
  <c r="L113" i="73"/>
  <c r="L546" i="73" s="1"/>
  <c r="AB50" i="73"/>
  <c r="M50" i="73"/>
  <c r="W42" i="73"/>
  <c r="H357" i="73" s="1"/>
  <c r="H42" i="73"/>
  <c r="H384" i="73" s="1"/>
  <c r="X14" i="73"/>
  <c r="I282" i="73" s="1"/>
  <c r="I14" i="73"/>
  <c r="I309" i="73" s="1"/>
  <c r="U189" i="73"/>
  <c r="F687" i="73" s="1"/>
  <c r="F189" i="73"/>
  <c r="F714" i="73" s="1"/>
  <c r="Y134" i="73"/>
  <c r="J540" i="73" s="1"/>
  <c r="J134" i="73"/>
  <c r="J567" i="73" s="1"/>
  <c r="AB112" i="73"/>
  <c r="M112" i="73"/>
  <c r="V111" i="73"/>
  <c r="G517" i="73" s="1"/>
  <c r="G111" i="73"/>
  <c r="G544" i="73" s="1"/>
  <c r="W24" i="73"/>
  <c r="H292" i="73" s="1"/>
  <c r="H24" i="73"/>
  <c r="H319" i="73" s="1"/>
  <c r="Z166" i="73"/>
  <c r="K617" i="73" s="1"/>
  <c r="K166" i="73"/>
  <c r="K644" i="73" s="1"/>
  <c r="Y157" i="73"/>
  <c r="J608" i="73" s="1"/>
  <c r="J157" i="73"/>
  <c r="J635" i="73" s="1"/>
  <c r="S168" i="73"/>
  <c r="D619" i="73" s="1"/>
  <c r="D168" i="73"/>
  <c r="D646" i="73" s="1"/>
  <c r="C559" i="73"/>
  <c r="I542" i="73"/>
  <c r="Z113" i="73"/>
  <c r="K519" i="73" s="1"/>
  <c r="K113" i="73"/>
  <c r="K546" i="73" s="1"/>
  <c r="R42" i="73"/>
  <c r="C357" i="73" s="1"/>
  <c r="C42" i="73"/>
  <c r="C384" i="73" s="1"/>
  <c r="T30" i="73"/>
  <c r="E298" i="73" s="1"/>
  <c r="E30" i="73"/>
  <c r="E325" i="73" s="1"/>
  <c r="T14" i="73"/>
  <c r="E282" i="73" s="1"/>
  <c r="E14" i="73"/>
  <c r="E309" i="73" s="1"/>
  <c r="V161" i="73"/>
  <c r="G612" i="73" s="1"/>
  <c r="G161" i="73"/>
  <c r="G639" i="73" s="1"/>
  <c r="U134" i="73"/>
  <c r="F540" i="73" s="1"/>
  <c r="F134" i="73"/>
  <c r="F567" i="73" s="1"/>
  <c r="T112" i="73"/>
  <c r="E518" i="73" s="1"/>
  <c r="E112" i="73"/>
  <c r="E545" i="73" s="1"/>
  <c r="W111" i="73"/>
  <c r="H517" i="73" s="1"/>
  <c r="H111" i="73"/>
  <c r="H544" i="73" s="1"/>
  <c r="X24" i="73"/>
  <c r="I292" i="73" s="1"/>
  <c r="I24" i="73"/>
  <c r="I319" i="73" s="1"/>
  <c r="AB166" i="73"/>
  <c r="M166" i="73"/>
  <c r="K388" i="73"/>
  <c r="Z195" i="73"/>
  <c r="K693" i="73" s="1"/>
  <c r="K195" i="73"/>
  <c r="K720" i="73" s="1"/>
  <c r="S157" i="73"/>
  <c r="D608" i="73" s="1"/>
  <c r="D157" i="73"/>
  <c r="D635" i="73" s="1"/>
  <c r="I623" i="73"/>
  <c r="X113" i="73"/>
  <c r="I519" i="73" s="1"/>
  <c r="I113" i="73"/>
  <c r="I546" i="73" s="1"/>
  <c r="AA110" i="73"/>
  <c r="L110" i="73"/>
  <c r="Y42" i="73"/>
  <c r="J357" i="73" s="1"/>
  <c r="J42" i="73"/>
  <c r="J384" i="73" s="1"/>
  <c r="AA30" i="73"/>
  <c r="L298" i="73" s="1"/>
  <c r="L30" i="73"/>
  <c r="L325" i="73" s="1"/>
  <c r="Z14" i="73"/>
  <c r="K282" i="73" s="1"/>
  <c r="K14" i="73"/>
  <c r="K309" i="73" s="1"/>
  <c r="Y189" i="73"/>
  <c r="J687" i="73" s="1"/>
  <c r="J189" i="73"/>
  <c r="J714" i="73" s="1"/>
  <c r="S161" i="73"/>
  <c r="D612" i="73" s="1"/>
  <c r="D161" i="73"/>
  <c r="D639" i="73" s="1"/>
  <c r="W134" i="73"/>
  <c r="H540" i="73" s="1"/>
  <c r="H134" i="73"/>
  <c r="H567" i="73" s="1"/>
  <c r="X112" i="73"/>
  <c r="I518" i="73" s="1"/>
  <c r="I112" i="73"/>
  <c r="I545" i="73" s="1"/>
  <c r="V98" i="73"/>
  <c r="G457" i="73" s="1"/>
  <c r="G98" i="73"/>
  <c r="G484" i="73" s="1"/>
  <c r="Y24" i="73"/>
  <c r="J292" i="73" s="1"/>
  <c r="J24" i="73"/>
  <c r="J319" i="73" s="1"/>
  <c r="AA16" i="73"/>
  <c r="L284" i="73" s="1"/>
  <c r="L16" i="73"/>
  <c r="L311" i="73" s="1"/>
  <c r="R166" i="73"/>
  <c r="C617" i="73" s="1"/>
  <c r="C166" i="73"/>
  <c r="C644" i="73" s="1"/>
  <c r="AA128" i="73"/>
  <c r="L534" i="73" s="1"/>
  <c r="L128" i="73"/>
  <c r="L561" i="73" s="1"/>
  <c r="X192" i="73"/>
  <c r="I690" i="73" s="1"/>
  <c r="I192" i="73"/>
  <c r="I717" i="73" s="1"/>
  <c r="I722" i="73"/>
  <c r="H685" i="73"/>
  <c r="H712" i="73"/>
  <c r="S110" i="73"/>
  <c r="D110" i="73"/>
  <c r="AB185" i="73"/>
  <c r="M185" i="73"/>
  <c r="X148" i="73"/>
  <c r="I599" i="73" s="1"/>
  <c r="I148" i="73"/>
  <c r="I626" i="73" s="1"/>
  <c r="V130" i="73"/>
  <c r="G536" i="73" s="1"/>
  <c r="G130" i="73"/>
  <c r="G563" i="73" s="1"/>
  <c r="K533" i="73"/>
  <c r="Q44" i="73"/>
  <c r="B359" i="73" s="1"/>
  <c r="B44" i="73"/>
  <c r="B386" i="73" s="1"/>
  <c r="V151" i="73"/>
  <c r="G602" i="73" s="1"/>
  <c r="G151" i="73"/>
  <c r="G629" i="73" s="1"/>
  <c r="AA146" i="73"/>
  <c r="L146" i="73"/>
  <c r="K523" i="73"/>
  <c r="R110" i="73"/>
  <c r="C110" i="73"/>
  <c r="U203" i="73"/>
  <c r="F701" i="73" s="1"/>
  <c r="F203" i="73"/>
  <c r="F728" i="73" s="1"/>
  <c r="V148" i="73"/>
  <c r="G599" i="73" s="1"/>
  <c r="G148" i="73"/>
  <c r="G626" i="73" s="1"/>
  <c r="I560" i="73"/>
  <c r="Y150" i="73"/>
  <c r="J601" i="73" s="1"/>
  <c r="J150" i="73"/>
  <c r="J628" i="73" s="1"/>
  <c r="U128" i="73"/>
  <c r="F534" i="73" s="1"/>
  <c r="F128" i="73"/>
  <c r="F561" i="73" s="1"/>
  <c r="L527" i="73"/>
  <c r="L554" i="73"/>
  <c r="Z183" i="73"/>
  <c r="K681" i="73" s="1"/>
  <c r="K183" i="73"/>
  <c r="K708" i="73" s="1"/>
  <c r="Q160" i="73"/>
  <c r="B611" i="73" s="1"/>
  <c r="B160" i="73"/>
  <c r="B638" i="73" s="1"/>
  <c r="V115" i="73"/>
  <c r="G521" i="73" s="1"/>
  <c r="G115" i="73"/>
  <c r="G548" i="73" s="1"/>
  <c r="C528" i="73"/>
  <c r="C555" i="73"/>
  <c r="G370" i="73"/>
  <c r="G397" i="73"/>
  <c r="U150" i="73"/>
  <c r="F601" i="73" s="1"/>
  <c r="F150" i="73"/>
  <c r="F628" i="73" s="1"/>
  <c r="Y183" i="73"/>
  <c r="J681" i="73" s="1"/>
  <c r="J183" i="73"/>
  <c r="J708" i="73" s="1"/>
  <c r="S115" i="73"/>
  <c r="D521" i="73" s="1"/>
  <c r="D115" i="73"/>
  <c r="D548" i="73" s="1"/>
  <c r="U100" i="73"/>
  <c r="F459" i="73" s="1"/>
  <c r="F100" i="73"/>
  <c r="F486" i="73" s="1"/>
  <c r="X48" i="73"/>
  <c r="I363" i="73" s="1"/>
  <c r="I48" i="73"/>
  <c r="I390" i="73" s="1"/>
  <c r="AB192" i="73"/>
  <c r="M192" i="73"/>
  <c r="Y49" i="73"/>
  <c r="J364" i="73" s="1"/>
  <c r="J49" i="73"/>
  <c r="J391" i="73" s="1"/>
  <c r="D685" i="73"/>
  <c r="D712" i="73"/>
  <c r="Y171" i="73"/>
  <c r="J622" i="73" s="1"/>
  <c r="J171" i="73"/>
  <c r="J649" i="73" s="1"/>
  <c r="X114" i="73"/>
  <c r="I520" i="73" s="1"/>
  <c r="I114" i="73"/>
  <c r="I547" i="73" s="1"/>
  <c r="Z110" i="73"/>
  <c r="K110" i="73"/>
  <c r="U148" i="73"/>
  <c r="F599" i="73" s="1"/>
  <c r="F148" i="73"/>
  <c r="F626" i="73" s="1"/>
  <c r="T52" i="73"/>
  <c r="E367" i="73" s="1"/>
  <c r="E52" i="73"/>
  <c r="E394" i="73" s="1"/>
  <c r="Z170" i="73"/>
  <c r="K621" i="73" s="1"/>
  <c r="K170" i="73"/>
  <c r="K648" i="73" s="1"/>
  <c r="C523" i="73"/>
  <c r="C550" i="73"/>
  <c r="S150" i="73"/>
  <c r="D601" i="73" s="1"/>
  <c r="D150" i="73"/>
  <c r="D628" i="73" s="1"/>
  <c r="S191" i="73"/>
  <c r="D689" i="73" s="1"/>
  <c r="D191" i="73"/>
  <c r="D716" i="73" s="1"/>
  <c r="I371" i="73"/>
  <c r="I398" i="73"/>
  <c r="R40" i="73"/>
  <c r="C355" i="73" s="1"/>
  <c r="C40" i="73"/>
  <c r="C382" i="73" s="1"/>
  <c r="I451" i="73"/>
  <c r="U76" i="73"/>
  <c r="F76" i="73"/>
  <c r="AB150" i="73"/>
  <c r="M150" i="73"/>
  <c r="U183" i="73"/>
  <c r="F681" i="73" s="1"/>
  <c r="F183" i="73"/>
  <c r="F708" i="73" s="1"/>
  <c r="I370" i="73"/>
  <c r="I397" i="73"/>
  <c r="W28" i="73"/>
  <c r="H296" i="73" s="1"/>
  <c r="H28" i="73"/>
  <c r="H323" i="73" s="1"/>
  <c r="S13" i="73"/>
  <c r="D281" i="73" s="1"/>
  <c r="D13" i="73"/>
  <c r="D308" i="73" s="1"/>
  <c r="V184" i="73"/>
  <c r="G682" i="73" s="1"/>
  <c r="G184" i="73"/>
  <c r="G709" i="73" s="1"/>
  <c r="Y148" i="73"/>
  <c r="J599" i="73" s="1"/>
  <c r="J148" i="73"/>
  <c r="J626" i="73" s="1"/>
  <c r="H533" i="73"/>
  <c r="H560" i="73"/>
  <c r="W114" i="73"/>
  <c r="H520" i="73" s="1"/>
  <c r="H114" i="73"/>
  <c r="H547" i="73" s="1"/>
  <c r="V181" i="73"/>
  <c r="G679" i="73" s="1"/>
  <c r="G181" i="73"/>
  <c r="G706" i="73" s="1"/>
  <c r="Z130" i="73"/>
  <c r="K536" i="73" s="1"/>
  <c r="K130" i="73"/>
  <c r="K563" i="73" s="1"/>
  <c r="AB52" i="73"/>
  <c r="M52" i="73"/>
  <c r="S44" i="73"/>
  <c r="D359" i="73" s="1"/>
  <c r="D44" i="73"/>
  <c r="D386" i="73" s="1"/>
  <c r="W201" i="73"/>
  <c r="H699" i="73" s="1"/>
  <c r="H201" i="73"/>
  <c r="H726" i="73" s="1"/>
  <c r="U151" i="73"/>
  <c r="F602" i="73" s="1"/>
  <c r="F151" i="73"/>
  <c r="F629" i="73" s="1"/>
  <c r="Y128" i="73"/>
  <c r="J534" i="73" s="1"/>
  <c r="J128" i="73"/>
  <c r="J561" i="73" s="1"/>
  <c r="V26" i="73"/>
  <c r="G294" i="73" s="1"/>
  <c r="G26" i="73"/>
  <c r="G321" i="73" s="1"/>
  <c r="X18" i="73"/>
  <c r="I286" i="73" s="1"/>
  <c r="I18" i="73"/>
  <c r="I313" i="73" s="1"/>
  <c r="AA204" i="73"/>
  <c r="L702" i="73" s="1"/>
  <c r="L204" i="73"/>
  <c r="L729" i="73" s="1"/>
  <c r="AB159" i="73"/>
  <c r="M159" i="73"/>
  <c r="AA135" i="73"/>
  <c r="L541" i="73" s="1"/>
  <c r="L135" i="73"/>
  <c r="L568" i="73" s="1"/>
  <c r="S100" i="73"/>
  <c r="D459" i="73" s="1"/>
  <c r="D100" i="73"/>
  <c r="D486" i="73" s="1"/>
  <c r="T18" i="73"/>
  <c r="E286" i="73" s="1"/>
  <c r="E18" i="73"/>
  <c r="E313" i="73" s="1"/>
  <c r="G614" i="73"/>
  <c r="AB135" i="73"/>
  <c r="M135" i="73"/>
  <c r="Y100" i="73"/>
  <c r="J459" i="73" s="1"/>
  <c r="J100" i="73"/>
  <c r="J486" i="73" s="1"/>
  <c r="Z148" i="73"/>
  <c r="K599" i="73" s="1"/>
  <c r="K148" i="73"/>
  <c r="K626" i="73" s="1"/>
  <c r="B527" i="73"/>
  <c r="T160" i="73"/>
  <c r="E611" i="73" s="1"/>
  <c r="E160" i="73"/>
  <c r="E638" i="73" s="1"/>
  <c r="K528" i="73"/>
  <c r="K555" i="73"/>
  <c r="Y99" i="73"/>
  <c r="J458" i="73" s="1"/>
  <c r="J99" i="73"/>
  <c r="J485" i="73" s="1"/>
  <c r="H524" i="73"/>
  <c r="AA167" i="73"/>
  <c r="L618" i="73" s="1"/>
  <c r="L167" i="73"/>
  <c r="L645" i="73" s="1"/>
  <c r="AB80" i="73"/>
  <c r="M80" i="73"/>
  <c r="W78" i="73"/>
  <c r="H437" i="73" s="1"/>
  <c r="H78" i="73"/>
  <c r="H464" i="73" s="1"/>
  <c r="V47" i="73"/>
  <c r="G362" i="73" s="1"/>
  <c r="G47" i="73"/>
  <c r="G389" i="73" s="1"/>
  <c r="AA76" i="73"/>
  <c r="L76" i="73"/>
  <c r="U80" i="73"/>
  <c r="F439" i="73" s="1"/>
  <c r="F80" i="73"/>
  <c r="F466" i="73" s="1"/>
  <c r="Z182" i="73"/>
  <c r="K680" i="73" s="1"/>
  <c r="K182" i="73"/>
  <c r="K707" i="73" s="1"/>
  <c r="T43" i="73"/>
  <c r="E358" i="73" s="1"/>
  <c r="E43" i="73"/>
  <c r="E385" i="73" s="1"/>
  <c r="R17" i="73"/>
  <c r="C285" i="73" s="1"/>
  <c r="C17" i="73"/>
  <c r="C312" i="73" s="1"/>
  <c r="G695" i="73"/>
  <c r="AB59" i="73"/>
  <c r="M59" i="73"/>
  <c r="G530" i="73"/>
  <c r="G441" i="73"/>
  <c r="U47" i="73"/>
  <c r="F362" i="73" s="1"/>
  <c r="F47" i="73"/>
  <c r="F389" i="73" s="1"/>
  <c r="Y149" i="73"/>
  <c r="J600" i="73" s="1"/>
  <c r="J149" i="73"/>
  <c r="J627" i="73" s="1"/>
  <c r="W148" i="73"/>
  <c r="H599" i="73" s="1"/>
  <c r="H148" i="73"/>
  <c r="H626" i="73" s="1"/>
  <c r="H468" i="73"/>
  <c r="T88" i="73"/>
  <c r="E447" i="73" s="1"/>
  <c r="E88" i="73"/>
  <c r="E474" i="73" s="1"/>
  <c r="AA26" i="73"/>
  <c r="L294" i="73" s="1"/>
  <c r="L26" i="73"/>
  <c r="L321" i="73" s="1"/>
  <c r="S204" i="73"/>
  <c r="D702" i="73" s="1"/>
  <c r="D204" i="73"/>
  <c r="D729" i="73" s="1"/>
  <c r="S156" i="73"/>
  <c r="D607" i="73" s="1"/>
  <c r="D156" i="73"/>
  <c r="D634" i="73" s="1"/>
  <c r="U156" i="73"/>
  <c r="F607" i="73" s="1"/>
  <c r="F156" i="73"/>
  <c r="F634" i="73" s="1"/>
  <c r="X29" i="73"/>
  <c r="I297" i="73" s="1"/>
  <c r="I29" i="73"/>
  <c r="I324" i="73" s="1"/>
  <c r="F604" i="73"/>
  <c r="T97" i="73"/>
  <c r="E456" i="73" s="1"/>
  <c r="E97" i="73"/>
  <c r="E483" i="73" s="1"/>
  <c r="AA87" i="73"/>
  <c r="L446" i="73" s="1"/>
  <c r="L87" i="73"/>
  <c r="L473" i="73" s="1"/>
  <c r="V101" i="73"/>
  <c r="G460" i="73" s="1"/>
  <c r="G101" i="73"/>
  <c r="G487" i="73" s="1"/>
  <c r="AB200" i="73"/>
  <c r="M200" i="73"/>
  <c r="J468" i="73"/>
  <c r="X84" i="73"/>
  <c r="I443" i="73" s="1"/>
  <c r="I84" i="73"/>
  <c r="I470" i="73" s="1"/>
  <c r="U59" i="73"/>
  <c r="F374" i="73" s="1"/>
  <c r="F59" i="73"/>
  <c r="F401" i="73" s="1"/>
  <c r="U154" i="73"/>
  <c r="F605" i="73" s="1"/>
  <c r="F154" i="73"/>
  <c r="F632" i="73" s="1"/>
  <c r="T96" i="73"/>
  <c r="E455" i="73" s="1"/>
  <c r="E96" i="73"/>
  <c r="E482" i="73" s="1"/>
  <c r="Y115" i="73"/>
  <c r="J521" i="73" s="1"/>
  <c r="J115" i="73"/>
  <c r="J548" i="73" s="1"/>
  <c r="W13" i="73"/>
  <c r="H281" i="73" s="1"/>
  <c r="H13" i="73"/>
  <c r="H308" i="73" s="1"/>
  <c r="W129" i="73"/>
  <c r="H535" i="73" s="1"/>
  <c r="H129" i="73"/>
  <c r="H562" i="73" s="1"/>
  <c r="T87" i="73"/>
  <c r="E446" i="73" s="1"/>
  <c r="E87" i="73"/>
  <c r="E473" i="73" s="1"/>
  <c r="W100" i="73"/>
  <c r="H459" i="73" s="1"/>
  <c r="H100" i="73"/>
  <c r="H486" i="73" s="1"/>
  <c r="U20" i="73"/>
  <c r="F288" i="73" s="1"/>
  <c r="F20" i="73"/>
  <c r="F315" i="73" s="1"/>
  <c r="X39" i="73"/>
  <c r="I39" i="73"/>
  <c r="Z29" i="73"/>
  <c r="K297" i="73" s="1"/>
  <c r="K29" i="73"/>
  <c r="K324" i="73" s="1"/>
  <c r="R99" i="73"/>
  <c r="C458" i="73" s="1"/>
  <c r="C99" i="73"/>
  <c r="C485" i="73" s="1"/>
  <c r="B531" i="73"/>
  <c r="Q182" i="73"/>
  <c r="B680" i="73" s="1"/>
  <c r="B182" i="73"/>
  <c r="B707" i="73" s="1"/>
  <c r="Z8" i="73"/>
  <c r="K276" i="73" s="1"/>
  <c r="K8" i="73"/>
  <c r="K303" i="73" s="1"/>
  <c r="X9" i="73"/>
  <c r="I277" i="73" s="1"/>
  <c r="I9" i="73"/>
  <c r="I304" i="73" s="1"/>
  <c r="L280" i="73"/>
  <c r="Y78" i="73"/>
  <c r="J437" i="73" s="1"/>
  <c r="J78" i="73"/>
  <c r="J464" i="73" s="1"/>
  <c r="Z47" i="73"/>
  <c r="K362" i="73" s="1"/>
  <c r="K47" i="73"/>
  <c r="K389" i="73" s="1"/>
  <c r="S76" i="73"/>
  <c r="D76" i="73"/>
  <c r="C307" i="73"/>
  <c r="J530" i="73"/>
  <c r="J557" i="73"/>
  <c r="W182" i="73"/>
  <c r="H680" i="73" s="1"/>
  <c r="H182" i="73"/>
  <c r="H707" i="73" s="1"/>
  <c r="AA48" i="73"/>
  <c r="L363" i="73" s="1"/>
  <c r="L48" i="73"/>
  <c r="L390" i="73" s="1"/>
  <c r="V13" i="73"/>
  <c r="G281" i="73" s="1"/>
  <c r="G13" i="73"/>
  <c r="G308" i="73" s="1"/>
  <c r="T90" i="73"/>
  <c r="E449" i="73" s="1"/>
  <c r="E90" i="73"/>
  <c r="E476" i="73" s="1"/>
  <c r="R76" i="73"/>
  <c r="C76" i="73"/>
  <c r="Q60" i="73"/>
  <c r="B375" i="73" s="1"/>
  <c r="B60" i="73"/>
  <c r="B402" i="73" s="1"/>
  <c r="R84" i="73"/>
  <c r="C443" i="73" s="1"/>
  <c r="C84" i="73"/>
  <c r="C470" i="73" s="1"/>
  <c r="AA28" i="73"/>
  <c r="L296" i="73" s="1"/>
  <c r="L28" i="73"/>
  <c r="L323" i="73" s="1"/>
  <c r="Y87" i="73"/>
  <c r="J446" i="73" s="1"/>
  <c r="J87" i="73"/>
  <c r="J473" i="73" s="1"/>
  <c r="R147" i="73"/>
  <c r="C598" i="73" s="1"/>
  <c r="C147" i="73"/>
  <c r="C625" i="73" s="1"/>
  <c r="X78" i="73"/>
  <c r="I437" i="73" s="1"/>
  <c r="I78" i="73"/>
  <c r="I464" i="73" s="1"/>
  <c r="E452" i="73"/>
  <c r="S10" i="73"/>
  <c r="D278" i="73" s="1"/>
  <c r="D10" i="73"/>
  <c r="D305" i="73" s="1"/>
  <c r="G280" i="73"/>
  <c r="R184" i="73"/>
  <c r="C682" i="73" s="1"/>
  <c r="C184" i="73"/>
  <c r="C709" i="73" s="1"/>
  <c r="X79" i="73"/>
  <c r="I438" i="73" s="1"/>
  <c r="I79" i="73"/>
  <c r="I465" i="73" s="1"/>
  <c r="AB194" i="73"/>
  <c r="M194" i="73"/>
  <c r="L630" i="73"/>
  <c r="F370" i="73"/>
  <c r="F397" i="73"/>
  <c r="Y95" i="73"/>
  <c r="J454" i="73" s="1"/>
  <c r="J95" i="73"/>
  <c r="J481" i="73" s="1"/>
  <c r="S167" i="73"/>
  <c r="D618" i="73" s="1"/>
  <c r="D167" i="73"/>
  <c r="D645" i="73" s="1"/>
  <c r="V17" i="73"/>
  <c r="G285" i="73" s="1"/>
  <c r="G17" i="73"/>
  <c r="G312" i="73" s="1"/>
  <c r="R39" i="73"/>
  <c r="C39" i="73"/>
  <c r="AB29" i="73"/>
  <c r="M29" i="73"/>
  <c r="W6" i="73"/>
  <c r="H274" i="73" s="1"/>
  <c r="H6" i="73"/>
  <c r="H301" i="73" s="1"/>
  <c r="W85" i="73"/>
  <c r="H444" i="73" s="1"/>
  <c r="H85" i="73"/>
  <c r="H471" i="73" s="1"/>
  <c r="T85" i="73"/>
  <c r="E444" i="73" s="1"/>
  <c r="E85" i="73"/>
  <c r="E471" i="73" s="1"/>
  <c r="K530" i="73"/>
  <c r="W150" i="73"/>
  <c r="H601" i="73" s="1"/>
  <c r="H150" i="73"/>
  <c r="H628" i="73" s="1"/>
  <c r="Y88" i="73"/>
  <c r="J447" i="73" s="1"/>
  <c r="J88" i="73"/>
  <c r="J474" i="73" s="1"/>
  <c r="V59" i="73"/>
  <c r="G374" i="73" s="1"/>
  <c r="G59" i="73"/>
  <c r="G401" i="73" s="1"/>
  <c r="R151" i="73"/>
  <c r="C602" i="73" s="1"/>
  <c r="C151" i="73"/>
  <c r="C629" i="73" s="1"/>
  <c r="V160" i="73"/>
  <c r="G611" i="73" s="1"/>
  <c r="G160" i="73"/>
  <c r="G638" i="73" s="1"/>
  <c r="V129" i="73"/>
  <c r="G535" i="73" s="1"/>
  <c r="G129" i="73"/>
  <c r="G562" i="73" s="1"/>
  <c r="AB193" i="73"/>
  <c r="M193" i="73"/>
  <c r="X185" i="73"/>
  <c r="I683" i="73" s="1"/>
  <c r="I185" i="73"/>
  <c r="I710" i="73" s="1"/>
  <c r="AA150" i="73"/>
  <c r="L601" i="73" s="1"/>
  <c r="L150" i="73"/>
  <c r="L628" i="73" s="1"/>
  <c r="Z13" i="73"/>
  <c r="K281" i="73" s="1"/>
  <c r="K13" i="73"/>
  <c r="K308" i="73" s="1"/>
  <c r="C604" i="73"/>
  <c r="C631" i="73"/>
  <c r="I5" i="73"/>
  <c r="X23" i="73"/>
  <c r="I291" i="73" s="1"/>
  <c r="I23" i="73"/>
  <c r="I318" i="73" s="1"/>
  <c r="Z131" i="73"/>
  <c r="K537" i="73" s="1"/>
  <c r="K131" i="73"/>
  <c r="K564" i="73" s="1"/>
  <c r="AA58" i="73"/>
  <c r="L373" i="73" s="1"/>
  <c r="L58" i="73"/>
  <c r="L400" i="73" s="1"/>
  <c r="V202" i="73"/>
  <c r="G700" i="73" s="1"/>
  <c r="G202" i="73"/>
  <c r="G727" i="73" s="1"/>
  <c r="T180" i="73"/>
  <c r="E180" i="73"/>
  <c r="Z27" i="73"/>
  <c r="K295" i="73" s="1"/>
  <c r="K27" i="73"/>
  <c r="K322" i="73" s="1"/>
  <c r="R89" i="73"/>
  <c r="C448" i="73" s="1"/>
  <c r="C89" i="73"/>
  <c r="C475" i="73" s="1"/>
  <c r="W64" i="73"/>
  <c r="H379" i="73" s="1"/>
  <c r="H64" i="73"/>
  <c r="H406" i="73" s="1"/>
  <c r="E551" i="73"/>
  <c r="K529" i="73"/>
  <c r="K556" i="73"/>
  <c r="Z7" i="73"/>
  <c r="K275" i="73" s="1"/>
  <c r="K7" i="73"/>
  <c r="K302" i="73" s="1"/>
  <c r="X41" i="73"/>
  <c r="I356" i="73" s="1"/>
  <c r="I41" i="73"/>
  <c r="I383" i="73" s="1"/>
  <c r="Y90" i="73"/>
  <c r="J449" i="73" s="1"/>
  <c r="J90" i="73"/>
  <c r="J476" i="73" s="1"/>
  <c r="Q185" i="73"/>
  <c r="B683" i="73" s="1"/>
  <c r="B185" i="73"/>
  <c r="B710" i="73" s="1"/>
  <c r="R9" i="73"/>
  <c r="C277" i="73" s="1"/>
  <c r="C9" i="73"/>
  <c r="C304" i="73" s="1"/>
  <c r="AA97" i="73"/>
  <c r="L456" i="73" s="1"/>
  <c r="L97" i="73"/>
  <c r="L483" i="73" s="1"/>
  <c r="X149" i="73"/>
  <c r="I600" i="73" s="1"/>
  <c r="I149" i="73"/>
  <c r="I627" i="73" s="1"/>
  <c r="Z25" i="73"/>
  <c r="K293" i="73" s="1"/>
  <c r="K25" i="73"/>
  <c r="K320" i="73" s="1"/>
  <c r="S158" i="73"/>
  <c r="D609" i="73" s="1"/>
  <c r="D158" i="73"/>
  <c r="D636" i="73" s="1"/>
  <c r="S181" i="73"/>
  <c r="D679" i="73" s="1"/>
  <c r="D181" i="73"/>
  <c r="D706" i="73" s="1"/>
  <c r="R78" i="73"/>
  <c r="C437" i="73" s="1"/>
  <c r="C78" i="73"/>
  <c r="C464" i="73" s="1"/>
  <c r="Q17" i="73"/>
  <c r="B285" i="73" s="1"/>
  <c r="B17" i="73"/>
  <c r="B312" i="73" s="1"/>
  <c r="AA184" i="73"/>
  <c r="L682" i="73" s="1"/>
  <c r="L184" i="73"/>
  <c r="L709" i="73" s="1"/>
  <c r="X133" i="73"/>
  <c r="I539" i="73" s="1"/>
  <c r="I133" i="73"/>
  <c r="I566" i="73" s="1"/>
  <c r="V149" i="73"/>
  <c r="G600" i="73" s="1"/>
  <c r="G149" i="73"/>
  <c r="G627" i="73" s="1"/>
  <c r="S62" i="73"/>
  <c r="D377" i="73" s="1"/>
  <c r="D62" i="73"/>
  <c r="D404" i="73" s="1"/>
  <c r="I279" i="73"/>
  <c r="AA185" i="73"/>
  <c r="L683" i="73" s="1"/>
  <c r="L185" i="73"/>
  <c r="L710" i="73" s="1"/>
  <c r="C530" i="73"/>
  <c r="U52" i="73"/>
  <c r="F367" i="73" s="1"/>
  <c r="F52" i="73"/>
  <c r="F394" i="73" s="1"/>
  <c r="W44" i="73"/>
  <c r="H359" i="73" s="1"/>
  <c r="H44" i="73"/>
  <c r="H386" i="73" s="1"/>
  <c r="Q26" i="73"/>
  <c r="B294" i="73" s="1"/>
  <c r="B26" i="73"/>
  <c r="B321" i="73" s="1"/>
  <c r="R160" i="73"/>
  <c r="C611" i="73" s="1"/>
  <c r="C160" i="73"/>
  <c r="C638" i="73" s="1"/>
  <c r="T156" i="73"/>
  <c r="E607" i="73" s="1"/>
  <c r="E156" i="73"/>
  <c r="E634" i="73" s="1"/>
  <c r="Q23" i="73"/>
  <c r="B291" i="73" s="1"/>
  <c r="B23" i="73"/>
  <c r="B318" i="73" s="1"/>
  <c r="L452" i="73"/>
  <c r="X87" i="73"/>
  <c r="I446" i="73" s="1"/>
  <c r="I87" i="73"/>
  <c r="I473" i="73" s="1"/>
  <c r="F522" i="73"/>
  <c r="F549" i="73"/>
  <c r="W191" i="73"/>
  <c r="H689" i="73" s="1"/>
  <c r="H191" i="73"/>
  <c r="H716" i="73" s="1"/>
  <c r="Z115" i="73"/>
  <c r="K521" i="73" s="1"/>
  <c r="K115" i="73"/>
  <c r="K548" i="73" s="1"/>
  <c r="Z180" i="73"/>
  <c r="K180" i="73"/>
  <c r="U15" i="73"/>
  <c r="F283" i="73" s="1"/>
  <c r="F15" i="73"/>
  <c r="F310" i="73" s="1"/>
  <c r="Q165" i="73"/>
  <c r="B616" i="73" s="1"/>
  <c r="B165" i="73"/>
  <c r="B643" i="73" s="1"/>
  <c r="Z91" i="73"/>
  <c r="K450" i="73" s="1"/>
  <c r="K91" i="73"/>
  <c r="K477" i="73" s="1"/>
  <c r="T198" i="73"/>
  <c r="E696" i="73" s="1"/>
  <c r="E198" i="73"/>
  <c r="E723" i="73" s="1"/>
  <c r="Z41" i="73"/>
  <c r="K356" i="73" s="1"/>
  <c r="K41" i="73"/>
  <c r="K383" i="73" s="1"/>
  <c r="F525" i="73"/>
  <c r="J522" i="73"/>
  <c r="N188" i="73"/>
  <c r="M713" i="73"/>
  <c r="M647" i="73"/>
  <c r="N169" i="73"/>
  <c r="M389" i="73"/>
  <c r="N47" i="73"/>
  <c r="M547" i="73"/>
  <c r="N114" i="73"/>
  <c r="L381" i="73"/>
  <c r="E381" i="73"/>
  <c r="N196" i="73"/>
  <c r="M721" i="73"/>
  <c r="K300" i="73"/>
  <c r="M632" i="73"/>
  <c r="N154" i="73"/>
  <c r="M318" i="73"/>
  <c r="N23" i="73"/>
  <c r="X95" i="73"/>
  <c r="I454" i="73" s="1"/>
  <c r="I95" i="73"/>
  <c r="I481" i="73" s="1"/>
  <c r="AC198" i="73"/>
  <c r="M696" i="73"/>
  <c r="AC45" i="73"/>
  <c r="M360" i="73"/>
  <c r="AC164" i="73"/>
  <c r="M615" i="73"/>
  <c r="M606" i="73"/>
  <c r="AC155" i="73"/>
  <c r="M455" i="73"/>
  <c r="AC96" i="73"/>
  <c r="B597" i="73"/>
  <c r="M609" i="73"/>
  <c r="AC158" i="73"/>
  <c r="AC117" i="73"/>
  <c r="M523" i="73"/>
  <c r="AC89" i="73"/>
  <c r="M448" i="73"/>
  <c r="B435" i="73"/>
  <c r="AC63" i="73"/>
  <c r="M378" i="73"/>
  <c r="M539" i="73"/>
  <c r="AC133" i="73"/>
  <c r="H623" i="73"/>
  <c r="Z24" i="73"/>
  <c r="K292" i="73" s="1"/>
  <c r="K24" i="73"/>
  <c r="K319" i="73" s="1"/>
  <c r="T192" i="73"/>
  <c r="E690" i="73" s="1"/>
  <c r="E192" i="73"/>
  <c r="E717" i="73" s="1"/>
  <c r="R195" i="73"/>
  <c r="C693" i="73" s="1"/>
  <c r="C195" i="73"/>
  <c r="C720" i="73" s="1"/>
  <c r="U113" i="73"/>
  <c r="F519" i="73" s="1"/>
  <c r="F113" i="73"/>
  <c r="F546" i="73" s="1"/>
  <c r="W50" i="73"/>
  <c r="H365" i="73" s="1"/>
  <c r="H50" i="73"/>
  <c r="H392" i="73" s="1"/>
  <c r="R30" i="73"/>
  <c r="C298" i="73" s="1"/>
  <c r="C30" i="73"/>
  <c r="C325" i="73" s="1"/>
  <c r="S14" i="73"/>
  <c r="D282" i="73" s="1"/>
  <c r="D14" i="73"/>
  <c r="D309" i="73" s="1"/>
  <c r="Z161" i="73"/>
  <c r="K612" i="73" s="1"/>
  <c r="K161" i="73"/>
  <c r="K639" i="73" s="1"/>
  <c r="T134" i="73"/>
  <c r="E540" i="73" s="1"/>
  <c r="E134" i="73"/>
  <c r="E567" i="73" s="1"/>
  <c r="X98" i="73"/>
  <c r="I457" i="73" s="1"/>
  <c r="I98" i="73"/>
  <c r="I484" i="73" s="1"/>
  <c r="T111" i="73"/>
  <c r="E517" i="73" s="1"/>
  <c r="E111" i="73"/>
  <c r="E544" i="73" s="1"/>
  <c r="R16" i="73"/>
  <c r="C284" i="73" s="1"/>
  <c r="C16" i="73"/>
  <c r="C311" i="73" s="1"/>
  <c r="W166" i="73"/>
  <c r="H617" i="73" s="1"/>
  <c r="H166" i="73"/>
  <c r="H644" i="73" s="1"/>
  <c r="T195" i="73"/>
  <c r="E693" i="73" s="1"/>
  <c r="E195" i="73"/>
  <c r="E720" i="73" s="1"/>
  <c r="T157" i="73"/>
  <c r="E608" i="73" s="1"/>
  <c r="E157" i="73"/>
  <c r="E635" i="73" s="1"/>
  <c r="I532" i="73"/>
  <c r="H542" i="73"/>
  <c r="R50" i="73"/>
  <c r="C365" i="73" s="1"/>
  <c r="C50" i="73"/>
  <c r="C392" i="73" s="1"/>
  <c r="X42" i="73"/>
  <c r="I357" i="73" s="1"/>
  <c r="I42" i="73"/>
  <c r="I384" i="73" s="1"/>
  <c r="J290" i="73"/>
  <c r="X189" i="73"/>
  <c r="I687" i="73" s="1"/>
  <c r="I189" i="73"/>
  <c r="I714" i="73" s="1"/>
  <c r="AB161" i="73"/>
  <c r="M161" i="73"/>
  <c r="AA134" i="73"/>
  <c r="L540" i="73" s="1"/>
  <c r="L134" i="73"/>
  <c r="L567" i="73" s="1"/>
  <c r="Y98" i="73"/>
  <c r="J457" i="73" s="1"/>
  <c r="J98" i="73"/>
  <c r="J484" i="73" s="1"/>
  <c r="R111" i="73"/>
  <c r="C517" i="73" s="1"/>
  <c r="C111" i="73"/>
  <c r="C544" i="73" s="1"/>
  <c r="S24" i="73"/>
  <c r="D292" i="73" s="1"/>
  <c r="D24" i="73"/>
  <c r="D319" i="73" s="1"/>
  <c r="V166" i="73"/>
  <c r="G617" i="73" s="1"/>
  <c r="G166" i="73"/>
  <c r="G644" i="73" s="1"/>
  <c r="W195" i="73"/>
  <c r="H693" i="73" s="1"/>
  <c r="H195" i="73"/>
  <c r="H720" i="73" s="1"/>
  <c r="X168" i="73"/>
  <c r="I619" i="73" s="1"/>
  <c r="I168" i="73"/>
  <c r="I646" i="73" s="1"/>
  <c r="C650" i="73"/>
  <c r="J542" i="73"/>
  <c r="S113" i="73"/>
  <c r="D519" i="73" s="1"/>
  <c r="D113" i="73"/>
  <c r="D546" i="73" s="1"/>
  <c r="V110" i="73"/>
  <c r="G110" i="73"/>
  <c r="T42" i="73"/>
  <c r="E357" i="73" s="1"/>
  <c r="E42" i="73"/>
  <c r="E384" i="73" s="1"/>
  <c r="K290" i="73"/>
  <c r="U14" i="73"/>
  <c r="F282" i="73" s="1"/>
  <c r="F14" i="73"/>
  <c r="F309" i="73" s="1"/>
  <c r="AA189" i="73"/>
  <c r="L687" i="73" s="1"/>
  <c r="L189" i="73"/>
  <c r="L714" i="73" s="1"/>
  <c r="K603" i="73"/>
  <c r="K630" i="73"/>
  <c r="R130" i="73"/>
  <c r="C536" i="73" s="1"/>
  <c r="C130" i="73"/>
  <c r="C563" i="73" s="1"/>
  <c r="S111" i="73"/>
  <c r="D517" i="73" s="1"/>
  <c r="D111" i="73"/>
  <c r="D544" i="73" s="1"/>
  <c r="T24" i="73"/>
  <c r="E292" i="73" s="1"/>
  <c r="E24" i="73"/>
  <c r="E319" i="73" s="1"/>
  <c r="R201" i="73"/>
  <c r="C699" i="73" s="1"/>
  <c r="C201" i="73"/>
  <c r="C726" i="73" s="1"/>
  <c r="AA166" i="73"/>
  <c r="L617" i="73" s="1"/>
  <c r="L166" i="73"/>
  <c r="L644" i="73" s="1"/>
  <c r="J524" i="73"/>
  <c r="H361" i="73"/>
  <c r="W192" i="73"/>
  <c r="H690" i="73" s="1"/>
  <c r="H192" i="73"/>
  <c r="H717" i="73" s="1"/>
  <c r="S199" i="73"/>
  <c r="D697" i="73" s="1"/>
  <c r="D199" i="73"/>
  <c r="D724" i="73" s="1"/>
  <c r="C695" i="73"/>
  <c r="Z114" i="73"/>
  <c r="K520" i="73" s="1"/>
  <c r="K114" i="73"/>
  <c r="K547" i="73" s="1"/>
  <c r="V185" i="73"/>
  <c r="G683" i="73" s="1"/>
  <c r="G185" i="73"/>
  <c r="G710" i="73" s="1"/>
  <c r="R148" i="73"/>
  <c r="C599" i="73" s="1"/>
  <c r="C148" i="73"/>
  <c r="C626" i="73" s="1"/>
  <c r="AB130" i="73"/>
  <c r="M130" i="73"/>
  <c r="F533" i="73"/>
  <c r="X170" i="73"/>
  <c r="I621" i="73" s="1"/>
  <c r="I170" i="73"/>
  <c r="I648" i="73" s="1"/>
  <c r="T151" i="73"/>
  <c r="E602" i="73" s="1"/>
  <c r="E151" i="73"/>
  <c r="E629" i="73" s="1"/>
  <c r="K527" i="73"/>
  <c r="K554" i="73"/>
  <c r="AA199" i="73"/>
  <c r="L697" i="73" s="1"/>
  <c r="L199" i="73"/>
  <c r="L724" i="73" s="1"/>
  <c r="Y114" i="73"/>
  <c r="J520" i="73" s="1"/>
  <c r="J114" i="73"/>
  <c r="J547" i="73" s="1"/>
  <c r="Z185" i="73"/>
  <c r="K683" i="73" s="1"/>
  <c r="K185" i="73"/>
  <c r="K710" i="73" s="1"/>
  <c r="D533" i="73"/>
  <c r="AB170" i="73"/>
  <c r="M170" i="73"/>
  <c r="Z151" i="73"/>
  <c r="K602" i="73" s="1"/>
  <c r="K151" i="73"/>
  <c r="K629" i="73" s="1"/>
  <c r="S128" i="73"/>
  <c r="D534" i="73" s="1"/>
  <c r="D128" i="73"/>
  <c r="D561" i="73" s="1"/>
  <c r="F527" i="73"/>
  <c r="F554" i="73"/>
  <c r="AA183" i="73"/>
  <c r="L681" i="73" s="1"/>
  <c r="L183" i="73"/>
  <c r="L708" i="73" s="1"/>
  <c r="Z159" i="73"/>
  <c r="K610" i="73" s="1"/>
  <c r="K159" i="73"/>
  <c r="K637" i="73" s="1"/>
  <c r="T135" i="73"/>
  <c r="E541" i="73" s="1"/>
  <c r="E135" i="73"/>
  <c r="E568" i="73" s="1"/>
  <c r="I528" i="73"/>
  <c r="I555" i="73"/>
  <c r="V60" i="73"/>
  <c r="G375" i="73" s="1"/>
  <c r="G60" i="73"/>
  <c r="G402" i="73" s="1"/>
  <c r="T191" i="73"/>
  <c r="E689" i="73" s="1"/>
  <c r="E191" i="73"/>
  <c r="E716" i="73" s="1"/>
  <c r="U160" i="73"/>
  <c r="F611" i="73" s="1"/>
  <c r="F160" i="73"/>
  <c r="F638" i="73" s="1"/>
  <c r="X135" i="73"/>
  <c r="I541" i="73" s="1"/>
  <c r="I135" i="73"/>
  <c r="I568" i="73" s="1"/>
  <c r="AA100" i="73"/>
  <c r="L459" i="73" s="1"/>
  <c r="L100" i="73"/>
  <c r="L486" i="73" s="1"/>
  <c r="S48" i="73"/>
  <c r="D363" i="73" s="1"/>
  <c r="D48" i="73"/>
  <c r="D390" i="73" s="1"/>
  <c r="I360" i="73"/>
  <c r="AA130" i="73"/>
  <c r="L536" i="73" s="1"/>
  <c r="L130" i="73"/>
  <c r="L563" i="73" s="1"/>
  <c r="AB182" i="73"/>
  <c r="M182" i="73"/>
  <c r="H523" i="73"/>
  <c r="H550" i="73"/>
  <c r="T185" i="73"/>
  <c r="E683" i="73" s="1"/>
  <c r="E185" i="73"/>
  <c r="E710" i="73" s="1"/>
  <c r="Z44" i="73"/>
  <c r="K359" i="73" s="1"/>
  <c r="K44" i="73"/>
  <c r="K386" i="73" s="1"/>
  <c r="W170" i="73"/>
  <c r="H621" i="73" s="1"/>
  <c r="H170" i="73"/>
  <c r="H648" i="73" s="1"/>
  <c r="C371" i="73"/>
  <c r="C398" i="73"/>
  <c r="E603" i="73"/>
  <c r="E630" i="73"/>
  <c r="W128" i="73"/>
  <c r="H534" i="73" s="1"/>
  <c r="H128" i="73"/>
  <c r="H561" i="73" s="1"/>
  <c r="Y191" i="73"/>
  <c r="J689" i="73" s="1"/>
  <c r="J191" i="73"/>
  <c r="J716" i="73" s="1"/>
  <c r="V48" i="73"/>
  <c r="G363" i="73" s="1"/>
  <c r="G48" i="73"/>
  <c r="G390" i="73" s="1"/>
  <c r="X40" i="73"/>
  <c r="I355" i="73" s="1"/>
  <c r="I40" i="73"/>
  <c r="I382" i="73" s="1"/>
  <c r="W84" i="73"/>
  <c r="H443" i="73" s="1"/>
  <c r="H84" i="73"/>
  <c r="H470" i="73" s="1"/>
  <c r="T84" i="73"/>
  <c r="E443" i="73" s="1"/>
  <c r="E84" i="73"/>
  <c r="E470" i="73" s="1"/>
  <c r="Y130" i="73"/>
  <c r="J536" i="73" s="1"/>
  <c r="J130" i="73"/>
  <c r="J563" i="73" s="1"/>
  <c r="V150" i="73"/>
  <c r="G601" i="73" s="1"/>
  <c r="G150" i="73"/>
  <c r="G628" i="73" s="1"/>
  <c r="S159" i="73"/>
  <c r="D610" i="73" s="1"/>
  <c r="D159" i="73"/>
  <c r="D637" i="73" s="1"/>
  <c r="G371" i="73"/>
  <c r="R20" i="73"/>
  <c r="C288" i="73" s="1"/>
  <c r="C20" i="73"/>
  <c r="C315" i="73" s="1"/>
  <c r="Y13" i="73"/>
  <c r="J281" i="73" s="1"/>
  <c r="J13" i="73"/>
  <c r="J308" i="73" s="1"/>
  <c r="U199" i="73"/>
  <c r="F697" i="73" s="1"/>
  <c r="F199" i="73"/>
  <c r="F724" i="73" s="1"/>
  <c r="C533" i="73"/>
  <c r="C560" i="73"/>
  <c r="Q200" i="73"/>
  <c r="B698" i="73" s="1"/>
  <c r="B200" i="73"/>
  <c r="B725" i="73" s="1"/>
  <c r="J523" i="73"/>
  <c r="J550" i="73"/>
  <c r="AB203" i="73"/>
  <c r="M203" i="73"/>
  <c r="I603" i="73"/>
  <c r="I630" i="73"/>
  <c r="U130" i="73"/>
  <c r="F536" i="73" s="1"/>
  <c r="F130" i="73"/>
  <c r="F563" i="73" s="1"/>
  <c r="W52" i="73"/>
  <c r="H367" i="73" s="1"/>
  <c r="H52" i="73"/>
  <c r="H394" i="73" s="1"/>
  <c r="Q52" i="73"/>
  <c r="B367" i="73" s="1"/>
  <c r="B52" i="73"/>
  <c r="B394" i="73" s="1"/>
  <c r="AA154" i="73"/>
  <c r="L605" i="73" s="1"/>
  <c r="L154" i="73"/>
  <c r="L632" i="73" s="1"/>
  <c r="R146" i="73"/>
  <c r="C146" i="73"/>
  <c r="T128" i="73"/>
  <c r="E534" i="73" s="1"/>
  <c r="E128" i="73"/>
  <c r="E561" i="73" s="1"/>
  <c r="AB26" i="73"/>
  <c r="M26" i="73"/>
  <c r="S18" i="73"/>
  <c r="D286" i="73" s="1"/>
  <c r="D18" i="73"/>
  <c r="D313" i="73" s="1"/>
  <c r="T183" i="73"/>
  <c r="E681" i="73" s="1"/>
  <c r="E183" i="73"/>
  <c r="E708" i="73" s="1"/>
  <c r="AA115" i="73"/>
  <c r="L521" i="73" s="1"/>
  <c r="L115" i="73"/>
  <c r="L548" i="73" s="1"/>
  <c r="V135" i="73"/>
  <c r="G541" i="73" s="1"/>
  <c r="G135" i="73"/>
  <c r="G568" i="73" s="1"/>
  <c r="H370" i="73"/>
  <c r="H397" i="73"/>
  <c r="Z160" i="73"/>
  <c r="K611" i="73" s="1"/>
  <c r="K160" i="73"/>
  <c r="K638" i="73" s="1"/>
  <c r="R135" i="73"/>
  <c r="C541" i="73" s="1"/>
  <c r="C135" i="73"/>
  <c r="C568" i="73" s="1"/>
  <c r="R100" i="73"/>
  <c r="C459" i="73" s="1"/>
  <c r="C100" i="73"/>
  <c r="C486" i="73" s="1"/>
  <c r="F722" i="73"/>
  <c r="X203" i="73"/>
  <c r="I701" i="73" s="1"/>
  <c r="I203" i="73"/>
  <c r="I728" i="73" s="1"/>
  <c r="AA148" i="73"/>
  <c r="L599" i="73" s="1"/>
  <c r="L148" i="73"/>
  <c r="L626" i="73" s="1"/>
  <c r="X26" i="73"/>
  <c r="I294" i="73" s="1"/>
  <c r="I26" i="73"/>
  <c r="I321" i="73" s="1"/>
  <c r="Y160" i="73"/>
  <c r="J611" i="73" s="1"/>
  <c r="J160" i="73"/>
  <c r="J638" i="73" s="1"/>
  <c r="H528" i="73"/>
  <c r="S49" i="73"/>
  <c r="D364" i="73" s="1"/>
  <c r="D49" i="73"/>
  <c r="D391" i="73" s="1"/>
  <c r="AA10" i="73"/>
  <c r="L278" i="73" s="1"/>
  <c r="L10" i="73"/>
  <c r="L305" i="73" s="1"/>
  <c r="R193" i="73"/>
  <c r="C691" i="73" s="1"/>
  <c r="C193" i="73"/>
  <c r="C718" i="73" s="1"/>
  <c r="G524" i="73"/>
  <c r="T59" i="73"/>
  <c r="E374" i="73" s="1"/>
  <c r="E59" i="73"/>
  <c r="E401" i="73" s="1"/>
  <c r="V99" i="73"/>
  <c r="G458" i="73" s="1"/>
  <c r="G99" i="73"/>
  <c r="G485" i="73" s="1"/>
  <c r="S101" i="73"/>
  <c r="D460" i="73" s="1"/>
  <c r="D101" i="73"/>
  <c r="D487" i="73" s="1"/>
  <c r="AA171" i="73"/>
  <c r="L622" i="73" s="1"/>
  <c r="L171" i="73"/>
  <c r="L649" i="73" s="1"/>
  <c r="AB76" i="73"/>
  <c r="M76" i="73"/>
  <c r="S86" i="73"/>
  <c r="D445" i="73" s="1"/>
  <c r="D86" i="73"/>
  <c r="D472" i="73" s="1"/>
  <c r="R61" i="73"/>
  <c r="C376" i="73" s="1"/>
  <c r="C61" i="73"/>
  <c r="C403" i="73" s="1"/>
  <c r="V182" i="73"/>
  <c r="G680" i="73" s="1"/>
  <c r="G182" i="73"/>
  <c r="G707" i="73" s="1"/>
  <c r="Y6" i="73"/>
  <c r="J274" i="73" s="1"/>
  <c r="J6" i="73"/>
  <c r="J301" i="73" s="1"/>
  <c r="Z132" i="73"/>
  <c r="K538" i="73" s="1"/>
  <c r="K132" i="73"/>
  <c r="K565" i="73" s="1"/>
  <c r="H380" i="73"/>
  <c r="T9" i="73"/>
  <c r="E277" i="73" s="1"/>
  <c r="E9" i="73"/>
  <c r="E304" i="73" s="1"/>
  <c r="Y167" i="73"/>
  <c r="J618" i="73" s="1"/>
  <c r="J167" i="73"/>
  <c r="J645" i="73" s="1"/>
  <c r="V76" i="73"/>
  <c r="G76" i="73"/>
  <c r="I531" i="73"/>
  <c r="AB151" i="73"/>
  <c r="M151" i="73"/>
  <c r="Z80" i="73"/>
  <c r="K439" i="73" s="1"/>
  <c r="K80" i="73"/>
  <c r="K466" i="73" s="1"/>
  <c r="V18" i="73"/>
  <c r="G286" i="73" s="1"/>
  <c r="G18" i="73"/>
  <c r="G313" i="73" s="1"/>
  <c r="AA191" i="73"/>
  <c r="L689" i="73" s="1"/>
  <c r="L191" i="73"/>
  <c r="L716" i="73" s="1"/>
  <c r="W29" i="73"/>
  <c r="H297" i="73" s="1"/>
  <c r="H29" i="73"/>
  <c r="H324" i="73" s="1"/>
  <c r="AA95" i="73"/>
  <c r="L454" i="73" s="1"/>
  <c r="L95" i="73"/>
  <c r="L481" i="73" s="1"/>
  <c r="W25" i="73"/>
  <c r="H293" i="73" s="1"/>
  <c r="H25" i="73"/>
  <c r="H320" i="73" s="1"/>
  <c r="J604" i="73"/>
  <c r="R81" i="73"/>
  <c r="C440" i="73" s="1"/>
  <c r="C81" i="73"/>
  <c r="C467" i="73" s="1"/>
  <c r="U167" i="73"/>
  <c r="F618" i="73" s="1"/>
  <c r="F167" i="73"/>
  <c r="F645" i="73" s="1"/>
  <c r="T53" i="73"/>
  <c r="E368" i="73" s="1"/>
  <c r="E53" i="73"/>
  <c r="E395" i="73" s="1"/>
  <c r="Z85" i="73"/>
  <c r="K444" i="73" s="1"/>
  <c r="K85" i="73"/>
  <c r="K471" i="73" s="1"/>
  <c r="Q184" i="73"/>
  <c r="B682" i="73" s="1"/>
  <c r="B184" i="73"/>
  <c r="B709" i="73" s="1"/>
  <c r="V146" i="73"/>
  <c r="G146" i="73"/>
  <c r="H527" i="73"/>
  <c r="R204" i="73"/>
  <c r="C702" i="73" s="1"/>
  <c r="C204" i="73"/>
  <c r="C729" i="73" s="1"/>
  <c r="V80" i="73"/>
  <c r="G439" i="73" s="1"/>
  <c r="G80" i="73"/>
  <c r="G466" i="73" s="1"/>
  <c r="V94" i="73"/>
  <c r="G453" i="73" s="1"/>
  <c r="G94" i="73"/>
  <c r="G480" i="73" s="1"/>
  <c r="R13" i="73"/>
  <c r="C281" i="73" s="1"/>
  <c r="C13" i="73"/>
  <c r="C308" i="73" s="1"/>
  <c r="V87" i="73"/>
  <c r="G446" i="73" s="1"/>
  <c r="G87" i="73"/>
  <c r="G473" i="73" s="1"/>
  <c r="Z79" i="73"/>
  <c r="K438" i="73" s="1"/>
  <c r="K79" i="73"/>
  <c r="K465" i="73" s="1"/>
  <c r="E614" i="73"/>
  <c r="E641" i="73"/>
  <c r="Y28" i="73"/>
  <c r="J296" i="73" s="1"/>
  <c r="J28" i="73"/>
  <c r="J323" i="73" s="1"/>
  <c r="AA20" i="73"/>
  <c r="L288" i="73" s="1"/>
  <c r="L20" i="73"/>
  <c r="L315" i="73" s="1"/>
  <c r="Z149" i="73"/>
  <c r="K600" i="73" s="1"/>
  <c r="K149" i="73"/>
  <c r="K627" i="73" s="1"/>
  <c r="V51" i="73"/>
  <c r="G366" i="73" s="1"/>
  <c r="G51" i="73"/>
  <c r="G393" i="73" s="1"/>
  <c r="X99" i="73"/>
  <c r="I458" i="73" s="1"/>
  <c r="I99" i="73"/>
  <c r="I485" i="73" s="1"/>
  <c r="V90" i="73"/>
  <c r="G449" i="73" s="1"/>
  <c r="G90" i="73"/>
  <c r="G476" i="73" s="1"/>
  <c r="S133" i="73"/>
  <c r="D539" i="73" s="1"/>
  <c r="D133" i="73"/>
  <c r="D566" i="73" s="1"/>
  <c r="AB51" i="73"/>
  <c r="M51" i="73"/>
  <c r="T101" i="73"/>
  <c r="E460" i="73" s="1"/>
  <c r="E101" i="73"/>
  <c r="E487" i="73" s="1"/>
  <c r="T133" i="73"/>
  <c r="E539" i="73" s="1"/>
  <c r="E133" i="73"/>
  <c r="E566" i="73" s="1"/>
  <c r="V95" i="73"/>
  <c r="G454" i="73" s="1"/>
  <c r="G95" i="73"/>
  <c r="G481" i="73" s="1"/>
  <c r="T6" i="73"/>
  <c r="E274" i="73" s="1"/>
  <c r="E6" i="73"/>
  <c r="E301" i="73" s="1"/>
  <c r="T76" i="73"/>
  <c r="E76" i="73"/>
  <c r="S182" i="73"/>
  <c r="D680" i="73" s="1"/>
  <c r="D182" i="73"/>
  <c r="D707" i="73" s="1"/>
  <c r="R132" i="73"/>
  <c r="C538" i="73" s="1"/>
  <c r="C132" i="73"/>
  <c r="C565" i="73" s="1"/>
  <c r="E530" i="73"/>
  <c r="E557" i="73"/>
  <c r="D370" i="73"/>
  <c r="V40" i="73"/>
  <c r="G355" i="73" s="1"/>
  <c r="G40" i="73"/>
  <c r="G382" i="73" s="1"/>
  <c r="Z28" i="73"/>
  <c r="K296" i="73" s="1"/>
  <c r="K28" i="73"/>
  <c r="K323" i="73" s="1"/>
  <c r="T8" i="73"/>
  <c r="E276" i="73" s="1"/>
  <c r="E8" i="73"/>
  <c r="E303" i="73" s="1"/>
  <c r="Z76" i="73"/>
  <c r="K76" i="73"/>
  <c r="Y53" i="73"/>
  <c r="J368" i="73" s="1"/>
  <c r="J53" i="73"/>
  <c r="J395" i="73" s="1"/>
  <c r="AB20" i="73"/>
  <c r="M20" i="73"/>
  <c r="AA25" i="73"/>
  <c r="L293" i="73" s="1"/>
  <c r="L25" i="73"/>
  <c r="L320" i="73" s="1"/>
  <c r="U43" i="73"/>
  <c r="F358" i="73" s="1"/>
  <c r="F43" i="73"/>
  <c r="F385" i="73" s="1"/>
  <c r="Y62" i="73"/>
  <c r="J377" i="73" s="1"/>
  <c r="J62" i="73"/>
  <c r="J404" i="73" s="1"/>
  <c r="G452" i="73"/>
  <c r="Z49" i="73"/>
  <c r="K364" i="73" s="1"/>
  <c r="K49" i="73"/>
  <c r="K391" i="73" s="1"/>
  <c r="L380" i="73"/>
  <c r="U6" i="73"/>
  <c r="F274" i="73" s="1"/>
  <c r="F6" i="73"/>
  <c r="F301" i="73" s="1"/>
  <c r="AA203" i="73"/>
  <c r="L701" i="73" s="1"/>
  <c r="L203" i="73"/>
  <c r="L728" i="73" s="1"/>
  <c r="C525" i="73"/>
  <c r="C552" i="73"/>
  <c r="U28" i="73"/>
  <c r="F296" i="73" s="1"/>
  <c r="F28" i="73"/>
  <c r="F323" i="73" s="1"/>
  <c r="U29" i="73"/>
  <c r="F297" i="73" s="1"/>
  <c r="F29" i="73"/>
  <c r="F324" i="73" s="1"/>
  <c r="T158" i="73"/>
  <c r="E609" i="73" s="1"/>
  <c r="E158" i="73"/>
  <c r="E636" i="73" s="1"/>
  <c r="Y89" i="73"/>
  <c r="J448" i="73" s="1"/>
  <c r="J89" i="73"/>
  <c r="J475" i="73" s="1"/>
  <c r="E289" i="73"/>
  <c r="R167" i="73"/>
  <c r="C618" i="73" s="1"/>
  <c r="C167" i="73"/>
  <c r="C645" i="73" s="1"/>
  <c r="S77" i="73"/>
  <c r="D436" i="73" s="1"/>
  <c r="D77" i="73"/>
  <c r="D463" i="73" s="1"/>
  <c r="T149" i="73"/>
  <c r="E600" i="73" s="1"/>
  <c r="E149" i="73"/>
  <c r="E627" i="73" s="1"/>
  <c r="F530" i="73"/>
  <c r="W151" i="73"/>
  <c r="H602" i="73" s="1"/>
  <c r="H151" i="73"/>
  <c r="H629" i="73" s="1"/>
  <c r="Q97" i="73"/>
  <c r="B456" i="73" s="1"/>
  <c r="B97" i="73"/>
  <c r="B483" i="73" s="1"/>
  <c r="S202" i="73"/>
  <c r="D700" i="73" s="1"/>
  <c r="D202" i="73"/>
  <c r="D727" i="73" s="1"/>
  <c r="W159" i="73"/>
  <c r="H610" i="73" s="1"/>
  <c r="H159" i="73"/>
  <c r="H637" i="73" s="1"/>
  <c r="Q61" i="73"/>
  <c r="B376" i="73" s="1"/>
  <c r="B61" i="73"/>
  <c r="B403" i="73" s="1"/>
  <c r="U158" i="73"/>
  <c r="F609" i="73" s="1"/>
  <c r="F158" i="73"/>
  <c r="F636" i="73" s="1"/>
  <c r="R185" i="73"/>
  <c r="C683" i="73" s="1"/>
  <c r="C185" i="73"/>
  <c r="C710" i="73" s="1"/>
  <c r="R182" i="73"/>
  <c r="C680" i="73" s="1"/>
  <c r="C182" i="73"/>
  <c r="C707" i="73" s="1"/>
  <c r="U13" i="73"/>
  <c r="F281" i="73" s="1"/>
  <c r="F13" i="73"/>
  <c r="F308" i="73" s="1"/>
  <c r="V97" i="73"/>
  <c r="G456" i="73" s="1"/>
  <c r="G97" i="73"/>
  <c r="G483" i="73" s="1"/>
  <c r="H529" i="73"/>
  <c r="H556" i="73"/>
  <c r="Y8" i="73"/>
  <c r="J276" i="73" s="1"/>
  <c r="J8" i="73"/>
  <c r="J303" i="73" s="1"/>
  <c r="R8" i="73"/>
  <c r="C276" i="73" s="1"/>
  <c r="C8" i="73"/>
  <c r="C303" i="73" s="1"/>
  <c r="X49" i="73"/>
  <c r="I364" i="73" s="1"/>
  <c r="I49" i="73"/>
  <c r="I391" i="73" s="1"/>
  <c r="AB202" i="73"/>
  <c r="M202" i="73"/>
  <c r="Y170" i="73"/>
  <c r="J621" i="73" s="1"/>
  <c r="J170" i="73"/>
  <c r="J648" i="73" s="1"/>
  <c r="U19" i="73"/>
  <c r="F287" i="73" s="1"/>
  <c r="F19" i="73"/>
  <c r="F314" i="73" s="1"/>
  <c r="V158" i="73"/>
  <c r="G609" i="73" s="1"/>
  <c r="G158" i="73"/>
  <c r="G636" i="73" s="1"/>
  <c r="T194" i="73"/>
  <c r="E692" i="73" s="1"/>
  <c r="E194" i="73"/>
  <c r="E719" i="73" s="1"/>
  <c r="W10" i="73"/>
  <c r="H278" i="73" s="1"/>
  <c r="H10" i="73"/>
  <c r="H305" i="73" s="1"/>
  <c r="U53" i="73"/>
  <c r="F368" i="73" s="1"/>
  <c r="F53" i="73"/>
  <c r="F395" i="73" s="1"/>
  <c r="AA155" i="73"/>
  <c r="L606" i="73" s="1"/>
  <c r="L155" i="73"/>
  <c r="L633" i="73" s="1"/>
  <c r="Z154" i="73"/>
  <c r="K605" i="73" s="1"/>
  <c r="K154" i="73"/>
  <c r="K632" i="73" s="1"/>
  <c r="AB129" i="73"/>
  <c r="M129" i="73"/>
  <c r="Z198" i="73"/>
  <c r="K696" i="73" s="1"/>
  <c r="K198" i="73"/>
  <c r="K723" i="73" s="1"/>
  <c r="AA149" i="73"/>
  <c r="L600" i="73" s="1"/>
  <c r="L149" i="73"/>
  <c r="L627" i="73" s="1"/>
  <c r="AB8" i="73"/>
  <c r="M8" i="73"/>
  <c r="AA29" i="73"/>
  <c r="L297" i="73" s="1"/>
  <c r="L29" i="73"/>
  <c r="L324" i="73" s="1"/>
  <c r="Z53" i="73"/>
  <c r="K368" i="73" s="1"/>
  <c r="K53" i="73"/>
  <c r="K395" i="73" s="1"/>
  <c r="X150" i="73"/>
  <c r="I601" i="73" s="1"/>
  <c r="I150" i="73"/>
  <c r="I628" i="73" s="1"/>
  <c r="AA62" i="73"/>
  <c r="L377" i="73" s="1"/>
  <c r="L62" i="73"/>
  <c r="L404" i="73" s="1"/>
  <c r="Z43" i="73"/>
  <c r="K358" i="73" s="1"/>
  <c r="K43" i="73"/>
  <c r="K385" i="73" s="1"/>
  <c r="L694" i="73"/>
  <c r="T170" i="73"/>
  <c r="E621" i="73" s="1"/>
  <c r="E170" i="73"/>
  <c r="E648" i="73" s="1"/>
  <c r="Y133" i="73"/>
  <c r="J539" i="73" s="1"/>
  <c r="J133" i="73"/>
  <c r="J566" i="73" s="1"/>
  <c r="B479" i="73"/>
  <c r="R25" i="73"/>
  <c r="C293" i="73" s="1"/>
  <c r="C25" i="73"/>
  <c r="C320" i="73" s="1"/>
  <c r="AB39" i="73"/>
  <c r="M39" i="73"/>
  <c r="V132" i="73"/>
  <c r="G538" i="73" s="1"/>
  <c r="G132" i="73"/>
  <c r="G565" i="73" s="1"/>
  <c r="I530" i="73"/>
  <c r="I557" i="73"/>
  <c r="AA52" i="73"/>
  <c r="L367" i="73" s="1"/>
  <c r="L52" i="73"/>
  <c r="L394" i="73" s="1"/>
  <c r="X101" i="73"/>
  <c r="I460" i="73" s="1"/>
  <c r="I101" i="73"/>
  <c r="I487" i="73" s="1"/>
  <c r="T204" i="73"/>
  <c r="E702" i="73" s="1"/>
  <c r="E204" i="73"/>
  <c r="E729" i="73" s="1"/>
  <c r="Y86" i="73"/>
  <c r="J445" i="73" s="1"/>
  <c r="J86" i="73"/>
  <c r="J472" i="73" s="1"/>
  <c r="T47" i="73"/>
  <c r="E362" i="73" s="1"/>
  <c r="E47" i="73"/>
  <c r="E389" i="73" s="1"/>
  <c r="AB60" i="73"/>
  <c r="M60" i="73"/>
  <c r="W60" i="73"/>
  <c r="H375" i="73" s="1"/>
  <c r="H60" i="73"/>
  <c r="H402" i="73" s="1"/>
  <c r="V58" i="73"/>
  <c r="G373" i="73" s="1"/>
  <c r="G58" i="73"/>
  <c r="G400" i="73" s="1"/>
  <c r="S57" i="73"/>
  <c r="D372" i="73" s="1"/>
  <c r="D57" i="73"/>
  <c r="D399" i="73" s="1"/>
  <c r="R191" i="73"/>
  <c r="C689" i="73" s="1"/>
  <c r="C191" i="73"/>
  <c r="C716" i="73" s="1"/>
  <c r="R129" i="73"/>
  <c r="C535" i="73" s="1"/>
  <c r="C129" i="73"/>
  <c r="C562" i="73" s="1"/>
  <c r="U147" i="73"/>
  <c r="F598" i="73" s="1"/>
  <c r="F147" i="73"/>
  <c r="F625" i="73" s="1"/>
  <c r="V27" i="73"/>
  <c r="G295" i="73" s="1"/>
  <c r="G27" i="73"/>
  <c r="G322" i="73" s="1"/>
  <c r="Y185" i="73"/>
  <c r="J683" i="73" s="1"/>
  <c r="J185" i="73"/>
  <c r="J710" i="73" s="1"/>
  <c r="U180" i="73"/>
  <c r="F180" i="73"/>
  <c r="K326" i="73"/>
  <c r="AB62" i="73"/>
  <c r="M62" i="73"/>
  <c r="L560" i="73"/>
  <c r="U63" i="73"/>
  <c r="F378" i="73" s="1"/>
  <c r="F63" i="73"/>
  <c r="F405" i="73" s="1"/>
  <c r="T13" i="73"/>
  <c r="E281" i="73" s="1"/>
  <c r="E13" i="73"/>
  <c r="E308" i="73" s="1"/>
  <c r="AC31" i="73"/>
  <c r="M686" i="73"/>
  <c r="AC188" i="73"/>
  <c r="M620" i="73"/>
  <c r="AC169" i="73"/>
  <c r="AC47" i="73"/>
  <c r="M362" i="73"/>
  <c r="AC114" i="73"/>
  <c r="M520" i="73"/>
  <c r="L354" i="73"/>
  <c r="AC56" i="73"/>
  <c r="M371" i="73"/>
  <c r="AC13" i="73"/>
  <c r="M281" i="73"/>
  <c r="E354" i="73"/>
  <c r="M358" i="73"/>
  <c r="AC43" i="73"/>
  <c r="M694" i="73"/>
  <c r="AC196" i="73"/>
  <c r="M605" i="73"/>
  <c r="AC154" i="73"/>
  <c r="AC23" i="73"/>
  <c r="M291" i="73"/>
  <c r="M304" i="73"/>
  <c r="N9" i="73"/>
  <c r="M640" i="73"/>
  <c r="N162" i="73"/>
  <c r="M302" i="73"/>
  <c r="N7" i="73"/>
  <c r="M479" i="73"/>
  <c r="N93" i="73"/>
  <c r="M649" i="73"/>
  <c r="N171" i="73"/>
  <c r="N184" i="73"/>
  <c r="M709" i="73"/>
  <c r="N199" i="73"/>
  <c r="M724" i="73"/>
  <c r="M558" i="73"/>
  <c r="N125" i="73"/>
  <c r="M400" i="73"/>
  <c r="N58" i="73"/>
  <c r="V157" i="73"/>
  <c r="G608" i="73" s="1"/>
  <c r="G157" i="73"/>
  <c r="G635" i="73" s="1"/>
  <c r="K569" i="73"/>
  <c r="V30" i="73"/>
  <c r="G298" i="73" s="1"/>
  <c r="G30" i="73"/>
  <c r="G325" i="73" s="1"/>
  <c r="T161" i="73"/>
  <c r="E612" i="73" s="1"/>
  <c r="E161" i="73"/>
  <c r="E639" i="73" s="1"/>
  <c r="W98" i="73"/>
  <c r="H457" i="73" s="1"/>
  <c r="H98" i="73"/>
  <c r="H484" i="73" s="1"/>
  <c r="S166" i="73"/>
  <c r="D617" i="73" s="1"/>
  <c r="D166" i="73"/>
  <c r="D644" i="73" s="1"/>
  <c r="W157" i="73"/>
  <c r="H608" i="73" s="1"/>
  <c r="H157" i="73"/>
  <c r="H635" i="73" s="1"/>
  <c r="AB157" i="73"/>
  <c r="M157" i="73"/>
  <c r="F542" i="73"/>
  <c r="Z42" i="73"/>
  <c r="K357" i="73" s="1"/>
  <c r="K42" i="73"/>
  <c r="K384" i="73" s="1"/>
  <c r="Z189" i="73"/>
  <c r="K687" i="73" s="1"/>
  <c r="K189" i="73"/>
  <c r="K714" i="73" s="1"/>
  <c r="R98" i="73"/>
  <c r="C457" i="73" s="1"/>
  <c r="C98" i="73"/>
  <c r="C484" i="73" s="1"/>
  <c r="C361" i="73"/>
  <c r="G559" i="73"/>
  <c r="X30" i="73"/>
  <c r="I298" i="73" s="1"/>
  <c r="I30" i="73"/>
  <c r="I325" i="73" s="1"/>
  <c r="AB189" i="73"/>
  <c r="M189" i="73"/>
  <c r="S98" i="73"/>
  <c r="D457" i="73" s="1"/>
  <c r="D98" i="73"/>
  <c r="D484" i="73" s="1"/>
  <c r="J388" i="73"/>
  <c r="G623" i="73"/>
  <c r="AB113" i="73"/>
  <c r="M113" i="73"/>
  <c r="W161" i="73"/>
  <c r="H612" i="73" s="1"/>
  <c r="H161" i="73"/>
  <c r="H639" i="73" s="1"/>
  <c r="AB111" i="73"/>
  <c r="M111" i="73"/>
  <c r="U166" i="73"/>
  <c r="F617" i="73" s="1"/>
  <c r="F166" i="73"/>
  <c r="F644" i="73" s="1"/>
  <c r="Z157" i="73"/>
  <c r="K608" i="73" s="1"/>
  <c r="K157" i="73"/>
  <c r="K635" i="73" s="1"/>
  <c r="R168" i="73"/>
  <c r="C619" i="73" s="1"/>
  <c r="C168" i="73"/>
  <c r="C646" i="73" s="1"/>
  <c r="J623" i="73"/>
  <c r="E542" i="73"/>
  <c r="R113" i="73"/>
  <c r="C519" i="73" s="1"/>
  <c r="C113" i="73"/>
  <c r="C546" i="73" s="1"/>
  <c r="Z30" i="73"/>
  <c r="K298" i="73" s="1"/>
  <c r="K30" i="73"/>
  <c r="K325" i="73" s="1"/>
  <c r="F290" i="73"/>
  <c r="AA14" i="73"/>
  <c r="L282" i="73" s="1"/>
  <c r="L14" i="73"/>
  <c r="L309" i="73" s="1"/>
  <c r="R161" i="73"/>
  <c r="C612" i="73" s="1"/>
  <c r="C161" i="73"/>
  <c r="C639" i="73" s="1"/>
  <c r="V134" i="73"/>
  <c r="G540" i="73" s="1"/>
  <c r="G134" i="73"/>
  <c r="G567" i="73" s="1"/>
  <c r="X130" i="73"/>
  <c r="I536" i="73" s="1"/>
  <c r="I130" i="73"/>
  <c r="I563" i="73" s="1"/>
  <c r="U98" i="73"/>
  <c r="F457" i="73" s="1"/>
  <c r="F98" i="73"/>
  <c r="F484" i="73" s="1"/>
  <c r="Y111" i="73"/>
  <c r="J517" i="73" s="1"/>
  <c r="J111" i="73"/>
  <c r="J544" i="73" s="1"/>
  <c r="Z16" i="73"/>
  <c r="K284" i="73" s="1"/>
  <c r="K16" i="73"/>
  <c r="K311" i="73" s="1"/>
  <c r="Y201" i="73"/>
  <c r="J699" i="73" s="1"/>
  <c r="J201" i="73"/>
  <c r="J726" i="73" s="1"/>
  <c r="V128" i="73"/>
  <c r="G534" i="73" s="1"/>
  <c r="G128" i="73"/>
  <c r="G561" i="73" s="1"/>
  <c r="R194" i="73"/>
  <c r="C692" i="73" s="1"/>
  <c r="C194" i="73"/>
  <c r="C719" i="73" s="1"/>
  <c r="U114" i="73"/>
  <c r="F520" i="73" s="1"/>
  <c r="F114" i="73"/>
  <c r="F547" i="73" s="1"/>
  <c r="S130" i="73"/>
  <c r="D536" i="73" s="1"/>
  <c r="D130" i="73"/>
  <c r="D563" i="73" s="1"/>
  <c r="R170" i="73"/>
  <c r="C621" i="73" s="1"/>
  <c r="C170" i="73"/>
  <c r="C648" i="73" s="1"/>
  <c r="Z146" i="73"/>
  <c r="K146" i="73"/>
  <c r="Q18" i="73"/>
  <c r="B286" i="73" s="1"/>
  <c r="B18" i="73"/>
  <c r="B313" i="73" s="1"/>
  <c r="V194" i="73"/>
  <c r="G692" i="73" s="1"/>
  <c r="G194" i="73"/>
  <c r="G719" i="73" s="1"/>
  <c r="AB110" i="73"/>
  <c r="M110" i="73"/>
  <c r="T203" i="73"/>
  <c r="E701" i="73" s="1"/>
  <c r="E203" i="73"/>
  <c r="E728" i="73" s="1"/>
  <c r="W185" i="73"/>
  <c r="H683" i="73" s="1"/>
  <c r="H185" i="73"/>
  <c r="H710" i="73" s="1"/>
  <c r="J533" i="73"/>
  <c r="J560" i="73"/>
  <c r="V170" i="73"/>
  <c r="G621" i="73" s="1"/>
  <c r="G170" i="73"/>
  <c r="G648" i="73" s="1"/>
  <c r="X151" i="73"/>
  <c r="I602" i="73" s="1"/>
  <c r="I151" i="73"/>
  <c r="I629" i="73" s="1"/>
  <c r="D524" i="73"/>
  <c r="X160" i="73"/>
  <c r="I611" i="73" s="1"/>
  <c r="I160" i="73"/>
  <c r="I638" i="73" s="1"/>
  <c r="U159" i="73"/>
  <c r="F610" i="73" s="1"/>
  <c r="F159" i="73"/>
  <c r="F637" i="73" s="1"/>
  <c r="Z135" i="73"/>
  <c r="K541" i="73" s="1"/>
  <c r="K135" i="73"/>
  <c r="K568" i="73" s="1"/>
  <c r="S185" i="73"/>
  <c r="D683" i="73" s="1"/>
  <c r="D185" i="73"/>
  <c r="D710" i="73" s="1"/>
  <c r="S151" i="73"/>
  <c r="D602" i="73" s="1"/>
  <c r="D151" i="73"/>
  <c r="D629" i="73" s="1"/>
  <c r="C527" i="73"/>
  <c r="Z191" i="73"/>
  <c r="K689" i="73" s="1"/>
  <c r="K191" i="73"/>
  <c r="K716" i="73" s="1"/>
  <c r="AA159" i="73"/>
  <c r="L610" i="73" s="1"/>
  <c r="L159" i="73"/>
  <c r="L637" i="73" s="1"/>
  <c r="S135" i="73"/>
  <c r="D541" i="73" s="1"/>
  <c r="D135" i="73"/>
  <c r="D568" i="73" s="1"/>
  <c r="L370" i="73"/>
  <c r="L397" i="73"/>
  <c r="Y40" i="73"/>
  <c r="J355" i="73" s="1"/>
  <c r="J40" i="73"/>
  <c r="J382" i="73" s="1"/>
  <c r="Y41" i="73"/>
  <c r="J356" i="73" s="1"/>
  <c r="J41" i="73"/>
  <c r="J383" i="73" s="1"/>
  <c r="V201" i="73"/>
  <c r="G699" i="73" s="1"/>
  <c r="G201" i="73"/>
  <c r="G726" i="73" s="1"/>
  <c r="K695" i="73"/>
  <c r="K722" i="73"/>
  <c r="Y110" i="73"/>
  <c r="J110" i="73"/>
  <c r="U181" i="73"/>
  <c r="F679" i="73" s="1"/>
  <c r="F181" i="73"/>
  <c r="F706" i="73" s="1"/>
  <c r="U44" i="73"/>
  <c r="F359" i="73" s="1"/>
  <c r="F44" i="73"/>
  <c r="F386" i="73" s="1"/>
  <c r="W204" i="73"/>
  <c r="H702" i="73" s="1"/>
  <c r="H204" i="73"/>
  <c r="H729" i="73" s="1"/>
  <c r="D695" i="73"/>
  <c r="Y159" i="73"/>
  <c r="J610" i="73" s="1"/>
  <c r="J159" i="73"/>
  <c r="J637" i="73" s="1"/>
  <c r="AB48" i="73"/>
  <c r="M48" i="73"/>
  <c r="S40" i="73"/>
  <c r="D355" i="73" s="1"/>
  <c r="D40" i="73"/>
  <c r="D382" i="73" s="1"/>
  <c r="X76" i="73"/>
  <c r="I76" i="73"/>
  <c r="Y199" i="73"/>
  <c r="J697" i="73" s="1"/>
  <c r="J199" i="73"/>
  <c r="J724" i="73" s="1"/>
  <c r="T130" i="73"/>
  <c r="E536" i="73" s="1"/>
  <c r="E130" i="73"/>
  <c r="E563" i="73" s="1"/>
  <c r="V28" i="73"/>
  <c r="G296" i="73" s="1"/>
  <c r="G28" i="73"/>
  <c r="G323" i="73" s="1"/>
  <c r="X20" i="73"/>
  <c r="I288" i="73" s="1"/>
  <c r="I20" i="73"/>
  <c r="I315" i="73" s="1"/>
  <c r="W99" i="73"/>
  <c r="H458" i="73" s="1"/>
  <c r="H99" i="73"/>
  <c r="H485" i="73" s="1"/>
  <c r="H552" i="73"/>
  <c r="R128" i="73"/>
  <c r="C534" i="73" s="1"/>
  <c r="C128" i="73"/>
  <c r="C561" i="73" s="1"/>
  <c r="Q199" i="73"/>
  <c r="B697" i="73" s="1"/>
  <c r="B199" i="73"/>
  <c r="B724" i="73" s="1"/>
  <c r="W203" i="73"/>
  <c r="H701" i="73" s="1"/>
  <c r="H203" i="73"/>
  <c r="H728" i="73" s="1"/>
  <c r="C603" i="73"/>
  <c r="C630" i="73"/>
  <c r="E522" i="73"/>
  <c r="E549" i="73"/>
  <c r="R44" i="73"/>
  <c r="C359" i="73" s="1"/>
  <c r="C44" i="73"/>
  <c r="C386" i="73" s="1"/>
  <c r="Y154" i="73"/>
  <c r="J605" i="73" s="1"/>
  <c r="J154" i="73"/>
  <c r="J632" i="73" s="1"/>
  <c r="X146" i="73"/>
  <c r="I146" i="73"/>
  <c r="L524" i="73"/>
  <c r="W26" i="73"/>
  <c r="H294" i="73" s="1"/>
  <c r="H26" i="73"/>
  <c r="H321" i="73" s="1"/>
  <c r="H280" i="73"/>
  <c r="W183" i="73"/>
  <c r="H681" i="73" s="1"/>
  <c r="H183" i="73"/>
  <c r="H708" i="73" s="1"/>
  <c r="R115" i="73"/>
  <c r="C521" i="73" s="1"/>
  <c r="C115" i="73"/>
  <c r="C548" i="73" s="1"/>
  <c r="Q135" i="73"/>
  <c r="B541" i="73" s="1"/>
  <c r="B135" i="73"/>
  <c r="B568" i="73" s="1"/>
  <c r="R26" i="73"/>
  <c r="C294" i="73" s="1"/>
  <c r="C26" i="73"/>
  <c r="C321" i="73" s="1"/>
  <c r="R159" i="73"/>
  <c r="C610" i="73" s="1"/>
  <c r="C159" i="73"/>
  <c r="C637" i="73" s="1"/>
  <c r="F528" i="73"/>
  <c r="F555" i="73"/>
  <c r="L523" i="73"/>
  <c r="L550" i="73"/>
  <c r="S203" i="73"/>
  <c r="D701" i="73" s="1"/>
  <c r="D203" i="73"/>
  <c r="D728" i="73" s="1"/>
  <c r="K525" i="73"/>
  <c r="K552" i="73"/>
  <c r="Y146" i="73"/>
  <c r="J146" i="73"/>
  <c r="Y18" i="73"/>
  <c r="J286" i="73" s="1"/>
  <c r="J18" i="73"/>
  <c r="J313" i="73" s="1"/>
  <c r="X204" i="73"/>
  <c r="I702" i="73" s="1"/>
  <c r="I204" i="73"/>
  <c r="I729" i="73" s="1"/>
  <c r="AB115" i="73"/>
  <c r="M115" i="73"/>
  <c r="Y10" i="73"/>
  <c r="J278" i="73" s="1"/>
  <c r="J10" i="73"/>
  <c r="J305" i="73" s="1"/>
  <c r="W76" i="73"/>
  <c r="H76" i="73"/>
  <c r="I524" i="73"/>
  <c r="I551" i="73"/>
  <c r="Q90" i="73"/>
  <c r="B449" i="73" s="1"/>
  <c r="B90" i="73"/>
  <c r="B476" i="73" s="1"/>
  <c r="Z96" i="73"/>
  <c r="K455" i="73" s="1"/>
  <c r="K96" i="73"/>
  <c r="K482" i="73" s="1"/>
  <c r="V133" i="73"/>
  <c r="G539" i="73" s="1"/>
  <c r="G133" i="73"/>
  <c r="G566" i="73" s="1"/>
  <c r="X89" i="73"/>
  <c r="I448" i="73" s="1"/>
  <c r="I89" i="73"/>
  <c r="I475" i="73" s="1"/>
  <c r="T184" i="73"/>
  <c r="E682" i="73" s="1"/>
  <c r="E184" i="73"/>
  <c r="E709" i="73" s="1"/>
  <c r="X59" i="73"/>
  <c r="I374" i="73" s="1"/>
  <c r="I59" i="73"/>
  <c r="I401" i="73" s="1"/>
  <c r="V61" i="73"/>
  <c r="G376" i="73" s="1"/>
  <c r="G61" i="73"/>
  <c r="G403" i="73" s="1"/>
  <c r="AB94" i="73"/>
  <c r="M94" i="73"/>
  <c r="U57" i="73"/>
  <c r="F372" i="73" s="1"/>
  <c r="F57" i="73"/>
  <c r="F399" i="73" s="1"/>
  <c r="Q25" i="73"/>
  <c r="B293" i="73" s="1"/>
  <c r="B25" i="73"/>
  <c r="B320" i="73" s="1"/>
  <c r="U132" i="73"/>
  <c r="F538" i="73" s="1"/>
  <c r="F132" i="73"/>
  <c r="F565" i="73" s="1"/>
  <c r="Y57" i="73"/>
  <c r="J372" i="73" s="1"/>
  <c r="J57" i="73"/>
  <c r="J399" i="73" s="1"/>
  <c r="Q193" i="73"/>
  <c r="B691" i="73" s="1"/>
  <c r="B193" i="73"/>
  <c r="B718" i="73" s="1"/>
  <c r="S53" i="73"/>
  <c r="D368" i="73" s="1"/>
  <c r="D53" i="73"/>
  <c r="D395" i="73" s="1"/>
  <c r="R59" i="73"/>
  <c r="C374" i="73" s="1"/>
  <c r="C59" i="73"/>
  <c r="C401" i="73" s="1"/>
  <c r="J558" i="73"/>
  <c r="Z26" i="73"/>
  <c r="K294" i="73" s="1"/>
  <c r="K26" i="73"/>
  <c r="K321" i="73" s="1"/>
  <c r="AB18" i="73"/>
  <c r="M18" i="73"/>
  <c r="V191" i="73"/>
  <c r="G689" i="73" s="1"/>
  <c r="G191" i="73"/>
  <c r="G716" i="73" s="1"/>
  <c r="Q62" i="73"/>
  <c r="B377" i="73" s="1"/>
  <c r="B62" i="73"/>
  <c r="B404" i="73" s="1"/>
  <c r="S84" i="73"/>
  <c r="D443" i="73" s="1"/>
  <c r="D84" i="73"/>
  <c r="D470" i="73" s="1"/>
  <c r="T17" i="73"/>
  <c r="E285" i="73" s="1"/>
  <c r="E17" i="73"/>
  <c r="E312" i="73" s="1"/>
  <c r="AB147" i="73"/>
  <c r="M147" i="73"/>
  <c r="J279" i="73"/>
  <c r="U25" i="73"/>
  <c r="F293" i="73" s="1"/>
  <c r="F25" i="73"/>
  <c r="F320" i="73" s="1"/>
  <c r="J452" i="73"/>
  <c r="J479" i="73"/>
  <c r="U99" i="73"/>
  <c r="F458" i="73" s="1"/>
  <c r="F99" i="73"/>
  <c r="F485" i="73" s="1"/>
  <c r="Q7" i="73"/>
  <c r="B275" i="73" s="1"/>
  <c r="B7" i="73"/>
  <c r="B302" i="73" s="1"/>
  <c r="X194" i="73"/>
  <c r="I692" i="73" s="1"/>
  <c r="I194" i="73"/>
  <c r="I719" i="73" s="1"/>
  <c r="AB146" i="73"/>
  <c r="M146" i="73"/>
  <c r="V88" i="73"/>
  <c r="G447" i="73" s="1"/>
  <c r="G88" i="73"/>
  <c r="G474" i="73" s="1"/>
  <c r="W81" i="73"/>
  <c r="H440" i="73" s="1"/>
  <c r="H81" i="73"/>
  <c r="H467" i="73" s="1"/>
  <c r="X182" i="73"/>
  <c r="I680" i="73" s="1"/>
  <c r="I182" i="73"/>
  <c r="I707" i="73" s="1"/>
  <c r="T78" i="73"/>
  <c r="E437" i="73" s="1"/>
  <c r="E78" i="73"/>
  <c r="E464" i="73" s="1"/>
  <c r="H5" i="73"/>
  <c r="AA61" i="73"/>
  <c r="L376" i="73" s="1"/>
  <c r="L61" i="73"/>
  <c r="L403" i="73" s="1"/>
  <c r="S9" i="73"/>
  <c r="D277" i="73" s="1"/>
  <c r="D9" i="73"/>
  <c r="D304" i="73" s="1"/>
  <c r="R202" i="73"/>
  <c r="C700" i="73" s="1"/>
  <c r="C202" i="73"/>
  <c r="C727" i="73" s="1"/>
  <c r="T129" i="73"/>
  <c r="E535" i="73" s="1"/>
  <c r="E129" i="73"/>
  <c r="E562" i="73" s="1"/>
  <c r="T28" i="73"/>
  <c r="E296" i="73" s="1"/>
  <c r="E28" i="73"/>
  <c r="E323" i="73" s="1"/>
  <c r="W7" i="73"/>
  <c r="H275" i="73" s="1"/>
  <c r="H7" i="73"/>
  <c r="H302" i="73" s="1"/>
  <c r="X62" i="73"/>
  <c r="I377" i="73" s="1"/>
  <c r="I62" i="73"/>
  <c r="I404" i="73" s="1"/>
  <c r="Y96" i="73"/>
  <c r="J455" i="73" s="1"/>
  <c r="J96" i="73"/>
  <c r="J482" i="73" s="1"/>
  <c r="Z94" i="73"/>
  <c r="K453" i="73" s="1"/>
  <c r="K94" i="73"/>
  <c r="K480" i="73" s="1"/>
  <c r="W39" i="73"/>
  <c r="H39" i="73"/>
  <c r="AB57" i="73"/>
  <c r="M57" i="73"/>
  <c r="AA88" i="73"/>
  <c r="L447" i="73" s="1"/>
  <c r="L88" i="73"/>
  <c r="L474" i="73" s="1"/>
  <c r="U133" i="73"/>
  <c r="F539" i="73" s="1"/>
  <c r="F133" i="73"/>
  <c r="F566" i="73" s="1"/>
  <c r="Q29" i="73"/>
  <c r="B297" i="73" s="1"/>
  <c r="B29" i="73"/>
  <c r="B324" i="73" s="1"/>
  <c r="U49" i="73"/>
  <c r="F364" i="73" s="1"/>
  <c r="F49" i="73"/>
  <c r="F391" i="73" s="1"/>
  <c r="R57" i="73"/>
  <c r="C372" i="73" s="1"/>
  <c r="C57" i="73"/>
  <c r="C399" i="73" s="1"/>
  <c r="T86" i="73"/>
  <c r="E445" i="73" s="1"/>
  <c r="E86" i="73"/>
  <c r="E472" i="73" s="1"/>
  <c r="X132" i="73"/>
  <c r="I538" i="73" s="1"/>
  <c r="I132" i="73"/>
  <c r="I565" i="73" s="1"/>
  <c r="X183" i="73"/>
  <c r="I681" i="73" s="1"/>
  <c r="I183" i="73"/>
  <c r="I708" i="73" s="1"/>
  <c r="Z48" i="73"/>
  <c r="K363" i="73" s="1"/>
  <c r="K48" i="73"/>
  <c r="K390" i="73" s="1"/>
  <c r="AB40" i="73"/>
  <c r="M40" i="73"/>
  <c r="V20" i="73"/>
  <c r="G288" i="73" s="1"/>
  <c r="G20" i="73"/>
  <c r="G315" i="73" s="1"/>
  <c r="Z6" i="73"/>
  <c r="K274" i="73" s="1"/>
  <c r="K6" i="73"/>
  <c r="K301" i="73" s="1"/>
  <c r="Y76" i="73"/>
  <c r="J76" i="73"/>
  <c r="W194" i="73"/>
  <c r="H692" i="73" s="1"/>
  <c r="H194" i="73"/>
  <c r="H719" i="73" s="1"/>
  <c r="Q154" i="73"/>
  <c r="B605" i="73" s="1"/>
  <c r="B154" i="73"/>
  <c r="B632" i="73" s="1"/>
  <c r="W59" i="73"/>
  <c r="H374" i="73" s="1"/>
  <c r="H59" i="73"/>
  <c r="H401" i="73" s="1"/>
  <c r="S25" i="73"/>
  <c r="D293" i="73" s="1"/>
  <c r="D25" i="73"/>
  <c r="D320" i="73" s="1"/>
  <c r="Z89" i="73"/>
  <c r="K448" i="73" s="1"/>
  <c r="K89" i="73"/>
  <c r="K475" i="73" s="1"/>
  <c r="X167" i="73"/>
  <c r="I618" i="73" s="1"/>
  <c r="I167" i="73"/>
  <c r="I645" i="73" s="1"/>
  <c r="AB85" i="73"/>
  <c r="M85" i="73"/>
  <c r="AA99" i="73"/>
  <c r="L458" i="73" s="1"/>
  <c r="L99" i="73"/>
  <c r="L485" i="73" s="1"/>
  <c r="AA8" i="73"/>
  <c r="L276" i="73" s="1"/>
  <c r="L8" i="73"/>
  <c r="L303" i="73" s="1"/>
  <c r="F380" i="73"/>
  <c r="W79" i="73"/>
  <c r="H438" i="73" s="1"/>
  <c r="H79" i="73"/>
  <c r="H465" i="73" s="1"/>
  <c r="V203" i="73"/>
  <c r="G701" i="73" s="1"/>
  <c r="G203" i="73"/>
  <c r="G728" i="73" s="1"/>
  <c r="T159" i="73"/>
  <c r="E610" i="73" s="1"/>
  <c r="E159" i="73"/>
  <c r="E637" i="73" s="1"/>
  <c r="W20" i="73"/>
  <c r="H288" i="73" s="1"/>
  <c r="H20" i="73"/>
  <c r="H315" i="73" s="1"/>
  <c r="Q156" i="73"/>
  <c r="B607" i="73" s="1"/>
  <c r="B156" i="73"/>
  <c r="B634" i="73" s="1"/>
  <c r="W51" i="73"/>
  <c r="H366" i="73" s="1"/>
  <c r="H51" i="73"/>
  <c r="H393" i="73" s="1"/>
  <c r="Y81" i="73"/>
  <c r="J440" i="73" s="1"/>
  <c r="J81" i="73"/>
  <c r="J467" i="73" s="1"/>
  <c r="AB77" i="73"/>
  <c r="M77" i="73"/>
  <c r="X158" i="73"/>
  <c r="I609" i="73" s="1"/>
  <c r="I158" i="73"/>
  <c r="I636" i="73" s="1"/>
  <c r="X8" i="73"/>
  <c r="I276" i="73" s="1"/>
  <c r="I8" i="73"/>
  <c r="I303" i="73" s="1"/>
  <c r="Y132" i="73"/>
  <c r="J538" i="73" s="1"/>
  <c r="J132" i="73"/>
  <c r="J565" i="73" s="1"/>
  <c r="L530" i="73"/>
  <c r="AB101" i="73"/>
  <c r="M101" i="73"/>
  <c r="V167" i="73"/>
  <c r="G618" i="73" s="1"/>
  <c r="G167" i="73"/>
  <c r="G645" i="73" s="1"/>
  <c r="S183" i="73"/>
  <c r="D681" i="73" s="1"/>
  <c r="D183" i="73"/>
  <c r="D708" i="73" s="1"/>
  <c r="J528" i="73"/>
  <c r="Y77" i="73"/>
  <c r="J436" i="73" s="1"/>
  <c r="J77" i="73"/>
  <c r="J463" i="73" s="1"/>
  <c r="AB87" i="73"/>
  <c r="M87" i="73"/>
  <c r="Y181" i="73"/>
  <c r="J679" i="73" s="1"/>
  <c r="J181" i="73"/>
  <c r="J706" i="73" s="1"/>
  <c r="J614" i="73"/>
  <c r="J641" i="73"/>
  <c r="S81" i="73"/>
  <c r="D440" i="73" s="1"/>
  <c r="D81" i="73"/>
  <c r="D467" i="73" s="1"/>
  <c r="F289" i="73"/>
  <c r="E442" i="73"/>
  <c r="V6" i="73"/>
  <c r="G274" i="73" s="1"/>
  <c r="G6" i="73"/>
  <c r="G301" i="73" s="1"/>
  <c r="S6" i="73"/>
  <c r="D274" i="73" s="1"/>
  <c r="D6" i="73"/>
  <c r="D301" i="73" s="1"/>
  <c r="J360" i="73"/>
  <c r="J387" i="73"/>
  <c r="U185" i="73"/>
  <c r="F683" i="73" s="1"/>
  <c r="F185" i="73"/>
  <c r="F710" i="73" s="1"/>
  <c r="Z54" i="73"/>
  <c r="K369" i="73" s="1"/>
  <c r="K54" i="73"/>
  <c r="K396" i="73" s="1"/>
  <c r="Z100" i="73"/>
  <c r="K459" i="73" s="1"/>
  <c r="K100" i="73"/>
  <c r="K486" i="73" s="1"/>
  <c r="C299" i="73"/>
  <c r="C326" i="73"/>
  <c r="R156" i="73"/>
  <c r="C607" i="73" s="1"/>
  <c r="C156" i="73"/>
  <c r="C634" i="73" s="1"/>
  <c r="AB149" i="73"/>
  <c r="M149" i="73"/>
  <c r="X13" i="73"/>
  <c r="I281" i="73" s="1"/>
  <c r="I13" i="73"/>
  <c r="I308" i="73" s="1"/>
  <c r="R47" i="73"/>
  <c r="C362" i="73" s="1"/>
  <c r="C47" i="73"/>
  <c r="C389" i="73" s="1"/>
  <c r="T49" i="73"/>
  <c r="E364" i="73" s="1"/>
  <c r="E49" i="73"/>
  <c r="E391" i="73" s="1"/>
  <c r="AB181" i="73"/>
  <c r="M181" i="73"/>
  <c r="E280" i="73"/>
  <c r="J370" i="73"/>
  <c r="Z15" i="73"/>
  <c r="K283" i="73" s="1"/>
  <c r="K15" i="73"/>
  <c r="K310" i="73" s="1"/>
  <c r="X96" i="73"/>
  <c r="I455" i="73" s="1"/>
  <c r="I96" i="73"/>
  <c r="I482" i="73" s="1"/>
  <c r="Y51" i="73"/>
  <c r="J366" i="73" s="1"/>
  <c r="J51" i="73"/>
  <c r="J393" i="73" s="1"/>
  <c r="V7" i="73"/>
  <c r="G275" i="73" s="1"/>
  <c r="G7" i="73"/>
  <c r="G302" i="73" s="1"/>
  <c r="W184" i="73"/>
  <c r="H682" i="73" s="1"/>
  <c r="H184" i="73"/>
  <c r="H709" i="73" s="1"/>
  <c r="R150" i="73"/>
  <c r="C601" i="73" s="1"/>
  <c r="C150" i="73"/>
  <c r="C628" i="73" s="1"/>
  <c r="AA77" i="73"/>
  <c r="L436" i="73" s="1"/>
  <c r="L77" i="73"/>
  <c r="L463" i="73" s="1"/>
  <c r="S89" i="73"/>
  <c r="D448" i="73" s="1"/>
  <c r="D89" i="73"/>
  <c r="D475" i="73" s="1"/>
  <c r="K558" i="73"/>
  <c r="S88" i="73"/>
  <c r="D447" i="73" s="1"/>
  <c r="D88" i="73"/>
  <c r="D474" i="73" s="1"/>
  <c r="S78" i="73"/>
  <c r="D437" i="73" s="1"/>
  <c r="D78" i="73"/>
  <c r="D464" i="73" s="1"/>
  <c r="R85" i="73"/>
  <c r="C444" i="73" s="1"/>
  <c r="C85" i="73"/>
  <c r="C471" i="73" s="1"/>
  <c r="AA79" i="73"/>
  <c r="L438" i="73" s="1"/>
  <c r="L79" i="73"/>
  <c r="L465" i="73" s="1"/>
  <c r="D5" i="73"/>
  <c r="AB132" i="73"/>
  <c r="M132" i="73"/>
  <c r="V44" i="73"/>
  <c r="G359" i="73" s="1"/>
  <c r="G44" i="73"/>
  <c r="G386" i="73" s="1"/>
  <c r="S96" i="73"/>
  <c r="D455" i="73" s="1"/>
  <c r="D96" i="73"/>
  <c r="D482" i="73" s="1"/>
  <c r="AB160" i="73"/>
  <c r="M160" i="73"/>
  <c r="AB61" i="73"/>
  <c r="M61" i="73"/>
  <c r="Z97" i="73"/>
  <c r="K456" i="73" s="1"/>
  <c r="K97" i="73"/>
  <c r="K483" i="73" s="1"/>
  <c r="U131" i="73"/>
  <c r="F537" i="73" s="1"/>
  <c r="F131" i="73"/>
  <c r="F564" i="73" s="1"/>
  <c r="AB165" i="73"/>
  <c r="M165" i="73"/>
  <c r="D603" i="73"/>
  <c r="AB183" i="73"/>
  <c r="M183" i="73"/>
  <c r="G5" i="73"/>
  <c r="X180" i="73"/>
  <c r="I180" i="73"/>
  <c r="AB15" i="73"/>
  <c r="M15" i="73"/>
  <c r="I556" i="73"/>
  <c r="X81" i="73"/>
  <c r="I440" i="73" s="1"/>
  <c r="I81" i="73"/>
  <c r="I467" i="73" s="1"/>
  <c r="U27" i="73"/>
  <c r="F295" i="73" s="1"/>
  <c r="F27" i="73"/>
  <c r="F322" i="73" s="1"/>
  <c r="S165" i="73"/>
  <c r="D616" i="73" s="1"/>
  <c r="D165" i="73"/>
  <c r="D643" i="73" s="1"/>
  <c r="T181" i="73"/>
  <c r="E679" i="73" s="1"/>
  <c r="E181" i="73"/>
  <c r="E706" i="73" s="1"/>
  <c r="G560" i="73"/>
  <c r="G528" i="73"/>
  <c r="G555" i="73"/>
  <c r="N123" i="73"/>
  <c r="M634" i="73"/>
  <c r="N156" i="73"/>
  <c r="M312" i="73"/>
  <c r="N17" i="73"/>
  <c r="F300" i="73"/>
  <c r="M391" i="73"/>
  <c r="N49" i="73"/>
  <c r="L300" i="73"/>
  <c r="M470" i="73"/>
  <c r="N84" i="73"/>
  <c r="M483" i="73"/>
  <c r="N97" i="73"/>
  <c r="M711" i="73"/>
  <c r="N186" i="73"/>
  <c r="M472" i="73"/>
  <c r="N86" i="73"/>
  <c r="M645" i="73"/>
  <c r="N167" i="73"/>
  <c r="M564" i="73"/>
  <c r="N131" i="73"/>
  <c r="J300" i="73"/>
  <c r="M383" i="73"/>
  <c r="N41" i="73"/>
  <c r="M406" i="73"/>
  <c r="N64" i="73"/>
  <c r="M322" i="73"/>
  <c r="N27" i="73"/>
  <c r="M314" i="73"/>
  <c r="N19" i="73"/>
  <c r="M613" i="73"/>
  <c r="AC162" i="73"/>
  <c r="AC65" i="73"/>
  <c r="M380" i="73"/>
  <c r="K354" i="73"/>
  <c r="AC54" i="73"/>
  <c r="M369" i="73"/>
  <c r="AC7" i="73"/>
  <c r="M275" i="73"/>
  <c r="M452" i="73"/>
  <c r="AC93" i="73"/>
  <c r="M622" i="73"/>
  <c r="AC171" i="73"/>
  <c r="M682" i="73"/>
  <c r="AC184" i="73"/>
  <c r="AC199" i="73"/>
  <c r="M697" i="73"/>
  <c r="M531" i="73"/>
  <c r="AC125" i="73"/>
  <c r="AC83" i="73"/>
  <c r="R89" i="62"/>
  <c r="R87" i="62"/>
  <c r="R83" i="62"/>
  <c r="R91" i="62"/>
  <c r="B90" i="62"/>
  <c r="B83" i="62"/>
  <c r="B84" i="62"/>
  <c r="B87" i="62"/>
  <c r="B88" i="62"/>
  <c r="R85" i="62"/>
  <c r="B92" i="62"/>
  <c r="B85" i="62"/>
  <c r="B89" i="62"/>
  <c r="B86" i="62"/>
  <c r="R82" i="62"/>
  <c r="R86" i="62"/>
  <c r="R90" i="62"/>
  <c r="R84" i="62"/>
  <c r="R88" i="62"/>
  <c r="L23" i="64" l="1"/>
  <c r="S63" i="64" s="1"/>
  <c r="K23" i="64"/>
  <c r="J23" i="64"/>
  <c r="I23" i="64"/>
  <c r="N65" i="73"/>
  <c r="N164" i="73"/>
  <c r="H23" i="64"/>
  <c r="M726" i="73"/>
  <c r="G23" i="64"/>
  <c r="S58" i="64" s="1"/>
  <c r="F23" i="64"/>
  <c r="M387" i="73"/>
  <c r="N63" i="73"/>
  <c r="N83" i="73"/>
  <c r="N56" i="73"/>
  <c r="E23" i="64"/>
  <c r="AC123" i="73"/>
  <c r="D23" i="64"/>
  <c r="S55" i="64" s="1"/>
  <c r="M748" i="73"/>
  <c r="AC209" i="73"/>
  <c r="M526" i="73"/>
  <c r="AC120" i="73"/>
  <c r="M488" i="73"/>
  <c r="N102" i="73"/>
  <c r="M461" i="73"/>
  <c r="AC102" i="73"/>
  <c r="M739" i="73"/>
  <c r="AC105" i="73"/>
  <c r="M704" i="73"/>
  <c r="AC206" i="73"/>
  <c r="M553" i="73"/>
  <c r="N120" i="73"/>
  <c r="M731" i="73"/>
  <c r="N206" i="73"/>
  <c r="M207" i="73"/>
  <c r="M209" i="73" s="1"/>
  <c r="N209" i="73" s="1"/>
  <c r="AB207" i="73"/>
  <c r="D779" i="73"/>
  <c r="I705" i="73"/>
  <c r="I207" i="73"/>
  <c r="I209" i="73" s="1"/>
  <c r="I749" i="73" s="1"/>
  <c r="M611" i="73"/>
  <c r="AC160" i="73"/>
  <c r="M382" i="73"/>
  <c r="N40" i="73"/>
  <c r="M402" i="73"/>
  <c r="N60" i="73"/>
  <c r="M700" i="73"/>
  <c r="AC202" i="73"/>
  <c r="Z103" i="73"/>
  <c r="T103" i="73"/>
  <c r="V103" i="73"/>
  <c r="M701" i="73"/>
  <c r="AC203" i="73"/>
  <c r="M621" i="73"/>
  <c r="AC170" i="73"/>
  <c r="M536" i="73"/>
  <c r="AC130" i="73"/>
  <c r="E705" i="73"/>
  <c r="E207" i="73"/>
  <c r="E209" i="73" s="1"/>
  <c r="E749" i="73" s="1"/>
  <c r="R103" i="73"/>
  <c r="S103" i="73"/>
  <c r="M698" i="73"/>
  <c r="AC200" i="73"/>
  <c r="M601" i="73"/>
  <c r="AC150" i="73"/>
  <c r="U103" i="73"/>
  <c r="M459" i="73"/>
  <c r="AC100" i="73"/>
  <c r="I543" i="73"/>
  <c r="I137" i="73"/>
  <c r="I139" i="73" s="1"/>
  <c r="I743" i="73" s="1"/>
  <c r="F543" i="73"/>
  <c r="F137" i="73"/>
  <c r="F139" i="73" s="1"/>
  <c r="F743" i="73" s="1"/>
  <c r="Q137" i="73"/>
  <c r="Q207" i="73"/>
  <c r="Q208" i="73" s="1"/>
  <c r="B137" i="73"/>
  <c r="B139" i="73" s="1"/>
  <c r="B743" i="73" s="1"/>
  <c r="B761" i="73" s="1"/>
  <c r="H207" i="73"/>
  <c r="H209" i="73" s="1"/>
  <c r="H749" i="73" s="1"/>
  <c r="H767" i="73" s="1"/>
  <c r="R207" i="73"/>
  <c r="S207" i="73"/>
  <c r="D775" i="73"/>
  <c r="I678" i="73"/>
  <c r="I766" i="73" s="1"/>
  <c r="X207" i="73"/>
  <c r="M355" i="73"/>
  <c r="AC40" i="73"/>
  <c r="H103" i="73"/>
  <c r="H105" i="73" s="1"/>
  <c r="H740" i="73" s="1"/>
  <c r="I103" i="73"/>
  <c r="I105" i="73" s="1"/>
  <c r="I740" i="73" s="1"/>
  <c r="J543" i="73"/>
  <c r="J137" i="73"/>
  <c r="J139" i="73" s="1"/>
  <c r="M543" i="73"/>
  <c r="M137" i="73"/>
  <c r="M139" i="73" s="1"/>
  <c r="N110" i="73"/>
  <c r="M375" i="73"/>
  <c r="AC60" i="73"/>
  <c r="M315" i="73"/>
  <c r="N20" i="73"/>
  <c r="M103" i="73"/>
  <c r="M105" i="73" s="1"/>
  <c r="G543" i="73"/>
  <c r="G137" i="73"/>
  <c r="G139" i="73" s="1"/>
  <c r="G743" i="73" s="1"/>
  <c r="E678" i="73"/>
  <c r="E766" i="73" s="1"/>
  <c r="T207" i="73"/>
  <c r="L103" i="73"/>
  <c r="L105" i="73" s="1"/>
  <c r="L740" i="73" s="1"/>
  <c r="M466" i="73"/>
  <c r="N80" i="73"/>
  <c r="K543" i="73"/>
  <c r="K137" i="73"/>
  <c r="K139" i="73" s="1"/>
  <c r="C543" i="73"/>
  <c r="C137" i="73"/>
  <c r="C139" i="73" s="1"/>
  <c r="C743" i="73" s="1"/>
  <c r="D543" i="73"/>
  <c r="D137" i="73"/>
  <c r="D139" i="73" s="1"/>
  <c r="D743" i="73" s="1"/>
  <c r="L543" i="73"/>
  <c r="L137" i="73"/>
  <c r="L139" i="73" s="1"/>
  <c r="L743" i="73" s="1"/>
  <c r="M392" i="73"/>
  <c r="N50" i="73"/>
  <c r="I516" i="73"/>
  <c r="X137" i="73"/>
  <c r="F516" i="73"/>
  <c r="U137" i="73"/>
  <c r="D774" i="73"/>
  <c r="D705" i="73"/>
  <c r="D207" i="73"/>
  <c r="D209" i="73" s="1"/>
  <c r="D749" i="73" s="1"/>
  <c r="H678" i="73"/>
  <c r="H766" i="73" s="1"/>
  <c r="W207" i="73"/>
  <c r="B766" i="73"/>
  <c r="C766" i="73"/>
  <c r="D766" i="73"/>
  <c r="D781" i="73"/>
  <c r="M487" i="73"/>
  <c r="N101" i="73"/>
  <c r="J103" i="73"/>
  <c r="J105" i="73" s="1"/>
  <c r="J740" i="73" s="1"/>
  <c r="W103" i="73"/>
  <c r="X103" i="73"/>
  <c r="J516" i="73"/>
  <c r="Y137" i="73"/>
  <c r="M516" i="73"/>
  <c r="AB137" i="73"/>
  <c r="AC110" i="73"/>
  <c r="F705" i="73"/>
  <c r="F207" i="73"/>
  <c r="F209" i="73" s="1"/>
  <c r="F749" i="73" s="1"/>
  <c r="M288" i="73"/>
  <c r="AC20" i="73"/>
  <c r="AB103" i="73"/>
  <c r="G516" i="73"/>
  <c r="V137" i="73"/>
  <c r="K705" i="73"/>
  <c r="K207" i="73"/>
  <c r="K209" i="73" s="1"/>
  <c r="K749" i="73" s="1"/>
  <c r="AA103" i="73"/>
  <c r="AA104" i="73" s="1"/>
  <c r="M439" i="73"/>
  <c r="AC80" i="73"/>
  <c r="K516" i="73"/>
  <c r="Z137" i="73"/>
  <c r="C516" i="73"/>
  <c r="R137" i="73"/>
  <c r="D516" i="73"/>
  <c r="S137" i="73"/>
  <c r="L516" i="73"/>
  <c r="AA137" i="73"/>
  <c r="M365" i="73"/>
  <c r="AC50" i="73"/>
  <c r="M476" i="73"/>
  <c r="N90" i="73"/>
  <c r="E543" i="73"/>
  <c r="E137" i="73"/>
  <c r="E139" i="73" s="1"/>
  <c r="E743" i="73" s="1"/>
  <c r="H543" i="73"/>
  <c r="H137" i="73"/>
  <c r="H139" i="73" s="1"/>
  <c r="H743" i="73" s="1"/>
  <c r="M325" i="73"/>
  <c r="N30" i="73"/>
  <c r="L678" i="73"/>
  <c r="L766" i="73" s="1"/>
  <c r="AA207" i="73"/>
  <c r="B103" i="73"/>
  <c r="B105" i="73" s="1"/>
  <c r="B740" i="73" s="1"/>
  <c r="B758" i="73" s="1"/>
  <c r="V207" i="73"/>
  <c r="G207" i="73"/>
  <c r="G209" i="73" s="1"/>
  <c r="G749" i="73" s="1"/>
  <c r="G767" i="73" s="1"/>
  <c r="Y207" i="73"/>
  <c r="B207" i="73"/>
  <c r="B209" i="73" s="1"/>
  <c r="B749" i="73" s="1"/>
  <c r="B767" i="73" s="1"/>
  <c r="J207" i="73"/>
  <c r="J209" i="73" s="1"/>
  <c r="J749" i="73" s="1"/>
  <c r="J767" i="73" s="1"/>
  <c r="Q103" i="73"/>
  <c r="Q104" i="73" s="1"/>
  <c r="C207" i="73"/>
  <c r="C209" i="73" s="1"/>
  <c r="C749" i="73" s="1"/>
  <c r="C767" i="73" s="1"/>
  <c r="M638" i="73"/>
  <c r="N160" i="73"/>
  <c r="M460" i="73"/>
  <c r="AC101" i="73"/>
  <c r="Y103" i="73"/>
  <c r="F678" i="73"/>
  <c r="F766" i="73" s="1"/>
  <c r="U207" i="73"/>
  <c r="M727" i="73"/>
  <c r="N202" i="73"/>
  <c r="K103" i="73"/>
  <c r="K105" i="73" s="1"/>
  <c r="K740" i="73" s="1"/>
  <c r="E103" i="73"/>
  <c r="E105" i="73" s="1"/>
  <c r="E740" i="73" s="1"/>
  <c r="G103" i="73"/>
  <c r="G105" i="73" s="1"/>
  <c r="G740" i="73" s="1"/>
  <c r="M728" i="73"/>
  <c r="N203" i="73"/>
  <c r="M648" i="73"/>
  <c r="N170" i="73"/>
  <c r="M563" i="73"/>
  <c r="N130" i="73"/>
  <c r="D780" i="73"/>
  <c r="K678" i="73"/>
  <c r="K766" i="73" s="1"/>
  <c r="Z207" i="73"/>
  <c r="C103" i="73"/>
  <c r="C105" i="73" s="1"/>
  <c r="C740" i="73" s="1"/>
  <c r="D103" i="73"/>
  <c r="D105" i="73" s="1"/>
  <c r="D740" i="73" s="1"/>
  <c r="M725" i="73"/>
  <c r="N200" i="73"/>
  <c r="M628" i="73"/>
  <c r="N150" i="73"/>
  <c r="F103" i="73"/>
  <c r="F105" i="73" s="1"/>
  <c r="F740" i="73" s="1"/>
  <c r="M486" i="73"/>
  <c r="N100" i="73"/>
  <c r="M449" i="73"/>
  <c r="AC90" i="73"/>
  <c r="E516" i="73"/>
  <c r="T137" i="73"/>
  <c r="H516" i="73"/>
  <c r="W137" i="73"/>
  <c r="M298" i="73"/>
  <c r="AC30" i="73"/>
  <c r="L705" i="73"/>
  <c r="L207" i="73"/>
  <c r="L209" i="73" s="1"/>
  <c r="L749" i="73" s="1"/>
  <c r="G766" i="73"/>
  <c r="J766" i="73"/>
  <c r="S54" i="64"/>
  <c r="M23" i="64"/>
  <c r="N53" i="73"/>
  <c r="N43" i="73"/>
  <c r="M566" i="73"/>
  <c r="AC167" i="73"/>
  <c r="AC78" i="73"/>
  <c r="N155" i="73"/>
  <c r="M277" i="73"/>
  <c r="N54" i="73"/>
  <c r="N13" i="73"/>
  <c r="N31" i="73"/>
  <c r="AC58" i="73"/>
  <c r="N96" i="73"/>
  <c r="M723" i="73"/>
  <c r="G66" i="73"/>
  <c r="AC183" i="73"/>
  <c r="M681" i="73"/>
  <c r="AC61" i="73"/>
  <c r="M376" i="73"/>
  <c r="AC77" i="73"/>
  <c r="M436" i="73"/>
  <c r="AC57" i="73"/>
  <c r="M372" i="73"/>
  <c r="J597" i="73"/>
  <c r="Y173" i="73"/>
  <c r="U66" i="73"/>
  <c r="Z66" i="73"/>
  <c r="J32" i="73"/>
  <c r="L32" i="73"/>
  <c r="F32" i="73"/>
  <c r="M310" i="73"/>
  <c r="N15" i="73"/>
  <c r="G300" i="73"/>
  <c r="G32" i="73"/>
  <c r="M643" i="73"/>
  <c r="N165" i="73"/>
  <c r="N132" i="73"/>
  <c r="M565" i="73"/>
  <c r="M627" i="73"/>
  <c r="N149" i="73"/>
  <c r="N87" i="73"/>
  <c r="M473" i="73"/>
  <c r="J462" i="73"/>
  <c r="H381" i="73"/>
  <c r="H66" i="73"/>
  <c r="H300" i="73"/>
  <c r="H32" i="73"/>
  <c r="M313" i="73"/>
  <c r="N18" i="73"/>
  <c r="M480" i="73"/>
  <c r="N94" i="73"/>
  <c r="H462" i="73"/>
  <c r="M548" i="73"/>
  <c r="N115" i="73"/>
  <c r="M549" i="73"/>
  <c r="N116" i="73"/>
  <c r="J743" i="73"/>
  <c r="K624" i="73"/>
  <c r="K173" i="73"/>
  <c r="M546" i="73"/>
  <c r="N113" i="73"/>
  <c r="M714" i="73"/>
  <c r="N189" i="73"/>
  <c r="M635" i="73"/>
  <c r="N157" i="73"/>
  <c r="AA66" i="73"/>
  <c r="M303" i="73"/>
  <c r="N8" i="73"/>
  <c r="M641" i="73"/>
  <c r="N163" i="73"/>
  <c r="B300" i="73"/>
  <c r="B32" i="73"/>
  <c r="K462" i="73"/>
  <c r="E462" i="73"/>
  <c r="M393" i="73"/>
  <c r="N51" i="73"/>
  <c r="M629" i="73"/>
  <c r="N151" i="73"/>
  <c r="G462" i="73"/>
  <c r="M557" i="73"/>
  <c r="N124" i="73"/>
  <c r="N76" i="73"/>
  <c r="M462" i="73"/>
  <c r="M707" i="73"/>
  <c r="N182" i="73"/>
  <c r="M650" i="73"/>
  <c r="N172" i="73"/>
  <c r="M317" i="73"/>
  <c r="N22" i="73"/>
  <c r="AC29" i="73"/>
  <c r="M297" i="73"/>
  <c r="I354" i="73"/>
  <c r="X66" i="73"/>
  <c r="AC12" i="73"/>
  <c r="M280" i="73"/>
  <c r="M374" i="73"/>
  <c r="AC59" i="73"/>
  <c r="M610" i="73"/>
  <c r="AC159" i="73"/>
  <c r="AC52" i="73"/>
  <c r="M367" i="73"/>
  <c r="F435" i="73"/>
  <c r="M690" i="73"/>
  <c r="AC192" i="73"/>
  <c r="L597" i="73"/>
  <c r="AA173" i="73"/>
  <c r="AC185" i="73"/>
  <c r="M683" i="73"/>
  <c r="AC112" i="73"/>
  <c r="M518" i="73"/>
  <c r="AC98" i="73"/>
  <c r="M457" i="73"/>
  <c r="E32" i="73"/>
  <c r="E34" i="73" s="1"/>
  <c r="B173" i="73"/>
  <c r="M477" i="73"/>
  <c r="N91" i="73"/>
  <c r="N191" i="73"/>
  <c r="M716" i="73"/>
  <c r="M386" i="73"/>
  <c r="N44" i="73"/>
  <c r="M485" i="73"/>
  <c r="N99" i="73"/>
  <c r="C300" i="73"/>
  <c r="C32" i="73"/>
  <c r="M306" i="73"/>
  <c r="N11" i="73"/>
  <c r="M465" i="73"/>
  <c r="N79" i="73"/>
  <c r="M301" i="73"/>
  <c r="N6" i="73"/>
  <c r="N88" i="73"/>
  <c r="M474" i="73"/>
  <c r="D624" i="73"/>
  <c r="D173" i="73"/>
  <c r="M560" i="73"/>
  <c r="N127" i="73"/>
  <c r="M626" i="73"/>
  <c r="N148" i="73"/>
  <c r="M384" i="73"/>
  <c r="N42" i="73"/>
  <c r="M569" i="73"/>
  <c r="N136" i="73"/>
  <c r="N195" i="73"/>
  <c r="M720" i="73"/>
  <c r="M311" i="73"/>
  <c r="N16" i="73"/>
  <c r="AC15" i="73"/>
  <c r="X224" i="73" s="1"/>
  <c r="M283" i="73"/>
  <c r="AC165" i="73"/>
  <c r="M616" i="73"/>
  <c r="AC132" i="73"/>
  <c r="M538" i="73"/>
  <c r="AC149" i="73"/>
  <c r="M600" i="73"/>
  <c r="M446" i="73"/>
  <c r="AC87" i="73"/>
  <c r="J435" i="73"/>
  <c r="H354" i="73"/>
  <c r="W66" i="73"/>
  <c r="AC18" i="73"/>
  <c r="M286" i="73"/>
  <c r="AC94" i="73"/>
  <c r="M453" i="73"/>
  <c r="H435" i="73"/>
  <c r="M521" i="73"/>
  <c r="AC115" i="73"/>
  <c r="M522" i="73"/>
  <c r="AC116" i="73"/>
  <c r="K597" i="73"/>
  <c r="Z173" i="73"/>
  <c r="AC113" i="73"/>
  <c r="M519" i="73"/>
  <c r="M687" i="73"/>
  <c r="AC189" i="73"/>
  <c r="M608" i="73"/>
  <c r="AC157" i="73"/>
  <c r="AC8" i="73"/>
  <c r="M276" i="73"/>
  <c r="M614" i="73"/>
  <c r="AC163" i="73"/>
  <c r="K435" i="73"/>
  <c r="E435" i="73"/>
  <c r="AC51" i="73"/>
  <c r="M366" i="73"/>
  <c r="AC151" i="73"/>
  <c r="M602" i="73"/>
  <c r="G435" i="73"/>
  <c r="AC124" i="73"/>
  <c r="M530" i="73"/>
  <c r="AC76" i="73"/>
  <c r="M435" i="73"/>
  <c r="AC182" i="73"/>
  <c r="M680" i="73"/>
  <c r="M623" i="73"/>
  <c r="AC172" i="73"/>
  <c r="AC22" i="73"/>
  <c r="M290" i="73"/>
  <c r="Q173" i="73"/>
  <c r="K32" i="73"/>
  <c r="L66" i="73"/>
  <c r="N193" i="73"/>
  <c r="M718" i="73"/>
  <c r="C381" i="73"/>
  <c r="C66" i="73"/>
  <c r="N194" i="73"/>
  <c r="M719" i="73"/>
  <c r="C462" i="73"/>
  <c r="D462" i="73"/>
  <c r="M316" i="73"/>
  <c r="N21" i="73"/>
  <c r="M554" i="73"/>
  <c r="N121" i="73"/>
  <c r="L462" i="73"/>
  <c r="M468" i="73"/>
  <c r="N82" i="73"/>
  <c r="M568" i="73"/>
  <c r="N135" i="73"/>
  <c r="K743" i="73"/>
  <c r="M388" i="73"/>
  <c r="N46" i="73"/>
  <c r="M644" i="73"/>
  <c r="N166" i="73"/>
  <c r="M309" i="73"/>
  <c r="N14" i="73"/>
  <c r="M450" i="73"/>
  <c r="AC91" i="73"/>
  <c r="AC191" i="73"/>
  <c r="M689" i="73"/>
  <c r="AC44" i="73"/>
  <c r="M359" i="73"/>
  <c r="AC99" i="73"/>
  <c r="M458" i="73"/>
  <c r="AC11" i="73"/>
  <c r="M279" i="73"/>
  <c r="M438" i="73"/>
  <c r="AC79" i="73"/>
  <c r="M274" i="73"/>
  <c r="M447" i="73"/>
  <c r="AC88" i="73"/>
  <c r="D597" i="73"/>
  <c r="S173" i="73"/>
  <c r="M533" i="73"/>
  <c r="AC127" i="73"/>
  <c r="AC148" i="73"/>
  <c r="M599" i="73"/>
  <c r="AC42" i="73"/>
  <c r="M357" i="73"/>
  <c r="M542" i="73"/>
  <c r="AC136" i="73"/>
  <c r="AC195" i="73"/>
  <c r="M693" i="73"/>
  <c r="AC16" i="73"/>
  <c r="M284" i="73"/>
  <c r="N183" i="73"/>
  <c r="M708" i="73"/>
  <c r="M403" i="73"/>
  <c r="N61" i="73"/>
  <c r="D300" i="73"/>
  <c r="D32" i="73"/>
  <c r="N181" i="73"/>
  <c r="M706" i="73"/>
  <c r="M463" i="73"/>
  <c r="N77" i="73"/>
  <c r="N85" i="73"/>
  <c r="M471" i="73"/>
  <c r="M399" i="73"/>
  <c r="N57" i="73"/>
  <c r="M624" i="73"/>
  <c r="N146" i="73"/>
  <c r="M173" i="73"/>
  <c r="M175" i="73" s="1"/>
  <c r="M625" i="73"/>
  <c r="N147" i="73"/>
  <c r="M631" i="73"/>
  <c r="N153" i="73"/>
  <c r="J624" i="73"/>
  <c r="J173" i="73"/>
  <c r="I624" i="73"/>
  <c r="I173" i="73"/>
  <c r="I462" i="73"/>
  <c r="M390" i="73"/>
  <c r="N48" i="73"/>
  <c r="N187" i="73"/>
  <c r="M712" i="73"/>
  <c r="M630" i="73"/>
  <c r="N152" i="73"/>
  <c r="M551" i="73"/>
  <c r="N118" i="73"/>
  <c r="M544" i="73"/>
  <c r="N111" i="73"/>
  <c r="F66" i="73"/>
  <c r="K66" i="73"/>
  <c r="T66" i="73"/>
  <c r="Q66" i="73"/>
  <c r="M404" i="73"/>
  <c r="N62" i="73"/>
  <c r="M381" i="73"/>
  <c r="N39" i="73"/>
  <c r="M66" i="73"/>
  <c r="M68" i="73" s="1"/>
  <c r="M562" i="73"/>
  <c r="N129" i="73"/>
  <c r="G624" i="73"/>
  <c r="G173" i="73"/>
  <c r="M321" i="73"/>
  <c r="N26" i="73"/>
  <c r="C624" i="73"/>
  <c r="C173" i="73"/>
  <c r="N119" i="73"/>
  <c r="M552" i="73"/>
  <c r="M397" i="73"/>
  <c r="N55" i="73"/>
  <c r="N161" i="73"/>
  <c r="M639" i="73"/>
  <c r="M691" i="73"/>
  <c r="AC193" i="73"/>
  <c r="C354" i="73"/>
  <c r="R66" i="73"/>
  <c r="M692" i="73"/>
  <c r="AC194" i="73"/>
  <c r="C435" i="73"/>
  <c r="D435" i="73"/>
  <c r="AC21" i="73"/>
  <c r="M289" i="73"/>
  <c r="AC121" i="73"/>
  <c r="M527" i="73"/>
  <c r="L435" i="73"/>
  <c r="AC82" i="73"/>
  <c r="M441" i="73"/>
  <c r="M541" i="73"/>
  <c r="AC135" i="73"/>
  <c r="AC46" i="73"/>
  <c r="M361" i="73"/>
  <c r="M617" i="73"/>
  <c r="AC166" i="73"/>
  <c r="AC14" i="73"/>
  <c r="M282" i="73"/>
  <c r="V66" i="73"/>
  <c r="M555" i="73"/>
  <c r="N122" i="73"/>
  <c r="D381" i="73"/>
  <c r="D66" i="73"/>
  <c r="N81" i="73"/>
  <c r="M467" i="73"/>
  <c r="J381" i="73"/>
  <c r="J66" i="73"/>
  <c r="M320" i="73"/>
  <c r="N25" i="73"/>
  <c r="H624" i="73"/>
  <c r="H173" i="73"/>
  <c r="M478" i="73"/>
  <c r="N92" i="73"/>
  <c r="M300" i="73"/>
  <c r="N5" i="73"/>
  <c r="M32" i="73"/>
  <c r="M34" i="73" s="1"/>
  <c r="N197" i="73"/>
  <c r="M722" i="73"/>
  <c r="M481" i="73"/>
  <c r="N95" i="73"/>
  <c r="E624" i="73"/>
  <c r="E173" i="73"/>
  <c r="M323" i="73"/>
  <c r="N28" i="73"/>
  <c r="F624" i="73"/>
  <c r="F173" i="73"/>
  <c r="N128" i="73"/>
  <c r="M561" i="73"/>
  <c r="M567" i="73"/>
  <c r="N134" i="73"/>
  <c r="M319" i="73"/>
  <c r="N24" i="73"/>
  <c r="M559" i="73"/>
  <c r="N126" i="73"/>
  <c r="M646" i="73"/>
  <c r="N168" i="73"/>
  <c r="M679" i="73"/>
  <c r="AC181" i="73"/>
  <c r="AC85" i="73"/>
  <c r="M444" i="73"/>
  <c r="AC146" i="73"/>
  <c r="M597" i="73"/>
  <c r="AB173" i="73"/>
  <c r="M598" i="73"/>
  <c r="AC147" i="73"/>
  <c r="M604" i="73"/>
  <c r="AC153" i="73"/>
  <c r="I597" i="73"/>
  <c r="X173" i="73"/>
  <c r="I435" i="73"/>
  <c r="AC48" i="73"/>
  <c r="M363" i="73"/>
  <c r="AC187" i="73"/>
  <c r="M685" i="73"/>
  <c r="AC152" i="73"/>
  <c r="M603" i="73"/>
  <c r="AC118" i="73"/>
  <c r="X222" i="73" s="1"/>
  <c r="M524" i="73"/>
  <c r="M517" i="73"/>
  <c r="AC111" i="73"/>
  <c r="AC62" i="73"/>
  <c r="M377" i="73"/>
  <c r="AC39" i="73"/>
  <c r="M354" i="73"/>
  <c r="AB66" i="73"/>
  <c r="AC129" i="73"/>
  <c r="M535" i="73"/>
  <c r="G597" i="73"/>
  <c r="V173" i="73"/>
  <c r="AC26" i="73"/>
  <c r="M294" i="73"/>
  <c r="C597" i="73"/>
  <c r="R173" i="73"/>
  <c r="M525" i="73"/>
  <c r="AC119" i="73"/>
  <c r="M370" i="73"/>
  <c r="AC55" i="73"/>
  <c r="M612" i="73"/>
  <c r="AC161" i="73"/>
  <c r="E66" i="73"/>
  <c r="B66" i="73"/>
  <c r="I300" i="73"/>
  <c r="I32" i="73"/>
  <c r="M324" i="73"/>
  <c r="N29" i="73"/>
  <c r="I381" i="73"/>
  <c r="I66" i="73"/>
  <c r="M307" i="73"/>
  <c r="N12" i="73"/>
  <c r="M401" i="73"/>
  <c r="N59" i="73"/>
  <c r="M637" i="73"/>
  <c r="N159" i="73"/>
  <c r="M394" i="73"/>
  <c r="N52" i="73"/>
  <c r="F462" i="73"/>
  <c r="N192" i="73"/>
  <c r="M717" i="73"/>
  <c r="L624" i="73"/>
  <c r="L173" i="73"/>
  <c r="N185" i="73"/>
  <c r="M710" i="73"/>
  <c r="M545" i="73"/>
  <c r="N112" i="73"/>
  <c r="M484" i="73"/>
  <c r="N98" i="73"/>
  <c r="AC122" i="73"/>
  <c r="M528" i="73"/>
  <c r="D354" i="73"/>
  <c r="S66" i="73"/>
  <c r="AC81" i="73"/>
  <c r="M440" i="73"/>
  <c r="J354" i="73"/>
  <c r="Y66" i="73"/>
  <c r="AC25" i="73"/>
  <c r="M293" i="73"/>
  <c r="H597" i="73"/>
  <c r="W173" i="73"/>
  <c r="AC92" i="73"/>
  <c r="M451" i="73"/>
  <c r="M695" i="73"/>
  <c r="AC197" i="73"/>
  <c r="M454" i="73"/>
  <c r="AC95" i="73"/>
  <c r="E597" i="73"/>
  <c r="T173" i="73"/>
  <c r="AC28" i="73"/>
  <c r="M296" i="73"/>
  <c r="F597" i="73"/>
  <c r="U173" i="73"/>
  <c r="M534" i="73"/>
  <c r="AC128" i="73"/>
  <c r="AC134" i="73"/>
  <c r="M540" i="73"/>
  <c r="AC24" i="73"/>
  <c r="M292" i="73"/>
  <c r="AC126" i="73"/>
  <c r="M532" i="73"/>
  <c r="M619" i="73"/>
  <c r="AC168" i="73"/>
  <c r="W4" i="62" l="1"/>
  <c r="S62" i="64"/>
  <c r="S61" i="64"/>
  <c r="S60" i="64"/>
  <c r="S59" i="64"/>
  <c r="S57" i="64"/>
  <c r="K758" i="73"/>
  <c r="Y208" i="73"/>
  <c r="X218" i="73"/>
  <c r="J758" i="73"/>
  <c r="S56" i="64"/>
  <c r="E758" i="73"/>
  <c r="D758" i="73"/>
  <c r="D767" i="73"/>
  <c r="M749" i="73"/>
  <c r="M767" i="73" s="1"/>
  <c r="Y104" i="73"/>
  <c r="X240" i="73"/>
  <c r="Z138" i="73"/>
  <c r="H758" i="73"/>
  <c r="V208" i="73"/>
  <c r="I758" i="73"/>
  <c r="W104" i="73"/>
  <c r="U104" i="73"/>
  <c r="E767" i="73"/>
  <c r="X235" i="73"/>
  <c r="C758" i="73"/>
  <c r="F758" i="73"/>
  <c r="T104" i="73"/>
  <c r="N207" i="73"/>
  <c r="N208" i="73" s="1"/>
  <c r="G758" i="73"/>
  <c r="X234" i="73"/>
  <c r="L758" i="73"/>
  <c r="L767" i="73"/>
  <c r="U208" i="73"/>
  <c r="AC207" i="73"/>
  <c r="AC208" i="73" s="1"/>
  <c r="X219" i="73"/>
  <c r="X215" i="73"/>
  <c r="Z208" i="73"/>
  <c r="AB104" i="73"/>
  <c r="X208" i="73"/>
  <c r="R208" i="73"/>
  <c r="M766" i="73"/>
  <c r="X228" i="73"/>
  <c r="X236" i="73"/>
  <c r="X104" i="73"/>
  <c r="I34" i="73"/>
  <c r="I734" i="73" s="1"/>
  <c r="I752" i="73" s="1"/>
  <c r="B68" i="73"/>
  <c r="B737" i="73" s="1"/>
  <c r="B755" i="73" s="1"/>
  <c r="X237" i="73"/>
  <c r="L175" i="73"/>
  <c r="L746" i="73" s="1"/>
  <c r="L764" i="73" s="1"/>
  <c r="E68" i="73"/>
  <c r="E737" i="73" s="1"/>
  <c r="E755" i="73" s="1"/>
  <c r="F175" i="73"/>
  <c r="F746" i="73" s="1"/>
  <c r="F764" i="73" s="1"/>
  <c r="H175" i="73"/>
  <c r="H746" i="73" s="1"/>
  <c r="H764" i="73" s="1"/>
  <c r="J68" i="73"/>
  <c r="J737" i="73" s="1"/>
  <c r="J755" i="73" s="1"/>
  <c r="D68" i="73"/>
  <c r="D737" i="73" s="1"/>
  <c r="D755" i="73" s="1"/>
  <c r="X230" i="73"/>
  <c r="C175" i="73"/>
  <c r="C746" i="73" s="1"/>
  <c r="C764" i="73" s="1"/>
  <c r="G175" i="73"/>
  <c r="G746" i="73" s="1"/>
  <c r="G764" i="73" s="1"/>
  <c r="F68" i="73"/>
  <c r="F737" i="73" s="1"/>
  <c r="F755" i="73" s="1"/>
  <c r="D34" i="73"/>
  <c r="D734" i="73" s="1"/>
  <c r="D752" i="73" s="1"/>
  <c r="D175" i="73"/>
  <c r="D746" i="73" s="1"/>
  <c r="D764" i="73" s="1"/>
  <c r="B175" i="73"/>
  <c r="B746" i="73" s="1"/>
  <c r="B764" i="73" s="1"/>
  <c r="X238" i="73"/>
  <c r="N103" i="73"/>
  <c r="N104" i="73" s="1"/>
  <c r="D777" i="73"/>
  <c r="G34" i="73"/>
  <c r="G734" i="73" s="1"/>
  <c r="G752" i="73" s="1"/>
  <c r="F34" i="73"/>
  <c r="F734" i="73" s="1"/>
  <c r="F752" i="73" s="1"/>
  <c r="X239" i="73"/>
  <c r="AC137" i="73"/>
  <c r="W208" i="73"/>
  <c r="T208" i="73"/>
  <c r="N137" i="73"/>
  <c r="N138" i="73" s="1"/>
  <c r="S104" i="73"/>
  <c r="Z104" i="73"/>
  <c r="I68" i="73"/>
  <c r="I737" i="73" s="1"/>
  <c r="I755" i="73" s="1"/>
  <c r="E175" i="73"/>
  <c r="E746" i="73" s="1"/>
  <c r="E764" i="73" s="1"/>
  <c r="D782" i="73"/>
  <c r="I175" i="73"/>
  <c r="I746" i="73" s="1"/>
  <c r="I764" i="73" s="1"/>
  <c r="D773" i="73"/>
  <c r="C68" i="73"/>
  <c r="C737" i="73" s="1"/>
  <c r="C755" i="73" s="1"/>
  <c r="L68" i="73"/>
  <c r="L737" i="73" s="1"/>
  <c r="L755" i="73" s="1"/>
  <c r="H68" i="73"/>
  <c r="H737" i="73" s="1"/>
  <c r="H755" i="73" s="1"/>
  <c r="D776" i="73"/>
  <c r="L34" i="73"/>
  <c r="L734" i="73" s="1"/>
  <c r="L752" i="73" s="1"/>
  <c r="AA208" i="73"/>
  <c r="M740" i="73"/>
  <c r="M758" i="73" s="1"/>
  <c r="N105" i="73"/>
  <c r="R104" i="73"/>
  <c r="AB208" i="73"/>
  <c r="D778" i="73"/>
  <c r="X220" i="73"/>
  <c r="K34" i="73"/>
  <c r="K734" i="73" s="1"/>
  <c r="K752" i="73" s="1"/>
  <c r="C34" i="73"/>
  <c r="C734" i="73" s="1"/>
  <c r="C752" i="73" s="1"/>
  <c r="B34" i="73"/>
  <c r="B734" i="73" s="1"/>
  <c r="B752" i="73" s="1"/>
  <c r="J34" i="73"/>
  <c r="J734" i="73" s="1"/>
  <c r="J752" i="73" s="1"/>
  <c r="K767" i="73"/>
  <c r="F767" i="73"/>
  <c r="S208" i="73"/>
  <c r="V104" i="73"/>
  <c r="I767" i="73"/>
  <c r="K68" i="73"/>
  <c r="K737" i="73" s="1"/>
  <c r="K755" i="73" s="1"/>
  <c r="J175" i="73"/>
  <c r="J746" i="73" s="1"/>
  <c r="J764" i="73" s="1"/>
  <c r="X225" i="73"/>
  <c r="AC103" i="73"/>
  <c r="D772" i="73"/>
  <c r="D771" i="73"/>
  <c r="K175" i="73"/>
  <c r="K746" i="73" s="1"/>
  <c r="K764" i="73" s="1"/>
  <c r="H34" i="73"/>
  <c r="H734" i="73" s="1"/>
  <c r="H752" i="73" s="1"/>
  <c r="G68" i="73"/>
  <c r="G737" i="73" s="1"/>
  <c r="G755" i="73" s="1"/>
  <c r="X229" i="73"/>
  <c r="R174" i="73"/>
  <c r="Z174" i="73"/>
  <c r="AB67" i="73"/>
  <c r="H745" i="73"/>
  <c r="H763" i="73" s="1"/>
  <c r="W174" i="73"/>
  <c r="E745" i="73"/>
  <c r="E763" i="73" s="1"/>
  <c r="T174" i="73"/>
  <c r="C745" i="73"/>
  <c r="C763" i="73" s="1"/>
  <c r="G745" i="73"/>
  <c r="G763" i="73" s="1"/>
  <c r="V174" i="73"/>
  <c r="I745" i="73"/>
  <c r="I763" i="73" s="1"/>
  <c r="X174" i="73"/>
  <c r="AA174" i="73"/>
  <c r="B745" i="73"/>
  <c r="B763" i="73" s="1"/>
  <c r="Q174" i="73"/>
  <c r="F745" i="73"/>
  <c r="F763" i="73" s="1"/>
  <c r="U174" i="73"/>
  <c r="AB174" i="73"/>
  <c r="D745" i="73"/>
  <c r="D763" i="73" s="1"/>
  <c r="S174" i="73"/>
  <c r="J745" i="73"/>
  <c r="J763" i="73" s="1"/>
  <c r="Y174" i="73"/>
  <c r="AA67" i="73"/>
  <c r="I742" i="73"/>
  <c r="I760" i="73" s="1"/>
  <c r="X138" i="73"/>
  <c r="E742" i="73"/>
  <c r="E760" i="73" s="1"/>
  <c r="T138" i="73"/>
  <c r="G742" i="73"/>
  <c r="G760" i="73" s="1"/>
  <c r="V138" i="73"/>
  <c r="H742" i="73"/>
  <c r="H760" i="73" s="1"/>
  <c r="W138" i="73"/>
  <c r="AA138" i="73"/>
  <c r="AA141" i="73" s="1"/>
  <c r="I736" i="73"/>
  <c r="I754" i="73" s="1"/>
  <c r="X67" i="73"/>
  <c r="Z67" i="73"/>
  <c r="F742" i="73"/>
  <c r="F760" i="73" s="1"/>
  <c r="U138" i="73"/>
  <c r="J736" i="73"/>
  <c r="J754" i="73" s="1"/>
  <c r="Y67" i="73"/>
  <c r="AB138" i="73"/>
  <c r="D742" i="73"/>
  <c r="D760" i="73" s="1"/>
  <c r="S138" i="73"/>
  <c r="D757" i="73"/>
  <c r="G757" i="73"/>
  <c r="J742" i="73"/>
  <c r="J760" i="73" s="1"/>
  <c r="Y138" i="73"/>
  <c r="H736" i="73"/>
  <c r="H754" i="73" s="1"/>
  <c r="W67" i="73"/>
  <c r="F736" i="73"/>
  <c r="F754" i="73" s="1"/>
  <c r="U67" i="73"/>
  <c r="G736" i="73"/>
  <c r="G754" i="73" s="1"/>
  <c r="V67" i="73"/>
  <c r="B736" i="73"/>
  <c r="B754" i="73" s="1"/>
  <c r="Q67" i="73"/>
  <c r="B742" i="73"/>
  <c r="B760" i="73" s="1"/>
  <c r="Q138" i="73"/>
  <c r="Q141" i="73" s="1"/>
  <c r="D736" i="73"/>
  <c r="D754" i="73" s="1"/>
  <c r="S67" i="73"/>
  <c r="C742" i="73"/>
  <c r="C760" i="73" s="1"/>
  <c r="R138" i="73"/>
  <c r="C757" i="73"/>
  <c r="C736" i="73"/>
  <c r="C754" i="73" s="1"/>
  <c r="R67" i="73"/>
  <c r="B757" i="73"/>
  <c r="E736" i="73"/>
  <c r="E754" i="73" s="1"/>
  <c r="T67" i="73"/>
  <c r="E757" i="73"/>
  <c r="H757" i="73"/>
  <c r="AC68" i="73"/>
  <c r="L742" i="73"/>
  <c r="L760" i="73" s="1"/>
  <c r="L745" i="73"/>
  <c r="L763" i="73" s="1"/>
  <c r="L733" i="73"/>
  <c r="L736" i="73"/>
  <c r="L754" i="73" s="1"/>
  <c r="L757" i="73"/>
  <c r="K742" i="73"/>
  <c r="K760" i="73" s="1"/>
  <c r="K757" i="73"/>
  <c r="K745" i="73"/>
  <c r="K763" i="73" s="1"/>
  <c r="K733" i="73"/>
  <c r="K736" i="73"/>
  <c r="K754" i="73" s="1"/>
  <c r="X226" i="73"/>
  <c r="X232" i="73"/>
  <c r="X216" i="73"/>
  <c r="X231" i="73"/>
  <c r="X221" i="73"/>
  <c r="X233" i="73"/>
  <c r="X223" i="73"/>
  <c r="X217" i="73"/>
  <c r="X227" i="73"/>
  <c r="I757" i="73"/>
  <c r="I761" i="73"/>
  <c r="L761" i="73"/>
  <c r="E734" i="73"/>
  <c r="E752" i="73" s="1"/>
  <c r="E761" i="73"/>
  <c r="J761" i="73"/>
  <c r="D761" i="73"/>
  <c r="K761" i="73"/>
  <c r="F761" i="73"/>
  <c r="C761" i="73"/>
  <c r="H761" i="73"/>
  <c r="F757" i="73"/>
  <c r="M736" i="73"/>
  <c r="M754" i="73" s="1"/>
  <c r="AC139" i="73"/>
  <c r="M742" i="73"/>
  <c r="M760" i="73" s="1"/>
  <c r="N34" i="73"/>
  <c r="M734" i="73"/>
  <c r="M752" i="73" s="1"/>
  <c r="M746" i="73"/>
  <c r="M764" i="73" s="1"/>
  <c r="N175" i="73"/>
  <c r="AC175" i="73"/>
  <c r="M745" i="73"/>
  <c r="M763" i="73" s="1"/>
  <c r="N32" i="73"/>
  <c r="N33" i="73" s="1"/>
  <c r="M737" i="73"/>
  <c r="M755" i="73" s="1"/>
  <c r="N68" i="73"/>
  <c r="M743" i="73"/>
  <c r="M761" i="73" s="1"/>
  <c r="N139" i="73"/>
  <c r="N173" i="73"/>
  <c r="N174" i="73" s="1"/>
  <c r="M757" i="73"/>
  <c r="AC66" i="73"/>
  <c r="G761" i="73"/>
  <c r="N66" i="73"/>
  <c r="N67" i="73" s="1"/>
  <c r="J757" i="73"/>
  <c r="M733" i="73"/>
  <c r="AC34" i="73"/>
  <c r="AC173" i="73"/>
  <c r="AC174" i="73" s="1"/>
  <c r="Z141" i="73" l="1"/>
  <c r="W141" i="73"/>
  <c r="U141" i="73"/>
  <c r="X141" i="73"/>
  <c r="T141" i="73"/>
  <c r="AB141" i="73"/>
  <c r="Y141" i="73"/>
  <c r="X241" i="73"/>
  <c r="R141" i="73"/>
  <c r="AC104" i="73"/>
  <c r="S141" i="73"/>
  <c r="V141" i="73"/>
  <c r="O96" i="62"/>
  <c r="O127" i="62"/>
  <c r="O65" i="62"/>
  <c r="S4" i="62" s="1"/>
  <c r="U4" i="62" s="1"/>
  <c r="AE34" i="62"/>
  <c r="AE65" i="62"/>
  <c r="S5" i="62" s="1"/>
  <c r="U5" i="62" s="1"/>
  <c r="AC67" i="73"/>
  <c r="AC138" i="73"/>
  <c r="P65" i="62" l="1"/>
  <c r="P127" i="62"/>
  <c r="AF65" i="62"/>
  <c r="AF34" i="62"/>
  <c r="P96" i="62"/>
  <c r="AC141" i="73"/>
  <c r="N43" i="64"/>
  <c r="N30" i="64"/>
  <c r="N36" i="64"/>
  <c r="N24" i="64"/>
  <c r="N17" i="64"/>
  <c r="N3" i="64" l="1"/>
  <c r="B24" i="64"/>
  <c r="L24" i="64"/>
  <c r="Q63" i="64" s="1"/>
  <c r="C24" i="64"/>
  <c r="K24" i="64"/>
  <c r="Q62" i="64" s="1"/>
  <c r="G24" i="64"/>
  <c r="F24" i="64"/>
  <c r="Q57" i="64" s="1"/>
  <c r="I24" i="64"/>
  <c r="Q60" i="64" s="1"/>
  <c r="M24" i="64"/>
  <c r="Q64" i="64" s="1"/>
  <c r="J24" i="64"/>
  <c r="E24" i="64"/>
  <c r="Q56" i="64" s="1"/>
  <c r="H24" i="64"/>
  <c r="Q59" i="64" s="1"/>
  <c r="D24" i="64"/>
  <c r="M30" i="64"/>
  <c r="B30" i="64"/>
  <c r="I30" i="64"/>
  <c r="D30" i="64"/>
  <c r="E30" i="64"/>
  <c r="H30" i="64"/>
  <c r="L30" i="64"/>
  <c r="C30" i="64"/>
  <c r="K30" i="64"/>
  <c r="J30" i="64"/>
  <c r="G30" i="64"/>
  <c r="F30" i="64"/>
  <c r="Q75" i="64" l="1"/>
  <c r="Q74" i="64"/>
  <c r="Q58" i="64"/>
  <c r="W5" i="62"/>
  <c r="B414" i="73"/>
  <c r="B579" i="73"/>
  <c r="B419" i="73"/>
  <c r="B410" i="73"/>
  <c r="B411" i="73"/>
  <c r="B413" i="73"/>
  <c r="B417" i="73"/>
  <c r="B418" i="73"/>
  <c r="B577" i="73"/>
  <c r="B575" i="73"/>
  <c r="B576" i="73"/>
  <c r="B581" i="73"/>
  <c r="B416" i="73"/>
  <c r="B573" i="73"/>
  <c r="B578" i="73"/>
  <c r="B580" i="73"/>
  <c r="B572" i="73"/>
  <c r="B571" i="73"/>
  <c r="B415" i="73"/>
  <c r="B409" i="73"/>
  <c r="Q80" i="64"/>
  <c r="Q79" i="64"/>
  <c r="Q78" i="64"/>
  <c r="Q77" i="64"/>
  <c r="Q61" i="64"/>
  <c r="Q76" i="64"/>
  <c r="Q73" i="64"/>
  <c r="Q70" i="64"/>
  <c r="Q71" i="64"/>
  <c r="Q54" i="64"/>
  <c r="Q69" i="64"/>
  <c r="Q53" i="64"/>
  <c r="Q72" i="64"/>
  <c r="Q55" i="64"/>
  <c r="B255" i="73" l="1"/>
  <c r="B250" i="73"/>
  <c r="B247" i="73"/>
  <c r="B253" i="73"/>
  <c r="B248" i="73"/>
  <c r="B254" i="73"/>
  <c r="B257" i="73"/>
  <c r="B252" i="73"/>
  <c r="B256" i="73"/>
  <c r="AF173" i="73"/>
  <c r="B570" i="73"/>
  <c r="B249" i="73"/>
  <c r="B408" i="73"/>
  <c r="B246" i="73" l="1"/>
  <c r="B771" i="73" s="1"/>
  <c r="AF32" i="73"/>
  <c r="R31" i="65" l="1"/>
  <c r="S31" i="65"/>
  <c r="S33" i="65" l="1"/>
  <c r="R33" i="65"/>
  <c r="Q31" i="65" l="1"/>
  <c r="P31" i="65"/>
  <c r="O31" i="65"/>
  <c r="N31" i="65"/>
  <c r="B493" i="73" l="1"/>
  <c r="B495" i="73"/>
  <c r="B663" i="73"/>
  <c r="D31" i="65"/>
  <c r="D33" i="65" s="1"/>
  <c r="B491" i="73"/>
  <c r="B336" i="73"/>
  <c r="B664" i="73"/>
  <c r="B423" i="73"/>
  <c r="B425" i="73"/>
  <c r="B507" i="73"/>
  <c r="B265" i="73"/>
  <c r="B428" i="73"/>
  <c r="B330" i="73"/>
  <c r="B659" i="73"/>
  <c r="B339" i="73"/>
  <c r="B340" i="73"/>
  <c r="B510" i="73"/>
  <c r="B349" i="73"/>
  <c r="B515" i="73"/>
  <c r="C257" i="73"/>
  <c r="C339" i="73"/>
  <c r="E31" i="65"/>
  <c r="B654" i="73"/>
  <c r="B494" i="73"/>
  <c r="B496" i="73"/>
  <c r="B329" i="73"/>
  <c r="B331" i="73"/>
  <c r="B656" i="73"/>
  <c r="B333" i="73"/>
  <c r="B658" i="73"/>
  <c r="B582" i="73"/>
  <c r="B583" i="73"/>
  <c r="B665" i="73"/>
  <c r="B666" i="73"/>
  <c r="B667" i="73"/>
  <c r="B508" i="73"/>
  <c r="B347" i="73"/>
  <c r="B268" i="73"/>
  <c r="B269" i="73"/>
  <c r="B351" i="73"/>
  <c r="B352" i="73"/>
  <c r="C408" i="73"/>
  <c r="C572" i="73"/>
  <c r="C330" i="73"/>
  <c r="C654" i="73"/>
  <c r="C250" i="73"/>
  <c r="C656" i="73"/>
  <c r="C414" i="73"/>
  <c r="C254" i="73"/>
  <c r="C578" i="73"/>
  <c r="C336" i="73"/>
  <c r="C418" i="73"/>
  <c r="C582" i="73"/>
  <c r="C664" i="73"/>
  <c r="D257" i="73"/>
  <c r="D339" i="73"/>
  <c r="B350" i="73"/>
  <c r="C413" i="73"/>
  <c r="C577" i="73"/>
  <c r="C265" i="73"/>
  <c r="C515" i="73"/>
  <c r="H31" i="65"/>
  <c r="B653" i="73"/>
  <c r="B492" i="73"/>
  <c r="B655" i="73"/>
  <c r="B332" i="73"/>
  <c r="B657" i="73"/>
  <c r="B334" i="73"/>
  <c r="B498" i="73"/>
  <c r="B337" i="73"/>
  <c r="B662" i="73"/>
  <c r="B420" i="73"/>
  <c r="B421" i="73"/>
  <c r="B503" i="73"/>
  <c r="B505" i="73"/>
  <c r="B264" i="73"/>
  <c r="B346" i="73"/>
  <c r="B591" i="73"/>
  <c r="B431" i="73"/>
  <c r="B514" i="73"/>
  <c r="B596" i="73"/>
  <c r="C494" i="73"/>
  <c r="C576" i="73"/>
  <c r="C334" i="73"/>
  <c r="C658" i="73"/>
  <c r="C416" i="73"/>
  <c r="C256" i="73"/>
  <c r="C580" i="73"/>
  <c r="C420" i="73"/>
  <c r="C510" i="73"/>
  <c r="D572" i="73"/>
  <c r="D330" i="73"/>
  <c r="D265" i="73"/>
  <c r="G31" i="65"/>
  <c r="C247" i="73"/>
  <c r="C571" i="73"/>
  <c r="C411" i="73"/>
  <c r="C667" i="73"/>
  <c r="C425" i="73"/>
  <c r="C269" i="73"/>
  <c r="B335" i="73"/>
  <c r="B501" i="73"/>
  <c r="B502" i="73"/>
  <c r="B260" i="73"/>
  <c r="B585" i="73"/>
  <c r="B262" i="73"/>
  <c r="B586" i="73"/>
  <c r="B263" i="73"/>
  <c r="B587" i="73"/>
  <c r="B345" i="73"/>
  <c r="B669" i="73"/>
  <c r="B427" i="73"/>
  <c r="B266" i="73"/>
  <c r="B590" i="73"/>
  <c r="B511" i="73"/>
  <c r="B512" i="73"/>
  <c r="B270" i="73"/>
  <c r="B595" i="73"/>
  <c r="B353" i="73"/>
  <c r="F31" i="65"/>
  <c r="C409" i="73"/>
  <c r="C249" i="73"/>
  <c r="C573" i="73"/>
  <c r="C493" i="73"/>
  <c r="C575" i="73"/>
  <c r="C657" i="73"/>
  <c r="C579" i="73"/>
  <c r="C337" i="73"/>
  <c r="C419" i="73"/>
  <c r="C423" i="73"/>
  <c r="C263" i="73"/>
  <c r="C669" i="73"/>
  <c r="C427" i="73"/>
  <c r="C595" i="73"/>
  <c r="I31" i="65"/>
  <c r="D250" i="73"/>
  <c r="D656" i="73"/>
  <c r="D414" i="73"/>
  <c r="D254" i="73"/>
  <c r="D336" i="73"/>
  <c r="D418" i="73"/>
  <c r="D582" i="73"/>
  <c r="D664" i="73"/>
  <c r="E257" i="73"/>
  <c r="O33" i="65"/>
  <c r="N33" i="65"/>
  <c r="L33" i="65"/>
  <c r="Q33" i="65"/>
  <c r="P33" i="65"/>
  <c r="M33" i="65"/>
  <c r="G257" i="73" l="1"/>
  <c r="C353" i="73"/>
  <c r="C345" i="73"/>
  <c r="C505" i="73"/>
  <c r="C583" i="73"/>
  <c r="C264" i="73"/>
  <c r="F257" i="73"/>
  <c r="C596" i="73"/>
  <c r="D571" i="73"/>
  <c r="C591" i="73"/>
  <c r="G572" i="73"/>
  <c r="F656" i="73"/>
  <c r="E572" i="73"/>
  <c r="F572" i="73"/>
  <c r="D264" i="73"/>
  <c r="C495" i="73"/>
  <c r="C492" i="73"/>
  <c r="E656" i="73"/>
  <c r="C663" i="73"/>
  <c r="C511" i="73"/>
  <c r="F339" i="73"/>
  <c r="C340" i="73"/>
  <c r="B342" i="73"/>
  <c r="B259" i="73"/>
  <c r="B497" i="73"/>
  <c r="C585" i="73"/>
  <c r="D578" i="73"/>
  <c r="C349" i="73"/>
  <c r="C415" i="73"/>
  <c r="C333" i="73"/>
  <c r="C351" i="73"/>
  <c r="C347" i="73"/>
  <c r="C581" i="73"/>
  <c r="C417" i="73"/>
  <c r="C331" i="73"/>
  <c r="I408" i="73"/>
  <c r="F408" i="73"/>
  <c r="C431" i="73"/>
  <c r="C255" i="73"/>
  <c r="B344" i="73"/>
  <c r="B652" i="73"/>
  <c r="B589" i="73"/>
  <c r="B424" i="73"/>
  <c r="B500" i="73"/>
  <c r="I33" i="65"/>
  <c r="E33" i="65"/>
  <c r="C268" i="73"/>
  <c r="C428" i="73"/>
  <c r="B272" i="73"/>
  <c r="B513" i="73"/>
  <c r="B430" i="73"/>
  <c r="B267" i="73"/>
  <c r="B670" i="73"/>
  <c r="B588" i="73"/>
  <c r="B506" i="73"/>
  <c r="B504" i="73"/>
  <c r="H33" i="65"/>
  <c r="C253" i="73"/>
  <c r="C508" i="73"/>
  <c r="C262" i="73"/>
  <c r="D596" i="73"/>
  <c r="C501" i="73"/>
  <c r="C346" i="73"/>
  <c r="C248" i="73"/>
  <c r="B343" i="73"/>
  <c r="B341" i="73"/>
  <c r="B258" i="73"/>
  <c r="B490" i="73"/>
  <c r="E664" i="73"/>
  <c r="D411" i="73"/>
  <c r="C587" i="73"/>
  <c r="C665" i="73"/>
  <c r="F33" i="65"/>
  <c r="C498" i="73"/>
  <c r="C252" i="73"/>
  <c r="C410" i="73"/>
  <c r="B593" i="73"/>
  <c r="B592" i="73"/>
  <c r="B429" i="73"/>
  <c r="B426" i="73"/>
  <c r="C246" i="73"/>
  <c r="B772" i="73" s="1"/>
  <c r="AG32" i="73"/>
  <c r="B327" i="73"/>
  <c r="AF66" i="73"/>
  <c r="AF211" i="73" s="1"/>
  <c r="AF212" i="73" s="1"/>
  <c r="AG66" i="73"/>
  <c r="C327" i="73"/>
  <c r="D408" i="73"/>
  <c r="C570" i="73"/>
  <c r="AG173" i="73"/>
  <c r="G33" i="65"/>
  <c r="B744" i="73"/>
  <c r="B735" i="73"/>
  <c r="B732" i="73"/>
  <c r="B741" i="73"/>
  <c r="H257" i="73"/>
  <c r="G664" i="73"/>
  <c r="G656" i="73"/>
  <c r="F336" i="73"/>
  <c r="F330" i="73"/>
  <c r="H572" i="73"/>
  <c r="I257" i="73"/>
  <c r="K31" i="65"/>
  <c r="E336" i="73"/>
  <c r="E330" i="73"/>
  <c r="J31" i="65"/>
  <c r="J33" i="65" s="1"/>
  <c r="E408" i="73"/>
  <c r="AG211" i="73" l="1"/>
  <c r="AG212" i="73" s="1"/>
  <c r="B756" i="73"/>
  <c r="B762" i="73"/>
  <c r="B750" i="73"/>
  <c r="H408" i="73"/>
  <c r="C496" i="73"/>
  <c r="D654" i="73"/>
  <c r="G408" i="73"/>
  <c r="E418" i="73"/>
  <c r="C350" i="73"/>
  <c r="C329" i="73"/>
  <c r="D515" i="73"/>
  <c r="D573" i="73"/>
  <c r="C666" i="73"/>
  <c r="C659" i="73"/>
  <c r="C514" i="73"/>
  <c r="E339" i="73"/>
  <c r="D334" i="73"/>
  <c r="D510" i="73"/>
  <c r="C352" i="73"/>
  <c r="G4" i="62"/>
  <c r="F4" i="62"/>
  <c r="D580" i="73"/>
  <c r="C270" i="73"/>
  <c r="C266" i="73"/>
  <c r="D495" i="73"/>
  <c r="D345" i="73"/>
  <c r="D576" i="73"/>
  <c r="D579" i="73"/>
  <c r="D269" i="73"/>
  <c r="D494" i="73"/>
  <c r="D423" i="73"/>
  <c r="D498" i="73"/>
  <c r="C344" i="73"/>
  <c r="D349" i="73"/>
  <c r="C342" i="73"/>
  <c r="B753" i="73"/>
  <c r="D249" i="73"/>
  <c r="C260" i="73"/>
  <c r="C653" i="73"/>
  <c r="D492" i="73"/>
  <c r="D667" i="73"/>
  <c r="D327" i="73"/>
  <c r="AH66" i="73"/>
  <c r="D420" i="73"/>
  <c r="D657" i="73"/>
  <c r="D505" i="73"/>
  <c r="D413" i="73"/>
  <c r="D591" i="73"/>
  <c r="D419" i="73"/>
  <c r="E582" i="73"/>
  <c r="C507" i="73"/>
  <c r="D587" i="73"/>
  <c r="B668" i="73"/>
  <c r="C258" i="73"/>
  <c r="C343" i="73"/>
  <c r="D501" i="73"/>
  <c r="D262" i="73"/>
  <c r="C506" i="73"/>
  <c r="C670" i="73"/>
  <c r="C430" i="73"/>
  <c r="C272" i="73"/>
  <c r="D428" i="73"/>
  <c r="D247" i="73"/>
  <c r="D347" i="73"/>
  <c r="C491" i="73"/>
  <c r="D425" i="73"/>
  <c r="C335" i="73"/>
  <c r="C426" i="73"/>
  <c r="C500" i="73"/>
  <c r="D331" i="73"/>
  <c r="D333" i="73"/>
  <c r="C497" i="73"/>
  <c r="C4" i="62"/>
  <c r="H4" i="62"/>
  <c r="D4" i="62"/>
  <c r="B759" i="73"/>
  <c r="C332" i="73"/>
  <c r="E265" i="73"/>
  <c r="E250" i="73"/>
  <c r="C512" i="73"/>
  <c r="D577" i="73"/>
  <c r="D427" i="73"/>
  <c r="D416" i="73"/>
  <c r="D493" i="73"/>
  <c r="C503" i="73"/>
  <c r="C590" i="73"/>
  <c r="D669" i="73"/>
  <c r="D658" i="73"/>
  <c r="D263" i="73"/>
  <c r="D511" i="73"/>
  <c r="D665" i="73"/>
  <c r="E411" i="73"/>
  <c r="C490" i="73"/>
  <c r="C341" i="73"/>
  <c r="D248" i="73"/>
  <c r="D346" i="73"/>
  <c r="E596" i="73"/>
  <c r="E573" i="73"/>
  <c r="D508" i="73"/>
  <c r="C655" i="73"/>
  <c r="C504" i="73"/>
  <c r="C588" i="73"/>
  <c r="C267" i="73"/>
  <c r="C513" i="73"/>
  <c r="D268" i="73"/>
  <c r="D351" i="73"/>
  <c r="F418" i="73"/>
  <c r="D595" i="73"/>
  <c r="C592" i="73"/>
  <c r="C589" i="73"/>
  <c r="D431" i="73"/>
  <c r="D581" i="73"/>
  <c r="E578" i="73"/>
  <c r="D409" i="73"/>
  <c r="C586" i="73"/>
  <c r="E414" i="73"/>
  <c r="E264" i="73"/>
  <c r="AH173" i="73"/>
  <c r="D570" i="73"/>
  <c r="D663" i="73"/>
  <c r="D353" i="73"/>
  <c r="D256" i="73"/>
  <c r="C502" i="73"/>
  <c r="D575" i="73"/>
  <c r="D583" i="73"/>
  <c r="E254" i="73"/>
  <c r="D246" i="73"/>
  <c r="B773" i="73" s="1"/>
  <c r="AH32" i="73"/>
  <c r="AH211" i="73" s="1"/>
  <c r="AH212" i="73" s="1"/>
  <c r="E571" i="73"/>
  <c r="D337" i="73"/>
  <c r="C429" i="73"/>
  <c r="C593" i="73"/>
  <c r="D410" i="73"/>
  <c r="D252" i="73"/>
  <c r="C662" i="73"/>
  <c r="F664" i="73"/>
  <c r="D253" i="73"/>
  <c r="C424" i="73"/>
  <c r="C652" i="73"/>
  <c r="D255" i="73"/>
  <c r="D417" i="73"/>
  <c r="C421" i="73"/>
  <c r="B660" i="73"/>
  <c r="D415" i="73"/>
  <c r="D585" i="73"/>
  <c r="C259" i="73"/>
  <c r="D340" i="73"/>
  <c r="C741" i="73"/>
  <c r="C735" i="73"/>
  <c r="C732" i="73"/>
  <c r="C744" i="73"/>
  <c r="D83" i="62"/>
  <c r="D82" i="62"/>
  <c r="D81" i="62"/>
  <c r="R85" i="64"/>
  <c r="T85" i="64" s="1"/>
  <c r="R53" i="64"/>
  <c r="B26" i="64"/>
  <c r="C26" i="64"/>
  <c r="D26" i="64"/>
  <c r="U63" i="64"/>
  <c r="T63" i="64"/>
  <c r="J26" i="64"/>
  <c r="AP7" i="64" s="1"/>
  <c r="G336" i="73"/>
  <c r="H656" i="73"/>
  <c r="G339" i="73"/>
  <c r="G330" i="73"/>
  <c r="H664" i="73"/>
  <c r="U57" i="64"/>
  <c r="L26" i="64"/>
  <c r="E4" i="62"/>
  <c r="N35" i="62"/>
  <c r="K33" i="65"/>
  <c r="N97" i="62"/>
  <c r="C762" i="73" l="1"/>
  <c r="C756" i="73"/>
  <c r="E42" i="62"/>
  <c r="E47" i="62" s="1"/>
  <c r="I42" i="62"/>
  <c r="I47" i="62" s="1"/>
  <c r="M42" i="62"/>
  <c r="M47" i="62" s="1"/>
  <c r="F42" i="62"/>
  <c r="F47" i="62" s="1"/>
  <c r="J42" i="62"/>
  <c r="J47" i="62" s="1"/>
  <c r="B42" i="62"/>
  <c r="C42" i="62"/>
  <c r="C47" i="62" s="1"/>
  <c r="G42" i="62"/>
  <c r="G47" i="62" s="1"/>
  <c r="K42" i="62"/>
  <c r="K47" i="62" s="1"/>
  <c r="D42" i="62"/>
  <c r="D47" i="62" s="1"/>
  <c r="H42" i="62"/>
  <c r="H47" i="62" s="1"/>
  <c r="L42" i="62"/>
  <c r="L47" i="62" s="1"/>
  <c r="E104" i="62"/>
  <c r="E109" i="62" s="1"/>
  <c r="I104" i="62"/>
  <c r="I109" i="62" s="1"/>
  <c r="M104" i="62"/>
  <c r="M109" i="62" s="1"/>
  <c r="F104" i="62"/>
  <c r="F109" i="62" s="1"/>
  <c r="J104" i="62"/>
  <c r="J109" i="62" s="1"/>
  <c r="B104" i="62"/>
  <c r="C104" i="62"/>
  <c r="C109" i="62" s="1"/>
  <c r="G104" i="62"/>
  <c r="G109" i="62" s="1"/>
  <c r="K104" i="62"/>
  <c r="K109" i="62" s="1"/>
  <c r="D104" i="62"/>
  <c r="D109" i="62" s="1"/>
  <c r="H104" i="62"/>
  <c r="H109" i="62" s="1"/>
  <c r="L104" i="62"/>
  <c r="L109" i="62" s="1"/>
  <c r="K26" i="64"/>
  <c r="C753" i="73"/>
  <c r="C759" i="73"/>
  <c r="C750" i="73"/>
  <c r="D329" i="73"/>
  <c r="D496" i="73"/>
  <c r="E515" i="73"/>
  <c r="E654" i="73"/>
  <c r="D350" i="73"/>
  <c r="E510" i="73"/>
  <c r="D514" i="73"/>
  <c r="D666" i="73"/>
  <c r="D352" i="73"/>
  <c r="E334" i="73"/>
  <c r="D659" i="73"/>
  <c r="D662" i="73"/>
  <c r="F254" i="73"/>
  <c r="E431" i="73"/>
  <c r="D655" i="73"/>
  <c r="D341" i="73"/>
  <c r="E511" i="73"/>
  <c r="D590" i="73"/>
  <c r="E427" i="73"/>
  <c r="E247" i="73"/>
  <c r="D506" i="73"/>
  <c r="D258" i="73"/>
  <c r="E591" i="73"/>
  <c r="E340" i="73"/>
  <c r="E585" i="73"/>
  <c r="C660" i="73"/>
  <c r="E417" i="73"/>
  <c r="D424" i="73"/>
  <c r="F571" i="73"/>
  <c r="E575" i="73"/>
  <c r="E256" i="73"/>
  <c r="E663" i="73"/>
  <c r="F414" i="73"/>
  <c r="F596" i="73"/>
  <c r="F250" i="73"/>
  <c r="E333" i="73"/>
  <c r="D335" i="73"/>
  <c r="F582" i="73"/>
  <c r="E667" i="73"/>
  <c r="D653" i="73"/>
  <c r="D429" i="73"/>
  <c r="D592" i="73"/>
  <c r="E268" i="73"/>
  <c r="D588" i="73"/>
  <c r="E346" i="73"/>
  <c r="D512" i="73"/>
  <c r="D430" i="73"/>
  <c r="E262" i="73"/>
  <c r="E419" i="73"/>
  <c r="E327" i="73"/>
  <c r="AI66" i="73"/>
  <c r="D344" i="73"/>
  <c r="D266" i="73"/>
  <c r="I26" i="64"/>
  <c r="D259" i="73"/>
  <c r="E415" i="73"/>
  <c r="D421" i="73"/>
  <c r="E255" i="73"/>
  <c r="D652" i="73"/>
  <c r="E253" i="73"/>
  <c r="E583" i="73"/>
  <c r="D502" i="73"/>
  <c r="E353" i="73"/>
  <c r="E570" i="73"/>
  <c r="AI173" i="73"/>
  <c r="F264" i="73"/>
  <c r="F578" i="73"/>
  <c r="G418" i="73"/>
  <c r="F573" i="73"/>
  <c r="F411" i="73"/>
  <c r="F265" i="73"/>
  <c r="D497" i="73"/>
  <c r="E331" i="73"/>
  <c r="D500" i="73"/>
  <c r="D426" i="73"/>
  <c r="E425" i="73"/>
  <c r="D491" i="73"/>
  <c r="E492" i="73"/>
  <c r="D260" i="73"/>
  <c r="E249" i="73"/>
  <c r="E410" i="73"/>
  <c r="D586" i="73"/>
  <c r="D513" i="73"/>
  <c r="E493" i="73"/>
  <c r="E428" i="73"/>
  <c r="D507" i="73"/>
  <c r="E657" i="73"/>
  <c r="D342" i="73"/>
  <c r="E494" i="73"/>
  <c r="E579" i="73"/>
  <c r="E345" i="73"/>
  <c r="E580" i="73"/>
  <c r="E252" i="73"/>
  <c r="D593" i="73"/>
  <c r="E337" i="73"/>
  <c r="AI32" i="73"/>
  <c r="E246" i="73"/>
  <c r="B774" i="73" s="1"/>
  <c r="E409" i="73"/>
  <c r="E581" i="73"/>
  <c r="D589" i="73"/>
  <c r="E595" i="73"/>
  <c r="E351" i="73"/>
  <c r="D267" i="73"/>
  <c r="D504" i="73"/>
  <c r="E508" i="73"/>
  <c r="E248" i="73"/>
  <c r="D490" i="73"/>
  <c r="E665" i="73"/>
  <c r="E263" i="73"/>
  <c r="E658" i="73"/>
  <c r="E669" i="73"/>
  <c r="D503" i="73"/>
  <c r="E416" i="73"/>
  <c r="E577" i="73"/>
  <c r="D332" i="73"/>
  <c r="E347" i="73"/>
  <c r="D272" i="73"/>
  <c r="D670" i="73"/>
  <c r="E501" i="73"/>
  <c r="D343" i="73"/>
  <c r="C668" i="73"/>
  <c r="E587" i="73"/>
  <c r="E413" i="73"/>
  <c r="E505" i="73"/>
  <c r="E420" i="73"/>
  <c r="E349" i="73"/>
  <c r="E498" i="73"/>
  <c r="E423" i="73"/>
  <c r="E269" i="73"/>
  <c r="E576" i="73"/>
  <c r="E495" i="73"/>
  <c r="D270" i="73"/>
  <c r="D735" i="73"/>
  <c r="D741" i="73"/>
  <c r="D744" i="73"/>
  <c r="D732" i="73"/>
  <c r="T53" i="64"/>
  <c r="U53" i="64"/>
  <c r="T55" i="64"/>
  <c r="U55" i="64"/>
  <c r="U54" i="64"/>
  <c r="T54" i="64"/>
  <c r="G26" i="64"/>
  <c r="R21" i="64"/>
  <c r="M26" i="64"/>
  <c r="F26" i="64"/>
  <c r="T57" i="64"/>
  <c r="U62" i="64"/>
  <c r="T62" i="64"/>
  <c r="H26" i="64"/>
  <c r="H339" i="73"/>
  <c r="H336" i="73"/>
  <c r="H330" i="73"/>
  <c r="T58" i="64"/>
  <c r="U58" i="64"/>
  <c r="U59" i="64"/>
  <c r="T59" i="64"/>
  <c r="T60" i="64"/>
  <c r="U60" i="64"/>
  <c r="D84" i="62"/>
  <c r="D85" i="62"/>
  <c r="D86" i="62"/>
  <c r="D87" i="62"/>
  <c r="E26" i="64"/>
  <c r="AI211" i="73" l="1"/>
  <c r="AI212" i="73" s="1"/>
  <c r="D118" i="62"/>
  <c r="D122" i="62"/>
  <c r="D121" i="62"/>
  <c r="D120" i="62"/>
  <c r="D115" i="62"/>
  <c r="D119" i="62"/>
  <c r="D123" i="62"/>
  <c r="D116" i="62"/>
  <c r="D117" i="62"/>
  <c r="D756" i="73"/>
  <c r="B109" i="62"/>
  <c r="N104" i="62"/>
  <c r="D114" i="62"/>
  <c r="D113" i="62"/>
  <c r="D112" i="62"/>
  <c r="B47" i="62"/>
  <c r="B52" i="62" s="1"/>
  <c r="D50" i="62"/>
  <c r="N42" i="62"/>
  <c r="D762" i="73"/>
  <c r="D759" i="73"/>
  <c r="D753" i="73"/>
  <c r="D750" i="73"/>
  <c r="E329" i="73"/>
  <c r="E350" i="73"/>
  <c r="E496" i="73"/>
  <c r="F654" i="73"/>
  <c r="F515" i="73"/>
  <c r="F510" i="73"/>
  <c r="E659" i="73"/>
  <c r="E352" i="73"/>
  <c r="E514" i="73"/>
  <c r="E666" i="73"/>
  <c r="F334" i="73"/>
  <c r="E503" i="73"/>
  <c r="E589" i="73"/>
  <c r="F246" i="73"/>
  <c r="B775" i="73" s="1"/>
  <c r="AJ32" i="73"/>
  <c r="F494" i="73"/>
  <c r="F410" i="73"/>
  <c r="G265" i="73"/>
  <c r="E652" i="73"/>
  <c r="G414" i="73"/>
  <c r="F576" i="73"/>
  <c r="F423" i="73"/>
  <c r="F349" i="73"/>
  <c r="F505" i="73"/>
  <c r="F501" i="73"/>
  <c r="F347" i="73"/>
  <c r="F577" i="73"/>
  <c r="F669" i="73"/>
  <c r="F263" i="73"/>
  <c r="F508" i="73"/>
  <c r="F595" i="73"/>
  <c r="F581" i="73"/>
  <c r="E593" i="73"/>
  <c r="E342" i="73"/>
  <c r="E507" i="73"/>
  <c r="E260" i="73"/>
  <c r="E491" i="73"/>
  <c r="E426" i="73"/>
  <c r="F353" i="73"/>
  <c r="F583" i="73"/>
  <c r="F253" i="73"/>
  <c r="F255" i="73"/>
  <c r="F415" i="73"/>
  <c r="E266" i="73"/>
  <c r="F419" i="73"/>
  <c r="G582" i="73"/>
  <c r="E335" i="73"/>
  <c r="G250" i="73"/>
  <c r="D660" i="73"/>
  <c r="E258" i="73"/>
  <c r="E590" i="73"/>
  <c r="E341" i="73"/>
  <c r="E343" i="73"/>
  <c r="E272" i="73"/>
  <c r="F345" i="73"/>
  <c r="F428" i="73"/>
  <c r="G573" i="73"/>
  <c r="E259" i="73"/>
  <c r="G571" i="73"/>
  <c r="F340" i="73"/>
  <c r="F247" i="73"/>
  <c r="F431" i="73"/>
  <c r="F495" i="73"/>
  <c r="F269" i="73"/>
  <c r="F498" i="73"/>
  <c r="F420" i="73"/>
  <c r="F413" i="73"/>
  <c r="F587" i="73"/>
  <c r="F416" i="73"/>
  <c r="F658" i="73"/>
  <c r="F665" i="73"/>
  <c r="F248" i="73"/>
  <c r="F351" i="73"/>
  <c r="F409" i="73"/>
  <c r="E513" i="73"/>
  <c r="E586" i="73"/>
  <c r="E500" i="73"/>
  <c r="E497" i="73"/>
  <c r="G411" i="73"/>
  <c r="F570" i="73"/>
  <c r="AJ173" i="73"/>
  <c r="E344" i="73"/>
  <c r="F327" i="73"/>
  <c r="AJ66" i="73"/>
  <c r="F262" i="73"/>
  <c r="F346" i="73"/>
  <c r="F268" i="73"/>
  <c r="F667" i="73"/>
  <c r="H596" i="73"/>
  <c r="G596" i="73"/>
  <c r="E424" i="73"/>
  <c r="E506" i="73"/>
  <c r="E655" i="73"/>
  <c r="G254" i="73"/>
  <c r="E662" i="73"/>
  <c r="E332" i="73"/>
  <c r="E504" i="73"/>
  <c r="B765" i="73"/>
  <c r="F331" i="73"/>
  <c r="G578" i="73"/>
  <c r="E502" i="73"/>
  <c r="E421" i="73"/>
  <c r="F333" i="73"/>
  <c r="F256" i="73"/>
  <c r="E270" i="73"/>
  <c r="D668" i="73"/>
  <c r="E670" i="73"/>
  <c r="E490" i="73"/>
  <c r="E267" i="73"/>
  <c r="F337" i="73"/>
  <c r="F252" i="73"/>
  <c r="F580" i="73"/>
  <c r="F579" i="73"/>
  <c r="F657" i="73"/>
  <c r="F493" i="73"/>
  <c r="F249" i="73"/>
  <c r="F492" i="73"/>
  <c r="F425" i="73"/>
  <c r="H418" i="73"/>
  <c r="I418" i="73"/>
  <c r="G264" i="73"/>
  <c r="E430" i="73"/>
  <c r="E512" i="73"/>
  <c r="E588" i="73"/>
  <c r="E592" i="73"/>
  <c r="E429" i="73"/>
  <c r="E653" i="73"/>
  <c r="F663" i="73"/>
  <c r="F575" i="73"/>
  <c r="F417" i="73"/>
  <c r="F585" i="73"/>
  <c r="F591" i="73"/>
  <c r="F427" i="73"/>
  <c r="F511" i="73"/>
  <c r="E744" i="73"/>
  <c r="E735" i="73"/>
  <c r="E732" i="73"/>
  <c r="E741" i="73"/>
  <c r="R101" i="64"/>
  <c r="U64" i="64"/>
  <c r="T64" i="64"/>
  <c r="I336" i="73"/>
  <c r="I330" i="73"/>
  <c r="U61" i="64"/>
  <c r="T61" i="64"/>
  <c r="I339" i="73"/>
  <c r="U56" i="64"/>
  <c r="T56" i="64"/>
  <c r="AJ211" i="73" l="1"/>
  <c r="AJ212" i="73" s="1"/>
  <c r="E762" i="73"/>
  <c r="B50" i="62"/>
  <c r="B10" i="64" s="1"/>
  <c r="B51" i="62"/>
  <c r="C10" i="64" s="1"/>
  <c r="N47" i="62"/>
  <c r="B58" i="62"/>
  <c r="B54" i="62"/>
  <c r="B60" i="62"/>
  <c r="B61" i="62"/>
  <c r="M10" i="64" s="1"/>
  <c r="B57" i="62"/>
  <c r="B53" i="62"/>
  <c r="B56" i="62"/>
  <c r="B59" i="62"/>
  <c r="B55" i="62"/>
  <c r="E756" i="73"/>
  <c r="N109" i="62"/>
  <c r="B123" i="62"/>
  <c r="M36" i="64" s="1"/>
  <c r="B115" i="62"/>
  <c r="B118" i="62"/>
  <c r="B121" i="62"/>
  <c r="B113" i="62"/>
  <c r="C36" i="64" s="1"/>
  <c r="B116" i="62"/>
  <c r="B119" i="62"/>
  <c r="B122" i="62"/>
  <c r="B114" i="62"/>
  <c r="B117" i="62"/>
  <c r="B120" i="62"/>
  <c r="B112" i="62"/>
  <c r="B36" i="64" s="1"/>
  <c r="E753" i="73"/>
  <c r="E759" i="73"/>
  <c r="E750" i="73"/>
  <c r="F496" i="73"/>
  <c r="G515" i="73"/>
  <c r="G654" i="73"/>
  <c r="H654" i="73"/>
  <c r="F350" i="73"/>
  <c r="F329" i="73"/>
  <c r="F514" i="73"/>
  <c r="G334" i="73"/>
  <c r="F659" i="73"/>
  <c r="F666" i="73"/>
  <c r="F352" i="73"/>
  <c r="G510" i="73"/>
  <c r="G663" i="73"/>
  <c r="G256" i="73"/>
  <c r="G331" i="73"/>
  <c r="G346" i="73"/>
  <c r="G248" i="73"/>
  <c r="G419" i="73"/>
  <c r="G353" i="73"/>
  <c r="H595" i="73"/>
  <c r="G595" i="73"/>
  <c r="G501" i="73"/>
  <c r="G494" i="73"/>
  <c r="G511" i="73"/>
  <c r="H591" i="73"/>
  <c r="G591" i="73"/>
  <c r="G417" i="73"/>
  <c r="F653" i="73"/>
  <c r="F592" i="73"/>
  <c r="F512" i="73"/>
  <c r="G492" i="73"/>
  <c r="G657" i="73"/>
  <c r="G580" i="73"/>
  <c r="F490" i="73"/>
  <c r="F270" i="73"/>
  <c r="G333" i="73"/>
  <c r="F421" i="73"/>
  <c r="H578" i="73"/>
  <c r="F504" i="73"/>
  <c r="F662" i="73"/>
  <c r="F655" i="73"/>
  <c r="F424" i="73"/>
  <c r="G667" i="73"/>
  <c r="G268" i="73"/>
  <c r="F500" i="73"/>
  <c r="F513" i="73"/>
  <c r="G665" i="73"/>
  <c r="G416" i="73"/>
  <c r="G498" i="73"/>
  <c r="H571" i="73"/>
  <c r="F259" i="73"/>
  <c r="H573" i="73"/>
  <c r="G345" i="73"/>
  <c r="F343" i="73"/>
  <c r="F590" i="73"/>
  <c r="F335" i="73"/>
  <c r="F266" i="73"/>
  <c r="H583" i="73"/>
  <c r="G583" i="73"/>
  <c r="F426" i="73"/>
  <c r="F342" i="73"/>
  <c r="G581" i="73"/>
  <c r="G347" i="73"/>
  <c r="H414" i="73"/>
  <c r="I414" i="73"/>
  <c r="F652" i="73"/>
  <c r="G410" i="73"/>
  <c r="G249" i="73"/>
  <c r="G262" i="73"/>
  <c r="G428" i="73"/>
  <c r="G415" i="73"/>
  <c r="F503" i="73"/>
  <c r="F429" i="73"/>
  <c r="F588" i="73"/>
  <c r="F430" i="73"/>
  <c r="G579" i="73"/>
  <c r="F267" i="73"/>
  <c r="F670" i="73"/>
  <c r="F502" i="73"/>
  <c r="C765" i="73"/>
  <c r="F332" i="73"/>
  <c r="I254" i="73"/>
  <c r="H254" i="73"/>
  <c r="F506" i="73"/>
  <c r="G570" i="73"/>
  <c r="AK173" i="73"/>
  <c r="F497" i="73"/>
  <c r="F586" i="73"/>
  <c r="H658" i="73"/>
  <c r="G658" i="73"/>
  <c r="H587" i="73"/>
  <c r="G587" i="73"/>
  <c r="G420" i="73"/>
  <c r="G269" i="73"/>
  <c r="G431" i="73"/>
  <c r="F272" i="73"/>
  <c r="F341" i="73"/>
  <c r="F258" i="73"/>
  <c r="I250" i="73"/>
  <c r="H250" i="73"/>
  <c r="H582" i="73"/>
  <c r="F491" i="73"/>
  <c r="F260" i="73"/>
  <c r="F507" i="73"/>
  <c r="F593" i="73"/>
  <c r="G508" i="73"/>
  <c r="G669" i="73"/>
  <c r="G577" i="73"/>
  <c r="G349" i="73"/>
  <c r="G576" i="73"/>
  <c r="I265" i="73"/>
  <c r="H265" i="73"/>
  <c r="G252" i="73"/>
  <c r="G351" i="73"/>
  <c r="G340" i="73"/>
  <c r="G253" i="73"/>
  <c r="G246" i="73"/>
  <c r="B776" i="73" s="1"/>
  <c r="AK32" i="73"/>
  <c r="G427" i="73"/>
  <c r="G585" i="73"/>
  <c r="G575" i="73"/>
  <c r="I264" i="73"/>
  <c r="H264" i="73"/>
  <c r="G425" i="73"/>
  <c r="G493" i="73"/>
  <c r="G337" i="73"/>
  <c r="E668" i="73"/>
  <c r="G327" i="73"/>
  <c r="AK66" i="73"/>
  <c r="F344" i="73"/>
  <c r="H411" i="73"/>
  <c r="I411" i="73"/>
  <c r="G409" i="73"/>
  <c r="G413" i="73"/>
  <c r="G495" i="73"/>
  <c r="G247" i="73"/>
  <c r="E660" i="73"/>
  <c r="G255" i="73"/>
  <c r="G263" i="73"/>
  <c r="G505" i="73"/>
  <c r="G423" i="73"/>
  <c r="F589" i="73"/>
  <c r="F732" i="73"/>
  <c r="F735" i="73"/>
  <c r="F741" i="73"/>
  <c r="F744" i="73"/>
  <c r="F32" i="64"/>
  <c r="G32" i="64"/>
  <c r="C32" i="64"/>
  <c r="E32" i="64"/>
  <c r="K32" i="64"/>
  <c r="H32" i="64"/>
  <c r="D32" i="64"/>
  <c r="I32" i="64"/>
  <c r="L32" i="64"/>
  <c r="T83" i="62"/>
  <c r="T81" i="62"/>
  <c r="T82" i="62"/>
  <c r="T87" i="62"/>
  <c r="T84" i="62"/>
  <c r="T85" i="62"/>
  <c r="T86" i="62"/>
  <c r="M32" i="64"/>
  <c r="J32" i="64"/>
  <c r="AP8" i="64" s="1"/>
  <c r="R69" i="64"/>
  <c r="B32" i="64"/>
  <c r="L36" i="64" l="1"/>
  <c r="L10" i="64"/>
  <c r="S31" i="64" s="1"/>
  <c r="K36" i="64"/>
  <c r="K38" i="64" s="1"/>
  <c r="K10" i="64"/>
  <c r="J36" i="64"/>
  <c r="J10" i="64"/>
  <c r="AK211" i="73"/>
  <c r="AK212" i="73" s="1"/>
  <c r="I36" i="64"/>
  <c r="Q92" i="64" s="1"/>
  <c r="T92" i="64" s="1"/>
  <c r="I10" i="64"/>
  <c r="H10" i="64"/>
  <c r="H36" i="64"/>
  <c r="Q91" i="64" s="1"/>
  <c r="T91" i="64" s="1"/>
  <c r="S6" i="62"/>
  <c r="U6" i="62" s="1"/>
  <c r="G36" i="64"/>
  <c r="G10" i="64"/>
  <c r="S26" i="64" s="1"/>
  <c r="F10" i="64"/>
  <c r="F36" i="64"/>
  <c r="F38" i="64" s="1"/>
  <c r="E10" i="64"/>
  <c r="S24" i="64" s="1"/>
  <c r="E36" i="64"/>
  <c r="Q88" i="64" s="1"/>
  <c r="Q85" i="64"/>
  <c r="B38" i="64"/>
  <c r="Q95" i="64"/>
  <c r="T95" i="64" s="1"/>
  <c r="L38" i="64"/>
  <c r="Q94" i="64"/>
  <c r="T94" i="64" s="1"/>
  <c r="D10" i="64"/>
  <c r="F756" i="73"/>
  <c r="S22" i="64"/>
  <c r="F762" i="73"/>
  <c r="S21" i="64"/>
  <c r="D36" i="64"/>
  <c r="Q86" i="64"/>
  <c r="C38" i="64"/>
  <c r="Q96" i="64"/>
  <c r="M38" i="64"/>
  <c r="F753" i="73"/>
  <c r="F759" i="73"/>
  <c r="F750" i="73"/>
  <c r="G350" i="73"/>
  <c r="I515" i="73"/>
  <c r="H515" i="73"/>
  <c r="G329" i="73"/>
  <c r="G496" i="73"/>
  <c r="G666" i="73"/>
  <c r="I510" i="73"/>
  <c r="H510" i="73"/>
  <c r="I334" i="73"/>
  <c r="H334" i="73"/>
  <c r="G352" i="73"/>
  <c r="H659" i="73"/>
  <c r="G659" i="73"/>
  <c r="G514" i="73"/>
  <c r="G344" i="73"/>
  <c r="H577" i="73"/>
  <c r="G332" i="73"/>
  <c r="I249" i="73"/>
  <c r="H249" i="73"/>
  <c r="H581" i="73"/>
  <c r="G335" i="73"/>
  <c r="H667" i="73"/>
  <c r="H657" i="73"/>
  <c r="I505" i="73"/>
  <c r="H505" i="73"/>
  <c r="I247" i="73"/>
  <c r="H247" i="73"/>
  <c r="H413" i="73"/>
  <c r="I413" i="73"/>
  <c r="H337" i="73"/>
  <c r="I337" i="73"/>
  <c r="H351" i="73"/>
  <c r="I351" i="73"/>
  <c r="I508" i="73"/>
  <c r="H508" i="73"/>
  <c r="D765" i="73"/>
  <c r="G670" i="73"/>
  <c r="H670" i="73"/>
  <c r="H579" i="73"/>
  <c r="H415" i="73"/>
  <c r="I415" i="73"/>
  <c r="G500" i="73"/>
  <c r="I333" i="73"/>
  <c r="H333" i="73"/>
  <c r="G490" i="73"/>
  <c r="G512" i="73"/>
  <c r="H419" i="73"/>
  <c r="I419" i="73"/>
  <c r="I585" i="73"/>
  <c r="H585" i="73"/>
  <c r="G507" i="73"/>
  <c r="I420" i="73"/>
  <c r="H420" i="73"/>
  <c r="G506" i="73"/>
  <c r="H652" i="73"/>
  <c r="G652" i="73"/>
  <c r="G343" i="73"/>
  <c r="I416" i="73"/>
  <c r="H416" i="73"/>
  <c r="I256" i="73"/>
  <c r="H256" i="73"/>
  <c r="I263" i="73"/>
  <c r="H263" i="73"/>
  <c r="I255" i="73"/>
  <c r="H255" i="73"/>
  <c r="F660" i="73"/>
  <c r="H409" i="73"/>
  <c r="I409" i="73"/>
  <c r="I340" i="73"/>
  <c r="H340" i="73"/>
  <c r="H593" i="73"/>
  <c r="G593" i="73"/>
  <c r="G260" i="73"/>
  <c r="G258" i="73"/>
  <c r="H570" i="73"/>
  <c r="AL173" i="73"/>
  <c r="G502" i="73"/>
  <c r="G267" i="73"/>
  <c r="G429" i="73"/>
  <c r="G426" i="73"/>
  <c r="H590" i="73"/>
  <c r="G590" i="73"/>
  <c r="G259" i="73"/>
  <c r="G513" i="73"/>
  <c r="I268" i="73"/>
  <c r="H268" i="73"/>
  <c r="G421" i="73"/>
  <c r="H592" i="73"/>
  <c r="G592" i="73"/>
  <c r="I511" i="73"/>
  <c r="H511" i="73"/>
  <c r="I423" i="73"/>
  <c r="H423" i="73"/>
  <c r="H495" i="73"/>
  <c r="I495" i="73"/>
  <c r="H327" i="73"/>
  <c r="AL66" i="73"/>
  <c r="I425" i="73"/>
  <c r="H425" i="73"/>
  <c r="I253" i="73"/>
  <c r="H253" i="73"/>
  <c r="H576" i="73"/>
  <c r="G491" i="73"/>
  <c r="G341" i="73"/>
  <c r="I431" i="73"/>
  <c r="H431" i="73"/>
  <c r="H586" i="73"/>
  <c r="G586" i="73"/>
  <c r="G430" i="73"/>
  <c r="I262" i="73"/>
  <c r="H262" i="73"/>
  <c r="G655" i="73"/>
  <c r="G504" i="73"/>
  <c r="G653" i="73"/>
  <c r="H494" i="73"/>
  <c r="I494" i="73"/>
  <c r="I346" i="73"/>
  <c r="H346" i="73"/>
  <c r="H589" i="73"/>
  <c r="G589" i="73"/>
  <c r="F668" i="73"/>
  <c r="I493" i="73"/>
  <c r="H493" i="73"/>
  <c r="H575" i="73"/>
  <c r="I427" i="73"/>
  <c r="H427" i="73"/>
  <c r="H246" i="73"/>
  <c r="B777" i="73" s="1"/>
  <c r="AL32" i="73"/>
  <c r="AL211" i="73" s="1"/>
  <c r="AL212" i="73" s="1"/>
  <c r="I252" i="73"/>
  <c r="H252" i="73"/>
  <c r="H349" i="73"/>
  <c r="I349" i="73"/>
  <c r="H669" i="73"/>
  <c r="G272" i="73"/>
  <c r="H269" i="73"/>
  <c r="I269" i="73"/>
  <c r="G497" i="73"/>
  <c r="H588" i="73"/>
  <c r="G588" i="73"/>
  <c r="G503" i="73"/>
  <c r="I428" i="73"/>
  <c r="H428" i="73"/>
  <c r="H410" i="73"/>
  <c r="I410" i="73"/>
  <c r="I347" i="73"/>
  <c r="H347" i="73"/>
  <c r="G342" i="73"/>
  <c r="G266" i="73"/>
  <c r="H345" i="73"/>
  <c r="I345" i="73"/>
  <c r="I498" i="73"/>
  <c r="H498" i="73"/>
  <c r="I665" i="73"/>
  <c r="H665" i="73"/>
  <c r="G424" i="73"/>
  <c r="H662" i="73"/>
  <c r="G662" i="73"/>
  <c r="G270" i="73"/>
  <c r="H580" i="73"/>
  <c r="I492" i="73"/>
  <c r="H492" i="73"/>
  <c r="I417" i="73"/>
  <c r="H417" i="73"/>
  <c r="I501" i="73"/>
  <c r="H501" i="73"/>
  <c r="H353" i="73"/>
  <c r="I353" i="73"/>
  <c r="I248" i="73"/>
  <c r="H248" i="73"/>
  <c r="H331" i="73"/>
  <c r="I331" i="73"/>
  <c r="H663" i="73"/>
  <c r="G744" i="73"/>
  <c r="G741" i="73"/>
  <c r="G732" i="73"/>
  <c r="G735" i="73"/>
  <c r="U69" i="64"/>
  <c r="T69" i="64"/>
  <c r="T79" i="64"/>
  <c r="U79" i="64"/>
  <c r="T71" i="64"/>
  <c r="U71" i="64"/>
  <c r="T78" i="64"/>
  <c r="U78" i="64"/>
  <c r="U74" i="64"/>
  <c r="T74" i="64"/>
  <c r="T72" i="64"/>
  <c r="U72" i="64"/>
  <c r="U77" i="64"/>
  <c r="T77" i="64"/>
  <c r="T80" i="64"/>
  <c r="U80" i="64"/>
  <c r="T76" i="64"/>
  <c r="U76" i="64"/>
  <c r="U75" i="64"/>
  <c r="T75" i="64"/>
  <c r="U70" i="64"/>
  <c r="T70" i="64"/>
  <c r="U73" i="64"/>
  <c r="T73" i="64"/>
  <c r="Q93" i="64" l="1"/>
  <c r="T93" i="64" s="1"/>
  <c r="J38" i="64"/>
  <c r="AP9" i="64" s="1"/>
  <c r="S30" i="64"/>
  <c r="I38" i="64"/>
  <c r="S29" i="64"/>
  <c r="G38" i="64"/>
  <c r="S28" i="64"/>
  <c r="Q90" i="64"/>
  <c r="H38" i="64"/>
  <c r="S27" i="64"/>
  <c r="Q89" i="64"/>
  <c r="S25" i="64"/>
  <c r="E38" i="64"/>
  <c r="G756" i="73"/>
  <c r="W6" i="62"/>
  <c r="Q87" i="64"/>
  <c r="D38" i="64"/>
  <c r="S23" i="64"/>
  <c r="G762" i="73"/>
  <c r="G753" i="73"/>
  <c r="G759" i="73"/>
  <c r="G750" i="73"/>
  <c r="I329" i="73"/>
  <c r="H329" i="73"/>
  <c r="I496" i="73"/>
  <c r="H496" i="73"/>
  <c r="H350" i="73"/>
  <c r="I350" i="73"/>
  <c r="I514" i="73"/>
  <c r="H514" i="73"/>
  <c r="H352" i="73"/>
  <c r="I352" i="73"/>
  <c r="H666" i="73"/>
  <c r="I666" i="73"/>
  <c r="H266" i="73"/>
  <c r="I266" i="73"/>
  <c r="H504" i="73"/>
  <c r="I504" i="73"/>
  <c r="I430" i="73"/>
  <c r="H430" i="73"/>
  <c r="H342" i="73"/>
  <c r="I342" i="73"/>
  <c r="H503" i="73"/>
  <c r="I503" i="73"/>
  <c r="I497" i="73"/>
  <c r="H497" i="73"/>
  <c r="I491" i="73"/>
  <c r="H491" i="73"/>
  <c r="I421" i="73"/>
  <c r="H421" i="73"/>
  <c r="I429" i="73"/>
  <c r="H429" i="73"/>
  <c r="H267" i="73"/>
  <c r="I267" i="73"/>
  <c r="I260" i="73"/>
  <c r="H260" i="73"/>
  <c r="G660" i="73"/>
  <c r="H660" i="73"/>
  <c r="I332" i="73"/>
  <c r="H332" i="73"/>
  <c r="H502" i="73"/>
  <c r="I502" i="73"/>
  <c r="I424" i="73"/>
  <c r="H424" i="73"/>
  <c r="I341" i="73"/>
  <c r="H341" i="73"/>
  <c r="I327" i="73"/>
  <c r="AM66" i="73"/>
  <c r="I259" i="73"/>
  <c r="H259" i="73"/>
  <c r="I426" i="73"/>
  <c r="H426" i="73"/>
  <c r="I258" i="73"/>
  <c r="H258" i="73"/>
  <c r="I343" i="73"/>
  <c r="H343" i="73"/>
  <c r="H490" i="73"/>
  <c r="I490" i="73"/>
  <c r="E765" i="73"/>
  <c r="H507" i="73"/>
  <c r="I507" i="73"/>
  <c r="I500" i="73"/>
  <c r="H500" i="73"/>
  <c r="H270" i="73"/>
  <c r="I270" i="73"/>
  <c r="H272" i="73"/>
  <c r="I272" i="73"/>
  <c r="I246" i="73"/>
  <c r="B778" i="73" s="1"/>
  <c r="AM32" i="73"/>
  <c r="H668" i="73"/>
  <c r="G668" i="73"/>
  <c r="H653" i="73"/>
  <c r="H655" i="73"/>
  <c r="I513" i="73"/>
  <c r="H513" i="73"/>
  <c r="I506" i="73"/>
  <c r="H506" i="73"/>
  <c r="H512" i="73"/>
  <c r="I512" i="73"/>
  <c r="H335" i="73"/>
  <c r="I335" i="73"/>
  <c r="I344" i="73"/>
  <c r="H344" i="73"/>
  <c r="H741" i="73"/>
  <c r="H735" i="73"/>
  <c r="H732" i="73"/>
  <c r="H744" i="73"/>
  <c r="H762" i="73" s="1"/>
  <c r="I756" i="73" l="1"/>
  <c r="H756" i="73"/>
  <c r="W2" i="62"/>
  <c r="H753" i="73"/>
  <c r="H759" i="73"/>
  <c r="H750" i="73"/>
  <c r="F765" i="73"/>
  <c r="I735" i="73"/>
  <c r="I753" i="73" s="1"/>
  <c r="I732" i="73"/>
  <c r="I750" i="73" s="1"/>
  <c r="I741" i="73"/>
  <c r="I759" i="73" s="1"/>
  <c r="G765" i="73" l="1"/>
  <c r="H765" i="73"/>
  <c r="W33" i="65" l="1"/>
  <c r="AA31" i="65" l="1"/>
  <c r="Z31" i="65"/>
  <c r="Y31" i="65"/>
  <c r="X31" i="65"/>
  <c r="J576" i="73" l="1"/>
  <c r="J586" i="73"/>
  <c r="J495" i="73"/>
  <c r="J343" i="73"/>
  <c r="J254" i="73"/>
  <c r="J595" i="73"/>
  <c r="J427" i="73"/>
  <c r="J430" i="73"/>
  <c r="J652" i="73"/>
  <c r="J655" i="73"/>
  <c r="J657" i="73"/>
  <c r="J658" i="73"/>
  <c r="J656" i="73"/>
  <c r="J664" i="73"/>
  <c r="J667" i="73"/>
  <c r="J668" i="73"/>
  <c r="J26" i="66"/>
  <c r="J345" i="73"/>
  <c r="J669" i="73"/>
  <c r="J349" i="73"/>
  <c r="J10" i="66"/>
  <c r="J410" i="73"/>
  <c r="M20" i="66"/>
  <c r="J414" i="73"/>
  <c r="M15" i="66"/>
  <c r="J426" i="73"/>
  <c r="J428" i="73"/>
  <c r="M30" i="66"/>
  <c r="J431" i="73"/>
  <c r="J246" i="73"/>
  <c r="J570" i="73"/>
  <c r="P6" i="66"/>
  <c r="J491" i="73"/>
  <c r="P23" i="66"/>
  <c r="P30" i="66"/>
  <c r="J512" i="73"/>
  <c r="J327" i="73"/>
  <c r="J247" i="73"/>
  <c r="J259" i="73"/>
  <c r="J268" i="73"/>
  <c r="I669" i="73"/>
  <c r="I668" i="73"/>
  <c r="I658" i="73"/>
  <c r="I654" i="73"/>
  <c r="I570" i="73"/>
  <c r="AM173" i="73"/>
  <c r="AM211" i="73" s="1"/>
  <c r="AM212" i="73" s="1"/>
  <c r="I667" i="73"/>
  <c r="I657" i="73"/>
  <c r="I670" i="73"/>
  <c r="I664" i="73"/>
  <c r="I652" i="73"/>
  <c r="M23" i="66"/>
  <c r="M4" i="66"/>
  <c r="M19" i="66"/>
  <c r="M18" i="66"/>
  <c r="M16" i="66"/>
  <c r="J27" i="66"/>
  <c r="I596" i="73" l="1"/>
  <c r="AB8" i="65"/>
  <c r="J578" i="73"/>
  <c r="I660" i="73"/>
  <c r="I659" i="73"/>
  <c r="J423" i="73"/>
  <c r="J419" i="73"/>
  <c r="J253" i="73"/>
  <c r="J250" i="73"/>
  <c r="AB21" i="65"/>
  <c r="AB17" i="65"/>
  <c r="AB13" i="65"/>
  <c r="AB9" i="65"/>
  <c r="I571" i="73"/>
  <c r="J572" i="73"/>
  <c r="AC6" i="65"/>
  <c r="J587" i="73"/>
  <c r="J344" i="73"/>
  <c r="I656" i="73"/>
  <c r="I662" i="73"/>
  <c r="J662" i="73"/>
  <c r="J425" i="73"/>
  <c r="J416" i="73"/>
  <c r="I578" i="73"/>
  <c r="J256" i="73"/>
  <c r="AB20" i="65"/>
  <c r="AC12" i="65"/>
  <c r="AC10" i="65"/>
  <c r="J272" i="73"/>
  <c r="J265" i="73"/>
  <c r="J579" i="73"/>
  <c r="J573" i="73"/>
  <c r="I653" i="73"/>
  <c r="J665" i="73"/>
  <c r="J660" i="73"/>
  <c r="J424" i="73"/>
  <c r="J417" i="73"/>
  <c r="J262" i="73"/>
  <c r="I593" i="73"/>
  <c r="AC30" i="65"/>
  <c r="AC28" i="65"/>
  <c r="J510" i="73"/>
  <c r="AC21" i="65"/>
  <c r="J505" i="73"/>
  <c r="J502" i="73"/>
  <c r="J596" i="73"/>
  <c r="J266" i="73"/>
  <c r="J257" i="73"/>
  <c r="J577" i="73"/>
  <c r="J248" i="73"/>
  <c r="J255" i="73"/>
  <c r="J653" i="73"/>
  <c r="J659" i="73"/>
  <c r="AB28" i="65"/>
  <c r="AB26" i="65"/>
  <c r="AB16" i="65"/>
  <c r="AB12" i="65"/>
  <c r="I655" i="73"/>
  <c r="I579" i="73"/>
  <c r="J260" i="73"/>
  <c r="I580" i="73"/>
  <c r="J513" i="73"/>
  <c r="J506" i="73"/>
  <c r="J503" i="73"/>
  <c r="J583" i="73"/>
  <c r="J580" i="73"/>
  <c r="K413" i="73"/>
  <c r="K582" i="73"/>
  <c r="K346" i="73"/>
  <c r="K663" i="73"/>
  <c r="X33" i="65"/>
  <c r="J663" i="73"/>
  <c r="K419" i="73"/>
  <c r="K417" i="73"/>
  <c r="K414" i="73"/>
  <c r="J413" i="73"/>
  <c r="AO173" i="73"/>
  <c r="K570" i="73"/>
  <c r="K662" i="73"/>
  <c r="I582" i="73"/>
  <c r="J347" i="73"/>
  <c r="J346" i="73"/>
  <c r="J666" i="73"/>
  <c r="J342" i="73"/>
  <c r="AB18" i="65"/>
  <c r="AB14" i="65"/>
  <c r="AB10" i="65"/>
  <c r="AB6" i="65"/>
  <c r="K408" i="73"/>
  <c r="J571" i="73"/>
  <c r="I575" i="73"/>
  <c r="I663" i="73"/>
  <c r="J507" i="73"/>
  <c r="K505" i="73"/>
  <c r="AC19" i="65"/>
  <c r="J498" i="73"/>
  <c r="J492" i="73"/>
  <c r="AC5" i="65"/>
  <c r="I581" i="73"/>
  <c r="J263" i="73"/>
  <c r="K257" i="73"/>
  <c r="Z33" i="65"/>
  <c r="K418" i="73"/>
  <c r="K415" i="73"/>
  <c r="K342" i="73"/>
  <c r="K581" i="73"/>
  <c r="Y33" i="65"/>
  <c r="M26" i="66"/>
  <c r="J415" i="73"/>
  <c r="J429" i="73"/>
  <c r="K425" i="73"/>
  <c r="J421" i="73"/>
  <c r="J411" i="73"/>
  <c r="I592" i="73"/>
  <c r="K268" i="73"/>
  <c r="K262" i="73"/>
  <c r="J582" i="73"/>
  <c r="K254" i="73"/>
  <c r="J252" i="73"/>
  <c r="J249" i="73"/>
  <c r="AB27" i="65"/>
  <c r="AB15" i="65"/>
  <c r="AB11" i="65"/>
  <c r="AB7" i="65"/>
  <c r="J589" i="73"/>
  <c r="J269" i="73"/>
  <c r="K260" i="73"/>
  <c r="J670" i="73"/>
  <c r="I590" i="73"/>
  <c r="J514" i="73"/>
  <c r="K512" i="73"/>
  <c r="J511" i="73"/>
  <c r="AC23" i="65"/>
  <c r="K503" i="73"/>
  <c r="AC17" i="65"/>
  <c r="J501" i="73"/>
  <c r="J496" i="73"/>
  <c r="K494" i="73"/>
  <c r="AC8" i="65"/>
  <c r="K246" i="73"/>
  <c r="B780" i="73" s="1"/>
  <c r="AO32" i="73"/>
  <c r="K573" i="73"/>
  <c r="I591" i="73"/>
  <c r="J267" i="73"/>
  <c r="K265" i="73"/>
  <c r="K576" i="73"/>
  <c r="AA33" i="65"/>
  <c r="K654" i="73"/>
  <c r="K347" i="73"/>
  <c r="K345" i="73"/>
  <c r="K575" i="73"/>
  <c r="K507" i="73"/>
  <c r="K498" i="73"/>
  <c r="K492" i="73"/>
  <c r="K263" i="73"/>
  <c r="J575" i="73"/>
  <c r="J418" i="73"/>
  <c r="J654" i="73"/>
  <c r="K429" i="73"/>
  <c r="K426" i="73"/>
  <c r="K423" i="73"/>
  <c r="K421" i="73"/>
  <c r="K411" i="73"/>
  <c r="J592" i="73"/>
  <c r="J581" i="73"/>
  <c r="K255" i="73"/>
  <c r="K252" i="73"/>
  <c r="K249" i="73"/>
  <c r="J353" i="73"/>
  <c r="AB29" i="65"/>
  <c r="AB5" i="65"/>
  <c r="K669" i="73"/>
  <c r="I589" i="73"/>
  <c r="K269" i="73"/>
  <c r="T31" i="65"/>
  <c r="T33" i="65" s="1"/>
  <c r="AB4" i="65"/>
  <c r="J590" i="73"/>
  <c r="K514" i="73"/>
  <c r="K511" i="73"/>
  <c r="AC25" i="65"/>
  <c r="K501" i="73"/>
  <c r="AC15" i="65"/>
  <c r="K496" i="73"/>
  <c r="J494" i="73"/>
  <c r="K653" i="73"/>
  <c r="I573" i="73"/>
  <c r="J591" i="73"/>
  <c r="K267" i="73"/>
  <c r="K652" i="73"/>
  <c r="I576" i="73"/>
  <c r="K431" i="73"/>
  <c r="K428" i="73"/>
  <c r="K420" i="73"/>
  <c r="K409" i="73"/>
  <c r="U31" i="65"/>
  <c r="U33" i="65" s="1"/>
  <c r="AC4" i="65"/>
  <c r="K658" i="73"/>
  <c r="K588" i="73"/>
  <c r="J588" i="73"/>
  <c r="K572" i="73"/>
  <c r="K352" i="73"/>
  <c r="K351" i="73"/>
  <c r="K350" i="73"/>
  <c r="K349" i="73"/>
  <c r="AB25" i="65"/>
  <c r="AB24" i="65"/>
  <c r="AB23" i="65"/>
  <c r="AB22" i="65"/>
  <c r="AB19" i="65"/>
  <c r="K341" i="73"/>
  <c r="K340" i="73"/>
  <c r="K339" i="73"/>
  <c r="K337" i="73"/>
  <c r="K336" i="73"/>
  <c r="K335" i="73"/>
  <c r="K334" i="73"/>
  <c r="K333" i="73"/>
  <c r="K332" i="73"/>
  <c r="K331" i="73"/>
  <c r="K330" i="73"/>
  <c r="K329" i="73"/>
  <c r="K659" i="73"/>
  <c r="K583" i="73"/>
  <c r="K259" i="73"/>
  <c r="K247" i="73"/>
  <c r="K656" i="73"/>
  <c r="J515" i="73"/>
  <c r="K513" i="73"/>
  <c r="AC27" i="65"/>
  <c r="K510" i="73"/>
  <c r="AC24" i="65"/>
  <c r="J508" i="73"/>
  <c r="K506" i="73"/>
  <c r="AC20" i="65"/>
  <c r="J504" i="73"/>
  <c r="K502" i="73"/>
  <c r="AC16" i="65"/>
  <c r="J500" i="73"/>
  <c r="AC13" i="65"/>
  <c r="J497" i="73"/>
  <c r="K495" i="73"/>
  <c r="AC9" i="65"/>
  <c r="J493" i="73"/>
  <c r="K491" i="73"/>
  <c r="J490" i="73"/>
  <c r="K657" i="73"/>
  <c r="I577" i="73"/>
  <c r="K587" i="73"/>
  <c r="I595" i="73"/>
  <c r="K272" i="73"/>
  <c r="J270" i="73"/>
  <c r="K266" i="73"/>
  <c r="J264" i="73"/>
  <c r="J585" i="73"/>
  <c r="J258" i="73"/>
  <c r="K248" i="73"/>
  <c r="K664" i="73"/>
  <c r="I586" i="73"/>
  <c r="K430" i="73"/>
  <c r="K427" i="73"/>
  <c r="K424" i="73"/>
  <c r="J420" i="73"/>
  <c r="K416" i="73"/>
  <c r="K410" i="73"/>
  <c r="J409" i="73"/>
  <c r="K578" i="73"/>
  <c r="K668" i="73"/>
  <c r="I588" i="73"/>
  <c r="K596" i="73"/>
  <c r="K256" i="73"/>
  <c r="K253" i="73"/>
  <c r="K250" i="73"/>
  <c r="I572" i="73"/>
  <c r="AB30" i="65"/>
  <c r="J352" i="73"/>
  <c r="J351" i="73"/>
  <c r="J350" i="73"/>
  <c r="K344" i="73"/>
  <c r="K343" i="73"/>
  <c r="K665" i="73"/>
  <c r="J341" i="73"/>
  <c r="J340" i="73"/>
  <c r="J339" i="73"/>
  <c r="J337" i="73"/>
  <c r="J336" i="73"/>
  <c r="J335" i="73"/>
  <c r="J334" i="73"/>
  <c r="J333" i="73"/>
  <c r="J332" i="73"/>
  <c r="J331" i="73"/>
  <c r="J330" i="73"/>
  <c r="J329" i="73"/>
  <c r="K655" i="73"/>
  <c r="K579" i="73"/>
  <c r="I583" i="73"/>
  <c r="K593" i="73"/>
  <c r="K327" i="73"/>
  <c r="AO66" i="73"/>
  <c r="K580" i="73"/>
  <c r="K515" i="73"/>
  <c r="AC29" i="65"/>
  <c r="AC26" i="65"/>
  <c r="K508" i="73"/>
  <c r="AC22" i="65"/>
  <c r="K504" i="73"/>
  <c r="AC18" i="65"/>
  <c r="K500" i="73"/>
  <c r="AC14" i="65"/>
  <c r="K497" i="73"/>
  <c r="AC11" i="65"/>
  <c r="K493" i="73"/>
  <c r="AC7" i="65"/>
  <c r="K490" i="73"/>
  <c r="K577" i="73"/>
  <c r="K667" i="73"/>
  <c r="I587" i="73"/>
  <c r="K595" i="73"/>
  <c r="K270" i="73"/>
  <c r="J593" i="73"/>
  <c r="K264" i="73"/>
  <c r="K585" i="73"/>
  <c r="K258" i="73"/>
  <c r="K660" i="73"/>
  <c r="K586" i="73"/>
  <c r="G21" i="66"/>
  <c r="G5" i="66"/>
  <c r="G15" i="66"/>
  <c r="G20" i="66"/>
  <c r="G8" i="66"/>
  <c r="G28" i="66"/>
  <c r="G26" i="66"/>
  <c r="G27" i="66"/>
  <c r="G30" i="66"/>
  <c r="G22" i="66"/>
  <c r="G16" i="66"/>
  <c r="G23" i="66"/>
  <c r="G10" i="66"/>
  <c r="G19" i="66"/>
  <c r="AQ32" i="73"/>
  <c r="M570" i="73"/>
  <c r="AQ173" i="73"/>
  <c r="M408" i="73"/>
  <c r="L246" i="73"/>
  <c r="L408" i="73"/>
  <c r="L570" i="73"/>
  <c r="AP173" i="73"/>
  <c r="AN66" i="73"/>
  <c r="M29" i="66"/>
  <c r="M28" i="66"/>
  <c r="M22" i="66"/>
  <c r="M24" i="66"/>
  <c r="M6" i="66"/>
  <c r="J9" i="66"/>
  <c r="M27" i="66"/>
  <c r="AN32" i="73"/>
  <c r="AN211" i="73" s="1"/>
  <c r="AN212" i="73" s="1"/>
  <c r="B779" i="73"/>
  <c r="J408" i="73"/>
  <c r="V15" i="66"/>
  <c r="V16" i="66"/>
  <c r="V29" i="66"/>
  <c r="P11" i="66"/>
  <c r="P25" i="66"/>
  <c r="M25" i="66"/>
  <c r="J25" i="66"/>
  <c r="P19" i="66"/>
  <c r="P14" i="66"/>
  <c r="S27" i="66"/>
  <c r="M21" i="66"/>
  <c r="P22" i="66"/>
  <c r="M14" i="66"/>
  <c r="M8" i="66"/>
  <c r="M13" i="66"/>
  <c r="P27" i="66"/>
  <c r="P13" i="66"/>
  <c r="P24" i="66"/>
  <c r="P20" i="66"/>
  <c r="P21" i="66"/>
  <c r="P8" i="66"/>
  <c r="P7" i="66"/>
  <c r="P12" i="66"/>
  <c r="S26" i="66"/>
  <c r="M12" i="66"/>
  <c r="P5" i="66"/>
  <c r="M11" i="66"/>
  <c r="M9" i="66"/>
  <c r="P18" i="66"/>
  <c r="S29" i="66"/>
  <c r="V9" i="66"/>
  <c r="V27" i="66"/>
  <c r="M17" i="66"/>
  <c r="P10" i="66"/>
  <c r="J29" i="66"/>
  <c r="P28" i="66"/>
  <c r="M5" i="66"/>
  <c r="M7" i="66"/>
  <c r="P26" i="66"/>
  <c r="S15" i="66"/>
  <c r="P29" i="66"/>
  <c r="S9" i="66"/>
  <c r="P9" i="66"/>
  <c r="S25" i="66"/>
  <c r="J16" i="66"/>
  <c r="P17" i="66"/>
  <c r="P15" i="66"/>
  <c r="M10" i="66"/>
  <c r="P16" i="66"/>
  <c r="S16" i="66"/>
  <c r="S10" i="66"/>
  <c r="V10" i="66"/>
  <c r="V26" i="66"/>
  <c r="P4" i="66"/>
  <c r="AO211" i="73" l="1"/>
  <c r="AG9" i="65"/>
  <c r="AD21" i="65"/>
  <c r="AI27" i="65"/>
  <c r="J756" i="73"/>
  <c r="AE21" i="65"/>
  <c r="K756" i="73"/>
  <c r="AE11" i="65"/>
  <c r="AE13" i="65"/>
  <c r="AE25" i="65"/>
  <c r="AE8" i="65"/>
  <c r="AE17" i="65"/>
  <c r="AE28" i="65"/>
  <c r="AE12" i="65"/>
  <c r="AE26" i="65"/>
  <c r="AE29" i="65"/>
  <c r="AE9" i="65"/>
  <c r="AE23" i="65"/>
  <c r="AE5" i="65"/>
  <c r="AE19" i="65"/>
  <c r="AE6" i="65"/>
  <c r="AE18" i="65"/>
  <c r="AE24" i="65"/>
  <c r="AE30" i="65"/>
  <c r="AE7" i="65"/>
  <c r="AE14" i="65"/>
  <c r="AE22" i="65"/>
  <c r="AE16" i="65"/>
  <c r="AE27" i="65"/>
  <c r="AE10" i="65"/>
  <c r="AD5" i="65"/>
  <c r="AD9" i="65"/>
  <c r="AD23" i="65"/>
  <c r="AD7" i="65"/>
  <c r="AD14" i="65"/>
  <c r="AD28" i="65"/>
  <c r="AD11" i="65"/>
  <c r="AD12" i="65"/>
  <c r="AD8" i="65"/>
  <c r="AD30" i="65"/>
  <c r="AD19" i="65"/>
  <c r="AD25" i="65"/>
  <c r="AD29" i="65"/>
  <c r="AD6" i="65"/>
  <c r="AD16" i="65"/>
  <c r="AD13" i="65"/>
  <c r="AD24" i="65"/>
  <c r="AD18" i="65"/>
  <c r="AD22" i="65"/>
  <c r="AD27" i="65"/>
  <c r="AD10" i="65"/>
  <c r="AD26" i="65"/>
  <c r="AD17" i="65"/>
  <c r="AP32" i="73"/>
  <c r="M246" i="73"/>
  <c r="B782" i="73" s="1"/>
  <c r="AD20" i="65"/>
  <c r="I744" i="73"/>
  <c r="I762" i="73" s="1"/>
  <c r="L270" i="73"/>
  <c r="L493" i="73"/>
  <c r="L515" i="73"/>
  <c r="L579" i="73"/>
  <c r="L656" i="73"/>
  <c r="L330" i="73"/>
  <c r="L588" i="73"/>
  <c r="L428" i="73"/>
  <c r="L421" i="73"/>
  <c r="L426" i="73"/>
  <c r="L263" i="73"/>
  <c r="L347" i="73"/>
  <c r="AD15" i="65"/>
  <c r="K732" i="73"/>
  <c r="K750" i="73" s="1"/>
  <c r="I765" i="73"/>
  <c r="L660" i="73"/>
  <c r="L585" i="73"/>
  <c r="L577" i="73"/>
  <c r="L497" i="73"/>
  <c r="AP66" i="73"/>
  <c r="L327" i="73"/>
  <c r="L253" i="73"/>
  <c r="L596" i="73"/>
  <c r="L410" i="73"/>
  <c r="L427" i="73"/>
  <c r="L664" i="73"/>
  <c r="L350" i="73"/>
  <c r="L352" i="73"/>
  <c r="AE4" i="65"/>
  <c r="AC31" i="65"/>
  <c r="L652" i="73"/>
  <c r="K591" i="73"/>
  <c r="L669" i="73"/>
  <c r="K353" i="73"/>
  <c r="L252" i="73"/>
  <c r="L573" i="73"/>
  <c r="L425" i="73"/>
  <c r="L581" i="73"/>
  <c r="L342" i="73"/>
  <c r="L418" i="73"/>
  <c r="K571" i="73"/>
  <c r="L417" i="73"/>
  <c r="L346" i="73"/>
  <c r="L413" i="73"/>
  <c r="L508" i="73"/>
  <c r="L578" i="73"/>
  <c r="L491" i="73"/>
  <c r="AE20" i="65"/>
  <c r="L259" i="73"/>
  <c r="L334" i="73"/>
  <c r="L511" i="73"/>
  <c r="L269" i="73"/>
  <c r="L498" i="73"/>
  <c r="K670" i="73"/>
  <c r="L262" i="73"/>
  <c r="L257" i="73"/>
  <c r="L586" i="73"/>
  <c r="L258" i="73"/>
  <c r="L264" i="73"/>
  <c r="L667" i="73"/>
  <c r="L490" i="73"/>
  <c r="L504" i="73"/>
  <c r="L593" i="73"/>
  <c r="L250" i="73"/>
  <c r="L256" i="73"/>
  <c r="L424" i="73"/>
  <c r="L430" i="73"/>
  <c r="L248" i="73"/>
  <c r="L272" i="73"/>
  <c r="L657" i="73"/>
  <c r="L513" i="73"/>
  <c r="L349" i="73"/>
  <c r="L351" i="73"/>
  <c r="L572" i="73"/>
  <c r="L267" i="73"/>
  <c r="L496" i="73"/>
  <c r="AD4" i="65"/>
  <c r="AB31" i="65"/>
  <c r="L249" i="73"/>
  <c r="L255" i="73"/>
  <c r="AC32" i="65"/>
  <c r="L576" i="73"/>
  <c r="L265" i="73"/>
  <c r="L494" i="73"/>
  <c r="K589" i="73"/>
  <c r="L254" i="73"/>
  <c r="L415" i="73"/>
  <c r="K666" i="73"/>
  <c r="L662" i="73"/>
  <c r="L414" i="73"/>
  <c r="L419" i="73"/>
  <c r="L582" i="73"/>
  <c r="L580" i="73"/>
  <c r="L343" i="73"/>
  <c r="L495" i="73"/>
  <c r="L583" i="73"/>
  <c r="L332" i="73"/>
  <c r="L336" i="73"/>
  <c r="L340" i="73"/>
  <c r="L501" i="73"/>
  <c r="K590" i="73"/>
  <c r="K592" i="73"/>
  <c r="K741" i="73"/>
  <c r="K759" i="73" s="1"/>
  <c r="L575" i="73"/>
  <c r="L512" i="73"/>
  <c r="L595" i="73"/>
  <c r="L500" i="73"/>
  <c r="L655" i="73"/>
  <c r="L665" i="73"/>
  <c r="L344" i="73"/>
  <c r="L668" i="73"/>
  <c r="L416" i="73"/>
  <c r="L266" i="73"/>
  <c r="L587" i="73"/>
  <c r="L502" i="73"/>
  <c r="L506" i="73"/>
  <c r="L510" i="73"/>
  <c r="L247" i="73"/>
  <c r="L659" i="73"/>
  <c r="L329" i="73"/>
  <c r="L331" i="73"/>
  <c r="L333" i="73"/>
  <c r="L335" i="73"/>
  <c r="L337" i="73"/>
  <c r="L339" i="73"/>
  <c r="L341" i="73"/>
  <c r="L658" i="73"/>
  <c r="L409" i="73"/>
  <c r="L420" i="73"/>
  <c r="L431" i="73"/>
  <c r="L653" i="73"/>
  <c r="AE15" i="65"/>
  <c r="L514" i="73"/>
  <c r="L411" i="73"/>
  <c r="L423" i="73"/>
  <c r="L429" i="73"/>
  <c r="L492" i="73"/>
  <c r="L507" i="73"/>
  <c r="L345" i="73"/>
  <c r="L654" i="73"/>
  <c r="L503" i="73"/>
  <c r="L260" i="73"/>
  <c r="L268" i="73"/>
  <c r="L505" i="73"/>
  <c r="L663" i="73"/>
  <c r="AX29" i="66"/>
  <c r="AX16" i="66"/>
  <c r="AX27" i="66"/>
  <c r="AX10" i="66"/>
  <c r="AX9" i="66"/>
  <c r="AX26" i="66"/>
  <c r="G17" i="66"/>
  <c r="G12" i="66"/>
  <c r="G7" i="66"/>
  <c r="G13" i="66"/>
  <c r="G29" i="66"/>
  <c r="G25" i="66"/>
  <c r="G18" i="66"/>
  <c r="G11" i="66"/>
  <c r="G24" i="66"/>
  <c r="G6" i="66"/>
  <c r="G9" i="66"/>
  <c r="G14" i="66"/>
  <c r="B781" i="73"/>
  <c r="AG31" i="65" l="1"/>
  <c r="AO213" i="73"/>
  <c r="AO212" i="73"/>
  <c r="AP211" i="73"/>
  <c r="AP212" i="73" s="1"/>
  <c r="L756" i="73"/>
  <c r="AE32" i="65"/>
  <c r="AF31" i="65"/>
  <c r="M653" i="73"/>
  <c r="M341" i="73"/>
  <c r="M337" i="73"/>
  <c r="M329" i="73"/>
  <c r="M502" i="73"/>
  <c r="M668" i="73"/>
  <c r="M595" i="73"/>
  <c r="L741" i="73"/>
  <c r="L759" i="73" s="1"/>
  <c r="M336" i="73"/>
  <c r="M583" i="73"/>
  <c r="M580" i="73"/>
  <c r="M419" i="73"/>
  <c r="M415" i="73"/>
  <c r="M496" i="73"/>
  <c r="M349" i="73"/>
  <c r="M586" i="73"/>
  <c r="M663" i="73"/>
  <c r="M431" i="73"/>
  <c r="M409" i="73"/>
  <c r="M339" i="73"/>
  <c r="M659" i="73"/>
  <c r="M247" i="73"/>
  <c r="M587" i="73"/>
  <c r="M655" i="73"/>
  <c r="M575" i="73"/>
  <c r="M501" i="73"/>
  <c r="M332" i="73"/>
  <c r="M495" i="73"/>
  <c r="M582" i="73"/>
  <c r="M414" i="73"/>
  <c r="M255" i="73"/>
  <c r="M260" i="73"/>
  <c r="M654" i="73"/>
  <c r="M507" i="73"/>
  <c r="M423" i="73"/>
  <c r="M514" i="73"/>
  <c r="M491" i="73"/>
  <c r="M508" i="73"/>
  <c r="M346" i="73"/>
  <c r="M418" i="73"/>
  <c r="M573" i="73"/>
  <c r="M252" i="73"/>
  <c r="M669" i="73"/>
  <c r="M652" i="73"/>
  <c r="M350" i="73"/>
  <c r="M410" i="73"/>
  <c r="M253" i="73"/>
  <c r="L732" i="73"/>
  <c r="L750" i="73" s="1"/>
  <c r="M420" i="73"/>
  <c r="M333" i="73"/>
  <c r="M510" i="73"/>
  <c r="M665" i="73"/>
  <c r="M512" i="73"/>
  <c r="L590" i="73"/>
  <c r="M662" i="73"/>
  <c r="M494" i="73"/>
  <c r="M265" i="73"/>
  <c r="M249" i="73"/>
  <c r="M572" i="73"/>
  <c r="M657" i="73"/>
  <c r="M248" i="73"/>
  <c r="M424" i="73"/>
  <c r="M250" i="73"/>
  <c r="M490" i="73"/>
  <c r="M264" i="73"/>
  <c r="M262" i="73"/>
  <c r="M498" i="73"/>
  <c r="M511" i="73"/>
  <c r="M342" i="73"/>
  <c r="AC33" i="65"/>
  <c r="AE31" i="65"/>
  <c r="M327" i="73"/>
  <c r="AQ66" i="73"/>
  <c r="AQ211" i="73" s="1"/>
  <c r="AQ212" i="73" s="1"/>
  <c r="M577" i="73"/>
  <c r="M660" i="73"/>
  <c r="M347" i="73"/>
  <c r="M426" i="73"/>
  <c r="M428" i="73"/>
  <c r="M330" i="73"/>
  <c r="M579" i="73"/>
  <c r="M493" i="73"/>
  <c r="M268" i="73"/>
  <c r="M503" i="73"/>
  <c r="M345" i="73"/>
  <c r="M492" i="73"/>
  <c r="M429" i="73"/>
  <c r="M411" i="73"/>
  <c r="AD31" i="65"/>
  <c r="M578" i="73"/>
  <c r="M413" i="73"/>
  <c r="M417" i="73"/>
  <c r="L571" i="73"/>
  <c r="M425" i="73"/>
  <c r="L353" i="73"/>
  <c r="L591" i="73"/>
  <c r="M352" i="73"/>
  <c r="M664" i="73"/>
  <c r="M427" i="73"/>
  <c r="M596" i="73"/>
  <c r="M658" i="73"/>
  <c r="M266" i="73"/>
  <c r="L589" i="73"/>
  <c r="M505" i="73"/>
  <c r="M335" i="73"/>
  <c r="M331" i="73"/>
  <c r="M506" i="73"/>
  <c r="M416" i="73"/>
  <c r="M344" i="73"/>
  <c r="M500" i="73"/>
  <c r="L592" i="73"/>
  <c r="M340" i="73"/>
  <c r="M343" i="73"/>
  <c r="L666" i="73"/>
  <c r="M254" i="73"/>
  <c r="M576" i="73"/>
  <c r="M267" i="73"/>
  <c r="M351" i="73"/>
  <c r="M513" i="73"/>
  <c r="M272" i="73"/>
  <c r="M430" i="73"/>
  <c r="M256" i="73"/>
  <c r="M593" i="73"/>
  <c r="M504" i="73"/>
  <c r="M667" i="73"/>
  <c r="M258" i="73"/>
  <c r="M257" i="73"/>
  <c r="L670" i="73"/>
  <c r="M269" i="73"/>
  <c r="M334" i="73"/>
  <c r="M259" i="73"/>
  <c r="M581" i="73"/>
  <c r="M497" i="73"/>
  <c r="M585" i="73"/>
  <c r="M263" i="73"/>
  <c r="M421" i="73"/>
  <c r="M588" i="73"/>
  <c r="M656" i="73"/>
  <c r="M515" i="73"/>
  <c r="M270" i="73"/>
  <c r="AX25" i="66"/>
  <c r="V23" i="66"/>
  <c r="AE33" i="65" l="1"/>
  <c r="AC34" i="65"/>
  <c r="M756" i="73"/>
  <c r="AG33" i="65"/>
  <c r="AR32" i="73"/>
  <c r="AS32" i="73" s="1"/>
  <c r="M589" i="73"/>
  <c r="M571" i="73"/>
  <c r="M590" i="73"/>
  <c r="M732" i="73"/>
  <c r="M750" i="73" s="1"/>
  <c r="M666" i="73"/>
  <c r="M353" i="73"/>
  <c r="M741" i="73"/>
  <c r="M759" i="73" s="1"/>
  <c r="M670" i="73"/>
  <c r="M592" i="73"/>
  <c r="M591" i="73"/>
  <c r="V25" i="66"/>
  <c r="AR211" i="73" l="1"/>
  <c r="AR212" i="73" s="1"/>
  <c r="AR33" i="73"/>
  <c r="S21" i="66"/>
  <c r="S23" i="66"/>
  <c r="AX23" i="66" l="1"/>
  <c r="J21" i="66"/>
  <c r="J23" i="66"/>
  <c r="AX21" i="66" l="1"/>
  <c r="V20" i="66"/>
  <c r="V21" i="66" l="1"/>
  <c r="S12" i="66" l="1"/>
  <c r="S20" i="66"/>
  <c r="AX20" i="66" l="1"/>
  <c r="J12" i="66"/>
  <c r="J20" i="66"/>
  <c r="V6" i="66" l="1"/>
  <c r="AX12" i="66"/>
  <c r="V12" i="66" l="1"/>
  <c r="S6" i="66" l="1"/>
  <c r="S4" i="66"/>
  <c r="AX6" i="66" l="1"/>
  <c r="J4" i="66"/>
  <c r="J6" i="66"/>
  <c r="V19" i="66" l="1"/>
  <c r="V4" i="66" l="1"/>
  <c r="S30" i="66"/>
  <c r="S19" i="66"/>
  <c r="AX19" i="66" l="1"/>
  <c r="J19" i="66"/>
  <c r="J30" i="66"/>
  <c r="V8" i="66" l="1"/>
  <c r="AX30" i="66"/>
  <c r="V30" i="66" l="1"/>
  <c r="S18" i="66" l="1"/>
  <c r="S8" i="66"/>
  <c r="AX8" i="66" l="1"/>
  <c r="J8" i="66"/>
  <c r="J18" i="66"/>
  <c r="AX18" i="66" l="1"/>
  <c r="V17" i="66"/>
  <c r="V18" i="66" l="1"/>
  <c r="S17" i="66" l="1"/>
  <c r="S28" i="66"/>
  <c r="AX17" i="66"/>
  <c r="J28" i="66" l="1"/>
  <c r="J17" i="66"/>
  <c r="AX28" i="66" l="1"/>
  <c r="V7" i="66"/>
  <c r="J744" i="73"/>
  <c r="J762" i="73" s="1"/>
  <c r="J741" i="73"/>
  <c r="J759" i="73" s="1"/>
  <c r="J735" i="73"/>
  <c r="J753" i="73" s="1"/>
  <c r="J732" i="73"/>
  <c r="J750" i="73" s="1"/>
  <c r="V28" i="66" l="1"/>
  <c r="J765" i="73"/>
  <c r="T89" i="62" l="1"/>
  <c r="T90" i="62"/>
  <c r="T88" i="62"/>
  <c r="T91" i="62"/>
  <c r="T92" i="62"/>
  <c r="D90" i="62"/>
  <c r="D89" i="62"/>
  <c r="D92" i="62"/>
  <c r="D91" i="62"/>
  <c r="D88" i="62"/>
  <c r="L4" i="62"/>
  <c r="M4" i="62"/>
  <c r="J4" i="62"/>
  <c r="I4" i="62"/>
  <c r="N128" i="62"/>
  <c r="S7" i="66"/>
  <c r="S22" i="66"/>
  <c r="E135" i="62" l="1"/>
  <c r="E140" i="62" s="1"/>
  <c r="I135" i="62"/>
  <c r="I140" i="62" s="1"/>
  <c r="M135" i="62"/>
  <c r="M140" i="62" s="1"/>
  <c r="F135" i="62"/>
  <c r="F140" i="62" s="1"/>
  <c r="J135" i="62"/>
  <c r="J140" i="62" s="1"/>
  <c r="B135" i="62"/>
  <c r="C135" i="62"/>
  <c r="C140" i="62" s="1"/>
  <c r="G135" i="62"/>
  <c r="G140" i="62" s="1"/>
  <c r="K135" i="62"/>
  <c r="K140" i="62" s="1"/>
  <c r="D135" i="62"/>
  <c r="D140" i="62" s="1"/>
  <c r="H135" i="62"/>
  <c r="H140" i="62" s="1"/>
  <c r="L135" i="62"/>
  <c r="L140" i="62" s="1"/>
  <c r="K4" i="62"/>
  <c r="AX7" i="66"/>
  <c r="J7" i="66"/>
  <c r="J22" i="66"/>
  <c r="D151" i="62" l="1"/>
  <c r="D144" i="62"/>
  <c r="D145" i="62"/>
  <c r="D149" i="62"/>
  <c r="D150" i="62"/>
  <c r="D152" i="62"/>
  <c r="D148" i="62"/>
  <c r="D143" i="62"/>
  <c r="B140" i="62"/>
  <c r="N135" i="62"/>
  <c r="D154" i="62"/>
  <c r="D146" i="62"/>
  <c r="D147" i="62"/>
  <c r="D153" i="62"/>
  <c r="U112" i="64"/>
  <c r="T112" i="64"/>
  <c r="V14" i="66"/>
  <c r="AX22" i="66"/>
  <c r="N140" i="62" l="1"/>
  <c r="B152" i="62"/>
  <c r="B144" i="62"/>
  <c r="B147" i="62"/>
  <c r="B150" i="62"/>
  <c r="B153" i="62"/>
  <c r="B148" i="62"/>
  <c r="B151" i="62"/>
  <c r="B154" i="62"/>
  <c r="B146" i="62"/>
  <c r="B149" i="62"/>
  <c r="B145" i="62"/>
  <c r="B143" i="62"/>
  <c r="V22" i="66"/>
  <c r="B42" i="64" l="1"/>
  <c r="S101" i="64" s="1"/>
  <c r="B43" i="64"/>
  <c r="Q101" i="64" s="1"/>
  <c r="E42" i="64"/>
  <c r="E43" i="64"/>
  <c r="D42" i="64"/>
  <c r="S7" i="62"/>
  <c r="U7" i="62" s="1"/>
  <c r="D43" i="64"/>
  <c r="J42" i="64"/>
  <c r="J43" i="64"/>
  <c r="F42" i="64"/>
  <c r="F43" i="64"/>
  <c r="M42" i="64"/>
  <c r="M43" i="64"/>
  <c r="H42" i="64"/>
  <c r="H43" i="64"/>
  <c r="G42" i="64"/>
  <c r="S106" i="64" s="1"/>
  <c r="G43" i="64"/>
  <c r="C42" i="64"/>
  <c r="S102" i="64" s="1"/>
  <c r="C43" i="64"/>
  <c r="L42" i="64"/>
  <c r="L43" i="64"/>
  <c r="K42" i="64"/>
  <c r="K43" i="64"/>
  <c r="I42" i="64"/>
  <c r="I43" i="64"/>
  <c r="S24" i="66"/>
  <c r="S14" i="66"/>
  <c r="W7" i="62" l="1"/>
  <c r="S111" i="64"/>
  <c r="S110" i="64"/>
  <c r="S109" i="64"/>
  <c r="S108" i="64"/>
  <c r="S107" i="64"/>
  <c r="S105" i="64"/>
  <c r="S104" i="64"/>
  <c r="Q111" i="64"/>
  <c r="L45" i="64"/>
  <c r="Q112" i="64"/>
  <c r="M45" i="64"/>
  <c r="Q109" i="64"/>
  <c r="J45" i="64"/>
  <c r="AP10" i="64" s="1"/>
  <c r="S103" i="64"/>
  <c r="B45" i="64"/>
  <c r="Q104" i="64"/>
  <c r="E45" i="64"/>
  <c r="Q106" i="64"/>
  <c r="G45" i="64"/>
  <c r="Q108" i="64"/>
  <c r="I45" i="64"/>
  <c r="Q110" i="64"/>
  <c r="K45" i="64"/>
  <c r="Q102" i="64"/>
  <c r="C45" i="64"/>
  <c r="Q107" i="64"/>
  <c r="H45" i="64"/>
  <c r="Q105" i="64"/>
  <c r="F45" i="64"/>
  <c r="Q103" i="64"/>
  <c r="D45" i="64"/>
  <c r="AX14" i="66"/>
  <c r="J14" i="66"/>
  <c r="J24" i="66"/>
  <c r="BD45" i="66"/>
  <c r="P31" i="66"/>
  <c r="M31" i="66"/>
  <c r="G31" i="66"/>
  <c r="U111" i="64" l="1"/>
  <c r="T111" i="64"/>
  <c r="U110" i="64"/>
  <c r="T110" i="64"/>
  <c r="U109" i="64"/>
  <c r="T109" i="64"/>
  <c r="U108" i="64"/>
  <c r="T108" i="64"/>
  <c r="U107" i="64"/>
  <c r="T107" i="64"/>
  <c r="U106" i="64"/>
  <c r="T106" i="64"/>
  <c r="U105" i="64"/>
  <c r="T105" i="64"/>
  <c r="T104" i="64"/>
  <c r="U104" i="64"/>
  <c r="U102" i="64"/>
  <c r="T102" i="64"/>
  <c r="T101" i="64"/>
  <c r="U101" i="64"/>
  <c r="U103" i="64"/>
  <c r="T103" i="64"/>
  <c r="AX24" i="66"/>
  <c r="V13" i="66"/>
  <c r="V24" i="66" l="1"/>
  <c r="S13" i="66" l="1"/>
  <c r="AX13" i="66"/>
  <c r="S5" i="66"/>
  <c r="J13" i="66" l="1"/>
  <c r="J5" i="66"/>
  <c r="V11" i="66" l="1"/>
  <c r="AX5" i="66"/>
  <c r="V5" i="66" l="1"/>
  <c r="L765" i="73" l="1"/>
  <c r="K765" i="73"/>
  <c r="S11" i="66"/>
  <c r="AX11" i="66" l="1"/>
  <c r="M765" i="73"/>
  <c r="J11" i="66"/>
  <c r="V31" i="66"/>
  <c r="K744" i="73" l="1"/>
  <c r="K762" i="73" s="1"/>
  <c r="L735" i="73"/>
  <c r="L753" i="73" s="1"/>
  <c r="V33" i="65"/>
  <c r="AB32" i="65"/>
  <c r="L744" i="73"/>
  <c r="L762" i="73" s="1"/>
  <c r="K735" i="73"/>
  <c r="K753" i="73" s="1"/>
  <c r="S31" i="66"/>
  <c r="AZ83" i="66"/>
  <c r="AZ86" i="66" s="1"/>
  <c r="AF33" i="65" l="1"/>
  <c r="M744" i="73"/>
  <c r="M762" i="73" s="1"/>
  <c r="M735" i="73"/>
  <c r="M753" i="73" s="1"/>
  <c r="AD32" i="65"/>
  <c r="AB33" i="65"/>
  <c r="AZ84" i="66"/>
  <c r="AX31" i="66"/>
  <c r="BD39" i="66"/>
  <c r="J31" i="66"/>
  <c r="AX15" i="66"/>
  <c r="AD33" i="65" l="1"/>
  <c r="AB34" i="65"/>
  <c r="J15" i="66"/>
  <c r="BA43" i="66" l="1"/>
  <c r="BA40" i="66"/>
  <c r="BA49" i="66"/>
  <c r="BA37" i="66"/>
  <c r="BA46" i="66"/>
  <c r="AD35" i="62" l="1"/>
  <c r="U42" i="62" l="1"/>
  <c r="U47" i="62" s="1"/>
  <c r="Y42" i="62"/>
  <c r="Y47" i="62" s="1"/>
  <c r="AC42" i="62"/>
  <c r="AC47" i="62" s="1"/>
  <c r="V42" i="62"/>
  <c r="V47" i="62" s="1"/>
  <c r="Z42" i="62"/>
  <c r="Z47" i="62" s="1"/>
  <c r="R42" i="62"/>
  <c r="S42" i="62"/>
  <c r="S47" i="62" s="1"/>
  <c r="W42" i="62"/>
  <c r="W47" i="62" s="1"/>
  <c r="AA42" i="62"/>
  <c r="AA47" i="62" s="1"/>
  <c r="T42" i="62"/>
  <c r="T47" i="62" s="1"/>
  <c r="X42" i="62"/>
  <c r="X47" i="62" s="1"/>
  <c r="AB42" i="62"/>
  <c r="AB47" i="62" s="1"/>
  <c r="N4" i="62"/>
  <c r="R37" i="64"/>
  <c r="T54" i="62" l="1"/>
  <c r="T52" i="62"/>
  <c r="T51" i="62"/>
  <c r="T57" i="62"/>
  <c r="T61" i="62"/>
  <c r="T60" i="62"/>
  <c r="T58" i="62"/>
  <c r="T50" i="62"/>
  <c r="T55" i="62"/>
  <c r="T56" i="62"/>
  <c r="T53" i="62"/>
  <c r="T59" i="62"/>
  <c r="B11" i="62"/>
  <c r="C11" i="62"/>
  <c r="C16" i="62" s="1"/>
  <c r="AD42" i="62"/>
  <c r="R47" i="62"/>
  <c r="F11" i="62"/>
  <c r="F16" i="62" s="1"/>
  <c r="J11" i="62"/>
  <c r="J16" i="62" s="1"/>
  <c r="G11" i="62"/>
  <c r="G16" i="62" s="1"/>
  <c r="K11" i="62"/>
  <c r="K16" i="62" s="1"/>
  <c r="I11" i="62"/>
  <c r="I16" i="62" s="1"/>
  <c r="D11" i="62"/>
  <c r="D16" i="62" s="1"/>
  <c r="H11" i="62"/>
  <c r="H16" i="62" s="1"/>
  <c r="L11" i="62"/>
  <c r="L16" i="62" s="1"/>
  <c r="E11" i="62"/>
  <c r="E16" i="62" s="1"/>
  <c r="M11" i="62"/>
  <c r="M16" i="62" s="1"/>
  <c r="T48" i="64"/>
  <c r="U48" i="64"/>
  <c r="T8" i="62"/>
  <c r="T9" i="62" s="1"/>
  <c r="AD47" i="62" l="1"/>
  <c r="R53" i="62"/>
  <c r="R56" i="62"/>
  <c r="R52" i="62"/>
  <c r="R58" i="62"/>
  <c r="R55" i="62"/>
  <c r="R51" i="62"/>
  <c r="C17" i="64" s="1"/>
  <c r="R54" i="62"/>
  <c r="R50" i="62"/>
  <c r="B17" i="64" s="1"/>
  <c r="R61" i="62"/>
  <c r="M17" i="64" s="1"/>
  <c r="R60" i="62"/>
  <c r="R59" i="62"/>
  <c r="R57" i="62"/>
  <c r="D20" i="62"/>
  <c r="D19" i="62"/>
  <c r="N11" i="62"/>
  <c r="B16" i="62"/>
  <c r="B26" i="62" s="1"/>
  <c r="F733" i="73"/>
  <c r="E733" i="73"/>
  <c r="I733" i="73"/>
  <c r="H733" i="73"/>
  <c r="C733" i="73"/>
  <c r="B733" i="73"/>
  <c r="G733" i="73"/>
  <c r="D733" i="73"/>
  <c r="J733" i="73"/>
  <c r="Y5" i="73"/>
  <c r="J273" i="73" s="1"/>
  <c r="U5" i="73"/>
  <c r="F273" i="73" s="1"/>
  <c r="Z5" i="73"/>
  <c r="Z32" i="73" s="1"/>
  <c r="T5" i="73"/>
  <c r="T32" i="73" s="1"/>
  <c r="AA5" i="73"/>
  <c r="L273" i="73" s="1"/>
  <c r="W5" i="73"/>
  <c r="W32" i="73" s="1"/>
  <c r="R32" i="73"/>
  <c r="S5" i="73"/>
  <c r="D273" i="73" s="1"/>
  <c r="X5" i="73"/>
  <c r="I273" i="73" s="1"/>
  <c r="V5" i="73"/>
  <c r="V32" i="73" s="1"/>
  <c r="Q5" i="73"/>
  <c r="B273" i="73" s="1"/>
  <c r="W214" i="73"/>
  <c r="AB5" i="73"/>
  <c r="AC5" i="73" s="1"/>
  <c r="L17" i="64" l="1"/>
  <c r="X214" i="73"/>
  <c r="K17" i="64"/>
  <c r="J17" i="64"/>
  <c r="I17" i="64"/>
  <c r="V8" i="62" s="1"/>
  <c r="H17" i="64"/>
  <c r="H19" i="64" s="1"/>
  <c r="G17" i="64"/>
  <c r="F17" i="64"/>
  <c r="F19" i="64" s="1"/>
  <c r="E17" i="64"/>
  <c r="Q46" i="64"/>
  <c r="K3" i="64"/>
  <c r="S14" i="64" s="1"/>
  <c r="K19" i="64"/>
  <c r="S3" i="62"/>
  <c r="U3" i="62" s="1"/>
  <c r="D17" i="64"/>
  <c r="Q47" i="64"/>
  <c r="L3" i="64"/>
  <c r="S15" i="64" s="1"/>
  <c r="L19" i="64"/>
  <c r="Q38" i="64"/>
  <c r="C3" i="64"/>
  <c r="S6" i="64" s="1"/>
  <c r="C19" i="64"/>
  <c r="Q48" i="64"/>
  <c r="M3" i="64"/>
  <c r="M19" i="64"/>
  <c r="Q42" i="64"/>
  <c r="N16" i="62"/>
  <c r="B20" i="62"/>
  <c r="B19" i="62"/>
  <c r="B30" i="62"/>
  <c r="B22" i="62"/>
  <c r="B23" i="62"/>
  <c r="B28" i="62"/>
  <c r="B29" i="62"/>
  <c r="B21" i="62"/>
  <c r="B27" i="62"/>
  <c r="B24" i="62"/>
  <c r="B25" i="62"/>
  <c r="I3" i="64"/>
  <c r="S12" i="64" s="1"/>
  <c r="I19" i="64"/>
  <c r="Q37" i="64"/>
  <c r="B3" i="64"/>
  <c r="S5" i="64" s="1"/>
  <c r="B19" i="64"/>
  <c r="Q45" i="64"/>
  <c r="J3" i="64"/>
  <c r="S13" i="64" s="1"/>
  <c r="J19" i="64"/>
  <c r="AP6" i="64" s="1"/>
  <c r="AB32" i="73"/>
  <c r="AC32" i="73"/>
  <c r="O34" i="62" s="1"/>
  <c r="O3" i="62" s="1"/>
  <c r="W242" i="73"/>
  <c r="G4" i="66"/>
  <c r="W33" i="73"/>
  <c r="W70" i="73" s="1"/>
  <c r="H273" i="73"/>
  <c r="H751" i="73" s="1"/>
  <c r="AA32" i="73"/>
  <c r="AA33" i="73" s="1"/>
  <c r="AA70" i="73" s="1"/>
  <c r="Y32" i="73"/>
  <c r="S32" i="73"/>
  <c r="S33" i="73" s="1"/>
  <c r="S70" i="73" s="1"/>
  <c r="Q32" i="73"/>
  <c r="Q33" i="73" s="1"/>
  <c r="Q70" i="73" s="1"/>
  <c r="E273" i="73"/>
  <c r="C774" i="73" s="1"/>
  <c r="U32" i="73"/>
  <c r="U33" i="73" s="1"/>
  <c r="U70" i="73" s="1"/>
  <c r="X32" i="73"/>
  <c r="X33" i="73" s="1"/>
  <c r="X70" i="73" s="1"/>
  <c r="D751" i="73"/>
  <c r="C773" i="73"/>
  <c r="I751" i="73"/>
  <c r="C778" i="73"/>
  <c r="C781" i="73"/>
  <c r="L751" i="73"/>
  <c r="C775" i="73"/>
  <c r="F751" i="73"/>
  <c r="B751" i="73"/>
  <c r="C771" i="73"/>
  <c r="C779" i="73"/>
  <c r="J751" i="73"/>
  <c r="K273" i="73"/>
  <c r="M273" i="73"/>
  <c r="F32" i="66"/>
  <c r="G273" i="73"/>
  <c r="C273" i="73"/>
  <c r="H3" i="64" l="1"/>
  <c r="S11" i="64" s="1"/>
  <c r="Q44" i="64"/>
  <c r="Q43" i="64"/>
  <c r="T47" i="64"/>
  <c r="U47" i="64"/>
  <c r="U46" i="64"/>
  <c r="T46" i="64"/>
  <c r="U45" i="64"/>
  <c r="T45" i="64"/>
  <c r="U44" i="64"/>
  <c r="T44" i="64"/>
  <c r="G3" i="64"/>
  <c r="S10" i="64" s="1"/>
  <c r="G19" i="64"/>
  <c r="U43" i="64"/>
  <c r="T43" i="64"/>
  <c r="Q41" i="64"/>
  <c r="U41" i="64" s="1"/>
  <c r="U42" i="64"/>
  <c r="T42" i="64"/>
  <c r="F3" i="64"/>
  <c r="S9" i="64" s="1"/>
  <c r="T41" i="64"/>
  <c r="E19" i="64"/>
  <c r="E3" i="64"/>
  <c r="S8" i="64" s="1"/>
  <c r="Q40" i="64"/>
  <c r="T40" i="64" s="1"/>
  <c r="U38" i="64"/>
  <c r="T38" i="64"/>
  <c r="Q39" i="64"/>
  <c r="D3" i="64"/>
  <c r="S7" i="64" s="1"/>
  <c r="D19" i="64"/>
  <c r="U37" i="64"/>
  <c r="T37" i="64"/>
  <c r="E751" i="73"/>
  <c r="Y33" i="73"/>
  <c r="Y70" i="73" s="1"/>
  <c r="AB33" i="73"/>
  <c r="AB70" i="73" s="1"/>
  <c r="V33" i="73"/>
  <c r="V70" i="73" s="1"/>
  <c r="C777" i="73"/>
  <c r="Z33" i="73"/>
  <c r="Z70" i="73" s="1"/>
  <c r="T33" i="73"/>
  <c r="T70" i="73" s="1"/>
  <c r="R33" i="73"/>
  <c r="R70" i="73" s="1"/>
  <c r="C776" i="73"/>
  <c r="G751" i="73"/>
  <c r="C772" i="73"/>
  <c r="C751" i="73"/>
  <c r="K751" i="73"/>
  <c r="C780" i="73"/>
  <c r="C782" i="73"/>
  <c r="M751" i="73"/>
  <c r="N11" i="64" l="1"/>
  <c r="D11" i="64" s="1"/>
  <c r="P34" i="62"/>
  <c r="S9" i="62"/>
  <c r="P2" i="62"/>
  <c r="U40" i="64"/>
  <c r="AC70" i="73"/>
  <c r="T39" i="64"/>
  <c r="U39" i="64"/>
  <c r="W3" i="62"/>
  <c r="W8" i="62"/>
  <c r="P4" i="62"/>
  <c r="P5" i="62"/>
  <c r="P6" i="62"/>
  <c r="P7" i="62"/>
  <c r="P3" i="62"/>
  <c r="G11" i="64"/>
  <c r="D61" i="62"/>
  <c r="D51" i="62"/>
  <c r="D58" i="62"/>
  <c r="D53" i="62"/>
  <c r="D57" i="62"/>
  <c r="D56" i="62"/>
  <c r="D54" i="62"/>
  <c r="D60" i="62"/>
  <c r="D52" i="62"/>
  <c r="D55" i="62"/>
  <c r="D59" i="62"/>
  <c r="AC33" i="73"/>
  <c r="D29" i="62"/>
  <c r="D26" i="62"/>
  <c r="D22" i="62"/>
  <c r="D24" i="62"/>
  <c r="E11" i="64" l="1"/>
  <c r="E13" i="64" s="1"/>
  <c r="J11" i="64"/>
  <c r="M11" i="64"/>
  <c r="M13" i="64" s="1"/>
  <c r="F11" i="64"/>
  <c r="Q25" i="64" s="1"/>
  <c r="U25" i="64" s="1"/>
  <c r="D13" i="64"/>
  <c r="D4" i="64"/>
  <c r="K11" i="64"/>
  <c r="K13" i="64" s="1"/>
  <c r="N4" i="64"/>
  <c r="H11" i="64"/>
  <c r="Q27" i="64" s="1"/>
  <c r="C11" i="64"/>
  <c r="C4" i="64" s="1"/>
  <c r="Q6" i="64" s="1"/>
  <c r="L11" i="64"/>
  <c r="L4" i="64" s="1"/>
  <c r="Q15" i="64" s="1"/>
  <c r="Q29" i="64"/>
  <c r="T29" i="64" s="1"/>
  <c r="Q23" i="64"/>
  <c r="U2" i="62"/>
  <c r="B11" i="64"/>
  <c r="Q21" i="64" s="1"/>
  <c r="U21" i="64" s="1"/>
  <c r="I11" i="64"/>
  <c r="I13" i="64" s="1"/>
  <c r="G13" i="64"/>
  <c r="P8" i="62"/>
  <c r="Q32" i="64"/>
  <c r="M4" i="64"/>
  <c r="Q16" i="64" s="1"/>
  <c r="S8" i="62"/>
  <c r="U8" i="62" s="1"/>
  <c r="C13" i="64"/>
  <c r="Q30" i="64"/>
  <c r="T30" i="64" s="1"/>
  <c r="Q24" i="64"/>
  <c r="T24" i="64" s="1"/>
  <c r="D27" i="62"/>
  <c r="D30" i="62"/>
  <c r="D23" i="62"/>
  <c r="D25" i="62"/>
  <c r="D28" i="62"/>
  <c r="D21" i="62"/>
  <c r="T23" i="64"/>
  <c r="U23" i="64"/>
  <c r="T32" i="64"/>
  <c r="U32" i="64"/>
  <c r="Q26" i="64"/>
  <c r="F4" i="64"/>
  <c r="Q9" i="64" s="1"/>
  <c r="G4" i="64"/>
  <c r="Q10" i="64" s="1"/>
  <c r="J13" i="64"/>
  <c r="AP5" i="64" s="1"/>
  <c r="Q22" i="64"/>
  <c r="Q31" i="64"/>
  <c r="E4" i="64"/>
  <c r="E6" i="64" s="1"/>
  <c r="J4" i="64"/>
  <c r="Q13" i="64" s="1"/>
  <c r="C6" i="64"/>
  <c r="D6" i="64"/>
  <c r="Q7" i="64"/>
  <c r="L6" i="64" l="1"/>
  <c r="U29" i="64"/>
  <c r="B13" i="64"/>
  <c r="T25" i="64"/>
  <c r="K4" i="64"/>
  <c r="Q14" i="64" s="1"/>
  <c r="F13" i="64"/>
  <c r="T21" i="64"/>
  <c r="H4" i="64"/>
  <c r="H6" i="64" s="1"/>
  <c r="B4" i="64"/>
  <c r="B6" i="64" s="1"/>
  <c r="H13" i="64"/>
  <c r="T27" i="64"/>
  <c r="U27" i="64"/>
  <c r="L13" i="64"/>
  <c r="I4" i="64"/>
  <c r="Q12" i="64" s="1"/>
  <c r="T12" i="64" s="1"/>
  <c r="Q28" i="64"/>
  <c r="M6" i="64"/>
  <c r="Q5" i="64"/>
  <c r="T5" i="64" s="1"/>
  <c r="U24" i="64"/>
  <c r="U30" i="64"/>
  <c r="G6" i="64"/>
  <c r="F6" i="64"/>
  <c r="Q8" i="64"/>
  <c r="T8" i="64" s="1"/>
  <c r="U6" i="64"/>
  <c r="T6" i="64"/>
  <c r="U10" i="64"/>
  <c r="T10" i="64"/>
  <c r="U9" i="64"/>
  <c r="T9" i="64"/>
  <c r="T16" i="64"/>
  <c r="U16" i="64"/>
  <c r="U14" i="64"/>
  <c r="T14" i="64"/>
  <c r="U7" i="64"/>
  <c r="T7" i="64"/>
  <c r="T15" i="64"/>
  <c r="U15" i="64"/>
  <c r="U13" i="64"/>
  <c r="T13" i="64"/>
  <c r="J6" i="64"/>
  <c r="T31" i="64"/>
  <c r="U31" i="64"/>
  <c r="U22" i="64"/>
  <c r="T22" i="64"/>
  <c r="U26" i="64"/>
  <c r="T26" i="64"/>
  <c r="K6" i="64"/>
  <c r="Q11" i="64" l="1"/>
  <c r="T11" i="64" s="1"/>
  <c r="U11" i="64"/>
  <c r="I6" i="64"/>
  <c r="T28" i="64"/>
  <c r="U28" i="64"/>
  <c r="U5" i="64"/>
  <c r="U12" i="64"/>
  <c r="U8" i="64"/>
  <c r="AA32" i="66" l="1"/>
  <c r="AD31" i="66"/>
  <c r="Y17" i="123" l="1"/>
  <c r="Y7" i="123"/>
  <c r="Y9" i="123"/>
  <c r="Y11" i="123"/>
  <c r="Y13" i="123"/>
  <c r="Y29" i="123"/>
  <c r="Y6" i="123"/>
  <c r="Y8" i="123"/>
  <c r="Y10" i="123"/>
  <c r="Y12" i="123"/>
  <c r="Y14" i="123"/>
  <c r="Y33" i="123"/>
  <c r="Y21" i="123"/>
  <c r="AP34" i="122"/>
  <c r="Y15" i="123"/>
  <c r="Y16" i="123"/>
  <c r="Y18" i="123"/>
  <c r="Y19" i="123"/>
  <c r="Y20" i="123"/>
  <c r="Y22" i="123"/>
  <c r="Y23" i="123"/>
  <c r="Y24" i="123"/>
  <c r="Y25" i="123"/>
  <c r="Y26" i="123"/>
  <c r="Y27" i="123"/>
  <c r="Y28" i="123"/>
  <c r="Y30" i="123"/>
  <c r="Y31" i="123"/>
  <c r="AV7" i="121" l="1"/>
  <c r="AV17" i="121"/>
  <c r="AV23" i="121"/>
  <c r="AV31" i="121"/>
  <c r="AV26" i="121"/>
  <c r="AV13" i="121"/>
  <c r="AV19" i="121"/>
  <c r="AV18" i="121"/>
  <c r="AV10" i="121"/>
  <c r="AV27" i="121"/>
  <c r="AV33" i="121"/>
  <c r="AV29" i="121"/>
  <c r="AV28" i="121"/>
  <c r="AV25" i="121"/>
  <c r="AV24" i="121"/>
  <c r="AV16" i="121"/>
  <c r="AV9" i="121"/>
  <c r="AV15" i="121"/>
  <c r="AV14" i="121"/>
  <c r="AV35" i="121"/>
  <c r="AV21" i="121"/>
  <c r="AV32" i="121"/>
  <c r="AV22" i="121"/>
  <c r="AV30" i="121"/>
  <c r="AV12" i="121"/>
  <c r="AV8" i="121"/>
  <c r="AV20" i="121"/>
  <c r="AV11" i="121"/>
  <c r="AV34" i="121" l="1"/>
  <c r="Y32" i="123"/>
  <c r="Y5" i="123"/>
  <c r="AP6" i="122"/>
  <c r="AV36" i="121" l="1"/>
  <c r="Y34" i="123"/>
  <c r="AM31" i="66" l="1"/>
  <c r="AM32" i="66" s="1"/>
  <c r="AN31" i="66"/>
  <c r="AN32" i="66" s="1"/>
  <c r="M11" i="126" l="1"/>
  <c r="D10" i="125"/>
  <c r="O10" i="125" s="1"/>
  <c r="AJ9" i="122"/>
  <c r="AM9" i="122" s="1"/>
  <c r="M23" i="126"/>
  <c r="AJ21" i="122"/>
  <c r="AM21" i="122" s="1"/>
  <c r="D22" i="125"/>
  <c r="O22" i="125" s="1"/>
  <c r="AJ14" i="122"/>
  <c r="AM14" i="122" s="1"/>
  <c r="D15" i="125"/>
  <c r="O15" i="125" s="1"/>
  <c r="M16" i="126"/>
  <c r="D18" i="125"/>
  <c r="O18" i="125" s="1"/>
  <c r="M19" i="126"/>
  <c r="AJ17" i="122"/>
  <c r="AM17" i="122" s="1"/>
  <c r="D26" i="125"/>
  <c r="O26" i="125" s="1"/>
  <c r="M27" i="126"/>
  <c r="AJ25" i="122"/>
  <c r="AM25" i="122" s="1"/>
  <c r="AJ23" i="122"/>
  <c r="AM23" i="122" s="1"/>
  <c r="D24" i="125"/>
  <c r="O24" i="125" s="1"/>
  <c r="M25" i="126"/>
  <c r="AJ13" i="122"/>
  <c r="AM13" i="122" s="1"/>
  <c r="D14" i="125"/>
  <c r="O14" i="125" s="1"/>
  <c r="M15" i="126"/>
  <c r="D30" i="125"/>
  <c r="O30" i="125" s="1"/>
  <c r="AJ29" i="122"/>
  <c r="AM29" i="122" s="1"/>
  <c r="M31" i="126"/>
  <c r="AJ10" i="122"/>
  <c r="AM10" i="122" s="1"/>
  <c r="M12" i="126"/>
  <c r="D11" i="125"/>
  <c r="O11" i="125" s="1"/>
  <c r="M20" i="126"/>
  <c r="AJ18" i="122"/>
  <c r="AM18" i="122" s="1"/>
  <c r="D19" i="125"/>
  <c r="O19" i="125" s="1"/>
  <c r="M24" i="126"/>
  <c r="AJ22" i="122"/>
  <c r="AM22" i="122" s="1"/>
  <c r="D23" i="125"/>
  <c r="O23" i="125" s="1"/>
  <c r="M28" i="126"/>
  <c r="D27" i="125"/>
  <c r="O27" i="125" s="1"/>
  <c r="AJ26" i="122"/>
  <c r="AM26" i="122" s="1"/>
  <c r="D31" i="125"/>
  <c r="O31" i="125" s="1"/>
  <c r="M32" i="126"/>
  <c r="AJ30" i="122"/>
  <c r="AM30" i="122" s="1"/>
  <c r="O33" i="122"/>
  <c r="AJ7" i="122"/>
  <c r="AM7" i="122" s="1"/>
  <c r="D8" i="125"/>
  <c r="M9" i="126"/>
  <c r="M13" i="126"/>
  <c r="D12" i="125"/>
  <c r="O12" i="125" s="1"/>
  <c r="AJ11" i="122"/>
  <c r="AM11" i="122" s="1"/>
  <c r="AJ15" i="122"/>
  <c r="AM15" i="122" s="1"/>
  <c r="M17" i="126"/>
  <c r="D16" i="125"/>
  <c r="O16" i="125" s="1"/>
  <c r="D20" i="125"/>
  <c r="O20" i="125" s="1"/>
  <c r="AJ19" i="122"/>
  <c r="AM19" i="122" s="1"/>
  <c r="M21" i="126"/>
  <c r="AJ27" i="122"/>
  <c r="AM27" i="122" s="1"/>
  <c r="M29" i="126"/>
  <c r="D28" i="125"/>
  <c r="O28" i="125" s="1"/>
  <c r="AJ31" i="122"/>
  <c r="AM31" i="122" s="1"/>
  <c r="D32" i="125"/>
  <c r="O32" i="125" s="1"/>
  <c r="M33" i="126"/>
  <c r="D9" i="125"/>
  <c r="O9" i="125" s="1"/>
  <c r="AJ8" i="122"/>
  <c r="AM8" i="122" s="1"/>
  <c r="M10" i="126"/>
  <c r="M14" i="126"/>
  <c r="D13" i="125"/>
  <c r="O13" i="125" s="1"/>
  <c r="AJ12" i="122"/>
  <c r="AM12" i="122" s="1"/>
  <c r="AJ16" i="122"/>
  <c r="AM16" i="122" s="1"/>
  <c r="M18" i="126"/>
  <c r="D17" i="125"/>
  <c r="O17" i="125" s="1"/>
  <c r="D21" i="125"/>
  <c r="O21" i="125" s="1"/>
  <c r="M22" i="126"/>
  <c r="AJ20" i="122"/>
  <c r="AM20" i="122" s="1"/>
  <c r="D25" i="125"/>
  <c r="O25" i="125" s="1"/>
  <c r="AJ24" i="122"/>
  <c r="AM24" i="122" s="1"/>
  <c r="M26" i="126"/>
  <c r="AJ28" i="122"/>
  <c r="AM28" i="122" s="1"/>
  <c r="M30" i="126"/>
  <c r="D29" i="125"/>
  <c r="O29" i="125" s="1"/>
  <c r="AJ32" i="122"/>
  <c r="AM32" i="122" s="1"/>
  <c r="D33" i="125"/>
  <c r="O33" i="125" s="1"/>
  <c r="M34" i="126"/>
  <c r="AR33" i="122" l="1"/>
  <c r="AS137" i="73" s="1"/>
  <c r="AO33" i="122"/>
  <c r="AS31" i="122"/>
  <c r="AS22" i="122"/>
  <c r="AS17" i="122"/>
  <c r="AS19" i="122"/>
  <c r="AS15" i="122"/>
  <c r="AS30" i="122"/>
  <c r="AS29" i="122"/>
  <c r="AS13" i="122"/>
  <c r="AS25" i="122"/>
  <c r="AS14" i="122"/>
  <c r="AS9" i="122"/>
  <c r="AS8" i="122"/>
  <c r="AS26" i="122"/>
  <c r="AS28" i="122"/>
  <c r="AS20" i="122"/>
  <c r="AS11" i="122"/>
  <c r="AS24" i="122"/>
  <c r="AS12" i="122"/>
  <c r="AS23" i="122"/>
  <c r="AS32" i="122"/>
  <c r="AS16" i="122"/>
  <c r="AS27" i="122"/>
  <c r="AS7" i="122"/>
  <c r="AS18" i="122"/>
  <c r="AS10" i="122"/>
  <c r="AS21" i="122"/>
  <c r="R29" i="125"/>
  <c r="P29" i="125"/>
  <c r="P21" i="125"/>
  <c r="R21" i="125"/>
  <c r="DS10" i="126"/>
  <c r="P10" i="126"/>
  <c r="AK20" i="122"/>
  <c r="DS14" i="126"/>
  <c r="P14" i="126"/>
  <c r="DS33" i="126"/>
  <c r="P33" i="126"/>
  <c r="AK31" i="122"/>
  <c r="AK19" i="122"/>
  <c r="DS17" i="126"/>
  <c r="P17" i="126"/>
  <c r="AK11" i="122"/>
  <c r="O8" i="125"/>
  <c r="D34" i="125"/>
  <c r="AK30" i="122"/>
  <c r="AK26" i="122"/>
  <c r="DS28" i="126"/>
  <c r="P28" i="126"/>
  <c r="DS24" i="126"/>
  <c r="P24" i="126"/>
  <c r="P11" i="125"/>
  <c r="R11" i="125"/>
  <c r="DS31" i="126"/>
  <c r="P31" i="126"/>
  <c r="P14" i="125"/>
  <c r="R14" i="125"/>
  <c r="R24" i="125"/>
  <c r="P24" i="125"/>
  <c r="R18" i="125"/>
  <c r="P18" i="125"/>
  <c r="AK9" i="122"/>
  <c r="AK24" i="122"/>
  <c r="P25" i="125"/>
  <c r="R25" i="125"/>
  <c r="P18" i="126"/>
  <c r="DS18" i="126"/>
  <c r="AK32" i="122"/>
  <c r="P30" i="126"/>
  <c r="DS30" i="126"/>
  <c r="DS26" i="126"/>
  <c r="P26" i="126"/>
  <c r="AK16" i="122"/>
  <c r="AK8" i="122"/>
  <c r="P28" i="125"/>
  <c r="R28" i="125"/>
  <c r="AK27" i="122"/>
  <c r="R20" i="125"/>
  <c r="P20" i="125"/>
  <c r="AK7" i="122"/>
  <c r="AJ33" i="122"/>
  <c r="AM33" i="122" s="1"/>
  <c r="DS32" i="126"/>
  <c r="P32" i="126"/>
  <c r="P23" i="125"/>
  <c r="R23" i="125"/>
  <c r="AK18" i="122"/>
  <c r="P12" i="126"/>
  <c r="DS12" i="126"/>
  <c r="DS15" i="126"/>
  <c r="P15" i="126"/>
  <c r="AK13" i="122"/>
  <c r="AK23" i="122"/>
  <c r="P27" i="126"/>
  <c r="DS27" i="126"/>
  <c r="DS16" i="126"/>
  <c r="P16" i="126"/>
  <c r="R10" i="125"/>
  <c r="P10" i="125"/>
  <c r="DS34" i="126"/>
  <c r="P34" i="126"/>
  <c r="AK28" i="122"/>
  <c r="DS22" i="126"/>
  <c r="P22" i="126"/>
  <c r="P17" i="125"/>
  <c r="R17" i="125"/>
  <c r="AK12" i="122"/>
  <c r="P9" i="125"/>
  <c r="R9" i="125"/>
  <c r="DS21" i="126"/>
  <c r="P21" i="126"/>
  <c r="AK15" i="122"/>
  <c r="R12" i="125"/>
  <c r="P12" i="125"/>
  <c r="O35" i="122"/>
  <c r="AK22" i="122"/>
  <c r="R19" i="125"/>
  <c r="P19" i="125"/>
  <c r="DS20" i="126"/>
  <c r="P20" i="126"/>
  <c r="AK10" i="122"/>
  <c r="AK29" i="122"/>
  <c r="AK17" i="122"/>
  <c r="P15" i="125"/>
  <c r="R15" i="125"/>
  <c r="R22" i="125"/>
  <c r="P22" i="125"/>
  <c r="P23" i="126"/>
  <c r="DS23" i="126"/>
  <c r="P11" i="126"/>
  <c r="DS11" i="126"/>
  <c r="R33" i="125"/>
  <c r="P33" i="125"/>
  <c r="R13" i="125"/>
  <c r="P13" i="125"/>
  <c r="R32" i="125"/>
  <c r="P32" i="125"/>
  <c r="DS29" i="126"/>
  <c r="P29" i="126"/>
  <c r="R16" i="125"/>
  <c r="P16" i="125"/>
  <c r="DS13" i="126"/>
  <c r="P13" i="126"/>
  <c r="P9" i="126"/>
  <c r="DS9" i="126"/>
  <c r="M35" i="126"/>
  <c r="M37" i="126" s="1"/>
  <c r="R31" i="125"/>
  <c r="P31" i="125"/>
  <c r="R27" i="125"/>
  <c r="P27" i="125"/>
  <c r="R30" i="125"/>
  <c r="P30" i="125"/>
  <c r="P25" i="126"/>
  <c r="DS25" i="126"/>
  <c r="AK25" i="122"/>
  <c r="P26" i="125"/>
  <c r="R26" i="125"/>
  <c r="P19" i="126"/>
  <c r="DS19" i="126"/>
  <c r="AK14" i="122"/>
  <c r="AK21" i="122"/>
  <c r="AR35" i="122" l="1"/>
  <c r="AO35" i="122"/>
  <c r="AS33" i="122"/>
  <c r="EC11" i="126"/>
  <c r="DV11" i="126"/>
  <c r="EF11" i="126" s="1"/>
  <c r="EG11" i="126" s="1"/>
  <c r="EC20" i="126"/>
  <c r="DV20" i="126"/>
  <c r="EF20" i="126" s="1"/>
  <c r="EG20" i="126" s="1"/>
  <c r="DV22" i="126"/>
  <c r="EF22" i="126" s="1"/>
  <c r="EG22" i="126" s="1"/>
  <c r="EC22" i="126"/>
  <c r="EC15" i="126"/>
  <c r="DV15" i="126"/>
  <c r="EF15" i="126" s="1"/>
  <c r="EG15" i="126" s="1"/>
  <c r="AJ35" i="122"/>
  <c r="AM35" i="122" s="1"/>
  <c r="AK33" i="122"/>
  <c r="EC30" i="126"/>
  <c r="DV30" i="126"/>
  <c r="EF30" i="126" s="1"/>
  <c r="EG30" i="126" s="1"/>
  <c r="D36" i="125"/>
  <c r="D41" i="125" s="1"/>
  <c r="O34" i="125"/>
  <c r="O36" i="125" s="1"/>
  <c r="DV14" i="126"/>
  <c r="EF14" i="126" s="1"/>
  <c r="EG14" i="126" s="1"/>
  <c r="EC14" i="126"/>
  <c r="O37" i="122"/>
  <c r="EC21" i="126"/>
  <c r="DV21" i="126"/>
  <c r="EF21" i="126" s="1"/>
  <c r="EG21" i="126" s="1"/>
  <c r="EC34" i="126"/>
  <c r="DV34" i="126"/>
  <c r="EF34" i="126" s="1"/>
  <c r="EG34" i="126" s="1"/>
  <c r="EC12" i="126"/>
  <c r="DV12" i="126"/>
  <c r="EF12" i="126" s="1"/>
  <c r="EG12" i="126" s="1"/>
  <c r="DV18" i="126"/>
  <c r="EF18" i="126" s="1"/>
  <c r="EG18" i="126" s="1"/>
  <c r="EC18" i="126"/>
  <c r="DV28" i="126"/>
  <c r="EF28" i="126" s="1"/>
  <c r="EG28" i="126" s="1"/>
  <c r="EC28" i="126"/>
  <c r="P8" i="125"/>
  <c r="R8" i="125"/>
  <c r="EC10" i="126"/>
  <c r="DV10" i="126"/>
  <c r="EF10" i="126" s="1"/>
  <c r="EG10" i="126" s="1"/>
  <c r="EC13" i="126"/>
  <c r="DV13" i="126"/>
  <c r="EF13" i="126" s="1"/>
  <c r="EG13" i="126" s="1"/>
  <c r="EC25" i="126"/>
  <c r="DV25" i="126"/>
  <c r="EF25" i="126" s="1"/>
  <c r="EG25" i="126" s="1"/>
  <c r="EC23" i="126"/>
  <c r="DV23" i="126"/>
  <c r="EF23" i="126" s="1"/>
  <c r="EC16" i="126"/>
  <c r="DV16" i="126"/>
  <c r="EF16" i="126" s="1"/>
  <c r="EG16" i="126" s="1"/>
  <c r="EC32" i="126"/>
  <c r="DV32" i="126"/>
  <c r="EF32" i="126" s="1"/>
  <c r="EG32" i="126" s="1"/>
  <c r="DV31" i="126"/>
  <c r="EF31" i="126" s="1"/>
  <c r="EG31" i="126" s="1"/>
  <c r="EC31" i="126"/>
  <c r="EC17" i="126"/>
  <c r="DV17" i="126"/>
  <c r="EF17" i="126" s="1"/>
  <c r="EG17" i="126" s="1"/>
  <c r="EC33" i="126"/>
  <c r="DV33" i="126"/>
  <c r="EF33" i="126" s="1"/>
  <c r="EG33" i="126" s="1"/>
  <c r="EC19" i="126"/>
  <c r="DV19" i="126"/>
  <c r="EF19" i="126" s="1"/>
  <c r="EG19" i="126" s="1"/>
  <c r="DS35" i="126"/>
  <c r="EC9" i="126"/>
  <c r="DV9" i="126"/>
  <c r="EC29" i="126"/>
  <c r="DV29" i="126"/>
  <c r="EF29" i="126" s="1"/>
  <c r="EG29" i="126" s="1"/>
  <c r="P35" i="126"/>
  <c r="P37" i="126" s="1"/>
  <c r="EC27" i="126"/>
  <c r="DV27" i="126"/>
  <c r="EF27" i="126" s="1"/>
  <c r="EG27" i="126" s="1"/>
  <c r="EC26" i="126"/>
  <c r="DV26" i="126"/>
  <c r="EF26" i="126" s="1"/>
  <c r="DV24" i="126"/>
  <c r="EF24" i="126" s="1"/>
  <c r="EG24" i="126" s="1"/>
  <c r="EC24" i="126"/>
  <c r="AS35" i="122" l="1"/>
  <c r="S22" i="125"/>
  <c r="EG23" i="126"/>
  <c r="S25" i="125"/>
  <c r="EG26" i="126"/>
  <c r="AL33" i="122"/>
  <c r="AS11" i="66"/>
  <c r="AP7" i="122"/>
  <c r="S32" i="125"/>
  <c r="AS30" i="66"/>
  <c r="AP29" i="122"/>
  <c r="S15" i="125"/>
  <c r="S24" i="125"/>
  <c r="S9" i="125"/>
  <c r="S17" i="125"/>
  <c r="AP32" i="122"/>
  <c r="AS10" i="66"/>
  <c r="R34" i="125"/>
  <c r="O41" i="125"/>
  <c r="P34" i="125"/>
  <c r="S14" i="125"/>
  <c r="S19" i="125"/>
  <c r="AP24" i="122"/>
  <c r="AS26" i="66"/>
  <c r="S30" i="125"/>
  <c r="AS5" i="66"/>
  <c r="AP8" i="122"/>
  <c r="AS8" i="66"/>
  <c r="AP26" i="122"/>
  <c r="S11" i="125"/>
  <c r="S20" i="125"/>
  <c r="AS24" i="66"/>
  <c r="AP13" i="122"/>
  <c r="AP18" i="122"/>
  <c r="AS23" i="66"/>
  <c r="EC35" i="126"/>
  <c r="AP33" i="122" s="1"/>
  <c r="DS37" i="126"/>
  <c r="AP14" i="122"/>
  <c r="AS21" i="66"/>
  <c r="S26" i="125"/>
  <c r="S16" i="125"/>
  <c r="S31" i="125"/>
  <c r="S12" i="125"/>
  <c r="S27" i="125"/>
  <c r="AS12" i="66"/>
  <c r="AP10" i="122"/>
  <c r="AS7" i="66"/>
  <c r="AP19" i="122"/>
  <c r="AS20" i="66"/>
  <c r="AP12" i="122"/>
  <c r="S29" i="125"/>
  <c r="AL35" i="122"/>
  <c r="AJ37" i="122"/>
  <c r="AM46" i="121"/>
  <c r="AM48" i="121" s="1"/>
  <c r="AL34" i="122"/>
  <c r="AK35" i="122"/>
  <c r="AL6" i="122"/>
  <c r="AL19" i="122"/>
  <c r="AL16" i="122"/>
  <c r="AL7" i="122"/>
  <c r="AL18" i="122"/>
  <c r="AL25" i="122"/>
  <c r="AL14" i="122"/>
  <c r="AL17" i="122"/>
  <c r="AL31" i="122"/>
  <c r="AL11" i="122"/>
  <c r="AL26" i="122"/>
  <c r="AL24" i="122"/>
  <c r="AL32" i="122"/>
  <c r="AL27" i="122"/>
  <c r="AL20" i="122"/>
  <c r="AL30" i="122"/>
  <c r="AL9" i="122"/>
  <c r="AL23" i="122"/>
  <c r="AL28" i="122"/>
  <c r="AL12" i="122"/>
  <c r="AL15" i="122"/>
  <c r="AL29" i="122"/>
  <c r="AL8" i="122"/>
  <c r="AL13" i="122"/>
  <c r="AL22" i="122"/>
  <c r="AL10" i="122"/>
  <c r="AL21" i="122"/>
  <c r="AS15" i="66"/>
  <c r="AP20" i="122"/>
  <c r="S10" i="125"/>
  <c r="S28" i="125"/>
  <c r="AS27" i="66"/>
  <c r="AP31" i="122"/>
  <c r="AS28" i="66"/>
  <c r="AP23" i="122"/>
  <c r="AS17" i="66"/>
  <c r="AP22" i="122"/>
  <c r="AS9" i="66"/>
  <c r="AP27" i="122"/>
  <c r="S18" i="125"/>
  <c r="S23" i="125"/>
  <c r="AS18" i="66"/>
  <c r="AP25" i="122"/>
  <c r="DV35" i="126"/>
  <c r="EF35" i="126" s="1"/>
  <c r="EF9" i="126"/>
  <c r="EG9" i="126" s="1"/>
  <c r="AS22" i="66"/>
  <c r="AP17" i="122"/>
  <c r="AP15" i="122"/>
  <c r="AS14" i="66"/>
  <c r="AP30" i="122"/>
  <c r="AS19" i="66"/>
  <c r="AS16" i="66"/>
  <c r="AP21" i="122"/>
  <c r="AP11" i="122"/>
  <c r="AS13" i="66"/>
  <c r="AS25" i="66"/>
  <c r="AP16" i="122"/>
  <c r="S33" i="125"/>
  <c r="S13" i="125"/>
  <c r="AS29" i="66"/>
  <c r="AP28" i="122"/>
  <c r="S21" i="125"/>
  <c r="AS6" i="66"/>
  <c r="AP9" i="122"/>
  <c r="EH8" i="126" l="1"/>
  <c r="S8" i="125"/>
  <c r="S34" i="125"/>
  <c r="DV37" i="126"/>
  <c r="EC37" i="126"/>
  <c r="Q34" i="125"/>
  <c r="Q38" i="125"/>
  <c r="Q37" i="125"/>
  <c r="Q7" i="125"/>
  <c r="Q36" i="125"/>
  <c r="P36" i="125"/>
  <c r="R36" i="125"/>
  <c r="Q35" i="125"/>
  <c r="Q11" i="125"/>
  <c r="Q24" i="125"/>
  <c r="Q25" i="125"/>
  <c r="Q20" i="125"/>
  <c r="Q15" i="125"/>
  <c r="Q32" i="125"/>
  <c r="Q27" i="125"/>
  <c r="Q13" i="125"/>
  <c r="Q21" i="125"/>
  <c r="Q14" i="125"/>
  <c r="Q23" i="125"/>
  <c r="Q10" i="125"/>
  <c r="Q9" i="125"/>
  <c r="Q12" i="125"/>
  <c r="Q16" i="125"/>
  <c r="Q31" i="125"/>
  <c r="Q29" i="125"/>
  <c r="Q28" i="125"/>
  <c r="Q19" i="125"/>
  <c r="Q33" i="125"/>
  <c r="Q18" i="125"/>
  <c r="Q17" i="125"/>
  <c r="Q22" i="125"/>
  <c r="Q30" i="125"/>
  <c r="Q26" i="125"/>
  <c r="Q8" i="125"/>
  <c r="DV39" i="126" l="1"/>
  <c r="EF37" i="126"/>
  <c r="AS31" i="66"/>
  <c r="AP35" i="122"/>
  <c r="S36" i="125" l="1"/>
  <c r="R11" i="62"/>
</calcChain>
</file>

<file path=xl/comments1.xml><?xml version="1.0" encoding="utf-8"?>
<comments xmlns="http://schemas.openxmlformats.org/spreadsheetml/2006/main">
  <authors>
    <author>Marcos Cristino</author>
  </authors>
  <commentList>
    <comment ref="B2" authorId="0" shapeId="0">
      <text>
        <r>
          <rPr>
            <b/>
            <sz val="9"/>
            <color indexed="81"/>
            <rFont val="Segoe UI"/>
            <charset val="1"/>
          </rPr>
          <t>Marcos Cristino:</t>
        </r>
        <r>
          <rPr>
            <sz val="9"/>
            <color indexed="81"/>
            <rFont val="Segoe UI"/>
            <charset val="1"/>
          </rPr>
          <t xml:space="preserve">
Repr. 2020
Relatório 10
filtro de data de registro</t>
        </r>
      </text>
    </comment>
    <comment ref="C2" authorId="0" shapeId="0">
      <text>
        <r>
          <rPr>
            <b/>
            <sz val="9"/>
            <color indexed="81"/>
            <rFont val="Segoe UI"/>
            <charset val="1"/>
          </rPr>
          <t>Marcos Cristino:</t>
        </r>
        <r>
          <rPr>
            <sz val="9"/>
            <color indexed="81"/>
            <rFont val="Segoe UI"/>
            <charset val="1"/>
          </rPr>
          <t xml:space="preserve">
Repr. 2020
Relatório 10
</t>
        </r>
      </text>
    </comment>
    <comment ref="F2" authorId="0" shapeId="0">
      <text>
        <r>
          <rPr>
            <b/>
            <sz val="9"/>
            <color indexed="81"/>
            <rFont val="Segoe UI"/>
            <charset val="1"/>
          </rPr>
          <t>Marcos Cristino:</t>
        </r>
        <r>
          <rPr>
            <sz val="9"/>
            <color indexed="81"/>
            <rFont val="Segoe UI"/>
            <charset val="1"/>
          </rPr>
          <t xml:space="preserve">
Repr. 2020
IGEO
Filtro de data de início primeiro registro e de formação exercício atual</t>
        </r>
      </text>
    </comment>
    <comment ref="H2" authorId="0" shapeId="0">
      <text>
        <r>
          <rPr>
            <b/>
            <sz val="9"/>
            <color indexed="81"/>
            <rFont val="Segoe UI"/>
            <charset val="1"/>
          </rPr>
          <t>Marcos Cristino:</t>
        </r>
        <r>
          <rPr>
            <sz val="9"/>
            <color indexed="81"/>
            <rFont val="Segoe UI"/>
            <charset val="1"/>
          </rPr>
          <t xml:space="preserve">
Repr. 2020
Portal da Transparência</t>
        </r>
      </text>
    </comment>
  </commentList>
</comments>
</file>

<file path=xl/comments2.xml><?xml version="1.0" encoding="utf-8"?>
<comments xmlns="http://schemas.openxmlformats.org/spreadsheetml/2006/main">
  <authors>
    <author>Tania Mara Chaves Daldegan</author>
  </authors>
  <commentList>
    <comment ref="B35" authorId="0" shapeId="0">
      <text>
        <r>
          <rPr>
            <b/>
            <sz val="20"/>
            <color indexed="81"/>
            <rFont val="Segoe UI"/>
            <family val="2"/>
          </rPr>
          <t xml:space="preserve">Valor das diretrizes reprog 2020 
</t>
        </r>
      </text>
    </comment>
    <comment ref="C35" authorId="0" shapeId="0">
      <text>
        <r>
          <rPr>
            <b/>
            <sz val="18"/>
            <color indexed="81"/>
            <rFont val="Segoe UI"/>
            <family val="2"/>
          </rPr>
          <t xml:space="preserve">MA e PA com valores da Programação 2020
</t>
        </r>
        <r>
          <rPr>
            <sz val="9"/>
            <color indexed="81"/>
            <rFont val="Segoe UI"/>
            <family val="2"/>
          </rPr>
          <t xml:space="preserve">
</t>
        </r>
      </text>
    </comment>
  </commentList>
</comments>
</file>

<file path=xl/comments3.xml><?xml version="1.0" encoding="utf-8"?>
<comments xmlns="http://schemas.openxmlformats.org/spreadsheetml/2006/main">
  <authors>
    <author>tc={7E564A3A-4A4B-4569-A074-12D48F10BEEB}</author>
    <author>Marcos Cristino de Oliveira</author>
  </authors>
  <commentList>
    <comment ref="R8" authorId="0" shapeId="0">
      <text>
        <r>
          <rPr>
            <sz val="11"/>
            <color theme="1"/>
            <rFont val="Calibri"/>
            <family val="2"/>
            <scheme val="minor"/>
          </rPr>
          <t>Esse percentual é o q vale, pois é a média geral de todos ufs e fontes de receitas dos últimos 3 anos, ajustar mensalmente selecionando o período acumulado (janeiro até o mês atual)</t>
        </r>
      </text>
    </comment>
    <comment ref="O34"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34"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65"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65"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96"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127" authorId="1" shapeId="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List>
</comments>
</file>

<file path=xl/comments4.xml><?xml version="1.0" encoding="utf-8"?>
<comments xmlns="http://schemas.openxmlformats.org/spreadsheetml/2006/main">
  <authors>
    <author>Marcos Cristino</author>
  </authors>
  <commentList>
    <comment ref="AP32" authorId="0" shapeId="0">
      <text>
        <r>
          <rPr>
            <b/>
            <sz val="9"/>
            <color indexed="81"/>
            <rFont val="Segoe UI"/>
            <family val="2"/>
          </rPr>
          <t>Marcos Cristino:</t>
        </r>
        <r>
          <rPr>
            <sz val="9"/>
            <color indexed="81"/>
            <rFont val="Segoe UI"/>
            <family val="2"/>
          </rPr>
          <t xml:space="preserve">
Diferença se deve ao fato de não ter arredondado o quantitativo no momento de elaboração das Diretrizes de Reprogramação)</t>
        </r>
      </text>
    </comment>
  </commentList>
</comments>
</file>

<file path=xl/sharedStrings.xml><?xml version="1.0" encoding="utf-8"?>
<sst xmlns="http://schemas.openxmlformats.org/spreadsheetml/2006/main" count="17383" uniqueCount="1154">
  <si>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</si>
  <si>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</si>
  <si>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</si>
  <si>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</si>
  <si>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</si>
  <si>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</si>
  <si>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</si>
  <si>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</si>
  <si>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</si>
  <si>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</si>
  <si>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</si>
  <si>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</si>
  <si>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</si>
  <si>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</si>
  <si>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</si>
  <si>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</si>
  <si>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</si>
  <si>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</si>
  <si>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DE JANEIRO</t>
  </si>
  <si>
    <t>RIO GRANDE DO SUL</t>
  </si>
  <si>
    <t>RIO GRANDE DO NORTE</t>
  </si>
  <si>
    <t>RONDÔNIA</t>
  </si>
  <si>
    <t>RORAIMA</t>
  </si>
  <si>
    <t>SANTA CATARINA</t>
  </si>
  <si>
    <t>SERGIPE</t>
  </si>
  <si>
    <t>SÃO PAULO</t>
  </si>
  <si>
    <t>TOCANTINS</t>
  </si>
  <si>
    <t>ANUIDADE-PF</t>
  </si>
  <si>
    <t>RRT</t>
  </si>
  <si>
    <t>ANUIDADE-PJ</t>
  </si>
  <si>
    <t>TX SELIC</t>
  </si>
  <si>
    <t>DOCUMENTO DE FISCALIZAÇÃO</t>
  </si>
  <si>
    <t>MULTA-ANUI</t>
  </si>
  <si>
    <t xml:space="preserve">RECEITAS </t>
  </si>
  <si>
    <t xml:space="preserve">TOTAL </t>
  </si>
  <si>
    <t>CERTIDÃO DE ACERVO TÉCNICO COM ATESTADO</t>
  </si>
  <si>
    <t>TAXA EXPEDIENTE - RRT EXTEMPORÂNEO</t>
  </si>
  <si>
    <t>TOTAIS</t>
  </si>
  <si>
    <t>CONTROLE  DE RECEITA TOTAL (100%)</t>
  </si>
  <si>
    <t>ARRECADAÇÃO MENSAL POR RECEITA</t>
  </si>
  <si>
    <t>REGISTRO DE DIREITO AUTORAL</t>
  </si>
  <si>
    <t>MULTA - MORA - ANUIDADE</t>
  </si>
  <si>
    <t>MULTA ÉTICA</t>
  </si>
  <si>
    <t>Do Exercício</t>
  </si>
  <si>
    <t>Exercícios Anteriores</t>
  </si>
  <si>
    <t>MULTA AUSÊNCIA NA ELEIÇÃO</t>
  </si>
  <si>
    <t>Valor das receitas do CAUPB. Neste mês não estava ocorrendo a partição na origem.</t>
  </si>
  <si>
    <t>CONTROLE  DE RECEITA TOTAL (100%) - COM REGISTRO</t>
  </si>
  <si>
    <t>CONTROLE  DE RECEITA TOTAL (100%) - COM E SEM REGISTRO</t>
  </si>
  <si>
    <t>* Valor calculado sobre o relatório dos convênios com registro de cada CAUUF, tendo em vista que não há arquivo de retorno do CAUBR com a partição (20%).</t>
  </si>
  <si>
    <t>* Valor calculado sobre o relatório dos convênios com registro de cada CAUUF, tendo em vista que não há arquivo de retorno do CAUUF com a partição (80%).</t>
  </si>
  <si>
    <t>DÍVIDA ATIVA</t>
  </si>
  <si>
    <t>CUSTAS JUDICIAIS</t>
  </si>
  <si>
    <t>HONORÁRIOS</t>
  </si>
  <si>
    <t>DIVITA ATIVA</t>
  </si>
  <si>
    <t>CONTROLE  DE RECEITA JANEIRO - UF</t>
  </si>
  <si>
    <t>CONTROLE  DE RECEITA JANEIRO - BR</t>
  </si>
  <si>
    <t>CONTROLE  DE RECEITA JANEIRO - UF - COM REGISTRO</t>
  </si>
  <si>
    <t>CONTROLE  DE RECEITA JANEIRO - BR - COM REGISTRO*</t>
  </si>
  <si>
    <t>CONTROLE  DE RECEITA FEVEREIRO - UF</t>
  </si>
  <si>
    <t>CONTROLE  DE RECEITA FEVEREIRO - BR</t>
  </si>
  <si>
    <t>CONTROLE  DE RECEITA FEVEREIRO - UF - COM REGISTRO</t>
  </si>
  <si>
    <t>CONTROLE  DE RECEITA FEVEREIRO - BR - COM REGISTRO*</t>
  </si>
  <si>
    <t>CONTROLE  DE RECEITA MARÇO - UF</t>
  </si>
  <si>
    <t>CONTROLE  DE RECEITA MARÇO - BR</t>
  </si>
  <si>
    <t>CONTROLE  DE RECEITA MARÇO - UF - COM REGISTRO</t>
  </si>
  <si>
    <t>CONTROLE  DE RECEITA MARÇO - BR - COM REGISTRO*</t>
  </si>
  <si>
    <t>CONTROLE  DE RECEITA ABRIL - UF</t>
  </si>
  <si>
    <t>CONTROLE  DE RECEITA ABRIL - BR</t>
  </si>
  <si>
    <t>CONTROLE  DE RECEITA ABRIL - BR - COM REGISTRO*</t>
  </si>
  <si>
    <t>CONTROLE  DE RECEITA ABRIL - UF - COM REGISTRO</t>
  </si>
  <si>
    <t>CONTROLE  DE RECEITA MAIO - UF - COM REGISTRO</t>
  </si>
  <si>
    <t>CONTROLE  DE RECEITA MAIO - BR - COM REGISTRO*</t>
  </si>
  <si>
    <t>CONTROLE  DE RECEITA JUNHO - UF - COM REGISTRO</t>
  </si>
  <si>
    <t>CONTROLE  DE RECEITA JUNHO - BR - COM REGISTRO*</t>
  </si>
  <si>
    <t>CONTROLE  DE RECEITA JULHO - UF - COM REGISTRO</t>
  </si>
  <si>
    <t>CONTROLE  DE RECEITA JULHO - BR - COM REGISTRO*</t>
  </si>
  <si>
    <t>CONTROLE  DE RECEITA AGOSTO - UF - COM REGISTRO</t>
  </si>
  <si>
    <t>CONTROLE  DE RECEITA AGOSTO - BR - COM REGISTRO*</t>
  </si>
  <si>
    <t>CONTROLE  DE RECEITA SETEMBRO - UF - COM REGISTRO</t>
  </si>
  <si>
    <t>CONTROLE  DE RECEITA SETEMBRO - BR - COM REGISTRO*</t>
  </si>
  <si>
    <t>CONTROLE  DE RECEITA OUTUBRO - UF - COM REGISTRO</t>
  </si>
  <si>
    <t>CONTROLE  DE RECEITA OUTUBRO - BR - COM REGISTRO*</t>
  </si>
  <si>
    <t>CONTROLE  DE RECEITA NOVEMBRO - UF - COM REGISTRO</t>
  </si>
  <si>
    <t>CONTROLE  DE RECEITA NOVEMBRO - BR - COM REGISTRO*</t>
  </si>
  <si>
    <t>CONTROLE  DE RECEITA DEZEMBRO - UF - COM REGISTRO</t>
  </si>
  <si>
    <t>CONTROLE  DE RECEITA DEZEMBRO - BR - COM REGISTRO*</t>
  </si>
  <si>
    <t>AC</t>
  </si>
  <si>
    <t>AL</t>
  </si>
  <si>
    <t>AP</t>
  </si>
  <si>
    <t>AM</t>
  </si>
  <si>
    <t>BA</t>
  </si>
  <si>
    <t>CE</t>
  </si>
  <si>
    <t>DF</t>
  </si>
  <si>
    <t>ES</t>
  </si>
  <si>
    <t>GO</t>
  </si>
  <si>
    <t>MA</t>
  </si>
  <si>
    <t>MT</t>
  </si>
  <si>
    <t>MS</t>
  </si>
  <si>
    <t>MG</t>
  </si>
  <si>
    <t>PA</t>
  </si>
  <si>
    <t>PB</t>
  </si>
  <si>
    <t>PR</t>
  </si>
  <si>
    <t>PE</t>
  </si>
  <si>
    <t>PI</t>
  </si>
  <si>
    <t>RJ</t>
  </si>
  <si>
    <t>RN</t>
  </si>
  <si>
    <t>RS</t>
  </si>
  <si>
    <t>RO</t>
  </si>
  <si>
    <t>RR</t>
  </si>
  <si>
    <t>SC</t>
  </si>
  <si>
    <t>SP</t>
  </si>
  <si>
    <t>SE</t>
  </si>
  <si>
    <t>TO</t>
  </si>
  <si>
    <t>TOTAL - Exercício</t>
  </si>
  <si>
    <t>Exerc./Mês</t>
  </si>
  <si>
    <t>Janeiro</t>
  </si>
  <si>
    <t>Fevereiro</t>
  </si>
  <si>
    <t>Março</t>
  </si>
  <si>
    <t>Abril</t>
  </si>
  <si>
    <t>Maio</t>
  </si>
  <si>
    <t>Junho</t>
  </si>
  <si>
    <t>Julho</t>
  </si>
  <si>
    <t>Agosto</t>
  </si>
  <si>
    <t>Setembro</t>
  </si>
  <si>
    <t>Outubro</t>
  </si>
  <si>
    <t>Novembro</t>
  </si>
  <si>
    <t>Dezembro</t>
  </si>
  <si>
    <t>TOTAL</t>
  </si>
  <si>
    <t>PREVISTO</t>
  </si>
  <si>
    <t>Jan</t>
  </si>
  <si>
    <t>Jan-Fev</t>
  </si>
  <si>
    <t>Jan-Mar</t>
  </si>
  <si>
    <t>Jan-Abr</t>
  </si>
  <si>
    <t>Jan-Mai</t>
  </si>
  <si>
    <t>Jan-Jun</t>
  </si>
  <si>
    <t>Jan-Jul</t>
  </si>
  <si>
    <t>Jan-Ago</t>
  </si>
  <si>
    <t>Jan-Set</t>
  </si>
  <si>
    <t>Jan-Out</t>
  </si>
  <si>
    <t>Jan-Nov</t>
  </si>
  <si>
    <t>Jan-Dez</t>
  </si>
  <si>
    <t>Taxas e Multas</t>
  </si>
  <si>
    <t>2017 - PF - Anuidade PF - Exercício (100%)</t>
  </si>
  <si>
    <t>Média 2018</t>
  </si>
  <si>
    <t>Média 2017</t>
  </si>
  <si>
    <t>Fev</t>
  </si>
  <si>
    <t>Mar</t>
  </si>
  <si>
    <t>Abr</t>
  </si>
  <si>
    <t>Mai</t>
  </si>
  <si>
    <t>Jun</t>
  </si>
  <si>
    <t>Jul</t>
  </si>
  <si>
    <t>Ago</t>
  </si>
  <si>
    <t>Set</t>
  </si>
  <si>
    <t>Out</t>
  </si>
  <si>
    <t>Nov</t>
  </si>
  <si>
    <t>Dez</t>
  </si>
  <si>
    <t xml:space="preserve">jan </t>
  </si>
  <si>
    <t>jan - fev</t>
  </si>
  <si>
    <t>jan  - março</t>
  </si>
  <si>
    <t>jan - abril</t>
  </si>
  <si>
    <t>jan - maio</t>
  </si>
  <si>
    <t>jan - jun</t>
  </si>
  <si>
    <t>jan - jul</t>
  </si>
  <si>
    <t>jan - ago</t>
  </si>
  <si>
    <t>jan - set</t>
  </si>
  <si>
    <t>jan - out</t>
  </si>
  <si>
    <t>jan - nov</t>
  </si>
  <si>
    <t>jan - dez</t>
  </si>
  <si>
    <t>2017 - PF - Anuidade PF - Exercício Anterior (100%)</t>
  </si>
  <si>
    <t>2017 - PJ - Anuidade PJ - Exercício  (100%)</t>
  </si>
  <si>
    <t>2017 - PJ - Anuidade PJ - Exercício  Anterior (100%)</t>
  </si>
  <si>
    <t>2018 - RRT (100%)</t>
  </si>
  <si>
    <t>2017 - RRT (100%)</t>
  </si>
  <si>
    <t>2018 - TAXAS E MULTAS (100%)</t>
  </si>
  <si>
    <t>2017 - TAXAS E MULTAS (100%)</t>
  </si>
  <si>
    <t>Previsto</t>
  </si>
  <si>
    <t>Executado</t>
  </si>
  <si>
    <t>% Executado</t>
  </si>
  <si>
    <t>CAU/UF</t>
  </si>
  <si>
    <t>Total</t>
  </si>
  <si>
    <t>CAU/BR</t>
  </si>
  <si>
    <t>UF</t>
  </si>
  <si>
    <t>PF</t>
  </si>
  <si>
    <t>PJ</t>
  </si>
  <si>
    <t>Taxas</t>
  </si>
  <si>
    <t>2018 - Anuidade PF - Exercício (100%)</t>
  </si>
  <si>
    <t>2018 - Anuidade PF - Exercícios Anteriores (100%)</t>
  </si>
  <si>
    <t>2018 - Anuidade PF - Exercício  (100%)</t>
  </si>
  <si>
    <t>2018 - Anuidade PJ - Exercícios  Anteriores (100%)</t>
  </si>
  <si>
    <t>jan  - mar</t>
  </si>
  <si>
    <t>jan - abr</t>
  </si>
  <si>
    <t>jan - mai</t>
  </si>
  <si>
    <t>Mês</t>
  </si>
  <si>
    <t>PF ant</t>
  </si>
  <si>
    <t>PJ ant</t>
  </si>
  <si>
    <t>% Exec.</t>
  </si>
  <si>
    <t>Anuid. PF - Exerc.</t>
  </si>
  <si>
    <t>Anuid. PJ - Exerc. Ant.</t>
  </si>
  <si>
    <t>Anuid. PF - Exerc. Ant.</t>
  </si>
  <si>
    <t>Arrecadação Total</t>
  </si>
  <si>
    <t>Meta</t>
  </si>
  <si>
    <t>Valor Realizado</t>
  </si>
  <si>
    <t>Valor acima da Meta</t>
  </si>
  <si>
    <t>Valor abaixo da Meta</t>
  </si>
  <si>
    <t>jan</t>
  </si>
  <si>
    <t>fev</t>
  </si>
  <si>
    <t>mar</t>
  </si>
  <si>
    <t>abr</t>
  </si>
  <si>
    <t>mai</t>
  </si>
  <si>
    <t>jun</t>
  </si>
  <si>
    <t>jul</t>
  </si>
  <si>
    <t>ago</t>
  </si>
  <si>
    <t>set</t>
  </si>
  <si>
    <t>out</t>
  </si>
  <si>
    <t>nov</t>
  </si>
  <si>
    <t>dez</t>
  </si>
  <si>
    <t>Anuidade PF - Exercícios Anteriores</t>
  </si>
  <si>
    <t>Anuidade PJ - Exercícios Anteriores</t>
  </si>
  <si>
    <t>Arrecadação - desconsiderando a inadimplência</t>
  </si>
  <si>
    <t>PF - 100%</t>
  </si>
  <si>
    <t>PJ - 100%</t>
  </si>
  <si>
    <t>Anuid. PJ - Exerc.</t>
  </si>
  <si>
    <t xml:space="preserve">                                                                                                                                                   </t>
  </si>
  <si>
    <t>Potencial</t>
  </si>
  <si>
    <t>Previsto - Entrantes</t>
  </si>
  <si>
    <t>Entrantes</t>
  </si>
  <si>
    <t>Feminino</t>
  </si>
  <si>
    <t>Masculino</t>
  </si>
  <si>
    <t>Previsto PJ</t>
  </si>
  <si>
    <t>Previsto PF</t>
  </si>
  <si>
    <t>Méd/Prof Previsto</t>
  </si>
  <si>
    <t>Méd/Prof Executado</t>
  </si>
  <si>
    <t>RRT Pagos</t>
  </si>
  <si>
    <t>PJ Ativos</t>
  </si>
  <si>
    <t>PF Ativos</t>
  </si>
  <si>
    <t>Exec. %</t>
  </si>
  <si>
    <t>Anuidade PJ - Ex. Ant.</t>
  </si>
  <si>
    <t>Anuid. PF - Ex. Ant.</t>
  </si>
  <si>
    <t>% de Part.</t>
  </si>
  <si>
    <t>Brasil</t>
  </si>
  <si>
    <t>BR</t>
  </si>
  <si>
    <t>Norte</t>
  </si>
  <si>
    <t>Sul</t>
  </si>
  <si>
    <t>Sudeste</t>
  </si>
  <si>
    <t>Nordeste</t>
  </si>
  <si>
    <t>Centro-oeste</t>
  </si>
  <si>
    <t>Soma de Previsto - Entrantes</t>
  </si>
  <si>
    <t>Soma de Entrantes</t>
  </si>
  <si>
    <t>Soma de Feminino</t>
  </si>
  <si>
    <t>Soma de Masculino</t>
  </si>
  <si>
    <t>Soma de Previsto PJ2</t>
  </si>
  <si>
    <t>Soma de Previsto PF2</t>
  </si>
  <si>
    <t>Soma de Méd/Prof
Previsto</t>
  </si>
  <si>
    <t>Soma de Méd/Prof
Executado</t>
  </si>
  <si>
    <t>Soma de Previsto PJ</t>
  </si>
  <si>
    <t>Soma de PJ Ativos</t>
  </si>
  <si>
    <t>Soma de PF Ativos</t>
  </si>
  <si>
    <t>Soma de Exec. %4</t>
  </si>
  <si>
    <t>Soma de Previsto4</t>
  </si>
  <si>
    <t>Soma de Taxas</t>
  </si>
  <si>
    <t>Soma de Exec. %3</t>
  </si>
  <si>
    <t>Soma de Previsto3</t>
  </si>
  <si>
    <t>Soma de RRT</t>
  </si>
  <si>
    <t>Soma de Anuidade PJ - Ex. Ant.</t>
  </si>
  <si>
    <t>Soma de Exec. %2</t>
  </si>
  <si>
    <t>Soma de Previsto2</t>
  </si>
  <si>
    <t>Soma de Anuidade PJ - Exerc.</t>
  </si>
  <si>
    <t>Soma de Anuidade PF - Ex. Ant.</t>
  </si>
  <si>
    <t>Soma de Exec. %</t>
  </si>
  <si>
    <t>Soma de Previsto</t>
  </si>
  <si>
    <t>Soma de Anuidade PF - Exerc.</t>
  </si>
  <si>
    <t>Região</t>
  </si>
  <si>
    <t>Méd/Prof
Previsto</t>
  </si>
  <si>
    <t>Méd/Prof
Executado</t>
  </si>
  <si>
    <t>Anuidade PJ - Exerc.</t>
  </si>
  <si>
    <t>Anuidade PF - Ex. Ant.</t>
  </si>
  <si>
    <t>Anuidade PF - Exerc.</t>
  </si>
  <si>
    <t>ID</t>
  </si>
  <si>
    <t>TAXAS</t>
  </si>
  <si>
    <t>ENTRANTES</t>
  </si>
  <si>
    <t>GÊNERO</t>
  </si>
  <si>
    <t>QUANTITATIVO</t>
  </si>
  <si>
    <t>ARRECADAÇÃO</t>
  </si>
  <si>
    <t>Total RRT</t>
  </si>
  <si>
    <t>Fem.</t>
  </si>
  <si>
    <t>Fem. RRT</t>
  </si>
  <si>
    <t>Masc.</t>
  </si>
  <si>
    <t>Masc. RRT</t>
  </si>
  <si>
    <t>EXECUTADO</t>
  </si>
  <si>
    <t>POTENCIAL</t>
  </si>
  <si>
    <t>ANUIDADE-PF - EXERCÍCIOS ANTERIOES</t>
  </si>
  <si>
    <t>ANUIDADE-PJ - EXERCÍCIOS ANTERIORES</t>
  </si>
  <si>
    <t>RECEITAS DE ARRECADAÇÃO</t>
  </si>
  <si>
    <t>Anuidade - PF</t>
  </si>
  <si>
    <t>Anuidade- PJ</t>
  </si>
  <si>
    <t>Taxas 
e Multas</t>
  </si>
  <si>
    <t>Exercício</t>
  </si>
  <si>
    <t xml:space="preserve">Exerc. Anteriores </t>
  </si>
  <si>
    <t>TIPO</t>
  </si>
  <si>
    <t>FONTE</t>
  </si>
  <si>
    <t xml:space="preserve">RECEITA </t>
  </si>
  <si>
    <t>Fonte</t>
  </si>
  <si>
    <t>Soma de Fem. RRT</t>
  </si>
  <si>
    <t>Soma de Masc. RRT</t>
  </si>
  <si>
    <t>Rótulos de Linha</t>
  </si>
  <si>
    <t>Total Geral</t>
  </si>
  <si>
    <t>1 - Projeto</t>
  </si>
  <si>
    <t xml:space="preserve">1.1 - ARQ. DAS EDIFICAÇÕES  </t>
  </si>
  <si>
    <t xml:space="preserve">1.2 - SIST. CONST. E ESTRUTURAIS  </t>
  </si>
  <si>
    <t xml:space="preserve">1.3 - CONFORTO AMBIENTAL  </t>
  </si>
  <si>
    <t xml:space="preserve">1.4 - ARQ. DE INTERIORES  </t>
  </si>
  <si>
    <t>1.5 - INSTALAÇÕES E EQUIP. REF. À ARQ.</t>
  </si>
  <si>
    <t xml:space="preserve">1.6 - ARQ. PAISAGÍSTICA </t>
  </si>
  <si>
    <t>1.7 - RELATÓRIOS TÉCNICOS DE ARQ.</t>
  </si>
  <si>
    <t xml:space="preserve">1.8 - URBANISMO E DESENHO URBANO  </t>
  </si>
  <si>
    <t>1.9 - INSTAL.E EQUIP. REF. AO URB.</t>
  </si>
  <si>
    <t>1.10 - RELATÓRIOS TÉCNICOS E URB.</t>
  </si>
  <si>
    <t>1.11 - PATR. ARQ., URB. E PAISAGÍSTICO</t>
  </si>
  <si>
    <t>2 - Execução</t>
  </si>
  <si>
    <t xml:space="preserve">2.1 - ARQUITETURA DAS EDIFICAÇÕES  </t>
  </si>
  <si>
    <t xml:space="preserve">2.2 - SISTEMAS CONST. E ESTRUTURAIS  </t>
  </si>
  <si>
    <t xml:space="preserve">2.3 - CONFORTO AMBIENTAL  </t>
  </si>
  <si>
    <t xml:space="preserve">2.4 - ARQUITETURA DE INTERIORES  </t>
  </si>
  <si>
    <t>2.5 - INSTALAÇÕES E EQUIP. REF. À ARQ.</t>
  </si>
  <si>
    <t xml:space="preserve">2.6 -  ARQUITETURA PAISAGÍSTICA  </t>
  </si>
  <si>
    <t xml:space="preserve">2.7 - URBANISMO E DESENHO URBANO  </t>
  </si>
  <si>
    <t>2.8 - INSTALAÇÕES E EQUIP. REF. AO URB.</t>
  </si>
  <si>
    <t xml:space="preserve">2.9 - PATR. ARQ., URB. E PAISAGÍSTICO  </t>
  </si>
  <si>
    <t>3 - Gestão</t>
  </si>
  <si>
    <t xml:space="preserve">3.1 - COORD. E COMPAT. DE PROJETOS  </t>
  </si>
  <si>
    <t xml:space="preserve">3.2 - SUPERV. DE OBRA OU SERVIÇO TÉC. </t>
  </si>
  <si>
    <t>3.3 - DIR. COND. DE OBRA OU SERV. TÉC.</t>
  </si>
  <si>
    <t>3.4 - GERENC. DE OBRA OU SERV. TÉC.</t>
  </si>
  <si>
    <t>3.5 - ACOMP. DE OBRA OU SERV. TÉC.</t>
  </si>
  <si>
    <t>3.6 - FISC. DE OBRA OU SERV. TÉC.</t>
  </si>
  <si>
    <t xml:space="preserve">3.7 - DESEMP. DE CARGO OU FUNÇÃO TÉC. </t>
  </si>
  <si>
    <t>4 - Meio Ambiente</t>
  </si>
  <si>
    <t xml:space="preserve">4.1 - GEORREFERENC. E TOPOGRAFIA  </t>
  </si>
  <si>
    <t xml:space="preserve">4.2 - MEIO AMBIENTE  </t>
  </si>
  <si>
    <t xml:space="preserve">4.3 - PLANEJAMENTO REGIONAL  </t>
  </si>
  <si>
    <t xml:space="preserve">4.4 - PLANEJAMENTO URBANO  </t>
  </si>
  <si>
    <t>5 - Atividades Especiais</t>
  </si>
  <si>
    <t xml:space="preserve">5.1 - ASSESSORIA  </t>
  </si>
  <si>
    <t xml:space="preserve">5.2 - CONSULTORIA  </t>
  </si>
  <si>
    <t xml:space="preserve">5.3 - ASSISTÊNCIA TÉCNICA  </t>
  </si>
  <si>
    <t xml:space="preserve">5.4 - VISTORIA  </t>
  </si>
  <si>
    <t xml:space="preserve">5.5 - PERÍCIA  </t>
  </si>
  <si>
    <t xml:space="preserve">5.6 - AVALIAÇÃO  </t>
  </si>
  <si>
    <t xml:space="preserve">5.7 - LAUDO TÉCNICO  </t>
  </si>
  <si>
    <t xml:space="preserve">5.8 - PARECER TÉCNICO  </t>
  </si>
  <si>
    <t>5.9 - AUDITORIA</t>
  </si>
  <si>
    <t xml:space="preserve">5.10 - ARBITRAGEM  </t>
  </si>
  <si>
    <t xml:space="preserve">5.11  - MENSURAÇÃO  </t>
  </si>
  <si>
    <t>6 - Ensino e Pesquisa</t>
  </si>
  <si>
    <t xml:space="preserve">6.1 - ENSINO  </t>
  </si>
  <si>
    <t xml:space="preserve">6.2 -  PESQUISA  </t>
  </si>
  <si>
    <t>6.3 -  TECN. DA CONST. E CONT.DE QUALID.</t>
  </si>
  <si>
    <t>7 . Engenharia de Segurança</t>
  </si>
  <si>
    <t xml:space="preserve">7.1 - PLANOS  </t>
  </si>
  <si>
    <t xml:space="preserve">7.2 - PROGRAMAS  </t>
  </si>
  <si>
    <t xml:space="preserve">7.3 - AVALIAÇÃO DE RISCOS  </t>
  </si>
  <si>
    <t>7.4 - MAPA DE RIS. COND. E MEIO AMB. TRAB.</t>
  </si>
  <si>
    <t xml:space="preserve">7.5 -  RELATÓRIOS PARA FINS JUDICIAIS  </t>
  </si>
  <si>
    <t>7.6 - LAUDO DE INSP. SOBRE ATIV. INSAL.</t>
  </si>
  <si>
    <t xml:space="preserve">7.7 - LAUD. TÉC. DE COND. DO TRAB.-LTCAT  </t>
  </si>
  <si>
    <t xml:space="preserve">7.8 - OUTRAS ATIVIDADES  </t>
  </si>
  <si>
    <t>Grupo</t>
  </si>
  <si>
    <t>Subgrupo</t>
  </si>
  <si>
    <t>Previsto - RRT</t>
  </si>
  <si>
    <t>Soma de Previsto - RRT</t>
  </si>
  <si>
    <t>ADIMPLÊNCIA</t>
  </si>
  <si>
    <t>Adimp. PF %</t>
  </si>
  <si>
    <t>Adimp. PJ %</t>
  </si>
  <si>
    <t>Soma de Adimp. PF %</t>
  </si>
  <si>
    <t>Soma de Adimp. PJ %</t>
  </si>
  <si>
    <t>Comparativo de Receitas - YoY</t>
  </si>
  <si>
    <t>YoY - PF</t>
  </si>
  <si>
    <t>YoY - PJ</t>
  </si>
  <si>
    <t>YoY - RRT</t>
  </si>
  <si>
    <t>YoY - Taxas</t>
  </si>
  <si>
    <t>Soma de PF</t>
  </si>
  <si>
    <t>Soma de PJ</t>
  </si>
  <si>
    <t>Soma de RRT2</t>
  </si>
  <si>
    <t>Soma de Taxas2</t>
  </si>
  <si>
    <t>B/A</t>
  </si>
  <si>
    <t>C/A</t>
  </si>
  <si>
    <t>% acumulado até o mês atual</t>
  </si>
  <si>
    <t>Comparativo YOY</t>
  </si>
  <si>
    <t>Variação YOY</t>
  </si>
  <si>
    <t>PREVISTO (A)
para o período acumulado</t>
  </si>
  <si>
    <t>EXECUTADO (B)
no período acumulado</t>
  </si>
  <si>
    <t>POTENCIAL (C )
para o período acumulado</t>
  </si>
  <si>
    <t>Ajustar mensalmente</t>
  </si>
  <si>
    <t>Soma de Previsto5</t>
  </si>
  <si>
    <t>Soma de Exec. %5</t>
  </si>
  <si>
    <t>Soma de Previsto6</t>
  </si>
  <si>
    <t>Soma de Exec. %6</t>
  </si>
  <si>
    <t>RRT não tem inad.</t>
  </si>
  <si>
    <t>% de Execução</t>
  </si>
  <si>
    <t>% de Exec. YoY</t>
  </si>
  <si>
    <t>Receita Total - Ano Ant.</t>
  </si>
  <si>
    <t>RECEITA TOTAL - PREVISTO - UF</t>
  </si>
  <si>
    <t>RECEITAL TOTAL - Executado - UF</t>
  </si>
  <si>
    <t>RECEITA TOTAL - PREVISTO - BR</t>
  </si>
  <si>
    <t>RECEITAL TOTAL - Executado - BR</t>
  </si>
  <si>
    <t>2019 - Anuidade PF - Exercício (100%)</t>
  </si>
  <si>
    <t>2019 - Anuidade PF - Exercícios Anteriores (100%)</t>
  </si>
  <si>
    <t>2019 - Anuidade PJ - Exercícios  Anteriores (100%)</t>
  </si>
  <si>
    <t>2019 - RRT (100%)</t>
  </si>
  <si>
    <t>2019 - TAXAS E MULTAS (100%)</t>
  </si>
  <si>
    <t>TAXA EXPEDIENTE - REATIVAÇÃO DE REGISTRO</t>
  </si>
  <si>
    <t>DEZEMBRO</t>
  </si>
  <si>
    <t>NOVEMBRO</t>
  </si>
  <si>
    <t>OUTUBRO</t>
  </si>
  <si>
    <t>SETEMBRO</t>
  </si>
  <si>
    <t>AGOSTO</t>
  </si>
  <si>
    <t>JULHO</t>
  </si>
  <si>
    <t>JUNHO</t>
  </si>
  <si>
    <t>MAIO</t>
  </si>
  <si>
    <t>ABRIL</t>
  </si>
  <si>
    <t>FEVEREIRO</t>
  </si>
  <si>
    <t>JANEIRO</t>
  </si>
  <si>
    <t>%</t>
  </si>
  <si>
    <t>PF Ant</t>
  </si>
  <si>
    <t>PJ Ant</t>
  </si>
  <si>
    <t>2019 - Anuidade PJ - Exercício  (100%)</t>
  </si>
  <si>
    <t>Média 2019</t>
  </si>
  <si>
    <t>Média - Período de 2017 a 2019 - PF</t>
  </si>
  <si>
    <t>Média - Período de 2017 a 2019 - PF - Exercícios Anteriores</t>
  </si>
  <si>
    <t>Média - Período de 2017 a 2019 - PJ</t>
  </si>
  <si>
    <t>Média - Período de 2017 a 2019 - PJ - Exercícios Anteriores</t>
  </si>
  <si>
    <t>Média - Período de 2017 a 2019 - RRT</t>
  </si>
  <si>
    <t>Média - Período de 2017 a 2019 - Taxas e Multas</t>
  </si>
  <si>
    <t>JAN/2020</t>
  </si>
  <si>
    <t>FEV/2020</t>
  </si>
  <si>
    <t>MAR/2020</t>
  </si>
  <si>
    <t>ABR/2020</t>
  </si>
  <si>
    <t>MAI/2020</t>
  </si>
  <si>
    <t>JUN/2020</t>
  </si>
  <si>
    <t>JUL/2020</t>
  </si>
  <si>
    <t>AGO/2020</t>
  </si>
  <si>
    <t>SET/2020</t>
  </si>
  <si>
    <t>OUT/2020</t>
  </si>
  <si>
    <t>NOV/2020</t>
  </si>
  <si>
    <t>DEZ/2020</t>
  </si>
  <si>
    <t>Total 2020</t>
  </si>
  <si>
    <t>Estado</t>
  </si>
  <si>
    <t>ESPÍRITO SANTO</t>
  </si>
  <si>
    <t>BRASIL</t>
  </si>
  <si>
    <t>TOTAL 100 % PF</t>
  </si>
  <si>
    <t>TOTAL 100 % PJ</t>
  </si>
  <si>
    <t>Arrecadação de Exercícios Anteriores - 2020</t>
  </si>
  <si>
    <t>PREVISTO para 2020 (A)</t>
  </si>
  <si>
    <t>EXECUÇÃO % (C = B/A)</t>
  </si>
  <si>
    <t>A RECEBER (D = A - B)</t>
  </si>
  <si>
    <t>TOTAL - Exercício e Exercícios Anteriores (100%)</t>
  </si>
  <si>
    <t>Média 17 a 19</t>
  </si>
  <si>
    <t>% de partic.</t>
  </si>
  <si>
    <t>% de Exec. PF</t>
  </si>
  <si>
    <t>RRT Previstos</t>
  </si>
  <si>
    <t>CAU/UFs</t>
  </si>
  <si>
    <t>% de Exec. PF - Ex. Ant.</t>
  </si>
  <si>
    <t>% de Exec. PJ</t>
  </si>
  <si>
    <t>% de Exec. PJ - Exerc. Ant.</t>
  </si>
  <si>
    <t>% de Exec. RRT</t>
  </si>
  <si>
    <t>% de Exec. Taxas</t>
  </si>
  <si>
    <t>Ajustar o Gráfico do realizado e Potencial mensalmente</t>
  </si>
  <si>
    <t xml:space="preserve">SC </t>
  </si>
  <si>
    <t xml:space="preserve">RS </t>
  </si>
  <si>
    <t xml:space="preserve">RJ </t>
  </si>
  <si>
    <t xml:space="preserve">MG </t>
  </si>
  <si>
    <t>DEPÓSITOS DIRETOS</t>
  </si>
  <si>
    <t>Var BR</t>
  </si>
  <si>
    <t>Var UF</t>
  </si>
  <si>
    <t>BR sem fundo + Fundo</t>
  </si>
  <si>
    <t>UF sem fundo + Fundo</t>
  </si>
  <si>
    <t>BR com fundo</t>
  </si>
  <si>
    <t>UF com fundo</t>
  </si>
  <si>
    <t xml:space="preserve">BA </t>
  </si>
  <si>
    <t>Fundo BR</t>
  </si>
  <si>
    <t xml:space="preserve">AL </t>
  </si>
  <si>
    <t>Fundo UF</t>
  </si>
  <si>
    <t>BR sem fundo</t>
  </si>
  <si>
    <t>UF sem fundo</t>
  </si>
  <si>
    <t xml:space="preserve">PA </t>
  </si>
  <si>
    <t xml:space="preserve">AM </t>
  </si>
  <si>
    <t xml:space="preserve">AC </t>
  </si>
  <si>
    <t>pagantes</t>
  </si>
  <si>
    <t>Somente pagamentos quitados no à vista (1/1)</t>
  </si>
  <si>
    <t>Isenção frente ao Conceito</t>
  </si>
  <si>
    <t>SOMA CAU/UF</t>
  </si>
  <si>
    <t>YOY</t>
  </si>
  <si>
    <t>exc. Anter</t>
  </si>
  <si>
    <t xml:space="preserve">exer. </t>
  </si>
  <si>
    <t>Exerc. Anteriores</t>
  </si>
  <si>
    <t xml:space="preserve">MARÇO </t>
  </si>
  <si>
    <t>Parcelados</t>
  </si>
  <si>
    <t>À vista</t>
  </si>
  <si>
    <t>Potencial Pagantes</t>
  </si>
  <si>
    <t>Isentos</t>
  </si>
  <si>
    <t>Quantidade Ativos</t>
  </si>
  <si>
    <t>Valor
Exercícios Anteriores</t>
  </si>
  <si>
    <t>Valor
Exercício</t>
  </si>
  <si>
    <t>Total de Pagantes</t>
  </si>
  <si>
    <t>Quantidade Potencial Pagantes</t>
  </si>
  <si>
    <t>Participação %</t>
  </si>
  <si>
    <t>Realização %</t>
  </si>
  <si>
    <t>VALOR ACUMULADO</t>
  </si>
  <si>
    <t>VALOR TOTAL REALIZADO</t>
  </si>
  <si>
    <t>Adimplência %</t>
  </si>
  <si>
    <t>Acom+A:AUpanhamento da Receita de Arrecadação de Anuidade de Pessoa Física de Janeiro a Dezembro 2020</t>
  </si>
  <si>
    <t>Pessoa Física</t>
  </si>
  <si>
    <t>Acompanhamento da Receita de Arrecadação de Anuidade de Pessoa Física de Janeiro a Dezembro 2020</t>
  </si>
  <si>
    <t>PAGANTES</t>
  </si>
  <si>
    <t>ATIVOS</t>
  </si>
  <si>
    <t>executado</t>
  </si>
  <si>
    <t>previsão</t>
  </si>
  <si>
    <t>Somente pagamentos quitados no à vista</t>
  </si>
  <si>
    <t>YoY</t>
  </si>
  <si>
    <t>Ant</t>
  </si>
  <si>
    <t>Exc</t>
  </si>
  <si>
    <t>Quantidade Pagantes</t>
  </si>
  <si>
    <t xml:space="preserve">VALOR TOTAL REALIZADO </t>
  </si>
  <si>
    <t>Pessoa Jurídica</t>
  </si>
  <si>
    <t>Acompanhamento da Receita de Arrecadação de Anuidade de Pessoa Jurídica de Janeiro a Dezembro 2020</t>
  </si>
  <si>
    <t>Valor</t>
  </si>
  <si>
    <t>Qtde</t>
  </si>
  <si>
    <t>Partic %</t>
  </si>
  <si>
    <t>Realiz %</t>
  </si>
  <si>
    <t>Acompanhamento da Receita de Arrecadação de RRT de Janeiro a Dezembro 2020</t>
  </si>
  <si>
    <t>Multas</t>
  </si>
  <si>
    <t xml:space="preserve">             </t>
  </si>
  <si>
    <t>Acompanhamento da Receita de Arrecadação de Taxas e Multas de Janeiro a Dezembro 2020</t>
  </si>
  <si>
    <t>TOTAL GERAL</t>
  </si>
  <si>
    <t>VALOR EXECUTADO EM DEZEMBRO</t>
  </si>
  <si>
    <t>VALOR EXECUTADO EM NOVEMBRO</t>
  </si>
  <si>
    <t>VALOR EXECUTADO EM OUTUBRO</t>
  </si>
  <si>
    <t>VALOR EXECUTADO EM SETEMBRO</t>
  </si>
  <si>
    <t>VALOR EXECUTADO EM AGOSTO</t>
  </si>
  <si>
    <t>VALOR EXECUTADO EM JULHO</t>
  </si>
  <si>
    <t>VALOR EXECUTADO EM JUNHO</t>
  </si>
  <si>
    <t>VALOR EXECUTADO EM MAIO</t>
  </si>
  <si>
    <t>VALOR EXECUTADO EM ABRIL</t>
  </si>
  <si>
    <t>VALOR EXECUTADO EM MARÇO</t>
  </si>
  <si>
    <t>VALOR EXECUTADO EM FEVEREIRO</t>
  </si>
  <si>
    <t>VALOR EXECUTADO EM JANEIRO</t>
  </si>
  <si>
    <t>PARTICIPAÇÃO (%)</t>
  </si>
  <si>
    <t>REALIZAÇÃO (%)</t>
  </si>
  <si>
    <t xml:space="preserve">ARRECADAÇÃO </t>
  </si>
  <si>
    <t>ARRECADAÇÃO PREVISTA 2020</t>
  </si>
  <si>
    <t>ARRECADAÇÃO TOTAL -  JANEIRO A DEZEMBRO 2020</t>
  </si>
  <si>
    <t>Execução x PREVISÃO</t>
  </si>
  <si>
    <t xml:space="preserve">CAU/UF que não cresceu ano a ano </t>
  </si>
  <si>
    <t>TOTAL CAU/UF</t>
  </si>
  <si>
    <t>Ufs com arrecadação superior ao ano anterior</t>
  </si>
  <si>
    <t>Comparativo % 2020 x 2019</t>
  </si>
  <si>
    <t>PERÍODO: JANEIRO A DEZEMBRO 2019</t>
  </si>
  <si>
    <t>RECEITAS POR UF</t>
  </si>
  <si>
    <t>CAU - EXERCÍCIO 2019</t>
  </si>
  <si>
    <t>Δ Adimplência 
(p. percent.)</t>
  </si>
  <si>
    <t>Quantidade 
Ativos</t>
  </si>
  <si>
    <t>%  
Adimplência.</t>
  </si>
  <si>
    <t xml:space="preserve">À vista </t>
  </si>
  <si>
    <t>Potencial 
Pagantes</t>
  </si>
  <si>
    <t>%  Adimplência</t>
  </si>
  <si>
    <t>Total de Ativos
(Potencial Pagantes)</t>
  </si>
  <si>
    <t>Quantidade
Ativos</t>
  </si>
  <si>
    <t xml:space="preserve">UF </t>
  </si>
  <si>
    <t>% de Inad.</t>
  </si>
  <si>
    <t>%Δ Previsto x Executado</t>
  </si>
  <si>
    <t>Arquitetos e Urbanistas</t>
  </si>
  <si>
    <t>Período: Janeiro a Dezembro/14</t>
  </si>
  <si>
    <t>% Adimplência</t>
  </si>
  <si>
    <t xml:space="preserve"> Empresas </t>
  </si>
  <si>
    <t>% EXECUÇÃO</t>
  </si>
  <si>
    <t xml:space="preserve">Total RRT </t>
  </si>
  <si>
    <t>Total de Ativos PF *</t>
  </si>
  <si>
    <t>RRT por Profissional</t>
  </si>
  <si>
    <t>Ativos PF</t>
  </si>
  <si>
    <t>Soma (N)</t>
  </si>
  <si>
    <t>Soma (NE)</t>
  </si>
  <si>
    <t>Soma (CO)</t>
  </si>
  <si>
    <t>Soma (SE)</t>
  </si>
  <si>
    <t>Soma (S)</t>
  </si>
  <si>
    <t>RRT por Profissional abaixo do valor previsto para 2020.</t>
  </si>
  <si>
    <t>RRT por Profissional acima ou igual do valor previsto para 2020.</t>
  </si>
  <si>
    <t>Ano anterior
TOTAL acumulado</t>
  </si>
  <si>
    <t xml:space="preserve">Grupos de Atividades </t>
  </si>
  <si>
    <t>DIFERENÇA 
(IGEO-SICCAU)</t>
  </si>
  <si>
    <t xml:space="preserve"> ENSINO/ PESQUISA IGEO </t>
  </si>
  <si>
    <t xml:space="preserve">ENSINO/ PESQUISA </t>
  </si>
  <si>
    <t xml:space="preserve">PERC%   ENSINO/ PESQUISA </t>
  </si>
  <si>
    <t>EXECUÇÃO  IGEO</t>
  </si>
  <si>
    <t>EXECUÇÃO</t>
  </si>
  <si>
    <t xml:space="preserve">PERC%  EXECUÇÃO </t>
  </si>
  <si>
    <t>TOTAL        PROJETOS IGEO</t>
  </si>
  <si>
    <t>PROJETOS</t>
  </si>
  <si>
    <t>PROJETOS DE INTERIORES</t>
  </si>
  <si>
    <t>PERC% INTERIORES/ PROJETO</t>
  </si>
  <si>
    <t xml:space="preserve">DEMAIS PROJETOS </t>
  </si>
  <si>
    <t>PERC% PROJETOS</t>
  </si>
  <si>
    <t xml:space="preserve">  ENG .SEGURANÇA  TRABALHO IGEO</t>
  </si>
  <si>
    <t>PERC% ENG. SEG. TRABALHO</t>
  </si>
  <si>
    <t>GESTÃO igeo</t>
  </si>
  <si>
    <t>GESTÃO</t>
  </si>
  <si>
    <t xml:space="preserve">PERC%  GESTÃO </t>
  </si>
  <si>
    <t xml:space="preserve">   ATIV. ESPECIAL  AU igeo</t>
  </si>
  <si>
    <t xml:space="preserve">ATIV. ESPECIAL </t>
  </si>
  <si>
    <t xml:space="preserve">PERC% ATIV. ESPECIAL </t>
  </si>
  <si>
    <t xml:space="preserve">  MEIO AMB. PLAN REG. e URB. Igeo</t>
  </si>
  <si>
    <t>PERC%  MEIO  AMB. PLAN. REG. E URB.</t>
  </si>
  <si>
    <t>SICCAU</t>
  </si>
  <si>
    <t>ATIVIDADE</t>
  </si>
  <si>
    <t>QTDE</t>
  </si>
  <si>
    <t>Ensino/Pequisa</t>
  </si>
  <si>
    <t>Execução</t>
  </si>
  <si>
    <t>Projetos</t>
  </si>
  <si>
    <t>Engenharia de Segurança do Trabalho</t>
  </si>
  <si>
    <t>Gestão</t>
  </si>
  <si>
    <t xml:space="preserve">Atividades Especiais em Arquitetura e Urbanismo </t>
  </si>
  <si>
    <t>Meio Ambiente Planejamento Regional e Urbano</t>
  </si>
  <si>
    <t>PROJETO</t>
  </si>
  <si>
    <t xml:space="preserve">                                      </t>
  </si>
  <si>
    <t>ARQUITETURA DAS EDIFICAÇÕES</t>
  </si>
  <si>
    <t>SISTEMAS CONSTRUTIVOS E ESTRUTURAIS</t>
  </si>
  <si>
    <t>CONFORTO 
AMBIENTAL</t>
  </si>
  <si>
    <t>ARQUITETURA 
DE INTERIORES</t>
  </si>
  <si>
    <t>INSTALAÇÕES E EQUIPAMENTOS REFERENTES À ARQUITETURA</t>
  </si>
  <si>
    <t>ARQUITETURA 
PAISAGÍSTICA</t>
  </si>
  <si>
    <t>RELATÓRIOS TÉCNICOS 
DE ARQUITETURA</t>
  </si>
  <si>
    <t>URBANISMO 
E DESENHO URBANO</t>
  </si>
  <si>
    <t>INSTALAÇÕES E EQUIPAMENTOS REFERENTES AO URBANISMO</t>
  </si>
  <si>
    <t>RELATÓRIOS 
TÉCNICOS E URBANÍSTICOS</t>
  </si>
  <si>
    <t>PATRIMÔNIO ARQUITETÔNICO, URBANÍSTICO E PAISAGÍSTICO</t>
  </si>
  <si>
    <t>TOTAL igeo</t>
  </si>
  <si>
    <t>Qtde. IGEO</t>
  </si>
  <si>
    <t>Qtde.</t>
  </si>
  <si>
    <t>(Particip. Subgrupo %)</t>
  </si>
  <si>
    <t>% Repres. UF</t>
  </si>
  <si>
    <t>RESUMO</t>
  </si>
  <si>
    <t>CONFORTO AMBIENTAL</t>
  </si>
  <si>
    <t>ARQUITETURA DE INTERIORES</t>
  </si>
  <si>
    <t>ARQUITETURA PAISAGÍSTICA</t>
  </si>
  <si>
    <t>URBANISMO E DESENHO URBANO</t>
  </si>
  <si>
    <t>PATRIMÔNIO ARQUITETÔNICO,   URBANÍSTICO E PAISAGÍSTICO</t>
  </si>
  <si>
    <t>TOTAL IGEO</t>
  </si>
  <si>
    <t xml:space="preserve"> </t>
  </si>
  <si>
    <t>COORDENAÇÃO E COMPATIBILIZAÇÃO DE PROJETOS</t>
  </si>
  <si>
    <t>SUPERVISÃO DE OBRA OU SERVIÇO TÉCNICO</t>
  </si>
  <si>
    <t>DIREÇÃO OU CONDUÇÃO DE OBRA OU SERVIÇO TÉCNICO</t>
  </si>
  <si>
    <t>GERENCIAMENTO DE OBRA OU SERVIÇO TÉCNICO</t>
  </si>
  <si>
    <t>ACOMPANHAMENTO DE OBRA OU SERVIÇO TÉCNICO</t>
  </si>
  <si>
    <t>FISCALIZAÇÃO DE OBRA OU SERVIÇO TÉCNICO</t>
  </si>
  <si>
    <t>DESEMPENHO DE CARGO OU FUNÇÃO TÉCNICA</t>
  </si>
  <si>
    <t xml:space="preserve">      MEIO AMBIENTE E PLANEJAMENTO REGIONAL E URBANO</t>
  </si>
  <si>
    <t>GEORREFERENCIAMENTO E TOPOGRAFIA</t>
  </si>
  <si>
    <t>PLANEJAMENTO REGIONAL</t>
  </si>
  <si>
    <t>PLANEJAMENTO URBANO</t>
  </si>
  <si>
    <t>TOTAL. IGEO</t>
  </si>
  <si>
    <t>ATIVIDADES ESPECIAS</t>
  </si>
  <si>
    <t>ASSESSORIA</t>
  </si>
  <si>
    <t>CONSULTORIA</t>
  </si>
  <si>
    <t>ASSISTÊNCIA TÉCNICA</t>
  </si>
  <si>
    <t>VISTORIA</t>
  </si>
  <si>
    <t>PERÍCIA</t>
  </si>
  <si>
    <t>AVALIAÇÃO</t>
  </si>
  <si>
    <t>LAUDO TÉCNICO</t>
  </si>
  <si>
    <t>PARECER TÉCNICO</t>
  </si>
  <si>
    <t>AUDITORIA</t>
  </si>
  <si>
    <t>ARBITRAGEM</t>
  </si>
  <si>
    <t>MENSURAÇÃO</t>
  </si>
  <si>
    <t>ENSINO E PESQUISA</t>
  </si>
  <si>
    <t>ENSINO</t>
  </si>
  <si>
    <t xml:space="preserve">TOTAL IGEO </t>
  </si>
  <si>
    <t>QUANTIDADE</t>
  </si>
  <si>
    <t xml:space="preserve">ENGENHARIA DE SEGURANÇA DO TRABALHO </t>
  </si>
  <si>
    <t>PLANOS</t>
  </si>
  <si>
    <t>PROGRAMAS</t>
  </si>
  <si>
    <t>AVALIAÇÃO DE RISCOS</t>
  </si>
  <si>
    <t>LAUDO DE INSP. SOBRE ATIV. INSAL.</t>
  </si>
  <si>
    <t>LAUDO TÉC. DE COND. DO TRAB. - LTCAT</t>
  </si>
  <si>
    <t>OUTRAS ATIVIDADES</t>
  </si>
  <si>
    <t>Valor realizado</t>
  </si>
  <si>
    <t>QTDE RRTs Pagos por SubGrupo no período de JAN 2020</t>
  </si>
  <si>
    <t>uf</t>
  </si>
  <si>
    <t>QTDE 1.1</t>
  </si>
  <si>
    <t>QTDE 1.1 - M</t>
  </si>
  <si>
    <t>QTDE 1.1 - F</t>
  </si>
  <si>
    <t>QTDE 1.2</t>
  </si>
  <si>
    <t>QTDE 1.2 - M</t>
  </si>
  <si>
    <t>QTDE 1.2 - F</t>
  </si>
  <si>
    <t>QTDE 1.3</t>
  </si>
  <si>
    <t>QTDE 1.3 - M</t>
  </si>
  <si>
    <t>QTDE 1.3 - F</t>
  </si>
  <si>
    <t>QTDE 1.4</t>
  </si>
  <si>
    <t>QTDE 1.4 - M</t>
  </si>
  <si>
    <t>QTDE 1.4 - F</t>
  </si>
  <si>
    <t>QTDE 1.5</t>
  </si>
  <si>
    <t>QTDE 1.5 - M</t>
  </si>
  <si>
    <t>QTDE 1.5 - F</t>
  </si>
  <si>
    <t>QTDE 1.6</t>
  </si>
  <si>
    <t>QTDE 1.6 - M</t>
  </si>
  <si>
    <t>QTDE 1.6 - F</t>
  </si>
  <si>
    <t>QTDE 1.7</t>
  </si>
  <si>
    <t>QTDE 1.7 - M</t>
  </si>
  <si>
    <t>QTDE 1.7 - F</t>
  </si>
  <si>
    <t>QTDE 1.8</t>
  </si>
  <si>
    <t>QTDE 1.8 - M</t>
  </si>
  <si>
    <t>QTDE 1.8 - F</t>
  </si>
  <si>
    <t>QTDE 1.9</t>
  </si>
  <si>
    <t>QTDE 1.9 - M</t>
  </si>
  <si>
    <t>QTDE 1.9 - F</t>
  </si>
  <si>
    <t>QTDE 1.10</t>
  </si>
  <si>
    <t>QTDE 1.10 - M</t>
  </si>
  <si>
    <t>QTDE 1.10 - F</t>
  </si>
  <si>
    <t>QTDE 1.11</t>
  </si>
  <si>
    <t>QTDE 1.11 - M</t>
  </si>
  <si>
    <t>QTDE 1.11 - F</t>
  </si>
  <si>
    <t>QTDE 2.1</t>
  </si>
  <si>
    <t>QTDE 2.1 - M</t>
  </si>
  <si>
    <t>QTDE 2.1 - F</t>
  </si>
  <si>
    <t>QTDE 2.2</t>
  </si>
  <si>
    <t>QTDE 2.2 - M</t>
  </si>
  <si>
    <t>QTDE 2.2 - F</t>
  </si>
  <si>
    <t>QTDE 2.3</t>
  </si>
  <si>
    <t>QTDE 2.3 - M</t>
  </si>
  <si>
    <t>QTDE 2.3 - F</t>
  </si>
  <si>
    <t>QTDE 2.4</t>
  </si>
  <si>
    <t>QTDE 2.4 - M</t>
  </si>
  <si>
    <t>QTDE 2.4 - F</t>
  </si>
  <si>
    <t>QTDE 2.5</t>
  </si>
  <si>
    <t>QTDE 2.5 - M</t>
  </si>
  <si>
    <t>QTDE 2.5 - F</t>
  </si>
  <si>
    <t>QTDE 2.6</t>
  </si>
  <si>
    <t>QTDE 2.6 - M</t>
  </si>
  <si>
    <t>QTDE 2.6 - F</t>
  </si>
  <si>
    <t>QTDE 2.7</t>
  </si>
  <si>
    <t>QTDE 2.7 - M</t>
  </si>
  <si>
    <t>QTDE 2.7 - F</t>
  </si>
  <si>
    <t>QTDE 2.8</t>
  </si>
  <si>
    <t>QTDE 2.8 - M</t>
  </si>
  <si>
    <t>QTDE 2.8 - F</t>
  </si>
  <si>
    <t>QTDE 2.9</t>
  </si>
  <si>
    <t>QTDE 2.9 - M</t>
  </si>
  <si>
    <t>QTDE 2.9 - F</t>
  </si>
  <si>
    <t>.3.1</t>
  </si>
  <si>
    <t>.3.1.m</t>
  </si>
  <si>
    <t>.3.1.f</t>
  </si>
  <si>
    <t>.3.2</t>
  </si>
  <si>
    <t>.3.2.m</t>
  </si>
  <si>
    <t>.3.2.f</t>
  </si>
  <si>
    <t>.3.3</t>
  </si>
  <si>
    <t>.3.3.m</t>
  </si>
  <si>
    <t>.3.3.f</t>
  </si>
  <si>
    <t>.3.4</t>
  </si>
  <si>
    <t>.3.4.m</t>
  </si>
  <si>
    <t>.3.4.f</t>
  </si>
  <si>
    <t>.3.5</t>
  </si>
  <si>
    <t>.3.5.m</t>
  </si>
  <si>
    <t>.3.5.f</t>
  </si>
  <si>
    <t>.3.6</t>
  </si>
  <si>
    <t>.3.6.m</t>
  </si>
  <si>
    <t>.3.6.f</t>
  </si>
  <si>
    <t>.3.7</t>
  </si>
  <si>
    <t>.3.7.m</t>
  </si>
  <si>
    <t>.3.7.f</t>
  </si>
  <si>
    <t>QTDE 4.1</t>
  </si>
  <si>
    <t>QTDE 4.1 - M</t>
  </si>
  <si>
    <t>QTDE 4.1 - F</t>
  </si>
  <si>
    <t>QTDE 4.2</t>
  </si>
  <si>
    <t>QTDE 4.2 - M</t>
  </si>
  <si>
    <t>QTDE 4.2 - F</t>
  </si>
  <si>
    <t>QTDE 4.3</t>
  </si>
  <si>
    <t>QTDE 4.3 - M</t>
  </si>
  <si>
    <t>QTDE 4.3 - F</t>
  </si>
  <si>
    <t>QTDE 4.4</t>
  </si>
  <si>
    <t>QTDE 4.4 - M</t>
  </si>
  <si>
    <t>QTDE 4.4 - F</t>
  </si>
  <si>
    <t>.5.1</t>
  </si>
  <si>
    <t>.5.1.m</t>
  </si>
  <si>
    <t>.5.1.f</t>
  </si>
  <si>
    <t>.5.2</t>
  </si>
  <si>
    <t>.5.2.m</t>
  </si>
  <si>
    <t>.5.2.f</t>
  </si>
  <si>
    <t>.5.3</t>
  </si>
  <si>
    <t>.5.3.m</t>
  </si>
  <si>
    <t>.5.3.f</t>
  </si>
  <si>
    <t>.5.4</t>
  </si>
  <si>
    <t>.5.4.m</t>
  </si>
  <si>
    <t>.5.4.f</t>
  </si>
  <si>
    <t>.5.5</t>
  </si>
  <si>
    <t>.5.5.m</t>
  </si>
  <si>
    <t>.5.5.f</t>
  </si>
  <si>
    <t>.5.6</t>
  </si>
  <si>
    <t>.5.6.m</t>
  </si>
  <si>
    <t>.5.6.f</t>
  </si>
  <si>
    <t>.5.7</t>
  </si>
  <si>
    <t>.5.7.m</t>
  </si>
  <si>
    <t>.5.7.f</t>
  </si>
  <si>
    <t>.5.8</t>
  </si>
  <si>
    <t>.5.8.m</t>
  </si>
  <si>
    <t>.5.8.f</t>
  </si>
  <si>
    <t>.5.9</t>
  </si>
  <si>
    <t>.5.9.m</t>
  </si>
  <si>
    <t>.5.9.f</t>
  </si>
  <si>
    <t>.5.10</t>
  </si>
  <si>
    <t>.5.10.m</t>
  </si>
  <si>
    <t>.5.10.f</t>
  </si>
  <si>
    <t>.5.11</t>
  </si>
  <si>
    <t>.5.11.m</t>
  </si>
  <si>
    <t>.5.11.f</t>
  </si>
  <si>
    <t>QTDE 6.1</t>
  </si>
  <si>
    <t>QTDE 6.1 - M</t>
  </si>
  <si>
    <t>QTDE 6.1 - F</t>
  </si>
  <si>
    <t>QTDE 6.2</t>
  </si>
  <si>
    <t>QTDE 6.2 - M</t>
  </si>
  <si>
    <t>QTDE 6.2 - F</t>
  </si>
  <si>
    <t>QTDE 6.3</t>
  </si>
  <si>
    <t>QTDE 6.3 - M</t>
  </si>
  <si>
    <t>QTDE 6.3 - F</t>
  </si>
  <si>
    <t>QTDE 7.1</t>
  </si>
  <si>
    <t>QTDE 7.1 - M</t>
  </si>
  <si>
    <t>QTDE 7.1 - F</t>
  </si>
  <si>
    <t>QTDE 7.2</t>
  </si>
  <si>
    <t>QTDE 7.2 - M</t>
  </si>
  <si>
    <t>QTDE 7.2 - F</t>
  </si>
  <si>
    <t>QTDE 7.3</t>
  </si>
  <si>
    <t>QTDE 7.3 - M</t>
  </si>
  <si>
    <t>QTDE 7.3 - F</t>
  </si>
  <si>
    <t>QTDE 7.4</t>
  </si>
  <si>
    <t>QTDE 7.4 - M</t>
  </si>
  <si>
    <t>QTDE 7.4 - F</t>
  </si>
  <si>
    <t>QTDE 7.5</t>
  </si>
  <si>
    <t>QTDE 7.5 - M</t>
  </si>
  <si>
    <t>QTDE 7.5 - F</t>
  </si>
  <si>
    <t>QTDE 7.6</t>
  </si>
  <si>
    <t>QTDE 7.6 - M</t>
  </si>
  <si>
    <t>QTDE 7.6 - F</t>
  </si>
  <si>
    <t>QTDE 7.7</t>
  </si>
  <si>
    <t>QTDE 7.7 - M</t>
  </si>
  <si>
    <t>QTDE 7.7 - F</t>
  </si>
  <si>
    <t>QTDE 7.8</t>
  </si>
  <si>
    <t>QTDE 7.8 - M</t>
  </si>
  <si>
    <t>QTDE 7.8 - F</t>
  </si>
  <si>
    <t>total</t>
  </si>
  <si>
    <t>MEIO AMBIENTE E PLANEJAMENTO REGIONAL E URBANO</t>
  </si>
  <si>
    <t>ATIVIDADES ESPECIAIS EM AQUITETURA E URBANISMO</t>
  </si>
  <si>
    <t>ENGENHARIA DE SEGURANÇA DO TRABALHO (Lei 7.410/85)</t>
  </si>
  <si>
    <t xml:space="preserve"> 1.1  Masc.</t>
  </si>
  <si>
    <t xml:space="preserve">ARQ. DAS EDIFICAÇÕES  </t>
  </si>
  <si>
    <t xml:space="preserve"> 1.1 - Fem.</t>
  </si>
  <si>
    <t>ARQUITETURA DAS EDIFICAÇÕES - F</t>
  </si>
  <si>
    <t xml:space="preserve"> 1.2  Masc.</t>
  </si>
  <si>
    <t xml:space="preserve">SIST. CONST. E ESTRUTURAIS  </t>
  </si>
  <si>
    <t xml:space="preserve"> 1.2 - Fem.</t>
  </si>
  <si>
    <t>SISTEMAS CONSTRUTIVOS E ESTRUTURAIS - F</t>
  </si>
  <si>
    <t xml:space="preserve"> 1.3  Masc.</t>
  </si>
  <si>
    <t xml:space="preserve">CONFORTO AMBIENTAL  </t>
  </si>
  <si>
    <t xml:space="preserve"> 1.3 - Fem.</t>
  </si>
  <si>
    <t>CONFORTO AMBIENTAL - F</t>
  </si>
  <si>
    <t xml:space="preserve"> 1.4  Masc.</t>
  </si>
  <si>
    <t xml:space="preserve">ARQ. DE INTERIORES  </t>
  </si>
  <si>
    <t xml:space="preserve"> 1.4 - Fem.</t>
  </si>
  <si>
    <t>ARQUITETURA DE INTERIORES - F</t>
  </si>
  <si>
    <t xml:space="preserve"> 1.5  Masc.</t>
  </si>
  <si>
    <t>INSTALAÇÕES E EQUIP. REFERENTES À ARQ.</t>
  </si>
  <si>
    <t xml:space="preserve"> 1.5 - Fem.</t>
  </si>
  <si>
    <t>INSTALAÇÕES E EQUIPAMENTOS REFERENTES À ARQUITETURA - F</t>
  </si>
  <si>
    <t xml:space="preserve"> 1.6  Masc.</t>
  </si>
  <si>
    <t xml:space="preserve">ARQU. PAISAGÍSTICA </t>
  </si>
  <si>
    <t xml:space="preserve"> 1.6 - Fem.</t>
  </si>
  <si>
    <t>ARQUITETURA PAISAGÍSTICA - F</t>
  </si>
  <si>
    <t xml:space="preserve"> 1.7  Masc.</t>
  </si>
  <si>
    <t>RELATÓRIOS TÉCNICOS DE ARQ.</t>
  </si>
  <si>
    <t xml:space="preserve"> 1.7 - Fem.</t>
  </si>
  <si>
    <t>RELATÓRIOS TÉCNICOS DE ARQUITETURA - F</t>
  </si>
  <si>
    <t xml:space="preserve"> 1.8  Masc.</t>
  </si>
  <si>
    <t xml:space="preserve">URBANISMO E DESENHO URBANO  </t>
  </si>
  <si>
    <t xml:space="preserve"> 1.8 - Fem.</t>
  </si>
  <si>
    <t>URBANISMO E DESENHO URBANO - F</t>
  </si>
  <si>
    <t xml:space="preserve"> 1.9  Masc.</t>
  </si>
  <si>
    <t>INSTALAÇÕES E EQUIP. REFERENTES AO URB.</t>
  </si>
  <si>
    <t xml:space="preserve"> 1.9 - Fem.</t>
  </si>
  <si>
    <t>INSTALAÇÕES E EQUIPAMENTOS REFERENTES AO URBANISMO - F</t>
  </si>
  <si>
    <t xml:space="preserve"> 1.10  Masc.</t>
  </si>
  <si>
    <t>RELATÓRIOS TÉCNICOS E URB.</t>
  </si>
  <si>
    <t xml:space="preserve"> 1.10 - Fem.</t>
  </si>
  <si>
    <t>RELATÓRIOS TÉCNICOS E URBANÍSTICOS - F</t>
  </si>
  <si>
    <t xml:space="preserve"> 1.11  Masc.</t>
  </si>
  <si>
    <t>PATRIMÔNIO ARQ., URB. E PAISAGÍSTICO</t>
  </si>
  <si>
    <t xml:space="preserve"> 1.11 - Fem.</t>
  </si>
  <si>
    <t>PATRIMÔNIO ARQUITETÔNICO, URBANÍSTICO E PAISAGÍSTICO - F</t>
  </si>
  <si>
    <t xml:space="preserve"> 2.1  Masc.</t>
  </si>
  <si>
    <t xml:space="preserve">ARQUITETURA DAS EDIFICAÇÕES  </t>
  </si>
  <si>
    <t xml:space="preserve"> 2.1 - Fem.</t>
  </si>
  <si>
    <t xml:space="preserve"> 2.2  Masc.</t>
  </si>
  <si>
    <t xml:space="preserve">SISTEMAS CONSTRUTIVOS E ESTRUTURAIS  </t>
  </si>
  <si>
    <t xml:space="preserve"> 2.2 - Fem.</t>
  </si>
  <si>
    <t xml:space="preserve"> 2.3  Masc.</t>
  </si>
  <si>
    <t xml:space="preserve"> 2.3 - Fem.</t>
  </si>
  <si>
    <t xml:space="preserve"> 2.4  Masc.</t>
  </si>
  <si>
    <t xml:space="preserve">ARQUITETURA DE INTERIORES  </t>
  </si>
  <si>
    <t xml:space="preserve"> 2.4 - Fem.</t>
  </si>
  <si>
    <t xml:space="preserve"> 2.5  Masc.</t>
  </si>
  <si>
    <t xml:space="preserve">INSTALAÇÕES E EQUIPAMENTOS REFERENTES À ARQUITETURA  </t>
  </si>
  <si>
    <t xml:space="preserve"> 2.5 - Fem.</t>
  </si>
  <si>
    <t xml:space="preserve"> 2.6  Masc.</t>
  </si>
  <si>
    <t xml:space="preserve"> ARQUITETURA PAISAGÍSTICA  </t>
  </si>
  <si>
    <t xml:space="preserve"> 2.6 - Fem.</t>
  </si>
  <si>
    <t xml:space="preserve"> ARQUITETURA PAISAGÍSTICA - F</t>
  </si>
  <si>
    <t xml:space="preserve"> 2.7  Masc.</t>
  </si>
  <si>
    <t xml:space="preserve"> 2.7 - Fem.</t>
  </si>
  <si>
    <t xml:space="preserve"> 2.8  Masc.</t>
  </si>
  <si>
    <t xml:space="preserve">INSTALAÇÕES E EQUIPAMENTOS REFERENTES AO URBANISMO  </t>
  </si>
  <si>
    <t xml:space="preserve"> 2.8 - Fem.</t>
  </si>
  <si>
    <t xml:space="preserve"> 2.9  Masc.</t>
  </si>
  <si>
    <t xml:space="preserve">PATRIMÔNIO ARQUITETÔNICO, URBANÍSTICO E PAISAGÍSTICO  </t>
  </si>
  <si>
    <t xml:space="preserve"> 2.9 - Fem.</t>
  </si>
  <si>
    <t>3.1  Masc.</t>
  </si>
  <si>
    <t xml:space="preserve">COORDENAÇÃO E COMPATIBILIZAÇÃO DE PROJETOS  </t>
  </si>
  <si>
    <t>3.1 - Fem.</t>
  </si>
  <si>
    <t>COORDENAÇÃO E COMPATIBILIZAÇÃO DE PROJETOS - F</t>
  </si>
  <si>
    <t>3.2  Masc.</t>
  </si>
  <si>
    <t xml:space="preserve">SUPERVISÃO DE OBRA OU SERVIÇO TÉCNICO  </t>
  </si>
  <si>
    <t>3.2 - Fem.</t>
  </si>
  <si>
    <t>SUPERVISÃO DE OBRA OU SERVIÇO TÉCNICO - F</t>
  </si>
  <si>
    <t>3.3  Masc.</t>
  </si>
  <si>
    <t xml:space="preserve">DIREÇÃO OU CONDUÇÃO DE OBRA OU SERVIÇO TÉCNICO  </t>
  </si>
  <si>
    <t>3.3 - Fem.</t>
  </si>
  <si>
    <t>DIREÇÃO OU CONDUÇÃO DE OBRA OU SERVIÇO TÉCNICO - F</t>
  </si>
  <si>
    <t>3.4  Masc.</t>
  </si>
  <si>
    <t xml:space="preserve">GERENCIAMENTO DE OBRA OU SERVIÇO TÉCNICO  </t>
  </si>
  <si>
    <t>3.4 - Fem.</t>
  </si>
  <si>
    <t>GERENCIAMENTO DE OBRA OU SERVIÇO TÉCNICO - F</t>
  </si>
  <si>
    <t>3.5  Masc.</t>
  </si>
  <si>
    <t xml:space="preserve">ACOMPANHAMENTO DE OBRA OU SERVIÇO TÉCNICO  </t>
  </si>
  <si>
    <t>3.5 - Fem.</t>
  </si>
  <si>
    <t>ACOMPANHAMENTO DE OBRA OU SERVIÇO TÉCNICO - F</t>
  </si>
  <si>
    <t>3.6  Masc.</t>
  </si>
  <si>
    <t xml:space="preserve">FISCALIZAÇÃO DE OBRA OU SERVIÇO TÉCNICO  </t>
  </si>
  <si>
    <t>3.6 - Fem.</t>
  </si>
  <si>
    <t>FISCALIZAÇÃO DE OBRA OU SERVIÇO TÉCNICO - F</t>
  </si>
  <si>
    <t>3.7 Masc.</t>
  </si>
  <si>
    <t xml:space="preserve">DESEMPENHO DE CARGO OU FUNÇÃO TÉCNICA  </t>
  </si>
  <si>
    <t>3.7 - Fem.</t>
  </si>
  <si>
    <t>DESEMPENHO DE CARGO OU FUNÇÃO TÉCNICA - F</t>
  </si>
  <si>
    <t xml:space="preserve"> 4.1  Masc.</t>
  </si>
  <si>
    <t xml:space="preserve">GEORREFERENCIAMENTO E TOPOGRAFIA  </t>
  </si>
  <si>
    <t xml:space="preserve"> 4.1 - Fem.</t>
  </si>
  <si>
    <t>GEORREFERENCIAMENTO E TOPOGRAFIA - F</t>
  </si>
  <si>
    <t xml:space="preserve"> 4.2  Masc.</t>
  </si>
  <si>
    <t xml:space="preserve"> MEIO AMBIENTE  </t>
  </si>
  <si>
    <t xml:space="preserve"> 4.2 - Fem.</t>
  </si>
  <si>
    <t xml:space="preserve"> MEIO AMBIENTE - F</t>
  </si>
  <si>
    <t xml:space="preserve"> 4.3  Masc.</t>
  </si>
  <si>
    <t xml:space="preserve">PLANEJAMENTO REGIONAL  </t>
  </si>
  <si>
    <t xml:space="preserve"> 4.3 - Fem.</t>
  </si>
  <si>
    <t>PLANEJAMENTO REGIONAL - F</t>
  </si>
  <si>
    <t xml:space="preserve"> 4.4  Masc.</t>
  </si>
  <si>
    <t xml:space="preserve">PLANEJAMENTO URBANO  </t>
  </si>
  <si>
    <t xml:space="preserve"> 4.4 - Fem.</t>
  </si>
  <si>
    <t>PLANEJAMENTO URBANO - F</t>
  </si>
  <si>
    <t>5.1  Masc.</t>
  </si>
  <si>
    <t xml:space="preserve">ASSESSORIA  </t>
  </si>
  <si>
    <t>5.1 - Fem.</t>
  </si>
  <si>
    <t>ASSESSORIA - F</t>
  </si>
  <si>
    <t>5.2  Masc.</t>
  </si>
  <si>
    <t xml:space="preserve">CONSULTORIA  </t>
  </si>
  <si>
    <t>5.2 - Fem.</t>
  </si>
  <si>
    <t>CONSULTORIA - F</t>
  </si>
  <si>
    <t>5.3  Masc.</t>
  </si>
  <si>
    <t xml:space="preserve">ASSISTÊNCIA TÉCNICA  </t>
  </si>
  <si>
    <t>5.3 - Fem.</t>
  </si>
  <si>
    <t>ASSISTÊNCIA TÉCNICA - F</t>
  </si>
  <si>
    <t>5.4  Masc.</t>
  </si>
  <si>
    <t xml:space="preserve">VISTORIA  </t>
  </si>
  <si>
    <t>5.4 - Fem.</t>
  </si>
  <si>
    <t>VISTORIA - F</t>
  </si>
  <si>
    <t>5.5  Masc.</t>
  </si>
  <si>
    <t xml:space="preserve">PERÍCIA  </t>
  </si>
  <si>
    <t>5.5 - Fem.</t>
  </si>
  <si>
    <t>PERÍCIA - F</t>
  </si>
  <si>
    <t>5.6 Masc.</t>
  </si>
  <si>
    <t xml:space="preserve">AVALIAÇÃO  </t>
  </si>
  <si>
    <t>5.6 - Fem.</t>
  </si>
  <si>
    <t>AVALIAÇÃO - F</t>
  </si>
  <si>
    <t>5.7  Masc.</t>
  </si>
  <si>
    <t xml:space="preserve">LAUDO TÉCNICO  </t>
  </si>
  <si>
    <t>5.7 - Fem.</t>
  </si>
  <si>
    <t>LAUDO TÉCNICO - F</t>
  </si>
  <si>
    <t>5.8  Masc.</t>
  </si>
  <si>
    <t xml:space="preserve">PARECER TÉCNICO  </t>
  </si>
  <si>
    <t>5.8 - Fem.</t>
  </si>
  <si>
    <t>PARECER TÉCNICO - F</t>
  </si>
  <si>
    <t>5.9  Masc.</t>
  </si>
  <si>
    <t xml:space="preserve">AUDITORIA - </t>
  </si>
  <si>
    <t>5.9 - Fem.</t>
  </si>
  <si>
    <t>AUDITORIA - F</t>
  </si>
  <si>
    <t>5.10  Masc.</t>
  </si>
  <si>
    <t xml:space="preserve">ARBITRAGEM  </t>
  </si>
  <si>
    <t>5.10 - Fem.</t>
  </si>
  <si>
    <t>ARBITRAGEM - F</t>
  </si>
  <si>
    <t>5.11  Masc.</t>
  </si>
  <si>
    <t xml:space="preserve">MENSURAÇÃO  </t>
  </si>
  <si>
    <t>5.11 - Fem.</t>
  </si>
  <si>
    <t>MENSURAÇÃO - F</t>
  </si>
  <si>
    <t xml:space="preserve"> 6.1  Masc.</t>
  </si>
  <si>
    <t xml:space="preserve">ENSINO  </t>
  </si>
  <si>
    <t xml:space="preserve"> 6.1 - Fem.</t>
  </si>
  <si>
    <t>ENSINO - F</t>
  </si>
  <si>
    <t xml:space="preserve"> 6.2  Masc.</t>
  </si>
  <si>
    <t xml:space="preserve"> PESQUISA  </t>
  </si>
  <si>
    <t xml:space="preserve"> 6.2 - Fem.</t>
  </si>
  <si>
    <t xml:space="preserve"> PESQUISA - F</t>
  </si>
  <si>
    <t xml:space="preserve"> 6.3  Masc.</t>
  </si>
  <si>
    <t xml:space="preserve"> TECNOLOGIA DA CONSTRUÇÃO E CONTROLE DE QUALIDADE  </t>
  </si>
  <si>
    <t xml:space="preserve"> 6.3 - Fem.</t>
  </si>
  <si>
    <t xml:space="preserve"> TECNOLOGIA DA CONSTRUÇÃO E CONTROLE DE QUALIDADE - F</t>
  </si>
  <si>
    <t xml:space="preserve"> 7.1  Masc.</t>
  </si>
  <si>
    <t xml:space="preserve">PLANOS  </t>
  </si>
  <si>
    <t xml:space="preserve"> 7.1 - Fem.</t>
  </si>
  <si>
    <t>PLANOS - F</t>
  </si>
  <si>
    <t xml:space="preserve"> 7.2  Masc.</t>
  </si>
  <si>
    <t xml:space="preserve">PROGRAMAS  </t>
  </si>
  <si>
    <t xml:space="preserve"> 7.2 - Fem.</t>
  </si>
  <si>
    <t>PROGRAMAS - F</t>
  </si>
  <si>
    <t xml:space="preserve"> 7.3  Masc.</t>
  </si>
  <si>
    <t xml:space="preserve">AVALIAÇÃO DE RISCOS  </t>
  </si>
  <si>
    <t xml:space="preserve"> 7.3 - Fem.</t>
  </si>
  <si>
    <t>AVALIAÇÃO DE RISCOS - F</t>
  </si>
  <si>
    <t xml:space="preserve"> 7.4  Masc.</t>
  </si>
  <si>
    <t xml:space="preserve">MAPA DE RISCO DAS CONDIÇÕES E MEIO AMBIENTE DE TRABALHO  </t>
  </si>
  <si>
    <t xml:space="preserve"> 7.4 - Fem.</t>
  </si>
  <si>
    <t>MAPA DE RISCO DAS CONDIÇÕES E MEIO AMBIENTE DE TRABALHO - F</t>
  </si>
  <si>
    <t xml:space="preserve"> 7.5  Masc.</t>
  </si>
  <si>
    <t xml:space="preserve"> RELATÓRIOS PARA FINS JUDICIAIS  </t>
  </si>
  <si>
    <t xml:space="preserve"> 7.5 - Fem.</t>
  </si>
  <si>
    <t xml:space="preserve"> RELATÓRIOS PARA FINS JUDICIAIS - F</t>
  </si>
  <si>
    <t xml:space="preserve"> 7.6  Masc.</t>
  </si>
  <si>
    <t xml:space="preserve">LAUDO DE INSPEÇÃO SOBRE ATIVIDADES INSALUBRES  </t>
  </si>
  <si>
    <t xml:space="preserve"> 7.6 - Fem.</t>
  </si>
  <si>
    <t>LAUDO DE INSPEÇÃO SOBRE ATIVIDADES INSALUBRES - F</t>
  </si>
  <si>
    <t xml:space="preserve"> 7.7  Masc.</t>
  </si>
  <si>
    <t xml:space="preserve">LAUDO TÉCNICO DE CONDIÇÕES DO TRABALHO - LTCAT  </t>
  </si>
  <si>
    <t xml:space="preserve"> 7.7 - Fem.</t>
  </si>
  <si>
    <t>LAUDO TÉCNICO DE CONDIÇÕES DO TRABALHO - LTCAT - F</t>
  </si>
  <si>
    <t xml:space="preserve"> 7.8  Masc.</t>
  </si>
  <si>
    <t xml:space="preserve">OUTRAS ATIVIDADES  </t>
  </si>
  <si>
    <t xml:space="preserve"> 7.8 - Fem.</t>
  </si>
  <si>
    <t>OUTRAS ATIVIDADES - F</t>
  </si>
  <si>
    <t>MÉDIA</t>
  </si>
  <si>
    <t>Projeto</t>
  </si>
  <si>
    <t>INSTALAÇÕES E EQUIP. REF. À ARQ.</t>
  </si>
  <si>
    <t xml:space="preserve">ARQ. PAISAGÍSTICA </t>
  </si>
  <si>
    <t>INSTAL.E EQUIP. REF. AO URB.</t>
  </si>
  <si>
    <t>PATR. ARQ., URB. E PAISAGÍSTICO</t>
  </si>
  <si>
    <t xml:space="preserve">SISTEMAS CONST. E ESTRUTURAIS  </t>
  </si>
  <si>
    <t>INSTALAÇÕES E EQUIP. REF. AO URB.</t>
  </si>
  <si>
    <t xml:space="preserve">PATR. ARQ., URB. E PAISAGÍSTICO  </t>
  </si>
  <si>
    <t xml:space="preserve">COORD. E COMPAT. DE PROJETOS  </t>
  </si>
  <si>
    <t xml:space="preserve">SUPERV. DE OBRA OU SERVIÇO TÉC. </t>
  </si>
  <si>
    <t>DIR. COND. DE OBRA OU SERV. TÉC.</t>
  </si>
  <si>
    <t>GERENC. DE OBRA OU SERV. TÉC.</t>
  </si>
  <si>
    <t>ACOMP. DE OBRA OU SERV. TÉC.</t>
  </si>
  <si>
    <t>FISC. DE OBRA OU SERV. TÉC.</t>
  </si>
  <si>
    <t xml:space="preserve">DESEMP. DE CARGO OU FUNÇÃO TÉC. </t>
  </si>
  <si>
    <t>Meio Ambiente</t>
  </si>
  <si>
    <t xml:space="preserve">GEORREFERENC. E TOPOGRAFIA  </t>
  </si>
  <si>
    <t xml:space="preserve">MEIO AMBIENTE  </t>
  </si>
  <si>
    <t>Atividades Especiais</t>
  </si>
  <si>
    <t>Ensino e Pesquisa</t>
  </si>
  <si>
    <t xml:space="preserve"> TECN. DA CONST. E CONT.DE QUALID.</t>
  </si>
  <si>
    <t>Engenharia de Segurança</t>
  </si>
  <si>
    <t>MAPA DE RISCO COND. E MEIO AMB. TRAB.</t>
  </si>
  <si>
    <t xml:space="preserve">LAUDO TÉC. DE COND. DO TRAB. - LTCAT  </t>
  </si>
  <si>
    <t>As informações do IGEO são disponibilizadas por RRT por atividade, posteriormente a GERPLAN-CAU/BR efetua a proporcionalidade entre tal quantidade e a quantidade informada pelo relatório 41 do SICCAU (RRTs Pagos)</t>
  </si>
  <si>
    <t>SICCAU - Relatório 10</t>
  </si>
  <si>
    <t>* A quantidade  PF  prevista está com a redução 50% dos Entrantes, conforme Diretrizes 2020.</t>
  </si>
  <si>
    <t>PF - Jan. a Abr.</t>
  </si>
  <si>
    <t>PJ - Jan. a Abr.</t>
  </si>
  <si>
    <t>1 - Projeto Total</t>
  </si>
  <si>
    <t>Tabela do Gráfico</t>
  </si>
  <si>
    <t>(A)
PF Isentos</t>
  </si>
  <si>
    <t>Média</t>
  </si>
  <si>
    <t>(B)
PF Ativos</t>
  </si>
  <si>
    <t>(C)
Dez. 2019</t>
  </si>
  <si>
    <t>(D)
Variação acumulada</t>
  </si>
  <si>
    <t>(E)
Entrantes</t>
  </si>
  <si>
    <t>(F)
RRT Pagos</t>
  </si>
  <si>
    <t>(G)
PJ Ativos</t>
  </si>
  <si>
    <t>(H)
Dez. 2019</t>
  </si>
  <si>
    <t>(I)
Variação acumulada</t>
  </si>
  <si>
    <t>(D) Variação Acumulada = (B) - (C)</t>
  </si>
  <si>
    <t>(I) Variação Acumulada = (G) - (H)</t>
  </si>
  <si>
    <t>Jan. a Dez./2019</t>
  </si>
  <si>
    <t>Jan. a Dez./2018</t>
  </si>
  <si>
    <t>Comparativo % Jan. a Dez.-19 x Jan. a Dez.-18</t>
  </si>
  <si>
    <t xml:space="preserve">Adimplência acima ou igual a média Nacional </t>
  </si>
  <si>
    <t xml:space="preserve">Adimplência abaixo da média Nacional </t>
  </si>
  <si>
    <t>ajustar de acordo com o tutorial
18º - ABA – Dados – Receita e Qntd
Na linha 2, acima da tabela dinâmica, temos quais colunas devem estar em cada posição</t>
  </si>
  <si>
    <t>Soma de Previsto PF</t>
  </si>
  <si>
    <t xml:space="preserve">MEIO AMB. PLAN REG. e URB. </t>
  </si>
  <si>
    <t>ENG .SEG.  TRABALHO</t>
  </si>
  <si>
    <t>MEIO AMBIENTE</t>
  </si>
  <si>
    <t>TECNOL. DA CONSTR. E CONTR. DE QUAL.</t>
  </si>
  <si>
    <t>PESQUISA</t>
  </si>
  <si>
    <t>MAPA DE RISCO DAS COND. E MEIO AMB. DE TRAB.</t>
  </si>
  <si>
    <t>RELAT. PARA FINS JUDICIAIS</t>
  </si>
  <si>
    <t>CONTROLE  DE RECEITA TOTAL 2020 - UF</t>
  </si>
  <si>
    <t>CONTROLE  DE RECEITA TOTAL 2020 - BR</t>
  </si>
  <si>
    <t>Previsto - Reprogramação 2020</t>
  </si>
  <si>
    <t>Quantidade Ativos 
Ago/20</t>
  </si>
  <si>
    <t>AU Isentos
Ago/20</t>
  </si>
  <si>
    <t>REPROGRAMAÇÃO 2020</t>
  </si>
  <si>
    <t>% de exerc. - PF</t>
  </si>
  <si>
    <t>% de exerc. - PJ</t>
  </si>
  <si>
    <t>% de exerc. - Entrantes</t>
  </si>
  <si>
    <t>YOY
% de exerc.</t>
  </si>
  <si>
    <t>% de exerc. Frente ao Previsto (do ano)</t>
  </si>
  <si>
    <t>Soma de % de exerc. - PF</t>
  </si>
  <si>
    <t>Soma de % de exerc. - PJ</t>
  </si>
  <si>
    <t>Soma de % de exerc. - Entrantes</t>
  </si>
  <si>
    <t>Soma de YOY
% de exerc.</t>
  </si>
  <si>
    <t>Soma de % de exerc. Frente ao Previsto (do ano)</t>
  </si>
  <si>
    <t>Soma de Ano anterior
TOTAL acumulado</t>
  </si>
  <si>
    <t>PF - Jan. a "mês atual".</t>
  </si>
  <si>
    <t>PJ - Jan. a "mês atual".</t>
  </si>
  <si>
    <t xml:space="preserve">MA e PA ainda com os valores previstos na programação </t>
  </si>
  <si>
    <t>Anuidade PJ - Exercício 2020</t>
  </si>
  <si>
    <t>Anuidade PF - Exercício 2020</t>
  </si>
  <si>
    <t>RRT Psets</t>
  </si>
  <si>
    <t>Soma de RRT Psets</t>
  </si>
  <si>
    <t>RRT JAN. e SET./2020
SICCAU</t>
  </si>
  <si>
    <t>RRT - JAN. e SET./ 2020  IGEO</t>
  </si>
  <si>
    <t xml:space="preserve">                  </t>
  </si>
  <si>
    <t xml:space="preserve"> OBS: Informações retiradas 
da Tabelas Diretrizes 
Reprogramação 2020 - sem inadimplência (potencial)</t>
  </si>
  <si>
    <t>Soma de PF - Jan. a Nov.</t>
  </si>
  <si>
    <t>Soma de PJ - Jan. a Nov.</t>
  </si>
  <si>
    <t>(A) PF Isentos - (B) PF Ativos - Informações vindas do relatório 10 do SICCAU (filtro de Data de Registro anterior a 01/01/1981), gerado em 04/01/2021.</t>
  </si>
  <si>
    <t>(B) PF Ativos - Informações vindas do relatório 10 do SICCAU, gerado em 04/01/2021.</t>
  </si>
  <si>
    <t>(C) Dez. 2019 - Posição final do quantitativo de PF Ativos em 31/12/2019, informações do Cenário de Arrecadação de Dezembro de 2019, disponível no Portal da Transprência do CAU/BR.</t>
  </si>
  <si>
    <t>(E) Entrantes - Informações vindas do IGEO com data de corte em 31/12/2020.</t>
  </si>
  <si>
    <t>(F) RRT Pagos - Informações vindas do SICCAU, Relatório 41, data de pagamento entre 01/01/2020 até 31/12/2020; selecionado "Vínculo com PJ", gerado em 04/01/2021.</t>
  </si>
  <si>
    <t>(G) PJ Ativos - Informações vindas do Portal da Transparência do CAU/BR, data de corte em 31/12/2020 pelo IGEO (relatório utilizado para as premissas da Reprogramação 2020).</t>
  </si>
  <si>
    <t>(H) Dez. 2019 - Posição final do quantitativo de PJ Ativos em 31/12/2019, informações do Cenário de Arrecadação de Dezembro de 2019, disponível no Portal da Transprência do CAU/BR.</t>
  </si>
  <si>
    <t>Executado - Jan. a Dez.(B)</t>
  </si>
  <si>
    <t>Total de Pagantes
 (Jan. e Dez./20)</t>
  </si>
  <si>
    <t>Total de Pagantes
  (Jan. e Dez./20)</t>
  </si>
  <si>
    <t>Jan. e Dez./20</t>
  </si>
  <si>
    <t>Acumulado - Jan. e Dez./2020</t>
  </si>
  <si>
    <t>Acumulado - Jan. e Dez./2019</t>
  </si>
  <si>
    <t>PF - 2020</t>
  </si>
  <si>
    <t>PJ - 2020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</si>
</sst>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quot;R$&quot;\ * #,##0_-;\-&quot;R$&quot;\ * #,##0_-;_-&quot;R$&quot;\ *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_-* #,##0_-;\-* #,##0_-;_-* &quot;-&quot;??_-;_-@_-"/>
    <numFmt numFmtId="167" formatCode="0.0%"/>
    <numFmt numFmtId="168" formatCode="_-* #,##0.0_-;\-* #,##0.0_-;_-* &quot;-&quot;??_-;_-@_-"/>
    <numFmt numFmtId="169" formatCode="_-* #,##0_-;\-* #,##0_-;_-* &quot;-&quot;?_-;_-@_-"/>
    <numFmt numFmtId="170" formatCode="_-&quot;R$&quot;\ * #,##0_-;\-&quot;R$&quot;\ * #,##0_-;_-&quot;R$&quot;\ * &quot;-&quot;??_-;_-@_-"/>
    <numFmt numFmtId="171" formatCode="_-[$R$-416]\ * #,##0_-;\-[$R$-416]\ * #,##0_-;_-[$R$-416]\ * &quot;-&quot;??_-;_-@_-"/>
    <numFmt numFmtId="172" formatCode="&quot;R$&quot;\ #,##0"/>
    <numFmt numFmtId="173" formatCode="_-[$R$-416]* #,##0_-;\-[$R$-416]* #,##0_-;_-[$R$-416]* &quot;-&quot;??_-;_-@_-"/>
    <numFmt numFmtId="174" formatCode="0.0"/>
    <numFmt numFmtId="175" formatCode="#,##0.0"/>
    <numFmt numFmtId="176" formatCode="_-* #,##0.0_-;\-* #,##0.0_-;_-* &quot;-&quot;?_-;_-@_-"/>
    <numFmt numFmtId="177" formatCode="#,##0_ ;\-#,##0\ "/>
    <numFmt numFmtId="178" formatCode="_(* #,##0.0_);_(* \(#,##0.0\);_(* &quot;-&quot;?_);_(@_)"/>
    <numFmt numFmtId="179" formatCode="_-* #,##0.000000_-;\-* #,##0.000000_-;_-* &quot;-&quot;??_-;_-@_-"/>
    <numFmt numFmtId="180" formatCode="[$-416]mmm\-yy;@"/>
    <numFmt numFmtId="181" formatCode="_(* #,##0_);_(* \(#,##0\);_(* &quot;-&quot;??_);_(@_)"/>
    <numFmt numFmtId="182" formatCode="0.000"/>
    <numFmt numFmtId="183" formatCode="#,##0.0_ ;\-#,##0.0\ "/>
    <numFmt numFmtId="184" formatCode="_(* #,##0.0_);_(* \(#,##0.0\);_(* &quot;-&quot;??_);_(@_)"/>
    <numFmt numFmtId="185" formatCode="0.000%"/>
    <numFmt numFmtId="186" formatCode="_-* #,##0.000000000000_-;\-* #,##0.000000000000_-;_-* &quot;-&quot;??_-;_-@_-"/>
  </numFmts>
  <fonts count="119">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b/>
      <sz val="11"/>
      <name val="Calibri"/>
      <family val="2"/>
    </font>
    <font>
      <b/>
      <sz val="36"/>
      <color theme="1"/>
      <name val="Calibri"/>
      <family val="2"/>
      <scheme val="minor"/>
    </font>
    <font>
      <sz val="11"/>
      <name val="Calibri"/>
      <family val="2"/>
      <scheme val="minor"/>
    </font>
    <font>
      <b/>
      <sz val="11"/>
      <name val="Calibri"/>
      <family val="2"/>
      <scheme val="minor"/>
    </font>
    <font>
      <b/>
      <sz val="14"/>
      <color theme="1"/>
      <name val="Calibri"/>
      <family val="2"/>
    </font>
    <font>
      <b/>
      <sz val="11"/>
      <color theme="0"/>
      <name val="Calibri"/>
      <family val="2"/>
      <scheme val="minor"/>
    </font>
    <font>
      <sz val="11"/>
      <color theme="0"/>
      <name val="Calibri"/>
      <family val="2"/>
      <scheme val="minor"/>
    </font>
    <font>
      <b/>
      <sz val="16"/>
      <color theme="0"/>
      <name val="Calibri"/>
      <family val="2"/>
      <scheme val="minor"/>
    </font>
    <font>
      <sz val="16"/>
      <color theme="1"/>
      <name val="Calibri"/>
      <family val="2"/>
      <scheme val="minor"/>
    </font>
    <font>
      <b/>
      <sz val="16"/>
      <name val="Calibri"/>
      <family val="2"/>
      <scheme val="minor"/>
    </font>
    <font>
      <sz val="11"/>
      <color theme="1"/>
      <name val="Calibri"/>
      <family val="2"/>
    </font>
    <font>
      <b/>
      <sz val="11"/>
      <color theme="0"/>
      <name val="Calibri"/>
      <family val="2"/>
    </font>
    <font>
      <sz val="8"/>
      <color theme="1"/>
      <name val="Calibri"/>
      <family val="2"/>
    </font>
    <font>
      <b/>
      <sz val="11"/>
      <color theme="0"/>
      <name val="Dax"/>
    </font>
    <font>
      <sz val="10"/>
      <color theme="1"/>
      <name val="Calibri"/>
      <family val="2"/>
      <scheme val="minor"/>
    </font>
    <font>
      <b/>
      <sz val="12"/>
      <color theme="0"/>
      <name val="Calibri"/>
      <family val="2"/>
      <scheme val="minor"/>
    </font>
    <font>
      <sz val="12"/>
      <color theme="1"/>
      <name val="Arial"/>
      <family val="2"/>
    </font>
    <font>
      <sz val="12"/>
      <color theme="0"/>
      <name val="Arial"/>
      <family val="2"/>
    </font>
    <font>
      <sz val="16"/>
      <color theme="1"/>
      <name val="Arial"/>
      <family val="2"/>
    </font>
    <font>
      <sz val="8"/>
      <color theme="0"/>
      <name val="Calibri"/>
      <family val="2"/>
      <scheme val="minor"/>
    </font>
    <font>
      <b/>
      <sz val="8"/>
      <color theme="0"/>
      <name val="Calibri"/>
      <family val="2"/>
      <scheme val="minor"/>
    </font>
    <font>
      <b/>
      <sz val="16"/>
      <color theme="1"/>
      <name val="Calibri"/>
      <family val="2"/>
      <scheme val="minor"/>
    </font>
    <font>
      <b/>
      <sz val="10"/>
      <color theme="1"/>
      <name val="Calibri"/>
      <family val="2"/>
      <scheme val="minor"/>
    </font>
    <font>
      <b/>
      <sz val="10"/>
      <color theme="0"/>
      <name val="Calibri"/>
      <family val="2"/>
      <scheme val="minor"/>
    </font>
    <font>
      <sz val="10"/>
      <color rgb="FF000000"/>
      <name val="Calibri"/>
      <family val="2"/>
      <scheme val="minor"/>
    </font>
    <font>
      <b/>
      <sz val="10"/>
      <color rgb="FFFF0000"/>
      <name val="Calibri"/>
      <family val="2"/>
      <scheme val="minor"/>
    </font>
    <font>
      <sz val="9"/>
      <color indexed="81"/>
      <name val="Segoe UI"/>
      <family val="2"/>
    </font>
    <font>
      <b/>
      <sz val="9"/>
      <color indexed="81"/>
      <name val="Segoe UI"/>
      <family val="2"/>
    </font>
    <font>
      <sz val="12"/>
      <color theme="1"/>
      <name val="Calibri"/>
      <family val="2"/>
      <scheme val="minor"/>
    </font>
    <font>
      <sz val="8"/>
      <color theme="1"/>
      <name val="Calibri"/>
      <family val="2"/>
      <scheme val="minor"/>
    </font>
    <font>
      <b/>
      <sz val="14"/>
      <color theme="1"/>
      <name val="Calibri"/>
      <family val="2"/>
      <scheme val="minor"/>
    </font>
    <font>
      <b/>
      <sz val="9"/>
      <color rgb="FFFFFFFF"/>
      <name val="Calibri"/>
      <family val="2"/>
      <scheme val="minor"/>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24"/>
      <color theme="1"/>
      <name val="Calibri"/>
      <family val="2"/>
      <scheme val="minor"/>
    </font>
    <font>
      <b/>
      <sz val="22"/>
      <color theme="0"/>
      <name val="Calibri"/>
      <family val="2"/>
      <scheme val="minor"/>
    </font>
    <font>
      <sz val="14"/>
      <color theme="1"/>
      <name val="Calibri"/>
      <family val="2"/>
      <scheme val="minor"/>
    </font>
    <font>
      <sz val="22"/>
      <color theme="1"/>
      <name val="Calibri"/>
      <family val="2"/>
      <scheme val="minor"/>
    </font>
    <font>
      <b/>
      <sz val="22"/>
      <color theme="1"/>
      <name val="Calibri"/>
      <family val="2"/>
      <scheme val="minor"/>
    </font>
    <font>
      <sz val="15"/>
      <color theme="1"/>
      <name val="Calibri"/>
      <family val="2"/>
      <scheme val="minor"/>
    </font>
    <font>
      <sz val="15"/>
      <color theme="0"/>
      <name val="Calibri"/>
      <family val="2"/>
      <scheme val="minor"/>
    </font>
    <font>
      <sz val="16"/>
      <color theme="0"/>
      <name val="Calibri"/>
      <family val="2"/>
      <scheme val="minor"/>
    </font>
    <font>
      <sz val="20"/>
      <color theme="1"/>
      <name val="Calibri"/>
      <family val="2"/>
      <scheme val="minor"/>
    </font>
    <font>
      <sz val="16"/>
      <color rgb="FFFF0000"/>
      <name val="Calibri"/>
      <family val="2"/>
      <scheme val="minor"/>
    </font>
    <font>
      <sz val="22"/>
      <color rgb="FFFF0000"/>
      <name val="Calibri"/>
      <family val="2"/>
      <scheme val="minor"/>
    </font>
    <font>
      <sz val="22"/>
      <color theme="0"/>
      <name val="Calibri"/>
      <family val="2"/>
      <scheme val="minor"/>
    </font>
    <font>
      <b/>
      <sz val="12"/>
      <color theme="1"/>
      <name val="Calibri"/>
      <family val="2"/>
    </font>
    <font>
      <b/>
      <sz val="20"/>
      <color theme="1"/>
      <name val="Calibri"/>
      <family val="2"/>
      <scheme val="minor"/>
    </font>
    <font>
      <sz val="16"/>
      <name val="Calibri"/>
      <family val="2"/>
      <scheme val="minor"/>
    </font>
    <font>
      <b/>
      <sz val="12"/>
      <color rgb="FFFF0000"/>
      <name val="Calibri"/>
      <family val="2"/>
      <scheme val="minor"/>
    </font>
    <font>
      <b/>
      <sz val="20"/>
      <color theme="1"/>
      <name val="Calibri"/>
      <family val="2"/>
    </font>
    <font>
      <sz val="22"/>
      <name val="Calibri"/>
      <family val="2"/>
      <scheme val="minor"/>
    </font>
    <font>
      <u/>
      <sz val="11"/>
      <color theme="10"/>
      <name val="Calibri"/>
      <family val="2"/>
      <scheme val="minor"/>
    </font>
    <font>
      <u/>
      <sz val="17"/>
      <color theme="10"/>
      <name val="Calibri"/>
      <family val="2"/>
      <scheme val="minor"/>
    </font>
    <font>
      <sz val="11"/>
      <color rgb="FF000000"/>
      <name val="Calibri"/>
      <family val="2"/>
      <scheme val="minor"/>
    </font>
    <font>
      <b/>
      <sz val="24"/>
      <color theme="1"/>
      <name val="Calibri"/>
      <family val="2"/>
      <scheme val="minor"/>
    </font>
    <font>
      <sz val="11"/>
      <color theme="0"/>
      <name val="Calibri"/>
      <family val="2"/>
    </font>
    <font>
      <b/>
      <sz val="11"/>
      <color rgb="FFFFFFFF"/>
      <name val="Calibri"/>
      <family val="2"/>
      <scheme val="minor"/>
    </font>
    <font>
      <b/>
      <sz val="11"/>
      <color rgb="FF000000"/>
      <name val="Calibri"/>
      <family val="2"/>
    </font>
    <font>
      <sz val="22"/>
      <color rgb="FF000000"/>
      <name val="Calibri"/>
      <family val="2"/>
    </font>
    <font>
      <b/>
      <sz val="22"/>
      <name val="Calibri"/>
      <family val="2"/>
      <scheme val="minor"/>
    </font>
    <font>
      <sz val="18"/>
      <color theme="1"/>
      <name val="Calibri"/>
      <family val="2"/>
      <scheme val="minor"/>
    </font>
    <font>
      <b/>
      <sz val="24"/>
      <name val="Calibri"/>
      <family val="2"/>
      <scheme val="minor"/>
    </font>
    <font>
      <b/>
      <sz val="11"/>
      <color rgb="FF000000"/>
      <name val="Calibri"/>
      <family val="2"/>
      <scheme val="minor"/>
    </font>
    <font>
      <b/>
      <i/>
      <sz val="12"/>
      <color theme="1"/>
      <name val="Calibri"/>
      <family val="2"/>
    </font>
    <font>
      <u/>
      <sz val="15"/>
      <color theme="10"/>
      <name val="Calibri"/>
      <family val="2"/>
      <scheme val="minor"/>
    </font>
    <font>
      <b/>
      <sz val="15"/>
      <color theme="1"/>
      <name val="Calibri"/>
      <family val="2"/>
      <scheme val="minor"/>
    </font>
    <font>
      <b/>
      <sz val="12"/>
      <color rgb="FF000000"/>
      <name val="Calibri"/>
      <family val="2"/>
      <scheme val="minor"/>
    </font>
    <font>
      <sz val="12"/>
      <color theme="0"/>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sz val="14"/>
      <color rgb="FF000000"/>
      <name val="Calibri"/>
      <family val="2"/>
      <scheme val="minor"/>
    </font>
    <font>
      <sz val="14"/>
      <color rgb="FFFF0000"/>
      <name val="Calibri"/>
      <family val="2"/>
      <scheme val="minor"/>
    </font>
    <font>
      <b/>
      <sz val="14"/>
      <color rgb="FF000000"/>
      <name val="Calibri"/>
      <family val="2"/>
      <scheme val="minor"/>
    </font>
    <font>
      <b/>
      <sz val="14"/>
      <name val="Calibri"/>
      <family val="2"/>
      <scheme val="minor"/>
    </font>
    <font>
      <sz val="12"/>
      <color rgb="FF000000"/>
      <name val="Calibri"/>
      <family val="2"/>
      <scheme val="minor"/>
    </font>
    <font>
      <b/>
      <sz val="11"/>
      <color rgb="FFFF0000"/>
      <name val="Calibri"/>
      <family val="2"/>
      <scheme val="minor"/>
    </font>
    <font>
      <sz val="11"/>
      <color rgb="FF000000"/>
      <name val="Calibri"/>
      <family val="2"/>
    </font>
    <font>
      <b/>
      <sz val="13"/>
      <color theme="1"/>
      <name val="Calibri"/>
      <family val="2"/>
      <scheme val="minor"/>
    </font>
    <font>
      <sz val="11"/>
      <color rgb="FF050505"/>
      <name val="Arial"/>
      <family val="2"/>
    </font>
    <font>
      <b/>
      <sz val="9"/>
      <color theme="1"/>
      <name val="Calibri"/>
      <family val="2"/>
      <scheme val="minor"/>
    </font>
    <font>
      <sz val="13"/>
      <color theme="1"/>
      <name val="Calibri"/>
      <family val="2"/>
      <scheme val="minor"/>
    </font>
    <font>
      <sz val="10"/>
      <color rgb="FF050505"/>
      <name val="Arial"/>
      <family val="2"/>
    </font>
    <font>
      <b/>
      <sz val="14"/>
      <color theme="0"/>
      <name val="Calibri"/>
      <family val="2"/>
      <scheme val="minor"/>
    </font>
    <font>
      <b/>
      <sz val="11.5"/>
      <color theme="0"/>
      <name val="Calibri"/>
      <family val="2"/>
      <scheme val="minor"/>
    </font>
    <font>
      <sz val="12"/>
      <name val="Calibri"/>
      <family val="2"/>
      <scheme val="minor"/>
    </font>
    <font>
      <sz val="11.5"/>
      <color theme="1"/>
      <name val="Calibri"/>
      <family val="2"/>
      <scheme val="minor"/>
    </font>
    <font>
      <b/>
      <sz val="11.5"/>
      <color theme="1"/>
      <name val="Calibri"/>
      <family val="2"/>
      <scheme val="minor"/>
    </font>
    <font>
      <sz val="8"/>
      <color theme="1"/>
      <name val="Arial"/>
      <family val="2"/>
    </font>
    <font>
      <b/>
      <sz val="8"/>
      <color theme="1"/>
      <name val="Arial"/>
      <family val="2"/>
    </font>
    <font>
      <b/>
      <sz val="8"/>
      <color theme="1"/>
      <name val="Calibri"/>
      <family val="2"/>
      <scheme val="minor"/>
    </font>
    <font>
      <sz val="8"/>
      <color theme="0"/>
      <name val="Calibri"/>
      <scheme val="minor"/>
    </font>
    <font>
      <sz val="11"/>
      <color theme="1"/>
      <name val="Calibri"/>
      <scheme val="minor"/>
    </font>
    <font>
      <sz val="8"/>
      <name val="Calibri"/>
      <family val="2"/>
      <scheme val="minor"/>
    </font>
    <font>
      <sz val="9"/>
      <color theme="0" tint="-0.499984740745262"/>
      <name val="Cambria"/>
      <family val="1"/>
      <scheme val="major"/>
    </font>
    <font>
      <sz val="10"/>
      <name val="Arial"/>
      <family val="2"/>
    </font>
    <font>
      <sz val="11"/>
      <color rgb="FF000000"/>
      <name val="Calibri"/>
      <family val="2"/>
      <charset val="1"/>
    </font>
    <font>
      <sz val="9"/>
      <color indexed="81"/>
      <name val="Segoe UI"/>
      <charset val="1"/>
    </font>
    <font>
      <b/>
      <sz val="9"/>
      <color indexed="81"/>
      <name val="Segoe UI"/>
      <charset val="1"/>
    </font>
    <font>
      <b/>
      <sz val="18"/>
      <color indexed="81"/>
      <name val="Segoe UI"/>
      <family val="2"/>
    </font>
    <font>
      <b/>
      <sz val="20"/>
      <color indexed="81"/>
      <name val="Segoe UI"/>
      <family val="2"/>
    </font>
    <font>
      <sz val="20"/>
      <name val="Calibri"/>
      <family val="2"/>
      <scheme val="minor"/>
    </font>
  </fonts>
  <fills count="9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006666"/>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6871"/>
        <bgColor indexed="64"/>
      </patternFill>
    </fill>
    <fill>
      <patternFill patternType="solid">
        <fgColor rgb="FFFFFADE"/>
        <bgColor indexed="64"/>
      </patternFill>
    </fill>
    <fill>
      <patternFill patternType="solid">
        <fgColor rgb="FF2A5664"/>
        <bgColor indexed="64"/>
      </patternFill>
    </fill>
    <fill>
      <patternFill patternType="solid">
        <fgColor rgb="FF008080"/>
        <bgColor indexed="64"/>
      </patternFill>
    </fill>
    <fill>
      <patternFill patternType="solid">
        <fgColor them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rgb="FF339966"/>
        <bgColor indexed="64"/>
      </patternFill>
    </fill>
    <fill>
      <patternFill patternType="solid">
        <fgColor rgb="FF215868"/>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rgb="FF215967"/>
        <bgColor indexed="64"/>
      </patternFill>
    </fill>
    <fill>
      <patternFill patternType="solid">
        <fgColor theme="8" tint="-0.499984740745262"/>
        <bgColor indexed="64"/>
      </patternFill>
    </fill>
    <fill>
      <patternFill patternType="solid">
        <fgColor rgb="FFD0DDEC"/>
        <bgColor indexed="64"/>
      </patternFill>
    </fill>
    <fill>
      <patternFill patternType="solid">
        <fgColor rgb="FFF2F2F2"/>
        <bgColor indexed="64"/>
      </patternFill>
    </fill>
    <fill>
      <patternFill patternType="solid">
        <fgColor theme="6" tint="0.79998168889431442"/>
        <bgColor indexed="64"/>
      </patternFill>
    </fill>
    <fill>
      <patternFill patternType="solid">
        <fgColor rgb="FFF8EDEC"/>
        <bgColor indexed="64"/>
      </patternFill>
    </fill>
    <fill>
      <patternFill patternType="solid">
        <fgColor theme="0" tint="-0.14999847407452621"/>
        <bgColor theme="0" tint="-0.14999847407452621"/>
      </patternFill>
    </fill>
    <fill>
      <patternFill patternType="solid">
        <fgColor theme="3" tint="0.59999389629810485"/>
        <bgColor theme="0" tint="-0.14999847407452621"/>
      </patternFill>
    </fill>
    <fill>
      <patternFill patternType="solid">
        <fgColor theme="2" tint="-0.249977111117893"/>
        <bgColor theme="0" tint="-0.14999847407452621"/>
      </patternFill>
    </fill>
    <fill>
      <patternFill patternType="solid">
        <fgColor theme="5" tint="0.39997558519241921"/>
        <bgColor theme="0" tint="-0.14999847407452621"/>
      </patternFill>
    </fill>
    <fill>
      <patternFill patternType="solid">
        <fgColor theme="6" tint="0.39997558519241921"/>
        <bgColor theme="0" tint="-0.14999847407452621"/>
      </patternFill>
    </fill>
    <fill>
      <patternFill patternType="solid">
        <fgColor theme="8" tint="0.39997558519241921"/>
        <bgColor theme="0" tint="-0.14999847407452621"/>
      </patternFill>
    </fill>
    <fill>
      <patternFill patternType="solid">
        <fgColor theme="7" tint="0.39997558519241921"/>
        <bgColor theme="0" tint="-0.14999847407452621"/>
      </patternFill>
    </fill>
    <fill>
      <patternFill patternType="solid">
        <fgColor theme="9" tint="0.39997558519241921"/>
        <bgColor theme="0" tint="-0.14999847407452621"/>
      </patternFill>
    </fill>
    <fill>
      <patternFill patternType="solid">
        <fgColor theme="0" tint="-0.14999847407452621"/>
        <bgColor theme="0" tint="-0.34998626667073579"/>
      </patternFill>
    </fill>
    <fill>
      <patternFill patternType="solid">
        <fgColor rgb="FF006666"/>
        <bgColor theme="0" tint="-0.14999847407452621"/>
      </patternFill>
    </fill>
    <fill>
      <patternFill patternType="solid">
        <fgColor theme="0"/>
        <bgColor theme="0" tint="-0.14999847407452621"/>
      </patternFill>
    </fill>
    <fill>
      <patternFill patternType="solid">
        <fgColor rgb="FFDDD9C4"/>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6599D9"/>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DE5C4"/>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theme="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1"/>
      </right>
      <top/>
      <bottom/>
      <diagonal/>
    </border>
    <border>
      <left style="thin">
        <color theme="1"/>
      </left>
      <right style="thin">
        <color theme="1"/>
      </right>
      <top/>
      <bottom/>
      <diagonal/>
    </border>
    <border>
      <left style="thin">
        <color theme="1"/>
      </left>
      <right/>
      <top/>
      <bottom/>
      <diagonal/>
    </border>
    <border>
      <left/>
      <right/>
      <top/>
      <bottom style="medium">
        <color indexed="64"/>
      </bottom>
      <diagonal/>
    </border>
    <border>
      <left style="thin">
        <color theme="1"/>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
      <left style="medium">
        <color theme="0"/>
      </left>
      <right style="medium">
        <color theme="0"/>
      </right>
      <top style="medium">
        <color theme="0"/>
      </top>
      <bottom style="medium">
        <color theme="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medium">
        <color rgb="FFFFFFFF"/>
      </right>
      <top/>
      <bottom style="medium">
        <color rgb="FFFFFFFF"/>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style="medium">
        <color rgb="FFFFFFFF"/>
      </left>
      <right style="medium">
        <color rgb="FFFFFFFF"/>
      </right>
      <top/>
      <bottom style="medium">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bottom/>
      <diagonal/>
    </border>
    <border>
      <left style="medium">
        <color rgb="FFFFFFFF"/>
      </left>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diagonal/>
    </border>
    <border>
      <left/>
      <right/>
      <top style="medium">
        <color rgb="FFFFFFFF"/>
      </top>
      <bottom style="medium">
        <color rgb="FFFFFFFF"/>
      </bottom>
      <diagonal/>
    </border>
    <border>
      <left/>
      <right/>
      <top style="medium">
        <color rgb="FFFFFFFF"/>
      </top>
      <bottom/>
      <diagonal/>
    </border>
    <border>
      <left style="thin">
        <color theme="0"/>
      </left>
      <right style="thin">
        <color theme="0"/>
      </right>
      <top/>
      <bottom style="thin">
        <color theme="0"/>
      </bottom>
      <diagonal/>
    </border>
    <border>
      <left style="medium">
        <color theme="0"/>
      </left>
      <right style="thick">
        <color theme="0"/>
      </right>
      <top style="medium">
        <color theme="0"/>
      </top>
      <bottom style="medium">
        <color theme="0"/>
      </bottom>
      <diagonal/>
    </border>
    <border>
      <left/>
      <right style="thick">
        <color theme="0"/>
      </right>
      <top style="medium">
        <color theme="0"/>
      </top>
      <bottom style="medium">
        <color theme="0"/>
      </bottom>
      <diagonal/>
    </border>
    <border>
      <left style="thick">
        <color theme="0"/>
      </left>
      <right/>
      <top style="thick">
        <color theme="0"/>
      </top>
      <bottom/>
      <diagonal/>
    </border>
    <border>
      <left style="thick">
        <color theme="0"/>
      </left>
      <right style="medium">
        <color theme="0"/>
      </right>
      <top style="medium">
        <color theme="0"/>
      </top>
      <bottom style="medium">
        <color theme="0"/>
      </bottom>
      <diagonal/>
    </border>
    <border>
      <left style="thick">
        <color theme="0"/>
      </left>
      <right/>
      <top/>
      <bottom style="thick">
        <color theme="0"/>
      </bottom>
      <diagonal/>
    </border>
    <border>
      <left/>
      <right/>
      <top style="thick">
        <color theme="0"/>
      </top>
      <bottom style="medium">
        <color theme="0"/>
      </bottom>
      <diagonal/>
    </border>
    <border>
      <left/>
      <right/>
      <top style="medium">
        <color theme="0"/>
      </top>
      <bottom style="thick">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
      <left/>
      <right style="medium">
        <color theme="0"/>
      </right>
      <top style="medium">
        <color theme="0"/>
      </top>
      <bottom/>
      <diagonal/>
    </border>
    <border>
      <left style="medium">
        <color theme="0"/>
      </left>
      <right/>
      <top style="medium">
        <color theme="0"/>
      </top>
      <bottom/>
      <diagonal/>
    </border>
    <border>
      <left style="thin">
        <color theme="0"/>
      </left>
      <right style="thin">
        <color theme="0"/>
      </right>
      <top style="medium">
        <color theme="0"/>
      </top>
      <bottom style="thin">
        <color theme="0"/>
      </bottom>
      <diagonal/>
    </border>
    <border>
      <left style="thick">
        <color theme="0"/>
      </left>
      <right style="thick">
        <color theme="0"/>
      </right>
      <top style="thick">
        <color theme="0"/>
      </top>
      <bottom style="medium">
        <color theme="0"/>
      </bottom>
      <diagonal/>
    </border>
    <border>
      <left/>
      <right style="thick">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top style="thin">
        <color theme="0"/>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60">
    <xf numFmtId="0" fontId="0" fillId="0" borderId="0"/>
    <xf numFmtId="165"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0" fontId="37" fillId="0" borderId="72" applyNumberFormat="0" applyFill="0" applyAlignment="0" applyProtection="0"/>
    <xf numFmtId="0" fontId="38" fillId="0" borderId="73" applyNumberFormat="0" applyFill="0" applyAlignment="0" applyProtection="0"/>
    <xf numFmtId="0" fontId="39" fillId="0" borderId="74" applyNumberFormat="0" applyFill="0" applyAlignment="0" applyProtection="0"/>
    <xf numFmtId="0" fontId="39" fillId="0" borderId="0" applyNumberFormat="0" applyFill="0" applyBorder="0" applyAlignment="0" applyProtection="0"/>
    <xf numFmtId="0" fontId="40" fillId="23" borderId="0" applyNumberFormat="0" applyBorder="0" applyAlignment="0" applyProtection="0"/>
    <xf numFmtId="0" fontId="41" fillId="24" borderId="0" applyNumberFormat="0" applyBorder="0" applyAlignment="0" applyProtection="0"/>
    <xf numFmtId="0" fontId="42" fillId="26" borderId="75" applyNumberFormat="0" applyAlignment="0" applyProtection="0"/>
    <xf numFmtId="0" fontId="43" fillId="27" borderId="76" applyNumberFormat="0" applyAlignment="0" applyProtection="0"/>
    <xf numFmtId="0" fontId="44" fillId="27" borderId="75" applyNumberFormat="0" applyAlignment="0" applyProtection="0"/>
    <xf numFmtId="0" fontId="45" fillId="0" borderId="77" applyNumberFormat="0" applyFill="0" applyAlignment="0" applyProtection="0"/>
    <xf numFmtId="0" fontId="9" fillId="28" borderId="78" applyNumberFormat="0" applyAlignment="0" applyProtection="0"/>
    <xf numFmtId="0" fontId="46" fillId="0" borderId="0" applyNumberFormat="0" applyFill="0" applyBorder="0" applyAlignment="0" applyProtection="0"/>
    <xf numFmtId="0" fontId="1" fillId="29" borderId="79" applyNumberFormat="0" applyFont="0" applyAlignment="0" applyProtection="0"/>
    <xf numFmtId="0" fontId="47" fillId="0" borderId="0" applyNumberFormat="0" applyFill="0" applyBorder="0" applyAlignment="0" applyProtection="0"/>
    <xf numFmtId="0" fontId="2" fillId="0" borderId="80" applyNumberFormat="0" applyFill="0" applyAlignment="0" applyProtection="0"/>
    <xf numFmtId="0" fontId="1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8" fillId="25"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49" fillId="0" borderId="0" applyNumberFormat="0" applyFill="0" applyBorder="0" applyAlignment="0" applyProtection="0"/>
    <xf numFmtId="0" fontId="68" fillId="0" borderId="0" applyNumberFormat="0" applyFill="0" applyBorder="0" applyAlignment="0" applyProtection="0"/>
    <xf numFmtId="0" fontId="94" fillId="0" borderId="0"/>
    <xf numFmtId="165" fontId="1" fillId="0" borderId="0" applyFont="0" applyFill="0" applyBorder="0" applyAlignment="0" applyProtection="0"/>
    <xf numFmtId="0" fontId="111" fillId="0" borderId="0">
      <alignment horizontal="left" vertical="top" indent="1"/>
    </xf>
    <xf numFmtId="43" fontId="112" fillId="0" borderId="0" applyFont="0" applyFill="0" applyBorder="0" applyAlignment="0" applyProtection="0"/>
    <xf numFmtId="0" fontId="113" fillId="0" borderId="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07">
    <xf numFmtId="0" fontId="0" fillId="0" borderId="0" xfId="0"/>
    <xf numFmtId="0" fontId="3" fillId="0" borderId="1" xfId="0" applyFont="1" applyBorder="1" applyAlignment="1">
      <alignment vertical="center"/>
    </xf>
    <xf numFmtId="0" fontId="3" fillId="2" borderId="1" xfId="0" applyFont="1" applyFill="1" applyBorder="1" applyAlignment="1">
      <alignment vertical="center"/>
    </xf>
    <xf numFmtId="0" fontId="2" fillId="0" borderId="0" xfId="0" applyFont="1"/>
    <xf numFmtId="165" fontId="2" fillId="0" borderId="1" xfId="1" applyFont="1" applyBorder="1"/>
    <xf numFmtId="0" fontId="4" fillId="3" borderId="1" xfId="0" applyFont="1" applyFill="1" applyBorder="1" applyAlignment="1">
      <alignment horizontal="left" vertical="center"/>
    </xf>
    <xf numFmtId="165" fontId="2" fillId="3" borderId="1" xfId="1" applyFont="1" applyFill="1" applyBorder="1"/>
    <xf numFmtId="0" fontId="3" fillId="3" borderId="1" xfId="0" applyFont="1" applyFill="1" applyBorder="1" applyAlignment="1">
      <alignment vertical="center"/>
    </xf>
    <xf numFmtId="165" fontId="3" fillId="3" borderId="1" xfId="0" applyNumberFormat="1" applyFont="1" applyFill="1" applyBorder="1" applyAlignment="1">
      <alignment vertical="center"/>
    </xf>
    <xf numFmtId="10" fontId="0" fillId="0" borderId="0" xfId="0" applyNumberFormat="1"/>
    <xf numFmtId="165" fontId="2" fillId="2" borderId="1" xfId="1" applyFont="1" applyFill="1" applyBorder="1"/>
    <xf numFmtId="165" fontId="2" fillId="3" borderId="3" xfId="1" applyFont="1" applyFill="1" applyBorder="1"/>
    <xf numFmtId="0" fontId="0" fillId="2" borderId="0" xfId="0" applyFill="1"/>
    <xf numFmtId="165" fontId="0" fillId="0" borderId="0" xfId="0" applyNumberFormat="1"/>
    <xf numFmtId="4" fontId="3" fillId="3" borderId="1" xfId="0" applyNumberFormat="1" applyFont="1" applyFill="1" applyBorder="1" applyAlignment="1">
      <alignment vertical="center"/>
    </xf>
    <xf numFmtId="49" fontId="3" fillId="0" borderId="1" xfId="0" applyNumberFormat="1" applyFont="1" applyBorder="1" applyAlignment="1">
      <alignment horizontal="left" vertical="center"/>
    </xf>
    <xf numFmtId="0" fontId="3" fillId="0" borderId="1" xfId="0" applyFont="1" applyFill="1" applyBorder="1" applyAlignment="1">
      <alignment vertical="center"/>
    </xf>
    <xf numFmtId="49" fontId="3" fillId="4" borderId="1" xfId="0" applyNumberFormat="1" applyFont="1" applyFill="1" applyBorder="1" applyAlignment="1">
      <alignment horizontal="left" vertical="center"/>
    </xf>
    <xf numFmtId="165" fontId="0" fillId="0" borderId="0" xfId="1" applyFont="1"/>
    <xf numFmtId="10" fontId="0" fillId="0" borderId="0" xfId="2" applyNumberFormat="1" applyFont="1"/>
    <xf numFmtId="165" fontId="0" fillId="2" borderId="1" xfId="1" applyFont="1" applyFill="1" applyBorder="1"/>
    <xf numFmtId="165" fontId="3" fillId="3" borderId="1" xfId="1" applyFont="1" applyFill="1" applyBorder="1" applyAlignment="1">
      <alignment vertical="center"/>
    </xf>
    <xf numFmtId="4" fontId="2" fillId="4" borderId="1" xfId="0" applyNumberFormat="1" applyFont="1" applyFill="1" applyBorder="1"/>
    <xf numFmtId="0" fontId="0" fillId="0" borderId="0" xfId="0" applyFill="1"/>
    <xf numFmtId="165" fontId="0" fillId="0" borderId="1" xfId="1" applyFont="1" applyBorder="1"/>
    <xf numFmtId="165" fontId="0" fillId="0" borderId="1" xfId="1" applyFont="1" applyFill="1" applyBorder="1"/>
    <xf numFmtId="165" fontId="2" fillId="0" borderId="1" xfId="1" applyFont="1" applyFill="1" applyBorder="1"/>
    <xf numFmtId="4" fontId="3" fillId="3" borderId="3" xfId="0" applyNumberFormat="1" applyFont="1" applyFill="1" applyBorder="1" applyAlignment="1">
      <alignment vertical="center"/>
    </xf>
    <xf numFmtId="0" fontId="2" fillId="0" borderId="1" xfId="0" applyFont="1" applyBorder="1" applyAlignment="1">
      <alignment horizontal="center" vertical="center" wrapText="1"/>
    </xf>
    <xf numFmtId="0" fontId="12" fillId="0" borderId="0" xfId="0" applyFont="1" applyAlignment="1">
      <alignment vertical="center"/>
    </xf>
    <xf numFmtId="0" fontId="9" fillId="6" borderId="17" xfId="0" applyFont="1" applyFill="1" applyBorder="1" applyAlignment="1">
      <alignment horizontal="center"/>
    </xf>
    <xf numFmtId="0" fontId="9" fillId="6" borderId="18" xfId="0" applyFont="1" applyFill="1" applyBorder="1" applyAlignment="1">
      <alignment horizontal="center" vertical="center"/>
    </xf>
    <xf numFmtId="0" fontId="9" fillId="6" borderId="19" xfId="0" applyFont="1" applyFill="1" applyBorder="1" applyAlignment="1">
      <alignment horizontal="center"/>
    </xf>
    <xf numFmtId="166" fontId="0" fillId="0" borderId="2" xfId="1" applyNumberFormat="1" applyFont="1" applyBorder="1"/>
    <xf numFmtId="166" fontId="0" fillId="0" borderId="1" xfId="1" applyNumberFormat="1" applyFont="1" applyBorder="1"/>
    <xf numFmtId="166" fontId="2" fillId="7" borderId="1" xfId="1" applyNumberFormat="1" applyFont="1" applyFill="1" applyBorder="1"/>
    <xf numFmtId="166" fontId="0" fillId="7" borderId="2" xfId="1" applyNumberFormat="1" applyFont="1" applyFill="1" applyBorder="1"/>
    <xf numFmtId="166" fontId="0" fillId="7" borderId="1" xfId="1" applyNumberFormat="1" applyFont="1" applyFill="1" applyBorder="1"/>
    <xf numFmtId="167" fontId="0" fillId="0" borderId="2" xfId="2" applyNumberFormat="1" applyFont="1" applyBorder="1"/>
    <xf numFmtId="167" fontId="0" fillId="0" borderId="1" xfId="2" applyNumberFormat="1" applyFont="1" applyBorder="1"/>
    <xf numFmtId="167" fontId="0" fillId="0" borderId="2" xfId="0" applyNumberFormat="1" applyBorder="1"/>
    <xf numFmtId="167" fontId="0" fillId="0" borderId="1" xfId="0" applyNumberFormat="1" applyBorder="1"/>
    <xf numFmtId="167" fontId="0" fillId="0" borderId="0" xfId="0" applyNumberFormat="1"/>
    <xf numFmtId="167" fontId="0" fillId="0" borderId="10" xfId="0" applyNumberFormat="1" applyBorder="1"/>
    <xf numFmtId="167" fontId="0" fillId="0" borderId="3" xfId="0" applyNumberFormat="1" applyBorder="1"/>
    <xf numFmtId="0" fontId="9" fillId="2" borderId="17" xfId="0" applyFont="1" applyFill="1" applyBorder="1" applyAlignment="1">
      <alignment horizontal="center"/>
    </xf>
    <xf numFmtId="167" fontId="0" fillId="2" borderId="0" xfId="0" applyNumberFormat="1" applyFill="1" applyBorder="1"/>
    <xf numFmtId="0" fontId="9" fillId="6" borderId="17" xfId="0" applyFont="1" applyFill="1" applyBorder="1" applyAlignment="1">
      <alignment horizontal="center" vertical="center"/>
    </xf>
    <xf numFmtId="0" fontId="7" fillId="2" borderId="0" xfId="0" applyFont="1" applyFill="1" applyBorder="1" applyAlignment="1">
      <alignment horizontal="center"/>
    </xf>
    <xf numFmtId="0" fontId="7" fillId="2" borderId="0" xfId="0" applyFont="1" applyFill="1" applyBorder="1" applyAlignment="1">
      <alignment horizontal="center" vertical="center"/>
    </xf>
    <xf numFmtId="166" fontId="6" fillId="2" borderId="0" xfId="1" applyNumberFormat="1" applyFont="1" applyFill="1" applyBorder="1"/>
    <xf numFmtId="166" fontId="7" fillId="2" borderId="0" xfId="1" applyNumberFormat="1" applyFont="1" applyFill="1" applyBorder="1"/>
    <xf numFmtId="0" fontId="6" fillId="2" borderId="0" xfId="0" applyFont="1" applyFill="1" applyBorder="1"/>
    <xf numFmtId="0" fontId="6" fillId="2" borderId="0" xfId="0" applyFont="1" applyFill="1" applyBorder="1" applyAlignment="1">
      <alignment horizontal="center"/>
    </xf>
    <xf numFmtId="167" fontId="6" fillId="2" borderId="0" xfId="2" applyNumberFormat="1" applyFont="1" applyFill="1" applyBorder="1"/>
    <xf numFmtId="167" fontId="6" fillId="2" borderId="0" xfId="0" applyNumberFormat="1" applyFont="1" applyFill="1" applyBorder="1"/>
    <xf numFmtId="0" fontId="9" fillId="6" borderId="20" xfId="0" applyFont="1" applyFill="1" applyBorder="1" applyAlignment="1">
      <alignment horizontal="center"/>
    </xf>
    <xf numFmtId="0" fontId="9" fillId="6" borderId="21" xfId="0" applyFont="1" applyFill="1" applyBorder="1" applyAlignment="1">
      <alignment horizontal="center"/>
    </xf>
    <xf numFmtId="0" fontId="9" fillId="6" borderId="22" xfId="0" applyFont="1" applyFill="1" applyBorder="1" applyAlignment="1">
      <alignment horizontal="center"/>
    </xf>
    <xf numFmtId="0" fontId="9" fillId="6" borderId="23" xfId="0" applyFont="1" applyFill="1" applyBorder="1" applyAlignment="1">
      <alignment horizontal="center"/>
    </xf>
    <xf numFmtId="0" fontId="9" fillId="6" borderId="24" xfId="0" applyFont="1" applyFill="1" applyBorder="1" applyAlignment="1">
      <alignment horizontal="center"/>
    </xf>
    <xf numFmtId="167" fontId="0" fillId="0" borderId="0" xfId="2" applyNumberFormat="1" applyFont="1"/>
    <xf numFmtId="166" fontId="0" fillId="0" borderId="0" xfId="1" applyNumberFormat="1" applyFont="1"/>
    <xf numFmtId="166" fontId="0" fillId="0" borderId="0" xfId="0" applyNumberFormat="1"/>
    <xf numFmtId="166" fontId="0" fillId="8" borderId="0" xfId="1" applyNumberFormat="1" applyFont="1" applyFill="1"/>
    <xf numFmtId="0" fontId="9" fillId="6" borderId="1" xfId="0" applyFont="1" applyFill="1" applyBorder="1" applyAlignment="1">
      <alignment horizontal="center"/>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66" fontId="0" fillId="0" borderId="1" xfId="0" applyNumberFormat="1" applyBorder="1"/>
    <xf numFmtId="166" fontId="9" fillId="6" borderId="1" xfId="1" applyNumberFormat="1" applyFont="1" applyFill="1" applyBorder="1" applyAlignment="1">
      <alignment horizontal="center"/>
    </xf>
    <xf numFmtId="0" fontId="3" fillId="0" borderId="3" xfId="0" applyFont="1" applyBorder="1" applyAlignment="1">
      <alignment horizontal="center" vertical="center"/>
    </xf>
    <xf numFmtId="166" fontId="14" fillId="9" borderId="5" xfId="1" applyNumberFormat="1" applyFont="1" applyFill="1" applyBorder="1" applyAlignment="1">
      <alignment horizontal="center" vertical="center"/>
    </xf>
    <xf numFmtId="166" fontId="14" fillId="10" borderId="5" xfId="1" applyNumberFormat="1" applyFont="1" applyFill="1" applyBorder="1" applyAlignment="1">
      <alignment horizontal="center" vertical="center"/>
    </xf>
    <xf numFmtId="166" fontId="0" fillId="0" borderId="1" xfId="1" applyNumberFormat="1" applyFont="1" applyBorder="1" applyAlignment="1">
      <alignment horizontal="center"/>
    </xf>
    <xf numFmtId="167" fontId="0" fillId="9" borderId="1" xfId="2" applyNumberFormat="1" applyFont="1" applyFill="1" applyBorder="1" applyAlignment="1">
      <alignment horizontal="center"/>
    </xf>
    <xf numFmtId="167" fontId="0" fillId="10" borderId="1" xfId="2" applyNumberFormat="1" applyFont="1" applyFill="1" applyBorder="1" applyAlignment="1">
      <alignment horizontal="center"/>
    </xf>
    <xf numFmtId="0" fontId="3" fillId="0" borderId="5" xfId="0" applyFont="1" applyBorder="1" applyAlignment="1">
      <alignment horizontal="center" vertical="center"/>
    </xf>
    <xf numFmtId="0" fontId="3" fillId="0" borderId="5" xfId="0" applyFont="1" applyFill="1" applyBorder="1" applyAlignment="1">
      <alignment horizontal="center" vertical="center"/>
    </xf>
    <xf numFmtId="0" fontId="3" fillId="2" borderId="5" xfId="0" applyFont="1" applyFill="1" applyBorder="1" applyAlignment="1">
      <alignment horizontal="center" vertical="center"/>
    </xf>
    <xf numFmtId="0" fontId="15" fillId="6" borderId="5" xfId="0" applyFont="1" applyFill="1" applyBorder="1" applyAlignment="1">
      <alignment horizontal="center" vertical="center"/>
    </xf>
    <xf numFmtId="167" fontId="9" fillId="6" borderId="1" xfId="2" applyNumberFormat="1" applyFont="1" applyFill="1" applyBorder="1" applyAlignment="1">
      <alignment horizontal="center"/>
    </xf>
    <xf numFmtId="0" fontId="3" fillId="0" borderId="1" xfId="0" applyFont="1" applyFill="1" applyBorder="1" applyAlignment="1">
      <alignment horizontal="center" vertical="center"/>
    </xf>
    <xf numFmtId="0" fontId="16" fillId="0" borderId="15" xfId="0" applyFont="1" applyFill="1" applyBorder="1" applyAlignment="1">
      <alignment vertical="center"/>
    </xf>
    <xf numFmtId="0" fontId="16" fillId="0" borderId="8" xfId="0" applyFont="1" applyFill="1" applyBorder="1" applyAlignment="1">
      <alignment vertical="center"/>
    </xf>
    <xf numFmtId="165" fontId="16" fillId="0" borderId="8" xfId="0" applyNumberFormat="1" applyFont="1" applyFill="1" applyBorder="1" applyAlignment="1">
      <alignment vertical="center"/>
    </xf>
    <xf numFmtId="0" fontId="9" fillId="6" borderId="0" xfId="0" applyFont="1" applyFill="1" applyAlignment="1">
      <alignment horizontal="center"/>
    </xf>
    <xf numFmtId="0" fontId="9" fillId="6" borderId="1" xfId="0" applyFont="1" applyFill="1" applyBorder="1" applyAlignment="1">
      <alignment horizontal="center"/>
    </xf>
    <xf numFmtId="169" fontId="0" fillId="0" borderId="0" xfId="0" applyNumberFormat="1"/>
    <xf numFmtId="0" fontId="18" fillId="0" borderId="0" xfId="0" applyFont="1"/>
    <xf numFmtId="166" fontId="18" fillId="0" borderId="0" xfId="0" applyNumberFormat="1" applyFont="1"/>
    <xf numFmtId="165" fontId="18" fillId="0" borderId="0" xfId="0" applyNumberFormat="1" applyFont="1"/>
    <xf numFmtId="0" fontId="0" fillId="0" borderId="0" xfId="0" applyFont="1"/>
    <xf numFmtId="0" fontId="0" fillId="0" borderId="0" xfId="0" applyFont="1" applyBorder="1" applyAlignment="1">
      <alignment horizontal="center" vertical="center"/>
    </xf>
    <xf numFmtId="167" fontId="0" fillId="0" borderId="0" xfId="2" applyNumberFormat="1" applyFont="1" applyBorder="1" applyAlignment="1">
      <alignment horizontal="center"/>
    </xf>
    <xf numFmtId="0" fontId="19" fillId="6" borderId="1" xfId="0" applyFont="1" applyFill="1" applyBorder="1" applyAlignment="1">
      <alignment horizontal="left" vertical="center"/>
    </xf>
    <xf numFmtId="0" fontId="0" fillId="0" borderId="1" xfId="0" applyBorder="1"/>
    <xf numFmtId="168" fontId="0" fillId="0" borderId="1" xfId="0" applyNumberFormat="1" applyBorder="1"/>
    <xf numFmtId="0" fontId="0" fillId="0" borderId="0" xfId="0" applyAlignment="1">
      <alignment horizontal="center" vertical="center"/>
    </xf>
    <xf numFmtId="0" fontId="0" fillId="0" borderId="0" xfId="0" applyFill="1" applyBorder="1" applyAlignment="1">
      <alignment horizontal="center" vertical="center"/>
    </xf>
    <xf numFmtId="0" fontId="20" fillId="0" borderId="0" xfId="0" applyFont="1"/>
    <xf numFmtId="170" fontId="20" fillId="0" borderId="0" xfId="3" applyNumberFormat="1" applyFont="1"/>
    <xf numFmtId="0" fontId="21" fillId="13" borderId="27" xfId="0" applyFont="1" applyFill="1" applyBorder="1" applyAlignment="1">
      <alignment horizontal="center" vertical="center" wrapText="1"/>
    </xf>
    <xf numFmtId="0" fontId="21" fillId="13" borderId="28" xfId="0" applyFont="1" applyFill="1" applyBorder="1" applyAlignment="1">
      <alignment horizontal="center" vertical="center" wrapText="1"/>
    </xf>
    <xf numFmtId="0" fontId="21" fillId="13" borderId="29" xfId="0" applyFont="1" applyFill="1" applyBorder="1" applyAlignment="1">
      <alignment horizontal="center" vertical="center" wrapText="1"/>
    </xf>
    <xf numFmtId="0" fontId="20" fillId="0" borderId="0" xfId="0" applyFont="1" applyAlignment="1">
      <alignment horizontal="center" vertical="center" wrapText="1"/>
    </xf>
    <xf numFmtId="0" fontId="20" fillId="0" borderId="30" xfId="0" applyFont="1" applyBorder="1" applyAlignment="1">
      <alignment horizontal="center" vertical="center"/>
    </xf>
    <xf numFmtId="171" fontId="20" fillId="0" borderId="31" xfId="0" applyNumberFormat="1" applyFont="1" applyBorder="1"/>
    <xf numFmtId="0" fontId="20" fillId="0" borderId="33" xfId="0" applyFont="1" applyBorder="1"/>
    <xf numFmtId="166" fontId="20" fillId="0" borderId="33" xfId="0" applyNumberFormat="1" applyFont="1" applyBorder="1"/>
    <xf numFmtId="171" fontId="20" fillId="0" borderId="34" xfId="0" applyNumberFormat="1" applyFont="1" applyBorder="1"/>
    <xf numFmtId="171" fontId="20" fillId="0" borderId="0" xfId="0" applyNumberFormat="1" applyFont="1" applyBorder="1"/>
    <xf numFmtId="165" fontId="0" fillId="2" borderId="4" xfId="1" applyFont="1" applyFill="1" applyBorder="1"/>
    <xf numFmtId="0" fontId="9" fillId="6" borderId="1" xfId="0" applyFont="1" applyFill="1" applyBorder="1" applyAlignment="1">
      <alignment horizontal="center"/>
    </xf>
    <xf numFmtId="0" fontId="22" fillId="0" borderId="0" xfId="0" applyFont="1" applyAlignment="1">
      <alignment horizontal="center"/>
    </xf>
    <xf numFmtId="0" fontId="0" fillId="0" borderId="0" xfId="2" applyNumberFormat="1" applyFont="1" applyFill="1" applyBorder="1" applyAlignment="1">
      <alignment horizontal="center" vertical="center"/>
    </xf>
    <xf numFmtId="166" fontId="0" fillId="0" borderId="0" xfId="0" applyNumberFormat="1" applyFill="1" applyBorder="1" applyAlignment="1">
      <alignment horizontal="center" vertical="center"/>
    </xf>
    <xf numFmtId="166" fontId="0" fillId="0" borderId="0" xfId="1" applyNumberFormat="1" applyFont="1" applyFill="1" applyBorder="1" applyAlignment="1">
      <alignment horizontal="center" vertical="center"/>
    </xf>
    <xf numFmtId="9" fontId="0" fillId="0" borderId="0" xfId="2" applyFont="1" applyFill="1" applyBorder="1" applyAlignment="1">
      <alignment horizontal="center" vertical="center"/>
    </xf>
    <xf numFmtId="0" fontId="23" fillId="0" borderId="0" xfId="0" applyFont="1" applyFill="1" applyBorder="1" applyAlignment="1">
      <alignment horizontal="center" vertical="center" wrapText="1"/>
    </xf>
    <xf numFmtId="166" fontId="9" fillId="0" borderId="0" xfId="1" applyNumberFormat="1" applyFont="1" applyFill="1" applyBorder="1" applyAlignment="1">
      <alignment horizontal="center" vertical="center"/>
    </xf>
    <xf numFmtId="0" fontId="9" fillId="0" borderId="0" xfId="2"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168" fontId="0" fillId="0" borderId="0" xfId="1" applyNumberFormat="1" applyFont="1"/>
    <xf numFmtId="0" fontId="0" fillId="8" borderId="0" xfId="0" applyFill="1" applyAlignment="1">
      <alignment horizontal="center"/>
    </xf>
    <xf numFmtId="0" fontId="0" fillId="8" borderId="0" xfId="0" applyFill="1" applyAlignment="1">
      <alignment horizontal="center" vertical="center"/>
    </xf>
    <xf numFmtId="0" fontId="0" fillId="0" borderId="36" xfId="0" applyBorder="1" applyAlignment="1">
      <alignment horizontal="center" vertical="center"/>
    </xf>
    <xf numFmtId="0" fontId="0" fillId="8" borderId="36" xfId="0" applyFill="1" applyBorder="1" applyAlignment="1">
      <alignment horizontal="center"/>
    </xf>
    <xf numFmtId="166" fontId="2" fillId="0" borderId="0" xfId="1" applyNumberFormat="1" applyFont="1" applyFill="1" applyBorder="1" applyAlignment="1">
      <alignment horizontal="center" vertical="center"/>
    </xf>
    <xf numFmtId="0" fontId="2" fillId="0" borderId="0" xfId="2" applyNumberFormat="1" applyFont="1" applyFill="1" applyBorder="1" applyAlignment="1">
      <alignment horizontal="center" vertical="center"/>
    </xf>
    <xf numFmtId="0" fontId="0" fillId="8" borderId="37" xfId="0" applyFill="1" applyBorder="1" applyAlignment="1">
      <alignment horizontal="center"/>
    </xf>
    <xf numFmtId="166" fontId="2" fillId="0" borderId="0" xfId="1"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72" fontId="0" fillId="0" borderId="0" xfId="0" applyNumberFormat="1" applyAlignment="1">
      <alignment horizontal="center" vertical="center"/>
    </xf>
    <xf numFmtId="168" fontId="0" fillId="0" borderId="1" xfId="1" applyNumberFormat="1" applyFont="1" applyBorder="1"/>
    <xf numFmtId="167" fontId="0" fillId="0" borderId="1" xfId="2" applyNumberFormat="1" applyFont="1" applyBorder="1" applyAlignment="1">
      <alignment horizontal="center" vertical="center"/>
    </xf>
    <xf numFmtId="172"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pivotButton="1"/>
    <xf numFmtId="0" fontId="9" fillId="6" borderId="3" xfId="0" applyFont="1" applyFill="1" applyBorder="1" applyAlignment="1">
      <alignment horizontal="center" vertical="center" wrapText="1"/>
    </xf>
    <xf numFmtId="0" fontId="9" fillId="6" borderId="4" xfId="0" applyFont="1" applyFill="1" applyBorder="1" applyAlignment="1">
      <alignment horizontal="center" vertical="center" wrapText="1"/>
    </xf>
    <xf numFmtId="166" fontId="0" fillId="0" borderId="1" xfId="1" applyNumberFormat="1" applyFont="1" applyBorder="1" applyAlignment="1">
      <alignment horizontal="center" vertical="center"/>
    </xf>
    <xf numFmtId="166" fontId="28" fillId="12" borderId="41" xfId="1" applyNumberFormat="1" applyFont="1" applyFill="1" applyBorder="1" applyAlignment="1">
      <alignment vertical="center"/>
    </xf>
    <xf numFmtId="166" fontId="27" fillId="16" borderId="42" xfId="1" applyNumberFormat="1" applyFont="1" applyFill="1" applyBorder="1" applyAlignment="1">
      <alignment horizontal="right" vertical="center" wrapText="1"/>
    </xf>
    <xf numFmtId="166" fontId="28" fillId="12" borderId="40" xfId="1" applyNumberFormat="1" applyFont="1" applyFill="1" applyBorder="1" applyAlignment="1">
      <alignment vertical="center"/>
    </xf>
    <xf numFmtId="166" fontId="0" fillId="0" borderId="1" xfId="1" applyNumberFormat="1" applyFont="1" applyFill="1" applyBorder="1"/>
    <xf numFmtId="166" fontId="2" fillId="3" borderId="1" xfId="1" applyNumberFormat="1" applyFont="1" applyFill="1" applyBorder="1"/>
    <xf numFmtId="166" fontId="0" fillId="12" borderId="1" xfId="1" applyNumberFormat="1" applyFont="1" applyFill="1" applyBorder="1"/>
    <xf numFmtId="166" fontId="0" fillId="17" borderId="1" xfId="1" applyNumberFormat="1" applyFont="1" applyFill="1" applyBorder="1"/>
    <xf numFmtId="166" fontId="0" fillId="18" borderId="1" xfId="1" applyNumberFormat="1" applyFont="1" applyFill="1" applyBorder="1"/>
    <xf numFmtId="0" fontId="0" fillId="8" borderId="35" xfId="0" applyFill="1" applyBorder="1" applyAlignment="1">
      <alignment horizontal="center"/>
    </xf>
    <xf numFmtId="0" fontId="0" fillId="0" borderId="36" xfId="0" applyFill="1" applyBorder="1" applyAlignment="1">
      <alignment horizontal="center"/>
    </xf>
    <xf numFmtId="0" fontId="0" fillId="8" borderId="36" xfId="0" applyFill="1" applyBorder="1" applyAlignment="1">
      <alignment horizontal="center" vertical="center"/>
    </xf>
    <xf numFmtId="0" fontId="0" fillId="8" borderId="35" xfId="0" applyFill="1" applyBorder="1" applyAlignment="1">
      <alignment horizontal="center" vertical="center"/>
    </xf>
    <xf numFmtId="0" fontId="0" fillId="6" borderId="10" xfId="0" applyFill="1" applyBorder="1" applyAlignment="1">
      <alignment horizontal="center" vertical="center"/>
    </xf>
    <xf numFmtId="0" fontId="9" fillId="6" borderId="11" xfId="0" applyFont="1" applyFill="1" applyBorder="1" applyAlignment="1">
      <alignment horizontal="center" vertical="center" wrapText="1"/>
    </xf>
    <xf numFmtId="166" fontId="0" fillId="0" borderId="5" xfId="1" applyNumberFormat="1" applyFont="1" applyBorder="1" applyAlignment="1">
      <alignment horizontal="center" vertical="center"/>
    </xf>
    <xf numFmtId="166" fontId="0" fillId="0" borderId="15" xfId="1" applyNumberFormat="1" applyFont="1"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Fill="1" applyBorder="1" applyAlignment="1">
      <alignment horizontal="center"/>
    </xf>
    <xf numFmtId="0" fontId="0" fillId="8" borderId="0" xfId="0" applyFill="1"/>
    <xf numFmtId="165" fontId="0" fillId="8" borderId="0" xfId="0" applyNumberFormat="1" applyFill="1" applyAlignment="1">
      <alignment horizontal="center" vertical="center"/>
    </xf>
    <xf numFmtId="165" fontId="0" fillId="8" borderId="0" xfId="1" applyFont="1" applyFill="1"/>
    <xf numFmtId="167" fontId="0" fillId="8" borderId="0" xfId="2" applyNumberFormat="1" applyFont="1" applyFill="1"/>
    <xf numFmtId="169" fontId="0" fillId="5" borderId="1" xfId="0" applyNumberFormat="1" applyFill="1" applyBorder="1"/>
    <xf numFmtId="167" fontId="0" fillId="0" borderId="1" xfId="2" applyNumberFormat="1" applyFont="1" applyBorder="1" applyAlignment="1">
      <alignment horizontal="center"/>
    </xf>
    <xf numFmtId="0" fontId="19" fillId="6" borderId="0" xfId="0" applyFont="1" applyFill="1" applyBorder="1" applyAlignment="1">
      <alignment horizontal="left" vertical="center"/>
    </xf>
    <xf numFmtId="165" fontId="0" fillId="8" borderId="0" xfId="1" applyFont="1" applyFill="1" applyAlignment="1">
      <alignment horizontal="center" vertical="center"/>
    </xf>
    <xf numFmtId="0" fontId="0" fillId="11" borderId="0" xfId="0" applyFill="1" applyAlignment="1">
      <alignment vertical="center"/>
    </xf>
    <xf numFmtId="166" fontId="0" fillId="8" borderId="0" xfId="0" applyNumberFormat="1" applyFill="1"/>
    <xf numFmtId="167" fontId="0" fillId="11" borderId="1" xfId="0" applyNumberFormat="1" applyFill="1" applyBorder="1"/>
    <xf numFmtId="0" fontId="0" fillId="19" borderId="36" xfId="0" applyFill="1" applyBorder="1" applyAlignment="1">
      <alignment horizontal="center"/>
    </xf>
    <xf numFmtId="0" fontId="0" fillId="0" borderId="0" xfId="0" applyAlignment="1">
      <alignment wrapText="1"/>
    </xf>
    <xf numFmtId="0" fontId="9" fillId="6" borderId="0" xfId="0" applyFont="1" applyFill="1" applyAlignment="1">
      <alignment horizontal="center"/>
    </xf>
    <xf numFmtId="166" fontId="0" fillId="11" borderId="1" xfId="1" applyNumberFormat="1" applyFont="1" applyFill="1" applyBorder="1"/>
    <xf numFmtId="167" fontId="0" fillId="11" borderId="0" xfId="2" applyNumberFormat="1" applyFont="1" applyFill="1"/>
    <xf numFmtId="166" fontId="0" fillId="0" borderId="0" xfId="1" applyNumberFormat="1" applyFont="1" applyBorder="1"/>
    <xf numFmtId="0" fontId="0" fillId="0" borderId="0" xfId="0" applyBorder="1"/>
    <xf numFmtId="0" fontId="0" fillId="0" borderId="57" xfId="0" applyBorder="1"/>
    <xf numFmtId="0" fontId="0" fillId="0" borderId="33" xfId="0" applyBorder="1"/>
    <xf numFmtId="0" fontId="0" fillId="0" borderId="58" xfId="0" applyBorder="1"/>
    <xf numFmtId="167" fontId="0" fillId="0" borderId="0" xfId="0" applyNumberFormat="1" applyAlignment="1">
      <alignment wrapText="1"/>
    </xf>
    <xf numFmtId="166" fontId="0" fillId="0" borderId="0" xfId="1" applyNumberFormat="1" applyFont="1" applyAlignment="1">
      <alignment wrapText="1"/>
    </xf>
    <xf numFmtId="167" fontId="0" fillId="0" borderId="0" xfId="2" applyNumberFormat="1" applyFont="1" applyAlignment="1">
      <alignment wrapText="1"/>
    </xf>
    <xf numFmtId="1" fontId="0" fillId="0" borderId="0" xfId="0" applyNumberFormat="1" applyAlignment="1">
      <alignment wrapText="1"/>
    </xf>
    <xf numFmtId="0" fontId="0" fillId="0" borderId="0" xfId="0" applyFill="1" applyAlignment="1">
      <alignment wrapText="1"/>
    </xf>
    <xf numFmtId="167" fontId="0" fillId="2" borderId="1" xfId="2" applyNumberFormat="1" applyFont="1" applyFill="1" applyBorder="1"/>
    <xf numFmtId="172" fontId="0" fillId="0" borderId="0" xfId="0" applyNumberFormat="1"/>
    <xf numFmtId="0" fontId="9" fillId="6" borderId="0"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0" xfId="0" applyFont="1" applyFill="1" applyAlignment="1">
      <alignment horizontal="center"/>
    </xf>
    <xf numFmtId="170" fontId="0" fillId="0" borderId="0" xfId="3" applyNumberFormat="1" applyFont="1"/>
    <xf numFmtId="0" fontId="9" fillId="6" borderId="0" xfId="0" applyFont="1" applyFill="1" applyAlignment="1">
      <alignment horizontal="center"/>
    </xf>
    <xf numFmtId="165" fontId="2" fillId="2" borderId="4" xfId="2" applyNumberFormat="1" applyFont="1" applyFill="1" applyBorder="1"/>
    <xf numFmtId="0" fontId="9" fillId="6" borderId="1" xfId="0" applyFont="1" applyFill="1" applyBorder="1" applyAlignment="1">
      <alignment horizontal="center" vertical="center"/>
    </xf>
    <xf numFmtId="166" fontId="28" fillId="20" borderId="41" xfId="1" applyNumberFormat="1" applyFont="1" applyFill="1" applyBorder="1" applyAlignment="1">
      <alignment vertical="center"/>
    </xf>
    <xf numFmtId="168" fontId="0" fillId="2" borderId="1" xfId="1" applyNumberFormat="1" applyFont="1" applyFill="1" applyBorder="1"/>
    <xf numFmtId="166" fontId="0" fillId="0" borderId="0" xfId="1" applyNumberFormat="1" applyFont="1" applyFill="1" applyBorder="1"/>
    <xf numFmtId="166" fontId="0" fillId="11" borderId="0" xfId="1" applyNumberFormat="1" applyFont="1" applyFill="1" applyBorder="1"/>
    <xf numFmtId="0" fontId="33" fillId="0" borderId="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pivotButton="1" applyAlignment="1">
      <alignment horizontal="center" vertical="center" wrapText="1"/>
    </xf>
    <xf numFmtId="0" fontId="0" fillId="0" borderId="0" xfId="0" pivotButton="1" applyFont="1" applyAlignment="1">
      <alignment horizontal="center" vertical="center" wrapText="1"/>
    </xf>
    <xf numFmtId="167" fontId="0" fillId="2" borderId="2" xfId="2" applyNumberFormat="1" applyFont="1" applyFill="1" applyBorder="1"/>
    <xf numFmtId="0" fontId="13" fillId="2" borderId="0" xfId="0" applyFont="1" applyFill="1" applyBorder="1" applyAlignment="1">
      <alignment vertical="center"/>
    </xf>
    <xf numFmtId="166" fontId="2" fillId="7" borderId="0" xfId="1" applyNumberFormat="1" applyFont="1" applyFill="1" applyBorder="1"/>
    <xf numFmtId="166" fontId="0" fillId="0" borderId="0" xfId="1" applyNumberFormat="1" applyFont="1" applyAlignment="1">
      <alignment horizontal="center"/>
    </xf>
    <xf numFmtId="166" fontId="26" fillId="0" borderId="1" xfId="1" applyNumberFormat="1" applyFont="1" applyBorder="1" applyAlignment="1">
      <alignment horizontal="center" vertical="center" wrapText="1"/>
    </xf>
    <xf numFmtId="166" fontId="3" fillId="0" borderId="1" xfId="1" applyNumberFormat="1" applyFont="1" applyFill="1" applyBorder="1" applyAlignment="1">
      <alignment horizontal="center" vertical="center"/>
    </xf>
    <xf numFmtId="166" fontId="3" fillId="0" borderId="1" xfId="1" applyNumberFormat="1" applyFont="1" applyFill="1" applyBorder="1" applyAlignment="1">
      <alignment vertical="center"/>
    </xf>
    <xf numFmtId="166" fontId="4" fillId="3" borderId="1" xfId="1" applyNumberFormat="1" applyFont="1" applyFill="1" applyBorder="1" applyAlignment="1">
      <alignment horizontal="center" vertical="center"/>
    </xf>
    <xf numFmtId="166" fontId="4" fillId="3" borderId="1" xfId="1" applyNumberFormat="1" applyFont="1" applyFill="1" applyBorder="1" applyAlignment="1">
      <alignment horizontal="left" vertical="center"/>
    </xf>
    <xf numFmtId="166" fontId="25" fillId="0" borderId="0" xfId="1" applyNumberFormat="1" applyFont="1" applyAlignment="1">
      <alignment horizontal="center"/>
    </xf>
    <xf numFmtId="166" fontId="25" fillId="0" borderId="0" xfId="1" applyNumberFormat="1" applyFont="1" applyAlignment="1">
      <alignment horizontal="center" vertical="center"/>
    </xf>
    <xf numFmtId="166" fontId="32" fillId="0" borderId="0" xfId="1" applyNumberFormat="1" applyFont="1" applyAlignment="1">
      <alignment horizontal="center"/>
    </xf>
    <xf numFmtId="166" fontId="3" fillId="0" borderId="0" xfId="1" applyNumberFormat="1" applyFont="1" applyFill="1" applyBorder="1" applyAlignment="1">
      <alignment horizontal="center" vertical="center"/>
    </xf>
    <xf numFmtId="166" fontId="3" fillId="0" borderId="0" xfId="1" applyNumberFormat="1" applyFont="1" applyFill="1" applyBorder="1" applyAlignment="1">
      <alignment vertical="center"/>
    </xf>
    <xf numFmtId="166" fontId="27" fillId="16" borderId="41" xfId="1" applyNumberFormat="1" applyFont="1" applyFill="1" applyBorder="1" applyAlignment="1">
      <alignment horizontal="center" vertical="center"/>
    </xf>
    <xf numFmtId="166" fontId="27" fillId="16" borderId="40" xfId="1" applyNumberFormat="1" applyFont="1" applyFill="1" applyBorder="1" applyAlignment="1">
      <alignment horizontal="center" vertical="center"/>
    </xf>
    <xf numFmtId="166" fontId="0" fillId="0" borderId="0" xfId="1" applyNumberFormat="1" applyFont="1" applyFill="1"/>
    <xf numFmtId="166" fontId="29" fillId="2" borderId="48" xfId="1" applyNumberFormat="1" applyFont="1" applyFill="1" applyBorder="1" applyAlignment="1">
      <alignment vertical="center"/>
    </xf>
    <xf numFmtId="166" fontId="29" fillId="2" borderId="49" xfId="1" applyNumberFormat="1" applyFont="1" applyFill="1" applyBorder="1" applyAlignment="1">
      <alignment vertical="center"/>
    </xf>
    <xf numFmtId="166" fontId="29" fillId="2" borderId="50" xfId="1" applyNumberFormat="1" applyFont="1" applyFill="1" applyBorder="1" applyAlignment="1">
      <alignment vertical="center"/>
    </xf>
    <xf numFmtId="166" fontId="26" fillId="0" borderId="1" xfId="1" applyNumberFormat="1" applyFont="1" applyFill="1" applyBorder="1" applyAlignment="1">
      <alignment horizontal="center" vertical="center" wrapText="1"/>
    </xf>
    <xf numFmtId="166" fontId="3" fillId="18" borderId="1" xfId="1" applyNumberFormat="1" applyFont="1" applyFill="1" applyBorder="1" applyAlignment="1">
      <alignment horizontal="center" vertical="center"/>
    </xf>
    <xf numFmtId="166" fontId="3" fillId="17" borderId="1" xfId="1" applyNumberFormat="1" applyFont="1" applyFill="1" applyBorder="1" applyAlignment="1">
      <alignment horizontal="center" vertical="center"/>
    </xf>
    <xf numFmtId="166" fontId="3" fillId="12" borderId="1" xfId="1" applyNumberFormat="1" applyFont="1" applyFill="1" applyBorder="1" applyAlignment="1">
      <alignment horizontal="center" vertical="center"/>
    </xf>
    <xf numFmtId="166" fontId="36" fillId="0" borderId="0" xfId="1" applyNumberFormat="1" applyFont="1"/>
    <xf numFmtId="0" fontId="36" fillId="0" borderId="0" xfId="0" applyFont="1"/>
    <xf numFmtId="166" fontId="35" fillId="16" borderId="39" xfId="1" applyNumberFormat="1" applyFont="1" applyFill="1" applyBorder="1" applyAlignment="1">
      <alignment horizontal="center" vertical="center" wrapText="1"/>
    </xf>
    <xf numFmtId="0" fontId="23" fillId="6" borderId="1" xfId="0" applyFont="1" applyFill="1" applyBorder="1" applyAlignment="1">
      <alignment horizontal="center" vertical="center" wrapText="1"/>
    </xf>
    <xf numFmtId="167" fontId="0" fillId="0" borderId="0" xfId="2" applyNumberFormat="1" applyFont="1" applyAlignment="1">
      <alignment horizontal="left"/>
    </xf>
    <xf numFmtId="0" fontId="19" fillId="6" borderId="5" xfId="0" applyFont="1" applyFill="1" applyBorder="1" applyAlignment="1">
      <alignment horizontal="left" vertical="center"/>
    </xf>
    <xf numFmtId="167" fontId="0" fillId="11" borderId="7" xfId="0" applyNumberFormat="1" applyFill="1" applyBorder="1"/>
    <xf numFmtId="169" fontId="0" fillId="5" borderId="7" xfId="0" applyNumberFormat="1" applyFill="1" applyBorder="1"/>
    <xf numFmtId="167" fontId="0" fillId="11" borderId="70" xfId="0" applyNumberFormat="1" applyFill="1" applyBorder="1"/>
    <xf numFmtId="166" fontId="0" fillId="2" borderId="0" xfId="1" applyNumberFormat="1" applyFont="1" applyFill="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0" fillId="2" borderId="0" xfId="0" applyFill="1" applyBorder="1" applyAlignment="1">
      <alignment horizontal="center"/>
    </xf>
    <xf numFmtId="166" fontId="0" fillId="2" borderId="0" xfId="1" applyNumberFormat="1" applyFont="1" applyFill="1" applyBorder="1"/>
    <xf numFmtId="167" fontId="0" fillId="2" borderId="0" xfId="2" applyNumberFormat="1" applyFont="1" applyFill="1" applyBorder="1"/>
    <xf numFmtId="166" fontId="0" fillId="2" borderId="0" xfId="0" applyNumberFormat="1" applyFill="1" applyBorder="1"/>
    <xf numFmtId="0" fontId="9" fillId="2" borderId="0" xfId="0" applyFont="1" applyFill="1" applyBorder="1" applyAlignment="1">
      <alignment horizontal="center"/>
    </xf>
    <xf numFmtId="166" fontId="9" fillId="2" borderId="0" xfId="1" applyNumberFormat="1" applyFont="1" applyFill="1" applyBorder="1" applyAlignment="1">
      <alignment horizontal="center"/>
    </xf>
    <xf numFmtId="167" fontId="9" fillId="2" borderId="0" xfId="2" applyNumberFormat="1" applyFont="1" applyFill="1" applyBorder="1"/>
    <xf numFmtId="166" fontId="9" fillId="2" borderId="0" xfId="0" applyNumberFormat="1" applyFont="1" applyFill="1" applyBorder="1"/>
    <xf numFmtId="167" fontId="9" fillId="2" borderId="0" xfId="2" applyNumberFormat="1" applyFont="1" applyFill="1" applyBorder="1" applyAlignment="1">
      <alignment horizontal="right"/>
    </xf>
    <xf numFmtId="0" fontId="0" fillId="2" borderId="0" xfId="0" applyFill="1" applyBorder="1"/>
    <xf numFmtId="0" fontId="0" fillId="0" borderId="0" xfId="0"/>
    <xf numFmtId="172" fontId="0" fillId="21" borderId="0" xfId="1" applyNumberFormat="1" applyFont="1" applyFill="1"/>
    <xf numFmtId="167" fontId="0" fillId="21" borderId="0" xfId="2" applyNumberFormat="1" applyFont="1" applyFill="1" applyAlignment="1">
      <alignment wrapText="1"/>
    </xf>
    <xf numFmtId="172" fontId="0" fillId="21" borderId="0" xfId="1" applyNumberFormat="1" applyFont="1" applyFill="1" applyAlignment="1">
      <alignment wrapText="1"/>
    </xf>
    <xf numFmtId="172" fontId="0" fillId="21" borderId="12" xfId="1" applyNumberFormat="1" applyFont="1" applyFill="1" applyBorder="1"/>
    <xf numFmtId="167" fontId="0" fillId="21" borderId="13" xfId="2" applyNumberFormat="1" applyFont="1" applyFill="1" applyBorder="1" applyAlignment="1">
      <alignment wrapText="1"/>
    </xf>
    <xf numFmtId="172" fontId="0" fillId="21" borderId="13" xfId="1" applyNumberFormat="1" applyFont="1" applyFill="1" applyBorder="1" applyAlignment="1">
      <alignment wrapText="1"/>
    </xf>
    <xf numFmtId="167" fontId="0" fillId="21" borderId="0" xfId="2" applyNumberFormat="1" applyFont="1" applyFill="1"/>
    <xf numFmtId="0" fontId="0" fillId="22" borderId="0" xfId="0" applyFill="1" applyAlignment="1">
      <alignment wrapText="1"/>
    </xf>
    <xf numFmtId="0" fontId="0" fillId="22" borderId="13" xfId="0" applyFill="1" applyBorder="1" applyAlignment="1">
      <alignment wrapText="1"/>
    </xf>
    <xf numFmtId="172" fontId="0" fillId="22" borderId="14" xfId="0" applyNumberFormat="1" applyFill="1" applyBorder="1" applyAlignment="1">
      <alignment wrapText="1"/>
    </xf>
    <xf numFmtId="0" fontId="0" fillId="22" borderId="0" xfId="0" applyFill="1" applyAlignment="1">
      <alignment horizontal="right" wrapText="1"/>
    </xf>
    <xf numFmtId="167" fontId="0" fillId="22" borderId="0" xfId="2" applyNumberFormat="1" applyFont="1" applyFill="1" applyAlignment="1">
      <alignment wrapText="1"/>
    </xf>
    <xf numFmtId="173" fontId="0" fillId="5" borderId="71" xfId="1" applyNumberFormat="1" applyFont="1" applyFill="1" applyBorder="1"/>
    <xf numFmtId="173" fontId="0" fillId="11" borderId="1" xfId="1" applyNumberFormat="1" applyFont="1" applyFill="1" applyBorder="1"/>
    <xf numFmtId="173" fontId="0" fillId="0" borderId="2" xfId="1" applyNumberFormat="1" applyFont="1" applyBorder="1" applyAlignment="1">
      <alignment horizontal="center"/>
    </xf>
    <xf numFmtId="171" fontId="20" fillId="11" borderId="31" xfId="0" applyNumberFormat="1" applyFont="1" applyFill="1" applyBorder="1"/>
    <xf numFmtId="171" fontId="20" fillId="11" borderId="0" xfId="0" applyNumberFormat="1" applyFont="1" applyFill="1" applyBorder="1"/>
    <xf numFmtId="171" fontId="20" fillId="11" borderId="34" xfId="0" applyNumberFormat="1" applyFont="1" applyFill="1" applyBorder="1"/>
    <xf numFmtId="171" fontId="20" fillId="11" borderId="32" xfId="0" applyNumberFormat="1" applyFont="1" applyFill="1" applyBorder="1"/>
    <xf numFmtId="0" fontId="9" fillId="6" borderId="0" xfId="0" applyFont="1" applyFill="1" applyAlignment="1">
      <alignment horizontal="center"/>
    </xf>
    <xf numFmtId="0" fontId="0" fillId="0" borderId="0" xfId="0" applyAlignment="1">
      <alignment horizontal="center"/>
    </xf>
    <xf numFmtId="0" fontId="50" fillId="2" borderId="0" xfId="0" applyFont="1" applyFill="1" applyAlignment="1">
      <alignment horizontal="center" vertical="center" wrapText="1"/>
    </xf>
    <xf numFmtId="3" fontId="51" fillId="54" borderId="1" xfId="0" applyNumberFormat="1" applyFont="1" applyFill="1" applyBorder="1" applyAlignment="1">
      <alignment vertical="center"/>
    </xf>
    <xf numFmtId="0" fontId="52" fillId="2" borderId="0" xfId="0" applyFont="1" applyFill="1"/>
    <xf numFmtId="0" fontId="52" fillId="2" borderId="0" xfId="0" applyFont="1" applyFill="1" applyAlignment="1">
      <alignment horizontal="left"/>
    </xf>
    <xf numFmtId="4" fontId="0" fillId="0" borderId="0" xfId="0" applyNumberFormat="1"/>
    <xf numFmtId="4" fontId="53" fillId="0" borderId="1" xfId="0" applyNumberFormat="1" applyFont="1" applyBorder="1"/>
    <xf numFmtId="0" fontId="54" fillId="0" borderId="1" xfId="0" applyFont="1" applyBorder="1" applyAlignment="1">
      <alignment horizontal="center"/>
    </xf>
    <xf numFmtId="174" fontId="0" fillId="0" borderId="0" xfId="0" applyNumberFormat="1" applyAlignment="1">
      <alignment horizontal="center"/>
    </xf>
    <xf numFmtId="165" fontId="55" fillId="0" borderId="0" xfId="0" applyNumberFormat="1" applyFont="1"/>
    <xf numFmtId="0" fontId="55" fillId="0" borderId="0" xfId="0" applyFont="1"/>
    <xf numFmtId="165" fontId="56" fillId="0" borderId="0" xfId="0" applyNumberFormat="1" applyFont="1"/>
    <xf numFmtId="0" fontId="56" fillId="0" borderId="0" xfId="0" applyFont="1"/>
    <xf numFmtId="0" fontId="12" fillId="0" borderId="0" xfId="0" applyFont="1"/>
    <xf numFmtId="165" fontId="57" fillId="0" borderId="0" xfId="1" applyFont="1"/>
    <xf numFmtId="0" fontId="57" fillId="0" borderId="0" xfId="0" applyFont="1"/>
    <xf numFmtId="165" fontId="57" fillId="0" borderId="0" xfId="0" applyNumberFormat="1" applyFont="1"/>
    <xf numFmtId="165" fontId="12" fillId="0" borderId="0" xfId="1" applyFont="1"/>
    <xf numFmtId="0" fontId="58" fillId="0" borderId="0" xfId="0" applyFont="1"/>
    <xf numFmtId="0" fontId="58" fillId="0" borderId="0" xfId="0" applyFont="1" applyAlignment="1">
      <alignment horizontal="left"/>
    </xf>
    <xf numFmtId="165" fontId="59" fillId="11" borderId="0" xfId="0" applyNumberFormat="1" applyFont="1" applyFill="1"/>
    <xf numFmtId="0" fontId="53" fillId="0" borderId="0" xfId="0" applyFont="1" applyAlignment="1">
      <alignment horizontal="left"/>
    </xf>
    <xf numFmtId="165" fontId="60" fillId="11" borderId="0" xfId="0" applyNumberFormat="1" applyFont="1" applyFill="1"/>
    <xf numFmtId="0" fontId="53" fillId="0" borderId="0" xfId="0" applyFont="1"/>
    <xf numFmtId="165" fontId="61" fillId="0" borderId="0" xfId="1" applyFont="1"/>
    <xf numFmtId="0" fontId="61" fillId="0" borderId="0" xfId="0" applyFont="1"/>
    <xf numFmtId="165" fontId="60" fillId="11" borderId="0" xfId="1" applyFont="1" applyFill="1"/>
    <xf numFmtId="165" fontId="53" fillId="0" borderId="0" xfId="0" applyNumberFormat="1" applyFont="1"/>
    <xf numFmtId="165" fontId="61" fillId="0" borderId="0" xfId="0" applyNumberFormat="1" applyFont="1"/>
    <xf numFmtId="0" fontId="62" fillId="0" borderId="0" xfId="0" applyFont="1" applyAlignment="1">
      <alignment horizontal="left" vertical="center"/>
    </xf>
    <xf numFmtId="165" fontId="58" fillId="0" borderId="0" xfId="0" applyNumberFormat="1" applyFont="1"/>
    <xf numFmtId="14" fontId="58" fillId="2" borderId="0" xfId="0" applyNumberFormat="1" applyFont="1" applyFill="1" applyAlignment="1">
      <alignment horizontal="center"/>
    </xf>
    <xf numFmtId="165" fontId="58" fillId="2" borderId="0" xfId="1" applyFont="1" applyFill="1" applyBorder="1"/>
    <xf numFmtId="165" fontId="58" fillId="0" borderId="0" xfId="1" applyFont="1"/>
    <xf numFmtId="17" fontId="58" fillId="0" borderId="0" xfId="0" applyNumberFormat="1" applyFont="1"/>
    <xf numFmtId="0" fontId="58" fillId="11" borderId="0" xfId="0" applyFont="1" applyFill="1"/>
    <xf numFmtId="0" fontId="63" fillId="2" borderId="0" xfId="0" applyFont="1" applyFill="1"/>
    <xf numFmtId="165" fontId="63" fillId="2" borderId="0" xfId="1" applyFont="1" applyFill="1" applyBorder="1"/>
    <xf numFmtId="0" fontId="32" fillId="0" borderId="0" xfId="0" applyFont="1"/>
    <xf numFmtId="0" fontId="53" fillId="0" borderId="0" xfId="0" applyFont="1" applyAlignment="1">
      <alignment vertical="center"/>
    </xf>
    <xf numFmtId="167" fontId="53" fillId="0" borderId="0" xfId="2" applyNumberFormat="1" applyFont="1" applyAlignment="1">
      <alignment vertical="center"/>
    </xf>
    <xf numFmtId="3" fontId="53" fillId="0" borderId="0" xfId="0" applyNumberFormat="1" applyFont="1" applyAlignment="1">
      <alignment vertical="center"/>
    </xf>
    <xf numFmtId="0" fontId="64" fillId="2" borderId="0" xfId="0" applyFont="1" applyFill="1"/>
    <xf numFmtId="0" fontId="58" fillId="0" borderId="0" xfId="0" applyFont="1" applyAlignment="1">
      <alignment vertical="center"/>
    </xf>
    <xf numFmtId="0" fontId="65" fillId="2" borderId="0" xfId="0" applyFont="1" applyFill="1"/>
    <xf numFmtId="166" fontId="66" fillId="2" borderId="0" xfId="1" applyNumberFormat="1" applyFont="1" applyFill="1" applyBorder="1" applyAlignment="1">
      <alignment vertical="center"/>
    </xf>
    <xf numFmtId="166" fontId="66" fillId="0" borderId="0" xfId="0" applyNumberFormat="1" applyFont="1" applyAlignment="1">
      <alignment vertical="center"/>
    </xf>
    <xf numFmtId="0" fontId="62" fillId="0" borderId="0" xfId="0" applyFont="1" applyAlignment="1">
      <alignment vertical="center"/>
    </xf>
    <xf numFmtId="0" fontId="62" fillId="2" borderId="0" xfId="0" applyFont="1" applyFill="1" applyAlignment="1">
      <alignment vertical="center"/>
    </xf>
    <xf numFmtId="0" fontId="0" fillId="0" borderId="0" xfId="0" applyAlignment="1">
      <alignment vertical="center"/>
    </xf>
    <xf numFmtId="174" fontId="54" fillId="7" borderId="1" xfId="0" applyNumberFormat="1" applyFont="1" applyFill="1" applyBorder="1" applyAlignment="1">
      <alignment vertical="center"/>
    </xf>
    <xf numFmtId="3" fontId="54" fillId="7" borderId="1" xfId="0" applyNumberFormat="1" applyFont="1" applyFill="1" applyBorder="1" applyAlignment="1">
      <alignment vertical="center"/>
    </xf>
    <xf numFmtId="4" fontId="54" fillId="4" borderId="1" xfId="0" applyNumberFormat="1" applyFont="1" applyFill="1" applyBorder="1" applyAlignment="1">
      <alignment vertical="center"/>
    </xf>
    <xf numFmtId="175" fontId="54" fillId="4" borderId="2" xfId="0" applyNumberFormat="1" applyFont="1" applyFill="1" applyBorder="1" applyAlignment="1">
      <alignment horizontal="right" vertical="center"/>
    </xf>
    <xf numFmtId="166" fontId="54" fillId="55" borderId="1" xfId="0" applyNumberFormat="1" applyFont="1" applyFill="1" applyBorder="1" applyAlignment="1">
      <alignment vertical="center"/>
    </xf>
    <xf numFmtId="165" fontId="54" fillId="20" borderId="1" xfId="1" applyFont="1" applyFill="1" applyBorder="1" applyAlignment="1">
      <alignment vertical="center"/>
    </xf>
    <xf numFmtId="3" fontId="54" fillId="20" borderId="1" xfId="0" applyNumberFormat="1" applyFont="1" applyFill="1" applyBorder="1" applyAlignment="1">
      <alignment vertical="center"/>
    </xf>
    <xf numFmtId="0" fontId="54" fillId="7" borderId="1" xfId="0" applyFont="1" applyFill="1" applyBorder="1" applyAlignment="1">
      <alignment horizontal="left" vertical="center"/>
    </xf>
    <xf numFmtId="3" fontId="61" fillId="54" borderId="1" xfId="0" applyNumberFormat="1" applyFont="1" applyFill="1" applyBorder="1" applyAlignment="1">
      <alignment vertical="center"/>
    </xf>
    <xf numFmtId="3" fontId="53" fillId="55" borderId="1" xfId="0" applyNumberFormat="1" applyFont="1" applyFill="1" applyBorder="1" applyAlignment="1">
      <alignment vertical="center"/>
    </xf>
    <xf numFmtId="165" fontId="53" fillId="55" borderId="1" xfId="0" applyNumberFormat="1" applyFont="1" applyFill="1" applyBorder="1" applyAlignment="1">
      <alignment vertical="center"/>
    </xf>
    <xf numFmtId="165" fontId="53" fillId="20" borderId="1" xfId="1" applyFont="1" applyFill="1" applyBorder="1" applyAlignment="1">
      <alignment vertical="center"/>
    </xf>
    <xf numFmtId="0" fontId="54" fillId="20" borderId="1" xfId="0" applyFont="1" applyFill="1" applyBorder="1" applyAlignment="1">
      <alignment vertical="center"/>
    </xf>
    <xf numFmtId="175" fontId="54" fillId="4" borderId="1" xfId="0" applyNumberFormat="1" applyFont="1" applyFill="1" applyBorder="1" applyAlignment="1">
      <alignment vertical="center"/>
    </xf>
    <xf numFmtId="3" fontId="54" fillId="55" borderId="1" xfId="0" applyNumberFormat="1" applyFont="1" applyFill="1" applyBorder="1" applyAlignment="1">
      <alignment vertical="center"/>
    </xf>
    <xf numFmtId="0" fontId="54" fillId="7" borderId="1" xfId="0" applyFont="1" applyFill="1" applyBorder="1" applyAlignment="1">
      <alignment horizontal="left" vertical="center" wrapText="1"/>
    </xf>
    <xf numFmtId="167" fontId="53" fillId="57" borderId="0" xfId="2" applyNumberFormat="1" applyFont="1" applyFill="1" applyAlignment="1">
      <alignment vertical="center"/>
    </xf>
    <xf numFmtId="3" fontId="53" fillId="58" borderId="0" xfId="0" applyNumberFormat="1" applyFont="1" applyFill="1" applyAlignment="1">
      <alignment vertical="center"/>
    </xf>
    <xf numFmtId="174" fontId="53" fillId="0" borderId="1" xfId="0" applyNumberFormat="1" applyFont="1" applyBorder="1" applyAlignment="1">
      <alignment vertical="center"/>
    </xf>
    <xf numFmtId="3" fontId="53" fillId="0" borderId="1" xfId="0" applyNumberFormat="1" applyFont="1" applyBorder="1" applyAlignment="1">
      <alignment vertical="center"/>
    </xf>
    <xf numFmtId="3" fontId="53" fillId="0" borderId="1" xfId="1" applyNumberFormat="1" applyFont="1" applyBorder="1" applyAlignment="1">
      <alignment vertical="center"/>
    </xf>
    <xf numFmtId="3" fontId="67" fillId="0" borderId="1" xfId="1" applyNumberFormat="1" applyFont="1" applyBorder="1" applyAlignment="1">
      <alignment vertical="center"/>
    </xf>
    <xf numFmtId="3" fontId="67" fillId="2" borderId="1" xfId="0" applyNumberFormat="1" applyFont="1" applyFill="1" applyBorder="1" applyAlignment="1">
      <alignment vertical="center"/>
    </xf>
    <xf numFmtId="175" fontId="53" fillId="4" borderId="1" xfId="0" applyNumberFormat="1" applyFont="1" applyFill="1" applyBorder="1" applyAlignment="1">
      <alignment vertical="center"/>
    </xf>
    <xf numFmtId="175" fontId="53" fillId="4" borderId="1" xfId="0" applyNumberFormat="1" applyFont="1" applyFill="1" applyBorder="1" applyAlignment="1">
      <alignment horizontal="right" vertical="center"/>
    </xf>
    <xf numFmtId="165" fontId="53" fillId="2" borderId="1" xfId="1" applyFont="1" applyFill="1" applyBorder="1" applyAlignment="1">
      <alignment vertical="center"/>
    </xf>
    <xf numFmtId="3" fontId="53" fillId="2" borderId="1" xfId="0" applyNumberFormat="1" applyFont="1" applyFill="1" applyBorder="1" applyAlignment="1">
      <alignment vertical="center"/>
    </xf>
    <xf numFmtId="0" fontId="54" fillId="2" borderId="1" xfId="0" applyFont="1" applyFill="1" applyBorder="1" applyAlignment="1">
      <alignment horizontal="left" vertical="center"/>
    </xf>
    <xf numFmtId="0" fontId="54" fillId="7" borderId="2" xfId="0" applyFont="1" applyFill="1" applyBorder="1" applyAlignment="1">
      <alignment vertical="center"/>
    </xf>
    <xf numFmtId="0" fontId="54" fillId="7" borderId="6" xfId="0" applyFont="1" applyFill="1" applyBorder="1" applyAlignment="1">
      <alignment vertical="center"/>
    </xf>
    <xf numFmtId="0" fontId="54" fillId="7" borderId="8" xfId="0" applyFont="1" applyFill="1" applyBorder="1" applyAlignment="1">
      <alignment vertical="center"/>
    </xf>
    <xf numFmtId="0" fontId="54" fillId="7" borderId="82" xfId="0" applyFont="1" applyFill="1" applyBorder="1" applyAlignment="1">
      <alignment vertical="center"/>
    </xf>
    <xf numFmtId="0" fontId="69" fillId="7" borderId="35" xfId="48" applyFont="1" applyFill="1" applyBorder="1" applyAlignment="1">
      <alignment vertical="center"/>
    </xf>
    <xf numFmtId="3" fontId="0" fillId="0" borderId="0" xfId="0" applyNumberFormat="1"/>
    <xf numFmtId="3" fontId="70" fillId="7" borderId="0" xfId="0" applyNumberFormat="1" applyFont="1" applyFill="1" applyAlignment="1">
      <alignment horizontal="right" vertical="center"/>
    </xf>
    <xf numFmtId="0" fontId="0" fillId="2" borderId="0" xfId="0" applyFill="1" applyAlignment="1">
      <alignment horizontal="center" vertical="center"/>
    </xf>
    <xf numFmtId="1" fontId="0" fillId="0" borderId="0" xfId="0" applyNumberFormat="1"/>
    <xf numFmtId="3" fontId="50" fillId="0" borderId="0" xfId="0" applyNumberFormat="1" applyFont="1"/>
    <xf numFmtId="3" fontId="50" fillId="0" borderId="1" xfId="0" applyNumberFormat="1" applyFont="1" applyBorder="1"/>
    <xf numFmtId="0" fontId="71" fillId="0" borderId="1" xfId="0" applyFont="1" applyBorder="1" applyAlignment="1">
      <alignment horizontal="center"/>
    </xf>
    <xf numFmtId="0" fontId="72" fillId="59" borderId="1" xfId="0" applyFont="1" applyFill="1" applyBorder="1" applyAlignment="1">
      <alignment horizontal="center"/>
    </xf>
    <xf numFmtId="0" fontId="74" fillId="0" borderId="0" xfId="0" applyFont="1"/>
    <xf numFmtId="0" fontId="58" fillId="0" borderId="0" xfId="0" applyFont="1" applyAlignment="1">
      <alignment horizontal="center"/>
    </xf>
    <xf numFmtId="168" fontId="53" fillId="0" borderId="0" xfId="1" applyNumberFormat="1" applyFont="1" applyAlignment="1">
      <alignment vertical="center"/>
    </xf>
    <xf numFmtId="167" fontId="75" fillId="0" borderId="0" xfId="2" applyNumberFormat="1" applyFont="1" applyFill="1" applyAlignment="1" applyProtection="1">
      <alignment vertical="center"/>
    </xf>
    <xf numFmtId="166" fontId="58" fillId="0" borderId="0" xfId="1" applyNumberFormat="1" applyFont="1"/>
    <xf numFmtId="166" fontId="58" fillId="0" borderId="0" xfId="0" applyNumberFormat="1" applyFont="1"/>
    <xf numFmtId="174" fontId="76" fillId="7" borderId="1" xfId="0" applyNumberFormat="1" applyFont="1" applyFill="1" applyBorder="1" applyAlignment="1">
      <alignment vertical="center"/>
    </xf>
    <xf numFmtId="3" fontId="54" fillId="19" borderId="1" xfId="0" applyNumberFormat="1" applyFont="1" applyFill="1" applyBorder="1" applyAlignment="1">
      <alignment vertical="center"/>
    </xf>
    <xf numFmtId="174" fontId="54" fillId="20" borderId="1" xfId="0" applyNumberFormat="1" applyFont="1" applyFill="1" applyBorder="1" applyAlignment="1">
      <alignment vertical="center"/>
    </xf>
    <xf numFmtId="166" fontId="54" fillId="19" borderId="1" xfId="0" applyNumberFormat="1" applyFont="1" applyFill="1" applyBorder="1" applyAlignment="1">
      <alignment vertical="center"/>
    </xf>
    <xf numFmtId="0" fontId="54" fillId="7" borderId="1" xfId="0" applyFont="1" applyFill="1" applyBorder="1" applyAlignment="1">
      <alignment horizontal="center" vertical="center"/>
    </xf>
    <xf numFmtId="3" fontId="67" fillId="19" borderId="1" xfId="0" applyNumberFormat="1" applyFont="1" applyFill="1" applyBorder="1" applyAlignment="1">
      <alignment vertical="center"/>
    </xf>
    <xf numFmtId="3" fontId="53" fillId="19" borderId="1" xfId="0" applyNumberFormat="1" applyFont="1" applyFill="1" applyBorder="1" applyAlignment="1">
      <alignment vertical="center"/>
    </xf>
    <xf numFmtId="165" fontId="53" fillId="19" borderId="1" xfId="0" applyNumberFormat="1" applyFont="1" applyFill="1" applyBorder="1" applyAlignment="1">
      <alignment vertical="center"/>
    </xf>
    <xf numFmtId="3" fontId="76" fillId="19" borderId="1" xfId="0" applyNumberFormat="1" applyFont="1" applyFill="1" applyBorder="1" applyAlignment="1">
      <alignment vertical="center"/>
    </xf>
    <xf numFmtId="0" fontId="54" fillId="7" borderId="1" xfId="0" applyFont="1" applyFill="1" applyBorder="1" applyAlignment="1">
      <alignment horizontal="center" vertical="center" wrapText="1"/>
    </xf>
    <xf numFmtId="176" fontId="53" fillId="0" borderId="1" xfId="0" applyNumberFormat="1" applyFont="1" applyBorder="1" applyAlignment="1">
      <alignment vertical="center"/>
    </xf>
    <xf numFmtId="3" fontId="67" fillId="0" borderId="1" xfId="0" applyNumberFormat="1" applyFont="1" applyBorder="1" applyAlignment="1">
      <alignment vertical="center"/>
    </xf>
    <xf numFmtId="174" fontId="53" fillId="20" borderId="1" xfId="0" applyNumberFormat="1" applyFont="1" applyFill="1" applyBorder="1" applyAlignment="1">
      <alignment vertical="center"/>
    </xf>
    <xf numFmtId="3" fontId="67" fillId="20" borderId="1" xfId="0" applyNumberFormat="1" applyFont="1" applyFill="1" applyBorder="1" applyAlignment="1">
      <alignment vertical="center"/>
    </xf>
    <xf numFmtId="166" fontId="53" fillId="2" borderId="1" xfId="1" applyNumberFormat="1" applyFont="1" applyFill="1" applyBorder="1" applyAlignment="1">
      <alignment vertical="center"/>
    </xf>
    <xf numFmtId="0" fontId="54" fillId="2" borderId="1" xfId="0" applyFont="1" applyFill="1" applyBorder="1" applyAlignment="1">
      <alignment horizontal="center" vertical="center"/>
    </xf>
    <xf numFmtId="0" fontId="54" fillId="19" borderId="3" xfId="0" applyFont="1" applyFill="1" applyBorder="1" applyAlignment="1">
      <alignment horizontal="center" vertical="center"/>
    </xf>
    <xf numFmtId="0" fontId="54" fillId="19" borderId="1" xfId="0" applyFont="1" applyFill="1" applyBorder="1" applyAlignment="1">
      <alignment horizontal="center" vertical="center"/>
    </xf>
    <xf numFmtId="0" fontId="54" fillId="7" borderId="3" xfId="0" applyFont="1" applyFill="1" applyBorder="1" applyAlignment="1">
      <alignment horizontal="center" vertical="center"/>
    </xf>
    <xf numFmtId="165" fontId="53" fillId="0" borderId="9" xfId="1" applyFont="1" applyBorder="1" applyAlignment="1">
      <alignment vertical="center"/>
    </xf>
    <xf numFmtId="0" fontId="54" fillId="7" borderId="0" xfId="0" applyFont="1" applyFill="1" applyAlignment="1">
      <alignment horizontal="center" vertical="center"/>
    </xf>
    <xf numFmtId="0" fontId="69" fillId="7" borderId="35" xfId="48" applyFont="1" applyFill="1" applyBorder="1" applyAlignment="1">
      <alignment horizontal="center" vertical="center"/>
    </xf>
    <xf numFmtId="0" fontId="77" fillId="0" borderId="0" xfId="0" applyFont="1"/>
    <xf numFmtId="165" fontId="77" fillId="0" borderId="0" xfId="1" applyFont="1"/>
    <xf numFmtId="0" fontId="50" fillId="0" borderId="0" xfId="0" applyFont="1" applyAlignment="1">
      <alignment vertical="center" wrapText="1"/>
    </xf>
    <xf numFmtId="0" fontId="77" fillId="0" borderId="0" xfId="0" applyFont="1" applyAlignment="1">
      <alignment wrapText="1"/>
    </xf>
    <xf numFmtId="0" fontId="77" fillId="0" borderId="0" xfId="0" applyFont="1" applyAlignment="1">
      <alignment vertical="center" wrapText="1"/>
    </xf>
    <xf numFmtId="0" fontId="77" fillId="0" borderId="0" xfId="0" applyFont="1" applyAlignment="1">
      <alignment vertical="center"/>
    </xf>
    <xf numFmtId="174" fontId="53" fillId="0" borderId="0" xfId="0" applyNumberFormat="1" applyFont="1"/>
    <xf numFmtId="167" fontId="53" fillId="0" borderId="0" xfId="2" applyNumberFormat="1" applyFont="1"/>
    <xf numFmtId="14" fontId="58" fillId="2" borderId="0" xfId="0" applyNumberFormat="1" applyFont="1" applyFill="1"/>
    <xf numFmtId="166" fontId="12" fillId="0" borderId="0" xfId="0" applyNumberFormat="1" applyFont="1"/>
    <xf numFmtId="166" fontId="58" fillId="8" borderId="0" xfId="1" applyNumberFormat="1" applyFont="1" applyFill="1" applyBorder="1" applyAlignment="1"/>
    <xf numFmtId="166" fontId="58" fillId="2" borderId="0" xfId="1" applyNumberFormat="1" applyFont="1" applyFill="1" applyBorder="1" applyAlignment="1"/>
    <xf numFmtId="174" fontId="54" fillId="7" borderId="1" xfId="0" applyNumberFormat="1" applyFont="1" applyFill="1" applyBorder="1"/>
    <xf numFmtId="176" fontId="54" fillId="7" borderId="1" xfId="0" applyNumberFormat="1" applyFont="1" applyFill="1" applyBorder="1"/>
    <xf numFmtId="3" fontId="54" fillId="7" borderId="1" xfId="0" applyNumberFormat="1" applyFont="1" applyFill="1" applyBorder="1"/>
    <xf numFmtId="3" fontId="54" fillId="61" borderId="1" xfId="0" applyNumberFormat="1" applyFont="1" applyFill="1" applyBorder="1"/>
    <xf numFmtId="3" fontId="76" fillId="61" borderId="1" xfId="0" applyNumberFormat="1" applyFont="1" applyFill="1" applyBorder="1"/>
    <xf numFmtId="175" fontId="76" fillId="20" borderId="1" xfId="0" applyNumberFormat="1" applyFont="1" applyFill="1" applyBorder="1"/>
    <xf numFmtId="175" fontId="54" fillId="20" borderId="1" xfId="0" applyNumberFormat="1" applyFont="1" applyFill="1" applyBorder="1"/>
    <xf numFmtId="166" fontId="54" fillId="62" borderId="1" xfId="1" applyNumberFormat="1" applyFont="1" applyFill="1" applyBorder="1"/>
    <xf numFmtId="3" fontId="54" fillId="7" borderId="5" xfId="1" applyNumberFormat="1" applyFont="1" applyFill="1" applyBorder="1"/>
    <xf numFmtId="166" fontId="54" fillId="7" borderId="1" xfId="1" applyNumberFormat="1" applyFont="1" applyFill="1" applyBorder="1"/>
    <xf numFmtId="0" fontId="54" fillId="7" borderId="1" xfId="0" applyFont="1" applyFill="1" applyBorder="1" applyAlignment="1">
      <alignment horizontal="center"/>
    </xf>
    <xf numFmtId="3" fontId="53" fillId="61" borderId="1" xfId="0" applyNumberFormat="1" applyFont="1" applyFill="1" applyBorder="1"/>
    <xf numFmtId="3" fontId="67" fillId="61" borderId="1" xfId="0" applyNumberFormat="1" applyFont="1" applyFill="1" applyBorder="1"/>
    <xf numFmtId="166" fontId="53" fillId="7" borderId="1" xfId="1" applyNumberFormat="1" applyFont="1" applyFill="1" applyBorder="1"/>
    <xf numFmtId="176" fontId="71" fillId="7" borderId="1" xfId="0" applyNumberFormat="1" applyFont="1" applyFill="1" applyBorder="1"/>
    <xf numFmtId="3" fontId="71" fillId="7" borderId="1" xfId="0" applyNumberFormat="1" applyFont="1" applyFill="1" applyBorder="1"/>
    <xf numFmtId="3" fontId="71" fillId="61" borderId="1" xfId="0" applyNumberFormat="1" applyFont="1" applyFill="1" applyBorder="1"/>
    <xf numFmtId="175" fontId="78" fillId="20" borderId="1" xfId="0" applyNumberFormat="1" applyFont="1" applyFill="1" applyBorder="1"/>
    <xf numFmtId="175" fontId="71" fillId="20" borderId="1" xfId="0" applyNumberFormat="1" applyFont="1" applyFill="1" applyBorder="1"/>
    <xf numFmtId="166" fontId="71" fillId="62" borderId="1" xfId="1" applyNumberFormat="1" applyFont="1" applyFill="1" applyBorder="1"/>
    <xf numFmtId="0" fontId="71" fillId="7" borderId="1" xfId="0" applyFont="1" applyFill="1" applyBorder="1" applyAlignment="1">
      <alignment horizontal="center" vertical="center" wrapText="1"/>
    </xf>
    <xf numFmtId="174" fontId="53" fillId="0" borderId="1" xfId="0" applyNumberFormat="1" applyFont="1" applyBorder="1"/>
    <xf numFmtId="176" fontId="53" fillId="0" borderId="1" xfId="0" applyNumberFormat="1" applyFont="1" applyBorder="1"/>
    <xf numFmtId="3" fontId="53" fillId="0" borderId="1" xfId="0" applyNumberFormat="1" applyFont="1" applyBorder="1" applyAlignment="1">
      <alignment horizontal="right"/>
    </xf>
    <xf numFmtId="3" fontId="53" fillId="0" borderId="1" xfId="0" applyNumberFormat="1" applyFont="1" applyBorder="1"/>
    <xf numFmtId="3" fontId="67" fillId="0" borderId="1" xfId="1" applyNumberFormat="1" applyFont="1" applyBorder="1"/>
    <xf numFmtId="3" fontId="67" fillId="0" borderId="1" xfId="0" applyNumberFormat="1" applyFont="1" applyBorder="1"/>
    <xf numFmtId="175" fontId="67" fillId="20" borderId="1" xfId="0" applyNumberFormat="1" applyFont="1" applyFill="1" applyBorder="1"/>
    <xf numFmtId="175" fontId="53" fillId="20" borderId="1" xfId="0" applyNumberFormat="1" applyFont="1" applyFill="1" applyBorder="1"/>
    <xf numFmtId="166" fontId="53" fillId="0" borderId="1" xfId="1" applyNumberFormat="1" applyFont="1" applyFill="1" applyBorder="1"/>
    <xf numFmtId="166" fontId="53" fillId="2" borderId="1" xfId="1" applyNumberFormat="1" applyFont="1" applyFill="1" applyBorder="1"/>
    <xf numFmtId="0" fontId="54" fillId="2" borderId="1" xfId="0" applyFont="1" applyFill="1" applyBorder="1" applyAlignment="1">
      <alignment horizontal="center"/>
    </xf>
    <xf numFmtId="176" fontId="50" fillId="0" borderId="1" xfId="0" applyNumberFormat="1" applyFont="1" applyBorder="1"/>
    <xf numFmtId="0" fontId="71" fillId="2" borderId="1" xfId="0" applyFont="1" applyFill="1" applyBorder="1" applyAlignment="1">
      <alignment horizontal="center"/>
    </xf>
    <xf numFmtId="0" fontId="54" fillId="61" borderId="1" xfId="0" applyFont="1" applyFill="1" applyBorder="1" applyAlignment="1">
      <alignment horizontal="center" vertical="center"/>
    </xf>
    <xf numFmtId="0" fontId="71" fillId="61" borderId="1" xfId="0" applyFont="1" applyFill="1" applyBorder="1" applyAlignment="1">
      <alignment horizontal="center" vertical="center"/>
    </xf>
    <xf numFmtId="0" fontId="71" fillId="8" borderId="1" xfId="0" applyFont="1" applyFill="1" applyBorder="1" applyAlignment="1">
      <alignment horizontal="center" vertical="center" wrapText="1"/>
    </xf>
    <xf numFmtId="0" fontId="54" fillId="20" borderId="5" xfId="0" applyFont="1" applyFill="1" applyBorder="1" applyAlignment="1">
      <alignment horizontal="center" vertical="center"/>
    </xf>
    <xf numFmtId="0" fontId="54" fillId="20" borderId="1" xfId="0" applyFont="1" applyFill="1" applyBorder="1" applyAlignment="1">
      <alignment horizontal="center" vertical="center"/>
    </xf>
    <xf numFmtId="174" fontId="58" fillId="0" borderId="0" xfId="0" applyNumberFormat="1" applyFont="1"/>
    <xf numFmtId="3" fontId="58" fillId="0" borderId="0" xfId="0" applyNumberFormat="1" applyFont="1"/>
    <xf numFmtId="0" fontId="58" fillId="2" borderId="0" xfId="0" applyFont="1" applyFill="1"/>
    <xf numFmtId="165" fontId="58" fillId="0" borderId="0" xfId="1" applyFont="1" applyAlignment="1">
      <alignment vertical="center"/>
    </xf>
    <xf numFmtId="167" fontId="53" fillId="0" borderId="0" xfId="2" applyNumberFormat="1" applyFont="1" applyAlignment="1">
      <alignment vertical="center" wrapText="1"/>
    </xf>
    <xf numFmtId="166" fontId="58" fillId="0" borderId="0" xfId="1" applyNumberFormat="1" applyFont="1" applyFill="1"/>
    <xf numFmtId="166" fontId="58" fillId="2" borderId="0" xfId="1" applyNumberFormat="1" applyFont="1" applyFill="1"/>
    <xf numFmtId="0" fontId="53" fillId="0" borderId="0" xfId="0" applyFont="1" applyAlignment="1">
      <alignment vertical="center" wrapText="1"/>
    </xf>
    <xf numFmtId="174" fontId="54" fillId="7" borderId="1" xfId="0" applyNumberFormat="1" applyFont="1" applyFill="1" applyBorder="1" applyAlignment="1">
      <alignment vertical="center" wrapText="1"/>
    </xf>
    <xf numFmtId="176" fontId="54" fillId="7" borderId="1" xfId="0" applyNumberFormat="1" applyFont="1" applyFill="1" applyBorder="1" applyAlignment="1">
      <alignment vertical="center" wrapText="1"/>
    </xf>
    <xf numFmtId="3" fontId="54" fillId="7" borderId="1" xfId="0" applyNumberFormat="1" applyFont="1" applyFill="1" applyBorder="1" applyAlignment="1">
      <alignment horizontal="right" vertical="center" wrapText="1"/>
    </xf>
    <xf numFmtId="3" fontId="54" fillId="5" borderId="1" xfId="0" applyNumberFormat="1" applyFont="1" applyFill="1" applyBorder="1" applyAlignment="1">
      <alignment horizontal="right" vertical="center" wrapText="1"/>
    </xf>
    <xf numFmtId="3" fontId="76" fillId="5" borderId="1" xfId="0" applyNumberFormat="1" applyFont="1" applyFill="1" applyBorder="1" applyAlignment="1">
      <alignment horizontal="right" vertical="center" wrapText="1"/>
    </xf>
    <xf numFmtId="3" fontId="67" fillId="5" borderId="1" xfId="0" applyNumberFormat="1" applyFont="1" applyFill="1" applyBorder="1" applyAlignment="1">
      <alignment horizontal="right" vertical="center" wrapText="1"/>
    </xf>
    <xf numFmtId="3" fontId="53" fillId="5" borderId="1" xfId="1" applyNumberFormat="1" applyFont="1" applyFill="1" applyBorder="1" applyAlignment="1">
      <alignment horizontal="right" vertical="center" wrapText="1"/>
    </xf>
    <xf numFmtId="3" fontId="76" fillId="7" borderId="1" xfId="0" applyNumberFormat="1" applyFont="1" applyFill="1" applyBorder="1" applyAlignment="1">
      <alignment horizontal="right" vertical="center" wrapText="1"/>
    </xf>
    <xf numFmtId="0" fontId="76" fillId="7" borderId="1" xfId="0" applyFont="1" applyFill="1" applyBorder="1" applyAlignment="1">
      <alignment horizontal="center" vertical="center" wrapText="1"/>
    </xf>
    <xf numFmtId="174" fontId="53" fillId="0" borderId="1" xfId="0" applyNumberFormat="1" applyFont="1" applyBorder="1" applyAlignment="1">
      <alignment vertical="center" wrapText="1"/>
    </xf>
    <xf numFmtId="176" fontId="53" fillId="0" borderId="1" xfId="0" applyNumberFormat="1" applyFont="1" applyBorder="1" applyAlignment="1">
      <alignment vertical="center" wrapText="1"/>
    </xf>
    <xf numFmtId="3" fontId="53" fillId="0" borderId="1" xfId="0" applyNumberFormat="1" applyFont="1" applyBorder="1" applyAlignment="1">
      <alignment horizontal="right" vertical="center" wrapText="1"/>
    </xf>
    <xf numFmtId="3" fontId="53" fillId="0" borderId="1" xfId="1" applyNumberFormat="1" applyFont="1" applyBorder="1" applyAlignment="1">
      <alignment horizontal="right" vertical="center" wrapText="1"/>
    </xf>
    <xf numFmtId="3" fontId="67" fillId="0" borderId="1" xfId="1" applyNumberFormat="1" applyFont="1" applyBorder="1" applyAlignment="1">
      <alignment horizontal="right" vertical="center" wrapText="1"/>
    </xf>
    <xf numFmtId="3" fontId="67" fillId="0" borderId="1" xfId="0" applyNumberFormat="1" applyFont="1" applyBorder="1" applyAlignment="1">
      <alignment horizontal="right" vertical="center" wrapText="1"/>
    </xf>
    <xf numFmtId="3" fontId="53" fillId="2" borderId="1" xfId="0" applyNumberFormat="1" applyFont="1" applyFill="1" applyBorder="1" applyAlignment="1">
      <alignment horizontal="right" vertical="center" wrapText="1"/>
    </xf>
    <xf numFmtId="0" fontId="76" fillId="2" borderId="1" xfId="0" applyFont="1" applyFill="1" applyBorder="1" applyAlignment="1">
      <alignment horizontal="center" vertical="center" wrapText="1"/>
    </xf>
    <xf numFmtId="0" fontId="54" fillId="5" borderId="1" xfId="0" applyFont="1" applyFill="1" applyBorder="1" applyAlignment="1">
      <alignment horizontal="center" vertical="center" wrapText="1"/>
    </xf>
    <xf numFmtId="164" fontId="73" fillId="2" borderId="40" xfId="0" applyNumberFormat="1" applyFont="1" applyFill="1" applyBorder="1" applyAlignment="1">
      <alignment horizontal="right" vertical="center"/>
    </xf>
    <xf numFmtId="164" fontId="9" fillId="2" borderId="40" xfId="0" applyNumberFormat="1" applyFont="1" applyFill="1" applyBorder="1" applyAlignment="1">
      <alignment horizontal="right" vertical="center"/>
    </xf>
    <xf numFmtId="164" fontId="79" fillId="2" borderId="0" xfId="0" applyNumberFormat="1" applyFont="1" applyFill="1" applyAlignment="1">
      <alignment vertical="center" wrapText="1"/>
    </xf>
    <xf numFmtId="0" fontId="79" fillId="2" borderId="85" xfId="0" applyFont="1" applyFill="1" applyBorder="1" applyAlignment="1">
      <alignment vertical="center"/>
    </xf>
    <xf numFmtId="164" fontId="2" fillId="2" borderId="0" xfId="0" applyNumberFormat="1" applyFont="1" applyFill="1" applyAlignment="1">
      <alignment vertical="center" wrapText="1"/>
    </xf>
    <xf numFmtId="0" fontId="2" fillId="2" borderId="85" xfId="0" applyFont="1" applyFill="1" applyBorder="1" applyAlignment="1">
      <alignment vertical="center"/>
    </xf>
    <xf numFmtId="0" fontId="52" fillId="0" borderId="0" xfId="0" applyFont="1"/>
    <xf numFmtId="165" fontId="52" fillId="0" borderId="0" xfId="1" applyFont="1"/>
    <xf numFmtId="165" fontId="12" fillId="0" borderId="0" xfId="1" applyFont="1" applyBorder="1"/>
    <xf numFmtId="165" fontId="12" fillId="0" borderId="0" xfId="0" applyNumberFormat="1" applyFont="1"/>
    <xf numFmtId="165" fontId="52" fillId="0" borderId="0" xfId="0" applyNumberFormat="1" applyFont="1"/>
    <xf numFmtId="0" fontId="12" fillId="2" borderId="0" xfId="0" applyFont="1" applyFill="1"/>
    <xf numFmtId="168" fontId="12" fillId="0" borderId="0" xfId="1" applyNumberFormat="1" applyFont="1"/>
    <xf numFmtId="165" fontId="58" fillId="0" borderId="0" xfId="1" applyFont="1" applyFill="1" applyBorder="1"/>
    <xf numFmtId="168" fontId="55" fillId="0" borderId="0" xfId="0" applyNumberFormat="1" applyFont="1"/>
    <xf numFmtId="165" fontId="58" fillId="0" borderId="0" xfId="1" applyFont="1" applyFill="1"/>
    <xf numFmtId="174" fontId="0" fillId="0" borderId="0" xfId="0" applyNumberFormat="1"/>
    <xf numFmtId="165" fontId="12" fillId="0" borderId="0" xfId="1" applyFont="1" applyFill="1"/>
    <xf numFmtId="167" fontId="12" fillId="0" borderId="0" xfId="2" applyNumberFormat="1" applyFont="1" applyFill="1"/>
    <xf numFmtId="177" fontId="12" fillId="0" borderId="0" xfId="0" applyNumberFormat="1" applyFont="1"/>
    <xf numFmtId="0" fontId="80" fillId="0" borderId="0" xfId="0" applyFont="1" applyAlignment="1">
      <alignment vertical="center"/>
    </xf>
    <xf numFmtId="165" fontId="12" fillId="0" borderId="1" xfId="1" applyFont="1" applyBorder="1"/>
    <xf numFmtId="167" fontId="12" fillId="0" borderId="1" xfId="2" applyNumberFormat="1" applyFont="1" applyBorder="1"/>
    <xf numFmtId="2" fontId="12" fillId="0" borderId="1" xfId="0" applyNumberFormat="1" applyFont="1" applyBorder="1"/>
    <xf numFmtId="2" fontId="13" fillId="7" borderId="0" xfId="0" applyNumberFormat="1" applyFont="1" applyFill="1"/>
    <xf numFmtId="165" fontId="25" fillId="7" borderId="0" xfId="0" applyNumberFormat="1" applyFont="1" applyFill="1"/>
    <xf numFmtId="165" fontId="25" fillId="11" borderId="0" xfId="0" applyNumberFormat="1" applyFont="1" applyFill="1"/>
    <xf numFmtId="0" fontId="25" fillId="7" borderId="0" xfId="0" applyFont="1" applyFill="1"/>
    <xf numFmtId="165" fontId="25" fillId="11" borderId="0" xfId="0" applyNumberFormat="1" applyFont="1" applyFill="1" applyAlignment="1">
      <alignment vertical="center"/>
    </xf>
    <xf numFmtId="174" fontId="25" fillId="7" borderId="1" xfId="0" applyNumberFormat="1" applyFont="1" applyFill="1" applyBorder="1"/>
    <xf numFmtId="3" fontId="25" fillId="22" borderId="1" xfId="0" applyNumberFormat="1" applyFont="1" applyFill="1" applyBorder="1"/>
    <xf numFmtId="3" fontId="25" fillId="7" borderId="1" xfId="0" applyNumberFormat="1" applyFont="1" applyFill="1" applyBorder="1"/>
    <xf numFmtId="0" fontId="25" fillId="7" borderId="5" xfId="0" applyFont="1" applyFill="1" applyBorder="1"/>
    <xf numFmtId="0" fontId="10" fillId="0" borderId="0" xfId="0" applyFont="1"/>
    <xf numFmtId="165" fontId="25" fillId="7" borderId="5" xfId="0" applyNumberFormat="1" applyFont="1" applyFill="1" applyBorder="1" applyAlignment="1">
      <alignment horizontal="center" vertical="center"/>
    </xf>
    <xf numFmtId="164" fontId="10" fillId="0" borderId="0" xfId="0" applyNumberFormat="1" applyFont="1" applyAlignment="1">
      <alignment vertical="center"/>
    </xf>
    <xf numFmtId="0" fontId="9" fillId="0" borderId="90" xfId="0" applyFont="1" applyBorder="1" applyAlignment="1">
      <alignment vertical="center"/>
    </xf>
    <xf numFmtId="165" fontId="0" fillId="0" borderId="0" xfId="0" applyNumberFormat="1" applyAlignment="1">
      <alignment vertical="center"/>
    </xf>
    <xf numFmtId="165" fontId="0" fillId="0" borderId="0" xfId="1" applyFont="1" applyAlignment="1">
      <alignment vertical="center"/>
    </xf>
    <xf numFmtId="174" fontId="25" fillId="7" borderId="1" xfId="0" applyNumberFormat="1" applyFont="1" applyFill="1" applyBorder="1" applyAlignment="1">
      <alignment vertical="center"/>
    </xf>
    <xf numFmtId="3" fontId="25" fillId="22" borderId="1" xfId="0" applyNumberFormat="1" applyFont="1" applyFill="1" applyBorder="1" applyAlignment="1">
      <alignment vertical="center"/>
    </xf>
    <xf numFmtId="3" fontId="25" fillId="7" borderId="1" xfId="0" applyNumberFormat="1" applyFont="1" applyFill="1" applyBorder="1" applyAlignment="1">
      <alignment vertical="center"/>
    </xf>
    <xf numFmtId="0" fontId="25" fillId="7" borderId="82" xfId="0" applyFont="1" applyFill="1" applyBorder="1" applyAlignment="1">
      <alignment horizontal="center" vertical="center" wrapText="1"/>
    </xf>
    <xf numFmtId="164" fontId="9" fillId="63" borderId="0" xfId="0" applyNumberFormat="1" applyFont="1" applyFill="1" applyAlignment="1">
      <alignment vertical="center"/>
    </xf>
    <xf numFmtId="3" fontId="2" fillId="0" borderId="85" xfId="0" applyNumberFormat="1" applyFont="1" applyBorder="1" applyAlignment="1">
      <alignment vertical="center"/>
    </xf>
    <xf numFmtId="174" fontId="12" fillId="2" borderId="1" xfId="0" applyNumberFormat="1" applyFont="1" applyFill="1" applyBorder="1"/>
    <xf numFmtId="174" fontId="12" fillId="0" borderId="1" xfId="0" applyNumberFormat="1" applyFont="1" applyBorder="1"/>
    <xf numFmtId="3" fontId="12" fillId="22" borderId="1" xfId="0" applyNumberFormat="1" applyFont="1" applyFill="1" applyBorder="1"/>
    <xf numFmtId="3" fontId="12" fillId="0" borderId="1" xfId="0" applyNumberFormat="1" applyFont="1" applyBorder="1"/>
    <xf numFmtId="0" fontId="25" fillId="0" borderId="1" xfId="0" applyFont="1" applyBorder="1" applyAlignment="1">
      <alignment horizontal="center"/>
    </xf>
    <xf numFmtId="165" fontId="25" fillId="7" borderId="1" xfId="0" applyNumberFormat="1" applyFont="1" applyFill="1" applyBorder="1" applyAlignment="1">
      <alignment horizontal="center" vertical="center" wrapText="1"/>
    </xf>
    <xf numFmtId="0" fontId="81" fillId="2" borderId="0" xfId="48" applyFont="1" applyFill="1" applyBorder="1" applyAlignment="1">
      <alignment vertical="center"/>
    </xf>
    <xf numFmtId="0" fontId="0" fillId="7" borderId="0" xfId="0" applyFill="1"/>
    <xf numFmtId="165" fontId="0" fillId="7" borderId="0" xfId="1" applyFont="1" applyFill="1"/>
    <xf numFmtId="0" fontId="25" fillId="7" borderId="0" xfId="0" applyFont="1" applyFill="1" applyAlignment="1">
      <alignment horizontal="center"/>
    </xf>
    <xf numFmtId="0" fontId="81" fillId="7" borderId="0" xfId="48" applyFont="1" applyFill="1" applyBorder="1" applyAlignment="1">
      <alignment vertical="center"/>
    </xf>
    <xf numFmtId="0" fontId="3" fillId="0" borderId="0" xfId="0" applyFont="1" applyAlignment="1">
      <alignment vertical="center"/>
    </xf>
    <xf numFmtId="167" fontId="32" fillId="0" borderId="0" xfId="2" applyNumberFormat="1" applyFont="1"/>
    <xf numFmtId="166" fontId="32" fillId="0" borderId="0" xfId="1" applyNumberFormat="1" applyFont="1"/>
    <xf numFmtId="178" fontId="55" fillId="0" borderId="0" xfId="0" applyNumberFormat="1" applyFont="1"/>
    <xf numFmtId="3" fontId="0" fillId="2" borderId="0" xfId="0" applyNumberFormat="1" applyFill="1"/>
    <xf numFmtId="179" fontId="0" fillId="0" borderId="0" xfId="1" applyNumberFormat="1" applyFont="1"/>
    <xf numFmtId="165" fontId="32" fillId="0" borderId="0" xfId="1" applyFont="1"/>
    <xf numFmtId="174" fontId="10" fillId="21" borderId="0" xfId="0" applyNumberFormat="1" applyFont="1" applyFill="1" applyAlignment="1">
      <alignment horizontal="right"/>
    </xf>
    <xf numFmtId="166" fontId="9" fillId="21" borderId="0" xfId="0" applyNumberFormat="1" applyFont="1" applyFill="1" applyAlignment="1">
      <alignment horizontal="right"/>
    </xf>
    <xf numFmtId="166" fontId="0" fillId="21" borderId="0" xfId="0" applyNumberFormat="1" applyFill="1" applyAlignment="1">
      <alignment horizontal="right"/>
    </xf>
    <xf numFmtId="166" fontId="9" fillId="21" borderId="8" xfId="0" applyNumberFormat="1" applyFont="1" applyFill="1" applyBorder="1" applyAlignment="1">
      <alignment horizontal="right"/>
    </xf>
    <xf numFmtId="168" fontId="9" fillId="21" borderId="0" xfId="0" applyNumberFormat="1" applyFont="1" applyFill="1" applyAlignment="1">
      <alignment horizontal="right"/>
    </xf>
    <xf numFmtId="166" fontId="7" fillId="21" borderId="0" xfId="0" applyNumberFormat="1" applyFont="1" applyFill="1" applyAlignment="1">
      <alignment horizontal="right"/>
    </xf>
    <xf numFmtId="166" fontId="7" fillId="21" borderId="8" xfId="0" applyNumberFormat="1" applyFont="1" applyFill="1" applyBorder="1" applyAlignment="1">
      <alignment horizontal="right"/>
    </xf>
    <xf numFmtId="2" fontId="41" fillId="21" borderId="0" xfId="12" applyNumberFormat="1" applyFill="1" applyBorder="1" applyAlignment="1">
      <alignment vertical="center"/>
    </xf>
    <xf numFmtId="174" fontId="9" fillId="64" borderId="91" xfId="0" applyNumberFormat="1" applyFont="1" applyFill="1" applyBorder="1" applyAlignment="1">
      <alignment horizontal="right"/>
    </xf>
    <xf numFmtId="174" fontId="9" fillId="64" borderId="61" xfId="0" applyNumberFormat="1" applyFont="1" applyFill="1" applyBorder="1" applyAlignment="1">
      <alignment horizontal="right"/>
    </xf>
    <xf numFmtId="166" fontId="9" fillId="64" borderId="60" xfId="0" applyNumberFormat="1" applyFont="1" applyFill="1" applyBorder="1" applyAlignment="1">
      <alignment horizontal="right"/>
    </xf>
    <xf numFmtId="166" fontId="9" fillId="64" borderId="61" xfId="0" applyNumberFormat="1" applyFont="1" applyFill="1" applyBorder="1" applyAlignment="1">
      <alignment horizontal="right"/>
    </xf>
    <xf numFmtId="166" fontId="9" fillId="64" borderId="5" xfId="0" applyNumberFormat="1" applyFont="1" applyFill="1" applyBorder="1" applyAlignment="1">
      <alignment horizontal="right"/>
    </xf>
    <xf numFmtId="166" fontId="9" fillId="65" borderId="1" xfId="0" applyNumberFormat="1" applyFont="1" applyFill="1" applyBorder="1" applyAlignment="1">
      <alignment horizontal="right"/>
    </xf>
    <xf numFmtId="166" fontId="9" fillId="64" borderId="1" xfId="0" applyNumberFormat="1" applyFont="1" applyFill="1" applyBorder="1" applyAlignment="1">
      <alignment horizontal="right"/>
    </xf>
    <xf numFmtId="166" fontId="9" fillId="65" borderId="1" xfId="0" applyNumberFormat="1" applyFont="1" applyFill="1" applyBorder="1" applyAlignment="1">
      <alignment horizontal="right" vertical="center"/>
    </xf>
    <xf numFmtId="0" fontId="9" fillId="65" borderId="1" xfId="0" applyFont="1" applyFill="1" applyBorder="1" applyAlignment="1">
      <alignment horizontal="center"/>
    </xf>
    <xf numFmtId="174" fontId="0" fillId="66" borderId="92" xfId="0" applyNumberFormat="1" applyFill="1" applyBorder="1" applyAlignment="1">
      <alignment horizontal="right"/>
    </xf>
    <xf numFmtId="174" fontId="0" fillId="12" borderId="62" xfId="0" applyNumberFormat="1" applyFill="1" applyBorder="1" applyAlignment="1">
      <alignment horizontal="right"/>
    </xf>
    <xf numFmtId="166" fontId="0" fillId="66" borderId="5" xfId="0" applyNumberFormat="1" applyFill="1" applyBorder="1" applyAlignment="1">
      <alignment horizontal="right"/>
    </xf>
    <xf numFmtId="166" fontId="0" fillId="12" borderId="1" xfId="0" applyNumberFormat="1" applyFill="1" applyBorder="1" applyAlignment="1">
      <alignment horizontal="right"/>
    </xf>
    <xf numFmtId="166" fontId="0" fillId="66" borderId="1" xfId="0" applyNumberFormat="1" applyFill="1" applyBorder="1" applyAlignment="1">
      <alignment horizontal="right"/>
    </xf>
    <xf numFmtId="166" fontId="0" fillId="12" borderId="62" xfId="0" applyNumberFormat="1" applyFill="1" applyBorder="1" applyAlignment="1">
      <alignment horizontal="right"/>
    </xf>
    <xf numFmtId="0" fontId="2" fillId="12" borderId="1" xfId="0" applyFont="1" applyFill="1" applyBorder="1" applyAlignment="1">
      <alignment horizontal="center"/>
    </xf>
    <xf numFmtId="174" fontId="9" fillId="64" borderId="92" xfId="0" applyNumberFormat="1" applyFont="1" applyFill="1" applyBorder="1" applyAlignment="1">
      <alignment horizontal="right"/>
    </xf>
    <xf numFmtId="174" fontId="9" fillId="64" borderId="62" xfId="0" applyNumberFormat="1" applyFont="1" applyFill="1" applyBorder="1" applyAlignment="1">
      <alignment horizontal="right"/>
    </xf>
    <xf numFmtId="166" fontId="10" fillId="64" borderId="1" xfId="0" applyNumberFormat="1" applyFont="1" applyFill="1" applyBorder="1" applyAlignment="1">
      <alignment horizontal="right"/>
    </xf>
    <xf numFmtId="166" fontId="9" fillId="64" borderId="62" xfId="0" applyNumberFormat="1" applyFont="1" applyFill="1" applyBorder="1" applyAlignment="1">
      <alignment horizontal="right"/>
    </xf>
    <xf numFmtId="174" fontId="0" fillId="12" borderId="67" xfId="0" applyNumberFormat="1" applyFill="1" applyBorder="1" applyAlignment="1">
      <alignment horizontal="right"/>
    </xf>
    <xf numFmtId="168" fontId="0" fillId="12" borderId="1" xfId="0" applyNumberFormat="1" applyFill="1" applyBorder="1" applyAlignment="1">
      <alignment horizontal="right"/>
    </xf>
    <xf numFmtId="1" fontId="0" fillId="7" borderId="84" xfId="0" applyNumberFormat="1" applyFill="1" applyBorder="1" applyAlignment="1">
      <alignment horizontal="right"/>
    </xf>
    <xf numFmtId="174" fontId="9" fillId="65" borderId="59" xfId="0" applyNumberFormat="1" applyFont="1" applyFill="1" applyBorder="1" applyAlignment="1">
      <alignment horizontal="center" vertical="center" wrapText="1"/>
    </xf>
    <xf numFmtId="174" fontId="9" fillId="65" borderId="1" xfId="0" applyNumberFormat="1" applyFont="1" applyFill="1" applyBorder="1" applyAlignment="1">
      <alignment horizontal="center" vertical="center" wrapText="1"/>
    </xf>
    <xf numFmtId="174" fontId="9" fillId="65" borderId="62" xfId="0" applyNumberFormat="1" applyFont="1" applyFill="1" applyBorder="1" applyAlignment="1">
      <alignment horizontal="center" vertical="center" wrapText="1"/>
    </xf>
    <xf numFmtId="180" fontId="9" fillId="65" borderId="5" xfId="0" applyNumberFormat="1" applyFont="1" applyFill="1" applyBorder="1" applyAlignment="1">
      <alignment horizontal="center" vertical="center" wrapText="1"/>
    </xf>
    <xf numFmtId="180" fontId="9" fillId="65" borderId="1" xfId="0" applyNumberFormat="1" applyFont="1" applyFill="1" applyBorder="1" applyAlignment="1">
      <alignment horizontal="center" vertical="center" wrapText="1"/>
    </xf>
    <xf numFmtId="180" fontId="9" fillId="65" borderId="62" xfId="0" applyNumberFormat="1" applyFont="1" applyFill="1" applyBorder="1" applyAlignment="1">
      <alignment horizontal="center" vertical="center" wrapText="1"/>
    </xf>
    <xf numFmtId="165" fontId="55" fillId="2" borderId="0" xfId="1" applyFont="1" applyFill="1" applyBorder="1"/>
    <xf numFmtId="0" fontId="55" fillId="2" borderId="0" xfId="0" applyFont="1" applyFill="1"/>
    <xf numFmtId="167" fontId="55" fillId="0" borderId="0" xfId="2" applyNumberFormat="1" applyFont="1" applyAlignment="1">
      <alignment vertical="center"/>
    </xf>
    <xf numFmtId="165" fontId="55" fillId="0" borderId="0" xfId="1" applyFont="1"/>
    <xf numFmtId="17" fontId="55" fillId="0" borderId="0" xfId="0" applyNumberFormat="1" applyFont="1"/>
    <xf numFmtId="14" fontId="55" fillId="2" borderId="0" xfId="0" applyNumberFormat="1" applyFont="1" applyFill="1"/>
    <xf numFmtId="0" fontId="82" fillId="2" borderId="0" xfId="0" applyFont="1" applyFill="1"/>
    <xf numFmtId="165" fontId="82" fillId="2" borderId="0" xfId="1" applyFont="1" applyFill="1" applyBorder="1"/>
    <xf numFmtId="0" fontId="18" fillId="10" borderId="0" xfId="0" applyFont="1" applyFill="1"/>
    <xf numFmtId="165" fontId="18" fillId="10" borderId="0" xfId="1" applyFont="1" applyFill="1"/>
    <xf numFmtId="174" fontId="0" fillId="0" borderId="0" xfId="0" applyNumberFormat="1" applyAlignment="1">
      <alignment horizontal="center" vertical="center"/>
    </xf>
    <xf numFmtId="3" fontId="0" fillId="0" borderId="0" xfId="0" applyNumberFormat="1" applyAlignment="1">
      <alignment horizontal="center" vertical="center"/>
    </xf>
    <xf numFmtId="0" fontId="32" fillId="0" borderId="0" xfId="0" applyFont="1" applyAlignment="1">
      <alignment horizontal="center" vertical="center"/>
    </xf>
    <xf numFmtId="3" fontId="32" fillId="0" borderId="0" xfId="0" applyNumberFormat="1" applyFont="1" applyAlignment="1">
      <alignment horizontal="center" vertical="center"/>
    </xf>
    <xf numFmtId="167" fontId="19" fillId="64" borderId="42" xfId="2" applyNumberFormat="1" applyFont="1" applyFill="1" applyBorder="1" applyAlignment="1">
      <alignment horizontal="center" vertical="center"/>
    </xf>
    <xf numFmtId="175" fontId="19" fillId="64" borderId="42" xfId="0" applyNumberFormat="1" applyFont="1" applyFill="1" applyBorder="1" applyAlignment="1">
      <alignment horizontal="center" vertical="center"/>
    </xf>
    <xf numFmtId="3" fontId="19" fillId="64" borderId="42" xfId="0" applyNumberFormat="1" applyFont="1" applyFill="1" applyBorder="1" applyAlignment="1">
      <alignment horizontal="center" vertical="center"/>
    </xf>
    <xf numFmtId="167" fontId="84" fillId="64" borderId="42" xfId="2" applyNumberFormat="1" applyFont="1" applyFill="1" applyBorder="1" applyAlignment="1">
      <alignment horizontal="center" vertical="center"/>
    </xf>
    <xf numFmtId="0" fontId="19" fillId="64" borderId="85" xfId="0" applyFont="1" applyFill="1" applyBorder="1" applyAlignment="1">
      <alignment horizontal="center" vertical="center"/>
    </xf>
    <xf numFmtId="167" fontId="83" fillId="68" borderId="96" xfId="2" applyNumberFormat="1" applyFont="1" applyFill="1" applyBorder="1" applyAlignment="1">
      <alignment horizontal="center" vertical="center"/>
    </xf>
    <xf numFmtId="175" fontId="83" fillId="68" borderId="42" xfId="0" applyNumberFormat="1" applyFont="1" applyFill="1" applyBorder="1" applyAlignment="1">
      <alignment horizontal="center" vertical="center"/>
    </xf>
    <xf numFmtId="167" fontId="83" fillId="11" borderId="42" xfId="2" applyNumberFormat="1" applyFont="1" applyFill="1" applyBorder="1" applyAlignment="1">
      <alignment horizontal="center" vertical="center"/>
    </xf>
    <xf numFmtId="3" fontId="85" fillId="7" borderId="42" xfId="0" applyNumberFormat="1" applyFont="1" applyFill="1" applyBorder="1" applyAlignment="1">
      <alignment horizontal="center" vertical="center"/>
    </xf>
    <xf numFmtId="3" fontId="83" fillId="7" borderId="42" xfId="0" applyNumberFormat="1" applyFont="1" applyFill="1" applyBorder="1" applyAlignment="1">
      <alignment horizontal="center" vertical="center"/>
    </xf>
    <xf numFmtId="167" fontId="83" fillId="67" borderId="42" xfId="2" applyNumberFormat="1" applyFont="1" applyFill="1" applyBorder="1" applyAlignment="1">
      <alignment horizontal="center" vertical="center"/>
    </xf>
    <xf numFmtId="3" fontId="83" fillId="2" borderId="42" xfId="0" applyNumberFormat="1" applyFont="1" applyFill="1" applyBorder="1" applyAlignment="1">
      <alignment horizontal="center" vertical="center"/>
    </xf>
    <xf numFmtId="0" fontId="86" fillId="2" borderId="85" xfId="0" applyFont="1" applyFill="1" applyBorder="1" applyAlignment="1">
      <alignment horizontal="center" vertical="center"/>
    </xf>
    <xf numFmtId="9" fontId="0" fillId="0" borderId="0" xfId="2" applyFont="1" applyAlignment="1">
      <alignment horizontal="center" vertical="center"/>
    </xf>
    <xf numFmtId="0" fontId="87" fillId="60" borderId="97" xfId="0" applyFont="1" applyFill="1" applyBorder="1" applyAlignment="1">
      <alignment horizontal="center" vertical="center" wrapText="1"/>
    </xf>
    <xf numFmtId="0" fontId="87" fillId="60" borderId="85" xfId="0" applyFont="1" applyFill="1" applyBorder="1" applyAlignment="1">
      <alignment horizontal="center" vertical="center" wrapText="1"/>
    </xf>
    <xf numFmtId="0" fontId="87" fillId="60" borderId="88" xfId="0" applyFont="1" applyFill="1" applyBorder="1" applyAlignment="1">
      <alignment horizontal="center" vertical="center" wrapText="1"/>
    </xf>
    <xf numFmtId="0" fontId="19" fillId="64" borderId="85" xfId="0" applyFont="1" applyFill="1" applyBorder="1" applyAlignment="1">
      <alignment horizontal="center" vertical="center" wrapText="1"/>
    </xf>
    <xf numFmtId="0" fontId="87" fillId="60" borderId="42" xfId="0" applyFont="1" applyFill="1" applyBorder="1" applyAlignment="1">
      <alignment horizontal="center" vertical="center" wrapText="1"/>
    </xf>
    <xf numFmtId="0" fontId="87" fillId="60" borderId="98" xfId="0" applyFont="1" applyFill="1" applyBorder="1" applyAlignment="1">
      <alignment horizontal="center" vertical="center"/>
    </xf>
    <xf numFmtId="0" fontId="87" fillId="60" borderId="46" xfId="0" applyFont="1" applyFill="1" applyBorder="1" applyAlignment="1">
      <alignment horizontal="center" vertical="center"/>
    </xf>
    <xf numFmtId="0" fontId="2" fillId="2" borderId="0" xfId="0" applyFont="1" applyFill="1"/>
    <xf numFmtId="0" fontId="0" fillId="10" borderId="0" xfId="0" applyFill="1"/>
    <xf numFmtId="165" fontId="0" fillId="10" borderId="0" xfId="1" applyFont="1" applyFill="1"/>
    <xf numFmtId="0" fontId="52" fillId="0" borderId="0" xfId="0" applyFont="1" applyAlignment="1">
      <alignment vertical="center"/>
    </xf>
    <xf numFmtId="167" fontId="52" fillId="0" borderId="0" xfId="0" applyNumberFormat="1" applyFont="1"/>
    <xf numFmtId="174" fontId="52" fillId="2" borderId="0" xfId="0" applyNumberFormat="1" applyFont="1" applyFill="1"/>
    <xf numFmtId="166" fontId="52" fillId="8" borderId="0" xfId="1" applyNumberFormat="1" applyFont="1" applyFill="1"/>
    <xf numFmtId="3" fontId="52" fillId="8" borderId="0" xfId="0" applyNumberFormat="1" applyFont="1" applyFill="1"/>
    <xf numFmtId="0" fontId="52" fillId="0" borderId="0" xfId="0" applyFont="1" applyAlignment="1">
      <alignment horizontal="left" vertical="center"/>
    </xf>
    <xf numFmtId="174" fontId="52" fillId="8" borderId="0" xfId="0" applyNumberFormat="1" applyFont="1" applyFill="1"/>
    <xf numFmtId="3" fontId="52" fillId="0" borderId="0" xfId="0" applyNumberFormat="1" applyFont="1"/>
    <xf numFmtId="168" fontId="88" fillId="9" borderId="42" xfId="1" applyNumberFormat="1" applyFont="1" applyFill="1" applyBorder="1" applyAlignment="1">
      <alignment horizontal="right" vertical="center"/>
    </xf>
    <xf numFmtId="175" fontId="88" fillId="67" borderId="42" xfId="0" applyNumberFormat="1" applyFont="1" applyFill="1" applyBorder="1" applyAlignment="1">
      <alignment horizontal="right" vertical="center"/>
    </xf>
    <xf numFmtId="3" fontId="88" fillId="7" borderId="42" xfId="0" applyNumberFormat="1" applyFont="1" applyFill="1" applyBorder="1" applyAlignment="1">
      <alignment horizontal="right" vertical="center"/>
    </xf>
    <xf numFmtId="175" fontId="90" fillId="7" borderId="42" xfId="1" applyNumberFormat="1" applyFont="1" applyFill="1" applyBorder="1" applyAlignment="1">
      <alignment horizontal="center" vertical="center"/>
    </xf>
    <xf numFmtId="167" fontId="34" fillId="7" borderId="42" xfId="2" applyNumberFormat="1" applyFont="1" applyFill="1" applyBorder="1" applyAlignment="1">
      <alignment horizontal="center" vertical="center"/>
    </xf>
    <xf numFmtId="3" fontId="34" fillId="7" borderId="42" xfId="0" applyNumberFormat="1" applyFont="1" applyFill="1" applyBorder="1" applyAlignment="1">
      <alignment horizontal="center" vertical="center"/>
    </xf>
    <xf numFmtId="167" fontId="90" fillId="7" borderId="42" xfId="2" applyNumberFormat="1" applyFont="1" applyFill="1" applyBorder="1" applyAlignment="1">
      <alignment horizontal="center" vertical="center"/>
    </xf>
    <xf numFmtId="0" fontId="34" fillId="7" borderId="85" xfId="0" applyFont="1" applyFill="1" applyBorder="1" applyAlignment="1">
      <alignment horizontal="center" vertical="center"/>
    </xf>
    <xf numFmtId="175" fontId="90" fillId="9" borderId="42" xfId="1" applyNumberFormat="1" applyFont="1" applyFill="1" applyBorder="1" applyAlignment="1">
      <alignment horizontal="center" vertical="center"/>
    </xf>
    <xf numFmtId="167" fontId="90" fillId="67" borderId="42" xfId="2" applyNumberFormat="1" applyFont="1" applyFill="1" applyBorder="1" applyAlignment="1">
      <alignment horizontal="center" vertical="center"/>
    </xf>
    <xf numFmtId="3" fontId="90" fillId="7" borderId="42" xfId="0" applyNumberFormat="1" applyFont="1" applyFill="1" applyBorder="1" applyAlignment="1">
      <alignment horizontal="center" vertical="center"/>
    </xf>
    <xf numFmtId="3" fontId="90" fillId="2" borderId="42" xfId="0" applyNumberFormat="1" applyFont="1" applyFill="1" applyBorder="1" applyAlignment="1">
      <alignment horizontal="center" vertical="center"/>
    </xf>
    <xf numFmtId="0" fontId="34" fillId="2" borderId="85" xfId="0" applyFont="1" applyFill="1" applyBorder="1" applyAlignment="1">
      <alignment horizontal="center" vertical="center"/>
    </xf>
    <xf numFmtId="0" fontId="8" fillId="55" borderId="88" xfId="0" applyFont="1" applyFill="1" applyBorder="1" applyAlignment="1">
      <alignment horizontal="center" vertical="center" wrapText="1"/>
    </xf>
    <xf numFmtId="0" fontId="34" fillId="55" borderId="88"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4" fillId="4" borderId="100" xfId="0" applyFont="1" applyFill="1" applyBorder="1" applyAlignment="1">
      <alignment horizontal="center" vertical="center" wrapText="1"/>
    </xf>
    <xf numFmtId="0" fontId="91" fillId="4" borderId="98" xfId="0" applyFont="1" applyFill="1" applyBorder="1" applyAlignment="1">
      <alignment horizontal="center" vertical="center"/>
    </xf>
    <xf numFmtId="0" fontId="91" fillId="4" borderId="46" xfId="0" applyFont="1" applyFill="1" applyBorder="1" applyAlignment="1">
      <alignment vertical="center"/>
    </xf>
    <xf numFmtId="0" fontId="86" fillId="7" borderId="88" xfId="0" applyFont="1" applyFill="1" applyBorder="1" applyAlignment="1">
      <alignment horizontal="center" vertical="center" wrapText="1"/>
    </xf>
    <xf numFmtId="0" fontId="86" fillId="61" borderId="88" xfId="0" applyFont="1" applyFill="1" applyBorder="1" applyAlignment="1">
      <alignment horizontal="center" vertical="center" wrapText="1"/>
    </xf>
    <xf numFmtId="3" fontId="92" fillId="67" borderId="42" xfId="0" applyNumberFormat="1" applyFont="1" applyFill="1" applyBorder="1" applyAlignment="1">
      <alignment vertical="center"/>
    </xf>
    <xf numFmtId="166" fontId="32" fillId="67" borderId="42" xfId="1" applyNumberFormat="1" applyFont="1" applyFill="1" applyBorder="1" applyAlignment="1">
      <alignment vertical="center"/>
    </xf>
    <xf numFmtId="168" fontId="92" fillId="7" borderId="42" xfId="1" applyNumberFormat="1" applyFont="1" applyFill="1" applyBorder="1" applyAlignment="1">
      <alignment vertical="center"/>
    </xf>
    <xf numFmtId="166" fontId="92" fillId="67" borderId="42" xfId="1" applyNumberFormat="1" applyFont="1" applyFill="1" applyBorder="1" applyAlignment="1">
      <alignment vertical="center"/>
    </xf>
    <xf numFmtId="168" fontId="85" fillId="7" borderId="42" xfId="1" applyNumberFormat="1" applyFont="1" applyFill="1" applyBorder="1" applyAlignment="1">
      <alignment horizontal="right" vertical="center"/>
    </xf>
    <xf numFmtId="168" fontId="92" fillId="69" borderId="42" xfId="1" applyNumberFormat="1" applyFont="1" applyFill="1" applyBorder="1" applyAlignment="1">
      <alignment horizontal="center" vertical="center"/>
    </xf>
    <xf numFmtId="3" fontId="32" fillId="67" borderId="42" xfId="0" applyNumberFormat="1" applyFont="1" applyFill="1" applyBorder="1" applyAlignment="1">
      <alignment vertical="center"/>
    </xf>
    <xf numFmtId="0" fontId="2" fillId="7" borderId="17" xfId="0" applyFont="1" applyFill="1" applyBorder="1"/>
    <xf numFmtId="3" fontId="86" fillId="7" borderId="42" xfId="0" applyNumberFormat="1" applyFont="1" applyFill="1" applyBorder="1" applyAlignment="1">
      <alignment vertical="center"/>
    </xf>
    <xf numFmtId="175" fontId="86" fillId="7" borderId="42" xfId="0" applyNumberFormat="1" applyFont="1" applyFill="1" applyBorder="1" applyAlignment="1">
      <alignment vertical="center"/>
    </xf>
    <xf numFmtId="168" fontId="83" fillId="7" borderId="42" xfId="1" applyNumberFormat="1" applyFont="1" applyFill="1" applyBorder="1" applyAlignment="1">
      <alignment horizontal="center" vertical="center"/>
    </xf>
    <xf numFmtId="0" fontId="2" fillId="7" borderId="17" xfId="0" applyFont="1" applyFill="1" applyBorder="1" applyAlignment="1">
      <alignment horizontal="left"/>
    </xf>
    <xf numFmtId="3" fontId="86" fillId="7" borderId="42" xfId="0" applyNumberFormat="1" applyFont="1" applyFill="1" applyBorder="1" applyAlignment="1">
      <alignment horizontal="right" vertical="center"/>
    </xf>
    <xf numFmtId="3" fontId="86" fillId="61" borderId="42" xfId="0" applyNumberFormat="1" applyFont="1" applyFill="1" applyBorder="1" applyAlignment="1">
      <alignment horizontal="center" vertical="center"/>
    </xf>
    <xf numFmtId="166" fontId="86" fillId="61" borderId="42" xfId="1" applyNumberFormat="1" applyFont="1" applyFill="1" applyBorder="1" applyAlignment="1">
      <alignment horizontal="right" vertical="center"/>
    </xf>
    <xf numFmtId="168" fontId="86" fillId="61" borderId="42" xfId="1" applyNumberFormat="1" applyFont="1" applyFill="1" applyBorder="1" applyAlignment="1">
      <alignment horizontal="right" vertical="center"/>
    </xf>
    <xf numFmtId="168" fontId="83" fillId="61" borderId="42" xfId="1" applyNumberFormat="1" applyFont="1" applyFill="1" applyBorder="1" applyAlignment="1">
      <alignment horizontal="center" vertical="center"/>
    </xf>
    <xf numFmtId="166" fontId="86" fillId="2" borderId="0" xfId="1" applyNumberFormat="1" applyFont="1" applyFill="1" applyBorder="1" applyAlignment="1">
      <alignment horizontal="right" vertical="center"/>
    </xf>
    <xf numFmtId="168" fontId="83" fillId="2" borderId="0" xfId="1" applyNumberFormat="1" applyFont="1" applyFill="1" applyBorder="1" applyAlignment="1">
      <alignment horizontal="right" vertical="center"/>
    </xf>
    <xf numFmtId="3" fontId="0" fillId="0" borderId="0" xfId="0" applyNumberFormat="1" applyAlignment="1">
      <alignment vertical="center"/>
    </xf>
    <xf numFmtId="174" fontId="0" fillId="0" borderId="0" xfId="0" applyNumberFormat="1" applyAlignment="1">
      <alignment vertical="center"/>
    </xf>
    <xf numFmtId="165" fontId="0" fillId="0" borderId="0" xfId="1" applyFont="1" applyAlignment="1">
      <alignment horizontal="left" vertical="center"/>
    </xf>
    <xf numFmtId="0" fontId="0" fillId="0" borderId="0" xfId="0" applyAlignment="1">
      <alignment horizontal="left" vertical="center"/>
    </xf>
    <xf numFmtId="166" fontId="0" fillId="0" borderId="0" xfId="0" applyNumberFormat="1" applyAlignment="1">
      <alignment vertical="center"/>
    </xf>
    <xf numFmtId="0" fontId="0" fillId="0" borderId="0" xfId="0" applyAlignment="1">
      <alignment vertical="center" wrapText="1"/>
    </xf>
    <xf numFmtId="0" fontId="11" fillId="6" borderId="104" xfId="0" applyFont="1" applyFill="1" applyBorder="1" applyAlignment="1">
      <alignment horizontal="center" vertical="center" wrapText="1"/>
    </xf>
    <xf numFmtId="0" fontId="36" fillId="2" borderId="0" xfId="0" applyFont="1" applyFill="1" applyAlignment="1">
      <alignment vertical="center" wrapText="1"/>
    </xf>
    <xf numFmtId="0" fontId="36" fillId="0" borderId="0" xfId="0" applyFont="1" applyAlignment="1">
      <alignment vertical="center" wrapText="1"/>
    </xf>
    <xf numFmtId="0" fontId="25" fillId="70" borderId="17" xfId="0" applyFont="1" applyFill="1" applyBorder="1" applyAlignment="1">
      <alignment horizontal="center" vertical="center"/>
    </xf>
    <xf numFmtId="3" fontId="25" fillId="70" borderId="17" xfId="0" applyNumberFormat="1" applyFont="1" applyFill="1" applyBorder="1" applyAlignment="1">
      <alignment horizontal="center" vertical="center"/>
    </xf>
    <xf numFmtId="3" fontId="25" fillId="71" borderId="17" xfId="0" applyNumberFormat="1" applyFont="1" applyFill="1" applyBorder="1" applyAlignment="1">
      <alignment horizontal="center" vertical="center"/>
    </xf>
    <xf numFmtId="175" fontId="25" fillId="71" borderId="17" xfId="0" applyNumberFormat="1" applyFont="1" applyFill="1" applyBorder="1" applyAlignment="1">
      <alignment horizontal="center" vertical="center"/>
    </xf>
    <xf numFmtId="3" fontId="25" fillId="72" borderId="17" xfId="0" applyNumberFormat="1" applyFont="1" applyFill="1" applyBorder="1" applyAlignment="1">
      <alignment horizontal="center" vertical="center"/>
    </xf>
    <xf numFmtId="175" fontId="25" fillId="72" borderId="17" xfId="0" applyNumberFormat="1" applyFont="1" applyFill="1" applyBorder="1" applyAlignment="1">
      <alignment horizontal="center" vertical="center"/>
    </xf>
    <xf numFmtId="3" fontId="25" fillId="73" borderId="17" xfId="0" applyNumberFormat="1" applyFont="1" applyFill="1" applyBorder="1" applyAlignment="1">
      <alignment horizontal="center" vertical="center"/>
    </xf>
    <xf numFmtId="175" fontId="25" fillId="73" borderId="17" xfId="0" applyNumberFormat="1" applyFont="1" applyFill="1" applyBorder="1" applyAlignment="1">
      <alignment horizontal="center" vertical="center"/>
    </xf>
    <xf numFmtId="3" fontId="25" fillId="74" borderId="17" xfId="0" applyNumberFormat="1" applyFont="1" applyFill="1" applyBorder="1" applyAlignment="1">
      <alignment horizontal="center" vertical="center"/>
    </xf>
    <xf numFmtId="175" fontId="25" fillId="74" borderId="17" xfId="0" applyNumberFormat="1" applyFont="1" applyFill="1" applyBorder="1" applyAlignment="1">
      <alignment horizontal="center" vertical="center"/>
    </xf>
    <xf numFmtId="3" fontId="25" fillId="75" borderId="17" xfId="0" applyNumberFormat="1" applyFont="1" applyFill="1" applyBorder="1" applyAlignment="1">
      <alignment horizontal="center" vertical="center"/>
    </xf>
    <xf numFmtId="174" fontId="25" fillId="75" borderId="17" xfId="0" applyNumberFormat="1" applyFont="1" applyFill="1" applyBorder="1" applyAlignment="1">
      <alignment horizontal="center" vertical="center"/>
    </xf>
    <xf numFmtId="3" fontId="25" fillId="76" borderId="17" xfId="0" applyNumberFormat="1" applyFont="1" applyFill="1" applyBorder="1" applyAlignment="1">
      <alignment horizontal="center" vertical="center"/>
    </xf>
    <xf numFmtId="175" fontId="25" fillId="76" borderId="17" xfId="0" applyNumberFormat="1" applyFont="1" applyFill="1" applyBorder="1" applyAlignment="1">
      <alignment horizontal="center" vertical="center"/>
    </xf>
    <xf numFmtId="3" fontId="25" fillId="77" borderId="17" xfId="0" applyNumberFormat="1" applyFont="1" applyFill="1" applyBorder="1" applyAlignment="1">
      <alignment horizontal="center" vertical="center"/>
    </xf>
    <xf numFmtId="175" fontId="25" fillId="77" borderId="17" xfId="0" applyNumberFormat="1" applyFont="1" applyFill="1" applyBorder="1" applyAlignment="1">
      <alignment horizontal="center" vertical="center"/>
    </xf>
    <xf numFmtId="3" fontId="2" fillId="2" borderId="0" xfId="0" applyNumberFormat="1" applyFont="1" applyFill="1"/>
    <xf numFmtId="175" fontId="2" fillId="2" borderId="0" xfId="0" applyNumberFormat="1" applyFont="1" applyFill="1"/>
    <xf numFmtId="0" fontId="9" fillId="6" borderId="0" xfId="0" applyFont="1" applyFill="1"/>
    <xf numFmtId="181" fontId="0" fillId="0" borderId="0" xfId="50" applyNumberFormat="1" applyFont="1"/>
    <xf numFmtId="0" fontId="96" fillId="0" borderId="0" xfId="0" applyFont="1" applyAlignment="1">
      <alignment vertical="center"/>
    </xf>
    <xf numFmtId="0" fontId="25" fillId="78" borderId="17" xfId="0" applyFont="1" applyFill="1" applyBorder="1" applyAlignment="1">
      <alignment horizontal="center" vertical="center"/>
    </xf>
    <xf numFmtId="0" fontId="97" fillId="2" borderId="0" xfId="0" applyFont="1" applyFill="1" applyAlignment="1">
      <alignment vertical="center"/>
    </xf>
    <xf numFmtId="0" fontId="97" fillId="0" borderId="0" xfId="0" applyFont="1" applyAlignment="1">
      <alignment vertical="center"/>
    </xf>
    <xf numFmtId="181" fontId="9" fillId="6" borderId="0" xfId="50" applyNumberFormat="1" applyFont="1" applyFill="1"/>
    <xf numFmtId="167" fontId="9" fillId="6" borderId="0" xfId="2" applyNumberFormat="1" applyFont="1" applyFill="1"/>
    <xf numFmtId="0" fontId="11" fillId="79" borderId="18" xfId="0" applyFont="1" applyFill="1" applyBorder="1" applyAlignment="1">
      <alignment horizontal="center" vertical="center"/>
    </xf>
    <xf numFmtId="3" fontId="11" fillId="79" borderId="18" xfId="0" quotePrefix="1" applyNumberFormat="1" applyFont="1" applyFill="1" applyBorder="1" applyAlignment="1">
      <alignment horizontal="center" vertical="center"/>
    </xf>
    <xf numFmtId="3" fontId="11" fillId="79" borderId="18" xfId="0" applyNumberFormat="1" applyFont="1" applyFill="1" applyBorder="1" applyAlignment="1">
      <alignment horizontal="center" vertical="center"/>
    </xf>
    <xf numFmtId="3" fontId="11" fillId="79" borderId="17" xfId="0" applyNumberFormat="1" applyFont="1" applyFill="1" applyBorder="1" applyAlignment="1">
      <alignment horizontal="center" vertical="center"/>
    </xf>
    <xf numFmtId="4" fontId="11" fillId="79" borderId="17" xfId="0" applyNumberFormat="1" applyFont="1" applyFill="1" applyBorder="1" applyAlignment="1">
      <alignment horizontal="center" vertical="center"/>
    </xf>
    <xf numFmtId="175" fontId="11" fillId="79" borderId="17" xfId="0" applyNumberFormat="1" applyFont="1" applyFill="1" applyBorder="1" applyAlignment="1">
      <alignment horizontal="center" vertical="center"/>
    </xf>
    <xf numFmtId="174" fontId="11" fillId="79" borderId="17" xfId="0" applyNumberFormat="1" applyFont="1" applyFill="1" applyBorder="1" applyAlignment="1">
      <alignment horizontal="center" vertical="center"/>
    </xf>
    <xf numFmtId="0" fontId="9" fillId="2" borderId="0" xfId="0" applyFont="1" applyFill="1"/>
    <xf numFmtId="0" fontId="9" fillId="0" borderId="0" xfId="0" applyFont="1"/>
    <xf numFmtId="0" fontId="52" fillId="8" borderId="0" xfId="0" applyFont="1" applyFill="1" applyAlignment="1">
      <alignment horizontal="center"/>
    </xf>
    <xf numFmtId="3" fontId="98" fillId="2" borderId="0" xfId="0" applyNumberFormat="1" applyFont="1" applyFill="1" applyAlignment="1">
      <alignment horizontal="center"/>
    </xf>
    <xf numFmtId="0" fontId="98" fillId="2" borderId="0" xfId="0" applyFont="1" applyFill="1" applyAlignment="1">
      <alignment horizontal="center"/>
    </xf>
    <xf numFmtId="3" fontId="95" fillId="80" borderId="28" xfId="0" applyNumberFormat="1" applyFont="1" applyFill="1" applyBorder="1" applyAlignment="1">
      <alignment horizontal="center" vertical="center"/>
    </xf>
    <xf numFmtId="3" fontId="95" fillId="80" borderId="0" xfId="0" applyNumberFormat="1" applyFont="1" applyFill="1" applyAlignment="1">
      <alignment horizontal="center" vertical="center"/>
    </xf>
    <xf numFmtId="167" fontId="98" fillId="2" borderId="0" xfId="0" applyNumberFormat="1" applyFont="1" applyFill="1" applyAlignment="1">
      <alignment horizontal="center"/>
    </xf>
    <xf numFmtId="3" fontId="2" fillId="2" borderId="0" xfId="0" applyNumberFormat="1" applyFont="1" applyFill="1" applyAlignment="1">
      <alignment horizontal="center"/>
    </xf>
    <xf numFmtId="0" fontId="0" fillId="2" borderId="0" xfId="0" applyFill="1" applyAlignment="1">
      <alignment horizontal="center"/>
    </xf>
    <xf numFmtId="3" fontId="98" fillId="2" borderId="0" xfId="0" applyNumberFormat="1" applyFont="1" applyFill="1"/>
    <xf numFmtId="0" fontId="98" fillId="2" borderId="0" xfId="0" applyFont="1" applyFill="1"/>
    <xf numFmtId="165" fontId="98" fillId="2" borderId="0" xfId="50" applyFont="1" applyFill="1"/>
    <xf numFmtId="175" fontId="0" fillId="0" borderId="0" xfId="0" applyNumberFormat="1"/>
    <xf numFmtId="175" fontId="0" fillId="2" borderId="0" xfId="0" applyNumberFormat="1" applyFill="1"/>
    <xf numFmtId="9" fontId="0" fillId="0" borderId="0" xfId="2" applyFont="1"/>
    <xf numFmtId="0" fontId="99" fillId="0" borderId="0" xfId="0" applyFont="1"/>
    <xf numFmtId="2" fontId="86" fillId="4" borderId="17" xfId="0" applyNumberFormat="1" applyFont="1" applyFill="1" applyBorder="1" applyAlignment="1">
      <alignment horizontal="center" vertical="center" wrapText="1"/>
    </xf>
    <xf numFmtId="0" fontId="86" fillId="4" borderId="17" xfId="0" applyFont="1" applyFill="1" applyBorder="1" applyAlignment="1">
      <alignment horizontal="center" vertical="center" wrapText="1"/>
    </xf>
    <xf numFmtId="0" fontId="86" fillId="2" borderId="17" xfId="0" applyFont="1" applyFill="1" applyBorder="1" applyAlignment="1">
      <alignment horizontal="center" vertical="center" wrapText="1"/>
    </xf>
    <xf numFmtId="10" fontId="86" fillId="7" borderId="17" xfId="2" applyNumberFormat="1" applyFont="1" applyFill="1" applyBorder="1" applyAlignment="1">
      <alignment horizontal="center" vertical="center" wrapText="1"/>
    </xf>
    <xf numFmtId="10" fontId="32" fillId="7" borderId="17" xfId="2" applyNumberFormat="1" applyFont="1" applyFill="1" applyBorder="1" applyAlignment="1">
      <alignment horizontal="center"/>
    </xf>
    <xf numFmtId="3" fontId="32" fillId="7" borderId="17" xfId="0" applyNumberFormat="1" applyFont="1" applyFill="1" applyBorder="1" applyAlignment="1">
      <alignment horizontal="center"/>
    </xf>
    <xf numFmtId="3" fontId="32" fillId="2" borderId="17" xfId="0" applyNumberFormat="1" applyFont="1" applyFill="1" applyBorder="1" applyAlignment="1">
      <alignment horizontal="center"/>
    </xf>
    <xf numFmtId="0" fontId="86" fillId="4" borderId="0" xfId="0" applyFont="1" applyFill="1" applyAlignment="1">
      <alignment horizontal="center" vertical="center"/>
    </xf>
    <xf numFmtId="181" fontId="0" fillId="2" borderId="0" xfId="50" applyNumberFormat="1" applyFont="1" applyFill="1"/>
    <xf numFmtId="181" fontId="0" fillId="2" borderId="0" xfId="0" applyNumberFormat="1" applyFill="1"/>
    <xf numFmtId="0" fontId="11" fillId="6" borderId="107" xfId="0" applyFont="1" applyFill="1" applyBorder="1" applyAlignment="1">
      <alignment horizontal="center" vertical="center" wrapText="1"/>
    </xf>
    <xf numFmtId="3" fontId="101" fillId="6" borderId="108" xfId="0" applyNumberFormat="1" applyFont="1" applyFill="1" applyBorder="1" applyAlignment="1">
      <alignment horizontal="center" vertical="center" wrapText="1"/>
    </xf>
    <xf numFmtId="3" fontId="101" fillId="6" borderId="39" xfId="0" applyNumberFormat="1" applyFont="1" applyFill="1" applyBorder="1" applyAlignment="1">
      <alignment horizontal="center" vertical="center" wrapText="1"/>
    </xf>
    <xf numFmtId="0" fontId="11" fillId="6" borderId="109" xfId="0" applyFont="1" applyFill="1" applyBorder="1" applyAlignment="1">
      <alignment horizontal="center" vertical="center" wrapText="1"/>
    </xf>
    <xf numFmtId="9" fontId="25" fillId="62" borderId="104" xfId="2" applyFont="1" applyFill="1" applyBorder="1" applyAlignment="1">
      <alignment horizontal="center"/>
    </xf>
    <xf numFmtId="166" fontId="12" fillId="11" borderId="0" xfId="50" applyNumberFormat="1" applyFont="1" applyFill="1"/>
    <xf numFmtId="3" fontId="25" fillId="62" borderId="104" xfId="2" applyNumberFormat="1" applyFont="1" applyFill="1" applyBorder="1" applyAlignment="1">
      <alignment horizontal="center"/>
    </xf>
    <xf numFmtId="175" fontId="25" fillId="21" borderId="104" xfId="2" applyNumberFormat="1" applyFont="1" applyFill="1" applyBorder="1" applyAlignment="1">
      <alignment horizontal="center"/>
    </xf>
    <xf numFmtId="175" fontId="25" fillId="21" borderId="0" xfId="2" applyNumberFormat="1" applyFont="1" applyFill="1" applyBorder="1" applyAlignment="1">
      <alignment horizontal="center"/>
    </xf>
    <xf numFmtId="3" fontId="25" fillId="11" borderId="104" xfId="2" applyNumberFormat="1" applyFont="1" applyFill="1" applyBorder="1" applyAlignment="1">
      <alignment horizontal="center"/>
    </xf>
    <xf numFmtId="0" fontId="2" fillId="62" borderId="0" xfId="0" applyFont="1" applyFill="1" applyAlignment="1">
      <alignment horizontal="center" vertical="center"/>
    </xf>
    <xf numFmtId="9" fontId="25" fillId="62" borderId="17" xfId="2" applyFont="1" applyFill="1" applyBorder="1" applyAlignment="1">
      <alignment horizontal="center"/>
    </xf>
    <xf numFmtId="3" fontId="25" fillId="11" borderId="17" xfId="2" applyNumberFormat="1" applyFont="1" applyFill="1" applyBorder="1" applyAlignment="1">
      <alignment horizontal="center"/>
    </xf>
    <xf numFmtId="3" fontId="25" fillId="62" borderId="17" xfId="2" applyNumberFormat="1" applyFont="1" applyFill="1" applyBorder="1" applyAlignment="1">
      <alignment horizontal="center"/>
    </xf>
    <xf numFmtId="0" fontId="36" fillId="2" borderId="19" xfId="0" applyFont="1" applyFill="1" applyBorder="1" applyAlignment="1">
      <alignment horizontal="left" vertical="center" wrapText="1"/>
    </xf>
    <xf numFmtId="3" fontId="0" fillId="2" borderId="0" xfId="0" applyNumberFormat="1" applyFill="1" applyAlignment="1">
      <alignment horizontal="center"/>
    </xf>
    <xf numFmtId="167" fontId="0" fillId="2" borderId="0" xfId="2" applyNumberFormat="1" applyFont="1" applyFill="1" applyAlignment="1">
      <alignment horizontal="center"/>
    </xf>
    <xf numFmtId="0" fontId="97" fillId="62" borderId="29" xfId="0" applyFont="1" applyFill="1" applyBorder="1" applyAlignment="1">
      <alignment horizontal="center" vertical="center" wrapText="1"/>
    </xf>
    <xf numFmtId="3" fontId="2" fillId="62" borderId="0" xfId="0" applyNumberFormat="1" applyFont="1" applyFill="1" applyAlignment="1">
      <alignment horizontal="center"/>
    </xf>
    <xf numFmtId="167" fontId="2" fillId="62" borderId="0" xfId="2" applyNumberFormat="1" applyFont="1" applyFill="1" applyAlignment="1">
      <alignment horizontal="center"/>
    </xf>
    <xf numFmtId="175" fontId="11" fillId="6" borderId="17" xfId="2" applyNumberFormat="1" applyFont="1" applyFill="1" applyBorder="1" applyAlignment="1">
      <alignment horizontal="center"/>
    </xf>
    <xf numFmtId="3" fontId="11" fillId="6" borderId="17" xfId="2" applyNumberFormat="1" applyFont="1" applyFill="1" applyBorder="1" applyAlignment="1">
      <alignment horizontal="center"/>
    </xf>
    <xf numFmtId="3" fontId="0" fillId="2" borderId="0" xfId="50" applyNumberFormat="1" applyFont="1" applyFill="1"/>
    <xf numFmtId="181" fontId="0" fillId="2" borderId="0" xfId="50" applyNumberFormat="1" applyFont="1" applyFill="1" applyAlignment="1">
      <alignment horizontal="center"/>
    </xf>
    <xf numFmtId="181" fontId="2" fillId="2" borderId="28" xfId="50" applyNumberFormat="1" applyFont="1" applyFill="1" applyBorder="1" applyAlignment="1">
      <alignment horizontal="center"/>
    </xf>
    <xf numFmtId="181" fontId="2" fillId="2" borderId="0" xfId="50" applyNumberFormat="1" applyFont="1" applyFill="1" applyBorder="1" applyAlignment="1">
      <alignment horizontal="center"/>
    </xf>
    <xf numFmtId="181" fontId="32" fillId="2" borderId="0" xfId="50" applyNumberFormat="1" applyFont="1" applyFill="1" applyAlignment="1">
      <alignment horizontal="center"/>
    </xf>
    <xf numFmtId="181" fontId="33" fillId="2" borderId="0" xfId="50" applyNumberFormat="1" applyFont="1" applyFill="1" applyAlignment="1">
      <alignment horizontal="center"/>
    </xf>
    <xf numFmtId="181" fontId="26" fillId="2" borderId="0" xfId="50" applyNumberFormat="1" applyFont="1" applyFill="1" applyBorder="1" applyAlignment="1">
      <alignment horizontal="center"/>
    </xf>
    <xf numFmtId="175" fontId="0" fillId="0" borderId="0" xfId="0" applyNumberFormat="1" applyAlignment="1">
      <alignment horizontal="center"/>
    </xf>
    <xf numFmtId="3" fontId="0" fillId="0" borderId="0" xfId="0" applyNumberFormat="1" applyAlignment="1">
      <alignment horizontal="center"/>
    </xf>
    <xf numFmtId="182" fontId="0" fillId="0" borderId="0" xfId="0" applyNumberFormat="1" applyAlignment="1">
      <alignment horizontal="center"/>
    </xf>
    <xf numFmtId="181" fontId="0" fillId="2" borderId="0" xfId="0" applyNumberFormat="1" applyFill="1" applyAlignment="1">
      <alignment horizontal="center"/>
    </xf>
    <xf numFmtId="0" fontId="0" fillId="2" borderId="0" xfId="0" applyFill="1" applyAlignment="1">
      <alignment horizontal="center" vertical="center" wrapText="1"/>
    </xf>
    <xf numFmtId="0" fontId="97" fillId="2" borderId="0" xfId="0" applyFont="1" applyFill="1" applyAlignment="1">
      <alignment horizontal="center" vertical="center" wrapText="1"/>
    </xf>
    <xf numFmtId="3" fontId="86" fillId="4" borderId="0" xfId="0" applyNumberFormat="1" applyFont="1" applyFill="1" applyAlignment="1">
      <alignment horizontal="center" vertical="center"/>
    </xf>
    <xf numFmtId="3" fontId="86" fillId="18" borderId="104" xfId="0" applyNumberFormat="1" applyFont="1" applyFill="1" applyBorder="1" applyAlignment="1">
      <alignment horizontal="center"/>
    </xf>
    <xf numFmtId="3" fontId="86" fillId="11" borderId="104" xfId="0" applyNumberFormat="1" applyFont="1" applyFill="1" applyBorder="1" applyAlignment="1">
      <alignment horizontal="center"/>
    </xf>
    <xf numFmtId="175" fontId="86" fillId="81" borderId="104" xfId="2" applyNumberFormat="1" applyFont="1" applyFill="1" applyBorder="1" applyAlignment="1">
      <alignment horizontal="center"/>
    </xf>
    <xf numFmtId="3" fontId="86" fillId="18" borderId="112" xfId="0" applyNumberFormat="1" applyFont="1" applyFill="1" applyBorder="1" applyAlignment="1">
      <alignment horizontal="center"/>
    </xf>
    <xf numFmtId="175" fontId="86" fillId="81" borderId="17" xfId="2" applyNumberFormat="1" applyFont="1" applyFill="1" applyBorder="1" applyAlignment="1">
      <alignment horizontal="center"/>
    </xf>
    <xf numFmtId="175" fontId="86" fillId="81" borderId="113" xfId="2" applyNumberFormat="1" applyFont="1" applyFill="1" applyBorder="1" applyAlignment="1">
      <alignment horizontal="center"/>
    </xf>
    <xf numFmtId="181" fontId="2" fillId="18" borderId="1" xfId="50" applyNumberFormat="1" applyFont="1" applyFill="1" applyBorder="1" applyAlignment="1">
      <alignment horizontal="center" vertical="center"/>
    </xf>
    <xf numFmtId="3" fontId="86" fillId="18" borderId="17" xfId="0" applyNumberFormat="1" applyFont="1" applyFill="1" applyBorder="1" applyAlignment="1">
      <alignment horizontal="center"/>
    </xf>
    <xf numFmtId="3" fontId="86" fillId="11" borderId="17" xfId="0" applyNumberFormat="1" applyFont="1" applyFill="1" applyBorder="1" applyAlignment="1">
      <alignment horizontal="center"/>
    </xf>
    <xf numFmtId="3" fontId="0" fillId="0" borderId="1" xfId="0" applyNumberFormat="1" applyBorder="1"/>
    <xf numFmtId="181" fontId="0" fillId="0" borderId="1" xfId="50" applyNumberFormat="1" applyFont="1" applyBorder="1"/>
    <xf numFmtId="181" fontId="2" fillId="18" borderId="1" xfId="50" applyNumberFormat="1" applyFont="1" applyFill="1" applyBorder="1"/>
    <xf numFmtId="167" fontId="2" fillId="18" borderId="1" xfId="2" applyNumberFormat="1" applyFont="1" applyFill="1" applyBorder="1"/>
    <xf numFmtId="3" fontId="19" fillId="6" borderId="17" xfId="0" applyNumberFormat="1" applyFont="1" applyFill="1" applyBorder="1" applyAlignment="1">
      <alignment horizontal="center"/>
    </xf>
    <xf numFmtId="175" fontId="19" fillId="6" borderId="17" xfId="2" applyNumberFormat="1" applyFont="1" applyFill="1" applyBorder="1" applyAlignment="1">
      <alignment horizontal="center"/>
    </xf>
    <xf numFmtId="181" fontId="32" fillId="2" borderId="0" xfId="50" applyNumberFormat="1" applyFont="1" applyFill="1"/>
    <xf numFmtId="181" fontId="86" fillId="2" borderId="28" xfId="50" applyNumberFormat="1" applyFont="1" applyFill="1" applyBorder="1" applyAlignment="1">
      <alignment horizontal="center"/>
    </xf>
    <xf numFmtId="181" fontId="32" fillId="2" borderId="0" xfId="0" applyNumberFormat="1" applyFont="1" applyFill="1"/>
    <xf numFmtId="0" fontId="32" fillId="2" borderId="0" xfId="0" applyFont="1" applyFill="1"/>
    <xf numFmtId="3" fontId="9" fillId="2" borderId="0" xfId="0" applyNumberFormat="1" applyFont="1" applyFill="1" applyAlignment="1">
      <alignment vertical="center" wrapText="1"/>
    </xf>
    <xf numFmtId="0" fontId="86" fillId="4" borderId="0" xfId="0" applyFont="1" applyFill="1" applyAlignment="1">
      <alignment horizontal="center" vertical="center" wrapText="1"/>
    </xf>
    <xf numFmtId="0" fontId="86" fillId="82" borderId="104" xfId="0" applyFont="1" applyFill="1" applyBorder="1" applyAlignment="1">
      <alignment horizontal="center"/>
    </xf>
    <xf numFmtId="3" fontId="86" fillId="82" borderId="104" xfId="0" applyNumberFormat="1" applyFont="1" applyFill="1" applyBorder="1" applyAlignment="1">
      <alignment horizontal="center"/>
    </xf>
    <xf numFmtId="175" fontId="86" fillId="68" borderId="104" xfId="2" applyNumberFormat="1" applyFont="1" applyFill="1" applyBorder="1" applyAlignment="1">
      <alignment horizontal="center"/>
    </xf>
    <xf numFmtId="0" fontId="2" fillId="82" borderId="1" xfId="0" applyFont="1" applyFill="1" applyBorder="1"/>
    <xf numFmtId="0" fontId="86" fillId="82" borderId="17" xfId="0" applyFont="1" applyFill="1" applyBorder="1" applyAlignment="1">
      <alignment horizontal="center"/>
    </xf>
    <xf numFmtId="181" fontId="2" fillId="82" borderId="1" xfId="50" applyNumberFormat="1" applyFont="1" applyFill="1" applyBorder="1"/>
    <xf numFmtId="167" fontId="2" fillId="82" borderId="1" xfId="2" applyNumberFormat="1" applyFont="1" applyFill="1" applyBorder="1"/>
    <xf numFmtId="0" fontId="19" fillId="6" borderId="17" xfId="0" applyFont="1" applyFill="1" applyBorder="1" applyAlignment="1">
      <alignment horizontal="center"/>
    </xf>
    <xf numFmtId="181" fontId="86" fillId="2" borderId="0" xfId="50" applyNumberFormat="1" applyFont="1" applyFill="1" applyBorder="1" applyAlignment="1">
      <alignment horizontal="center"/>
    </xf>
    <xf numFmtId="0" fontId="9" fillId="2" borderId="0" xfId="0" applyFont="1" applyFill="1" applyAlignment="1">
      <alignment vertical="center" wrapText="1"/>
    </xf>
    <xf numFmtId="3" fontId="2" fillId="5" borderId="104" xfId="0" applyNumberFormat="1" applyFont="1" applyFill="1" applyBorder="1" applyAlignment="1">
      <alignment horizontal="center"/>
    </xf>
    <xf numFmtId="3" fontId="2" fillId="11" borderId="104" xfId="0" applyNumberFormat="1" applyFont="1" applyFill="1" applyBorder="1" applyAlignment="1">
      <alignment horizontal="center"/>
    </xf>
    <xf numFmtId="3" fontId="2" fillId="5" borderId="118" xfId="0" applyNumberFormat="1" applyFont="1" applyFill="1" applyBorder="1" applyAlignment="1">
      <alignment horizontal="center"/>
    </xf>
    <xf numFmtId="175" fontId="2" fillId="83" borderId="104" xfId="2" applyNumberFormat="1" applyFont="1" applyFill="1" applyBorder="1" applyAlignment="1">
      <alignment horizontal="center"/>
    </xf>
    <xf numFmtId="0" fontId="2" fillId="5" borderId="1" xfId="0" applyFont="1" applyFill="1" applyBorder="1" applyAlignment="1">
      <alignment horizontal="center" vertical="center"/>
    </xf>
    <xf numFmtId="3" fontId="2" fillId="5" borderId="17" xfId="0" applyNumberFormat="1" applyFont="1" applyFill="1" applyBorder="1" applyAlignment="1">
      <alignment horizontal="center"/>
    </xf>
    <xf numFmtId="3" fontId="0" fillId="0" borderId="1" xfId="0" applyNumberFormat="1" applyBorder="1" applyAlignment="1">
      <alignment vertical="center"/>
    </xf>
    <xf numFmtId="181" fontId="0" fillId="0" borderId="1" xfId="50" applyNumberFormat="1" applyFont="1" applyBorder="1" applyAlignment="1">
      <alignment vertical="center"/>
    </xf>
    <xf numFmtId="167" fontId="0" fillId="0" borderId="1" xfId="2" applyNumberFormat="1" applyFont="1" applyBorder="1" applyAlignment="1">
      <alignment vertical="center"/>
    </xf>
    <xf numFmtId="0" fontId="2" fillId="5" borderId="1" xfId="0" applyFont="1" applyFill="1" applyBorder="1" applyAlignment="1">
      <alignment vertical="center"/>
    </xf>
    <xf numFmtId="181" fontId="2" fillId="5" borderId="1" xfId="50" applyNumberFormat="1" applyFont="1" applyFill="1" applyBorder="1" applyAlignment="1">
      <alignment vertical="center"/>
    </xf>
    <xf numFmtId="167" fontId="2" fillId="5" borderId="1" xfId="2" applyNumberFormat="1" applyFont="1" applyFill="1" applyBorder="1" applyAlignment="1">
      <alignment vertical="center"/>
    </xf>
    <xf numFmtId="3" fontId="9" fillId="6" borderId="17" xfId="0" applyNumberFormat="1" applyFont="1" applyFill="1" applyBorder="1" applyAlignment="1">
      <alignment horizontal="center"/>
    </xf>
    <xf numFmtId="175" fontId="9" fillId="6" borderId="17" xfId="2" applyNumberFormat="1" applyFont="1" applyFill="1" applyBorder="1" applyAlignment="1">
      <alignment horizontal="center"/>
    </xf>
    <xf numFmtId="181" fontId="102" fillId="2" borderId="0" xfId="50" applyNumberFormat="1" applyFont="1" applyFill="1"/>
    <xf numFmtId="181" fontId="102" fillId="2" borderId="68" xfId="50" applyNumberFormat="1" applyFont="1" applyFill="1" applyBorder="1" applyAlignment="1">
      <alignment vertical="center" wrapText="1"/>
    </xf>
    <xf numFmtId="181" fontId="102" fillId="2" borderId="69" xfId="50" applyNumberFormat="1" applyFont="1" applyFill="1" applyBorder="1" applyAlignment="1">
      <alignment vertical="center" wrapText="1"/>
    </xf>
    <xf numFmtId="181" fontId="102" fillId="2" borderId="28" xfId="50" applyNumberFormat="1" applyFont="1" applyFill="1" applyBorder="1" applyAlignment="1">
      <alignment horizontal="center"/>
    </xf>
    <xf numFmtId="181" fontId="102" fillId="2" borderId="0" xfId="50" applyNumberFormat="1" applyFont="1" applyFill="1" applyBorder="1" applyAlignment="1">
      <alignment horizontal="center"/>
    </xf>
    <xf numFmtId="3" fontId="9" fillId="2" borderId="68" xfId="0" applyNumberFormat="1" applyFont="1" applyFill="1" applyBorder="1" applyAlignment="1">
      <alignment vertical="center" wrapText="1"/>
    </xf>
    <xf numFmtId="3" fontId="9" fillId="2" borderId="69" xfId="0" applyNumberFormat="1" applyFont="1" applyFill="1" applyBorder="1" applyAlignment="1">
      <alignment vertical="center" wrapText="1"/>
    </xf>
    <xf numFmtId="167" fontId="0" fillId="2" borderId="0" xfId="2" applyNumberFormat="1" applyFont="1" applyFill="1"/>
    <xf numFmtId="3" fontId="9" fillId="2" borderId="113" xfId="0" applyNumberFormat="1" applyFont="1" applyFill="1" applyBorder="1" applyAlignment="1">
      <alignment vertical="center" wrapText="1"/>
    </xf>
    <xf numFmtId="0" fontId="0" fillId="2" borderId="0" xfId="0" applyFill="1" applyAlignment="1">
      <alignment vertical="center" wrapText="1"/>
    </xf>
    <xf numFmtId="181" fontId="0" fillId="0" borderId="0" xfId="0" applyNumberFormat="1"/>
    <xf numFmtId="0" fontId="2" fillId="4" borderId="0" xfId="0" applyFont="1" applyFill="1" applyAlignment="1">
      <alignment horizontal="center" vertical="center" wrapText="1"/>
    </xf>
    <xf numFmtId="181" fontId="103" fillId="2" borderId="0" xfId="50" applyNumberFormat="1" applyFont="1" applyFill="1"/>
    <xf numFmtId="0" fontId="103" fillId="2" borderId="0" xfId="0" applyFont="1" applyFill="1"/>
    <xf numFmtId="0" fontId="103" fillId="0" borderId="0" xfId="0" applyFont="1"/>
    <xf numFmtId="0" fontId="86" fillId="84" borderId="104" xfId="0" applyFont="1" applyFill="1" applyBorder="1" applyAlignment="1">
      <alignment horizontal="center" vertical="center"/>
    </xf>
    <xf numFmtId="3" fontId="86" fillId="11" borderId="104" xfId="0" applyNumberFormat="1" applyFont="1" applyFill="1" applyBorder="1" applyAlignment="1">
      <alignment horizontal="center" vertical="center"/>
    </xf>
    <xf numFmtId="3" fontId="86" fillId="84" borderId="104" xfId="0" applyNumberFormat="1" applyFont="1" applyFill="1" applyBorder="1" applyAlignment="1">
      <alignment horizontal="center" vertical="center"/>
    </xf>
    <xf numFmtId="4" fontId="86" fillId="68" borderId="104" xfId="2" applyNumberFormat="1" applyFont="1" applyFill="1" applyBorder="1" applyAlignment="1">
      <alignment horizontal="center" vertical="center"/>
    </xf>
    <xf numFmtId="175" fontId="86" fillId="68" borderId="104" xfId="2" applyNumberFormat="1" applyFont="1" applyFill="1" applyBorder="1" applyAlignment="1">
      <alignment horizontal="center" vertical="center"/>
    </xf>
    <xf numFmtId="181" fontId="0" fillId="2" borderId="0" xfId="50" applyNumberFormat="1" applyFont="1" applyFill="1" applyAlignment="1">
      <alignment vertical="center"/>
    </xf>
    <xf numFmtId="0" fontId="2" fillId="84" borderId="1" xfId="0" applyFont="1" applyFill="1" applyBorder="1"/>
    <xf numFmtId="0" fontId="86" fillId="84" borderId="17" xfId="0" applyFont="1" applyFill="1" applyBorder="1" applyAlignment="1">
      <alignment horizontal="center" vertical="center"/>
    </xf>
    <xf numFmtId="0" fontId="0" fillId="0" borderId="5" xfId="0" applyBorder="1" applyAlignment="1">
      <alignment horizontal="left" wrapText="1"/>
    </xf>
    <xf numFmtId="181" fontId="2" fillId="84" borderId="1" xfId="50" applyNumberFormat="1" applyFont="1" applyFill="1" applyBorder="1"/>
    <xf numFmtId="167" fontId="2" fillId="84" borderId="1" xfId="2" applyNumberFormat="1" applyFont="1" applyFill="1" applyBorder="1"/>
    <xf numFmtId="10" fontId="0" fillId="0" borderId="1" xfId="2" applyNumberFormat="1" applyFont="1" applyBorder="1"/>
    <xf numFmtId="4" fontId="19" fillId="6" borderId="17" xfId="2" applyNumberFormat="1" applyFont="1" applyFill="1" applyBorder="1" applyAlignment="1">
      <alignment horizontal="center"/>
    </xf>
    <xf numFmtId="181" fontId="2" fillId="2" borderId="28" xfId="50" applyNumberFormat="1" applyFont="1" applyFill="1" applyBorder="1" applyAlignment="1">
      <alignment horizontal="center" vertical="center"/>
    </xf>
    <xf numFmtId="181" fontId="86" fillId="2" borderId="0" xfId="50" applyNumberFormat="1" applyFont="1" applyFill="1" applyBorder="1" applyAlignment="1">
      <alignment horizontal="center" vertical="center"/>
    </xf>
    <xf numFmtId="181" fontId="9" fillId="2" borderId="0" xfId="50" applyNumberFormat="1" applyFont="1" applyFill="1" applyBorder="1" applyAlignment="1">
      <alignment horizontal="center" vertical="center" wrapText="1"/>
    </xf>
    <xf numFmtId="0" fontId="2" fillId="57" borderId="104" xfId="0" applyFont="1" applyFill="1" applyBorder="1" applyAlignment="1">
      <alignment horizontal="center"/>
    </xf>
    <xf numFmtId="3" fontId="2" fillId="57" borderId="17" xfId="0" applyNumberFormat="1" applyFont="1" applyFill="1" applyBorder="1" applyAlignment="1">
      <alignment horizontal="center"/>
    </xf>
    <xf numFmtId="183" fontId="2" fillId="9" borderId="17" xfId="50" applyNumberFormat="1" applyFont="1" applyFill="1" applyBorder="1" applyAlignment="1">
      <alignment horizontal="center"/>
    </xf>
    <xf numFmtId="183" fontId="2" fillId="9" borderId="104" xfId="50" applyNumberFormat="1" applyFont="1" applyFill="1" applyBorder="1" applyAlignment="1">
      <alignment horizontal="center"/>
    </xf>
    <xf numFmtId="177" fontId="2" fillId="11" borderId="104" xfId="0" applyNumberFormat="1" applyFont="1" applyFill="1" applyBorder="1" applyAlignment="1">
      <alignment horizontal="center"/>
    </xf>
    <xf numFmtId="3" fontId="2" fillId="57" borderId="104" xfId="0" applyNumberFormat="1" applyFont="1" applyFill="1" applyBorder="1" applyAlignment="1">
      <alignment horizontal="center"/>
    </xf>
    <xf numFmtId="184" fontId="0" fillId="2" borderId="0" xfId="50" applyNumberFormat="1" applyFont="1" applyFill="1"/>
    <xf numFmtId="0" fontId="2" fillId="85" borderId="0" xfId="0" applyFont="1" applyFill="1" applyAlignment="1">
      <alignment horizontal="center"/>
    </xf>
    <xf numFmtId="0" fontId="2" fillId="57" borderId="17" xfId="0" applyFont="1" applyFill="1" applyBorder="1" applyAlignment="1">
      <alignment horizontal="center"/>
    </xf>
    <xf numFmtId="3" fontId="2" fillId="11" borderId="17" xfId="0" applyNumberFormat="1" applyFont="1" applyFill="1" applyBorder="1" applyAlignment="1">
      <alignment horizontal="center"/>
    </xf>
    <xf numFmtId="0" fontId="0" fillId="0" borderId="0" xfId="0" applyAlignment="1">
      <alignment horizontal="left" vertical="center" wrapText="1"/>
    </xf>
    <xf numFmtId="167" fontId="0" fillId="0" borderId="0" xfId="2" applyNumberFormat="1" applyFont="1" applyAlignment="1">
      <alignment horizontal="center" vertical="center"/>
    </xf>
    <xf numFmtId="0" fontId="0" fillId="4" borderId="0" xfId="0" applyFill="1" applyAlignment="1">
      <alignment vertical="center" wrapText="1"/>
    </xf>
    <xf numFmtId="3" fontId="0" fillId="4" borderId="0" xfId="0" applyNumberFormat="1" applyFill="1" applyAlignment="1">
      <alignment horizontal="center" vertical="center"/>
    </xf>
    <xf numFmtId="167" fontId="0" fillId="4" borderId="0" xfId="2" applyNumberFormat="1" applyFont="1" applyFill="1" applyAlignment="1">
      <alignment horizontal="center" vertical="center"/>
    </xf>
    <xf numFmtId="3" fontId="2" fillId="85" borderId="0" xfId="0" applyNumberFormat="1" applyFont="1" applyFill="1" applyAlignment="1">
      <alignment horizontal="center"/>
    </xf>
    <xf numFmtId="10" fontId="2" fillId="85" borderId="0" xfId="2" applyNumberFormat="1" applyFont="1" applyFill="1" applyAlignment="1">
      <alignment horizontal="center" vertical="center"/>
    </xf>
    <xf numFmtId="183" fontId="9" fillId="6" borderId="17" xfId="50" applyNumberFormat="1" applyFont="1" applyFill="1" applyBorder="1" applyAlignment="1">
      <alignment horizontal="center"/>
    </xf>
    <xf numFmtId="167" fontId="2" fillId="9" borderId="28" xfId="2" applyNumberFormat="1" applyFont="1" applyFill="1" applyBorder="1" applyAlignment="1">
      <alignment horizontal="center"/>
    </xf>
    <xf numFmtId="3" fontId="2" fillId="2" borderId="28" xfId="0" applyNumberFormat="1" applyFont="1" applyFill="1" applyBorder="1" applyAlignment="1">
      <alignment horizontal="center"/>
    </xf>
    <xf numFmtId="0" fontId="34" fillId="19" borderId="104" xfId="0" applyFont="1" applyFill="1" applyBorder="1" applyAlignment="1">
      <alignment horizontal="center"/>
    </xf>
    <xf numFmtId="3" fontId="34" fillId="11" borderId="104" xfId="0" applyNumberFormat="1" applyFont="1" applyFill="1" applyBorder="1" applyAlignment="1">
      <alignment horizontal="center"/>
    </xf>
    <xf numFmtId="3" fontId="34" fillId="19" borderId="104" xfId="0" applyNumberFormat="1" applyFont="1" applyFill="1" applyBorder="1" applyAlignment="1">
      <alignment horizontal="center"/>
    </xf>
    <xf numFmtId="175" fontId="34" fillId="68" borderId="104" xfId="2" applyNumberFormat="1" applyFont="1" applyFill="1" applyBorder="1" applyAlignment="1">
      <alignment horizontal="center"/>
    </xf>
    <xf numFmtId="0" fontId="2" fillId="19" borderId="0" xfId="0" applyFont="1" applyFill="1" applyAlignment="1">
      <alignment horizontal="left" vertical="center"/>
    </xf>
    <xf numFmtId="0" fontId="34" fillId="19" borderId="17" xfId="0" applyFont="1" applyFill="1" applyBorder="1" applyAlignment="1">
      <alignment horizontal="center"/>
    </xf>
    <xf numFmtId="3" fontId="34" fillId="19" borderId="17" xfId="0" applyNumberFormat="1" applyFont="1" applyFill="1" applyBorder="1" applyAlignment="1">
      <alignment horizontal="center"/>
    </xf>
    <xf numFmtId="3" fontId="34" fillId="11" borderId="17" xfId="0" applyNumberFormat="1" applyFont="1" applyFill="1" applyBorder="1" applyAlignment="1">
      <alignment horizontal="center"/>
    </xf>
    <xf numFmtId="0" fontId="6" fillId="2" borderId="19" xfId="0" applyFont="1" applyFill="1" applyBorder="1" applyAlignment="1">
      <alignment horizontal="left" vertical="center"/>
    </xf>
    <xf numFmtId="181" fontId="6" fillId="2" borderId="0" xfId="50" applyNumberFormat="1" applyFont="1" applyFill="1"/>
    <xf numFmtId="167" fontId="6" fillId="2" borderId="0" xfId="2" applyNumberFormat="1" applyFont="1" applyFill="1"/>
    <xf numFmtId="0" fontId="7" fillId="19" borderId="29" xfId="0" applyFont="1" applyFill="1" applyBorder="1" applyAlignment="1">
      <alignment horizontal="left" vertical="center" wrapText="1"/>
    </xf>
    <xf numFmtId="181" fontId="7" fillId="19" borderId="0" xfId="50" applyNumberFormat="1" applyFont="1" applyFill="1"/>
    <xf numFmtId="167" fontId="7" fillId="19" borderId="0" xfId="2" applyNumberFormat="1" applyFont="1" applyFill="1"/>
    <xf numFmtId="0" fontId="100" fillId="6" borderId="17" xfId="0" applyFont="1" applyFill="1" applyBorder="1" applyAlignment="1">
      <alignment horizontal="center"/>
    </xf>
    <xf numFmtId="3" fontId="100" fillId="6" borderId="17" xfId="0" applyNumberFormat="1" applyFont="1" applyFill="1" applyBorder="1" applyAlignment="1">
      <alignment horizontal="center"/>
    </xf>
    <xf numFmtId="175" fontId="100" fillId="6" borderId="17" xfId="2" applyNumberFormat="1" applyFont="1" applyFill="1" applyBorder="1" applyAlignment="1">
      <alignment horizontal="center"/>
    </xf>
    <xf numFmtId="181" fontId="0" fillId="0" borderId="0" xfId="50" applyNumberFormat="1" applyFont="1" applyAlignment="1">
      <alignment horizontal="center" vertical="center"/>
    </xf>
    <xf numFmtId="181" fontId="0" fillId="2" borderId="0" xfId="50" applyNumberFormat="1" applyFont="1" applyFill="1" applyAlignment="1">
      <alignment horizontal="center" vertical="center"/>
    </xf>
    <xf numFmtId="0" fontId="0" fillId="0" borderId="0" xfId="0" applyAlignment="1">
      <alignment horizontal="center"/>
    </xf>
    <xf numFmtId="0" fontId="2" fillId="5" borderId="1" xfId="0" applyFont="1" applyFill="1" applyBorder="1" applyAlignment="1">
      <alignment horizontal="center" vertical="center"/>
    </xf>
    <xf numFmtId="166" fontId="26" fillId="0" borderId="0" xfId="1" applyNumberFormat="1" applyFont="1" applyAlignment="1">
      <alignment horizontal="center" vertical="center" wrapText="1"/>
    </xf>
    <xf numFmtId="166" fontId="26" fillId="11" borderId="0" xfId="1" applyNumberFormat="1" applyFont="1" applyFill="1" applyAlignment="1">
      <alignment horizontal="center" vertical="center" wrapText="1"/>
    </xf>
    <xf numFmtId="0" fontId="26" fillId="0" borderId="0" xfId="0" applyFont="1" applyAlignment="1">
      <alignment vertical="center" wrapText="1"/>
    </xf>
    <xf numFmtId="166" fontId="2" fillId="0" borderId="0" xfId="1" applyNumberFormat="1" applyFont="1" applyAlignment="1">
      <alignment horizontal="center"/>
    </xf>
    <xf numFmtId="166" fontId="2" fillId="0" borderId="0" xfId="1" applyNumberFormat="1" applyFont="1" applyFill="1" applyAlignment="1">
      <alignment horizontal="center"/>
    </xf>
    <xf numFmtId="166" fontId="2" fillId="0" borderId="0" xfId="1" applyNumberFormat="1" applyFont="1" applyFill="1"/>
    <xf numFmtId="166" fontId="2" fillId="4" borderId="0" xfId="1" applyNumberFormat="1" applyFont="1" applyFill="1" applyAlignment="1">
      <alignment horizontal="center"/>
    </xf>
    <xf numFmtId="0" fontId="18" fillId="0" borderId="124" xfId="0" applyFont="1" applyBorder="1" applyAlignment="1">
      <alignment horizontal="center" vertical="center" wrapText="1"/>
    </xf>
    <xf numFmtId="0" fontId="18" fillId="90" borderId="124" xfId="0" applyFont="1" applyFill="1" applyBorder="1" applyAlignment="1">
      <alignment horizontal="center" vertical="center" wrapText="1"/>
    </xf>
    <xf numFmtId="0" fontId="18" fillId="61" borderId="124" xfId="0" applyFont="1" applyFill="1" applyBorder="1" applyAlignment="1">
      <alignment horizontal="center" vertical="center" wrapText="1"/>
    </xf>
    <xf numFmtId="0" fontId="18" fillId="55" borderId="124" xfId="0" applyFont="1" applyFill="1" applyBorder="1" applyAlignment="1">
      <alignment horizontal="center" vertical="center" wrapText="1"/>
    </xf>
    <xf numFmtId="0" fontId="18" fillId="0" borderId="125" xfId="0" applyFont="1" applyBorder="1" applyAlignment="1">
      <alignment horizontal="center" vertical="center" wrapText="1"/>
    </xf>
    <xf numFmtId="0" fontId="18" fillId="0" borderId="0" xfId="0" applyFont="1" applyAlignment="1">
      <alignment horizontal="center" vertical="center" wrapText="1"/>
    </xf>
    <xf numFmtId="0" fontId="34" fillId="7" borderId="124" xfId="0" applyFont="1" applyFill="1" applyBorder="1" applyAlignment="1">
      <alignment horizontal="center" vertical="center"/>
    </xf>
    <xf numFmtId="0" fontId="0" fillId="0" borderId="124" xfId="0" applyNumberFormat="1" applyBorder="1" applyAlignment="1">
      <alignment horizontal="center"/>
    </xf>
    <xf numFmtId="9" fontId="0" fillId="0" borderId="124" xfId="2" applyNumberFormat="1" applyFont="1" applyBorder="1" applyAlignment="1">
      <alignment horizontal="center"/>
    </xf>
    <xf numFmtId="0" fontId="0" fillId="0" borderId="124" xfId="0" applyNumberFormat="1" applyBorder="1" applyAlignment="1">
      <alignment horizontal="center" wrapText="1"/>
    </xf>
    <xf numFmtId="9" fontId="1" fillId="0" borderId="124" xfId="2" applyNumberFormat="1" applyFont="1" applyBorder="1" applyAlignment="1">
      <alignment horizontal="center"/>
    </xf>
    <xf numFmtId="0" fontId="0" fillId="0" borderId="124" xfId="0" applyNumberFormat="1" applyFill="1"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1" fontId="34" fillId="7" borderId="124" xfId="0" applyNumberFormat="1" applyFont="1" applyFill="1" applyBorder="1" applyAlignment="1">
      <alignment horizontal="center" vertical="center"/>
    </xf>
    <xf numFmtId="9" fontId="34" fillId="7" borderId="124" xfId="0" applyNumberFormat="1" applyFont="1" applyFill="1" applyBorder="1" applyAlignment="1">
      <alignment horizontal="center" vertical="center"/>
    </xf>
    <xf numFmtId="1" fontId="34" fillId="7" borderId="124" xfId="0" applyNumberFormat="1" applyFont="1" applyFill="1" applyBorder="1" applyAlignment="1">
      <alignment horizontal="center" vertical="center" wrapText="1"/>
    </xf>
    <xf numFmtId="2" fontId="34" fillId="7" borderId="124" xfId="0" applyNumberFormat="1" applyFont="1" applyFill="1" applyBorder="1" applyAlignment="1">
      <alignment horizontal="center" vertical="center"/>
    </xf>
    <xf numFmtId="0" fontId="34" fillId="0" borderId="0" xfId="0" applyFont="1" applyAlignment="1">
      <alignment horizontal="center" vertical="center"/>
    </xf>
    <xf numFmtId="0" fontId="105" fillId="0" borderId="0" xfId="0" applyFont="1" applyAlignment="1">
      <alignment horizontal="center" vertical="center"/>
    </xf>
    <xf numFmtId="0" fontId="105" fillId="0" borderId="0" xfId="0" applyFont="1" applyAlignment="1">
      <alignment horizontal="center"/>
    </xf>
    <xf numFmtId="9" fontId="105" fillId="0" borderId="126" xfId="2" applyNumberFormat="1" applyFont="1" applyFill="1" applyBorder="1" applyAlignment="1">
      <alignment horizontal="center"/>
    </xf>
    <xf numFmtId="0" fontId="105" fillId="0" borderId="0" xfId="0" applyFont="1"/>
    <xf numFmtId="0" fontId="105" fillId="0" borderId="0" xfId="0" applyFont="1" applyAlignment="1">
      <alignment wrapText="1"/>
    </xf>
    <xf numFmtId="2" fontId="106" fillId="0" borderId="0" xfId="0" applyNumberFormat="1" applyFont="1" applyFill="1" applyBorder="1" applyAlignment="1">
      <alignment horizontal="center" vertical="center"/>
    </xf>
    <xf numFmtId="0" fontId="105" fillId="0" borderId="0" xfId="0" applyFont="1" applyFill="1"/>
    <xf numFmtId="0" fontId="105" fillId="0" borderId="0" xfId="0" applyNumberFormat="1" applyFont="1" applyAlignment="1">
      <alignment horizontal="center"/>
    </xf>
    <xf numFmtId="0" fontId="0" fillId="0" borderId="0" xfId="0" applyNumberFormat="1" applyAlignment="1">
      <alignment horizontal="center"/>
    </xf>
    <xf numFmtId="0" fontId="107" fillId="62" borderId="1" xfId="0" applyFont="1" applyFill="1" applyBorder="1" applyAlignment="1">
      <alignment horizontal="center" vertical="center"/>
    </xf>
    <xf numFmtId="0" fontId="2" fillId="62" borderId="1" xfId="0" applyFont="1" applyFill="1" applyBorder="1" applyAlignment="1">
      <alignment horizontal="center" vertical="center"/>
    </xf>
    <xf numFmtId="0" fontId="2" fillId="62" borderId="1" xfId="0" applyFont="1" applyFill="1" applyBorder="1" applyAlignment="1">
      <alignment horizontal="center" vertical="center" wrapText="1"/>
    </xf>
    <xf numFmtId="0" fontId="33" fillId="62" borderId="1" xfId="0" applyFont="1" applyFill="1" applyBorder="1" applyAlignment="1">
      <alignment horizontal="left" vertical="center" wrapText="1"/>
    </xf>
    <xf numFmtId="166" fontId="0" fillId="62" borderId="1" xfId="1" applyNumberFormat="1" applyFont="1" applyFill="1" applyBorder="1" applyAlignment="1">
      <alignment horizontal="center"/>
    </xf>
    <xf numFmtId="9" fontId="0" fillId="62" borderId="1" xfId="0" applyNumberFormat="1" applyFill="1" applyBorder="1"/>
    <xf numFmtId="166" fontId="0" fillId="62" borderId="1" xfId="1" applyNumberFormat="1" applyFont="1" applyFill="1" applyBorder="1"/>
    <xf numFmtId="3" fontId="0" fillId="62" borderId="1" xfId="0" applyNumberFormat="1" applyFill="1" applyBorder="1" applyAlignment="1">
      <alignment wrapText="1"/>
    </xf>
    <xf numFmtId="185" fontId="36" fillId="0" borderId="0" xfId="0" applyNumberFormat="1" applyFont="1"/>
    <xf numFmtId="166" fontId="18" fillId="62" borderId="1" xfId="1" applyNumberFormat="1" applyFont="1" applyFill="1" applyBorder="1" applyAlignment="1">
      <alignment horizontal="center" vertical="center"/>
    </xf>
    <xf numFmtId="9" fontId="18" fillId="62" borderId="1" xfId="0" applyNumberFormat="1" applyFont="1" applyFill="1" applyBorder="1" applyAlignment="1">
      <alignment vertical="center"/>
    </xf>
    <xf numFmtId="166" fontId="18" fillId="62" borderId="1" xfId="1" applyNumberFormat="1" applyFont="1" applyFill="1" applyBorder="1" applyAlignment="1">
      <alignment vertical="center"/>
    </xf>
    <xf numFmtId="3" fontId="18" fillId="62" borderId="1" xfId="0" applyNumberFormat="1" applyFont="1" applyFill="1" applyBorder="1" applyAlignment="1">
      <alignment vertical="center" wrapText="1"/>
    </xf>
    <xf numFmtId="166" fontId="18" fillId="62" borderId="1" xfId="1" applyNumberFormat="1" applyFont="1" applyFill="1" applyBorder="1" applyAlignment="1">
      <alignment horizontal="center"/>
    </xf>
    <xf numFmtId="9" fontId="18" fillId="62" borderId="1" xfId="0" applyNumberFormat="1" applyFont="1" applyFill="1" applyBorder="1"/>
    <xf numFmtId="166" fontId="18" fillId="62" borderId="1" xfId="1" applyNumberFormat="1" applyFont="1" applyFill="1" applyBorder="1"/>
    <xf numFmtId="3" fontId="18" fillId="62" borderId="1" xfId="0" applyNumberFormat="1" applyFont="1" applyFill="1" applyBorder="1" applyAlignment="1">
      <alignment wrapText="1"/>
    </xf>
    <xf numFmtId="0" fontId="107" fillId="18" borderId="1" xfId="0" applyFont="1" applyFill="1" applyBorder="1" applyAlignment="1">
      <alignment horizontal="center" vertical="center"/>
    </xf>
    <xf numFmtId="0" fontId="2" fillId="18" borderId="1" xfId="0" applyFont="1" applyFill="1" applyBorder="1" applyAlignment="1">
      <alignment horizontal="center" vertical="center"/>
    </xf>
    <xf numFmtId="0" fontId="2" fillId="18" borderId="1" xfId="0" applyFont="1" applyFill="1" applyBorder="1" applyAlignment="1">
      <alignment horizontal="center" vertical="center" wrapText="1"/>
    </xf>
    <xf numFmtId="0" fontId="33" fillId="18" borderId="1" xfId="0" applyFont="1" applyFill="1" applyBorder="1" applyAlignment="1">
      <alignment horizontal="left" vertical="center" wrapText="1"/>
    </xf>
    <xf numFmtId="166" fontId="18" fillId="18" borderId="1" xfId="1" applyNumberFormat="1" applyFont="1" applyFill="1" applyBorder="1" applyAlignment="1">
      <alignment horizontal="center"/>
    </xf>
    <xf numFmtId="9" fontId="18" fillId="18" borderId="1" xfId="0" applyNumberFormat="1" applyFont="1" applyFill="1" applyBorder="1" applyAlignment="1"/>
    <xf numFmtId="166" fontId="18" fillId="18" borderId="1" xfId="1" applyNumberFormat="1" applyFont="1" applyFill="1" applyBorder="1" applyAlignment="1"/>
    <xf numFmtId="3" fontId="18" fillId="18" borderId="1" xfId="0" applyNumberFormat="1" applyFont="1" applyFill="1" applyBorder="1" applyAlignment="1">
      <alignment wrapText="1"/>
    </xf>
    <xf numFmtId="166" fontId="1" fillId="18" borderId="1" xfId="1" applyNumberFormat="1" applyFont="1" applyFill="1" applyBorder="1" applyAlignment="1">
      <alignment horizontal="center"/>
    </xf>
    <xf numFmtId="9" fontId="1" fillId="18" borderId="1" xfId="0" applyNumberFormat="1" applyFont="1" applyFill="1" applyBorder="1" applyAlignment="1"/>
    <xf numFmtId="166" fontId="1" fillId="18" borderId="1" xfId="1" applyNumberFormat="1" applyFont="1" applyFill="1" applyBorder="1" applyAlignment="1"/>
    <xf numFmtId="3" fontId="1" fillId="18" borderId="1" xfId="0" applyNumberFormat="1" applyFont="1" applyFill="1" applyBorder="1" applyAlignment="1">
      <alignment wrapText="1"/>
    </xf>
    <xf numFmtId="3" fontId="0" fillId="18" borderId="1" xfId="0" applyNumberFormat="1" applyFont="1" applyFill="1" applyBorder="1" applyAlignment="1">
      <alignment wrapText="1"/>
    </xf>
    <xf numFmtId="0" fontId="107" fillId="82" borderId="1" xfId="0" applyFont="1" applyFill="1" applyBorder="1" applyAlignment="1">
      <alignment horizontal="center" vertical="center"/>
    </xf>
    <xf numFmtId="0" fontId="2" fillId="82" borderId="1" xfId="0" applyFont="1" applyFill="1" applyBorder="1" applyAlignment="1">
      <alignment horizontal="center" vertical="center"/>
    </xf>
    <xf numFmtId="0" fontId="2" fillId="82" borderId="1" xfId="0" applyFont="1" applyFill="1" applyBorder="1" applyAlignment="1">
      <alignment horizontal="center" vertical="center" wrapText="1"/>
    </xf>
    <xf numFmtId="0" fontId="33" fillId="82" borderId="1" xfId="0" applyFont="1" applyFill="1" applyBorder="1" applyAlignment="1">
      <alignment vertical="center" wrapText="1"/>
    </xf>
    <xf numFmtId="166" fontId="1" fillId="82" borderId="1" xfId="1" applyNumberFormat="1" applyFont="1" applyFill="1" applyBorder="1" applyAlignment="1">
      <alignment horizontal="center"/>
    </xf>
    <xf numFmtId="9" fontId="1" fillId="82" borderId="1" xfId="0" applyNumberFormat="1" applyFont="1" applyFill="1" applyBorder="1"/>
    <xf numFmtId="166" fontId="1" fillId="82" borderId="1" xfId="1" applyNumberFormat="1" applyFont="1" applyFill="1" applyBorder="1"/>
    <xf numFmtId="3" fontId="1" fillId="82" borderId="1" xfId="0" applyNumberFormat="1" applyFont="1" applyFill="1" applyBorder="1" applyAlignment="1">
      <alignment wrapText="1"/>
    </xf>
    <xf numFmtId="0" fontId="107"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33" fillId="5" borderId="1" xfId="0" applyFont="1" applyFill="1" applyBorder="1" applyAlignment="1">
      <alignment horizontal="left" vertical="center" wrapText="1"/>
    </xf>
    <xf numFmtId="166" fontId="0" fillId="5" borderId="1" xfId="1" applyNumberFormat="1" applyFont="1" applyFill="1" applyBorder="1" applyAlignment="1">
      <alignment horizontal="center"/>
    </xf>
    <xf numFmtId="9" fontId="0" fillId="5" borderId="1" xfId="0" applyNumberFormat="1" applyFill="1" applyBorder="1"/>
    <xf numFmtId="166" fontId="0" fillId="5" borderId="1" xfId="1" applyNumberFormat="1" applyFont="1" applyFill="1" applyBorder="1"/>
    <xf numFmtId="3" fontId="0" fillId="5" borderId="1" xfId="0" applyNumberFormat="1" applyFill="1" applyBorder="1" applyAlignment="1">
      <alignment wrapText="1"/>
    </xf>
    <xf numFmtId="0" fontId="107" fillId="84" borderId="1" xfId="0" applyFont="1" applyFill="1" applyBorder="1" applyAlignment="1">
      <alignment horizontal="center" vertical="center"/>
    </xf>
    <xf numFmtId="0" fontId="2" fillId="84" borderId="1" xfId="0" applyFont="1" applyFill="1" applyBorder="1" applyAlignment="1">
      <alignment horizontal="center" vertical="center"/>
    </xf>
    <xf numFmtId="0" fontId="2" fillId="84" borderId="1" xfId="0" applyFont="1" applyFill="1" applyBorder="1" applyAlignment="1">
      <alignment horizontal="center" vertical="center" wrapText="1"/>
    </xf>
    <xf numFmtId="0" fontId="33" fillId="84" borderId="1" xfId="0" applyFont="1" applyFill="1" applyBorder="1" applyAlignment="1">
      <alignment horizontal="left" vertical="center"/>
    </xf>
    <xf numFmtId="166" fontId="0" fillId="84" borderId="1" xfId="1" applyNumberFormat="1" applyFont="1" applyFill="1" applyBorder="1" applyAlignment="1">
      <alignment horizontal="center"/>
    </xf>
    <xf numFmtId="9" fontId="0" fillId="84" borderId="1" xfId="0" applyNumberFormat="1" applyFill="1" applyBorder="1"/>
    <xf numFmtId="166" fontId="0" fillId="84" borderId="1" xfId="1" applyNumberFormat="1" applyFont="1" applyFill="1" applyBorder="1"/>
    <xf numFmtId="3" fontId="0" fillId="84" borderId="1" xfId="0" applyNumberFormat="1" applyFill="1" applyBorder="1" applyAlignment="1">
      <alignment wrapText="1"/>
    </xf>
    <xf numFmtId="0" fontId="107" fillId="57" borderId="1" xfId="0" applyFont="1" applyFill="1" applyBorder="1" applyAlignment="1">
      <alignment horizontal="center" vertical="center"/>
    </xf>
    <xf numFmtId="0" fontId="2" fillId="57" borderId="1" xfId="0" applyFont="1" applyFill="1" applyBorder="1" applyAlignment="1">
      <alignment horizontal="center" vertical="center"/>
    </xf>
    <xf numFmtId="0" fontId="2" fillId="57" borderId="1" xfId="0" applyFont="1" applyFill="1" applyBorder="1" applyAlignment="1">
      <alignment horizontal="center" vertical="center" wrapText="1"/>
    </xf>
    <xf numFmtId="0" fontId="33" fillId="57" borderId="1" xfId="0" applyFont="1" applyFill="1" applyBorder="1" applyAlignment="1">
      <alignment horizontal="left" vertical="center"/>
    </xf>
    <xf numFmtId="166" fontId="0" fillId="57" borderId="1" xfId="1" applyNumberFormat="1" applyFont="1" applyFill="1" applyBorder="1" applyAlignment="1">
      <alignment horizontal="center"/>
    </xf>
    <xf numFmtId="9" fontId="0" fillId="57" borderId="1" xfId="0" applyNumberFormat="1" applyFill="1" applyBorder="1"/>
    <xf numFmtId="166" fontId="0" fillId="57" borderId="1" xfId="1" applyNumberFormat="1" applyFont="1" applyFill="1" applyBorder="1"/>
    <xf numFmtId="3" fontId="0" fillId="57" borderId="1" xfId="0" applyNumberFormat="1" applyFill="1" applyBorder="1" applyAlignment="1">
      <alignment wrapText="1"/>
    </xf>
    <xf numFmtId="0" fontId="107" fillId="19"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19" borderId="1" xfId="0" applyFont="1" applyFill="1" applyBorder="1" applyAlignment="1">
      <alignment horizontal="center" vertical="center" wrapText="1"/>
    </xf>
    <xf numFmtId="0" fontId="33" fillId="19" borderId="1" xfId="0" applyFont="1" applyFill="1" applyBorder="1" applyAlignment="1">
      <alignment horizontal="left" vertical="center" wrapText="1"/>
    </xf>
    <xf numFmtId="166" fontId="0" fillId="19" borderId="1" xfId="1" applyNumberFormat="1" applyFont="1" applyFill="1" applyBorder="1" applyAlignment="1">
      <alignment horizontal="center"/>
    </xf>
    <xf numFmtId="9" fontId="0" fillId="19" borderId="1" xfId="0" applyNumberFormat="1" applyFill="1" applyBorder="1"/>
    <xf numFmtId="166" fontId="0" fillId="19" borderId="1" xfId="1" applyNumberFormat="1" applyFont="1" applyFill="1" applyBorder="1"/>
    <xf numFmtId="3" fontId="0" fillId="19" borderId="1" xfId="0" applyNumberFormat="1" applyFill="1" applyBorder="1" applyAlignment="1">
      <alignment wrapText="1"/>
    </xf>
    <xf numFmtId="3" fontId="0" fillId="0" borderId="0" xfId="0" applyNumberFormat="1" applyAlignment="1">
      <alignment wrapText="1"/>
    </xf>
    <xf numFmtId="0" fontId="0" fillId="88" borderId="0" xfId="0" applyFill="1"/>
    <xf numFmtId="0" fontId="0" fillId="0" borderId="0" xfId="0" applyFill="1" applyAlignment="1">
      <alignment horizontal="center"/>
    </xf>
    <xf numFmtId="9" fontId="97" fillId="0" borderId="0" xfId="2" applyNumberFormat="1" applyFont="1" applyAlignment="1">
      <alignment horizontal="center"/>
    </xf>
    <xf numFmtId="9" fontId="97" fillId="0" borderId="0" xfId="0" applyNumberFormat="1" applyFont="1" applyAlignment="1">
      <alignment horizontal="center"/>
    </xf>
    <xf numFmtId="166" fontId="2" fillId="0" borderId="0" xfId="1" applyNumberFormat="1" applyFont="1"/>
    <xf numFmtId="3" fontId="67" fillId="7" borderId="1" xfId="0" applyNumberFormat="1" applyFont="1" applyFill="1" applyBorder="1" applyAlignment="1">
      <alignment horizontal="right" vertical="center"/>
    </xf>
    <xf numFmtId="165" fontId="58" fillId="11" borderId="0" xfId="1" applyFont="1" applyFill="1" applyAlignment="1">
      <alignment horizontal="center" vertical="center" wrapText="1"/>
    </xf>
    <xf numFmtId="3" fontId="12" fillId="0" borderId="0" xfId="0" applyNumberFormat="1" applyFont="1"/>
    <xf numFmtId="186" fontId="77" fillId="0" borderId="0" xfId="1" applyNumberFormat="1" applyFont="1"/>
    <xf numFmtId="166" fontId="26" fillId="0" borderId="0" xfId="1" applyNumberFormat="1" applyFont="1" applyAlignment="1">
      <alignment horizontal="center" vertical="center"/>
    </xf>
    <xf numFmtId="166" fontId="36" fillId="0" borderId="37" xfId="1" applyNumberFormat="1" applyFont="1" applyBorder="1" applyAlignment="1">
      <alignment vertical="center"/>
    </xf>
    <xf numFmtId="166" fontId="36" fillId="0" borderId="35" xfId="1" applyNumberFormat="1" applyFont="1" applyBorder="1" applyAlignment="1">
      <alignment vertical="center"/>
    </xf>
    <xf numFmtId="166" fontId="109" fillId="0" borderId="7" xfId="0" applyNumberFormat="1" applyFont="1" applyBorder="1" applyAlignment="1">
      <alignment horizontal="center" vertical="center"/>
    </xf>
    <xf numFmtId="9" fontId="109" fillId="0" borderId="7" xfId="0" applyNumberFormat="1" applyFont="1" applyBorder="1" applyAlignment="1">
      <alignment horizontal="center" vertical="center"/>
    </xf>
    <xf numFmtId="166" fontId="109" fillId="0" borderId="15" xfId="0" applyNumberFormat="1" applyFont="1" applyBorder="1" applyAlignment="1">
      <alignment horizontal="center" vertical="center"/>
    </xf>
    <xf numFmtId="0" fontId="0" fillId="0" borderId="0" xfId="0" applyAlignment="1">
      <alignment horizontal="center"/>
    </xf>
    <xf numFmtId="3" fontId="0" fillId="0" borderId="17" xfId="0" applyNumberFormat="1" applyBorder="1" applyAlignment="1">
      <alignment horizontal="center" vertical="center"/>
    </xf>
    <xf numFmtId="3" fontId="9" fillId="6" borderId="17" xfId="0" applyNumberFormat="1" applyFont="1" applyFill="1" applyBorder="1" applyAlignment="1">
      <alignment horizontal="center" vertical="center"/>
    </xf>
    <xf numFmtId="3" fontId="0" fillId="7" borderId="17" xfId="0" applyNumberFormat="1" applyFill="1" applyBorder="1" applyAlignment="1">
      <alignment horizontal="center" vertical="center"/>
    </xf>
    <xf numFmtId="167" fontId="0" fillId="2" borderId="0" xfId="0" applyNumberFormat="1" applyFill="1"/>
    <xf numFmtId="0" fontId="9" fillId="6" borderId="28" xfId="0" applyFont="1" applyFill="1" applyBorder="1" applyAlignment="1">
      <alignment horizontal="center" vertical="center" wrapText="1"/>
    </xf>
    <xf numFmtId="0" fontId="9" fillId="6" borderId="104" xfId="0" applyFont="1" applyFill="1" applyBorder="1" applyAlignment="1">
      <alignment horizontal="center" vertical="center" wrapText="1"/>
    </xf>
    <xf numFmtId="166" fontId="0" fillId="2" borderId="1" xfId="1" applyNumberFormat="1" applyFont="1" applyFill="1" applyBorder="1"/>
    <xf numFmtId="0" fontId="51" fillId="54" borderId="1" xfId="0" applyFont="1" applyFill="1" applyBorder="1" applyAlignment="1">
      <alignment horizontal="center" vertical="center" wrapText="1"/>
    </xf>
    <xf numFmtId="3" fontId="53" fillId="58" borderId="0" xfId="0" applyNumberFormat="1" applyFont="1" applyFill="1" applyAlignment="1">
      <alignment vertical="center" wrapText="1"/>
    </xf>
    <xf numFmtId="3" fontId="67" fillId="7" borderId="1" xfId="0" applyNumberFormat="1" applyFont="1" applyFill="1" applyBorder="1" applyAlignment="1">
      <alignment vertical="center"/>
    </xf>
    <xf numFmtId="175" fontId="65" fillId="0" borderId="103" xfId="0" applyNumberFormat="1" applyFont="1" applyFill="1" applyBorder="1" applyAlignment="1">
      <alignment vertical="center"/>
    </xf>
    <xf numFmtId="175" fontId="65" fillId="0" borderId="0" xfId="0" applyNumberFormat="1" applyFont="1" applyFill="1" applyBorder="1" applyAlignment="1">
      <alignment vertical="center"/>
    </xf>
    <xf numFmtId="3" fontId="19" fillId="64" borderId="101" xfId="0" applyNumberFormat="1" applyFont="1" applyFill="1" applyBorder="1" applyAlignment="1">
      <alignment horizontal="center" vertical="center"/>
    </xf>
    <xf numFmtId="0" fontId="19" fillId="64" borderId="90" xfId="0" applyFont="1" applyFill="1" applyBorder="1" applyAlignment="1">
      <alignment horizontal="center" vertical="center"/>
    </xf>
    <xf numFmtId="167" fontId="83" fillId="0" borderId="42" xfId="2" applyNumberFormat="1" applyFont="1" applyFill="1" applyBorder="1" applyAlignment="1">
      <alignment vertical="center"/>
    </xf>
    <xf numFmtId="167" fontId="83" fillId="0" borderId="96" xfId="2" applyNumberFormat="1" applyFont="1" applyFill="1" applyBorder="1" applyAlignment="1">
      <alignment vertical="center"/>
    </xf>
    <xf numFmtId="180" fontId="9" fillId="65" borderId="1" xfId="0" applyNumberFormat="1" applyFont="1" applyFill="1" applyBorder="1" applyAlignment="1">
      <alignment horizontal="center" vertical="center" wrapText="1"/>
    </xf>
    <xf numFmtId="0" fontId="2" fillId="12" borderId="1" xfId="0" applyFont="1" applyFill="1" applyBorder="1" applyAlignment="1">
      <alignment horizontal="center"/>
    </xf>
    <xf numFmtId="0" fontId="9" fillId="65" borderId="1" xfId="0" applyFont="1" applyFill="1" applyBorder="1" applyAlignment="1">
      <alignment horizontal="center"/>
    </xf>
    <xf numFmtId="0" fontId="36" fillId="2" borderId="0" xfId="0" applyFont="1" applyFill="1" applyAlignment="1">
      <alignment vertical="center" wrapText="1"/>
    </xf>
    <xf numFmtId="0" fontId="0" fillId="0" borderId="0" xfId="0" applyAlignment="1">
      <alignment vertical="center"/>
    </xf>
    <xf numFmtId="0" fontId="0" fillId="0" borderId="0" xfId="0" applyAlignment="1">
      <alignment horizontal="left"/>
    </xf>
    <xf numFmtId="174" fontId="9" fillId="65" borderId="1" xfId="0" applyNumberFormat="1" applyFont="1" applyFill="1" applyBorder="1" applyAlignment="1">
      <alignment horizontal="center" vertical="center" wrapText="1"/>
    </xf>
    <xf numFmtId="0" fontId="0" fillId="0" borderId="0" xfId="0" applyAlignment="1">
      <alignment wrapText="1"/>
    </xf>
    <xf numFmtId="166" fontId="0" fillId="12" borderId="1" xfId="0" applyNumberFormat="1" applyFont="1" applyFill="1" applyBorder="1" applyAlignment="1">
      <alignment horizontal="right"/>
    </xf>
    <xf numFmtId="166" fontId="0" fillId="66" borderId="1" xfId="0" applyNumberFormat="1" applyFont="1" applyFill="1" applyBorder="1" applyAlignment="1">
      <alignment horizontal="right"/>
    </xf>
    <xf numFmtId="166" fontId="9" fillId="64" borderId="1" xfId="0" applyNumberFormat="1" applyFont="1" applyFill="1" applyBorder="1" applyAlignment="1">
      <alignment horizontal="right"/>
    </xf>
    <xf numFmtId="166" fontId="10" fillId="64" borderId="1" xfId="0" applyNumberFormat="1" applyFont="1" applyFill="1" applyBorder="1" applyAlignment="1">
      <alignment horizontal="right"/>
    </xf>
    <xf numFmtId="166" fontId="9" fillId="65" borderId="1" xfId="0" applyNumberFormat="1" applyFont="1" applyFill="1" applyBorder="1" applyAlignment="1">
      <alignment horizontal="right"/>
    </xf>
    <xf numFmtId="166" fontId="0" fillId="66" borderId="5" xfId="0" applyNumberFormat="1" applyFont="1" applyFill="1" applyBorder="1" applyAlignment="1">
      <alignment horizontal="right"/>
    </xf>
    <xf numFmtId="174" fontId="9" fillId="65" borderId="62" xfId="0" applyNumberFormat="1" applyFont="1" applyFill="1" applyBorder="1" applyAlignment="1">
      <alignment horizontal="center" vertical="center" wrapText="1"/>
    </xf>
    <xf numFmtId="174" fontId="9" fillId="65" borderId="59" xfId="0" applyNumberFormat="1" applyFont="1" applyFill="1" applyBorder="1" applyAlignment="1">
      <alignment horizontal="center" vertical="center" wrapText="1"/>
    </xf>
    <xf numFmtId="174" fontId="0" fillId="12" borderId="62" xfId="0" applyNumberFormat="1" applyFont="1" applyFill="1" applyBorder="1" applyAlignment="1">
      <alignment horizontal="right"/>
    </xf>
    <xf numFmtId="180" fontId="9" fillId="65" borderId="5" xfId="0" applyNumberFormat="1" applyFont="1" applyFill="1" applyBorder="1" applyAlignment="1">
      <alignment horizontal="center" vertical="center" wrapText="1"/>
    </xf>
    <xf numFmtId="168" fontId="0" fillId="12" borderId="1" xfId="0" applyNumberFormat="1" applyFont="1" applyFill="1" applyBorder="1" applyAlignment="1">
      <alignment horizontal="right"/>
    </xf>
    <xf numFmtId="174" fontId="9" fillId="64" borderId="62" xfId="0" applyNumberFormat="1" applyFont="1" applyFill="1" applyBorder="1" applyAlignment="1">
      <alignment horizontal="right"/>
    </xf>
    <xf numFmtId="166" fontId="9" fillId="64" borderId="5" xfId="0" applyNumberFormat="1" applyFont="1" applyFill="1" applyBorder="1" applyAlignment="1">
      <alignment horizontal="right"/>
    </xf>
    <xf numFmtId="180" fontId="9" fillId="65" borderId="62" xfId="0" applyNumberFormat="1" applyFont="1" applyFill="1" applyBorder="1" applyAlignment="1">
      <alignment horizontal="center" vertical="center" wrapText="1"/>
    </xf>
    <xf numFmtId="166" fontId="0" fillId="12" borderId="62" xfId="0" applyNumberFormat="1" applyFont="1" applyFill="1" applyBorder="1" applyAlignment="1">
      <alignment horizontal="right"/>
    </xf>
    <xf numFmtId="174" fontId="0" fillId="66" borderId="92" xfId="0" applyNumberFormat="1" applyFont="1" applyFill="1" applyBorder="1" applyAlignment="1">
      <alignment horizontal="right"/>
    </xf>
    <xf numFmtId="166" fontId="9" fillId="64" borderId="62" xfId="0" applyNumberFormat="1" applyFont="1" applyFill="1" applyBorder="1" applyAlignment="1">
      <alignment horizontal="right"/>
    </xf>
    <xf numFmtId="174" fontId="9" fillId="64" borderId="92" xfId="0" applyNumberFormat="1" applyFont="1" applyFill="1" applyBorder="1" applyAlignment="1">
      <alignment horizontal="right"/>
    </xf>
    <xf numFmtId="166" fontId="9" fillId="64" borderId="61" xfId="0" applyNumberFormat="1" applyFont="1" applyFill="1" applyBorder="1" applyAlignment="1">
      <alignment horizontal="right"/>
    </xf>
    <xf numFmtId="166" fontId="9" fillId="64" borderId="60" xfId="0" applyNumberFormat="1" applyFont="1" applyFill="1" applyBorder="1" applyAlignment="1">
      <alignment horizontal="right"/>
    </xf>
    <xf numFmtId="174" fontId="9" fillId="64" borderId="61" xfId="0" applyNumberFormat="1" applyFont="1" applyFill="1" applyBorder="1" applyAlignment="1">
      <alignment horizontal="right"/>
    </xf>
    <xf numFmtId="174" fontId="9" fillId="64" borderId="91" xfId="0" applyNumberFormat="1" applyFont="1" applyFill="1" applyBorder="1" applyAlignment="1">
      <alignment horizontal="right"/>
    </xf>
    <xf numFmtId="167" fontId="65" fillId="61" borderId="128" xfId="2" applyNumberFormat="1" applyFont="1" applyFill="1" applyBorder="1" applyAlignment="1">
      <alignment horizontal="left" vertical="center"/>
    </xf>
    <xf numFmtId="167" fontId="83" fillId="91" borderId="69" xfId="2" applyNumberFormat="1" applyFont="1" applyFill="1" applyBorder="1" applyAlignment="1">
      <alignment horizontal="left" vertical="center"/>
    </xf>
    <xf numFmtId="3" fontId="89" fillId="2" borderId="0" xfId="0" applyNumberFormat="1" applyFont="1" applyFill="1" applyAlignment="1">
      <alignment vertical="center"/>
    </xf>
    <xf numFmtId="175" fontId="88" fillId="2" borderId="42" xfId="0" applyNumberFormat="1" applyFont="1" applyFill="1" applyBorder="1" applyAlignment="1">
      <alignment vertical="center"/>
    </xf>
    <xf numFmtId="0" fontId="33" fillId="0" borderId="0" xfId="0" applyFont="1" applyAlignment="1">
      <alignment horizontal="left" wrapText="1"/>
    </xf>
    <xf numFmtId="167" fontId="0" fillId="0" borderId="0" xfId="0" applyNumberFormat="1" applyAlignment="1">
      <alignment horizontal="left"/>
    </xf>
    <xf numFmtId="166" fontId="18" fillId="0" borderId="0" xfId="0" applyNumberFormat="1" applyFont="1" applyAlignment="1">
      <alignment horizontal="left"/>
    </xf>
    <xf numFmtId="0" fontId="18" fillId="0" borderId="0" xfId="0" applyFont="1" applyAlignment="1">
      <alignment horizontal="left"/>
    </xf>
    <xf numFmtId="165" fontId="18" fillId="0" borderId="0" xfId="0" applyNumberFormat="1" applyFont="1" applyAlignment="1">
      <alignment horizontal="left"/>
    </xf>
    <xf numFmtId="0" fontId="0" fillId="2" borderId="0" xfId="0" applyFill="1" applyAlignment="1">
      <alignment horizontal="left"/>
    </xf>
    <xf numFmtId="0" fontId="12" fillId="0" borderId="0" xfId="0" applyFont="1" applyAlignment="1">
      <alignment horizontal="left" vertical="center"/>
    </xf>
    <xf numFmtId="181" fontId="0" fillId="0" borderId="0" xfId="50" applyNumberFormat="1" applyFont="1" applyBorder="1" applyAlignment="1">
      <alignment horizontal="center" vertical="center"/>
    </xf>
    <xf numFmtId="10" fontId="0" fillId="0" borderId="0" xfId="2" applyNumberFormat="1" applyFont="1" applyBorder="1" applyAlignment="1">
      <alignment horizontal="center" vertical="center"/>
    </xf>
    <xf numFmtId="0" fontId="9" fillId="6" borderId="54" xfId="0" applyFont="1" applyFill="1" applyBorder="1" applyAlignment="1">
      <alignment horizontal="center" vertical="center"/>
    </xf>
    <xf numFmtId="0" fontId="9" fillId="6" borderId="55" xfId="0" applyFont="1" applyFill="1" applyBorder="1" applyAlignment="1">
      <alignment horizontal="center" vertical="center"/>
    </xf>
    <xf numFmtId="0" fontId="9" fillId="6" borderId="127" xfId="0" applyFont="1" applyFill="1" applyBorder="1" applyAlignment="1">
      <alignment horizontal="center" vertical="center"/>
    </xf>
    <xf numFmtId="181" fontId="9" fillId="6" borderId="33" xfId="50" applyNumberFormat="1" applyFont="1" applyFill="1" applyBorder="1" applyAlignment="1">
      <alignment horizontal="center" vertical="center"/>
    </xf>
    <xf numFmtId="167" fontId="9" fillId="6" borderId="33" xfId="2" applyNumberFormat="1" applyFont="1" applyFill="1" applyBorder="1" applyAlignment="1">
      <alignment horizontal="center" vertical="center"/>
    </xf>
    <xf numFmtId="0" fontId="0" fillId="2" borderId="0" xfId="0" applyFill="1" applyAlignment="1">
      <alignment wrapText="1"/>
    </xf>
    <xf numFmtId="0" fontId="2" fillId="2" borderId="0" xfId="0" applyFont="1" applyFill="1" applyAlignment="1">
      <alignment wrapText="1"/>
    </xf>
    <xf numFmtId="0" fontId="97" fillId="2" borderId="0" xfId="0" applyFont="1" applyFill="1" applyAlignment="1">
      <alignment vertical="center" wrapText="1"/>
    </xf>
    <xf numFmtId="0" fontId="9" fillId="2" borderId="0" xfId="0" applyFont="1" applyFill="1" applyAlignment="1">
      <alignment wrapText="1"/>
    </xf>
    <xf numFmtId="0" fontId="0" fillId="2" borderId="0" xfId="0" applyFill="1" applyAlignment="1">
      <alignment horizontal="center" wrapText="1"/>
    </xf>
    <xf numFmtId="0" fontId="2" fillId="84" borderId="1" xfId="0" applyFont="1" applyFill="1" applyBorder="1" applyAlignment="1">
      <alignment horizontal="center"/>
    </xf>
    <xf numFmtId="3" fontId="0" fillId="2" borderId="0" xfId="0" applyNumberFormat="1" applyFill="1" applyAlignment="1">
      <alignment horizontal="center" vertical="center"/>
    </xf>
    <xf numFmtId="1" fontId="54" fillId="20" borderId="1" xfId="0" applyNumberFormat="1" applyFont="1" applyFill="1" applyBorder="1" applyAlignment="1">
      <alignment vertical="center"/>
    </xf>
    <xf numFmtId="174" fontId="0" fillId="0" borderId="0" xfId="0" applyNumberFormat="1" applyAlignment="1">
      <alignment wrapText="1"/>
    </xf>
    <xf numFmtId="181" fontId="0" fillId="0" borderId="0" xfId="0" applyNumberFormat="1" applyAlignment="1">
      <alignment wrapText="1"/>
    </xf>
    <xf numFmtId="174" fontId="0" fillId="0" borderId="0" xfId="2" applyNumberFormat="1" applyFont="1" applyAlignment="1">
      <alignment wrapText="1"/>
    </xf>
    <xf numFmtId="174" fontId="0" fillId="0" borderId="0" xfId="1" applyNumberFormat="1" applyFont="1" applyAlignment="1">
      <alignment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65" fontId="0" fillId="0" borderId="0" xfId="0" applyNumberFormat="1" applyFont="1"/>
    <xf numFmtId="10" fontId="0" fillId="0" borderId="0" xfId="0" applyNumberFormat="1" applyFont="1"/>
    <xf numFmtId="10" fontId="0" fillId="0" borderId="0" xfId="0" applyNumberFormat="1" applyFont="1" applyBorder="1"/>
    <xf numFmtId="0" fontId="3" fillId="7" borderId="4" xfId="0" applyFont="1" applyFill="1" applyBorder="1" applyAlignment="1">
      <alignment vertical="center"/>
    </xf>
    <xf numFmtId="10" fontId="0" fillId="7" borderId="0" xfId="0" applyNumberFormat="1" applyFont="1" applyFill="1"/>
    <xf numFmtId="10" fontId="0" fillId="7" borderId="0" xfId="0" applyNumberFormat="1" applyFont="1" applyFill="1" applyBorder="1"/>
    <xf numFmtId="165" fontId="0" fillId="7" borderId="0" xfId="0" applyNumberFormat="1" applyFont="1" applyFill="1"/>
    <xf numFmtId="0" fontId="0" fillId="7" borderId="0" xfId="0" applyFont="1" applyFill="1"/>
    <xf numFmtId="0" fontId="2" fillId="7" borderId="0" xfId="0" applyFont="1" applyFill="1"/>
    <xf numFmtId="165" fontId="0" fillId="0" borderId="0" xfId="0" applyNumberFormat="1" applyFont="1" applyBorder="1"/>
    <xf numFmtId="0" fontId="0" fillId="2" borderId="0" xfId="0" applyFont="1" applyFill="1"/>
    <xf numFmtId="0" fontId="3" fillId="2" borderId="0" xfId="0" applyFont="1" applyFill="1" applyBorder="1" applyAlignment="1">
      <alignment vertical="center"/>
    </xf>
    <xf numFmtId="165" fontId="3" fillId="2" borderId="0" xfId="0" applyNumberFormat="1" applyFont="1" applyFill="1" applyBorder="1" applyAlignment="1">
      <alignment vertical="center"/>
    </xf>
    <xf numFmtId="165" fontId="2" fillId="2" borderId="0" xfId="1" applyFont="1" applyFill="1"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165" fontId="0" fillId="2" borderId="0" xfId="0" applyNumberFormat="1" applyFont="1" applyFill="1"/>
    <xf numFmtId="0" fontId="3" fillId="2" borderId="8" xfId="0" applyFont="1" applyFill="1" applyBorder="1" applyAlignment="1">
      <alignment vertical="center"/>
    </xf>
    <xf numFmtId="165" fontId="3" fillId="2" borderId="8" xfId="0" applyNumberFormat="1" applyFont="1" applyFill="1" applyBorder="1" applyAlignment="1">
      <alignment vertical="center"/>
    </xf>
    <xf numFmtId="165" fontId="2" fillId="2" borderId="8" xfId="1" applyFont="1" applyFill="1" applyBorder="1"/>
    <xf numFmtId="0" fontId="3" fillId="2" borderId="1" xfId="0" applyFont="1" applyFill="1" applyBorder="1" applyAlignment="1">
      <alignment horizontal="left" vertical="center"/>
    </xf>
    <xf numFmtId="0" fontId="3" fillId="2" borderId="9" xfId="0" applyFont="1" applyFill="1" applyBorder="1" applyAlignment="1">
      <alignment vertical="center"/>
    </xf>
    <xf numFmtId="165" fontId="3" fillId="2" borderId="9" xfId="0" applyNumberFormat="1" applyFont="1" applyFill="1" applyBorder="1" applyAlignment="1">
      <alignment vertical="center"/>
    </xf>
    <xf numFmtId="165" fontId="2" fillId="2" borderId="9" xfId="1" applyFont="1" applyFill="1" applyBorder="1"/>
    <xf numFmtId="165" fontId="0" fillId="2" borderId="0" xfId="1" applyFont="1" applyFill="1"/>
    <xf numFmtId="165" fontId="0" fillId="2" borderId="0" xfId="0" applyNumberFormat="1" applyFill="1"/>
    <xf numFmtId="4" fontId="3" fillId="2" borderId="1" xfId="0" applyNumberFormat="1" applyFont="1" applyFill="1" applyBorder="1" applyAlignment="1">
      <alignment vertical="center"/>
    </xf>
    <xf numFmtId="0" fontId="0" fillId="2" borderId="0" xfId="0" applyFont="1" applyFill="1" applyAlignment="1">
      <alignment horizontal="center"/>
    </xf>
    <xf numFmtId="0" fontId="4" fillId="2" borderId="1" xfId="0" applyFont="1" applyFill="1" applyBorder="1" applyAlignment="1">
      <alignment horizontal="left" vertical="center"/>
    </xf>
    <xf numFmtId="165" fontId="3" fillId="2" borderId="1" xfId="0" applyNumberFormat="1" applyFont="1" applyFill="1" applyBorder="1" applyAlignment="1">
      <alignment vertical="center"/>
    </xf>
    <xf numFmtId="165" fontId="2" fillId="2" borderId="3" xfId="1" applyFont="1" applyFill="1" applyBorder="1"/>
    <xf numFmtId="10" fontId="0" fillId="2" borderId="0" xfId="0" applyNumberFormat="1" applyFont="1" applyFill="1"/>
    <xf numFmtId="10" fontId="0" fillId="2" borderId="0" xfId="0" applyNumberFormat="1" applyFont="1" applyFill="1" applyBorder="1"/>
    <xf numFmtId="0" fontId="0" fillId="2" borderId="0" xfId="0" applyFill="1" applyAlignment="1">
      <alignment vertical="center"/>
    </xf>
    <xf numFmtId="10" fontId="0" fillId="2" borderId="0" xfId="2" applyNumberFormat="1" applyFont="1" applyFill="1"/>
    <xf numFmtId="165" fontId="0" fillId="2" borderId="0" xfId="0" applyNumberFormat="1" applyFont="1" applyFill="1" applyBorder="1"/>
    <xf numFmtId="165" fontId="0" fillId="0" borderId="136" xfId="0" applyNumberFormat="1" applyFont="1" applyBorder="1"/>
    <xf numFmtId="165" fontId="0" fillId="0" borderId="135" xfId="0" applyNumberFormat="1" applyFont="1" applyBorder="1"/>
    <xf numFmtId="165" fontId="0" fillId="4" borderId="135" xfId="0" applyNumberFormat="1" applyFont="1" applyFill="1" applyBorder="1"/>
    <xf numFmtId="166" fontId="0" fillId="9" borderId="1" xfId="0" applyNumberFormat="1" applyFont="1" applyFill="1" applyBorder="1" applyAlignment="1">
      <alignment horizontal="center"/>
    </xf>
    <xf numFmtId="166" fontId="0" fillId="10" borderId="1" xfId="0" applyNumberFormat="1" applyFont="1" applyFill="1" applyBorder="1" applyAlignment="1">
      <alignment horizontal="center"/>
    </xf>
    <xf numFmtId="166" fontId="0" fillId="0" borderId="0" xfId="0" applyNumberFormat="1" applyFont="1"/>
    <xf numFmtId="0" fontId="0" fillId="0" borderId="0" xfId="0" applyFont="1" applyAlignment="1">
      <alignment wrapText="1"/>
    </xf>
    <xf numFmtId="0" fontId="10" fillId="6" borderId="2" xfId="0" applyFont="1" applyFill="1" applyBorder="1" applyAlignment="1">
      <alignment horizontal="center" wrapText="1"/>
    </xf>
    <xf numFmtId="0" fontId="10" fillId="6" borderId="1" xfId="0" applyFont="1" applyFill="1" applyBorder="1" applyAlignment="1">
      <alignment horizontal="center" wrapText="1"/>
    </xf>
    <xf numFmtId="0" fontId="0" fillId="0" borderId="0" xfId="0" applyFont="1" applyAlignment="1">
      <alignment vertical="center" wrapText="1"/>
    </xf>
    <xf numFmtId="2" fontId="0" fillId="0" borderId="0" xfId="0" applyNumberFormat="1" applyAlignment="1">
      <alignment wrapText="1"/>
    </xf>
    <xf numFmtId="0" fontId="0" fillId="0" borderId="84" xfId="0" applyBorder="1" applyAlignment="1">
      <alignment horizontal="left" vertical="center"/>
    </xf>
    <xf numFmtId="0" fontId="0" fillId="0" borderId="84" xfId="0" applyBorder="1" applyAlignment="1">
      <alignment horizontal="left" vertical="center" wrapText="1"/>
    </xf>
    <xf numFmtId="0" fontId="96" fillId="0" borderId="84" xfId="0" applyFont="1" applyBorder="1" applyAlignment="1">
      <alignment horizontal="left" vertical="center"/>
    </xf>
    <xf numFmtId="0" fontId="9" fillId="6" borderId="1" xfId="0" applyFont="1" applyFill="1" applyBorder="1" applyAlignment="1">
      <alignment horizontal="center" vertical="center"/>
    </xf>
    <xf numFmtId="181" fontId="2" fillId="18" borderId="1" xfId="50" applyNumberFormat="1" applyFont="1" applyFill="1" applyBorder="1" applyAlignment="1">
      <alignment horizontal="center" vertical="center"/>
    </xf>
    <xf numFmtId="0" fontId="2" fillId="5" borderId="1" xfId="0" applyFont="1" applyFill="1" applyBorder="1" applyAlignment="1">
      <alignment horizontal="center" vertical="center"/>
    </xf>
    <xf numFmtId="0" fontId="2" fillId="84" borderId="1" xfId="0" applyFont="1" applyFill="1" applyBorder="1" applyAlignment="1">
      <alignment horizontal="center"/>
    </xf>
    <xf numFmtId="0" fontId="2" fillId="19" borderId="84" xfId="0" applyFont="1" applyFill="1" applyBorder="1" applyAlignment="1">
      <alignment horizontal="left" vertical="center"/>
    </xf>
    <xf numFmtId="0" fontId="2" fillId="19" borderId="0" xfId="0" applyFont="1" applyFill="1" applyBorder="1" applyAlignment="1">
      <alignment horizontal="left" vertical="center"/>
    </xf>
    <xf numFmtId="0" fontId="6" fillId="2" borderId="137" xfId="0" applyFont="1" applyFill="1" applyBorder="1" applyAlignment="1">
      <alignment horizontal="left" vertical="center"/>
    </xf>
    <xf numFmtId="181" fontId="6" fillId="2" borderId="0" xfId="50" applyNumberFormat="1" applyFont="1" applyFill="1" applyBorder="1"/>
    <xf numFmtId="0" fontId="7" fillId="19" borderId="127" xfId="0" applyFont="1" applyFill="1" applyBorder="1" applyAlignment="1">
      <alignment horizontal="left" vertical="center" wrapText="1"/>
    </xf>
    <xf numFmtId="181" fontId="7" fillId="19" borderId="33" xfId="50" applyNumberFormat="1" applyFont="1" applyFill="1" applyBorder="1"/>
    <xf numFmtId="167" fontId="7" fillId="19" borderId="33" xfId="2" applyNumberFormat="1" applyFont="1" applyFill="1" applyBorder="1"/>
    <xf numFmtId="0" fontId="2" fillId="85" borderId="84" xfId="0" applyFont="1" applyFill="1" applyBorder="1" applyAlignment="1">
      <alignment horizontal="center"/>
    </xf>
    <xf numFmtId="0" fontId="2" fillId="85" borderId="0" xfId="0" applyFont="1" applyFill="1" applyBorder="1" applyAlignment="1">
      <alignment horizontal="center"/>
    </xf>
    <xf numFmtId="0" fontId="0" fillId="2" borderId="84" xfId="0" applyFill="1" applyBorder="1" applyAlignment="1">
      <alignment vertical="center" wrapText="1"/>
    </xf>
    <xf numFmtId="3" fontId="0" fillId="2" borderId="0" xfId="0" applyNumberFormat="1" applyFill="1" applyBorder="1" applyAlignment="1">
      <alignment horizontal="center" vertical="center"/>
    </xf>
    <xf numFmtId="167" fontId="0" fillId="2" borderId="0" xfId="2" applyNumberFormat="1" applyFont="1" applyFill="1" applyBorder="1" applyAlignment="1">
      <alignment horizontal="center" vertical="center"/>
    </xf>
    <xf numFmtId="0" fontId="0" fillId="4" borderId="84" xfId="0" applyFill="1" applyBorder="1" applyAlignment="1">
      <alignment vertical="center" wrapText="1"/>
    </xf>
    <xf numFmtId="3" fontId="0" fillId="4" borderId="0" xfId="0" applyNumberFormat="1" applyFill="1" applyBorder="1" applyAlignment="1">
      <alignment horizontal="center" vertical="center"/>
    </xf>
    <xf numFmtId="167" fontId="0" fillId="4" borderId="0" xfId="2" applyNumberFormat="1" applyFont="1" applyFill="1" applyBorder="1" applyAlignment="1">
      <alignment horizontal="center" vertical="center"/>
    </xf>
    <xf numFmtId="0" fontId="2" fillId="85" borderId="127" xfId="0" applyFont="1" applyFill="1" applyBorder="1" applyAlignment="1">
      <alignment horizontal="center"/>
    </xf>
    <xf numFmtId="3" fontId="2" fillId="85" borderId="33" xfId="0" applyNumberFormat="1" applyFont="1" applyFill="1" applyBorder="1" applyAlignment="1">
      <alignment horizontal="center"/>
    </xf>
    <xf numFmtId="10" fontId="2" fillId="85" borderId="33" xfId="2" applyNumberFormat="1" applyFont="1" applyFill="1" applyBorder="1" applyAlignment="1">
      <alignment horizontal="center" vertical="center"/>
    </xf>
    <xf numFmtId="0" fontId="0" fillId="0" borderId="55" xfId="0" applyBorder="1" applyAlignment="1">
      <alignment vertical="center"/>
    </xf>
    <xf numFmtId="0" fontId="2" fillId="84" borderId="62" xfId="0" applyFont="1" applyFill="1" applyBorder="1"/>
    <xf numFmtId="0" fontId="0" fillId="0" borderId="0" xfId="0" applyBorder="1" applyAlignment="1">
      <alignment vertical="center"/>
    </xf>
    <xf numFmtId="0" fontId="0" fillId="0" borderId="82" xfId="0" applyBorder="1" applyAlignment="1">
      <alignment horizontal="left" wrapText="1"/>
    </xf>
    <xf numFmtId="181" fontId="0" fillId="0" borderId="82" xfId="50" applyNumberFormat="1" applyFont="1" applyBorder="1" applyAlignment="1">
      <alignment horizontal="left" wrapText="1"/>
    </xf>
    <xf numFmtId="181" fontId="0" fillId="0" borderId="0" xfId="50" applyNumberFormat="1" applyFont="1" applyBorder="1"/>
    <xf numFmtId="0" fontId="2" fillId="84" borderId="61" xfId="0" applyFont="1" applyFill="1" applyBorder="1"/>
    <xf numFmtId="181" fontId="2" fillId="84" borderId="60" xfId="50" applyNumberFormat="1" applyFont="1" applyFill="1" applyBorder="1"/>
    <xf numFmtId="167" fontId="2" fillId="84" borderId="60" xfId="2" applyNumberFormat="1" applyFont="1" applyFill="1" applyBorder="1"/>
    <xf numFmtId="0" fontId="2" fillId="5" borderId="62" xfId="0" applyFont="1" applyFill="1" applyBorder="1" applyAlignment="1">
      <alignment horizontal="center" vertical="center"/>
    </xf>
    <xf numFmtId="3" fontId="0" fillId="0" borderId="62" xfId="0" applyNumberFormat="1" applyBorder="1" applyAlignment="1">
      <alignment vertical="center"/>
    </xf>
    <xf numFmtId="0" fontId="2" fillId="5" borderId="61" xfId="0" applyFont="1" applyFill="1" applyBorder="1" applyAlignment="1">
      <alignment vertical="center"/>
    </xf>
    <xf numFmtId="181" fontId="2" fillId="5" borderId="60" xfId="50" applyNumberFormat="1" applyFont="1" applyFill="1" applyBorder="1" applyAlignment="1">
      <alignment vertical="center"/>
    </xf>
    <xf numFmtId="167" fontId="2" fillId="5" borderId="60" xfId="2" applyNumberFormat="1" applyFont="1" applyFill="1" applyBorder="1" applyAlignment="1">
      <alignment vertical="center"/>
    </xf>
    <xf numFmtId="0" fontId="2" fillId="82" borderId="62" xfId="0" applyFont="1" applyFill="1" applyBorder="1"/>
    <xf numFmtId="0" fontId="0" fillId="0" borderId="62" xfId="0" applyBorder="1"/>
    <xf numFmtId="0" fontId="2" fillId="82" borderId="61" xfId="0" applyFont="1" applyFill="1" applyBorder="1"/>
    <xf numFmtId="181" fontId="2" fillId="82" borderId="60" xfId="50" applyNumberFormat="1" applyFont="1" applyFill="1" applyBorder="1"/>
    <xf numFmtId="167" fontId="2" fillId="82" borderId="60" xfId="2" applyNumberFormat="1" applyFont="1" applyFill="1" applyBorder="1"/>
    <xf numFmtId="181" fontId="2" fillId="18" borderId="62" xfId="50" applyNumberFormat="1" applyFont="1" applyFill="1" applyBorder="1" applyAlignment="1">
      <alignment horizontal="center" vertical="center"/>
    </xf>
    <xf numFmtId="3" fontId="0" fillId="0" borderId="62" xfId="0" applyNumberFormat="1" applyBorder="1"/>
    <xf numFmtId="181" fontId="2" fillId="18" borderId="61" xfId="50" applyNumberFormat="1" applyFont="1" applyFill="1" applyBorder="1" applyAlignment="1">
      <alignment horizontal="left" vertical="center"/>
    </xf>
    <xf numFmtId="0" fontId="2" fillId="62" borderId="84" xfId="0" applyFont="1" applyFill="1" applyBorder="1" applyAlignment="1">
      <alignment horizontal="center" vertical="center"/>
    </xf>
    <xf numFmtId="0" fontId="2" fillId="62" borderId="0" xfId="0" applyFont="1" applyFill="1" applyBorder="1" applyAlignment="1">
      <alignment horizontal="center" vertical="center"/>
    </xf>
    <xf numFmtId="0" fontId="36" fillId="2" borderId="137" xfId="0" applyFont="1" applyFill="1" applyBorder="1" applyAlignment="1">
      <alignment horizontal="left" vertical="center" wrapText="1"/>
    </xf>
    <xf numFmtId="3" fontId="0" fillId="2" borderId="0" xfId="0" applyNumberFormat="1" applyFill="1" applyBorder="1" applyAlignment="1">
      <alignment horizontal="center"/>
    </xf>
    <xf numFmtId="167" fontId="0" fillId="2" borderId="0" xfId="2" applyNumberFormat="1" applyFont="1" applyFill="1" applyBorder="1" applyAlignment="1">
      <alignment horizontal="center"/>
    </xf>
    <xf numFmtId="175" fontId="36" fillId="2" borderId="137" xfId="0" applyNumberFormat="1" applyFont="1" applyFill="1" applyBorder="1" applyAlignment="1">
      <alignment horizontal="left" vertical="center" wrapText="1"/>
    </xf>
    <xf numFmtId="181" fontId="97" fillId="62" borderId="127" xfId="50" applyNumberFormat="1" applyFont="1" applyFill="1" applyBorder="1" applyAlignment="1">
      <alignment horizontal="center" vertical="center" wrapText="1"/>
    </xf>
    <xf numFmtId="181" fontId="2" fillId="62" borderId="33" xfId="50" applyNumberFormat="1" applyFont="1" applyFill="1" applyBorder="1" applyAlignment="1">
      <alignment horizontal="center"/>
    </xf>
    <xf numFmtId="0" fontId="23" fillId="6" borderId="2" xfId="0" applyFont="1" applyFill="1" applyBorder="1" applyAlignment="1">
      <alignment horizontal="left" vertical="center" wrapText="1"/>
    </xf>
    <xf numFmtId="0" fontId="23" fillId="6" borderId="16" xfId="0" applyFont="1" applyFill="1" applyBorder="1" applyAlignment="1">
      <alignment horizontal="left" vertical="center" wrapText="1"/>
    </xf>
    <xf numFmtId="0" fontId="108" fillId="6" borderId="16" xfId="0" applyFont="1" applyFill="1" applyBorder="1" applyAlignment="1">
      <alignment horizontal="left" vertical="center" wrapText="1"/>
    </xf>
    <xf numFmtId="0" fontId="32" fillId="0" borderId="0" xfId="0" applyFont="1" applyAlignment="1">
      <alignment horizontal="center" vertical="center" wrapText="1"/>
    </xf>
    <xf numFmtId="0" fontId="19" fillId="6" borderId="0" xfId="0" applyFont="1" applyFill="1" applyBorder="1" applyAlignment="1">
      <alignment horizontal="center" vertical="center" wrapText="1"/>
    </xf>
    <xf numFmtId="0" fontId="32" fillId="0" borderId="0" xfId="0" applyFont="1" applyAlignment="1">
      <alignment wrapText="1"/>
    </xf>
    <xf numFmtId="167" fontId="32" fillId="0" borderId="0" xfId="2" applyNumberFormat="1" applyFont="1" applyAlignment="1">
      <alignment wrapText="1"/>
    </xf>
    <xf numFmtId="0" fontId="32" fillId="11" borderId="0" xfId="0" applyFont="1" applyFill="1" applyAlignment="1">
      <alignment wrapText="1"/>
    </xf>
    <xf numFmtId="0" fontId="3" fillId="11" borderId="1" xfId="0" applyFont="1" applyFill="1" applyBorder="1" applyAlignment="1">
      <alignment vertical="center"/>
    </xf>
    <xf numFmtId="165" fontId="0" fillId="11" borderId="1" xfId="1" applyFont="1" applyFill="1" applyBorder="1"/>
    <xf numFmtId="165" fontId="2" fillId="11" borderId="1" xfId="1" applyFont="1" applyFill="1" applyBorder="1"/>
    <xf numFmtId="165" fontId="0" fillId="11" borderId="0" xfId="0" applyNumberFormat="1" applyFont="1" applyFill="1"/>
    <xf numFmtId="0" fontId="0" fillId="11" borderId="0" xfId="0" applyFont="1" applyFill="1"/>
    <xf numFmtId="0" fontId="0" fillId="11" borderId="0" xfId="0" applyFill="1"/>
    <xf numFmtId="43" fontId="0" fillId="2" borderId="0" xfId="0" applyNumberFormat="1" applyFont="1" applyFill="1"/>
    <xf numFmtId="166" fontId="53" fillId="11" borderId="1" xfId="1" applyNumberFormat="1" applyFont="1" applyFill="1" applyBorder="1"/>
    <xf numFmtId="0" fontId="9" fillId="6" borderId="1" xfId="0" applyFont="1" applyFill="1" applyBorder="1" applyAlignment="1">
      <alignment horizontal="center" vertical="center" wrapText="1"/>
    </xf>
    <xf numFmtId="167" fontId="77" fillId="0" borderId="0" xfId="2" applyNumberFormat="1" applyFont="1"/>
    <xf numFmtId="165" fontId="0" fillId="2" borderId="0" xfId="1" applyFont="1" applyFill="1" applyBorder="1"/>
    <xf numFmtId="165" fontId="0" fillId="0" borderId="0" xfId="1" applyFont="1" applyAlignment="1">
      <alignment wrapText="1"/>
    </xf>
    <xf numFmtId="1" fontId="0" fillId="0" borderId="0" xfId="1" applyNumberFormat="1" applyFont="1" applyAlignment="1">
      <alignment wrapText="1"/>
    </xf>
    <xf numFmtId="165" fontId="58" fillId="57" borderId="0" xfId="1" applyFont="1" applyFill="1"/>
    <xf numFmtId="0" fontId="58" fillId="57" borderId="0" xfId="0" applyFont="1" applyFill="1"/>
    <xf numFmtId="3" fontId="52" fillId="0" borderId="0" xfId="0" applyNumberFormat="1" applyFont="1" applyAlignment="1">
      <alignment vertical="center"/>
    </xf>
    <xf numFmtId="43" fontId="0" fillId="2" borderId="1" xfId="59" applyFont="1" applyFill="1" applyBorder="1"/>
    <xf numFmtId="165" fontId="58" fillId="2" borderId="0" xfId="1" applyFont="1" applyFill="1"/>
    <xf numFmtId="0" fontId="6" fillId="0" borderId="0" xfId="0" applyFont="1" applyAlignment="1">
      <alignment vertical="center"/>
    </xf>
    <xf numFmtId="0" fontId="6" fillId="0" borderId="0" xfId="0" applyFont="1" applyAlignment="1">
      <alignment vertical="center" wrapText="1"/>
    </xf>
    <xf numFmtId="3" fontId="67" fillId="0" borderId="0" xfId="0" applyNumberFormat="1" applyFont="1" applyAlignment="1">
      <alignment vertical="center"/>
    </xf>
    <xf numFmtId="0" fontId="102" fillId="0" borderId="0" xfId="0" applyFont="1"/>
    <xf numFmtId="0" fontId="6" fillId="0" borderId="0" xfId="0" applyFont="1"/>
    <xf numFmtId="0" fontId="118" fillId="0" borderId="0" xfId="0" applyFont="1"/>
    <xf numFmtId="0" fontId="67" fillId="0" borderId="0" xfId="0" applyFont="1" applyAlignment="1">
      <alignment vertical="center"/>
    </xf>
    <xf numFmtId="167" fontId="2" fillId="18" borderId="60" xfId="2" applyNumberFormat="1" applyFont="1" applyFill="1" applyBorder="1" applyAlignment="1">
      <alignment horizontal="center" vertical="center"/>
    </xf>
    <xf numFmtId="167" fontId="2" fillId="62" borderId="33" xfId="2" applyNumberFormat="1" applyFont="1" applyFill="1" applyBorder="1" applyAlignment="1">
      <alignment horizontal="center"/>
    </xf>
    <xf numFmtId="181" fontId="2" fillId="18" borderId="60" xfId="1" applyNumberFormat="1" applyFont="1" applyFill="1" applyBorder="1" applyAlignment="1">
      <alignment horizontal="center" vertical="center"/>
    </xf>
    <xf numFmtId="0" fontId="0" fillId="2" borderId="132" xfId="0" applyFill="1" applyBorder="1" applyAlignment="1">
      <alignment horizontal="left" vertical="center" wrapText="1"/>
    </xf>
    <xf numFmtId="0" fontId="0" fillId="2" borderId="133" xfId="0" applyFill="1" applyBorder="1" applyAlignment="1">
      <alignment horizontal="left" vertical="center" wrapText="1"/>
    </xf>
    <xf numFmtId="0" fontId="0" fillId="2" borderId="134" xfId="0" applyFill="1" applyBorder="1" applyAlignment="1">
      <alignment horizontal="left" vertical="center" wrapText="1"/>
    </xf>
    <xf numFmtId="0" fontId="0" fillId="2" borderId="131" xfId="0" applyFill="1" applyBorder="1" applyAlignment="1">
      <alignment horizontal="left" vertical="center" wrapText="1"/>
    </xf>
    <xf numFmtId="0" fontId="9" fillId="6" borderId="17" xfId="0" applyFont="1" applyFill="1" applyBorder="1" applyAlignment="1">
      <alignment horizontal="center"/>
    </xf>
    <xf numFmtId="42" fontId="5" fillId="2" borderId="5" xfId="2" applyNumberFormat="1" applyFont="1" applyFill="1" applyBorder="1" applyAlignment="1">
      <alignment horizontal="center" vertical="center"/>
    </xf>
    <xf numFmtId="42" fontId="5" fillId="2" borderId="6" xfId="2" applyNumberFormat="1" applyFont="1" applyFill="1" applyBorder="1" applyAlignment="1">
      <alignment horizontal="center" vertical="center"/>
    </xf>
    <xf numFmtId="42" fontId="5" fillId="2" borderId="2" xfId="2" applyNumberFormat="1" applyFont="1" applyFill="1" applyBorder="1" applyAlignment="1">
      <alignment horizontal="center" vertical="center"/>
    </xf>
    <xf numFmtId="42" fontId="2" fillId="2" borderId="5" xfId="2" applyNumberFormat="1" applyFont="1" applyFill="1" applyBorder="1" applyAlignment="1">
      <alignment horizontal="center" vertical="center"/>
    </xf>
    <xf numFmtId="42" fontId="2" fillId="2" borderId="6" xfId="2" applyNumberFormat="1" applyFont="1" applyFill="1" applyBorder="1" applyAlignment="1">
      <alignment horizontal="center" vertical="center"/>
    </xf>
    <xf numFmtId="42" fontId="2" fillId="2" borderId="2" xfId="2"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0" xfId="0" applyFont="1" applyFill="1" applyBorder="1" applyAlignment="1">
      <alignment horizontal="center" vertical="center"/>
    </xf>
    <xf numFmtId="42" fontId="5" fillId="2" borderId="1" xfId="2" applyNumberFormat="1" applyFont="1" applyFill="1" applyBorder="1" applyAlignment="1">
      <alignment horizontal="center" vertical="center"/>
    </xf>
    <xf numFmtId="42" fontId="5" fillId="2" borderId="11" xfId="2" applyNumberFormat="1" applyFont="1" applyFill="1" applyBorder="1" applyAlignment="1">
      <alignment horizontal="center" vertical="center"/>
    </xf>
    <xf numFmtId="42" fontId="5" fillId="2" borderId="9" xfId="2" applyNumberFormat="1" applyFont="1" applyFill="1" applyBorder="1" applyAlignment="1">
      <alignment horizontal="center" vertical="center"/>
    </xf>
    <xf numFmtId="42" fontId="5" fillId="2" borderId="1" xfId="2" applyNumberFormat="1" applyFont="1" applyFill="1" applyBorder="1" applyAlignment="1">
      <alignment horizontal="right" vertical="center"/>
    </xf>
    <xf numFmtId="42" fontId="5" fillId="0" borderId="5" xfId="2" applyNumberFormat="1" applyFont="1" applyBorder="1" applyAlignment="1">
      <alignment horizontal="center" vertical="center"/>
    </xf>
    <xf numFmtId="42" fontId="5" fillId="0" borderId="6" xfId="2" applyNumberFormat="1" applyFont="1" applyBorder="1" applyAlignment="1">
      <alignment horizontal="center" vertical="center"/>
    </xf>
    <xf numFmtId="42" fontId="5" fillId="0" borderId="2" xfId="2"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4" borderId="0" xfId="0" applyFont="1" applyFill="1" applyAlignment="1">
      <alignment horizontal="left"/>
    </xf>
    <xf numFmtId="42" fontId="5" fillId="0" borderId="12" xfId="2" applyNumberFormat="1" applyFont="1" applyBorder="1" applyAlignment="1">
      <alignment horizontal="center" vertical="center"/>
    </xf>
    <xf numFmtId="42" fontId="5" fillId="0" borderId="13" xfId="2" applyNumberFormat="1" applyFont="1" applyBorder="1" applyAlignment="1">
      <alignment horizontal="center" vertical="center"/>
    </xf>
    <xf numFmtId="42" fontId="5" fillId="0" borderId="14" xfId="2" applyNumberFormat="1" applyFont="1" applyBorder="1" applyAlignment="1">
      <alignment horizontal="center" vertical="center"/>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9" fillId="6" borderId="1" xfId="0" applyFont="1" applyFill="1" applyBorder="1" applyAlignment="1">
      <alignment horizontal="center" vertical="center" wrapText="1"/>
    </xf>
    <xf numFmtId="0" fontId="9" fillId="6" borderId="25"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 xfId="0" applyFont="1" applyFill="1" applyBorder="1" applyAlignment="1">
      <alignment horizontal="center" vertical="center" wrapText="1"/>
    </xf>
    <xf numFmtId="165" fontId="9" fillId="6" borderId="1" xfId="1" applyFont="1" applyFill="1" applyBorder="1" applyAlignment="1">
      <alignment horizontal="center" vertical="center" wrapText="1"/>
    </xf>
    <xf numFmtId="0" fontId="5" fillId="0" borderId="9" xfId="0" applyFont="1" applyBorder="1" applyAlignment="1">
      <alignment horizontal="center" vertical="center"/>
    </xf>
    <xf numFmtId="0" fontId="17" fillId="6" borderId="0" xfId="0" applyFont="1" applyFill="1" applyAlignment="1">
      <alignment horizontal="center"/>
    </xf>
    <xf numFmtId="0" fontId="9" fillId="6" borderId="0" xfId="0" applyFont="1" applyFill="1" applyAlignment="1">
      <alignment horizontal="center"/>
    </xf>
    <xf numFmtId="0" fontId="51" fillId="54" borderId="5" xfId="0" applyFont="1" applyFill="1" applyBorder="1" applyAlignment="1">
      <alignment horizontal="center" vertical="center"/>
    </xf>
    <xf numFmtId="0" fontId="51" fillId="54" borderId="2" xfId="0" applyFont="1" applyFill="1" applyBorder="1" applyAlignment="1">
      <alignment horizontal="center" vertical="center"/>
    </xf>
    <xf numFmtId="0" fontId="54" fillId="7" borderId="0" xfId="0" applyFont="1" applyFill="1" applyAlignment="1">
      <alignment horizontal="center" vertical="center"/>
    </xf>
    <xf numFmtId="0" fontId="54" fillId="7" borderId="84" xfId="0" applyFont="1" applyFill="1" applyBorder="1" applyAlignment="1">
      <alignment horizontal="center" vertical="center"/>
    </xf>
    <xf numFmtId="0" fontId="54" fillId="7" borderId="83" xfId="0" applyFont="1" applyFill="1" applyBorder="1" applyAlignment="1">
      <alignment horizontal="center" vertical="center"/>
    </xf>
    <xf numFmtId="0" fontId="54" fillId="7" borderId="5" xfId="0" applyFont="1" applyFill="1" applyBorder="1" applyAlignment="1">
      <alignment horizontal="center" vertical="center"/>
    </xf>
    <xf numFmtId="0" fontId="54" fillId="7" borderId="6" xfId="0" applyFont="1" applyFill="1" applyBorder="1" applyAlignment="1">
      <alignment horizontal="center" vertical="center"/>
    </xf>
    <xf numFmtId="0" fontId="54" fillId="7" borderId="2" xfId="0" applyFont="1" applyFill="1" applyBorder="1" applyAlignment="1">
      <alignment horizontal="center" vertical="center"/>
    </xf>
    <xf numFmtId="0" fontId="54" fillId="7" borderId="7" xfId="0" applyFont="1" applyFill="1" applyBorder="1" applyAlignment="1">
      <alignment horizontal="center" vertical="center" wrapText="1"/>
    </xf>
    <xf numFmtId="0" fontId="54" fillId="7" borderId="4" xfId="0" applyFont="1" applyFill="1" applyBorder="1" applyAlignment="1">
      <alignment horizontal="center" vertical="center" wrapText="1"/>
    </xf>
    <xf numFmtId="0" fontId="54" fillId="7" borderId="3" xfId="0" applyFont="1" applyFill="1" applyBorder="1" applyAlignment="1">
      <alignment horizontal="center" vertical="center" wrapText="1"/>
    </xf>
    <xf numFmtId="0" fontId="54" fillId="57" borderId="1" xfId="0" applyFont="1" applyFill="1" applyBorder="1" applyAlignment="1">
      <alignment horizontal="center" vertical="center"/>
    </xf>
    <xf numFmtId="0" fontId="54" fillId="55" borderId="7" xfId="0" applyFont="1" applyFill="1" applyBorder="1" applyAlignment="1">
      <alignment horizontal="center" vertical="center" wrapText="1"/>
    </xf>
    <xf numFmtId="0" fontId="54" fillId="55" borderId="3" xfId="0" applyFont="1" applyFill="1" applyBorder="1" applyAlignment="1">
      <alignment horizontal="center" vertical="center" wrapText="1"/>
    </xf>
    <xf numFmtId="0" fontId="50" fillId="2" borderId="0" xfId="0" applyFont="1" applyFill="1" applyAlignment="1">
      <alignment horizontal="center" vertical="center" wrapText="1"/>
    </xf>
    <xf numFmtId="14" fontId="58" fillId="2" borderId="0" xfId="0" applyNumberFormat="1" applyFont="1" applyFill="1" applyAlignment="1">
      <alignment horizontal="center"/>
    </xf>
    <xf numFmtId="0" fontId="54" fillId="7" borderId="81" xfId="0" applyFont="1" applyFill="1" applyBorder="1" applyAlignment="1">
      <alignment horizontal="center" vertical="center"/>
    </xf>
    <xf numFmtId="0" fontId="54" fillId="7" borderId="4" xfId="0" applyFont="1" applyFill="1" applyBorder="1" applyAlignment="1">
      <alignment horizontal="center" vertical="center"/>
    </xf>
    <xf numFmtId="0" fontId="54" fillId="7" borderId="3" xfId="0" applyFont="1" applyFill="1" applyBorder="1" applyAlignment="1">
      <alignment horizontal="center" vertical="center"/>
    </xf>
    <xf numFmtId="0" fontId="54" fillId="4" borderId="7" xfId="0" applyFont="1" applyFill="1" applyBorder="1" applyAlignment="1">
      <alignment horizontal="center" vertical="center" wrapText="1"/>
    </xf>
    <xf numFmtId="0" fontId="54" fillId="4" borderId="4" xfId="0" applyFont="1" applyFill="1" applyBorder="1" applyAlignment="1">
      <alignment horizontal="center" vertical="center" wrapText="1"/>
    </xf>
    <xf numFmtId="0" fontId="54" fillId="4" borderId="3" xfId="0" applyFont="1" applyFill="1" applyBorder="1" applyAlignment="1">
      <alignment horizontal="center" vertical="center" wrapText="1"/>
    </xf>
    <xf numFmtId="0" fontId="54" fillId="57" borderId="7" xfId="0" applyFont="1" applyFill="1" applyBorder="1" applyAlignment="1">
      <alignment horizontal="center" vertical="center" wrapText="1"/>
    </xf>
    <xf numFmtId="0" fontId="54" fillId="57" borderId="3" xfId="0" applyFont="1" applyFill="1" applyBorder="1" applyAlignment="1">
      <alignment horizontal="center" vertical="center" wrapText="1"/>
    </xf>
    <xf numFmtId="0" fontId="51" fillId="54" borderId="15" xfId="0" applyFont="1" applyFill="1" applyBorder="1" applyAlignment="1">
      <alignment horizontal="center" vertical="center"/>
    </xf>
    <xf numFmtId="0" fontId="51" fillId="54" borderId="8" xfId="0" applyFont="1" applyFill="1" applyBorder="1" applyAlignment="1">
      <alignment horizontal="center" vertical="center"/>
    </xf>
    <xf numFmtId="0" fontId="51" fillId="54" borderId="16" xfId="0" applyFont="1" applyFill="1" applyBorder="1" applyAlignment="1">
      <alignment horizontal="center" vertical="center"/>
    </xf>
    <xf numFmtId="0" fontId="54" fillId="19" borderId="5" xfId="0" applyFont="1" applyFill="1" applyBorder="1" applyAlignment="1">
      <alignment horizontal="center" vertical="center"/>
    </xf>
    <xf numFmtId="0" fontId="54" fillId="19" borderId="6" xfId="0" applyFont="1" applyFill="1" applyBorder="1" applyAlignment="1">
      <alignment horizontal="center" vertical="center"/>
    </xf>
    <xf numFmtId="0" fontId="54" fillId="19" borderId="2" xfId="0" applyFont="1" applyFill="1" applyBorder="1" applyAlignment="1">
      <alignment horizontal="center" vertical="center"/>
    </xf>
    <xf numFmtId="0" fontId="73" fillId="60" borderId="0" xfId="0" applyFont="1" applyFill="1" applyAlignment="1">
      <alignment horizontal="center" vertical="center"/>
    </xf>
    <xf numFmtId="0" fontId="58" fillId="0" borderId="0" xfId="0" applyFont="1" applyAlignment="1">
      <alignment horizontal="right"/>
    </xf>
    <xf numFmtId="0" fontId="58" fillId="0" borderId="0" xfId="0" applyFont="1" applyAlignment="1">
      <alignment horizontal="center"/>
    </xf>
    <xf numFmtId="0" fontId="62" fillId="0" borderId="0" xfId="0" applyFont="1" applyAlignment="1">
      <alignment horizontal="left" vertical="center"/>
    </xf>
    <xf numFmtId="0" fontId="54" fillId="19" borderId="1" xfId="0" applyFont="1" applyFill="1" applyBorder="1" applyAlignment="1">
      <alignment horizontal="center" vertical="center"/>
    </xf>
    <xf numFmtId="0" fontId="54" fillId="7" borderId="1" xfId="0" applyFont="1" applyFill="1" applyBorder="1" applyAlignment="1">
      <alignment horizontal="center" vertical="center"/>
    </xf>
    <xf numFmtId="0" fontId="54" fillId="7" borderId="7" xfId="0" applyFont="1" applyFill="1" applyBorder="1" applyAlignment="1">
      <alignment horizontal="center" vertical="center"/>
    </xf>
    <xf numFmtId="0" fontId="54" fillId="20" borderId="5" xfId="0" applyFont="1" applyFill="1" applyBorder="1" applyAlignment="1">
      <alignment horizontal="center" vertical="center"/>
    </xf>
    <xf numFmtId="0" fontId="54" fillId="20" borderId="6" xfId="0" applyFont="1" applyFill="1" applyBorder="1" applyAlignment="1">
      <alignment horizontal="center" vertical="center"/>
    </xf>
    <xf numFmtId="0" fontId="54" fillId="20" borderId="2" xfId="0" applyFont="1" applyFill="1" applyBorder="1" applyAlignment="1">
      <alignment horizontal="center" vertical="center"/>
    </xf>
    <xf numFmtId="0" fontId="54" fillId="20" borderId="7" xfId="0" applyFont="1" applyFill="1" applyBorder="1" applyAlignment="1">
      <alignment horizontal="center" vertical="center" wrapText="1"/>
    </xf>
    <xf numFmtId="0" fontId="54" fillId="20" borderId="3" xfId="0" applyFont="1" applyFill="1" applyBorder="1" applyAlignment="1">
      <alignment horizontal="center" vertical="center" wrapText="1"/>
    </xf>
    <xf numFmtId="166" fontId="54" fillId="19" borderId="7" xfId="0" applyNumberFormat="1" applyFont="1" applyFill="1" applyBorder="1" applyAlignment="1">
      <alignment horizontal="center" vertical="center" wrapText="1"/>
    </xf>
    <xf numFmtId="166" fontId="54" fillId="19" borderId="3" xfId="0" applyNumberFormat="1" applyFont="1" applyFill="1" applyBorder="1" applyAlignment="1">
      <alignment horizontal="center" vertical="center" wrapText="1"/>
    </xf>
    <xf numFmtId="0" fontId="54" fillId="19" borderId="7" xfId="0" applyFont="1" applyFill="1" applyBorder="1" applyAlignment="1">
      <alignment horizontal="center" vertical="center" wrapText="1"/>
    </xf>
    <xf numFmtId="0" fontId="54" fillId="19" borderId="4" xfId="0" applyFont="1" applyFill="1" applyBorder="1" applyAlignment="1">
      <alignment horizontal="center" vertical="center" wrapText="1"/>
    </xf>
    <xf numFmtId="0" fontId="54" fillId="19" borderId="3" xfId="0" applyFont="1" applyFill="1" applyBorder="1" applyAlignment="1">
      <alignment horizontal="center" vertical="center" wrapText="1"/>
    </xf>
    <xf numFmtId="17" fontId="71" fillId="8" borderId="1" xfId="0" applyNumberFormat="1" applyFont="1" applyFill="1" applyBorder="1" applyAlignment="1">
      <alignment horizontal="center" vertical="center" wrapText="1"/>
    </xf>
    <xf numFmtId="0" fontId="71" fillId="8" borderId="1" xfId="0" applyFont="1" applyFill="1" applyBorder="1" applyAlignment="1">
      <alignment horizontal="center" vertical="center" wrapText="1"/>
    </xf>
    <xf numFmtId="0" fontId="54" fillId="7" borderId="0" xfId="0" applyFont="1" applyFill="1" applyAlignment="1">
      <alignment horizontal="center"/>
    </xf>
    <xf numFmtId="0" fontId="54" fillId="7" borderId="1" xfId="0" applyFont="1" applyFill="1" applyBorder="1" applyAlignment="1">
      <alignment horizontal="center"/>
    </xf>
    <xf numFmtId="0" fontId="54" fillId="7" borderId="7" xfId="0" applyFont="1" applyFill="1" applyBorder="1" applyAlignment="1">
      <alignment horizontal="center"/>
    </xf>
    <xf numFmtId="0" fontId="71" fillId="7" borderId="1" xfId="0" applyFont="1" applyFill="1" applyBorder="1" applyAlignment="1">
      <alignment horizontal="center" vertical="center"/>
    </xf>
    <xf numFmtId="0" fontId="54" fillId="20" borderId="1" xfId="0" applyFont="1" applyFill="1" applyBorder="1" applyAlignment="1">
      <alignment horizontal="center" vertical="center"/>
    </xf>
    <xf numFmtId="0" fontId="71" fillId="7" borderId="1" xfId="0" applyFont="1" applyFill="1" applyBorder="1" applyAlignment="1">
      <alignment horizontal="center" vertical="center" wrapText="1"/>
    </xf>
    <xf numFmtId="0" fontId="71" fillId="61" borderId="1" xfId="0" applyFont="1" applyFill="1" applyBorder="1" applyAlignment="1">
      <alignment horizontal="center" vertical="center"/>
    </xf>
    <xf numFmtId="0" fontId="54" fillId="61" borderId="1" xfId="0" applyFont="1" applyFill="1" applyBorder="1" applyAlignment="1">
      <alignment horizontal="center" vertical="center"/>
    </xf>
    <xf numFmtId="0" fontId="71" fillId="20" borderId="1" xfId="0" applyFont="1" applyFill="1" applyBorder="1" applyAlignment="1">
      <alignment horizontal="center" vertical="center" wrapText="1"/>
    </xf>
    <xf numFmtId="0" fontId="76" fillId="7" borderId="0" xfId="0" applyFont="1" applyFill="1" applyAlignment="1">
      <alignment horizontal="center"/>
    </xf>
    <xf numFmtId="0" fontId="54" fillId="7" borderId="1" xfId="0" applyFont="1" applyFill="1" applyBorder="1" applyAlignment="1">
      <alignment horizontal="center" vertical="center" wrapText="1"/>
    </xf>
    <xf numFmtId="0" fontId="69" fillId="2" borderId="0" xfId="48" applyFont="1" applyFill="1" applyBorder="1" applyAlignment="1">
      <alignment horizontal="center" vertical="center" wrapText="1"/>
    </xf>
    <xf numFmtId="0" fontId="54" fillId="5" borderId="1" xfId="0" applyFont="1" applyFill="1" applyBorder="1" applyAlignment="1">
      <alignment horizontal="center" vertical="center" wrapText="1"/>
    </xf>
    <xf numFmtId="0" fontId="69" fillId="2" borderId="0" xfId="48" applyFont="1" applyFill="1" applyBorder="1" applyAlignment="1">
      <alignment horizontal="center" vertical="center"/>
    </xf>
    <xf numFmtId="14" fontId="58" fillId="0" borderId="0" xfId="0" applyNumberFormat="1" applyFont="1" applyAlignment="1">
      <alignment horizontal="center"/>
    </xf>
    <xf numFmtId="0" fontId="79" fillId="2" borderId="40" xfId="0" applyFont="1" applyFill="1" applyBorder="1" applyAlignment="1">
      <alignment vertical="center"/>
    </xf>
    <xf numFmtId="0" fontId="79" fillId="2" borderId="40" xfId="0" applyFont="1" applyFill="1" applyBorder="1" applyAlignment="1">
      <alignment vertical="center" wrapText="1"/>
    </xf>
    <xf numFmtId="0" fontId="79" fillId="2" borderId="87" xfId="0" applyFont="1" applyFill="1" applyBorder="1" applyAlignment="1">
      <alignment horizontal="left" vertical="center" wrapText="1"/>
    </xf>
    <xf numFmtId="0" fontId="79" fillId="2" borderId="86" xfId="0" applyFont="1" applyFill="1" applyBorder="1" applyAlignment="1">
      <alignment horizontal="left" vertical="center" wrapText="1"/>
    </xf>
    <xf numFmtId="0" fontId="79" fillId="2" borderId="41" xfId="0" applyFont="1" applyFill="1" applyBorder="1" applyAlignment="1">
      <alignment horizontal="left" vertical="center" wrapText="1"/>
    </xf>
    <xf numFmtId="165" fontId="25" fillId="7" borderId="1" xfId="1" applyFont="1" applyFill="1" applyBorder="1" applyAlignment="1">
      <alignment horizontal="center" vertical="center" wrapText="1"/>
    </xf>
    <xf numFmtId="0" fontId="73" fillId="2" borderId="89" xfId="0" applyFont="1" applyFill="1" applyBorder="1" applyAlignment="1">
      <alignment horizontal="center" vertical="center"/>
    </xf>
    <xf numFmtId="0" fontId="73" fillId="2" borderId="85" xfId="0" applyFont="1" applyFill="1" applyBorder="1" applyAlignment="1">
      <alignment horizontal="center" vertical="center"/>
    </xf>
    <xf numFmtId="164" fontId="9" fillId="2" borderId="88" xfId="0" applyNumberFormat="1" applyFont="1" applyFill="1" applyBorder="1" applyAlignment="1">
      <alignment horizontal="center" vertical="center" wrapText="1"/>
    </xf>
    <xf numFmtId="165" fontId="25" fillId="7" borderId="1" xfId="0" applyNumberFormat="1" applyFont="1" applyFill="1" applyBorder="1" applyAlignment="1">
      <alignment horizontal="center" vertical="center" wrapText="1"/>
    </xf>
    <xf numFmtId="0" fontId="25" fillId="7" borderId="0" xfId="0" applyFont="1" applyFill="1" applyAlignment="1">
      <alignment horizontal="center"/>
    </xf>
    <xf numFmtId="0" fontId="25" fillId="7" borderId="1" xfId="0" applyFont="1" applyFill="1" applyBorder="1" applyAlignment="1">
      <alignment horizontal="center" vertical="center"/>
    </xf>
    <xf numFmtId="0" fontId="25" fillId="7" borderId="1" xfId="0" applyFont="1" applyFill="1" applyBorder="1" applyAlignment="1">
      <alignment horizontal="center" vertical="center" wrapText="1"/>
    </xf>
    <xf numFmtId="165" fontId="25" fillId="22" borderId="1" xfId="0" applyNumberFormat="1" applyFont="1" applyFill="1" applyBorder="1" applyAlignment="1">
      <alignment horizontal="center" vertical="center" wrapText="1"/>
    </xf>
    <xf numFmtId="180" fontId="9" fillId="56" borderId="1" xfId="0" applyNumberFormat="1" applyFont="1" applyFill="1" applyBorder="1" applyAlignment="1">
      <alignment horizontal="center" vertical="center" wrapText="1"/>
    </xf>
    <xf numFmtId="180" fontId="9" fillId="65" borderId="1" xfId="0" applyNumberFormat="1" applyFont="1" applyFill="1" applyBorder="1" applyAlignment="1">
      <alignment horizontal="center" vertical="center" wrapText="1"/>
    </xf>
    <xf numFmtId="0" fontId="9" fillId="65" borderId="4" xfId="0" applyFont="1" applyFill="1" applyBorder="1" applyAlignment="1">
      <alignment horizontal="center" vertical="center"/>
    </xf>
    <xf numFmtId="0" fontId="9" fillId="65" borderId="3" xfId="0" applyFont="1" applyFill="1" applyBorder="1" applyAlignment="1">
      <alignment horizontal="center" vertical="center"/>
    </xf>
    <xf numFmtId="180" fontId="9" fillId="56" borderId="95" xfId="0" applyNumberFormat="1" applyFont="1" applyFill="1" applyBorder="1" applyAlignment="1">
      <alignment horizontal="center" vertical="center" wrapText="1"/>
    </xf>
    <xf numFmtId="180" fontId="9" fillId="56" borderId="94" xfId="0" applyNumberFormat="1" applyFont="1" applyFill="1" applyBorder="1" applyAlignment="1">
      <alignment horizontal="center" vertical="center" wrapText="1"/>
    </xf>
    <xf numFmtId="180" fontId="9" fillId="56" borderId="93" xfId="0" applyNumberFormat="1" applyFont="1" applyFill="1" applyBorder="1" applyAlignment="1">
      <alignment horizontal="center" vertical="center" wrapText="1"/>
    </xf>
    <xf numFmtId="180" fontId="9" fillId="64" borderId="65" xfId="0" applyNumberFormat="1" applyFont="1" applyFill="1" applyBorder="1" applyAlignment="1">
      <alignment horizontal="center" vertical="center" wrapText="1"/>
    </xf>
    <xf numFmtId="180" fontId="9" fillId="64" borderId="64" xfId="0" applyNumberFormat="1" applyFont="1" applyFill="1" applyBorder="1" applyAlignment="1">
      <alignment horizontal="center" vertical="center" wrapText="1"/>
    </xf>
    <xf numFmtId="180" fontId="9" fillId="64" borderId="63" xfId="0" applyNumberFormat="1" applyFont="1" applyFill="1" applyBorder="1" applyAlignment="1">
      <alignment horizontal="center" vertical="center" wrapText="1"/>
    </xf>
    <xf numFmtId="180" fontId="9" fillId="65" borderId="5" xfId="0" applyNumberFormat="1" applyFont="1" applyFill="1" applyBorder="1" applyAlignment="1">
      <alignment horizontal="center" vertical="center" wrapText="1"/>
    </xf>
    <xf numFmtId="0" fontId="63" fillId="4" borderId="0" xfId="0" applyFont="1" applyFill="1" applyAlignment="1">
      <alignment horizontal="center" vertical="center"/>
    </xf>
    <xf numFmtId="0" fontId="81" fillId="4" borderId="0" xfId="48" applyFont="1" applyFill="1" applyBorder="1" applyAlignment="1">
      <alignment horizontal="center" vertical="center"/>
    </xf>
    <xf numFmtId="165" fontId="58" fillId="0" borderId="0" xfId="1" applyFont="1" applyAlignment="1">
      <alignment horizontal="center" vertical="center"/>
    </xf>
    <xf numFmtId="14" fontId="55" fillId="2" borderId="0" xfId="0" applyNumberFormat="1" applyFont="1" applyFill="1" applyAlignment="1">
      <alignment horizontal="center"/>
    </xf>
    <xf numFmtId="0" fontId="87" fillId="60" borderId="96" xfId="0" applyFont="1" applyFill="1" applyBorder="1" applyAlignment="1">
      <alignment horizontal="center" vertical="center" wrapText="1"/>
    </xf>
    <xf numFmtId="0" fontId="87" fillId="60" borderId="42" xfId="0" applyFont="1" applyFill="1" applyBorder="1" applyAlignment="1">
      <alignment horizontal="center" vertical="center" wrapText="1"/>
    </xf>
    <xf numFmtId="0" fontId="87" fillId="60" borderId="99" xfId="0" applyFont="1" applyFill="1" applyBorder="1" applyAlignment="1">
      <alignment horizontal="center" vertical="center" wrapText="1"/>
    </xf>
    <xf numFmtId="175" fontId="65" fillId="61" borderId="129" xfId="0" applyNumberFormat="1" applyFont="1" applyFill="1" applyBorder="1" applyAlignment="1">
      <alignment horizontal="right" vertical="center"/>
    </xf>
    <xf numFmtId="175" fontId="65" fillId="61" borderId="20" xfId="0" applyNumberFormat="1" applyFont="1" applyFill="1" applyBorder="1" applyAlignment="1">
      <alignment horizontal="right" vertical="center"/>
    </xf>
    <xf numFmtId="175" fontId="65" fillId="61" borderId="130" xfId="0" applyNumberFormat="1" applyFont="1" applyFill="1" applyBorder="1" applyAlignment="1">
      <alignment horizontal="right" vertical="center"/>
    </xf>
    <xf numFmtId="167" fontId="83" fillId="91" borderId="19" xfId="2" applyNumberFormat="1" applyFont="1" applyFill="1" applyBorder="1" applyAlignment="1">
      <alignment horizontal="right" vertical="center"/>
    </xf>
    <xf numFmtId="167" fontId="83" fillId="91" borderId="68" xfId="2" applyNumberFormat="1" applyFont="1" applyFill="1" applyBorder="1" applyAlignment="1">
      <alignment horizontal="right" vertical="center"/>
    </xf>
    <xf numFmtId="0" fontId="34" fillId="4" borderId="96" xfId="0" applyFont="1" applyFill="1" applyBorder="1" applyAlignment="1">
      <alignment horizontal="center" vertical="center"/>
    </xf>
    <xf numFmtId="0" fontId="34" fillId="4" borderId="100"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8" fillId="55" borderId="88" xfId="0" applyFont="1" applyFill="1" applyBorder="1" applyAlignment="1">
      <alignment horizontal="center" vertical="center" wrapText="1"/>
    </xf>
    <xf numFmtId="0" fontId="34" fillId="55" borderId="88" xfId="0" applyFont="1" applyFill="1" applyBorder="1" applyAlignment="1">
      <alignment horizontal="center" vertical="center" wrapText="1"/>
    </xf>
    <xf numFmtId="3" fontId="86" fillId="61" borderId="103" xfId="0" applyNumberFormat="1" applyFont="1" applyFill="1" applyBorder="1" applyAlignment="1">
      <alignment horizontal="left" vertical="center"/>
    </xf>
    <xf numFmtId="0" fontId="86" fillId="61" borderId="101" xfId="0" applyFont="1" applyFill="1" applyBorder="1" applyAlignment="1">
      <alignment horizontal="center" vertical="center" wrapText="1"/>
    </xf>
    <xf numFmtId="0" fontId="86" fillId="7" borderId="97" xfId="0" applyFont="1" applyFill="1" applyBorder="1" applyAlignment="1">
      <alignment horizontal="center" vertical="center" wrapText="1"/>
    </xf>
    <xf numFmtId="0" fontId="86" fillId="7" borderId="102" xfId="0" applyFont="1" applyFill="1" applyBorder="1" applyAlignment="1">
      <alignment horizontal="center" vertical="center" wrapText="1"/>
    </xf>
    <xf numFmtId="0" fontId="86" fillId="7" borderId="100" xfId="0" applyFont="1" applyFill="1" applyBorder="1" applyAlignment="1">
      <alignment horizontal="center" vertical="center" wrapText="1"/>
    </xf>
    <xf numFmtId="0" fontId="86" fillId="61" borderId="97" xfId="0" applyFont="1" applyFill="1" applyBorder="1" applyAlignment="1">
      <alignment horizontal="center" vertical="center" wrapText="1"/>
    </xf>
    <xf numFmtId="0" fontId="86" fillId="61" borderId="102" xfId="0" applyFont="1" applyFill="1" applyBorder="1" applyAlignment="1">
      <alignment horizontal="center" vertical="center" wrapText="1"/>
    </xf>
    <xf numFmtId="0" fontId="86" fillId="61" borderId="100" xfId="0" applyFont="1" applyFill="1" applyBorder="1" applyAlignment="1">
      <alignment horizontal="center" vertical="center" wrapText="1"/>
    </xf>
    <xf numFmtId="175" fontId="93" fillId="61" borderId="0" xfId="0" applyNumberFormat="1" applyFont="1" applyFill="1" applyAlignment="1">
      <alignment horizontal="left" vertical="center"/>
    </xf>
    <xf numFmtId="175" fontId="79" fillId="8" borderId="96" xfId="0" applyNumberFormat="1" applyFont="1" applyFill="1" applyBorder="1" applyAlignment="1">
      <alignment horizontal="left" vertical="center"/>
    </xf>
    <xf numFmtId="175" fontId="79" fillId="8" borderId="42" xfId="0" applyNumberFormat="1" applyFont="1" applyFill="1" applyBorder="1" applyAlignment="1">
      <alignment horizontal="left" vertical="center"/>
    </xf>
    <xf numFmtId="166" fontId="35" fillId="16" borderId="47" xfId="1" applyNumberFormat="1" applyFont="1" applyFill="1" applyBorder="1" applyAlignment="1">
      <alignment horizontal="center" vertical="center" wrapText="1"/>
    </xf>
    <xf numFmtId="166" fontId="35" fillId="16" borderId="39" xfId="1" applyNumberFormat="1" applyFont="1" applyFill="1" applyBorder="1" applyAlignment="1">
      <alignment horizontal="center" vertical="center" wrapText="1"/>
    </xf>
    <xf numFmtId="166" fontId="35" fillId="16" borderId="51" xfId="1" applyNumberFormat="1" applyFont="1" applyFill="1" applyBorder="1" applyAlignment="1">
      <alignment horizontal="center" vertical="center"/>
    </xf>
    <xf numFmtId="166" fontId="35" fillId="16" borderId="52" xfId="1" applyNumberFormat="1" applyFont="1" applyFill="1" applyBorder="1" applyAlignment="1">
      <alignment horizontal="center" vertical="center"/>
    </xf>
    <xf numFmtId="166" fontId="35" fillId="16" borderId="53" xfId="1" applyNumberFormat="1" applyFont="1" applyFill="1" applyBorder="1" applyAlignment="1">
      <alignment horizontal="center" vertical="center"/>
    </xf>
    <xf numFmtId="166" fontId="35" fillId="16" borderId="43" xfId="1" applyNumberFormat="1" applyFont="1" applyFill="1" applyBorder="1" applyAlignment="1">
      <alignment horizontal="center" vertical="center"/>
    </xf>
    <xf numFmtId="166" fontId="35" fillId="16" borderId="44" xfId="1" applyNumberFormat="1" applyFont="1" applyFill="1" applyBorder="1" applyAlignment="1">
      <alignment horizontal="center" vertical="center"/>
    </xf>
    <xf numFmtId="166" fontId="35" fillId="16" borderId="45" xfId="1" applyNumberFormat="1" applyFont="1" applyFill="1" applyBorder="1" applyAlignment="1">
      <alignment horizontal="center" vertical="center"/>
    </xf>
    <xf numFmtId="166" fontId="35" fillId="16" borderId="43" xfId="1" applyNumberFormat="1" applyFont="1" applyFill="1" applyBorder="1" applyAlignment="1">
      <alignment horizontal="center" vertical="center" wrapText="1"/>
    </xf>
    <xf numFmtId="166" fontId="35" fillId="16" borderId="45" xfId="1" applyNumberFormat="1" applyFont="1" applyFill="1" applyBorder="1" applyAlignment="1">
      <alignment horizontal="center" vertical="center" wrapText="1"/>
    </xf>
    <xf numFmtId="166" fontId="35" fillId="16" borderId="46" xfId="1" applyNumberFormat="1" applyFont="1" applyFill="1" applyBorder="1" applyAlignment="1">
      <alignment horizontal="center" vertical="center" wrapText="1"/>
    </xf>
    <xf numFmtId="166" fontId="25" fillId="0" borderId="0" xfId="1" applyNumberFormat="1" applyFont="1" applyAlignment="1">
      <alignment horizontal="center"/>
    </xf>
    <xf numFmtId="166" fontId="26" fillId="0" borderId="7" xfId="1" applyNumberFormat="1" applyFont="1" applyBorder="1" applyAlignment="1">
      <alignment horizontal="center" vertical="center" wrapText="1"/>
    </xf>
    <xf numFmtId="166" fontId="26" fillId="0" borderId="3" xfId="1" applyNumberFormat="1" applyFont="1" applyBorder="1" applyAlignment="1">
      <alignment horizontal="center" vertical="center" wrapText="1"/>
    </xf>
    <xf numFmtId="166" fontId="26" fillId="0" borderId="1" xfId="1" applyNumberFormat="1" applyFont="1" applyBorder="1" applyAlignment="1">
      <alignment horizontal="center" vertical="center" wrapText="1"/>
    </xf>
    <xf numFmtId="166" fontId="26" fillId="0" borderId="38" xfId="1" applyNumberFormat="1" applyFont="1" applyBorder="1" applyAlignment="1">
      <alignment horizontal="center" vertical="center" wrapText="1"/>
    </xf>
    <xf numFmtId="166" fontId="26" fillId="0" borderId="0" xfId="1" applyNumberFormat="1" applyFont="1" applyBorder="1" applyAlignment="1">
      <alignment horizontal="center" vertical="center" wrapText="1"/>
    </xf>
    <xf numFmtId="166" fontId="25" fillId="11" borderId="0" xfId="1" applyNumberFormat="1" applyFont="1" applyFill="1" applyAlignment="1">
      <alignment horizontal="center"/>
    </xf>
    <xf numFmtId="166" fontId="36" fillId="0" borderId="0" xfId="1" applyNumberFormat="1" applyFont="1" applyAlignment="1">
      <alignment horizontal="center" vertical="center" wrapText="1"/>
    </xf>
    <xf numFmtId="0" fontId="11" fillId="6" borderId="19" xfId="0" applyFont="1" applyFill="1" applyBorder="1" applyAlignment="1">
      <alignment horizontal="center" vertical="center"/>
    </xf>
    <xf numFmtId="0" fontId="11" fillId="6" borderId="68" xfId="0" applyFont="1" applyFill="1" applyBorder="1" applyAlignment="1">
      <alignment horizontal="center" vertical="center"/>
    </xf>
    <xf numFmtId="0" fontId="11" fillId="6" borderId="69" xfId="0" applyFont="1" applyFill="1" applyBorder="1" applyAlignment="1">
      <alignment horizontal="center" vertical="center"/>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1" fillId="6" borderId="17" xfId="0" applyFont="1" applyFill="1" applyBorder="1" applyAlignment="1">
      <alignment horizontal="center" vertical="center"/>
    </xf>
    <xf numFmtId="0" fontId="0" fillId="0" borderId="0" xfId="0" applyAlignment="1">
      <alignment horizontal="center"/>
    </xf>
    <xf numFmtId="0" fontId="22" fillId="11" borderId="0" xfId="0" applyFont="1" applyFill="1" applyAlignment="1">
      <alignment horizontal="center"/>
    </xf>
    <xf numFmtId="0" fontId="22" fillId="0" borderId="0" xfId="0" applyFont="1" applyAlignment="1">
      <alignment horizontal="center"/>
    </xf>
    <xf numFmtId="0" fontId="20" fillId="11" borderId="0" xfId="0" applyFont="1" applyFill="1" applyAlignment="1">
      <alignment horizontal="center" vertical="center" wrapText="1"/>
    </xf>
    <xf numFmtId="0" fontId="11" fillId="6" borderId="1" xfId="0" applyFont="1" applyFill="1" applyBorder="1" applyAlignment="1">
      <alignment horizontal="center" vertical="center"/>
    </xf>
    <xf numFmtId="0" fontId="0" fillId="88" borderId="0" xfId="0" applyFill="1" applyAlignment="1">
      <alignment horizontal="center" vertical="center" wrapText="1"/>
    </xf>
    <xf numFmtId="0" fontId="0" fillId="88" borderId="0" xfId="0" applyFill="1" applyAlignment="1">
      <alignment horizontal="center" vertical="center"/>
    </xf>
    <xf numFmtId="0" fontId="19" fillId="6" borderId="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6" borderId="5" xfId="0" applyFont="1" applyFill="1" applyBorder="1" applyAlignment="1">
      <alignment horizontal="center" vertical="center"/>
    </xf>
    <xf numFmtId="0" fontId="19" fillId="6" borderId="1" xfId="0" applyFont="1" applyFill="1" applyBorder="1" applyAlignment="1">
      <alignment horizontal="center" wrapText="1"/>
    </xf>
    <xf numFmtId="0" fontId="19" fillId="6" borderId="5" xfId="0" applyFont="1" applyFill="1" applyBorder="1" applyAlignment="1">
      <alignment horizontal="center" wrapText="1"/>
    </xf>
    <xf numFmtId="0" fontId="19" fillId="6" borderId="15" xfId="0" applyFont="1" applyFill="1" applyBorder="1" applyAlignment="1">
      <alignment horizontal="center" vertical="center" wrapText="1"/>
    </xf>
    <xf numFmtId="0" fontId="19" fillId="6" borderId="16"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9" fillId="6" borderId="1" xfId="0" applyFont="1" applyFill="1" applyBorder="1" applyAlignment="1">
      <alignment horizontal="center" wrapText="1"/>
    </xf>
    <xf numFmtId="0" fontId="9" fillId="6" borderId="5" xfId="0" applyFont="1" applyFill="1" applyBorder="1" applyAlignment="1">
      <alignment horizontal="center"/>
    </xf>
    <xf numFmtId="0" fontId="9" fillId="6" borderId="6" xfId="0" applyFont="1" applyFill="1" applyBorder="1" applyAlignment="1">
      <alignment horizontal="center"/>
    </xf>
    <xf numFmtId="0" fontId="9" fillId="6" borderId="2" xfId="0" applyFont="1" applyFill="1" applyBorder="1" applyAlignment="1">
      <alignment horizontal="center"/>
    </xf>
    <xf numFmtId="167" fontId="0" fillId="21" borderId="0" xfId="2" applyNumberFormat="1" applyFont="1" applyFill="1" applyAlignment="1">
      <alignment horizontal="center" wrapText="1"/>
    </xf>
    <xf numFmtId="0" fontId="0" fillId="22" borderId="0" xfId="0" applyFill="1" applyAlignment="1">
      <alignment horizontal="center" wrapText="1"/>
    </xf>
    <xf numFmtId="0" fontId="9" fillId="6" borderId="38" xfId="0" applyFont="1" applyFill="1" applyBorder="1" applyAlignment="1">
      <alignment horizontal="center" vertical="center"/>
    </xf>
    <xf numFmtId="0" fontId="9" fillId="6" borderId="0" xfId="0" applyFont="1" applyFill="1" applyBorder="1" applyAlignment="1">
      <alignment horizontal="center" vertical="center"/>
    </xf>
    <xf numFmtId="0" fontId="19" fillId="6" borderId="6" xfId="0" applyFont="1" applyFill="1" applyBorder="1" applyAlignment="1">
      <alignment horizontal="center" wrapText="1"/>
    </xf>
    <xf numFmtId="0" fontId="19" fillId="6" borderId="2" xfId="0" applyFont="1" applyFill="1" applyBorder="1" applyAlignment="1">
      <alignment horizontal="center" wrapText="1"/>
    </xf>
    <xf numFmtId="166" fontId="34" fillId="68" borderId="0" xfId="1" applyNumberFormat="1" applyFont="1" applyFill="1" applyAlignment="1">
      <alignment horizontal="center"/>
    </xf>
    <xf numFmtId="166" fontId="2" fillId="11" borderId="0" xfId="1" applyNumberFormat="1" applyFont="1" applyFill="1" applyAlignment="1">
      <alignment horizontal="center" vertical="center" wrapText="1"/>
    </xf>
    <xf numFmtId="0" fontId="0" fillId="89" borderId="0" xfId="0" applyFill="1" applyAlignment="1">
      <alignment horizontal="center"/>
    </xf>
    <xf numFmtId="0" fontId="0" fillId="8" borderId="0" xfId="0" applyFill="1" applyAlignment="1">
      <alignment horizontal="center"/>
    </xf>
    <xf numFmtId="0" fontId="0" fillId="11" borderId="0" xfId="0" applyFill="1" applyAlignment="1">
      <alignment horizontal="center"/>
    </xf>
    <xf numFmtId="0" fontId="0" fillId="86" borderId="0" xfId="0" applyFill="1" applyAlignment="1">
      <alignment horizontal="center"/>
    </xf>
    <xf numFmtId="0" fontId="0" fillId="87" borderId="0" xfId="0" applyFill="1" applyAlignment="1">
      <alignment horizontal="center"/>
    </xf>
    <xf numFmtId="0" fontId="0" fillId="88" borderId="0" xfId="0" applyFill="1" applyAlignment="1">
      <alignment horizontal="center"/>
    </xf>
    <xf numFmtId="0" fontId="0" fillId="18" borderId="0" xfId="0" applyFill="1" applyAlignment="1">
      <alignment horizontal="center"/>
    </xf>
    <xf numFmtId="0" fontId="95" fillId="4" borderId="0" xfId="0" applyFont="1" applyFill="1" applyAlignment="1">
      <alignment horizontal="center"/>
    </xf>
    <xf numFmtId="0" fontId="95" fillId="80" borderId="29" xfId="0" applyFont="1" applyFill="1" applyBorder="1" applyAlignment="1">
      <alignment horizontal="center" vertical="center" wrapText="1"/>
    </xf>
    <xf numFmtId="0" fontId="95" fillId="80" borderId="0" xfId="0" applyFont="1" applyFill="1" applyAlignment="1">
      <alignment horizontal="center" vertical="center" wrapText="1"/>
    </xf>
    <xf numFmtId="0" fontId="54" fillId="11" borderId="56" xfId="0" applyFont="1" applyFill="1" applyBorder="1" applyAlignment="1">
      <alignment horizontal="center" vertical="center" wrapText="1"/>
    </xf>
    <xf numFmtId="0" fontId="54" fillId="11" borderId="57" xfId="0" applyFont="1" applyFill="1" applyBorder="1" applyAlignment="1">
      <alignment horizontal="center" vertical="center" wrapText="1"/>
    </xf>
    <xf numFmtId="0" fontId="54" fillId="11" borderId="58" xfId="0" applyFont="1" applyFill="1" applyBorder="1" applyAlignment="1">
      <alignment horizontal="center" vertical="center" wrapText="1"/>
    </xf>
    <xf numFmtId="0" fontId="100" fillId="6" borderId="44" xfId="0" applyFont="1" applyFill="1" applyBorder="1" applyAlignment="1">
      <alignment horizontal="center" vertical="center" wrapText="1"/>
    </xf>
    <xf numFmtId="0" fontId="100" fillId="6" borderId="46" xfId="0" applyFont="1" applyFill="1" applyBorder="1" applyAlignment="1">
      <alignment horizontal="center" vertical="center" wrapText="1"/>
    </xf>
    <xf numFmtId="0" fontId="100" fillId="6" borderId="47" xfId="0" applyFont="1" applyFill="1" applyBorder="1" applyAlignment="1">
      <alignment horizontal="center" vertical="center" wrapText="1"/>
    </xf>
    <xf numFmtId="0" fontId="2" fillId="62" borderId="0" xfId="0" applyFont="1" applyFill="1" applyAlignment="1">
      <alignment horizontal="center" vertical="center"/>
    </xf>
    <xf numFmtId="0" fontId="2" fillId="62" borderId="54" xfId="0" applyFont="1" applyFill="1" applyBorder="1" applyAlignment="1">
      <alignment horizontal="center" vertical="center"/>
    </xf>
    <xf numFmtId="0" fontId="2" fillId="62" borderId="55" xfId="0" applyFont="1" applyFill="1" applyBorder="1" applyAlignment="1">
      <alignment horizontal="center" vertical="center"/>
    </xf>
    <xf numFmtId="0" fontId="86" fillId="4" borderId="0" xfId="0" applyFont="1" applyFill="1" applyAlignment="1">
      <alignment horizontal="center" vertical="center"/>
    </xf>
    <xf numFmtId="0" fontId="100" fillId="6" borderId="105" xfId="0" applyFont="1" applyFill="1" applyBorder="1" applyAlignment="1">
      <alignment horizontal="center" vertical="center" wrapText="1"/>
    </xf>
    <xf numFmtId="0" fontId="100" fillId="6" borderId="106" xfId="0" applyFont="1" applyFill="1" applyBorder="1" applyAlignment="1">
      <alignment horizontal="center" vertical="center" wrapText="1"/>
    </xf>
    <xf numFmtId="0" fontId="54" fillId="11" borderId="138" xfId="0" applyFont="1" applyFill="1" applyBorder="1" applyAlignment="1">
      <alignment horizontal="center" vertical="center" wrapText="1"/>
    </xf>
    <xf numFmtId="0" fontId="54" fillId="11" borderId="66" xfId="0" applyFont="1" applyFill="1" applyBorder="1" applyAlignment="1">
      <alignment horizontal="center" vertical="center" wrapText="1"/>
    </xf>
    <xf numFmtId="0" fontId="54" fillId="11" borderId="139" xfId="0" applyFont="1" applyFill="1" applyBorder="1" applyAlignment="1">
      <alignment horizontal="center" vertical="center" wrapText="1"/>
    </xf>
    <xf numFmtId="3" fontId="19" fillId="6" borderId="39" xfId="0" applyNumberFormat="1" applyFont="1" applyFill="1" applyBorder="1" applyAlignment="1">
      <alignment horizontal="center" vertical="center" wrapText="1"/>
    </xf>
    <xf numFmtId="181" fontId="2" fillId="18" borderId="1" xfId="50" applyNumberFormat="1" applyFont="1" applyFill="1" applyBorder="1" applyAlignment="1">
      <alignment horizontal="center" vertical="center"/>
    </xf>
    <xf numFmtId="181" fontId="2" fillId="18" borderId="95" xfId="50" applyNumberFormat="1" applyFont="1" applyFill="1" applyBorder="1" applyAlignment="1">
      <alignment horizontal="center" vertical="center"/>
    </xf>
    <xf numFmtId="181" fontId="2" fillId="18" borderId="94" xfId="50" applyNumberFormat="1" applyFont="1" applyFill="1" applyBorder="1" applyAlignment="1">
      <alignment horizontal="center" vertical="center"/>
    </xf>
    <xf numFmtId="181" fontId="2" fillId="18" borderId="93" xfId="50" applyNumberFormat="1" applyFont="1" applyFill="1" applyBorder="1" applyAlignment="1">
      <alignment horizontal="center" vertical="center"/>
    </xf>
    <xf numFmtId="3" fontId="86" fillId="4" borderId="0" xfId="0" applyNumberFormat="1" applyFont="1" applyFill="1" applyAlignment="1">
      <alignment horizontal="center" vertical="center"/>
    </xf>
    <xf numFmtId="0" fontId="19" fillId="6" borderId="44" xfId="0" applyFont="1" applyFill="1" applyBorder="1" applyAlignment="1">
      <alignment horizontal="center" vertical="center" wrapText="1"/>
    </xf>
    <xf numFmtId="0" fontId="19" fillId="6" borderId="45" xfId="0" applyFont="1" applyFill="1" applyBorder="1" applyAlignment="1">
      <alignment horizontal="center" vertical="center" wrapText="1"/>
    </xf>
    <xf numFmtId="3" fontId="19" fillId="6" borderId="110" xfId="0" applyNumberFormat="1" applyFont="1" applyFill="1" applyBorder="1" applyAlignment="1">
      <alignment horizontal="center" vertical="center" wrapText="1"/>
    </xf>
    <xf numFmtId="3" fontId="19" fillId="6" borderId="111" xfId="0" applyNumberFormat="1" applyFont="1" applyFill="1" applyBorder="1" applyAlignment="1">
      <alignment horizontal="center" vertical="center" wrapText="1"/>
    </xf>
    <xf numFmtId="0" fontId="19" fillId="6" borderId="39" xfId="0" applyFont="1" applyFill="1" applyBorder="1" applyAlignment="1">
      <alignment horizontal="center" vertical="center" wrapText="1"/>
    </xf>
    <xf numFmtId="0" fontId="2" fillId="82" borderId="1" xfId="0" applyFont="1" applyFill="1" applyBorder="1" applyAlignment="1">
      <alignment horizontal="center"/>
    </xf>
    <xf numFmtId="0" fontId="2" fillId="82" borderId="65" xfId="0" applyFont="1" applyFill="1" applyBorder="1" applyAlignment="1">
      <alignment horizontal="center"/>
    </xf>
    <xf numFmtId="0" fontId="2" fillId="82" borderId="64" xfId="0" applyFont="1" applyFill="1" applyBorder="1" applyAlignment="1">
      <alignment horizontal="center"/>
    </xf>
    <xf numFmtId="0" fontId="86" fillId="4" borderId="0" xfId="0" applyFont="1" applyFill="1" applyAlignment="1">
      <alignment horizontal="center" vertical="center" wrapText="1"/>
    </xf>
    <xf numFmtId="0" fontId="19" fillId="6" borderId="114" xfId="0" applyFont="1" applyFill="1" applyBorder="1" applyAlignment="1">
      <alignment horizontal="center" vertical="center" wrapText="1"/>
    </xf>
    <xf numFmtId="0" fontId="19" fillId="6" borderId="115"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5" borderId="65" xfId="0" applyFont="1" applyFill="1" applyBorder="1" applyAlignment="1">
      <alignment horizontal="center" vertical="center"/>
    </xf>
    <xf numFmtId="0" fontId="2" fillId="5" borderId="64" xfId="0" applyFont="1" applyFill="1" applyBorder="1" applyAlignment="1">
      <alignment horizontal="center" vertical="center"/>
    </xf>
    <xf numFmtId="0" fontId="9" fillId="6" borderId="116"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44"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43" xfId="0" applyFont="1" applyFill="1" applyBorder="1" applyAlignment="1">
      <alignment horizontal="center" vertical="center" wrapText="1"/>
    </xf>
    <xf numFmtId="3" fontId="9" fillId="6" borderId="114" xfId="0" applyNumberFormat="1" applyFont="1" applyFill="1" applyBorder="1" applyAlignment="1">
      <alignment horizontal="center" vertical="center" wrapText="1"/>
    </xf>
    <xf numFmtId="3" fontId="9" fillId="6" borderId="115" xfId="0" applyNumberFormat="1" applyFont="1" applyFill="1" applyBorder="1" applyAlignment="1">
      <alignment horizontal="center" vertical="center" wrapText="1"/>
    </xf>
    <xf numFmtId="0" fontId="9" fillId="6" borderId="117" xfId="0" applyFont="1" applyFill="1" applyBorder="1" applyAlignment="1">
      <alignment horizontal="center" vertical="center" wrapText="1"/>
    </xf>
    <xf numFmtId="0" fontId="9" fillId="6" borderId="51" xfId="0" applyFont="1" applyFill="1" applyBorder="1" applyAlignment="1">
      <alignment horizontal="center" vertical="center" wrapText="1"/>
    </xf>
    <xf numFmtId="0" fontId="19" fillId="6" borderId="121" xfId="0" applyFont="1" applyFill="1" applyBorder="1" applyAlignment="1">
      <alignment horizontal="center" vertical="center" wrapText="1"/>
    </xf>
    <xf numFmtId="0" fontId="19" fillId="6" borderId="123" xfId="0" applyFont="1" applyFill="1" applyBorder="1" applyAlignment="1">
      <alignment horizontal="center" vertical="center" wrapText="1"/>
    </xf>
    <xf numFmtId="0" fontId="104" fillId="84" borderId="1" xfId="0" applyFont="1" applyFill="1" applyBorder="1" applyAlignment="1">
      <alignment horizontal="center"/>
    </xf>
    <xf numFmtId="0" fontId="2" fillId="84" borderId="65" xfId="0" applyFont="1" applyFill="1" applyBorder="1" applyAlignment="1">
      <alignment horizontal="center"/>
    </xf>
    <xf numFmtId="0" fontId="2" fillId="84" borderId="64" xfId="0" applyFont="1" applyFill="1" applyBorder="1" applyAlignment="1">
      <alignment horizontal="center"/>
    </xf>
    <xf numFmtId="0" fontId="2" fillId="4" borderId="0" xfId="0" applyFont="1" applyFill="1" applyAlignment="1">
      <alignment horizontal="center" vertical="center" wrapText="1"/>
    </xf>
    <xf numFmtId="0" fontId="19" fillId="6" borderId="119" xfId="0" applyFont="1" applyFill="1" applyBorder="1" applyAlignment="1">
      <alignment horizontal="center" vertical="center" wrapText="1"/>
    </xf>
    <xf numFmtId="0" fontId="19" fillId="6" borderId="122" xfId="0" applyFont="1" applyFill="1" applyBorder="1" applyAlignment="1">
      <alignment horizontal="center" vertical="center" wrapText="1"/>
    </xf>
    <xf numFmtId="0" fontId="100" fillId="6" borderId="110" xfId="0" applyFont="1" applyFill="1" applyBorder="1" applyAlignment="1">
      <alignment horizontal="center" vertical="center" wrapText="1"/>
    </xf>
    <xf numFmtId="0" fontId="100" fillId="6" borderId="120" xfId="0" applyFont="1" applyFill="1" applyBorder="1" applyAlignment="1">
      <alignment horizontal="center" vertical="center" wrapText="1"/>
    </xf>
    <xf numFmtId="0" fontId="9" fillId="6" borderId="39" xfId="0" applyFont="1" applyFill="1" applyBorder="1" applyAlignment="1">
      <alignment horizontal="center" vertical="center" wrapText="1"/>
    </xf>
    <xf numFmtId="0" fontId="0" fillId="85" borderId="0" xfId="0" applyFill="1" applyAlignment="1">
      <alignment horizontal="center"/>
    </xf>
    <xf numFmtId="0" fontId="0" fillId="85" borderId="54" xfId="0" applyFill="1" applyBorder="1" applyAlignment="1">
      <alignment horizontal="center"/>
    </xf>
    <xf numFmtId="0" fontId="0" fillId="85" borderId="55" xfId="0" applyFill="1" applyBorder="1" applyAlignment="1">
      <alignment horizontal="center"/>
    </xf>
    <xf numFmtId="0" fontId="9" fillId="6" borderId="46"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100" fillId="6" borderId="108" xfId="0" applyFont="1" applyFill="1" applyBorder="1" applyAlignment="1">
      <alignment horizontal="center" vertical="center" wrapText="1"/>
    </xf>
    <xf numFmtId="0" fontId="104" fillId="19" borderId="0" xfId="0" applyFont="1" applyFill="1" applyAlignment="1">
      <alignment horizontal="center" vertical="center"/>
    </xf>
    <xf numFmtId="0" fontId="2" fillId="19" borderId="54" xfId="0" applyFont="1" applyFill="1" applyBorder="1" applyAlignment="1">
      <alignment horizontal="center" vertical="center"/>
    </xf>
    <xf numFmtId="0" fontId="2" fillId="19" borderId="55" xfId="0" applyFont="1" applyFill="1" applyBorder="1" applyAlignment="1">
      <alignment horizontal="center" vertical="center"/>
    </xf>
    <xf numFmtId="0" fontId="100" fillId="6" borderId="45" xfId="0" applyFont="1" applyFill="1" applyBorder="1" applyAlignment="1">
      <alignment horizontal="center" vertical="center" wrapText="1"/>
    </xf>
    <xf numFmtId="0" fontId="0" fillId="14" borderId="0" xfId="0" applyFill="1" applyAlignment="1">
      <alignment horizontal="center"/>
    </xf>
    <xf numFmtId="0" fontId="0" fillId="15" borderId="0" xfId="0" applyFill="1" applyAlignment="1">
      <alignment horizontal="center"/>
    </xf>
  </cellXfs>
  <cellStyles count="60">
    <cellStyle name="20% - Ênfase1" xfId="23" builtinId="30" customBuiltin="1"/>
    <cellStyle name="20% - Ênfase2" xfId="26" builtinId="34" customBuiltin="1"/>
    <cellStyle name="20% - Ênfase3" xfId="29" builtinId="38" customBuiltin="1"/>
    <cellStyle name="20% - Ênfase4" xfId="32" builtinId="42" customBuiltin="1"/>
    <cellStyle name="20% - Ênfase5" xfId="35" builtinId="46" customBuiltin="1"/>
    <cellStyle name="20% - Ênfase6" xfId="38" builtinId="50" customBuiltin="1"/>
    <cellStyle name="40% - Ênfase1" xfId="24" builtinId="31" customBuiltin="1"/>
    <cellStyle name="40% - Ênfase2" xfId="27" builtinId="35" customBuiltin="1"/>
    <cellStyle name="40% - Ênfase3" xfId="30" builtinId="39" customBuiltin="1"/>
    <cellStyle name="40% - Ênfase4" xfId="33" builtinId="43" customBuiltin="1"/>
    <cellStyle name="40% - Ênfase5" xfId="36" builtinId="47" customBuiltin="1"/>
    <cellStyle name="40% - Ênfase6" xfId="39" builtinId="51" customBuiltin="1"/>
    <cellStyle name="60% - Ênfase1 2" xfId="41"/>
    <cellStyle name="60% - Ênfase2 2" xfId="42"/>
    <cellStyle name="60% - Ênfase3 2" xfId="43"/>
    <cellStyle name="60% - Ênfase4 2" xfId="44"/>
    <cellStyle name="60% - Ênfase5 2" xfId="45"/>
    <cellStyle name="60% - Ênfase6 2" xfId="46"/>
    <cellStyle name="Bom" xfId="11" builtinId="26" customBuiltin="1"/>
    <cellStyle name="Cálculo" xfId="15" builtinId="22" customBuiltin="1"/>
    <cellStyle name="Célula de Verificação" xfId="17" builtinId="23" customBuiltin="1"/>
    <cellStyle name="Célula Vinculada" xfId="16" builtinId="24" customBuiltin="1"/>
    <cellStyle name="Date" xfId="51"/>
    <cellStyle name="Ênfase1" xfId="22" builtinId="29" customBuiltin="1"/>
    <cellStyle name="Ênfase2" xfId="25" builtinId="33" customBuiltin="1"/>
    <cellStyle name="Ênfase3" xfId="28" builtinId="37" customBuiltin="1"/>
    <cellStyle name="Ênfase4" xfId="31" builtinId="41" customBuiltin="1"/>
    <cellStyle name="Ênfase5" xfId="34" builtinId="45" customBuiltin="1"/>
    <cellStyle name="Ênfase6" xfId="37" builtinId="49" customBuiltin="1"/>
    <cellStyle name="Entrada" xfId="13" builtinId="20" customBuiltin="1"/>
    <cellStyle name="Hiperlink" xfId="48" builtinId="8"/>
    <cellStyle name="Incorreto" xfId="12" builtinId="27" customBuiltin="1"/>
    <cellStyle name="Moeda" xfId="3" builtinId="4"/>
    <cellStyle name="Moeda 2" xfId="5"/>
    <cellStyle name="Neutro 2" xfId="40"/>
    <cellStyle name="Normal" xfId="0" builtinId="0"/>
    <cellStyle name="Normal 2" xfId="49"/>
    <cellStyle name="Normal 2 2" xfId="53"/>
    <cellStyle name="Nota" xfId="19" builtinId="10" customBuiltin="1"/>
    <cellStyle name="Porcentagem" xfId="2" builtinId="5"/>
    <cellStyle name="Saída" xfId="14" builtinId="21" customBuiltin="1"/>
    <cellStyle name="Separador de milhares 2" xfId="52"/>
    <cellStyle name="Separador de milhares 2 2" xfId="55"/>
    <cellStyle name="Texto de Aviso" xfId="18" builtinId="11" customBuiltin="1"/>
    <cellStyle name="Texto Explicativo" xfId="20" builtinId="53" customBuiltin="1"/>
    <cellStyle name="Título 1" xfId="7" builtinId="16" customBuiltin="1"/>
    <cellStyle name="Título 2" xfId="8" builtinId="17" customBuiltin="1"/>
    <cellStyle name="Título 3" xfId="9" builtinId="18" customBuiltin="1"/>
    <cellStyle name="Título 4" xfId="10" builtinId="19" customBuiltin="1"/>
    <cellStyle name="Título 5" xfId="47"/>
    <cellStyle name="Total" xfId="21" builtinId="25" customBuiltin="1"/>
    <cellStyle name="Vírgula" xfId="1" builtinId="3"/>
    <cellStyle name="Vírgula 2" xfId="4"/>
    <cellStyle name="Vírgula 2 2" xfId="56"/>
    <cellStyle name="Vírgula 3" xfId="6"/>
    <cellStyle name="Vírgula 3 2" xfId="57"/>
    <cellStyle name="Vírgula 4" xfId="50"/>
    <cellStyle name="Vírgula 4 2" xfId="58"/>
    <cellStyle name="Vírgula 5" xfId="54"/>
    <cellStyle name="Vírgula 6" xfId="59"/>
  </cellStyles>
  <dxfs count="242">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7"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7"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6666"/>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6" formatCode="_-* #,##0_-;\-* #,##0_-;_-* &quot;-&quot;??_-;_-@_-"/>
    </dxf>
    <dxf>
      <numFmt numFmtId="166" formatCode="_-* #,##0_-;\-* #,##0_-;_-* &quot;-&quot;??_-;_-@_-"/>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39994506668294322"/>
        </patternFill>
      </fill>
      <border>
        <vertical/>
        <horizontal/>
      </border>
    </dxf>
    <dxf>
      <font>
        <color rgb="FF9C0006"/>
      </font>
      <fill>
        <patternFill>
          <bgColor rgb="FFFFC7CE"/>
        </patternFill>
      </fill>
    </dxf>
    <dxf>
      <numFmt numFmtId="166" formatCode="_-* #,##0_-;\-* #,##0_-;_-* &quot;-&quot;??_-;_-@_-"/>
    </dxf>
    <dxf>
      <numFmt numFmtId="181" formatCode="_(* #,##0_);_(* \(#,##0\);_(* &quot;-&quot;??_);_(@_)"/>
    </dxf>
    <dxf>
      <numFmt numFmtId="1" formatCode="0"/>
    </dxf>
    <dxf>
      <numFmt numFmtId="174" formatCode="0.0"/>
    </dxf>
    <dxf>
      <numFmt numFmtId="167" formatCode="0.0%"/>
    </dxf>
    <dxf>
      <numFmt numFmtId="167" formatCode="0.0%"/>
    </dxf>
    <dxf>
      <numFmt numFmtId="1" formatCode="0"/>
    </dxf>
    <dxf>
      <numFmt numFmtId="1" formatCode="0"/>
    </dxf>
    <dxf>
      <numFmt numFmtId="1" formatCode="0"/>
    </dxf>
    <dxf>
      <numFmt numFmtId="1"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2" formatCode="0.00"/>
    </dxf>
    <dxf>
      <font>
        <b val="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6" tint="0.39994506668294322"/>
        </patternFill>
      </fill>
    </dxf>
    <dxf>
      <font>
        <color auto="1"/>
      </font>
      <fill>
        <patternFill>
          <bgColor rgb="FFFFC7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theme="1"/>
      </font>
      <fill>
        <patternFill>
          <bgColor rgb="FF5E9AA6"/>
        </patternFill>
      </fill>
      <border>
        <bottom/>
        <vertical/>
        <horizontal/>
      </border>
    </dxf>
    <dxf>
      <font>
        <sz val="10"/>
        <color theme="1"/>
      </font>
      <fill>
        <patternFill patternType="none">
          <bgColor auto="1"/>
        </patternFill>
      </fill>
      <border>
        <left style="thin">
          <color rgb="FF006871"/>
        </left>
        <right style="thin">
          <color rgb="FF006871"/>
        </right>
        <top style="thin">
          <color rgb="FF006871"/>
        </top>
        <bottom style="thin">
          <color rgb="FF006871"/>
        </bottom>
        <vertical/>
        <horizontal/>
      </border>
    </dxf>
  </dxfs>
  <tableStyles count="1" defaultTableStyle="TableStyleMedium2" defaultPivotStyle="PivotStyleLight16">
    <tableStyle name="CAU" pivot="0" table="0" count="10">
      <tableStyleElement type="wholeTable" dxfId="241"/>
      <tableStyleElement type="headerRow" dxfId="240"/>
    </tableStyle>
  </tableStyles>
  <colors>
    <mruColors>
      <color rgb="FF2A5664"/>
      <color rgb="FF006871"/>
      <color rgb="FF006666"/>
      <color rgb="FF9DE5C4"/>
      <color rgb="FF44A9C4"/>
      <color rgb="FF70BDD2"/>
      <color rgb="FF5E9AA6"/>
      <color rgb="FF067FAA"/>
      <color rgb="FFBA8CDC"/>
      <color rgb="FFFFF3AB"/>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3AB"/>
              <bgColor rgb="FFFFF3AB"/>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rgb="FF008F9A"/>
              <bgColor rgb="FF008F9A"/>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AU">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pivotCacheDefinition" Target="pivotCache/pivotCacheDefinition1.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07/relationships/slicerCache" Target="slicerCaches/slicerCache1.xml"/><Relationship Id="rId7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pivotCacheDefinition" Target="pivotCache/pivotCacheDefinition2.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07/relationships/slicerCache" Target="slicerCaches/slicerCache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0-5B27-44F7-B8C4-0B376E8DB1DF}"/>
            </c:ext>
          </c:extLst>
        </c:ser>
        <c:ser>
          <c:idx val="3"/>
          <c:order val="3"/>
          <c:tx>
            <c:v>Janeiro PJ</c:v>
          </c:tx>
          <c:spPr>
            <a:solidFill>
              <a:schemeClr val="accent4"/>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1-5B27-44F7-B8C4-0B376E8DB1DF}"/>
            </c:ext>
          </c:extLst>
        </c:ser>
        <c:ser>
          <c:idx val="4"/>
          <c:order val="4"/>
          <c:tx>
            <c:v>Fevereiro PF</c:v>
          </c:tx>
          <c:spPr>
            <a:solidFill>
              <a:schemeClr val="accent5"/>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2-5B27-44F7-B8C4-0B376E8DB1DF}"/>
            </c:ext>
          </c:extLst>
        </c:ser>
        <c:ser>
          <c:idx val="5"/>
          <c:order val="5"/>
          <c:tx>
            <c:v>Fevereiro PJ</c:v>
          </c:tx>
          <c:spPr>
            <a:solidFill>
              <a:schemeClr val="accent6"/>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3-5B27-44F7-B8C4-0B376E8DB1DF}"/>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4-5B27-44F7-B8C4-0B376E8DB1DF}"/>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5-5B27-44F7-B8C4-0B376E8DB1DF}"/>
            </c:ext>
          </c:extLst>
        </c:ser>
        <c:ser>
          <c:idx val="10"/>
          <c:order val="10"/>
          <c:tx>
            <c:strRef>
              <c:f>'EXERCÍCIOS ANTERIORES'!$AD$2:$AD$3</c:f>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AE3ED08B-91C5-48AE-B339-5126C8F0039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1E2E1218-9A48-4BB0-9857-BF408C899E3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3617A94-7827-4111-818F-758BB1985E2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9DD4202-E9CE-40EC-A400-5EC85219801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A3E88F5-7FCD-4385-A687-C5DF798ED48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E55F06DE-8575-4C13-B8AD-24670239DF7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6141D23-1848-4AF2-8623-04C2EF86E7B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6FC0AD79-919A-43DF-9E79-0F82E7CEC8A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70B5BCB2-9B10-4B9F-81CB-74CF959699E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20785FA9-E4E2-4DAA-B3A7-80E194AB296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DA8FA7C5-383C-4059-9ACD-2439A9BFD8B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A1D8DEC3-44D6-4186-B69A-BCCB5D09426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4B37D43B-083E-4047-A90D-2665C69B4B9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B4365887-B3D5-400A-827C-F5916906651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5609BBB8-DFBD-4BDE-B438-699D2B0A0CD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C607B5F7-B062-4A6D-8078-F1CFE0C751C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EC55B117-221D-42B5-994E-193E9AE3096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42D0E91D-747B-49C8-B097-A796E7A5933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40F4B27E-CD49-47A8-949B-8C97F75A5EA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148EBF7C-2E5D-4AFC-B2E4-7C0E98B6FB3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567B25B7-65EB-4A23-8822-A3D950F50E2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648686FC-D0AE-45FF-98F6-A2E995F845C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18A6601F-FCE2-4326-94E9-7C69E088716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F447500F-DB87-442B-B07C-A2AB73E2EC3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6339177C-64CE-4A49-8036-D6958C138C1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1F56CAF0-170F-4202-BDBF-97DA05D6CBD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1DC59F16-6D25-4FCF-9398-5C1185EA06D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xmlns:c16r2="http://schemas.microsoft.com/office/drawing/2015/06/chart"/>
            </c:strRef>
          </c:cat>
          <c:val>
            <c:numRef>
              <c:f>'EXERCÍCIOS ANTERIORES'!$AD$4:$AD$30</c:f>
              <c:numCache>
                <c:formatCode>0.0%</c:formatCode>
                <c:ptCount val="27"/>
                <c:pt idx="0">
                  <c:v>1.853368077194949</c:v>
                </c:pt>
                <c:pt idx="1">
                  <c:v>1.2677617734812703</c:v>
                </c:pt>
                <c:pt idx="2">
                  <c:v>2.1691455125015504</c:v>
                </c:pt>
                <c:pt idx="3">
                  <c:v>1.3256723893894409</c:v>
                </c:pt>
                <c:pt idx="4">
                  <c:v>1.2026288000000003</c:v>
                </c:pt>
                <c:pt idx="5">
                  <c:v>0.99527253208061472</c:v>
                </c:pt>
                <c:pt idx="6">
                  <c:v>1.4183654749999999</c:v>
                </c:pt>
                <c:pt idx="7">
                  <c:v>1.2320558354644882</c:v>
                </c:pt>
                <c:pt idx="8">
                  <c:v>1.73800964</c:v>
                </c:pt>
                <c:pt idx="9">
                  <c:v>2.4722930000000001</c:v>
                </c:pt>
                <c:pt idx="10">
                  <c:v>2.6274644979486221</c:v>
                </c:pt>
                <c:pt idx="11">
                  <c:v>1.2564909087997154</c:v>
                </c:pt>
                <c:pt idx="12">
                  <c:v>1.22596207333282</c:v>
                </c:pt>
                <c:pt idx="13">
                  <c:v>1.0727957702360122</c:v>
                </c:pt>
                <c:pt idx="14">
                  <c:v>1.6828008057126647</c:v>
                </c:pt>
                <c:pt idx="15">
                  <c:v>1.3874171005102747</c:v>
                </c:pt>
                <c:pt idx="16">
                  <c:v>1.1271434081275338</c:v>
                </c:pt>
                <c:pt idx="17">
                  <c:v>1.4889554773259246</c:v>
                </c:pt>
                <c:pt idx="18">
                  <c:v>1.3769517888888889</c:v>
                </c:pt>
                <c:pt idx="19">
                  <c:v>1.2984644585153262</c:v>
                </c:pt>
                <c:pt idx="20">
                  <c:v>1.275277889462535</c:v>
                </c:pt>
                <c:pt idx="21">
                  <c:v>1.7387697985545136</c:v>
                </c:pt>
                <c:pt idx="22">
                  <c:v>2.0171062906284543</c:v>
                </c:pt>
                <c:pt idx="23">
                  <c:v>1.4412822500071001</c:v>
                </c:pt>
                <c:pt idx="24">
                  <c:v>1.468087211847064</c:v>
                </c:pt>
                <c:pt idx="25">
                  <c:v>3.1262056875749233</c:v>
                </c:pt>
                <c:pt idx="26">
                  <c:v>1.4307940276009232</c:v>
                </c:pt>
              </c:numCache>
              <c:extLst xmlns:c16r2="http://schemas.microsoft.com/office/drawing/2015/06/chart"/>
            </c:numRef>
          </c:val>
          <c:extLst xmlns:c16r2="http://schemas.microsoft.com/office/drawing/2015/06/chart" xmlns:c15="http://schemas.microsoft.com/office/drawing/2012/chart">
            <c:ext xmlns:c16="http://schemas.microsoft.com/office/drawing/2014/chart" uri="{C3380CC4-5D6E-409C-BE32-E72D297353CC}">
              <c16:uniqueId val="{00000021-5B27-44F7-B8C4-0B376E8DB1DF}"/>
            </c:ext>
            <c:ext xmlns:c15="http://schemas.microsoft.com/office/drawing/2012/chart" uri="{02D57815-91ED-43cb-92C2-25804820EDAC}">
              <c15:datalabelsRange>
                <c15:f>'EXERCÍCIOS ANTERIORES'!$AB$4:$AB$30</c15:f>
                <c15:dlblRangeCache>
                  <c:ptCount val="27"/>
                  <c:pt idx="0">
                    <c:v> 35.449 </c:v>
                  </c:pt>
                  <c:pt idx="1">
                    <c:v> 182.612 </c:v>
                  </c:pt>
                  <c:pt idx="2">
                    <c:v> 62.252 </c:v>
                  </c:pt>
                  <c:pt idx="3">
                    <c:v> 178.101 </c:v>
                  </c:pt>
                  <c:pt idx="4">
                    <c:v> 360.789 </c:v>
                  </c:pt>
                  <c:pt idx="5">
                    <c:v> 171.491 </c:v>
                  </c:pt>
                  <c:pt idx="6">
                    <c:v> 453.877 </c:v>
                  </c:pt>
                  <c:pt idx="7">
                    <c:v> 156.727 </c:v>
                  </c:pt>
                  <c:pt idx="8">
                    <c:v> 347.602 </c:v>
                  </c:pt>
                  <c:pt idx="9">
                    <c:v> 178.005 </c:v>
                  </c:pt>
                  <c:pt idx="10">
                    <c:v> 267.002 </c:v>
                  </c:pt>
                  <c:pt idx="11">
                    <c:v> 228.301 </c:v>
                  </c:pt>
                  <c:pt idx="12">
                    <c:v> 1.347.252 </c:v>
                  </c:pt>
                  <c:pt idx="13">
                    <c:v> 285.817 </c:v>
                  </c:pt>
                  <c:pt idx="14">
                    <c:v> 257.481 </c:v>
                  </c:pt>
                  <c:pt idx="15">
                    <c:v> 977.570 </c:v>
                  </c:pt>
                  <c:pt idx="16">
                    <c:v> 362.496 </c:v>
                  </c:pt>
                  <c:pt idx="17">
                    <c:v> 82.143 </c:v>
                  </c:pt>
                  <c:pt idx="18">
                    <c:v> 991.405 </c:v>
                  </c:pt>
                  <c:pt idx="19">
                    <c:v> 249.700 </c:v>
                  </c:pt>
                  <c:pt idx="20">
                    <c:v> 973.907 </c:v>
                  </c:pt>
                  <c:pt idx="21">
                    <c:v> 72.366 </c:v>
                  </c:pt>
                  <c:pt idx="22">
                    <c:v> 5.967 </c:v>
                  </c:pt>
                  <c:pt idx="23">
                    <c:v> 484.391 </c:v>
                  </c:pt>
                  <c:pt idx="24">
                    <c:v> 4.338.348 </c:v>
                  </c:pt>
                  <c:pt idx="25">
                    <c:v> 129.505 </c:v>
                  </c:pt>
                  <c:pt idx="26">
                    <c:v> 71.531 </c:v>
                  </c:pt>
                </c15:dlblRangeCache>
              </c15:datalabelsRange>
            </c:ext>
          </c:extLst>
        </c:ser>
        <c:dLbls>
          <c:showLegendKey val="0"/>
          <c:showVal val="0"/>
          <c:showCatName val="0"/>
          <c:showSerName val="0"/>
          <c:showPercent val="0"/>
          <c:showBubbleSize val="0"/>
        </c:dLbls>
        <c:gapWidth val="219"/>
        <c:overlap val="-27"/>
        <c:axId val="444107000"/>
        <c:axId val="4441081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xmlns:c16r2="http://schemas.microsoft.com/office/drawing/2015/06/char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c:ext uri="{02D57815-91ED-43cb-92C2-25804820EDAC}">
                        <c15:formulaRef>
                          <c15:sqref>'EXERCÍCIOS ANTERIORES'!$B$4:$B$30</c15:sqref>
                        </c15:formulaRef>
                      </c:ext>
                    </c:extLst>
                    <c:numCache>
                      <c:formatCode>_-* #,##0_-;\-* #,##0_-;_-* "-"??_-;_-@_-</c:formatCode>
                      <c:ptCount val="27"/>
                      <c:pt idx="0">
                        <c:v>19126.64</c:v>
                      </c:pt>
                      <c:pt idx="1">
                        <c:v>144042.57</c:v>
                      </c:pt>
                      <c:pt idx="2">
                        <c:v>28698.84</c:v>
                      </c:pt>
                      <c:pt idx="3">
                        <c:v>134347.413</c:v>
                      </c:pt>
                      <c:pt idx="4">
                        <c:v>300000</c:v>
                      </c:pt>
                      <c:pt idx="5">
                        <c:v>172305.77</c:v>
                      </c:pt>
                      <c:pt idx="6">
                        <c:v>320000</c:v>
                      </c:pt>
                      <c:pt idx="7">
                        <c:v>127208.04</c:v>
                      </c:pt>
                      <c:pt idx="8">
                        <c:v>200000</c:v>
                      </c:pt>
                      <c:pt idx="9">
                        <c:v>72000</c:v>
                      </c:pt>
                      <c:pt idx="10">
                        <c:v>101619.48</c:v>
                      </c:pt>
                      <c:pt idx="11">
                        <c:v>181697.13</c:v>
                      </c:pt>
                      <c:pt idx="12">
                        <c:v>1098934.42</c:v>
                      </c:pt>
                      <c:pt idx="13">
                        <c:v>266422.43</c:v>
                      </c:pt>
                      <c:pt idx="14">
                        <c:v>153007.4</c:v>
                      </c:pt>
                      <c:pt idx="15">
                        <c:v>704597.22</c:v>
                      </c:pt>
                      <c:pt idx="16">
                        <c:v>321606.04000000004</c:v>
                      </c:pt>
                      <c:pt idx="17">
                        <c:v>55168.07</c:v>
                      </c:pt>
                      <c:pt idx="18">
                        <c:v>720000</c:v>
                      </c:pt>
                      <c:pt idx="19">
                        <c:v>192304.15</c:v>
                      </c:pt>
                      <c:pt idx="20">
                        <c:v>763682.25</c:v>
                      </c:pt>
                      <c:pt idx="21">
                        <c:v>41619.199999999997</c:v>
                      </c:pt>
                      <c:pt idx="22">
                        <c:v>2958.21</c:v>
                      </c:pt>
                      <c:pt idx="23">
                        <c:v>336083.68936591974</c:v>
                      </c:pt>
                      <c:pt idx="24">
                        <c:v>2955102.1689929012</c:v>
                      </c:pt>
                      <c:pt idx="25">
                        <c:v>41425.74</c:v>
                      </c:pt>
                      <c:pt idx="26">
                        <c:v>49993.98</c:v>
                      </c:pt>
                    </c:numCache>
                  </c:numRef>
                </c:val>
                <c:extLst xmlns:c16r2="http://schemas.microsoft.com/office/drawing/2015/06/chart">
                  <c:ext xmlns:c16="http://schemas.microsoft.com/office/drawing/2014/chart" uri="{C3380CC4-5D6E-409C-BE32-E72D297353CC}">
                    <c16:uniqueId val="{00000022-5B27-44F7-B8C4-0B376E8DB1DF}"/>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5192.82</c:v>
                      </c:pt>
                      <c:pt idx="2">
                        <c:v>6948.27</c:v>
                      </c:pt>
                      <c:pt idx="3">
                        <c:v>15180.37</c:v>
                      </c:pt>
                      <c:pt idx="4">
                        <c:v>25000</c:v>
                      </c:pt>
                      <c:pt idx="5">
                        <c:v>8679</c:v>
                      </c:pt>
                      <c:pt idx="6">
                        <c:v>30000</c:v>
                      </c:pt>
                      <c:pt idx="7">
                        <c:v>25044.92</c:v>
                      </c:pt>
                      <c:pt idx="8">
                        <c:v>30000</c:v>
                      </c:pt>
                      <c:pt idx="9">
                        <c:v>5671</c:v>
                      </c:pt>
                      <c:pt idx="10">
                        <c:v>16067.46</c:v>
                      </c:pt>
                      <c:pt idx="11">
                        <c:v>24717.03</c:v>
                      </c:pt>
                      <c:pt idx="12">
                        <c:v>169602.58000000002</c:v>
                      </c:pt>
                      <c:pt idx="13">
                        <c:v>12982.24</c:v>
                      </c:pt>
                      <c:pt idx="14">
                        <c:v>14275.61</c:v>
                      </c:pt>
                      <c:pt idx="15">
                        <c:v>187730.11</c:v>
                      </c:pt>
                      <c:pt idx="16">
                        <c:v>24973.199999999997</c:v>
                      </c:pt>
                      <c:pt idx="17">
                        <c:v>16377.880000000001</c:v>
                      </c:pt>
                      <c:pt idx="18">
                        <c:v>140000</c:v>
                      </c:pt>
                      <c:pt idx="19">
                        <c:v>11774</c:v>
                      </c:pt>
                      <c:pt idx="20">
                        <c:v>114583.78</c:v>
                      </c:pt>
                      <c:pt idx="21">
                        <c:v>6861.61</c:v>
                      </c:pt>
                      <c:pt idx="22">
                        <c:v>810.78</c:v>
                      </c:pt>
                      <c:pt idx="23">
                        <c:v>73316.311999999947</c:v>
                      </c:pt>
                      <c:pt idx="24">
                        <c:v>421066.2122784832</c:v>
                      </c:pt>
                      <c:pt idx="25">
                        <c:v>2298.14</c:v>
                      </c:pt>
                      <c:pt idx="26">
                        <c:v>9444.98</c:v>
                      </c:pt>
                    </c:numCache>
                  </c:numRef>
                </c:val>
                <c:extLst xmlns:c16r2="http://schemas.microsoft.com/office/drawing/2015/06/chart" xmlns:c15="http://schemas.microsoft.com/office/drawing/2012/chart">
                  <c:ext xmlns:c16="http://schemas.microsoft.com/office/drawing/2014/chart" uri="{C3380CC4-5D6E-409C-BE32-E72D297353CC}">
                    <c16:uniqueId val="{00000023-5B27-44F7-B8C4-0B376E8DB1DF}"/>
                  </c:ext>
                </c:extLst>
              </c15:ser>
            </c15:filteredBarSeries>
            <c15:filteredBa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Dez.(B)</c:v>
                      </c:pt>
                      <c:pt idx="1">
                        <c:v>PF</c:v>
                      </c:pt>
                    </c:strCache>
                  </c:strRef>
                </c:tx>
                <c:spPr>
                  <a:solidFill>
                    <a:schemeClr val="accent3">
                      <a:lumMod val="60000"/>
                    </a:schemeClr>
                  </a:solidFill>
                  <a:ln>
                    <a:noFill/>
                  </a:ln>
                  <a:effectLst/>
                </c:spPr>
                <c:invertIfNegative val="0"/>
                <c:dLbls>
                  <c:dLbl>
                    <c:idx val="0"/>
                    <c:tx>
                      <c:rich>
                        <a:bodyPr/>
                        <a:lstStyle/>
                        <a:p>
                          <a:fld id="{5BF0F980-4023-471C-92A8-597FB9EE8B00}"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4-5B27-44F7-B8C4-0B376E8DB1DF}"/>
                      </c:ext>
                      <c:ext xmlns:c15="http://schemas.microsoft.com/office/drawing/2012/chart" uri="{CE6537A1-D6FC-4f65-9D91-7224C49458BB}">
                        <c15:dlblFieldTable/>
                        <c15:showDataLabelsRange val="1"/>
                      </c:ext>
                    </c:extLst>
                  </c:dLbl>
                  <c:dLbl>
                    <c:idx val="1"/>
                    <c:tx>
                      <c:rich>
                        <a:bodyPr/>
                        <a:lstStyle/>
                        <a:p>
                          <a:fld id="{957A360A-FDAF-4B4C-A180-416FA9E327A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AB9E45F-1D16-4D5A-9784-B14D887CFED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8D092F5-42A8-4A08-BCFE-AD887DD2B00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4AEC6CE-0781-41D8-BF61-F8E65650C1E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5D1F1F7-251A-4416-BA5D-BDC87927903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0655C54C-6FB9-4E78-8E6E-FB455D3D9A4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21C1D334-68DD-4E32-9DA5-919FBEF1E4A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A767401-CEAD-480A-B16D-FC5A020F113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9D7CC20D-228E-49AA-A1B8-D242EF00974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A732B594-7633-49B1-B610-B02BA33FA8C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E2B8ADAA-0CA0-4B68-A254-5127039DB88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CFBA4A3C-0CAF-4CAD-B805-8BD07F6C6EA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8EE054FC-E151-4486-A218-B450118EC44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5BC37DCD-9EE2-447D-9019-0BFD46FB1E3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63B7F892-7CF1-4D78-BC66-73DF6EEC2B5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9255D0F8-0E1D-4EB6-846F-D5994055237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58BA3287-AF02-490F-AE95-A372D11BE74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EA3060A0-D85D-450B-B4C7-9C6CE9DFAA6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432C836B-7CC8-4C2B-BBF2-5D39071CEDA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85CEA419-495B-499E-B089-EF92F2E5632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1643E0B6-3D7E-4864-A07E-25204C37248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354A41CA-E3DE-4953-9B72-5EAE2F4F564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35471FED-A5CA-40FE-91C0-86A8F49AFEF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4B3F086E-9B15-4C59-B250-CA0B76307EF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6736C6C4-DA32-4118-A4EB-F656380CAA2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46D1A85F-66FF-4999-B3CF-911C7C4432C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35448.703999999998</c:v>
                      </c:pt>
                      <c:pt idx="1">
                        <c:v>182611.66400000002</c:v>
                      </c:pt>
                      <c:pt idx="2">
                        <c:v>62251.96</c:v>
                      </c:pt>
                      <c:pt idx="3">
                        <c:v>178100.65600000002</c:v>
                      </c:pt>
                      <c:pt idx="4">
                        <c:v>360788.64000000007</c:v>
                      </c:pt>
                      <c:pt idx="5">
                        <c:v>171491.20000000001</c:v>
                      </c:pt>
                      <c:pt idx="6">
                        <c:v>453876.95199999999</c:v>
                      </c:pt>
                      <c:pt idx="7">
                        <c:v>156727.40800000002</c:v>
                      </c:pt>
                      <c:pt idx="8">
                        <c:v>347601.92800000001</c:v>
                      </c:pt>
                      <c:pt idx="9">
                        <c:v>178005.09600000002</c:v>
                      </c:pt>
                      <c:pt idx="10">
                        <c:v>267001.57600000006</c:v>
                      </c:pt>
                      <c:pt idx="11">
                        <c:v>228300.79200000004</c:v>
                      </c:pt>
                      <c:pt idx="12">
                        <c:v>1347251.92</c:v>
                      </c:pt>
                      <c:pt idx="13">
                        <c:v>285816.85600000003</c:v>
                      </c:pt>
                      <c:pt idx="14">
                        <c:v>257480.97599999997</c:v>
                      </c:pt>
                      <c:pt idx="15">
                        <c:v>977570.23200000008</c:v>
                      </c:pt>
                      <c:pt idx="16">
                        <c:v>362496.12800000003</c:v>
                      </c:pt>
                      <c:pt idx="17">
                        <c:v>82142.800000000017</c:v>
                      </c:pt>
                      <c:pt idx="18">
                        <c:v>991405.28800000006</c:v>
                      </c:pt>
                      <c:pt idx="19">
                        <c:v>249700.10400000005</c:v>
                      </c:pt>
                      <c:pt idx="20">
                        <c:v>973907.08799999999</c:v>
                      </c:pt>
                      <c:pt idx="21">
                        <c:v>72366.208000000013</c:v>
                      </c:pt>
                      <c:pt idx="22">
                        <c:v>5967.0240000000003</c:v>
                      </c:pt>
                      <c:pt idx="23">
                        <c:v>484391.45600000006</c:v>
                      </c:pt>
                      <c:pt idx="24">
                        <c:v>4338347.7039999999</c:v>
                      </c:pt>
                      <c:pt idx="25">
                        <c:v>129505.38399999999</c:v>
                      </c:pt>
                      <c:pt idx="26">
                        <c:v>71531.088000000003</c:v>
                      </c:pt>
                    </c:numCache>
                  </c:numRef>
                </c:val>
                <c:extLst xmlns:c16r2="http://schemas.microsoft.com/office/drawing/2015/06/chart" xmlns:c15="http://schemas.microsoft.com/office/drawing/2012/chart">
                  <c:ext xmlns:c16="http://schemas.microsoft.com/office/drawing/2014/chart" uri="{C3380CC4-5D6E-409C-BE32-E72D297353CC}">
                    <c16:uniqueId val="{0000003F-5B27-44F7-B8C4-0B376E8DB1DF}"/>
                  </c:ext>
                  <c:ext xmlns:c15="http://schemas.microsoft.com/office/drawing/2012/chart" uri="{02D57815-91ED-43cb-92C2-25804820EDAC}">
                    <c15:datalabelsRange>
                      <c15:f>'EXERCÍCIOS ANTERIORES'!$AD$4:$AD$30</c15:f>
                      <c15:dlblRangeCache>
                        <c:ptCount val="27"/>
                        <c:pt idx="0">
                          <c:v>185,3%</c:v>
                        </c:pt>
                        <c:pt idx="1">
                          <c:v>126,8%</c:v>
                        </c:pt>
                        <c:pt idx="2">
                          <c:v>216,9%</c:v>
                        </c:pt>
                        <c:pt idx="3">
                          <c:v>132,6%</c:v>
                        </c:pt>
                        <c:pt idx="4">
                          <c:v>120,3%</c:v>
                        </c:pt>
                        <c:pt idx="5">
                          <c:v>99,5%</c:v>
                        </c:pt>
                        <c:pt idx="6">
                          <c:v>141,8%</c:v>
                        </c:pt>
                        <c:pt idx="7">
                          <c:v>123,2%</c:v>
                        </c:pt>
                        <c:pt idx="8">
                          <c:v>173,8%</c:v>
                        </c:pt>
                        <c:pt idx="9">
                          <c:v>247,2%</c:v>
                        </c:pt>
                        <c:pt idx="10">
                          <c:v>262,7%</c:v>
                        </c:pt>
                        <c:pt idx="11">
                          <c:v>125,6%</c:v>
                        </c:pt>
                        <c:pt idx="12">
                          <c:v>122,6%</c:v>
                        </c:pt>
                        <c:pt idx="13">
                          <c:v>107,3%</c:v>
                        </c:pt>
                        <c:pt idx="14">
                          <c:v>168,3%</c:v>
                        </c:pt>
                        <c:pt idx="15">
                          <c:v>138,7%</c:v>
                        </c:pt>
                        <c:pt idx="16">
                          <c:v>112,7%</c:v>
                        </c:pt>
                        <c:pt idx="17">
                          <c:v>148,9%</c:v>
                        </c:pt>
                        <c:pt idx="18">
                          <c:v>137,7%</c:v>
                        </c:pt>
                        <c:pt idx="19">
                          <c:v>129,8%</c:v>
                        </c:pt>
                        <c:pt idx="20">
                          <c:v>127,5%</c:v>
                        </c:pt>
                        <c:pt idx="21">
                          <c:v>173,9%</c:v>
                        </c:pt>
                        <c:pt idx="22">
                          <c:v>201,7%</c:v>
                        </c:pt>
                        <c:pt idx="23">
                          <c:v>144,1%</c:v>
                        </c:pt>
                        <c:pt idx="24">
                          <c:v>146,8%</c:v>
                        </c:pt>
                        <c:pt idx="25">
                          <c:v>312,6%</c:v>
                        </c:pt>
                        <c:pt idx="26">
                          <c:v>143,1%</c:v>
                        </c:pt>
                      </c15:dlblRangeCache>
                    </c15:datalabelsRange>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Dez.(B)</c:v>
                      </c:pt>
                      <c:pt idx="1">
                        <c:v>PJ</c:v>
                      </c:pt>
                    </c:strCache>
                  </c:strRef>
                </c:tx>
                <c:spPr>
                  <a:solidFill>
                    <a:schemeClr val="accent4">
                      <a:lumMod val="60000"/>
                    </a:schemeClr>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5183.0800000000008</c:v>
                      </c:pt>
                      <c:pt idx="1">
                        <c:v>5401.768</c:v>
                      </c:pt>
                      <c:pt idx="2">
                        <c:v>11039.032000000001</c:v>
                      </c:pt>
                      <c:pt idx="3">
                        <c:v>18235.488000000001</c:v>
                      </c:pt>
                      <c:pt idx="4">
                        <c:v>33370.375999999997</c:v>
                      </c:pt>
                      <c:pt idx="5">
                        <c:v>7642.0319999999992</c:v>
                      </c:pt>
                      <c:pt idx="6">
                        <c:v>27478.191999999999</c:v>
                      </c:pt>
                      <c:pt idx="7">
                        <c:v>26498.400000000001</c:v>
                      </c:pt>
                      <c:pt idx="8">
                        <c:v>34313.144</c:v>
                      </c:pt>
                      <c:pt idx="9">
                        <c:v>8980.1920000000009</c:v>
                      </c:pt>
                      <c:pt idx="10">
                        <c:v>35888.976000000002</c:v>
                      </c:pt>
                      <c:pt idx="11">
                        <c:v>32443.696000000007</c:v>
                      </c:pt>
                      <c:pt idx="12">
                        <c:v>163626.35200000001</c:v>
                      </c:pt>
                      <c:pt idx="13">
                        <c:v>14935.704000000002</c:v>
                      </c:pt>
                      <c:pt idx="14">
                        <c:v>21381.648000000001</c:v>
                      </c:pt>
                      <c:pt idx="15">
                        <c:v>233059.16000000003</c:v>
                      </c:pt>
                      <c:pt idx="16">
                        <c:v>31026.512000000002</c:v>
                      </c:pt>
                      <c:pt idx="17">
                        <c:v>12088.040000000005</c:v>
                      </c:pt>
                      <c:pt idx="18">
                        <c:v>123888.24</c:v>
                      </c:pt>
                      <c:pt idx="19">
                        <c:v>10941.432000000001</c:v>
                      </c:pt>
                      <c:pt idx="20">
                        <c:v>176156.84800000003</c:v>
                      </c:pt>
                      <c:pt idx="21">
                        <c:v>12175.887999999999</c:v>
                      </c:pt>
                      <c:pt idx="22">
                        <c:v>1822.8400000000001</c:v>
                      </c:pt>
                      <c:pt idx="23">
                        <c:v>65958.895999999993</c:v>
                      </c:pt>
                      <c:pt idx="24">
                        <c:v>574729.56000000006</c:v>
                      </c:pt>
                      <c:pt idx="25">
                        <c:v>6979.48</c:v>
                      </c:pt>
                      <c:pt idx="26">
                        <c:v>13609.960000000001</c:v>
                      </c:pt>
                    </c:numCache>
                  </c:numRef>
                </c:val>
                <c:extLst xmlns:c16r2="http://schemas.microsoft.com/office/drawing/2015/06/chart" xmlns:c15="http://schemas.microsoft.com/office/drawing/2012/chart">
                  <c:ext xmlns:c16="http://schemas.microsoft.com/office/drawing/2014/chart" uri="{C3380CC4-5D6E-409C-BE32-E72D297353CC}">
                    <c16:uniqueId val="{00000040-5B27-44F7-B8C4-0B376E8DB1DF}"/>
                  </c:ext>
                </c:extLst>
              </c15:ser>
            </c15:filteredBarSeries>
            <c15:filteredBar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'EXERCÍCIOS ANTERIORES'!$AE$2:$AE$3</c15:sqref>
                        </c15:formulaRef>
                      </c:ext>
                    </c:extLst>
                    <c:strCache>
                      <c:ptCount val="2"/>
                      <c:pt idx="0">
                        <c:v>EXECUÇÃO % (C = B/A)</c:v>
                      </c:pt>
                      <c:pt idx="1">
                        <c:v>PJ</c:v>
                      </c:pt>
                    </c:strCache>
                  </c:strRef>
                </c:tx>
                <c:spPr>
                  <a:solidFill>
                    <a:schemeClr val="accent6">
                      <a:lumMod val="60000"/>
                    </a:schemeClr>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ANTERIORES'!$AE$4:$AE$30</c15:sqref>
                        </c15:formulaRef>
                      </c:ext>
                    </c:extLst>
                    <c:numCache>
                      <c:formatCode>0.0%</c:formatCode>
                      <c:ptCount val="27"/>
                      <c:pt idx="0">
                        <c:v>1.875272259423975</c:v>
                      </c:pt>
                      <c:pt idx="1">
                        <c:v>1.0402378669008363</c:v>
                      </c:pt>
                      <c:pt idx="2">
                        <c:v>1.5887453999340844</c:v>
                      </c:pt>
                      <c:pt idx="3">
                        <c:v>1.2012545148767784</c:v>
                      </c:pt>
                      <c:pt idx="4">
                        <c:v>1.3348150399999998</c:v>
                      </c:pt>
                      <c:pt idx="5">
                        <c:v>0.88051987556170053</c:v>
                      </c:pt>
                      <c:pt idx="6">
                        <c:v>0.91593973333333334</c:v>
                      </c:pt>
                      <c:pt idx="7">
                        <c:v>1.0580349228506221</c:v>
                      </c:pt>
                      <c:pt idx="8">
                        <c:v>1.1437714666666667</c:v>
                      </c:pt>
                      <c:pt idx="9">
                        <c:v>1.5835288308940223</c:v>
                      </c:pt>
                      <c:pt idx="10">
                        <c:v>2.23364340101049</c:v>
                      </c:pt>
                      <c:pt idx="11">
                        <c:v>1.312604952941353</c:v>
                      </c:pt>
                      <c:pt idx="12">
                        <c:v>0.96476334263311325</c:v>
                      </c:pt>
                      <c:pt idx="13">
                        <c:v>1.1504720294802748</c:v>
                      </c:pt>
                      <c:pt idx="14">
                        <c:v>1.4977747360708229</c:v>
                      </c:pt>
                      <c:pt idx="15">
                        <c:v>1.2414586024586043</c:v>
                      </c:pt>
                      <c:pt idx="16">
                        <c:v>1.2423923245719413</c:v>
                      </c:pt>
                      <c:pt idx="17">
                        <c:v>0.73807110566202727</c:v>
                      </c:pt>
                      <c:pt idx="18">
                        <c:v>0.88491600000000004</c:v>
                      </c:pt>
                      <c:pt idx="19">
                        <c:v>0.92928758280958046</c:v>
                      </c:pt>
                      <c:pt idx="20">
                        <c:v>1.5373628623527695</c:v>
                      </c:pt>
                      <c:pt idx="21">
                        <c:v>1.7744943242183686</c:v>
                      </c:pt>
                      <c:pt idx="22">
                        <c:v>2.2482547670144801</c:v>
                      </c:pt>
                      <c:pt idx="23">
                        <c:v>0.8996483074598739</c:v>
                      </c:pt>
                      <c:pt idx="24">
                        <c:v>1.3649386800475161</c:v>
                      </c:pt>
                      <c:pt idx="25">
                        <c:v>3.037012540576292</c:v>
                      </c:pt>
                      <c:pt idx="26">
                        <c:v>1.4409728765968801</c:v>
                      </c:pt>
                    </c:numCache>
                  </c:numRef>
                </c:val>
                <c:extLst xmlns:c16r2="http://schemas.microsoft.com/office/drawing/2015/06/chart" xmlns:c15="http://schemas.microsoft.com/office/drawing/2012/chart">
                  <c:ext xmlns:c16="http://schemas.microsoft.com/office/drawing/2014/chart" uri="{C3380CC4-5D6E-409C-BE32-E72D297353CC}">
                    <c16:uniqueId val="{00000041-5B27-44F7-B8C4-0B376E8DB1DF}"/>
                  </c:ext>
                </c:extLst>
              </c15:ser>
            </c15:filteredBarSeries>
          </c:ext>
        </c:extLst>
      </c:barChart>
      <c:catAx>
        <c:axId val="44410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8176"/>
        <c:crosses val="autoZero"/>
        <c:auto val="1"/>
        <c:lblAlgn val="ctr"/>
        <c:lblOffset val="100"/>
        <c:noMultiLvlLbl val="0"/>
      </c:catAx>
      <c:valAx>
        <c:axId val="44410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7000"/>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92A-4B29-B8AD-D063CFD180FB}"/>
                </c:ext>
                <c:ext xmlns:c15="http://schemas.microsoft.com/office/drawing/2012/chart" uri="{CE6537A1-D6FC-4f65-9D91-7224C49458BB}"/>
              </c:extLst>
            </c:dLbl>
            <c:dLbl>
              <c:idx val="1"/>
              <c:layout>
                <c:manualLayout>
                  <c:x val="-2.9730929000145203E-2"/>
                  <c:y val="4.07325739747770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92A-4B29-B8AD-D063CFD180FB}"/>
                </c:ext>
                <c:ext xmlns:c15="http://schemas.microsoft.com/office/drawing/2012/chart" uri="{CE6537A1-D6FC-4f65-9D91-7224C49458BB}"/>
              </c:extLst>
            </c:dLbl>
            <c:dLbl>
              <c:idx val="2"/>
              <c:layout>
                <c:manualLayout>
                  <c:x val="-2.9728463027306622E-2"/>
                  <c:y val="3.67778702942778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92A-4B29-B8AD-D063CFD180FB}"/>
                </c:ext>
                <c:ext xmlns:c15="http://schemas.microsoft.com/office/drawing/2012/chart" uri="{CE6537A1-D6FC-4f65-9D91-7224C49458BB}"/>
              </c:extLst>
            </c:dLbl>
            <c:dLbl>
              <c:idx val="3"/>
              <c:layout>
                <c:manualLayout>
                  <c:x val="-2.973354003020965E-2"/>
                  <c:y val="3.68544148903950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92A-4B29-B8AD-D063CFD180FB}"/>
                </c:ext>
                <c:ext xmlns:c15="http://schemas.microsoft.com/office/drawing/2012/chart" uri="{CE6537A1-D6FC-4f65-9D91-7224C49458BB}"/>
              </c:extLst>
            </c:dLbl>
            <c:dLbl>
              <c:idx val="4"/>
              <c:layout>
                <c:manualLayout>
                  <c:x val="-3.3415382535487162E-2"/>
                  <c:y val="4.0757887935697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2A-4B29-B8AD-D063CFD180FB}"/>
                </c:ext>
                <c:ext xmlns:c15="http://schemas.microsoft.com/office/drawing/2012/chart" uri="{CE6537A1-D6FC-4f65-9D91-7224C49458BB}"/>
              </c:extLst>
            </c:dLbl>
            <c:dLbl>
              <c:idx val="5"/>
              <c:layout>
                <c:manualLayout>
                  <c:x val="-2.7888702232474222E-2"/>
                  <c:y val="3.68797288513156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92A-4B29-B8AD-D063CFD180FB}"/>
                </c:ext>
                <c:ext xmlns:c15="http://schemas.microsoft.com/office/drawing/2012/chart" uri="{CE6537A1-D6FC-4f65-9D91-7224C49458BB}"/>
              </c:extLst>
            </c:dLbl>
            <c:dLbl>
              <c:idx val="6"/>
              <c:layout>
                <c:manualLayout>
                  <c:x val="-2.9730929000145269E-2"/>
                  <c:y val="3.69815874083536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92A-4B29-B8AD-D063CFD180FB}"/>
                </c:ext>
                <c:ext xmlns:c15="http://schemas.microsoft.com/office/drawing/2012/chart" uri="{CE6537A1-D6FC-4f65-9D91-7224C49458BB}"/>
              </c:extLst>
            </c:dLbl>
            <c:dLbl>
              <c:idx val="7"/>
              <c:layout>
                <c:manualLayout>
                  <c:x val="-2.6046475464803241E-2"/>
                  <c:y val="4.0757887935697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92A-4B29-B8AD-D063CFD180FB}"/>
                </c:ext>
                <c:ext xmlns:c15="http://schemas.microsoft.com/office/drawing/2012/chart" uri="{CE6537A1-D6FC-4f65-9D91-7224C49458BB}"/>
              </c:extLst>
            </c:dLbl>
            <c:dLbl>
              <c:idx val="8"/>
              <c:layout>
                <c:manualLayout>
                  <c:x val="-1.8675102421280707E-2"/>
                  <c:y val="3.30524990454527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92A-4B29-B8AD-D063CFD180FB}"/>
                </c:ext>
                <c:ext xmlns:c15="http://schemas.microsoft.com/office/drawing/2012/chart" uri="{CE6537A1-D6FC-4f65-9D91-7224C49458BB}"/>
              </c:extLst>
            </c:dLbl>
            <c:dLbl>
              <c:idx val="9"/>
              <c:layout>
                <c:manualLayout>
                  <c:x val="-2.2362021929461417E-2"/>
                  <c:y val="3.31290436415699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92A-4B29-B8AD-D063CFD180FB}"/>
                </c:ext>
                <c:ext xmlns:c15="http://schemas.microsoft.com/office/drawing/2012/chart" uri="{CE6537A1-D6FC-4f65-9D91-7224C49458BB}"/>
              </c:extLst>
            </c:dLbl>
            <c:dLbl>
              <c:idx val="10"/>
              <c:layout>
                <c:manualLayout>
                  <c:x val="-2.4201782724293647E-2"/>
                  <c:y val="3.69053441689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92A-4B29-B8AD-D063CFD180FB}"/>
                </c:ext>
                <c:ext xmlns:c15="http://schemas.microsoft.com/office/drawing/2012/chart" uri="{CE6537A1-D6FC-4f65-9D91-7224C49458BB}"/>
              </c:extLst>
            </c:dLbl>
            <c:dLbl>
              <c:idx val="11"/>
              <c:layout>
                <c:manualLayout>
                  <c:x val="-1.9788271572076542E-2"/>
                  <c:y val="3.30271850845320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92A-4B29-B8AD-D063CFD180FB}"/>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092A-4B29-B8AD-D063CFD180FB}"/>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92A-4B29-B8AD-D063CFD180FB}"/>
                </c:ext>
                <c:ext xmlns:c15="http://schemas.microsoft.com/office/drawing/2012/chart" uri="{CE6537A1-D6FC-4f65-9D91-7224C49458BB}"/>
              </c:extLst>
            </c:dLbl>
            <c:dLbl>
              <c:idx val="1"/>
              <c:layout>
                <c:manualLayout>
                  <c:x val="-3.6209184704411815E-3"/>
                  <c:y val="7.8581767258018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92A-4B29-B8AD-D063CFD180FB}"/>
                </c:ext>
                <c:ext xmlns:c15="http://schemas.microsoft.com/office/drawing/2012/chart" uri="{CE6537A1-D6FC-4f65-9D91-7224C49458BB}"/>
              </c:extLst>
            </c:dLbl>
            <c:dLbl>
              <c:idx val="2"/>
              <c:layout>
                <c:manualLayout>
                  <c:x val="-5.4631452381122287E-3"/>
                  <c:y val="1.9390795421909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92A-4B29-B8AD-D063CFD180FB}"/>
                </c:ext>
                <c:ext xmlns:c15="http://schemas.microsoft.com/office/drawing/2012/chart" uri="{CE6537A1-D6FC-4f65-9D91-7224C49458BB}"/>
              </c:extLst>
            </c:dLbl>
            <c:dLbl>
              <c:idx val="3"/>
              <c:layout>
                <c:manualLayout>
                  <c:x val="-3.6844535353419603E-3"/>
                  <c:y val="1.5308919223452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8A3-4BFA-AF9D-1E453F05FBC1}"/>
                </c:ext>
                <c:ext xmlns:c15="http://schemas.microsoft.com/office/drawing/2012/chart" uri="{CE6537A1-D6FC-4f65-9D91-7224C49458BB}"/>
              </c:extLst>
            </c:dLbl>
            <c:dLbl>
              <c:idx val="4"/>
              <c:layout>
                <c:manualLayout>
                  <c:x val="-5.5266803030129402E-3"/>
                  <c:y val="1.5308919223452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8A3-4BFA-AF9D-1E453F05FBC1}"/>
                </c:ext>
                <c:ext xmlns:c15="http://schemas.microsoft.com/office/drawing/2012/chart" uri="{CE6537A1-D6FC-4f65-9D91-7224C49458BB}"/>
              </c:extLst>
            </c:dLbl>
            <c:dLbl>
              <c:idx val="5"/>
              <c:layout>
                <c:manualLayout>
                  <c:x val="-5.513982794637060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00B-4111-9139-1667B337FCD5}"/>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092A-4B29-B8AD-D063CFD180FB}"/>
            </c:ext>
          </c:extLst>
        </c:ser>
        <c:dLbls>
          <c:showLegendKey val="0"/>
          <c:showVal val="0"/>
          <c:showCatName val="0"/>
          <c:showSerName val="0"/>
          <c:showPercent val="0"/>
          <c:showBubbleSize val="0"/>
        </c:dLbls>
        <c:marker val="1"/>
        <c:smooth val="0"/>
        <c:axId val="443961432"/>
        <c:axId val="443961824"/>
      </c:lineChart>
      <c:catAx>
        <c:axId val="44396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3961824"/>
        <c:crosses val="autoZero"/>
        <c:auto val="1"/>
        <c:lblAlgn val="ctr"/>
        <c:lblOffset val="100"/>
        <c:noMultiLvlLbl val="0"/>
      </c:catAx>
      <c:valAx>
        <c:axId val="4439618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1432"/>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32E-4220-9D81-EB21EE35C152}"/>
                </c:ext>
                <c:ext xmlns:c15="http://schemas.microsoft.com/office/drawing/2012/chart" uri="{CE6537A1-D6FC-4f65-9D91-7224C49458BB}"/>
              </c:extLst>
            </c:dLbl>
            <c:dLbl>
              <c:idx val="1"/>
              <c:layout>
                <c:manualLayout>
                  <c:x val="-2.0167143910096164E-2"/>
                  <c:y val="2.91735407289713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32E-4220-9D81-EB21EE35C152}"/>
                </c:ext>
                <c:ext xmlns:c15="http://schemas.microsoft.com/office/drawing/2012/chart" uri="{CE6537A1-D6FC-4f65-9D91-7224C49458BB}"/>
              </c:extLst>
            </c:dLbl>
            <c:dLbl>
              <c:idx val="2"/>
              <c:layout>
                <c:manualLayout>
                  <c:x val="-1.7124726461861507E-2"/>
                  <c:y val="2.6362892004318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32E-4220-9D81-EB21EE35C152}"/>
                </c:ext>
                <c:ext xmlns:c15="http://schemas.microsoft.com/office/drawing/2012/chart" uri="{CE6537A1-D6FC-4f65-9D91-7224C49458BB}"/>
              </c:extLst>
            </c:dLbl>
            <c:dLbl>
              <c:idx val="3"/>
              <c:layout>
                <c:manualLayout>
                  <c:x val="-1.2066634018586509E-2"/>
                  <c:y val="2.39232598773269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35-4E73-A50C-6940EF8196C7}"/>
                </c:ext>
                <c:ext xmlns:c15="http://schemas.microsoft.com/office/drawing/2012/chart" uri="{CE6537A1-D6FC-4f65-9D91-7224C49458BB}"/>
              </c:extLst>
            </c:dLbl>
            <c:dLbl>
              <c:idx val="4"/>
              <c:layout>
                <c:manualLayout>
                  <c:x val="-1.0043577805793E-2"/>
                  <c:y val="3.15543828696335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335-4E73-A50C-6940EF8196C7}"/>
                </c:ext>
                <c:ext xmlns:c15="http://schemas.microsoft.com/office/drawing/2012/chart" uri="{CE6537A1-D6FC-4f65-9D91-7224C49458BB}"/>
              </c:extLst>
            </c:dLbl>
            <c:dLbl>
              <c:idx val="5"/>
              <c:layout>
                <c:manualLayout>
                  <c:x val="-1.0007876813802455E-2"/>
                  <c:y val="3.15543828696336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335-4E73-A50C-6940EF8196C7}"/>
                </c:ext>
                <c:ext xmlns:c15="http://schemas.microsoft.com/office/drawing/2012/chart" uri="{CE6537A1-D6FC-4f65-9D91-7224C49458BB}"/>
              </c:extLst>
            </c:dLbl>
            <c:dLbl>
              <c:idx val="6"/>
              <c:layout>
                <c:manualLayout>
                  <c:x val="-1.5825180225988715E-2"/>
                  <c:y val="2.383705487146613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335-4E73-A50C-6940EF8196C7}"/>
                </c:ext>
                <c:ext xmlns:c15="http://schemas.microsoft.com/office/drawing/2012/chart" uri="{CE6537A1-D6FC-4f65-9D91-7224C49458BB}"/>
              </c:extLst>
            </c:dLbl>
            <c:dLbl>
              <c:idx val="7"/>
              <c:layout>
                <c:manualLayout>
                  <c:x val="-1.4000814344146555E-2"/>
                  <c:y val="2.36049410394312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335-4E73-A50C-6940EF8196C7}"/>
                </c:ext>
                <c:ext xmlns:c15="http://schemas.microsoft.com/office/drawing/2012/chart" uri="{CE6537A1-D6FC-4f65-9D91-7224C49458BB}"/>
              </c:extLst>
            </c:dLbl>
            <c:dLbl>
              <c:idx val="8"/>
              <c:layout>
                <c:manualLayout>
                  <c:x val="-1.1931512542572067E-2"/>
                  <c:y val="2.75795096488684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335-4E73-A50C-6940EF8196C7}"/>
                </c:ext>
                <c:ext xmlns:c15="http://schemas.microsoft.com/office/drawing/2012/chart" uri="{CE6537A1-D6FC-4f65-9D91-7224C49458BB}"/>
              </c:extLst>
            </c:dLbl>
            <c:dLbl>
              <c:idx val="9"/>
              <c:layout>
                <c:manualLayout>
                  <c:x val="-1.5913905476125593E-2"/>
                  <c:y val="1.60801274006418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335-4E73-A50C-6940EF8196C7}"/>
                </c:ext>
                <c:ext xmlns:c15="http://schemas.microsoft.com/office/drawing/2012/chart" uri="{CE6537A1-D6FC-4f65-9D91-7224C49458BB}"/>
              </c:extLst>
            </c:dLbl>
            <c:dLbl>
              <c:idx val="10"/>
              <c:layout>
                <c:manualLayout>
                  <c:x val="-1.2201604857504085E-2"/>
                  <c:y val="2.3923259877326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335-4E73-A50C-6940EF8196C7}"/>
                </c:ext>
                <c:ext xmlns:c15="http://schemas.microsoft.com/office/drawing/2012/chart" uri="{CE6537A1-D6FC-4f65-9D91-7224C49458BB}"/>
              </c:extLst>
            </c:dLbl>
            <c:dLbl>
              <c:idx val="11"/>
              <c:layout>
                <c:manualLayout>
                  <c:x val="-2.6045154072376004E-3"/>
                  <c:y val="2.79611876430150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335-4E73-A50C-6940EF8196C7}"/>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932E-4220-9D81-EB21EE35C152}"/>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4.2342217576499079E-2"/>
                  <c:y val="-4.17013939823121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2E-4220-9D81-EB21EE35C152}"/>
                </c:ext>
                <c:ext xmlns:c15="http://schemas.microsoft.com/office/drawing/2012/chart" uri="{CE6537A1-D6FC-4f65-9D91-7224C49458BB}"/>
              </c:extLst>
            </c:dLbl>
            <c:dLbl>
              <c:idx val="1"/>
              <c:layout>
                <c:manualLayout>
                  <c:x val="-5.5255219208880144E-2"/>
                  <c:y val="-3.40505910847665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2E-4220-9D81-EB21EE35C152}"/>
                </c:ext>
                <c:ext xmlns:c15="http://schemas.microsoft.com/office/drawing/2012/chart" uri="{CE6537A1-D6FC-4f65-9D91-7224C49458BB}"/>
              </c:extLst>
            </c:dLbl>
            <c:dLbl>
              <c:idx val="2"/>
              <c:layout>
                <c:manualLayout>
                  <c:x val="-6.5815908512668012E-2"/>
                  <c:y val="-3.10060824790000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2E-4220-9D81-EB21EE35C152}"/>
                </c:ext>
                <c:ext xmlns:c15="http://schemas.microsoft.com/office/drawing/2012/chart" uri="{CE6537A1-D6FC-4f65-9D91-7224C49458BB}"/>
              </c:extLst>
            </c:dLbl>
            <c:dLbl>
              <c:idx val="3"/>
              <c:layout>
                <c:manualLayout>
                  <c:x val="-5.1180761353028431E-2"/>
                  <c:y val="-3.51625040513307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335-4E73-A50C-6940EF8196C7}"/>
                </c:ext>
                <c:ext xmlns:c15="http://schemas.microsoft.com/office/drawing/2012/chart" uri="{CE6537A1-D6FC-4f65-9D91-7224C49458BB}"/>
              </c:extLst>
            </c:dLbl>
            <c:dLbl>
              <c:idx val="4"/>
              <c:layout>
                <c:manualLayout>
                  <c:x val="-5.7257612483356486E-2"/>
                  <c:y val="-3.50327396255473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35-4E73-A50C-6940EF8196C7}"/>
                </c:ext>
                <c:ext xmlns:c15="http://schemas.microsoft.com/office/drawing/2012/chart" uri="{CE6537A1-D6FC-4f65-9D91-7224C49458BB}"/>
              </c:extLst>
            </c:dLbl>
            <c:dLbl>
              <c:idx val="5"/>
              <c:layout>
                <c:manualLayout>
                  <c:x val="-6.5045098487287206E-2"/>
                  <c:y val="-3.48170748052315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E00-4478-8E4A-639A86905D1F}"/>
                </c:ext>
                <c:ext xmlns:c15="http://schemas.microsoft.com/office/drawing/2012/chart" uri="{CE6537A1-D6FC-4f65-9D91-7224C49458BB}"/>
              </c:extLst>
            </c:dLbl>
            <c:dLbl>
              <c:idx val="6"/>
              <c:layout>
                <c:manualLayout>
                  <c:x val="-7.6523645279161417E-2"/>
                  <c:y val="-3.09485109379836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E00-4478-8E4A-639A86905D1F}"/>
                </c:ext>
                <c:ext xmlns:c15="http://schemas.microsoft.com/office/drawing/2012/chart" uri="{CE6537A1-D6FC-4f65-9D91-7224C49458BB}"/>
              </c:extLst>
            </c:dLbl>
            <c:dLbl>
              <c:idx val="7"/>
              <c:layout>
                <c:manualLayout>
                  <c:x val="-7.8436736411140531E-2"/>
                  <c:y val="-2.32113832034876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E00-4478-8E4A-639A86905D1F}"/>
                </c:ext>
                <c:ext xmlns:c15="http://schemas.microsoft.com/office/drawing/2012/chart" uri="{CE6537A1-D6FC-4f65-9D91-7224C49458BB}"/>
              </c:extLst>
            </c:dLbl>
            <c:dLbl>
              <c:idx val="8"/>
              <c:layout>
                <c:manualLayout>
                  <c:x val="-7.6523645279161556E-2"/>
                  <c:y val="-1.93428193362397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E00-4478-8E4A-639A86905D1F}"/>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932E-4220-9D81-EB21EE35C15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932E-4220-9D81-EB21EE35C152}"/>
            </c:ext>
          </c:extLst>
        </c:ser>
        <c:dLbls>
          <c:showLegendKey val="0"/>
          <c:showVal val="0"/>
          <c:showCatName val="0"/>
          <c:showSerName val="0"/>
          <c:showPercent val="0"/>
          <c:showBubbleSize val="0"/>
        </c:dLbls>
        <c:marker val="1"/>
        <c:smooth val="0"/>
        <c:axId val="444109744"/>
        <c:axId val="444108568"/>
      </c:lineChart>
      <c:catAx>
        <c:axId val="44410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4108568"/>
        <c:crosses val="autoZero"/>
        <c:auto val="1"/>
        <c:lblAlgn val="ctr"/>
        <c:lblOffset val="100"/>
        <c:noMultiLvlLbl val="0"/>
      </c:catAx>
      <c:valAx>
        <c:axId val="44410856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4109744"/>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0706108160907121E-3"/>
                  <c:y val="-6.737442295337425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348-41A7-92E4-37394D2D7396}"/>
                </c:ext>
                <c:ext xmlns:c15="http://schemas.microsoft.com/office/drawing/2012/chart" uri="{CE6537A1-D6FC-4f65-9D91-7224C49458BB}"/>
              </c:extLst>
            </c:dLbl>
            <c:dLbl>
              <c:idx val="1"/>
              <c:layout>
                <c:manualLayout>
                  <c:x val="8.8427089635793963E-3"/>
                  <c:y val="-2.935831162518875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348-41A7-92E4-37394D2D7396}"/>
                </c:ext>
                <c:ext xmlns:c15="http://schemas.microsoft.com/office/drawing/2012/chart" uri="{CE6537A1-D6FC-4f65-9D91-7224C49458BB}"/>
              </c:extLst>
            </c:dLbl>
            <c:dLbl>
              <c:idx val="2"/>
              <c:layout>
                <c:manualLayout>
                  <c:x val="4.7209849704495793E-3"/>
                  <c:y val="-3.00517909944844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348-41A7-92E4-37394D2D7396}"/>
                </c:ext>
                <c:ext xmlns:c15="http://schemas.microsoft.com/office/drawing/2012/chart" uri="{CE6537A1-D6FC-4f65-9D91-7224C49458BB}"/>
              </c:extLst>
            </c:dLbl>
            <c:dLbl>
              <c:idx val="3"/>
              <c:layout>
                <c:manualLayout>
                  <c:x val="8.196637846514648E-3"/>
                  <c:y val="-3.44662301514442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348-41A7-92E4-37394D2D7396}"/>
                </c:ext>
                <c:ext xmlns:c15="http://schemas.microsoft.com/office/drawing/2012/chart" uri="{CE6537A1-D6FC-4f65-9D91-7224C49458BB}"/>
              </c:extLst>
            </c:dLbl>
            <c:dLbl>
              <c:idx val="4"/>
              <c:layout>
                <c:manualLayout>
                  <c:x val="-4.9710696618468941E-2"/>
                  <c:y val="-3.45719322931958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348-41A7-92E4-37394D2D7396}"/>
                </c:ext>
                <c:ext xmlns:c15="http://schemas.microsoft.com/office/drawing/2012/chart" uri="{CE6537A1-D6FC-4f65-9D91-7224C49458BB}"/>
              </c:extLst>
            </c:dLbl>
            <c:dLbl>
              <c:idx val="5"/>
              <c:layout>
                <c:manualLayout>
                  <c:x val="-5.1388718543548095E-2"/>
                  <c:y val="-4.21467432895177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348-41A7-92E4-37394D2D7396}"/>
                </c:ext>
                <c:ext xmlns:c15="http://schemas.microsoft.com/office/drawing/2012/chart" uri="{CE6537A1-D6FC-4f65-9D91-7224C49458BB}"/>
              </c:extLst>
            </c:dLbl>
            <c:dLbl>
              <c:idx val="6"/>
              <c:layout>
                <c:manualLayout>
                  <c:x val="-7.00588211960569E-2"/>
                  <c:y val="-3.40599184504921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348-41A7-92E4-37394D2D7396}"/>
                </c:ext>
                <c:ext xmlns:c15="http://schemas.microsoft.com/office/drawing/2012/chart" uri="{CE6537A1-D6FC-4f65-9D91-7224C49458BB}"/>
              </c:extLst>
            </c:dLbl>
            <c:dLbl>
              <c:idx val="7"/>
              <c:layout>
                <c:manualLayout>
                  <c:x val="-7.1898398895645463E-2"/>
                  <c:y val="-3.02580018201542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348-41A7-92E4-37394D2D7396}"/>
                </c:ext>
                <c:ext xmlns:c15="http://schemas.microsoft.com/office/drawing/2012/chart" uri="{CE6537A1-D6FC-4f65-9D91-7224C49458BB}"/>
              </c:extLst>
            </c:dLbl>
            <c:dLbl>
              <c:idx val="8"/>
              <c:layout>
                <c:manualLayout>
                  <c:x val="-6.6198504476827541E-2"/>
                  <c:y val="-3.00239907202073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348-41A7-92E4-37394D2D7396}"/>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348-41A7-92E4-37394D2D7396}"/>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348-41A7-92E4-37394D2D7396}"/>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348-41A7-92E4-37394D2D7396}"/>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D348-41A7-92E4-37394D2D7396}"/>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48-41A7-92E4-37394D2D7396}"/>
                </c:ext>
                <c:ext xmlns:c15="http://schemas.microsoft.com/office/drawing/2012/chart" uri="{CE6537A1-D6FC-4f65-9D91-7224C49458BB}"/>
              </c:extLst>
            </c:dLbl>
            <c:dLbl>
              <c:idx val="1"/>
              <c:layout>
                <c:manualLayout>
                  <c:x val="-5.4936072555303427E-3"/>
                  <c:y val="1.5762191161766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348-41A7-92E4-37394D2D7396}"/>
                </c:ext>
                <c:ext xmlns:c15="http://schemas.microsoft.com/office/drawing/2012/chart" uri="{CE6537A1-D6FC-4f65-9D91-7224C49458BB}"/>
              </c:extLst>
            </c:dLbl>
            <c:dLbl>
              <c:idx val="2"/>
              <c:layout>
                <c:manualLayout>
                  <c:x val="-5.4803038167005524E-3"/>
                  <c:y val="1.57765255280367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48-41A7-92E4-37394D2D7396}"/>
                </c:ext>
                <c:ext xmlns:c15="http://schemas.microsoft.com/office/drawing/2012/chart" uri="{CE6537A1-D6FC-4f65-9D91-7224C49458BB}"/>
              </c:extLst>
            </c:dLbl>
            <c:dLbl>
              <c:idx val="4"/>
              <c:layout>
                <c:manualLayout>
                  <c:x val="-1.8355845259936064E-3"/>
                  <c:y val="3.836376522796223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A4-455C-9934-70C452051ADA}"/>
                </c:ext>
                <c:ext xmlns:c15="http://schemas.microsoft.com/office/drawing/2012/chart" uri="{CE6537A1-D6FC-4f65-9D91-7224C49458BB}"/>
              </c:extLst>
            </c:dLbl>
            <c:dLbl>
              <c:idx val="6"/>
              <c:layout>
                <c:manualLayout>
                  <c:x val="-7.3689323994689327E-3"/>
                  <c:y val="1.53269904674891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8A4-455C-9934-70C452051ADA}"/>
                </c:ext>
                <c:ext xmlns:c15="http://schemas.microsoft.com/office/drawing/2012/chart" uri="{CE6537A1-D6FC-4f65-9D91-7224C49458BB}"/>
              </c:extLst>
            </c:dLbl>
            <c:dLbl>
              <c:idx val="7"/>
              <c:layout>
                <c:manualLayout>
                  <c:x val="-5.5266803030128726E-3"/>
                  <c:y val="1.91820299118834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8A4-455C-9934-70C452051ADA}"/>
                </c:ext>
                <c:ext xmlns:c15="http://schemas.microsoft.com/office/drawing/2012/chart" uri="{CE6537A1-D6FC-4f65-9D91-7224C49458BB}"/>
              </c:extLst>
            </c:dLbl>
            <c:dLbl>
              <c:idx val="8"/>
              <c:layout>
                <c:manualLayout>
                  <c:x val="-7.368907070684055E-3"/>
                  <c:y val="1.15092179471300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8A4-455C-9934-70C452051ADA}"/>
                </c:ext>
                <c:ext xmlns:c15="http://schemas.microsoft.com/office/drawing/2012/chart" uri="{CE6537A1-D6FC-4f65-9D91-7224C49458BB}"/>
              </c:extLst>
            </c:dLbl>
            <c:dLbl>
              <c:idx val="9"/>
              <c:layout>
                <c:manualLayout>
                  <c:x val="-9.2111338383550345E-3"/>
                  <c:y val="1.91820299118834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A4-455C-9934-70C452051ADA}"/>
                </c:ext>
                <c:ext xmlns:c15="http://schemas.microsoft.com/office/drawing/2012/chart" uri="{CE6537A1-D6FC-4f65-9D91-7224C49458BB}"/>
              </c:extLst>
            </c:dLbl>
            <c:dLbl>
              <c:idx val="10"/>
              <c:layout>
                <c:manualLayout>
                  <c:x val="-7.3689070706839206E-3"/>
                  <c:y val="1.15092179471300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A4-455C-9934-70C452051ADA}"/>
                </c:ext>
                <c:ext xmlns:c15="http://schemas.microsoft.com/office/drawing/2012/chart" uri="{CE6537A1-D6FC-4f65-9D91-7224C49458BB}"/>
              </c:extLst>
            </c:dLbl>
            <c:dLbl>
              <c:idx val="11"/>
              <c:layout>
                <c:manualLayout>
                  <c:x val="-1.105336060602588E-2"/>
                  <c:y val="2.68548418766368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8A4-455C-9934-70C452051ADA}"/>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D348-41A7-92E4-37394D2D7396}"/>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348-41A7-92E4-37394D2D7396}"/>
                </c:ext>
                <c:ext xmlns:c15="http://schemas.microsoft.com/office/drawing/2012/chart" uri="{CE6537A1-D6FC-4f65-9D91-7224C49458BB}"/>
              </c:extLst>
            </c:dLbl>
            <c:dLbl>
              <c:idx val="1"/>
              <c:layout>
                <c:manualLayout>
                  <c:x val="-6.075533328275675E-2"/>
                  <c:y val="-2.74091572292086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348-41A7-92E4-37394D2D7396}"/>
                </c:ext>
                <c:ext xmlns:c15="http://schemas.microsoft.com/office/drawing/2012/chart" uri="{CE6537A1-D6FC-4f65-9D91-7224C49458BB}"/>
              </c:extLst>
            </c:dLbl>
            <c:dLbl>
              <c:idx val="2"/>
              <c:layout>
                <c:manualLayout>
                  <c:x val="-4.7854668906156854E-2"/>
                  <c:y val="-3.53242367213530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348-41A7-92E4-37394D2D7396}"/>
                </c:ext>
                <c:ext xmlns:c15="http://schemas.microsoft.com/office/drawing/2012/chart" uri="{CE6537A1-D6FC-4f65-9D91-7224C49458BB}"/>
              </c:extLst>
            </c:dLbl>
            <c:dLbl>
              <c:idx val="3"/>
              <c:layout>
                <c:manualLayout>
                  <c:x val="-4.7897895959445512E-2"/>
                  <c:y val="-3.83640598237669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A4-455C-9934-70C452051ADA}"/>
                </c:ext>
                <c:ext xmlns:c15="http://schemas.microsoft.com/office/drawing/2012/chart" uri="{CE6537A1-D6FC-4f65-9D91-7224C49458BB}"/>
              </c:extLst>
            </c:dLbl>
            <c:dLbl>
              <c:idx val="4"/>
              <c:layout>
                <c:manualLayout>
                  <c:x val="-5.7860676306212581E-3"/>
                  <c:y val="8.150368323084258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8A4-455C-9934-70C452051ADA}"/>
                </c:ext>
                <c:ext xmlns:c15="http://schemas.microsoft.com/office/drawing/2012/chart" uri="{CE6537A1-D6FC-4f65-9D91-7224C49458BB}"/>
              </c:extLst>
            </c:dLbl>
            <c:dLbl>
              <c:idx val="5"/>
              <c:layout>
                <c:manualLayout>
                  <c:x val="-9.7840791115679348E-3"/>
                  <c:y val="1.18389453736830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BD-4543-875F-2F7F177879BE}"/>
                </c:ext>
                <c:ext xmlns:c15="http://schemas.microsoft.com/office/drawing/2012/chart" uri="{CE6537A1-D6FC-4f65-9D91-7224C49458BB}"/>
              </c:extLst>
            </c:dLbl>
            <c:dLbl>
              <c:idx val="6"/>
              <c:layout>
                <c:manualLayout>
                  <c:x val="-9.6507917980732869E-3"/>
                  <c:y val="7.759636995627414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B7-4E1A-A990-CFB1F7A88E72}"/>
                </c:ext>
                <c:ext xmlns:c15="http://schemas.microsoft.com/office/drawing/2012/chart" uri="{CE6537A1-D6FC-4f65-9D91-7224C49458BB}"/>
              </c:extLst>
            </c:dLbl>
            <c:dLbl>
              <c:idx val="7"/>
              <c:layout>
                <c:manualLayout>
                  <c:x val="-5.7904750788440708E-3"/>
                  <c:y val="-7.1129184102846854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B7-4E1A-A990-CFB1F7A88E72}"/>
                </c:ext>
                <c:ext xmlns:c15="http://schemas.microsoft.com/office/drawing/2012/chart" uri="{CE6537A1-D6FC-4f65-9D91-7224C49458BB}"/>
              </c:extLst>
            </c:dLbl>
            <c:dLbl>
              <c:idx val="8"/>
              <c:layout>
                <c:manualLayout>
                  <c:x val="-7.7206334384585726E-3"/>
                  <c:y val="-7.1129184102846854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B7-4E1A-A990-CFB1F7A88E72}"/>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D348-41A7-92E4-37394D2D7396}"/>
            </c:ext>
          </c:extLst>
        </c:ser>
        <c:dLbls>
          <c:showLegendKey val="0"/>
          <c:showVal val="0"/>
          <c:showCatName val="0"/>
          <c:showSerName val="0"/>
          <c:showPercent val="0"/>
          <c:showBubbleSize val="0"/>
        </c:dLbls>
        <c:marker val="1"/>
        <c:smooth val="0"/>
        <c:axId val="444111704"/>
        <c:axId val="450850296"/>
      </c:lineChart>
      <c:catAx>
        <c:axId val="44411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50850296"/>
        <c:crosses val="autoZero"/>
        <c:auto val="1"/>
        <c:lblAlgn val="ctr"/>
        <c:lblOffset val="100"/>
        <c:noMultiLvlLbl val="0"/>
      </c:catAx>
      <c:valAx>
        <c:axId val="4508502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4111704"/>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5012719387069"/>
          <c:y val="4.14062229077483E-2"/>
          <c:w val="0.83603616702467887"/>
          <c:h val="0.87127080944275281"/>
        </c:manualLayout>
      </c:layout>
      <c:lineChart>
        <c:grouping val="standard"/>
        <c:varyColors val="0"/>
        <c:ser>
          <c:idx val="1"/>
          <c:order val="1"/>
          <c:tx>
            <c:strRef>
              <c:f>Gráficos!$R$116</c:f>
              <c:strCache>
                <c:ptCount val="1"/>
                <c:pt idx="0">
                  <c:v>2018</c:v>
                </c:pt>
              </c:strCache>
            </c:strRef>
          </c:tx>
          <c:spPr>
            <a:ln w="38100" cap="rnd">
              <a:solidFill>
                <a:schemeClr val="tx1"/>
              </a:solidFill>
              <a:round/>
            </a:ln>
            <a:effectLst/>
          </c:spPr>
          <c:marker>
            <c:symbol val="circle"/>
            <c:size val="5"/>
            <c:spPr>
              <a:solidFill>
                <a:schemeClr val="tx1"/>
              </a:solidFill>
              <a:ln w="3175">
                <a:noFill/>
              </a:ln>
              <a:effectLst/>
            </c:spPr>
          </c:marker>
          <c:dLbls>
            <c:dLbl>
              <c:idx val="0"/>
              <c:layout>
                <c:manualLayout>
                  <c:x val="-8.0837688403055663E-2"/>
                  <c:y val="-1.59262384052487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B17-46AD-B58F-ED32D1361A88}"/>
                </c:ext>
                <c:ext xmlns:c15="http://schemas.microsoft.com/office/drawing/2012/chart" uri="{CE6537A1-D6FC-4f65-9D91-7224C49458BB}"/>
              </c:extLst>
            </c:dLbl>
            <c:dLbl>
              <c:idx val="1"/>
              <c:layout>
                <c:manualLayout>
                  <c:x val="-5.5141969900036419E-2"/>
                  <c:y val="-7.75814865939655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B17-46AD-B58F-ED32D1361A88}"/>
                </c:ext>
                <c:ext xmlns:c15="http://schemas.microsoft.com/office/drawing/2012/chart" uri="{CE6537A1-D6FC-4f65-9D91-7224C49458BB}"/>
              </c:extLst>
            </c:dLbl>
            <c:dLbl>
              <c:idx val="2"/>
              <c:layout>
                <c:manualLayout>
                  <c:x val="-2.2031298798348118E-2"/>
                  <c:y val="-4.6386867208878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79F-4E47-8B50-C409AE0A9C15}"/>
                </c:ext>
                <c:ext xmlns:c15="http://schemas.microsoft.com/office/drawing/2012/chart" uri="{CE6537A1-D6FC-4f65-9D91-7224C49458BB}"/>
              </c:extLst>
            </c:dLbl>
            <c:dLbl>
              <c:idx val="3"/>
              <c:layout>
                <c:manualLayout>
                  <c:x val="-6.7317220764302516E-17"/>
                  <c:y val="-2.30263237416507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79F-4E47-8B50-C409AE0A9C15}"/>
                </c:ext>
                <c:ext xmlns:c15="http://schemas.microsoft.com/office/drawing/2012/chart" uri="{CE6537A1-D6FC-4f65-9D91-7224C49458BB}"/>
              </c:extLst>
            </c:dLbl>
            <c:dLbl>
              <c:idx val="4"/>
              <c:layout>
                <c:manualLayout>
                  <c:x val="-4.9570526108227972E-2"/>
                  <c:y val="4.22149268596929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79F-4E47-8B50-C409AE0A9C15}"/>
                </c:ext>
                <c:ext xmlns:c15="http://schemas.microsoft.com/office/drawing/2012/chart" uri="{CE6537A1-D6FC-4f65-9D91-7224C49458BB}"/>
              </c:extLst>
            </c:dLbl>
            <c:dLbl>
              <c:idx val="5"/>
              <c:layout>
                <c:manualLayout>
                  <c:x val="-3.1211071994069462E-2"/>
                  <c:y val="-2.68640443652591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79F-4E47-8B50-C409AE0A9C15}"/>
                </c:ext>
                <c:ext xmlns:c15="http://schemas.microsoft.com/office/drawing/2012/chart" uri="{CE6537A1-D6FC-4f65-9D91-7224C49458BB}"/>
              </c:extLst>
            </c:dLbl>
            <c:dLbl>
              <c:idx val="6"/>
              <c:layout>
                <c:manualLayout>
                  <c:x val="-3.8554853639732864E-2"/>
                  <c:y val="2.68640443652591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9F-4E47-8B50-C409AE0A9C15}"/>
                </c:ext>
                <c:ext xmlns:c15="http://schemas.microsoft.com/office/drawing/2012/chart" uri="{CE6537A1-D6FC-4f65-9D91-7224C49458BB}"/>
              </c:extLst>
            </c:dLbl>
            <c:dLbl>
              <c:idx val="7"/>
              <c:layout>
                <c:manualLayout>
                  <c:x val="-4.2226744462564567E-2"/>
                  <c:y val="-3.07017649888675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9F-4E47-8B50-C409AE0A9C15}"/>
                </c:ext>
                <c:ext xmlns:c15="http://schemas.microsoft.com/office/drawing/2012/chart" uri="{CE6537A1-D6FC-4f65-9D91-7224C49458BB}"/>
              </c:extLst>
            </c:dLbl>
            <c:dLbl>
              <c:idx val="8"/>
              <c:layout>
                <c:manualLayout>
                  <c:x val="-3.1211071994069597E-2"/>
                  <c:y val="3.07017649888675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9F-4E47-8B50-C409AE0A9C15}"/>
                </c:ext>
                <c:ext xmlns:c15="http://schemas.microsoft.com/office/drawing/2012/chart" uri="{CE6537A1-D6FC-4f65-9D91-7224C49458BB}"/>
              </c:extLst>
            </c:dLbl>
            <c:dLbl>
              <c:idx val="9"/>
              <c:layout>
                <c:manualLayout>
                  <c:x val="-4.0390799051148715E-2"/>
                  <c:y val="-2.68640443652592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9F-4E47-8B50-C409AE0A9C15}"/>
                </c:ext>
                <c:ext xmlns:c15="http://schemas.microsoft.com/office/drawing/2012/chart" uri="{CE6537A1-D6FC-4f65-9D91-7224C49458BB}"/>
              </c:extLst>
            </c:dLbl>
            <c:dLbl>
              <c:idx val="10"/>
              <c:layout>
                <c:manualLayout>
                  <c:x val="-3.4882962816901161E-2"/>
                  <c:y val="3.07017649888675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79F-4E47-8B50-C409AE0A9C15}"/>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xmlns:c16r2="http://schemas.microsoft.com/office/drawing/2015/06/chart">
            <c:ext xmlns:c16="http://schemas.microsoft.com/office/drawing/2014/chart" uri="{C3380CC4-5D6E-409C-BE32-E72D297353CC}">
              <c16:uniqueId val="{00000007-2B17-46AD-B58F-ED32D1361A88}"/>
            </c:ex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8CC-43A5-993F-4DFAA254256D}"/>
                      </c:ext>
                      <c:ext uri="{CE6537A1-D6FC-4f65-9D91-7224C49458BB}"/>
                    </c:extLst>
                  </c15:dLbl>
                </c15:categoryFilterException>
              </c15:categoryFilterExceptions>
            </c:ext>
          </c:extLst>
        </c:ser>
        <c:ser>
          <c:idx val="2"/>
          <c:order val="2"/>
          <c:tx>
            <c:strRef>
              <c:f>Gráficos!$S$116</c:f>
              <c:strCache>
                <c:ptCount val="1"/>
                <c:pt idx="0">
                  <c:v>2019</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050316035595369E-2"/>
                  <c:y val="1.62855336667818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B17-46AD-B58F-ED32D1361A88}"/>
                </c:ext>
                <c:ext xmlns:c15="http://schemas.microsoft.com/office/drawing/2012/chart" uri="{CE6537A1-D6FC-4f65-9D91-7224C49458BB}"/>
              </c:extLst>
            </c:dLbl>
            <c:dLbl>
              <c:idx val="1"/>
              <c:layout>
                <c:manualLayout>
                  <c:x val="-3.6827330201432126E-2"/>
                  <c:y val="-3.75141723698619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B17-46AD-B58F-ED32D1361A88}"/>
                </c:ext>
                <c:ext xmlns:c15="http://schemas.microsoft.com/office/drawing/2012/chart" uri="{CE6537A1-D6FC-4f65-9D91-7224C49458BB}"/>
              </c:extLst>
            </c:dLbl>
            <c:dLbl>
              <c:idx val="2"/>
              <c:layout>
                <c:manualLayout>
                  <c:x val="-3.8641839662021497E-2"/>
                  <c:y val="4.4941174654150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B17-46AD-B58F-ED32D1361A88}"/>
                </c:ext>
                <c:ext xmlns:c15="http://schemas.microsoft.com/office/drawing/2012/chart" uri="{CE6537A1-D6FC-4f65-9D91-7224C49458BB}"/>
              </c:extLst>
            </c:dLbl>
            <c:dLbl>
              <c:idx val="3"/>
              <c:layout>
                <c:manualLayout>
                  <c:x val="-4.5976471529820331E-2"/>
                  <c:y val="-5.74737762237762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B17-46AD-B58F-ED32D1361A88}"/>
                </c:ext>
                <c:ext xmlns:c15="http://schemas.microsoft.com/office/drawing/2012/chart" uri="{CE6537A1-D6FC-4f65-9D91-7224C49458BB}"/>
              </c:extLst>
            </c:dLbl>
            <c:dLbl>
              <c:idx val="4"/>
              <c:layout>
                <c:manualLayout>
                  <c:x val="-3.6782515785877878E-2"/>
                  <c:y val="-3.80176087918251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B17-46AD-B58F-ED32D1361A88}"/>
                </c:ext>
                <c:ext xmlns:c15="http://schemas.microsoft.com/office/drawing/2012/chart" uri="{CE6537A1-D6FC-4f65-9D91-7224C49458BB}"/>
              </c:extLst>
            </c:dLbl>
            <c:dLbl>
              <c:idx val="5"/>
              <c:layout>
                <c:manualLayout>
                  <c:x val="-1.1086213490819114E-2"/>
                  <c:y val="-3.0673623322687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B17-46AD-B58F-ED32D1361A88}"/>
                </c:ext>
                <c:ext xmlns:c15="http://schemas.microsoft.com/office/drawing/2012/chart" uri="{CE6537A1-D6FC-4f65-9D91-7224C49458BB}"/>
              </c:extLst>
            </c:dLbl>
            <c:dLbl>
              <c:idx val="6"/>
              <c:layout>
                <c:manualLayout>
                  <c:x val="-3.8608274701796737E-2"/>
                  <c:y val="-3.43201066721749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B17-46AD-B58F-ED32D1361A88}"/>
                </c:ext>
                <c:ext xmlns:c15="http://schemas.microsoft.com/office/drawing/2012/chart" uri="{CE6537A1-D6FC-4f65-9D91-7224C49458BB}"/>
              </c:extLst>
            </c:dLbl>
            <c:dLbl>
              <c:idx val="7"/>
              <c:layout>
                <c:manualLayout>
                  <c:x val="-2.0262689312748782E-2"/>
                  <c:y val="-3.42589140488413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B17-46AD-B58F-ED32D1361A88}"/>
                </c:ext>
                <c:ext xmlns:c15="http://schemas.microsoft.com/office/drawing/2012/chart" uri="{CE6537A1-D6FC-4f65-9D91-7224C49458BB}"/>
              </c:extLst>
            </c:dLbl>
            <c:dLbl>
              <c:idx val="8"/>
              <c:layout>
                <c:manualLayout>
                  <c:x val="-4.0458165237110905E-2"/>
                  <c:y val="-4.18553294154336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B17-46AD-B58F-ED32D1361A88}"/>
                </c:ext>
                <c:ext xmlns:c15="http://schemas.microsoft.com/office/drawing/2012/chart" uri="{CE6537A1-D6FC-4f65-9D91-7224C49458BB}"/>
              </c:extLst>
            </c:dLbl>
            <c:dLbl>
              <c:idx val="9"/>
              <c:layout>
                <c:manualLayout>
                  <c:x val="-4.0458165237110905E-2"/>
                  <c:y val="-3.80176087918251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B17-46AD-B58F-ED32D1361A88}"/>
                </c:ext>
                <c:ext xmlns:c15="http://schemas.microsoft.com/office/drawing/2012/chart" uri="{CE6537A1-D6FC-4f65-9D91-7224C49458BB}"/>
              </c:extLst>
            </c:dLbl>
            <c:dLbl>
              <c:idx val="10"/>
              <c:layout>
                <c:manualLayout>
                  <c:x val="-2.7601067904736706E-2"/>
                  <c:y val="-3.8168674928964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B17-46AD-B58F-ED32D1361A88}"/>
                </c:ext>
                <c:ext xmlns:c15="http://schemas.microsoft.com/office/drawing/2012/chart" uri="{CE6537A1-D6FC-4f65-9D91-7224C49458BB}"/>
              </c:extLst>
            </c:dLbl>
            <c:dLbl>
              <c:idx val="11"/>
              <c:layout>
                <c:manualLayout>
                  <c:x val="-3.6718908228318362E-3"/>
                  <c:y val="-7.67544124721689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79F-4E47-8B50-C409AE0A9C15}"/>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xmlns:c16r2="http://schemas.microsoft.com/office/drawing/2015/06/chart">
            <c:ext xmlns:c16="http://schemas.microsoft.com/office/drawing/2014/chart" uri="{C3380CC4-5D6E-409C-BE32-E72D297353CC}">
              <c16:uniqueId val="{00000014-2B17-46AD-B58F-ED32D1361A88}"/>
            </c:ex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CC-43A5-993F-4DFAA254256D}"/>
                      </c:ext>
                      <c:ext uri="{CE6537A1-D6FC-4f65-9D91-7224C49458BB}"/>
                    </c:extLst>
                  </c15:dLbl>
                </c15:categoryFilterException>
              </c15:categoryFilterExceptions>
            </c:ext>
          </c:extLst>
        </c:ser>
        <c:ser>
          <c:idx val="3"/>
          <c:order val="3"/>
          <c:tx>
            <c:strRef>
              <c:f>Gráficos!$T$116</c:f>
              <c:strCache>
                <c:ptCount val="1"/>
                <c:pt idx="0">
                  <c:v>2020</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8.2617543513713296E-2"/>
                  <c:y val="1.53508824944337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79F-4E47-8B50-C409AE0A9C15}"/>
                </c:ext>
                <c:ext xmlns:c15="http://schemas.microsoft.com/office/drawing/2012/chart" uri="{CE6537A1-D6FC-4f65-9D91-7224C49458BB}"/>
              </c:extLst>
            </c:dLbl>
            <c:dLbl>
              <c:idx val="1"/>
              <c:layout>
                <c:manualLayout>
                  <c:x val="-7.8945652690881579E-2"/>
                  <c:y val="3.837720623608378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79F-4E47-8B50-C409AE0A9C15}"/>
                </c:ext>
                <c:ext xmlns:c15="http://schemas.microsoft.com/office/drawing/2012/chart" uri="{CE6537A1-D6FC-4f65-9D91-7224C49458BB}"/>
              </c:extLst>
            </c:dLbl>
            <c:dLbl>
              <c:idx val="2"/>
              <c:layout>
                <c:manualLayout>
                  <c:x val="-4.9570526108228007E-2"/>
                  <c:y val="3.45394856124760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79F-4E47-8B50-C409AE0A9C15}"/>
                </c:ext>
                <c:ext xmlns:c15="http://schemas.microsoft.com/office/drawing/2012/chart" uri="{CE6537A1-D6FC-4f65-9D91-7224C49458BB}"/>
              </c:extLst>
            </c:dLbl>
            <c:dLbl>
              <c:idx val="3"/>
              <c:layout>
                <c:manualLayout>
                  <c:x val="-3.671890822831769E-3"/>
                  <c:y val="2.30263237416505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79F-4E47-8B50-C409AE0A9C15}"/>
                </c:ext>
                <c:ext xmlns:c15="http://schemas.microsoft.com/office/drawing/2012/chart" uri="{CE6537A1-D6FC-4f65-9D91-7224C49458BB}"/>
              </c:extLst>
            </c:dLbl>
            <c:dLbl>
              <c:idx val="4"/>
              <c:layout>
                <c:manualLayout>
                  <c:x val="-5.5078362342476199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0D4-4C6F-809A-5BEBEE23A186}"/>
                </c:ext>
                <c:ext xmlns:c15="http://schemas.microsoft.com/office/drawing/2012/chart" uri="{CE6537A1-D6FC-4f65-9D91-7224C49458BB}"/>
              </c:extLst>
            </c:dLbl>
            <c:dLbl>
              <c:idx val="5"/>
              <c:layout>
                <c:manualLayout>
                  <c:x val="-4.5858547108788318E-2"/>
                  <c:y val="-3.7909576406751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91C-4C6E-9106-A222770B2FFA}"/>
                </c:ext>
                <c:ext xmlns:c15="http://schemas.microsoft.com/office/drawing/2012/chart" uri="{CE6537A1-D6FC-4f65-9D91-7224C49458BB}"/>
              </c:extLst>
            </c:dLbl>
            <c:dLbl>
              <c:idx val="6"/>
              <c:layout>
                <c:manualLayout>
                  <c:x val="-2.7515128265273057E-2"/>
                  <c:y val="-3.41186187660761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91C-4C6E-9106-A222770B2FFA}"/>
                </c:ext>
                <c:ext xmlns:c15="http://schemas.microsoft.com/office/drawing/2012/chart" uri="{CE6537A1-D6FC-4f65-9D91-7224C49458BB}"/>
              </c:extLst>
            </c:dLbl>
            <c:dLbl>
              <c:idx val="7"/>
              <c:layout>
                <c:manualLayout>
                  <c:x val="-7.7042359142764374E-2"/>
                  <c:y val="1.89547882033756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91C-4C6E-9106-A222770B2FFA}"/>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Lit>
              <c:ptCount val="12"/>
              <c:pt idx="0">
                <c:v>jan</c:v>
              </c:pt>
              <c:pt idx="1">
                <c:v>fev</c:v>
              </c:pt>
              <c:pt idx="2">
                <c:v>mar</c:v>
              </c:pt>
              <c:pt idx="3">
                <c:v>abr</c:v>
              </c:pt>
              <c:pt idx="4">
                <c:v>mai</c:v>
              </c:pt>
              <c:pt idx="5">
                <c:v>jun</c:v>
              </c:pt>
              <c:pt idx="6">
                <c:v>jul</c:v>
              </c:pt>
              <c:pt idx="7">
                <c:v>ago</c:v>
              </c:pt>
              <c:pt idx="8">
                <c:v>set</c:v>
              </c:pt>
              <c:pt idx="9">
                <c:v>out</c:v>
              </c:pt>
              <c:pt idx="10">
                <c:v>nov</c:v>
              </c:pt>
              <c:pt idx="11">
                <c:v>dez</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Gráficos!$T$117:$T$128</c15:sqref>
                  </c15:fullRef>
                </c:ext>
              </c:extLst>
              <c:f>Gráficos!$T$118:$T$128</c:f>
              <c:numCache>
                <c:formatCode>_-[$R$-416]\ * #,##0_-;\-[$R$-416]\ * #,##0_-;_-[$R$-416]\ * "-"??_-;_-@_-</c:formatCode>
                <c:ptCount val="11"/>
                <c:pt idx="0">
                  <c:v>21791063.839999996</c:v>
                </c:pt>
                <c:pt idx="1">
                  <c:v>15811503.18999999</c:v>
                </c:pt>
                <c:pt idx="2">
                  <c:v>8141870.1900000051</c:v>
                </c:pt>
                <c:pt idx="3">
                  <c:v>8658705.8900000006</c:v>
                </c:pt>
                <c:pt idx="4">
                  <c:v>11852236.879999995</c:v>
                </c:pt>
                <c:pt idx="5">
                  <c:v>15414639.370000005</c:v>
                </c:pt>
                <c:pt idx="6">
                  <c:v>16518182.859999985</c:v>
                </c:pt>
                <c:pt idx="7">
                  <c:v>12575439.830000013</c:v>
                </c:pt>
                <c:pt idx="8">
                  <c:v>13091764.559999973</c:v>
                </c:pt>
                <c:pt idx="9">
                  <c:v>11490553.480000019</c:v>
                </c:pt>
                <c:pt idx="10">
                  <c:v>11503465.950000048</c:v>
                </c:pt>
              </c:numCache>
            </c:numRef>
          </c:val>
          <c:smooth val="0"/>
          <c:extLst xmlns:c16r2="http://schemas.microsoft.com/office/drawing/2015/06/chart">
            <c:ext xmlns:c16="http://schemas.microsoft.com/office/drawing/2014/chart" uri="{C3380CC4-5D6E-409C-BE32-E72D297353CC}">
              <c16:uniqueId val="{00000001-4ED1-4E85-ABE1-998F24C57035}"/>
            </c:ext>
            <c:ext xmlns:c15="http://schemas.microsoft.com/office/drawing/2012/chart" uri="{02D57815-91ED-43cb-92C2-25804820EDAC}">
              <c15:categoryFilterExceptions>
                <c15:categoryFilterException>
                  <c15:sqref>Gráficos!$T$117</c15:sqref>
                  <c15:dLbl>
                    <c:idx val="-1"/>
                    <c:layout>
                      <c:manualLayout>
                        <c:x val="-3.3158282934725627E-2"/>
                        <c:y val="-4.91181492305170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8CC-43A5-993F-4DFAA254256D}"/>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50851864"/>
        <c:axId val="450854608"/>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Gráficos!$Q$116</c15:sqref>
                        </c15:formulaRef>
                      </c:ext>
                    </c:extLst>
                    <c:strCache>
                      <c:ptCount val="1"/>
                      <c:pt idx="0">
                        <c:v>2017</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B17-46AD-B58F-ED32D1361A88}"/>
                      </c:ext>
                      <c:ext uri="{CE6537A1-D6FC-4f65-9D91-7224C49458BB}"/>
                    </c:extLst>
                  </c:dLbl>
                  <c:dLbl>
                    <c:idx val="1"/>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B17-46AD-B58F-ED32D1361A88}"/>
                      </c:ext>
                      <c:ex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xmlns:c16r2="http://schemas.microsoft.com/office/drawing/2015/06/chart">
                  <c:ext xmlns:c16="http://schemas.microsoft.com/office/drawing/2014/chart" uri="{C3380CC4-5D6E-409C-BE32-E72D297353CC}">
                    <c16:uniqueId val="{00000003-2B17-46AD-B58F-ED32D1361A88}"/>
                  </c:ex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8CC-43A5-993F-4DFAA254256D}"/>
                            </c:ext>
                            <c:ext uri="{CE6537A1-D6FC-4f65-9D91-7224C49458BB}"/>
                          </c:extLst>
                        </c15:dLbl>
                      </c15:categoryFilterException>
                    </c15:categoryFilterExceptions>
                  </c:ext>
                </c:extLst>
              </c15:ser>
            </c15:filteredLineSeries>
          </c:ext>
        </c:extLst>
      </c:lineChart>
      <c:catAx>
        <c:axId val="45085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50854608"/>
        <c:crosses val="autoZero"/>
        <c:auto val="1"/>
        <c:lblAlgn val="ctr"/>
        <c:lblOffset val="100"/>
        <c:noMultiLvlLbl val="0"/>
      </c:catAx>
      <c:valAx>
        <c:axId val="450854608"/>
        <c:scaling>
          <c:orientation val="minMax"/>
          <c:min val="70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50851864"/>
        <c:crosses val="autoZero"/>
        <c:crossBetween val="between"/>
        <c:dispUnits>
          <c:builtInUnit val="millions"/>
          <c:dispUnitsLbl>
            <c:layout>
              <c:manualLayout>
                <c:xMode val="edge"/>
                <c:yMode val="edge"/>
                <c:x val="1.9409253851732734E-2"/>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89147873188085958"/>
          <c:y val="0.2353287259895035"/>
          <c:w val="8.8370458711467523E-2"/>
          <c:h val="0.19056406420009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Projeto</a:t>
            </a:r>
            <a:endParaRPr lang="en-US" sz="10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Gênero'!$B$34</c:f>
              <c:strCache>
                <c:ptCount val="1"/>
                <c:pt idx="0">
                  <c:v>Masc. RRT</c:v>
                </c:pt>
              </c:strCache>
            </c:strRef>
          </c:tx>
          <c:spPr>
            <a:solidFill>
              <a:srgbClr val="0070C0"/>
            </a:solidFill>
            <a:ln>
              <a:noFill/>
            </a:ln>
            <a:effectLst/>
          </c:spPr>
          <c:invertIfNegative val="0"/>
          <c:dLbls>
            <c:dLbl>
              <c:idx val="0"/>
              <c:tx>
                <c:rich>
                  <a:bodyPr/>
                  <a:lstStyle/>
                  <a:p>
                    <a:fld id="{5DD9E58B-A5CD-442F-956F-2B9401CCB92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BC09100C-3E45-4D87-AD88-B06FBA2CBF4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E2011B8-9239-440C-AFEF-3F24186C027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456A4D6-1EC9-4771-9F55-AE404793BA8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D8794A7-103A-45D3-BA26-079B4E92043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92C6218-F327-48EA-A3EB-696A4109378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D74ADB89-42A7-4854-93AF-E5E67093903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8B6D087-49CB-42BA-9E04-654CEB3A3DD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EB57F01-2DCC-40B7-88B2-11DC29D9473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C65EE23-6B6A-427A-B7FF-6E77EE082DD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1C4DE4EE-9680-4E7A-94A3-37F9317188C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Gênero'!$B$35:$B$45</c:f>
              <c:numCache>
                <c:formatCode>_-* #,##0_-;\-* #,##0_-;_-* "-"??_-;_-@_-</c:formatCode>
                <c:ptCount val="11"/>
                <c:pt idx="0">
                  <c:v>121275.55183147801</c:v>
                </c:pt>
                <c:pt idx="1">
                  <c:v>27630.533444891436</c:v>
                </c:pt>
                <c:pt idx="2">
                  <c:v>2448.0243726719709</c:v>
                </c:pt>
                <c:pt idx="3">
                  <c:v>6595.6373700098138</c:v>
                </c:pt>
                <c:pt idx="4">
                  <c:v>46409.03074062596</c:v>
                </c:pt>
                <c:pt idx="5">
                  <c:v>1679.6782720638732</c:v>
                </c:pt>
                <c:pt idx="6">
                  <c:v>8169.6398994087886</c:v>
                </c:pt>
                <c:pt idx="7">
                  <c:v>15535.532207375118</c:v>
                </c:pt>
                <c:pt idx="8">
                  <c:v>3023.7199518324956</c:v>
                </c:pt>
                <c:pt idx="9">
                  <c:v>3029.1507420667213</c:v>
                </c:pt>
                <c:pt idx="10">
                  <c:v>310.69257770701853</c:v>
                </c:pt>
              </c:numCache>
            </c:numRef>
          </c:val>
          <c:extLst xmlns:c16r2="http://schemas.microsoft.com/office/drawing/2015/06/chart">
            <c:ext xmlns:c16="http://schemas.microsoft.com/office/drawing/2014/chart" uri="{C3380CC4-5D6E-409C-BE32-E72D297353CC}">
              <c16:uniqueId val="{0000000B-0CAB-4067-8A64-FA0C6FCBE342}"/>
            </c:ext>
            <c:ext xmlns:c15="http://schemas.microsoft.com/office/drawing/2012/chart" uri="{02D57815-91ED-43cb-92C2-25804820EDAC}">
              <c15:datalabelsRange>
                <c15:f>'RRT - Subgrpupo - Gênero'!$C$35:$C$45</c15:f>
                <c15:dlblRangeCache>
                  <c:ptCount val="11"/>
                  <c:pt idx="0">
                    <c:v>52%</c:v>
                  </c:pt>
                  <c:pt idx="1">
                    <c:v>64%</c:v>
                  </c:pt>
                  <c:pt idx="2">
                    <c:v>51%</c:v>
                  </c:pt>
                  <c:pt idx="3">
                    <c:v>22%</c:v>
                  </c:pt>
                  <c:pt idx="4">
                    <c:v>61%</c:v>
                  </c:pt>
                  <c:pt idx="5">
                    <c:v>51%</c:v>
                  </c:pt>
                  <c:pt idx="6">
                    <c:v>55%</c:v>
                  </c:pt>
                  <c:pt idx="7">
                    <c:v>60%</c:v>
                  </c:pt>
                  <c:pt idx="8">
                    <c:v>66%</c:v>
                  </c:pt>
                  <c:pt idx="9">
                    <c:v>57%</c:v>
                  </c:pt>
                  <c:pt idx="10">
                    <c:v>55%</c:v>
                  </c:pt>
                </c15:dlblRangeCache>
              </c15:datalabelsRange>
            </c:ext>
          </c:extLst>
        </c:ser>
        <c:ser>
          <c:idx val="0"/>
          <c:order val="2"/>
          <c:tx>
            <c:strRef>
              <c:f>'RRT - Subgrpupo - Gênero'!$D$34</c:f>
              <c:strCache>
                <c:ptCount val="1"/>
                <c:pt idx="0">
                  <c:v>Fem. RRT</c:v>
                </c:pt>
              </c:strCache>
            </c:strRef>
          </c:tx>
          <c:spPr>
            <a:solidFill>
              <a:srgbClr val="FF7171"/>
            </a:solidFill>
            <a:ln>
              <a:noFill/>
            </a:ln>
            <a:effectLst/>
          </c:spPr>
          <c:invertIfNegative val="0"/>
          <c:dLbls>
            <c:dLbl>
              <c:idx val="0"/>
              <c:tx>
                <c:rich>
                  <a:bodyPr/>
                  <a:lstStyle/>
                  <a:p>
                    <a:fld id="{413ECF5D-8387-41C0-9D0C-E3898A035EF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0748AC9E-8B5A-4C20-B235-B3D0175748E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C6AF34B-BCEA-4D99-B09A-A932A8D85FD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8F759A1-A8C1-4C8D-943E-53C46455DE9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4AF640E-308E-4107-B5CE-504E2A27CE4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86258DB-F0E4-4DE3-8375-DCC98A7EC05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6C945B83-C111-4D31-BF44-6683BC9BD52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3C41A82-687E-4CB9-BDA6-556553C7094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B99FAC68-1574-41A1-A0E3-75ABCF1EE6B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CA630241-8231-439E-9B0E-2A7D55DBD31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E6C748F0-98E7-41F9-BEFB-24FB95CB686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Gênero'!$D$35:$D$45</c:f>
              <c:numCache>
                <c:formatCode>_-* #,##0_-;\-* #,##0_-;_-* "-"??_-;_-@_-</c:formatCode>
                <c:ptCount val="11"/>
                <c:pt idx="0">
                  <c:v>113554.17946214264</c:v>
                </c:pt>
                <c:pt idx="1">
                  <c:v>15850.909543419712</c:v>
                </c:pt>
                <c:pt idx="2">
                  <c:v>2350.5801070233424</c:v>
                </c:pt>
                <c:pt idx="3">
                  <c:v>23383.536352705789</c:v>
                </c:pt>
                <c:pt idx="4">
                  <c:v>29996.078444508912</c:v>
                </c:pt>
                <c:pt idx="5">
                  <c:v>1624.7906832621034</c:v>
                </c:pt>
                <c:pt idx="6">
                  <c:v>6794.3358263174841</c:v>
                </c:pt>
                <c:pt idx="7">
                  <c:v>10300.411254820599</c:v>
                </c:pt>
                <c:pt idx="8">
                  <c:v>1532.1204924653546</c:v>
                </c:pt>
                <c:pt idx="9">
                  <c:v>2303.9952818769184</c:v>
                </c:pt>
                <c:pt idx="10">
                  <c:v>253.07560064066988</c:v>
                </c:pt>
              </c:numCache>
            </c:numRef>
          </c:val>
          <c:extLst xmlns:c16r2="http://schemas.microsoft.com/office/drawing/2015/06/chart">
            <c:ext xmlns:c16="http://schemas.microsoft.com/office/drawing/2014/chart" uri="{C3380CC4-5D6E-409C-BE32-E72D297353CC}">
              <c16:uniqueId val="{00000017-0CAB-4067-8A64-FA0C6FCBE342}"/>
            </c:ext>
            <c:ext xmlns:c15="http://schemas.microsoft.com/office/drawing/2012/chart" uri="{02D57815-91ED-43cb-92C2-25804820EDAC}">
              <c15:datalabelsRange>
                <c15:f>'RRT - Subgrpupo - Gênero'!$E$35:$E$45</c15:f>
                <c15:dlblRangeCache>
                  <c:ptCount val="11"/>
                  <c:pt idx="0">
                    <c:v>48%</c:v>
                  </c:pt>
                  <c:pt idx="1">
                    <c:v>36%</c:v>
                  </c:pt>
                  <c:pt idx="2">
                    <c:v>49%</c:v>
                  </c:pt>
                  <c:pt idx="3">
                    <c:v>78%</c:v>
                  </c:pt>
                  <c:pt idx="4">
                    <c:v>39%</c:v>
                  </c:pt>
                  <c:pt idx="5">
                    <c:v>49%</c:v>
                  </c:pt>
                  <c:pt idx="6">
                    <c:v>45%</c:v>
                  </c:pt>
                  <c:pt idx="7">
                    <c:v>40%</c:v>
                  </c:pt>
                  <c:pt idx="8">
                    <c:v>34%</c:v>
                  </c:pt>
                  <c:pt idx="9">
                    <c:v>43%</c:v>
                  </c:pt>
                  <c:pt idx="10">
                    <c:v>45%</c:v>
                  </c:pt>
                </c15:dlblRangeCache>
              </c15:datalabelsRange>
            </c:ext>
          </c:extLst>
        </c:ser>
        <c:dLbls>
          <c:showLegendKey val="0"/>
          <c:showVal val="0"/>
          <c:showCatName val="0"/>
          <c:showSerName val="0"/>
          <c:showPercent val="0"/>
          <c:showBubbleSize val="0"/>
        </c:dLbls>
        <c:gapWidth val="100"/>
        <c:overlap val="100"/>
        <c:axId val="450850688"/>
        <c:axId val="450853432"/>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Gênero'!$C$34</c15:sqref>
                        </c15:formulaRef>
                      </c:ext>
                    </c:extLst>
                    <c:strCache>
                      <c:ptCount val="1"/>
                      <c:pt idx="0">
                        <c:v>Masc.</c:v>
                      </c:pt>
                    </c:strCache>
                  </c:strRef>
                </c:tx>
                <c:spPr>
                  <a:solidFill>
                    <a:srgbClr val="0070C0"/>
                  </a:solidFill>
                  <a:ln>
                    <a:noFill/>
                  </a:ln>
                  <a:effectLst/>
                </c:spPr>
                <c:invertIfNegative val="0"/>
                <c:dLbls>
                  <c:dLbl>
                    <c:idx val="0"/>
                    <c:tx>
                      <c:rich>
                        <a:bodyPr/>
                        <a:lstStyle/>
                        <a:p>
                          <a:fld id="{E017EAAF-6B16-476F-BAE6-C27FDC73A35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0CAB-4067-8A64-FA0C6FCBE342}"/>
                      </c:ext>
                      <c:ext uri="{CE6537A1-D6FC-4f65-9D91-7224C49458BB}">
                        <c15:dlblFieldTable/>
                        <c15:showDataLabelsRange val="1"/>
                      </c:ext>
                    </c:extLst>
                  </c:dLbl>
                  <c:dLbl>
                    <c:idx val="1"/>
                    <c:tx>
                      <c:rich>
                        <a:bodyPr/>
                        <a:lstStyle/>
                        <a:p>
                          <a:fld id="{C009D90D-85E1-4079-AF51-F694DC6BD03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AA7E92D2-C99A-49DF-B1BA-B74FBBBE6EB6}"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195AA416-51CA-4DFA-AE7F-A50E017CFDE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4"/>
                    <c:tx>
                      <c:rich>
                        <a:bodyPr/>
                        <a:lstStyle/>
                        <a:p>
                          <a:fld id="{02431422-2336-4B76-A24F-FF898DE9BDE1}"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5"/>
                    <c:tx>
                      <c:rich>
                        <a:bodyPr/>
                        <a:lstStyle/>
                        <a:p>
                          <a:fld id="{7D56A633-A8BC-471E-9FD5-768242BA65B1}"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6"/>
                    <c:tx>
                      <c:rich>
                        <a:bodyPr/>
                        <a:lstStyle/>
                        <a:p>
                          <a:fld id="{CD7CAFF4-180E-41FE-A244-EB270BCD63B5}"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7"/>
                    <c:tx>
                      <c:rich>
                        <a:bodyPr/>
                        <a:lstStyle/>
                        <a:p>
                          <a:fld id="{3A16A8A5-8122-4830-8401-E63D0CD91275}"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8"/>
                    <c:tx>
                      <c:rich>
                        <a:bodyPr/>
                        <a:lstStyle/>
                        <a:p>
                          <a:fld id="{C1CE13FD-50F4-4E86-A223-9174645FDD90}"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9"/>
                    <c:tx>
                      <c:rich>
                        <a:bodyPr/>
                        <a:lstStyle/>
                        <a:p>
                          <a:fld id="{CC1A1415-4E87-4F76-991B-7BA33C14417F}"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10"/>
                    <c:tx>
                      <c:rich>
                        <a:bodyPr/>
                        <a:lstStyle/>
                        <a:p>
                          <a:fld id="{72711DC2-CFBD-4DCE-BC56-FF13527FB2BC}"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xmlns:c16r2="http://schemas.microsoft.com/office/drawing/2015/06/chart">
                      <c:ext uri="{02D57815-91ED-43cb-92C2-25804820EDAC}">
                        <c15:formulaRef>
                          <c15:sqref>'RRT - Subgrpupo - Gênero'!$C$35:$C$45</c15:sqref>
                        </c15:formulaRef>
                      </c:ext>
                    </c:extLst>
                    <c:numCache>
                      <c:formatCode>0%</c:formatCode>
                      <c:ptCount val="11"/>
                      <c:pt idx="0">
                        <c:v>0.51644036367712076</c:v>
                      </c:pt>
                      <c:pt idx="1">
                        <c:v>0.63545576103164703</c:v>
                      </c:pt>
                      <c:pt idx="2">
                        <c:v>0.51015339626978551</c:v>
                      </c:pt>
                      <c:pt idx="3">
                        <c:v>0.22000731010849092</c:v>
                      </c:pt>
                      <c:pt idx="4">
                        <c:v>0.60740742648732649</c:v>
                      </c:pt>
                      <c:pt idx="5">
                        <c:v>0.5083050543890425</c:v>
                      </c:pt>
                      <c:pt idx="6">
                        <c:v>0.54595383266784048</c:v>
                      </c:pt>
                      <c:pt idx="7">
                        <c:v>0.60131468510555408</c:v>
                      </c:pt>
                      <c:pt idx="8">
                        <c:v>0.66370189843172056</c:v>
                      </c:pt>
                      <c:pt idx="9">
                        <c:v>0.5679857120857138</c:v>
                      </c:pt>
                      <c:pt idx="10">
                        <c:v>0.55109988402965071</c:v>
                      </c:pt>
                    </c:numCache>
                  </c:numRef>
                </c:val>
                <c:extLst xmlns:c16r2="http://schemas.microsoft.com/office/drawing/2015/06/chart">
                  <c:ext xmlns:c16="http://schemas.microsoft.com/office/drawing/2014/chart" uri="{C3380CC4-5D6E-409C-BE32-E72D297353CC}">
                    <c16:uniqueId val="{00000023-0CAB-4067-8A64-FA0C6FCBE342}"/>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Gênero'!$E$34</c15:sqref>
                        </c15:formulaRef>
                      </c:ext>
                    </c:extLst>
                    <c:strCache>
                      <c:ptCount val="1"/>
                      <c:pt idx="0">
                        <c:v>Fem.</c:v>
                      </c:pt>
                    </c:strCache>
                  </c:strRef>
                </c:tx>
                <c:spPr>
                  <a:solidFill>
                    <a:srgbClr val="FF0000"/>
                  </a:solidFill>
                  <a:ln>
                    <a:noFill/>
                  </a:ln>
                  <a:effectLst/>
                </c:spPr>
                <c:invertIfNegative val="0"/>
                <c:dLbls>
                  <c:dLbl>
                    <c:idx val="0"/>
                    <c:tx>
                      <c:rich>
                        <a:bodyPr/>
                        <a:lstStyle/>
                        <a:p>
                          <a:fld id="{63D4D27F-115B-4C38-8A47-31A352B6D142}"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4-0CAB-4067-8A64-FA0C6FCBE342}"/>
                      </c:ext>
                      <c:ext xmlns:c15="http://schemas.microsoft.com/office/drawing/2012/chart" uri="{CE6537A1-D6FC-4f65-9D91-7224C49458BB}">
                        <c15:dlblFieldTable/>
                        <c15:showDataLabelsRange val="1"/>
                      </c:ext>
                    </c:extLst>
                  </c:dLbl>
                  <c:dLbl>
                    <c:idx val="1"/>
                    <c:tx>
                      <c:rich>
                        <a:bodyPr/>
                        <a:lstStyle/>
                        <a:p>
                          <a:fld id="{C1B2CA29-1A30-49A2-B655-6822073B465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C5CA984-EA14-4EC1-87CB-CF44418F920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D30F863-A5C7-4DF7-BF82-DA7D5421805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4855CE7-479A-46F0-BD79-4D2D5473BBA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8B5DD5C-6FD3-4CB1-9636-F8C2DD1BC49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DAB65723-575D-47EF-8F91-95C74C4175A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5579782D-F0F5-4BB3-8066-234F00D07DD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347A21ED-45AC-443D-86C5-B2A78041B07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8F90CFB5-5EED-4D7C-B38F-7CF8D4FD294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A156B564-3F8D-44F4-ACA7-45D4E129AE0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Gênero'!$E$35:$E$45</c15:sqref>
                        </c15:formulaRef>
                      </c:ext>
                    </c:extLst>
                    <c:numCache>
                      <c:formatCode>0%</c:formatCode>
                      <c:ptCount val="11"/>
                      <c:pt idx="0">
                        <c:v>0.48355963632287913</c:v>
                      </c:pt>
                      <c:pt idx="1">
                        <c:v>0.36454423896835286</c:v>
                      </c:pt>
                      <c:pt idx="2">
                        <c:v>0.4898466037302146</c:v>
                      </c:pt>
                      <c:pt idx="3">
                        <c:v>0.77999268989150905</c:v>
                      </c:pt>
                      <c:pt idx="4">
                        <c:v>0.39259257351267363</c:v>
                      </c:pt>
                      <c:pt idx="5">
                        <c:v>0.49169494561095733</c:v>
                      </c:pt>
                      <c:pt idx="6">
                        <c:v>0.45404616733215947</c:v>
                      </c:pt>
                      <c:pt idx="7">
                        <c:v>0.39868531489444581</c:v>
                      </c:pt>
                      <c:pt idx="8">
                        <c:v>0.33629810156827972</c:v>
                      </c:pt>
                      <c:pt idx="9">
                        <c:v>0.43201428791428625</c:v>
                      </c:pt>
                      <c:pt idx="10">
                        <c:v>0.44890011597034929</c:v>
                      </c:pt>
                    </c:numCache>
                  </c:numRef>
                </c:val>
                <c:extLst xmlns:c16r2="http://schemas.microsoft.com/office/drawing/2015/06/chart" xmlns:c15="http://schemas.microsoft.com/office/drawing/2012/chart">
                  <c:ext xmlns:c16="http://schemas.microsoft.com/office/drawing/2014/chart" uri="{C3380CC4-5D6E-409C-BE32-E72D297353CC}">
                    <c16:uniqueId val="{0000002F-0CAB-4067-8A64-FA0C6FCBE342}"/>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085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0853432"/>
        <c:crosses val="autoZero"/>
        <c:auto val="1"/>
        <c:lblAlgn val="ctr"/>
        <c:lblOffset val="100"/>
        <c:noMultiLvlLbl val="0"/>
      </c:catAx>
      <c:valAx>
        <c:axId val="450853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08506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Execução</a:t>
            </a:r>
            <a:endParaRPr lang="pt-BR" sz="1000">
              <a:effectLst/>
            </a:endParaRPr>
          </a:p>
        </c:rich>
      </c:tx>
      <c:layout>
        <c:manualLayout>
          <c:xMode val="edge"/>
          <c:yMode val="edge"/>
          <c:x val="0.32856123383478947"/>
          <c:y val="1.107847661351033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Gênero'!$B$46</c:f>
              <c:strCache>
                <c:ptCount val="1"/>
                <c:pt idx="0">
                  <c:v>Masc. RRT</c:v>
                </c:pt>
              </c:strCache>
            </c:strRef>
          </c:tx>
          <c:spPr>
            <a:solidFill>
              <a:srgbClr val="0070C0"/>
            </a:solidFill>
            <a:ln>
              <a:noFill/>
            </a:ln>
            <a:effectLst/>
          </c:spPr>
          <c:invertIfNegative val="0"/>
          <c:dLbls>
            <c:dLbl>
              <c:idx val="0"/>
              <c:tx>
                <c:rich>
                  <a:bodyPr/>
                  <a:lstStyle/>
                  <a:p>
                    <a:fld id="{1C4BD260-059E-4035-86F4-B27E8CA3404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974C5BDB-1BED-4D27-ACA9-20EA487561C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6D75D31-F016-4833-ABE3-DAF082F5B8C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72AF03F-004F-4F3E-B535-C4F1BC102D9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33BE418-D37C-4DEC-B137-58909876D16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CA080B6-AA41-487C-B0EF-5DD4FB98718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78284FC6-FF7A-4BC2-ACA6-5A78A5525D8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5219F54-62BA-4753-9954-BDE27D8ADCF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831362A-8168-4EB9-8A1F-43283E96318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23949165-523F-4F88-A9A3-3080A3282671}"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F442-4087-8BFC-873882541413}"/>
                </c:ext>
                <c:ext xmlns:c15="http://schemas.microsoft.com/office/drawing/2012/chart" uri="{CE6537A1-D6FC-4f65-9D91-7224C49458BB}">
                  <c15:dlblFieldTable/>
                  <c15:showDataLabelsRange val="1"/>
                </c:ext>
              </c:extLst>
            </c:dLbl>
            <c:dLbl>
              <c:idx val="10"/>
              <c:tx>
                <c:rich>
                  <a:bodyPr/>
                  <a:lstStyle/>
                  <a:p>
                    <a:fld id="{5A73B576-8723-4552-8B89-716D9C310303}"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F442-4087-8BFC-873882541413}"/>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Gênero'!$B$47:$B$55</c:f>
              <c:numCache>
                <c:formatCode>_-* #,##0_-;\-* #,##0_-;_-* "-"??_-;_-@_-</c:formatCode>
                <c:ptCount val="9"/>
                <c:pt idx="0">
                  <c:v>81177.179502435189</c:v>
                </c:pt>
                <c:pt idx="1">
                  <c:v>22778.620547344457</c:v>
                </c:pt>
                <c:pt idx="2">
                  <c:v>2521.165367086478</c:v>
                </c:pt>
                <c:pt idx="3">
                  <c:v>12848.636202125774</c:v>
                </c:pt>
                <c:pt idx="4">
                  <c:v>37121.62283464674</c:v>
                </c:pt>
                <c:pt idx="5">
                  <c:v>350.53047768489483</c:v>
                </c:pt>
                <c:pt idx="6">
                  <c:v>892.14774947109879</c:v>
                </c:pt>
                <c:pt idx="7">
                  <c:v>1631.1560422071991</c:v>
                </c:pt>
                <c:pt idx="8">
                  <c:v>178.4455044842509</c:v>
                </c:pt>
              </c:numCache>
            </c:numRef>
          </c:val>
          <c:extLst xmlns:c16r2="http://schemas.microsoft.com/office/drawing/2015/06/chart">
            <c:ext xmlns:c16="http://schemas.microsoft.com/office/drawing/2014/chart" uri="{C3380CC4-5D6E-409C-BE32-E72D297353CC}">
              <c16:uniqueId val="{0000000B-F442-4087-8BFC-873882541413}"/>
            </c:ext>
            <c:ext xmlns:c15="http://schemas.microsoft.com/office/drawing/2012/chart" uri="{02D57815-91ED-43cb-92C2-25804820EDAC}">
              <c15:datalabelsRange>
                <c15:f>'RRT - Subgrpupo - Gênero'!$C$47:$C$55</c15:f>
                <c15:dlblRangeCache>
                  <c:ptCount val="9"/>
                  <c:pt idx="0">
                    <c:v>58%</c:v>
                  </c:pt>
                  <c:pt idx="1">
                    <c:v>63%</c:v>
                  </c:pt>
                  <c:pt idx="2">
                    <c:v>61%</c:v>
                  </c:pt>
                  <c:pt idx="3">
                    <c:v>40%</c:v>
                  </c:pt>
                  <c:pt idx="4">
                    <c:v>62%</c:v>
                  </c:pt>
                  <c:pt idx="5">
                    <c:v>65%</c:v>
                  </c:pt>
                  <c:pt idx="6">
                    <c:v>60%</c:v>
                  </c:pt>
                  <c:pt idx="7">
                    <c:v>67%</c:v>
                  </c:pt>
                  <c:pt idx="8">
                    <c:v>70%</c:v>
                  </c:pt>
                </c15:dlblRangeCache>
              </c15:datalabelsRange>
            </c:ext>
          </c:extLst>
        </c:ser>
        <c:ser>
          <c:idx val="0"/>
          <c:order val="2"/>
          <c:tx>
            <c:strRef>
              <c:f>'RRT - Subgrpupo - Gênero'!$D$46</c:f>
              <c:strCache>
                <c:ptCount val="1"/>
                <c:pt idx="0">
                  <c:v>Fem. RRT</c:v>
                </c:pt>
              </c:strCache>
            </c:strRef>
          </c:tx>
          <c:spPr>
            <a:solidFill>
              <a:srgbClr val="FF7171"/>
            </a:solidFill>
            <a:ln>
              <a:noFill/>
            </a:ln>
            <a:effectLst/>
          </c:spPr>
          <c:invertIfNegative val="0"/>
          <c:dLbls>
            <c:dLbl>
              <c:idx val="0"/>
              <c:tx>
                <c:rich>
                  <a:bodyPr/>
                  <a:lstStyle/>
                  <a:p>
                    <a:fld id="{6CB83B94-5F11-4695-A1EE-F7987ECA40E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2B4D79C-B5B5-4972-9292-C87B8D3549C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ABB0AD2-F9FF-4E1C-8161-623A8082763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261C0EF-6C6B-48E6-A58D-62DD2E5CE29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7C899DC-93EA-4B9D-BC04-2B8B0146B1F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ED181E5-BF35-4292-83DC-06960DEC5B5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9EF1164-7A7A-4ABC-B9DE-A7BE005868C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0B6668D4-A531-49E5-8785-A7F81F4F453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A1428128-7DE0-4EF0-9A6A-E56172E24B8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E0FDCFB0-D64E-42F1-BA17-91C923848AD9}"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F442-4087-8BFC-873882541413}"/>
                </c:ext>
                <c:ext xmlns:c15="http://schemas.microsoft.com/office/drawing/2012/chart" uri="{CE6537A1-D6FC-4f65-9D91-7224C49458BB}">
                  <c15:dlblFieldTable/>
                  <c15:showDataLabelsRange val="1"/>
                </c:ext>
              </c:extLst>
            </c:dLbl>
            <c:dLbl>
              <c:idx val="10"/>
              <c:tx>
                <c:rich>
                  <a:bodyPr/>
                  <a:lstStyle/>
                  <a:p>
                    <a:fld id="{939FA629-D09E-4133-B86A-78AA03CF25D8}"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F442-4087-8BFC-873882541413}"/>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Gênero'!$D$47:$D$55</c:f>
              <c:numCache>
                <c:formatCode>_-* #,##0_-;\-* #,##0_-;_-* "-"??_-;_-@_-</c:formatCode>
                <c:ptCount val="9"/>
                <c:pt idx="0">
                  <c:v>57956.0853302584</c:v>
                </c:pt>
                <c:pt idx="1">
                  <c:v>13511.044465220601</c:v>
                </c:pt>
                <c:pt idx="2">
                  <c:v>1628.4815321398719</c:v>
                </c:pt>
                <c:pt idx="3">
                  <c:v>19662.776373886991</c:v>
                </c:pt>
                <c:pt idx="4">
                  <c:v>23127.676871305193</c:v>
                </c:pt>
                <c:pt idx="5">
                  <c:v>188.00181980977305</c:v>
                </c:pt>
                <c:pt idx="6">
                  <c:v>592.2705121880814</c:v>
                </c:pt>
                <c:pt idx="7">
                  <c:v>798.16903834329378</c:v>
                </c:pt>
                <c:pt idx="8">
                  <c:v>77.635227257166292</c:v>
                </c:pt>
              </c:numCache>
            </c:numRef>
          </c:val>
          <c:extLst xmlns:c16r2="http://schemas.microsoft.com/office/drawing/2015/06/chart">
            <c:ext xmlns:c16="http://schemas.microsoft.com/office/drawing/2014/chart" uri="{C3380CC4-5D6E-409C-BE32-E72D297353CC}">
              <c16:uniqueId val="{00000017-F442-4087-8BFC-873882541413}"/>
            </c:ext>
            <c:ext xmlns:c15="http://schemas.microsoft.com/office/drawing/2012/chart" uri="{02D57815-91ED-43cb-92C2-25804820EDAC}">
              <c15:datalabelsRange>
                <c15:f>'RRT - Subgrpupo - Gênero'!$E$47:$E$55</c15:f>
                <c15:dlblRangeCache>
                  <c:ptCount val="9"/>
                  <c:pt idx="0">
                    <c:v>42%</c:v>
                  </c:pt>
                  <c:pt idx="1">
                    <c:v>37%</c:v>
                  </c:pt>
                  <c:pt idx="2">
                    <c:v>39%</c:v>
                  </c:pt>
                  <c:pt idx="3">
                    <c:v>60%</c:v>
                  </c:pt>
                  <c:pt idx="4">
                    <c:v>38%</c:v>
                  </c:pt>
                  <c:pt idx="5">
                    <c:v>35%</c:v>
                  </c:pt>
                  <c:pt idx="6">
                    <c:v>40%</c:v>
                  </c:pt>
                  <c:pt idx="7">
                    <c:v>33%</c:v>
                  </c:pt>
                  <c:pt idx="8">
                    <c:v>30%</c:v>
                  </c:pt>
                </c15:dlblRangeCache>
              </c15:datalabelsRange>
            </c:ext>
          </c:extLst>
        </c:ser>
        <c:dLbls>
          <c:showLegendKey val="0"/>
          <c:showVal val="0"/>
          <c:showCatName val="0"/>
          <c:showSerName val="0"/>
          <c:showPercent val="0"/>
          <c:showBubbleSize val="0"/>
        </c:dLbls>
        <c:gapWidth val="100"/>
        <c:overlap val="100"/>
        <c:axId val="450851472"/>
        <c:axId val="450853824"/>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Gênero'!$C$46</c15:sqref>
                        </c15:formulaRef>
                      </c:ext>
                    </c:extLst>
                    <c:strCache>
                      <c:ptCount val="1"/>
                      <c:pt idx="0">
                        <c:v>Masc.</c:v>
                      </c:pt>
                    </c:strCache>
                  </c:strRef>
                </c:tx>
                <c:spPr>
                  <a:solidFill>
                    <a:srgbClr val="0070C0"/>
                  </a:solidFill>
                  <a:ln>
                    <a:noFill/>
                  </a:ln>
                  <a:effectLst/>
                </c:spPr>
                <c:invertIfNegative val="0"/>
                <c:dLbls>
                  <c:dLbl>
                    <c:idx val="0"/>
                    <c:tx>
                      <c:rich>
                        <a:bodyPr/>
                        <a:lstStyle/>
                        <a:p>
                          <a:fld id="{916ABB34-0624-4398-A6F3-672EEADD6CD9}"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F442-4087-8BFC-873882541413}"/>
                      </c:ext>
                      <c:ext uri="{CE6537A1-D6FC-4f65-9D91-7224C49458BB}">
                        <c15:dlblFieldTable/>
                        <c15:showDataLabelsRange val="1"/>
                      </c:ext>
                    </c:extLst>
                  </c:dLbl>
                  <c:dLbl>
                    <c:idx val="1"/>
                    <c:tx>
                      <c:rich>
                        <a:bodyPr/>
                        <a:lstStyle/>
                        <a:p>
                          <a:fld id="{A627A1BA-DDCE-4A86-B2E5-5C30A45298BA}"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C6E468FB-37EB-48C0-AABD-D094969B0F87}"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8721F989-9353-4DFA-8647-07B5B90F8ADF}"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4"/>
                    <c:tx>
                      <c:rich>
                        <a:bodyPr/>
                        <a:lstStyle/>
                        <a:p>
                          <a:fld id="{F2DBEA87-4282-4C95-8616-A844B802D3C5}"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5"/>
                    <c:tx>
                      <c:rich>
                        <a:bodyPr/>
                        <a:lstStyle/>
                        <a:p>
                          <a:fld id="{F5FB1E30-EBF1-43D6-87F5-FFC54F0E6A7A}"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6"/>
                    <c:tx>
                      <c:rich>
                        <a:bodyPr/>
                        <a:lstStyle/>
                        <a:p>
                          <a:fld id="{8EF76C90-1B85-492A-A855-1202747CCCF9}"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7"/>
                    <c:tx>
                      <c:rich>
                        <a:bodyPr/>
                        <a:lstStyle/>
                        <a:p>
                          <a:fld id="{E0328D62-3D9A-44F1-9DAF-659A3BD0376F}"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8"/>
                    <c:tx>
                      <c:rich>
                        <a:bodyPr/>
                        <a:lstStyle/>
                        <a:p>
                          <a:fld id="{9356199D-AEAD-44DD-B25E-CEB1015684D1}"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xmlns:c16r2="http://schemas.microsoft.com/office/drawing/2015/06/chart">
                      <c:ext uri="{02D57815-91ED-43cb-92C2-25804820EDAC}">
                        <c15:formulaRef>
                          <c15:sqref>'RRT - Subgrpupo - Gênero'!$C$47:$C$55</c15:sqref>
                        </c15:formulaRef>
                      </c:ext>
                    </c:extLst>
                    <c:numCache>
                      <c:formatCode>0%</c:formatCode>
                      <c:ptCount val="9"/>
                      <c:pt idx="0">
                        <c:v>0.58344910974417197</c:v>
                      </c:pt>
                      <c:pt idx="1">
                        <c:v>0.62768891747712496</c:v>
                      </c:pt>
                      <c:pt idx="2">
                        <c:v>0.6075614210829644</c:v>
                      </c:pt>
                      <c:pt idx="3">
                        <c:v>0.39520387408837532</c:v>
                      </c:pt>
                      <c:pt idx="4">
                        <c:v>0.61613368148376246</c:v>
                      </c:pt>
                      <c:pt idx="5">
                        <c:v>0.65089963836080877</c:v>
                      </c:pt>
                      <c:pt idx="6">
                        <c:v>0.60100833606959103</c:v>
                      </c:pt>
                      <c:pt idx="7">
                        <c:v>0.67144412053638114</c:v>
                      </c:pt>
                      <c:pt idx="8">
                        <c:v>0.69683299977617974</c:v>
                      </c:pt>
                    </c:numCache>
                  </c:numRef>
                </c:val>
                <c:extLst xmlns:c16r2="http://schemas.microsoft.com/office/drawing/2015/06/chart">
                  <c:ext xmlns:c16="http://schemas.microsoft.com/office/drawing/2014/chart" uri="{C3380CC4-5D6E-409C-BE32-E72D297353CC}">
                    <c16:uniqueId val="{00000021-F442-4087-8BFC-873882541413}"/>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Gênero'!$E$46</c15:sqref>
                        </c15:formulaRef>
                      </c:ext>
                    </c:extLst>
                    <c:strCache>
                      <c:ptCount val="1"/>
                      <c:pt idx="0">
                        <c:v>Fem.</c:v>
                      </c:pt>
                    </c:strCache>
                  </c:strRef>
                </c:tx>
                <c:spPr>
                  <a:solidFill>
                    <a:srgbClr val="FF0000"/>
                  </a:solidFill>
                  <a:ln>
                    <a:noFill/>
                  </a:ln>
                  <a:effectLst/>
                </c:spPr>
                <c:invertIfNegative val="0"/>
                <c:dLbls>
                  <c:dLbl>
                    <c:idx val="0"/>
                    <c:tx>
                      <c:rich>
                        <a:bodyPr/>
                        <a:lstStyle/>
                        <a:p>
                          <a:fld id="{B31D63C2-7B5F-421E-815F-677574A16E0F}"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2-F442-4087-8BFC-873882541413}"/>
                      </c:ext>
                      <c:ext xmlns:c15="http://schemas.microsoft.com/office/drawing/2012/chart" uri="{CE6537A1-D6FC-4f65-9D91-7224C49458BB}">
                        <c15:dlblFieldTable/>
                        <c15:showDataLabelsRange val="1"/>
                      </c:ext>
                    </c:extLst>
                  </c:dLbl>
                  <c:dLbl>
                    <c:idx val="1"/>
                    <c:tx>
                      <c:rich>
                        <a:bodyPr/>
                        <a:lstStyle/>
                        <a:p>
                          <a:fld id="{F881608D-DC33-4ABF-A392-401F18B7BCA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3D29E70-6BA7-493C-9E18-217D38EDDFB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BB77B7D-A11E-428B-85D6-5DA615A0C2A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A234A26-E86F-4983-A55A-544F668714B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C8FAE15-CBC7-4F40-90CF-D922817DDE5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A2520ADB-4DC6-471E-A493-CAC10CF7CAB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CEF99C49-DFEB-4840-8263-5CF1E6B2DE5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5A2DD16C-6F58-437D-BB9C-86F4BDEE387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Gênero'!$E$47:$E$55</c15:sqref>
                        </c15:formulaRef>
                      </c:ext>
                    </c:extLst>
                    <c:numCache>
                      <c:formatCode>0%</c:formatCode>
                      <c:ptCount val="9"/>
                      <c:pt idx="0">
                        <c:v>0.41655089025582798</c:v>
                      </c:pt>
                      <c:pt idx="1">
                        <c:v>0.37231108252287509</c:v>
                      </c:pt>
                      <c:pt idx="2">
                        <c:v>0.3924385789170356</c:v>
                      </c:pt>
                      <c:pt idx="3">
                        <c:v>0.60479612591162446</c:v>
                      </c:pt>
                      <c:pt idx="4">
                        <c:v>0.38386631851623737</c:v>
                      </c:pt>
                      <c:pt idx="5">
                        <c:v>0.34910036163919117</c:v>
                      </c:pt>
                      <c:pt idx="6">
                        <c:v>0.3989916639304088</c:v>
                      </c:pt>
                      <c:pt idx="7">
                        <c:v>0.32855587946361875</c:v>
                      </c:pt>
                      <c:pt idx="8">
                        <c:v>0.30316700022382032</c:v>
                      </c:pt>
                    </c:numCache>
                  </c:numRef>
                </c:val>
                <c:extLst xmlns:c16r2="http://schemas.microsoft.com/office/drawing/2015/06/chart" xmlns:c15="http://schemas.microsoft.com/office/drawing/2012/chart">
                  <c:ext xmlns:c16="http://schemas.microsoft.com/office/drawing/2014/chart" uri="{C3380CC4-5D6E-409C-BE32-E72D297353CC}">
                    <c16:uniqueId val="{0000002B-F442-4087-8BFC-873882541413}"/>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085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0853824"/>
        <c:crosses val="autoZero"/>
        <c:auto val="1"/>
        <c:lblAlgn val="ctr"/>
        <c:lblOffset val="100"/>
        <c:noMultiLvlLbl val="0"/>
      </c:catAx>
      <c:valAx>
        <c:axId val="45085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08514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Gestão</a:t>
            </a:r>
            <a:endParaRPr lang="pt-BR" sz="1000">
              <a:effectLst/>
            </a:endParaRPr>
          </a:p>
        </c:rich>
      </c:tx>
      <c:layout>
        <c:manualLayout>
          <c:xMode val="edge"/>
          <c:yMode val="edge"/>
          <c:x val="0.33642819698783122"/>
          <c:y val="1.868431067153668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Gênero'!$B$56</c:f>
              <c:strCache>
                <c:ptCount val="1"/>
                <c:pt idx="0">
                  <c:v>Masc. RRT</c:v>
                </c:pt>
              </c:strCache>
            </c:strRef>
          </c:tx>
          <c:spPr>
            <a:solidFill>
              <a:srgbClr val="0070C0"/>
            </a:solidFill>
            <a:ln>
              <a:noFill/>
            </a:ln>
            <a:effectLst/>
          </c:spPr>
          <c:invertIfNegative val="0"/>
          <c:dLbls>
            <c:dLbl>
              <c:idx val="0"/>
              <c:tx>
                <c:rich>
                  <a:bodyPr/>
                  <a:lstStyle/>
                  <a:p>
                    <a:fld id="{A6381796-47E9-4134-B77A-B3B1597ED96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6D2D38F-05DD-485C-B712-BB77C8D38A9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47F7B54-F70E-4670-9E22-861071F3ADB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CD7D32D-C569-448D-90A8-E1244374C3C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7D5DB48-31CC-4CCE-A2FF-C82A07A084C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4074B9F-86A6-4ECD-BCFD-5C1519DE86A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E622A756-E68B-41FE-99C3-08337AAA6D4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B78A24B9-3DCE-4C30-A5DC-D70D21041D19}"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C98-4A32-BAB0-EE9C44E479A0}"/>
                </c:ext>
                <c:ext xmlns:c15="http://schemas.microsoft.com/office/drawing/2012/chart" uri="{CE6537A1-D6FC-4f65-9D91-7224C49458BB}">
                  <c15:dlblFieldTable/>
                  <c15:showDataLabelsRange val="1"/>
                </c:ext>
              </c:extLst>
            </c:dLbl>
            <c:dLbl>
              <c:idx val="8"/>
              <c:tx>
                <c:rich>
                  <a:bodyPr/>
                  <a:lstStyle/>
                  <a:p>
                    <a:fld id="{9D5A8E17-398D-4A4E-9720-B41296AD76A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FC98-4A32-BAB0-EE9C44E479A0}"/>
                </c:ext>
                <c:ext xmlns:c15="http://schemas.microsoft.com/office/drawing/2012/chart" uri="{CE6537A1-D6FC-4f65-9D91-7224C49458BB}">
                  <c15:dlblFieldTable/>
                  <c15:showDataLabelsRange val="1"/>
                </c:ext>
              </c:extLst>
            </c:dLbl>
            <c:dLbl>
              <c:idx val="9"/>
              <c:tx>
                <c:rich>
                  <a:bodyPr/>
                  <a:lstStyle/>
                  <a:p>
                    <a:fld id="{673ACF25-D8A2-46CE-9522-E50ADD60402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FC98-4A32-BAB0-EE9C44E479A0}"/>
                </c:ext>
                <c:ext xmlns:c15="http://schemas.microsoft.com/office/drawing/2012/chart" uri="{CE6537A1-D6FC-4f65-9D91-7224C49458BB}">
                  <c15:dlblFieldTable/>
                  <c15:showDataLabelsRange val="1"/>
                </c:ext>
              </c:extLst>
            </c:dLbl>
            <c:dLbl>
              <c:idx val="10"/>
              <c:tx>
                <c:rich>
                  <a:bodyPr/>
                  <a:lstStyle/>
                  <a:p>
                    <a:fld id="{D8FA8912-48CE-4224-828F-C19E3217FE5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FC98-4A32-BAB0-EE9C44E479A0}"/>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Gênero'!$B$57:$B$63</c:f>
              <c:numCache>
                <c:formatCode>_-* #,##0_-;\-* #,##0_-;_-* "-"??_-;_-@_-</c:formatCode>
                <c:ptCount val="7"/>
                <c:pt idx="0">
                  <c:v>1109.9201288618913</c:v>
                </c:pt>
                <c:pt idx="1">
                  <c:v>1276.2094419440025</c:v>
                </c:pt>
                <c:pt idx="2">
                  <c:v>3807.1971311344005</c:v>
                </c:pt>
                <c:pt idx="3">
                  <c:v>673.07735987614603</c:v>
                </c:pt>
                <c:pt idx="4">
                  <c:v>1137.5158904378518</c:v>
                </c:pt>
                <c:pt idx="5">
                  <c:v>2576.8090005956801</c:v>
                </c:pt>
                <c:pt idx="6">
                  <c:v>2053.812917364588</c:v>
                </c:pt>
              </c:numCache>
            </c:numRef>
          </c:val>
          <c:extLst xmlns:c16r2="http://schemas.microsoft.com/office/drawing/2015/06/chart">
            <c:ext xmlns:c16="http://schemas.microsoft.com/office/drawing/2014/chart" uri="{C3380CC4-5D6E-409C-BE32-E72D297353CC}">
              <c16:uniqueId val="{0000000B-FC98-4A32-BAB0-EE9C44E479A0}"/>
            </c:ext>
            <c:ext xmlns:c15="http://schemas.microsoft.com/office/drawing/2012/chart" uri="{02D57815-91ED-43cb-92C2-25804820EDAC}">
              <c15:datalabelsRange>
                <c15:f>'RRT - Subgrpupo - Gênero'!$C$57:$C$63</c15:f>
                <c15:dlblRangeCache>
                  <c:ptCount val="7"/>
                  <c:pt idx="0">
                    <c:v>49%</c:v>
                  </c:pt>
                  <c:pt idx="1">
                    <c:v>57%</c:v>
                  </c:pt>
                  <c:pt idx="2">
                    <c:v>48%</c:v>
                  </c:pt>
                  <c:pt idx="3">
                    <c:v>50%</c:v>
                  </c:pt>
                  <c:pt idx="4">
                    <c:v>50%</c:v>
                  </c:pt>
                  <c:pt idx="5">
                    <c:v>54%</c:v>
                  </c:pt>
                  <c:pt idx="6">
                    <c:v>48%</c:v>
                  </c:pt>
                </c15:dlblRangeCache>
              </c15:datalabelsRange>
            </c:ext>
          </c:extLst>
        </c:ser>
        <c:ser>
          <c:idx val="0"/>
          <c:order val="2"/>
          <c:tx>
            <c:strRef>
              <c:f>'RRT - Subgrpupo - Gênero'!$D$56</c:f>
              <c:strCache>
                <c:ptCount val="1"/>
                <c:pt idx="0">
                  <c:v>Fem. RRT</c:v>
                </c:pt>
              </c:strCache>
            </c:strRef>
          </c:tx>
          <c:spPr>
            <a:solidFill>
              <a:srgbClr val="FF7171"/>
            </a:solidFill>
            <a:ln>
              <a:noFill/>
            </a:ln>
            <a:effectLst/>
          </c:spPr>
          <c:invertIfNegative val="0"/>
          <c:dLbls>
            <c:dLbl>
              <c:idx val="0"/>
              <c:tx>
                <c:rich>
                  <a:bodyPr/>
                  <a:lstStyle/>
                  <a:p>
                    <a:fld id="{CEA8F0E5-B049-443D-862B-A2C502E7916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57AA2C3E-28E2-4974-963D-D14DB6D9603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A0F864A-16F0-4707-A056-725A898C99A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E24B666-9C3E-4000-8C7F-2F8BF0C379E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9A755C8-B6CF-469D-9CCF-FA72342C849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EE7E2A7-E85C-48A5-99FE-59C6B529413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B7C510F-1658-496A-8ABA-C4349F03E5C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A6309D3-56D0-40F4-97C3-DEC20393C8E2}"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FC98-4A32-BAB0-EE9C44E479A0}"/>
                </c:ext>
                <c:ext xmlns:c15="http://schemas.microsoft.com/office/drawing/2012/chart" uri="{CE6537A1-D6FC-4f65-9D91-7224C49458BB}">
                  <c15:dlblFieldTable/>
                  <c15:showDataLabelsRange val="1"/>
                </c:ext>
              </c:extLst>
            </c:dLbl>
            <c:dLbl>
              <c:idx val="8"/>
              <c:tx>
                <c:rich>
                  <a:bodyPr/>
                  <a:lstStyle/>
                  <a:p>
                    <a:fld id="{25A50D04-29A9-45A3-8C1E-3E2BBB5A445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FC98-4A32-BAB0-EE9C44E479A0}"/>
                </c:ext>
                <c:ext xmlns:c15="http://schemas.microsoft.com/office/drawing/2012/chart" uri="{CE6537A1-D6FC-4f65-9D91-7224C49458BB}">
                  <c15:dlblFieldTable/>
                  <c15:showDataLabelsRange val="1"/>
                </c:ext>
              </c:extLst>
            </c:dLbl>
            <c:dLbl>
              <c:idx val="9"/>
              <c:tx>
                <c:rich>
                  <a:bodyPr/>
                  <a:lstStyle/>
                  <a:p>
                    <a:fld id="{84E5150E-AB59-44B6-A415-C529AC8226D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FC98-4A32-BAB0-EE9C44E479A0}"/>
                </c:ext>
                <c:ext xmlns:c15="http://schemas.microsoft.com/office/drawing/2012/chart" uri="{CE6537A1-D6FC-4f65-9D91-7224C49458BB}">
                  <c15:dlblFieldTable/>
                  <c15:showDataLabelsRange val="1"/>
                </c:ext>
              </c:extLst>
            </c:dLbl>
            <c:dLbl>
              <c:idx val="10"/>
              <c:tx>
                <c:rich>
                  <a:bodyPr/>
                  <a:lstStyle/>
                  <a:p>
                    <a:fld id="{C267E246-68C2-44EA-B093-463BAD01FA0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FC98-4A32-BAB0-EE9C44E479A0}"/>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Gênero'!$D$57:$D$63</c:f>
              <c:numCache>
                <c:formatCode>_-* #,##0_-;\-* #,##0_-;_-* "-"??_-;_-@_-</c:formatCode>
                <c:ptCount val="7"/>
                <c:pt idx="0">
                  <c:v>1146.6983960964378</c:v>
                </c:pt>
                <c:pt idx="1">
                  <c:v>972.76194858739757</c:v>
                </c:pt>
                <c:pt idx="2">
                  <c:v>4143.6908681994255</c:v>
                </c:pt>
                <c:pt idx="3">
                  <c:v>668.47435937445073</c:v>
                </c:pt>
                <c:pt idx="4">
                  <c:v>1151.764908602222</c:v>
                </c:pt>
                <c:pt idx="5">
                  <c:v>2164.6159130024184</c:v>
                </c:pt>
                <c:pt idx="6">
                  <c:v>2210.2804161438166</c:v>
                </c:pt>
              </c:numCache>
            </c:numRef>
          </c:val>
          <c:extLst xmlns:c16r2="http://schemas.microsoft.com/office/drawing/2015/06/chart">
            <c:ext xmlns:c16="http://schemas.microsoft.com/office/drawing/2014/chart" uri="{C3380CC4-5D6E-409C-BE32-E72D297353CC}">
              <c16:uniqueId val="{00000017-FC98-4A32-BAB0-EE9C44E479A0}"/>
            </c:ext>
            <c:ext xmlns:c15="http://schemas.microsoft.com/office/drawing/2012/chart" uri="{02D57815-91ED-43cb-92C2-25804820EDAC}">
              <c15:datalabelsRange>
                <c15:f>'RRT - Subgrpupo - Gênero'!$E$57:$E$63</c15:f>
                <c15:dlblRangeCache>
                  <c:ptCount val="7"/>
                  <c:pt idx="0">
                    <c:v>51%</c:v>
                  </c:pt>
                  <c:pt idx="1">
                    <c:v>43%</c:v>
                  </c:pt>
                  <c:pt idx="2">
                    <c:v>52%</c:v>
                  </c:pt>
                  <c:pt idx="3">
                    <c:v>50%</c:v>
                  </c:pt>
                  <c:pt idx="4">
                    <c:v>50%</c:v>
                  </c:pt>
                  <c:pt idx="5">
                    <c:v>46%</c:v>
                  </c:pt>
                  <c:pt idx="6">
                    <c:v>52%</c:v>
                  </c:pt>
                </c15:dlblRangeCache>
              </c15:datalabelsRange>
            </c:ext>
          </c:extLst>
        </c:ser>
        <c:dLbls>
          <c:showLegendKey val="0"/>
          <c:showVal val="0"/>
          <c:showCatName val="0"/>
          <c:showSerName val="0"/>
          <c:showPercent val="0"/>
          <c:showBubbleSize val="0"/>
        </c:dLbls>
        <c:gapWidth val="100"/>
        <c:overlap val="100"/>
        <c:axId val="450853040"/>
        <c:axId val="450849904"/>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Gênero'!$C$56</c15:sqref>
                        </c15:formulaRef>
                      </c:ext>
                    </c:extLst>
                    <c:strCache>
                      <c:ptCount val="1"/>
                      <c:pt idx="0">
                        <c:v>Masc.</c:v>
                      </c:pt>
                    </c:strCache>
                  </c:strRef>
                </c:tx>
                <c:spPr>
                  <a:solidFill>
                    <a:srgbClr val="0070C0"/>
                  </a:solidFill>
                  <a:ln>
                    <a:noFill/>
                  </a:ln>
                  <a:effectLst/>
                </c:spPr>
                <c:invertIfNegative val="0"/>
                <c:dLbls>
                  <c:dLbl>
                    <c:idx val="0"/>
                    <c:tx>
                      <c:rich>
                        <a:bodyPr/>
                        <a:lstStyle/>
                        <a:p>
                          <a:fld id="{F008711F-B617-4DAD-98C0-F0E5CCB4060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FC98-4A32-BAB0-EE9C44E479A0}"/>
                      </c:ext>
                      <c:ext uri="{CE6537A1-D6FC-4f65-9D91-7224C49458BB}">
                        <c15:dlblFieldTable/>
                        <c15:showDataLabelsRange val="1"/>
                      </c:ext>
                    </c:extLst>
                  </c:dLbl>
                  <c:dLbl>
                    <c:idx val="1"/>
                    <c:tx>
                      <c:rich>
                        <a:bodyPr/>
                        <a:lstStyle/>
                        <a:p>
                          <a:fld id="{150545BB-33DB-4051-AC58-0D61993FEE37}"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2C9C1A67-5E10-47A0-B9FD-57C61FC5178D}"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CFCD1F39-81F7-4816-B6A1-5C55A39DD2C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4"/>
                    <c:tx>
                      <c:rich>
                        <a:bodyPr/>
                        <a:lstStyle/>
                        <a:p>
                          <a:fld id="{43732D21-D0DE-42E9-9523-8D41EC968C33}"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5"/>
                    <c:tx>
                      <c:rich>
                        <a:bodyPr/>
                        <a:lstStyle/>
                        <a:p>
                          <a:fld id="{C40CB5EF-87AC-4D44-8CAE-A78D04967D7E}"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6"/>
                    <c:tx>
                      <c:rich>
                        <a:bodyPr/>
                        <a:lstStyle/>
                        <a:p>
                          <a:fld id="{2A353A96-8F78-45EA-9EEF-C7035234365D}"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xmlns:c16r2="http://schemas.microsoft.com/office/drawing/2015/06/chart">
                      <c:ext uri="{02D57815-91ED-43cb-92C2-25804820EDAC}">
                        <c15:formulaRef>
                          <c15:sqref>'RRT - Subgrpupo - Gênero'!$C$57:$C$63</c15:sqref>
                        </c15:formulaRef>
                      </c:ext>
                    </c:extLst>
                    <c:numCache>
                      <c:formatCode>0%</c:formatCode>
                      <c:ptCount val="7"/>
                      <c:pt idx="0">
                        <c:v>0.49185102248612761</c:v>
                      </c:pt>
                      <c:pt idx="1">
                        <c:v>0.56746361795311773</c:v>
                      </c:pt>
                      <c:pt idx="2">
                        <c:v>0.47883923549839852</c:v>
                      </c:pt>
                      <c:pt idx="3">
                        <c:v>0.50171555089365716</c:v>
                      </c:pt>
                      <c:pt idx="4">
                        <c:v>0.49688788326658195</c:v>
                      </c:pt>
                      <c:pt idx="5">
                        <c:v>0.54346721661784814</c:v>
                      </c:pt>
                      <c:pt idx="6">
                        <c:v>0.48165289939250805</c:v>
                      </c:pt>
                    </c:numCache>
                  </c:numRef>
                </c:val>
                <c:extLst xmlns:c16r2="http://schemas.microsoft.com/office/drawing/2015/06/chart">
                  <c:ext xmlns:c16="http://schemas.microsoft.com/office/drawing/2014/chart" uri="{C3380CC4-5D6E-409C-BE32-E72D297353CC}">
                    <c16:uniqueId val="{0000001F-FC98-4A32-BAB0-EE9C44E479A0}"/>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Gênero'!$E$56</c15:sqref>
                        </c15:formulaRef>
                      </c:ext>
                    </c:extLst>
                    <c:strCache>
                      <c:ptCount val="1"/>
                      <c:pt idx="0">
                        <c:v>Fem.</c:v>
                      </c:pt>
                    </c:strCache>
                  </c:strRef>
                </c:tx>
                <c:spPr>
                  <a:solidFill>
                    <a:srgbClr val="FF0000"/>
                  </a:solidFill>
                  <a:ln>
                    <a:noFill/>
                  </a:ln>
                  <a:effectLst/>
                </c:spPr>
                <c:invertIfNegative val="0"/>
                <c:dLbls>
                  <c:dLbl>
                    <c:idx val="0"/>
                    <c:tx>
                      <c:rich>
                        <a:bodyPr/>
                        <a:lstStyle/>
                        <a:p>
                          <a:fld id="{0D4397C6-DFA9-4606-87A8-05BB0329A7A5}"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0-FC98-4A32-BAB0-EE9C44E479A0}"/>
                      </c:ext>
                      <c:ext xmlns:c15="http://schemas.microsoft.com/office/drawing/2012/chart" uri="{CE6537A1-D6FC-4f65-9D91-7224C49458BB}">
                        <c15:dlblFieldTable/>
                        <c15:showDataLabelsRange val="1"/>
                      </c:ext>
                    </c:extLst>
                  </c:dLbl>
                  <c:dLbl>
                    <c:idx val="1"/>
                    <c:tx>
                      <c:rich>
                        <a:bodyPr/>
                        <a:lstStyle/>
                        <a:p>
                          <a:fld id="{ABC11B37-5093-46FD-AB70-A25F9839DC2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9808FF52-2169-409D-A0D7-0E332DDF4F1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9C6A347-591E-49AD-89CE-BB002D9CDDB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ED54A53-810A-45DD-88F8-C9CEC8E3041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5A21617-323F-43E7-A590-CB6E3B720CE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76A1AF70-EBDA-49C0-A4D8-EAAE28ED73F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Gênero'!$E$57:$E$63</c15:sqref>
                        </c15:formulaRef>
                      </c:ext>
                    </c:extLst>
                    <c:numCache>
                      <c:formatCode>0%</c:formatCode>
                      <c:ptCount val="7"/>
                      <c:pt idx="0">
                        <c:v>0.50814897751387234</c:v>
                      </c:pt>
                      <c:pt idx="1">
                        <c:v>0.43253638204688216</c:v>
                      </c:pt>
                      <c:pt idx="2">
                        <c:v>0.52116076450160154</c:v>
                      </c:pt>
                      <c:pt idx="3">
                        <c:v>0.49828444910634284</c:v>
                      </c:pt>
                      <c:pt idx="4">
                        <c:v>0.50311211673341794</c:v>
                      </c:pt>
                      <c:pt idx="5">
                        <c:v>0.45653278338215175</c:v>
                      </c:pt>
                      <c:pt idx="6">
                        <c:v>0.5183471006074919</c:v>
                      </c:pt>
                    </c:numCache>
                  </c:numRef>
                </c:val>
                <c:extLst xmlns:c16r2="http://schemas.microsoft.com/office/drawing/2015/06/chart" xmlns:c15="http://schemas.microsoft.com/office/drawing/2012/chart">
                  <c:ext xmlns:c16="http://schemas.microsoft.com/office/drawing/2014/chart" uri="{C3380CC4-5D6E-409C-BE32-E72D297353CC}">
                    <c16:uniqueId val="{00000027-FC98-4A32-BAB0-EE9C44E479A0}"/>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085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0849904"/>
        <c:crosses val="autoZero"/>
        <c:auto val="1"/>
        <c:lblAlgn val="ctr"/>
        <c:lblOffset val="100"/>
        <c:noMultiLvlLbl val="0"/>
      </c:catAx>
      <c:valAx>
        <c:axId val="45084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0853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Meio Ambiente e Planejamento Regional e Urbano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Gênero'!$B$64</c:f>
              <c:strCache>
                <c:ptCount val="1"/>
                <c:pt idx="0">
                  <c:v>Masc. RRT</c:v>
                </c:pt>
              </c:strCache>
            </c:strRef>
          </c:tx>
          <c:spPr>
            <a:solidFill>
              <a:srgbClr val="0070C0"/>
            </a:solidFill>
            <a:ln>
              <a:noFill/>
            </a:ln>
            <a:effectLst/>
          </c:spPr>
          <c:invertIfNegative val="0"/>
          <c:dLbls>
            <c:dLbl>
              <c:idx val="0"/>
              <c:tx>
                <c:rich>
                  <a:bodyPr/>
                  <a:lstStyle/>
                  <a:p>
                    <a:fld id="{6B9783EE-438B-4784-94BE-BA88E8014C8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E561B132-DB45-4528-857C-F84BAACCF10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22F36C0-B177-41A0-8921-0D418F35068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57622BC-E658-449B-AC18-0D67C38ECE3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B78A24B9-3DCE-4C30-A5DC-D70D21041D19}"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7769-471D-AF2A-2404A5F73437}"/>
                </c:ext>
                <c:ext xmlns:c15="http://schemas.microsoft.com/office/drawing/2012/chart" uri="{CE6537A1-D6FC-4f65-9D91-7224C49458BB}">
                  <c15:dlblFieldTable/>
                  <c15:showDataLabelsRange val="1"/>
                </c:ext>
              </c:extLst>
            </c:dLbl>
            <c:dLbl>
              <c:idx val="8"/>
              <c:tx>
                <c:rich>
                  <a:bodyPr/>
                  <a:lstStyle/>
                  <a:p>
                    <a:fld id="{9D5A8E17-398D-4A4E-9720-B41296AD76A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769-471D-AF2A-2404A5F73437}"/>
                </c:ext>
                <c:ext xmlns:c15="http://schemas.microsoft.com/office/drawing/2012/chart" uri="{CE6537A1-D6FC-4f65-9D91-7224C49458BB}">
                  <c15:dlblFieldTable/>
                  <c15:showDataLabelsRange val="1"/>
                </c:ext>
              </c:extLst>
            </c:dLbl>
            <c:dLbl>
              <c:idx val="9"/>
              <c:tx>
                <c:rich>
                  <a:bodyPr/>
                  <a:lstStyle/>
                  <a:p>
                    <a:fld id="{673ACF25-D8A2-46CE-9522-E50ADD60402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7769-471D-AF2A-2404A5F73437}"/>
                </c:ext>
                <c:ext xmlns:c15="http://schemas.microsoft.com/office/drawing/2012/chart" uri="{CE6537A1-D6FC-4f65-9D91-7224C49458BB}">
                  <c15:dlblFieldTable/>
                  <c15:showDataLabelsRange val="1"/>
                </c:ext>
              </c:extLst>
            </c:dLbl>
            <c:dLbl>
              <c:idx val="10"/>
              <c:tx>
                <c:rich>
                  <a:bodyPr/>
                  <a:lstStyle/>
                  <a:p>
                    <a:fld id="{D8FA8912-48CE-4224-828F-C19E3217FE5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769-471D-AF2A-2404A5F73437}"/>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Gênero'!$B$65:$B$68</c:f>
              <c:numCache>
                <c:formatCode>_-* #,##0_-;\-* #,##0_-;_-* "-"??_-;_-@_-</c:formatCode>
                <c:ptCount val="4"/>
                <c:pt idx="0">
                  <c:v>4558.3811272795938</c:v>
                </c:pt>
                <c:pt idx="1">
                  <c:v>2683.0171964142014</c:v>
                </c:pt>
                <c:pt idx="2">
                  <c:v>70.59730489141964</c:v>
                </c:pt>
                <c:pt idx="3">
                  <c:v>333.24467344256016</c:v>
                </c:pt>
              </c:numCache>
            </c:numRef>
          </c:val>
          <c:extLst xmlns:c16r2="http://schemas.microsoft.com/office/drawing/2015/06/chart">
            <c:ext xmlns:c16="http://schemas.microsoft.com/office/drawing/2014/chart" uri="{C3380CC4-5D6E-409C-BE32-E72D297353CC}">
              <c16:uniqueId val="{00000008-7769-471D-AF2A-2404A5F73437}"/>
            </c:ext>
            <c:ext xmlns:c15="http://schemas.microsoft.com/office/drawing/2012/chart" uri="{02D57815-91ED-43cb-92C2-25804820EDAC}">
              <c15:datalabelsRange>
                <c15:f>'RRT - Subgrpupo - Gênero'!$C$65:$C$68</c15:f>
                <c15:dlblRangeCache>
                  <c:ptCount val="4"/>
                  <c:pt idx="0">
                    <c:v>65%</c:v>
                  </c:pt>
                  <c:pt idx="1">
                    <c:v>53%</c:v>
                  </c:pt>
                  <c:pt idx="2">
                    <c:v>45%</c:v>
                  </c:pt>
                  <c:pt idx="3">
                    <c:v>43%</c:v>
                  </c:pt>
                </c15:dlblRangeCache>
              </c15:datalabelsRange>
            </c:ext>
          </c:extLst>
        </c:ser>
        <c:ser>
          <c:idx val="0"/>
          <c:order val="2"/>
          <c:tx>
            <c:strRef>
              <c:f>'RRT - Subgrpupo - Gênero'!$D$64</c:f>
              <c:strCache>
                <c:ptCount val="1"/>
                <c:pt idx="0">
                  <c:v>Fem. RRT</c:v>
                </c:pt>
              </c:strCache>
            </c:strRef>
          </c:tx>
          <c:spPr>
            <a:solidFill>
              <a:srgbClr val="FF7171"/>
            </a:solidFill>
            <a:ln>
              <a:noFill/>
            </a:ln>
            <a:effectLst/>
          </c:spPr>
          <c:invertIfNegative val="0"/>
          <c:dLbls>
            <c:dLbl>
              <c:idx val="0"/>
              <c:tx>
                <c:rich>
                  <a:bodyPr/>
                  <a:lstStyle/>
                  <a:p>
                    <a:fld id="{4A49BA4A-596A-4676-BA66-AE4B0FAC629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4F4442DF-502B-4F7F-8190-84AD1E106EC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B89BE4C-9E4C-47C1-A3D8-7AD0A489A29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DF3FAA8-D92F-4339-ABB2-761AB52F043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A6309D3-56D0-40F4-97C3-DEC20393C8E2}"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769-471D-AF2A-2404A5F73437}"/>
                </c:ext>
                <c:ext xmlns:c15="http://schemas.microsoft.com/office/drawing/2012/chart" uri="{CE6537A1-D6FC-4f65-9D91-7224C49458BB}">
                  <c15:dlblFieldTable/>
                  <c15:showDataLabelsRange val="1"/>
                </c:ext>
              </c:extLst>
            </c:dLbl>
            <c:dLbl>
              <c:idx val="8"/>
              <c:tx>
                <c:rich>
                  <a:bodyPr/>
                  <a:lstStyle/>
                  <a:p>
                    <a:fld id="{25A50D04-29A9-45A3-8C1E-3E2BBB5A445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7769-471D-AF2A-2404A5F73437}"/>
                </c:ext>
                <c:ext xmlns:c15="http://schemas.microsoft.com/office/drawing/2012/chart" uri="{CE6537A1-D6FC-4f65-9D91-7224C49458BB}">
                  <c15:dlblFieldTable/>
                  <c15:showDataLabelsRange val="1"/>
                </c:ext>
              </c:extLst>
            </c:dLbl>
            <c:dLbl>
              <c:idx val="9"/>
              <c:tx>
                <c:rich>
                  <a:bodyPr/>
                  <a:lstStyle/>
                  <a:p>
                    <a:fld id="{84E5150E-AB59-44B6-A415-C529AC8226D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769-471D-AF2A-2404A5F73437}"/>
                </c:ext>
                <c:ext xmlns:c15="http://schemas.microsoft.com/office/drawing/2012/chart" uri="{CE6537A1-D6FC-4f65-9D91-7224C49458BB}">
                  <c15:dlblFieldTable/>
                  <c15:showDataLabelsRange val="1"/>
                </c:ext>
              </c:extLst>
            </c:dLbl>
            <c:dLbl>
              <c:idx val="10"/>
              <c:tx>
                <c:rich>
                  <a:bodyPr/>
                  <a:lstStyle/>
                  <a:p>
                    <a:fld id="{C267E246-68C2-44EA-B093-463BAD01FA0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7769-471D-AF2A-2404A5F73437}"/>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Gênero'!$D$65:$D$68</c:f>
              <c:numCache>
                <c:formatCode>_-* #,##0_-;\-* #,##0_-;_-* "-"??_-;_-@_-</c:formatCode>
                <c:ptCount val="4"/>
                <c:pt idx="0">
                  <c:v>2468.9903430324462</c:v>
                </c:pt>
                <c:pt idx="1">
                  <c:v>2348.415396309309</c:v>
                </c:pt>
                <c:pt idx="2">
                  <c:v>84.863977494870142</c:v>
                </c:pt>
                <c:pt idx="3">
                  <c:v>438.37816447336968</c:v>
                </c:pt>
              </c:numCache>
            </c:numRef>
          </c:val>
          <c:extLst xmlns:c16r2="http://schemas.microsoft.com/office/drawing/2015/06/chart">
            <c:ext xmlns:c16="http://schemas.microsoft.com/office/drawing/2014/chart" uri="{C3380CC4-5D6E-409C-BE32-E72D297353CC}">
              <c16:uniqueId val="{00000011-7769-471D-AF2A-2404A5F73437}"/>
            </c:ext>
            <c:ext xmlns:c15="http://schemas.microsoft.com/office/drawing/2012/chart" uri="{02D57815-91ED-43cb-92C2-25804820EDAC}">
              <c15:datalabelsRange>
                <c15:f>'RRT - Subgrpupo - Gênero'!$E$65:$E$68</c15:f>
                <c15:dlblRangeCache>
                  <c:ptCount val="4"/>
                  <c:pt idx="0">
                    <c:v>35%</c:v>
                  </c:pt>
                  <c:pt idx="1">
                    <c:v>47%</c:v>
                  </c:pt>
                  <c:pt idx="2">
                    <c:v>55%</c:v>
                  </c:pt>
                  <c:pt idx="3">
                    <c:v>57%</c:v>
                  </c:pt>
                </c15:dlblRangeCache>
              </c15:datalabelsRange>
            </c:ext>
          </c:extLst>
        </c:ser>
        <c:dLbls>
          <c:showLegendKey val="0"/>
          <c:showVal val="0"/>
          <c:showCatName val="0"/>
          <c:showSerName val="0"/>
          <c:showPercent val="0"/>
          <c:showBubbleSize val="0"/>
        </c:dLbls>
        <c:gapWidth val="100"/>
        <c:overlap val="100"/>
        <c:axId val="450855000"/>
        <c:axId val="450856176"/>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Gênero'!$C$64</c15:sqref>
                        </c15:formulaRef>
                      </c:ext>
                    </c:extLst>
                    <c:strCache>
                      <c:ptCount val="1"/>
                      <c:pt idx="0">
                        <c:v>Masc.</c:v>
                      </c:pt>
                    </c:strCache>
                  </c:strRef>
                </c:tx>
                <c:spPr>
                  <a:solidFill>
                    <a:srgbClr val="0070C0"/>
                  </a:solidFill>
                  <a:ln>
                    <a:noFill/>
                  </a:ln>
                  <a:effectLst/>
                </c:spPr>
                <c:invertIfNegative val="0"/>
                <c:dLbls>
                  <c:dLbl>
                    <c:idx val="0"/>
                    <c:tx>
                      <c:rich>
                        <a:bodyPr/>
                        <a:lstStyle/>
                        <a:p>
                          <a:fld id="{442EF82E-55EA-4932-AD69-1829CB1D7A63}"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7769-471D-AF2A-2404A5F73437}"/>
                      </c:ext>
                      <c:ext uri="{CE6537A1-D6FC-4f65-9D91-7224C49458BB}">
                        <c15:dlblFieldTable/>
                        <c15:showDataLabelsRange val="1"/>
                      </c:ext>
                    </c:extLst>
                  </c:dLbl>
                  <c:dLbl>
                    <c:idx val="1"/>
                    <c:tx>
                      <c:rich>
                        <a:bodyPr/>
                        <a:lstStyle/>
                        <a:p>
                          <a:fld id="{A283CA0F-5244-46C8-AE85-33E7301647A9}"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A90C0BAB-61EA-4BAD-9E6B-C79D05F9AF45}"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46BCCFA6-7664-43EE-9D6C-4F0E10F89B6F}"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xmlns:c16r2="http://schemas.microsoft.com/office/drawing/2015/06/chart">
                      <c:ext uri="{02D57815-91ED-43cb-92C2-25804820EDAC}">
                        <c15:formulaRef>
                          <c15:sqref>'RRT - Subgrpupo - Gênero'!$C$65:$C$68</c15:sqref>
                        </c15:formulaRef>
                      </c:ext>
                    </c:extLst>
                    <c:numCache>
                      <c:formatCode>0%</c:formatCode>
                      <c:ptCount val="4"/>
                      <c:pt idx="0">
                        <c:v>0.64866090351662953</c:v>
                      </c:pt>
                      <c:pt idx="1">
                        <c:v>0.53325114606412449</c:v>
                      </c:pt>
                      <c:pt idx="2">
                        <c:v>0.45411502985032404</c:v>
                      </c:pt>
                      <c:pt idx="3">
                        <c:v>0.43187507816981952</c:v>
                      </c:pt>
                    </c:numCache>
                  </c:numRef>
                </c:val>
                <c:extLst xmlns:c16r2="http://schemas.microsoft.com/office/drawing/2015/06/chart">
                  <c:ext xmlns:c16="http://schemas.microsoft.com/office/drawing/2014/chart" uri="{C3380CC4-5D6E-409C-BE32-E72D297353CC}">
                    <c16:uniqueId val="{00000016-7769-471D-AF2A-2404A5F73437}"/>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Gênero'!$E$64</c15:sqref>
                        </c15:formulaRef>
                      </c:ext>
                    </c:extLst>
                    <c:strCache>
                      <c:ptCount val="1"/>
                      <c:pt idx="0">
                        <c:v>Fem.</c:v>
                      </c:pt>
                    </c:strCache>
                  </c:strRef>
                </c:tx>
                <c:spPr>
                  <a:solidFill>
                    <a:srgbClr val="FF0000"/>
                  </a:solidFill>
                  <a:ln>
                    <a:noFill/>
                  </a:ln>
                  <a:effectLst/>
                </c:spPr>
                <c:invertIfNegative val="0"/>
                <c:dLbls>
                  <c:dLbl>
                    <c:idx val="0"/>
                    <c:tx>
                      <c:rich>
                        <a:bodyPr/>
                        <a:lstStyle/>
                        <a:p>
                          <a:fld id="{D848BC2E-4B11-47FB-BA42-D71801EB712B}"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17-7769-471D-AF2A-2404A5F73437}"/>
                      </c:ext>
                      <c:ext xmlns:c15="http://schemas.microsoft.com/office/drawing/2012/chart" uri="{CE6537A1-D6FC-4f65-9D91-7224C49458BB}">
                        <c15:dlblFieldTable/>
                        <c15:showDataLabelsRange val="1"/>
                      </c:ext>
                    </c:extLst>
                  </c:dLbl>
                  <c:dLbl>
                    <c:idx val="1"/>
                    <c:tx>
                      <c:rich>
                        <a:bodyPr/>
                        <a:lstStyle/>
                        <a:p>
                          <a:fld id="{053C2707-F608-49AA-A82D-AF4229EAC74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9836DF3F-1C18-481E-B12A-2FA0E3B2AAD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870382AD-8C60-4AA4-A460-DE2BD4BF3AF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Gênero'!$E$65:$E$68</c15:sqref>
                        </c15:formulaRef>
                      </c:ext>
                    </c:extLst>
                    <c:numCache>
                      <c:formatCode>0%</c:formatCode>
                      <c:ptCount val="4"/>
                      <c:pt idx="0">
                        <c:v>0.35133909648337036</c:v>
                      </c:pt>
                      <c:pt idx="1">
                        <c:v>0.46674885393587551</c:v>
                      </c:pt>
                      <c:pt idx="2">
                        <c:v>0.54588497014967596</c:v>
                      </c:pt>
                      <c:pt idx="3">
                        <c:v>0.56812492183018048</c:v>
                      </c:pt>
                    </c:numCache>
                  </c:numRef>
                </c:val>
                <c:extLst xmlns:c16r2="http://schemas.microsoft.com/office/drawing/2015/06/chart" xmlns:c15="http://schemas.microsoft.com/office/drawing/2012/chart">
                  <c:ext xmlns:c16="http://schemas.microsoft.com/office/drawing/2014/chart" uri="{C3380CC4-5D6E-409C-BE32-E72D297353CC}">
                    <c16:uniqueId val="{0000001B-7769-471D-AF2A-2404A5F73437}"/>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085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0856176"/>
        <c:crosses val="autoZero"/>
        <c:auto val="1"/>
        <c:lblAlgn val="ctr"/>
        <c:lblOffset val="100"/>
        <c:noMultiLvlLbl val="0"/>
      </c:catAx>
      <c:valAx>
        <c:axId val="45085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0855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Atividades Especiais em Arquitetura e Urbanismo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Gênero'!$B$69</c:f>
              <c:strCache>
                <c:ptCount val="1"/>
                <c:pt idx="0">
                  <c:v>Masc. RRT</c:v>
                </c:pt>
              </c:strCache>
            </c:strRef>
          </c:tx>
          <c:spPr>
            <a:solidFill>
              <a:srgbClr val="0070C0"/>
            </a:solidFill>
            <a:ln>
              <a:noFill/>
            </a:ln>
            <a:effectLst/>
          </c:spPr>
          <c:invertIfNegative val="0"/>
          <c:dLbls>
            <c:dLbl>
              <c:idx val="0"/>
              <c:tx>
                <c:rich>
                  <a:bodyPr/>
                  <a:lstStyle/>
                  <a:p>
                    <a:fld id="{8F925F85-85A3-482E-B124-FC6D03C7336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FEE8246B-F9F5-4FBF-9F83-E01ED58B229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A6C8D1B-DAC5-4438-B3BF-3DC461AA9E5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B4AAE8A-3C29-4432-BF35-C04E4937F30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EB939DD-067D-45B9-A326-27ECB5994C5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D9F9E88-348A-441A-83F3-BBD6D27EAD7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84FE469-F17D-4E11-BFC0-E35C5ED20B1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525EC72-BB78-4DC8-BF79-B0912D8311A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2C015341-90CC-4366-BAED-FE46B3D6044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A59F95C1-B88B-4917-B252-2E2873EB5AA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C630C267-FDBB-4EC8-806C-421CCB6C563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Gênero'!$B$70:$B$80</c:f>
              <c:numCache>
                <c:formatCode>_-* #,##0_-;\-* #,##0_-;_-* "-"??_-;_-@_-</c:formatCode>
                <c:ptCount val="11"/>
                <c:pt idx="0">
                  <c:v>1038.192891826254</c:v>
                </c:pt>
                <c:pt idx="1">
                  <c:v>650.63567717260207</c:v>
                </c:pt>
                <c:pt idx="2">
                  <c:v>667.67836335217692</c:v>
                </c:pt>
                <c:pt idx="3">
                  <c:v>9088.9117039678949</c:v>
                </c:pt>
                <c:pt idx="4">
                  <c:v>374.80037682416344</c:v>
                </c:pt>
                <c:pt idx="5">
                  <c:v>3499.9751322873481</c:v>
                </c:pt>
                <c:pt idx="6">
                  <c:v>20053.959164199721</c:v>
                </c:pt>
                <c:pt idx="7">
                  <c:v>2268.1074541954436</c:v>
                </c:pt>
                <c:pt idx="8">
                  <c:v>19.598027550070153</c:v>
                </c:pt>
                <c:pt idx="9">
                  <c:v>9.5676983582726933</c:v>
                </c:pt>
                <c:pt idx="10">
                  <c:v>1581.2057912593341</c:v>
                </c:pt>
              </c:numCache>
            </c:numRef>
          </c:val>
          <c:extLst xmlns:c16r2="http://schemas.microsoft.com/office/drawing/2015/06/chart">
            <c:ext xmlns:c16="http://schemas.microsoft.com/office/drawing/2014/chart" uri="{C3380CC4-5D6E-409C-BE32-E72D297353CC}">
              <c16:uniqueId val="{0000000B-0A12-42EF-92CB-0E76FAA86AB8}"/>
            </c:ext>
            <c:ext xmlns:c15="http://schemas.microsoft.com/office/drawing/2012/chart" uri="{02D57815-91ED-43cb-92C2-25804820EDAC}">
              <c15:datalabelsRange>
                <c15:f>'RRT - Subgrpupo - Gênero'!$C$70:$C$80</c15:f>
                <c15:dlblRangeCache>
                  <c:ptCount val="11"/>
                  <c:pt idx="0">
                    <c:v>44%</c:v>
                  </c:pt>
                  <c:pt idx="1">
                    <c:v>46%</c:v>
                  </c:pt>
                  <c:pt idx="2">
                    <c:v>53%</c:v>
                  </c:pt>
                  <c:pt idx="3">
                    <c:v>53%</c:v>
                  </c:pt>
                  <c:pt idx="4">
                    <c:v>68%</c:v>
                  </c:pt>
                  <c:pt idx="5">
                    <c:v>46%</c:v>
                  </c:pt>
                  <c:pt idx="6">
                    <c:v>53%</c:v>
                  </c:pt>
                  <c:pt idx="7">
                    <c:v>60%</c:v>
                  </c:pt>
                  <c:pt idx="8">
                    <c:v>47%</c:v>
                  </c:pt>
                  <c:pt idx="9">
                    <c:v>63%</c:v>
                  </c:pt>
                  <c:pt idx="10">
                    <c:v>57%</c:v>
                  </c:pt>
                </c15:dlblRangeCache>
              </c15:datalabelsRange>
            </c:ext>
          </c:extLst>
        </c:ser>
        <c:ser>
          <c:idx val="0"/>
          <c:order val="2"/>
          <c:tx>
            <c:strRef>
              <c:f>'RRT - Subgrpupo - Gênero'!$D$69</c:f>
              <c:strCache>
                <c:ptCount val="1"/>
                <c:pt idx="0">
                  <c:v>Fem. RRT</c:v>
                </c:pt>
              </c:strCache>
            </c:strRef>
          </c:tx>
          <c:spPr>
            <a:solidFill>
              <a:srgbClr val="FF7171"/>
            </a:solidFill>
            <a:ln>
              <a:noFill/>
            </a:ln>
            <a:effectLst/>
          </c:spPr>
          <c:invertIfNegative val="0"/>
          <c:dLbls>
            <c:dLbl>
              <c:idx val="0"/>
              <c:tx>
                <c:rich>
                  <a:bodyPr/>
                  <a:lstStyle/>
                  <a:p>
                    <a:fld id="{BBC92C92-77D2-4D9B-AF71-BC95D4BA87E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6AFC69A7-A732-460B-982A-616CDC56DAB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94FC43F-5FBF-4B67-9AD0-A799ECE0E5C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30B1A0E-5ADE-4249-8D24-5795AAC6736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9AE0A72-9A25-4078-BA4E-34728C88DF1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3D8F690-654E-4218-8B3B-F1FB04D1EEF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5E4C1A37-D9BC-40EA-A84D-DEDA109D58E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EE4218AB-4C2A-4735-907E-853DBA2ABAD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308370B7-0C85-429A-98DC-6EC75AF91FE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F02364B9-7812-4CAD-8332-32309D52B91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B6B7E387-3071-4ED7-A115-2DF48001FE0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Gênero'!$D$70:$D$80</c:f>
              <c:numCache>
                <c:formatCode>_-* #,##0_-;\-* #,##0_-;_-* "-"??_-;_-@_-</c:formatCode>
                <c:ptCount val="11"/>
                <c:pt idx="0">
                  <c:v>1320.7970383988134</c:v>
                </c:pt>
                <c:pt idx="1">
                  <c:v>769.72178367410561</c:v>
                </c:pt>
                <c:pt idx="2">
                  <c:v>585.87613889386989</c:v>
                </c:pt>
                <c:pt idx="3">
                  <c:v>7940.0732742088921</c:v>
                </c:pt>
                <c:pt idx="4">
                  <c:v>178.09224063340588</c:v>
                </c:pt>
                <c:pt idx="5">
                  <c:v>4187.7309415976188</c:v>
                </c:pt>
                <c:pt idx="6">
                  <c:v>17719.690336758518</c:v>
                </c:pt>
                <c:pt idx="7">
                  <c:v>1514.753165247203</c:v>
                </c:pt>
                <c:pt idx="8">
                  <c:v>22.282167311663052</c:v>
                </c:pt>
                <c:pt idx="9">
                  <c:v>5.639239429710396</c:v>
                </c:pt>
                <c:pt idx="10">
                  <c:v>1206.7941381673304</c:v>
                </c:pt>
              </c:numCache>
            </c:numRef>
          </c:val>
          <c:extLst xmlns:c16r2="http://schemas.microsoft.com/office/drawing/2015/06/chart">
            <c:ext xmlns:c16="http://schemas.microsoft.com/office/drawing/2014/chart" uri="{C3380CC4-5D6E-409C-BE32-E72D297353CC}">
              <c16:uniqueId val="{00000017-0A12-42EF-92CB-0E76FAA86AB8}"/>
            </c:ext>
            <c:ext xmlns:c15="http://schemas.microsoft.com/office/drawing/2012/chart" uri="{02D57815-91ED-43cb-92C2-25804820EDAC}">
              <c15:datalabelsRange>
                <c15:f>'RRT - Subgrpupo - Gênero'!$E$70:$E$80</c15:f>
                <c15:dlblRangeCache>
                  <c:ptCount val="11"/>
                  <c:pt idx="0">
                    <c:v>56%</c:v>
                  </c:pt>
                  <c:pt idx="1">
                    <c:v>54%</c:v>
                  </c:pt>
                  <c:pt idx="2">
                    <c:v>47%</c:v>
                  </c:pt>
                  <c:pt idx="3">
                    <c:v>47%</c:v>
                  </c:pt>
                  <c:pt idx="4">
                    <c:v>32%</c:v>
                  </c:pt>
                  <c:pt idx="5">
                    <c:v>54%</c:v>
                  </c:pt>
                  <c:pt idx="6">
                    <c:v>47%</c:v>
                  </c:pt>
                  <c:pt idx="7">
                    <c:v>40%</c:v>
                  </c:pt>
                  <c:pt idx="8">
                    <c:v>53%</c:v>
                  </c:pt>
                  <c:pt idx="9">
                    <c:v>37%</c:v>
                  </c:pt>
                  <c:pt idx="10">
                    <c:v>43%</c:v>
                  </c:pt>
                </c15:dlblRangeCache>
              </c15:datalabelsRange>
            </c:ext>
          </c:extLst>
        </c:ser>
        <c:dLbls>
          <c:showLegendKey val="0"/>
          <c:showVal val="0"/>
          <c:showCatName val="0"/>
          <c:showSerName val="0"/>
          <c:showPercent val="0"/>
          <c:showBubbleSize val="0"/>
        </c:dLbls>
        <c:gapWidth val="100"/>
        <c:overlap val="100"/>
        <c:axId val="453314776"/>
        <c:axId val="453308896"/>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Gênero'!$C$69</c15:sqref>
                        </c15:formulaRef>
                      </c:ext>
                    </c:extLst>
                    <c:strCache>
                      <c:ptCount val="1"/>
                      <c:pt idx="0">
                        <c:v>Masc.</c:v>
                      </c:pt>
                    </c:strCache>
                  </c:strRef>
                </c:tx>
                <c:spPr>
                  <a:solidFill>
                    <a:srgbClr val="0070C0"/>
                  </a:solidFill>
                  <a:ln>
                    <a:noFill/>
                  </a:ln>
                  <a:effectLst/>
                </c:spPr>
                <c:invertIfNegative val="0"/>
                <c:dLbls>
                  <c:dLbl>
                    <c:idx val="0"/>
                    <c:tx>
                      <c:rich>
                        <a:bodyPr/>
                        <a:lstStyle/>
                        <a:p>
                          <a:fld id="{5AD1197F-C563-442B-9800-EE51F4522538}"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0A12-42EF-92CB-0E76FAA86AB8}"/>
                      </c:ext>
                      <c:ext uri="{CE6537A1-D6FC-4f65-9D91-7224C49458BB}">
                        <c15:dlblFieldTable/>
                        <c15:showDataLabelsRange val="1"/>
                      </c:ext>
                    </c:extLst>
                  </c:dLbl>
                  <c:dLbl>
                    <c:idx val="1"/>
                    <c:tx>
                      <c:rich>
                        <a:bodyPr/>
                        <a:lstStyle/>
                        <a:p>
                          <a:fld id="{BBD96653-3F13-4CE3-A633-901DE644A650}"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4667620E-6BF0-4D33-A109-5C2027591183}"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26B68BDD-C2DA-4B65-AD51-2EA21848B944}"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4"/>
                    <c:tx>
                      <c:rich>
                        <a:bodyPr/>
                        <a:lstStyle/>
                        <a:p>
                          <a:fld id="{246F6ACB-8C61-4746-8EB1-7F9896827D43}"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5"/>
                    <c:tx>
                      <c:rich>
                        <a:bodyPr/>
                        <a:lstStyle/>
                        <a:p>
                          <a:fld id="{E519DD9A-5D7C-4994-A05D-93B9BB975F69}"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6"/>
                    <c:tx>
                      <c:rich>
                        <a:bodyPr/>
                        <a:lstStyle/>
                        <a:p>
                          <a:fld id="{40AA3F3F-BA62-41CB-905B-A28354DD6BFB}"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7"/>
                    <c:tx>
                      <c:rich>
                        <a:bodyPr/>
                        <a:lstStyle/>
                        <a:p>
                          <a:fld id="{386F580D-622E-412A-9F35-84711B3EC621}"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8"/>
                    <c:tx>
                      <c:rich>
                        <a:bodyPr/>
                        <a:lstStyle/>
                        <a:p>
                          <a:fld id="{7CF10BF8-CB7F-4848-AB2D-AC9581873903}"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9"/>
                    <c:tx>
                      <c:rich>
                        <a:bodyPr/>
                        <a:lstStyle/>
                        <a:p>
                          <a:fld id="{8CAD2990-9FE4-48E0-8ADC-A1326FDD27CE}"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10"/>
                    <c:tx>
                      <c:rich>
                        <a:bodyPr/>
                        <a:lstStyle/>
                        <a:p>
                          <a:fld id="{1ADE2BCC-3898-4DA0-85C9-590F6F8495E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xmlns:c16r2="http://schemas.microsoft.com/office/drawing/2015/06/chart">
                      <c:ext uri="{02D57815-91ED-43cb-92C2-25804820EDAC}">
                        <c15:formulaRef>
                          <c15:sqref>'RRT - Subgrpupo - Gênero'!$C$70:$C$80</c15:sqref>
                        </c15:formulaRef>
                      </c:ext>
                    </c:extLst>
                    <c:numCache>
                      <c:formatCode>0%</c:formatCode>
                      <c:ptCount val="11"/>
                      <c:pt idx="0">
                        <c:v>0.44010060345073276</c:v>
                      </c:pt>
                      <c:pt idx="1">
                        <c:v>0.4580788253013035</c:v>
                      </c:pt>
                      <c:pt idx="2">
                        <c:v>0.53262810843554809</c:v>
                      </c:pt>
                      <c:pt idx="3">
                        <c:v>0.53373185281539914</c:v>
                      </c:pt>
                      <c:pt idx="4">
                        <c:v>0.67789000067979155</c:v>
                      </c:pt>
                      <c:pt idx="5">
                        <c:v>0.45526911391380009</c:v>
                      </c:pt>
                      <c:pt idx="6">
                        <c:v>0.5308981109620079</c:v>
                      </c:pt>
                      <c:pt idx="7">
                        <c:v>0.59957468232853328</c:v>
                      </c:pt>
                      <c:pt idx="8">
                        <c:v>0.46795454545454546</c:v>
                      </c:pt>
                      <c:pt idx="9">
                        <c:v>0.62916666666666665</c:v>
                      </c:pt>
                      <c:pt idx="10">
                        <c:v>0.56714699830874804</c:v>
                      </c:pt>
                    </c:numCache>
                  </c:numRef>
                </c:val>
                <c:extLst xmlns:c16r2="http://schemas.microsoft.com/office/drawing/2015/06/chart">
                  <c:ext xmlns:c16="http://schemas.microsoft.com/office/drawing/2014/chart" uri="{C3380CC4-5D6E-409C-BE32-E72D297353CC}">
                    <c16:uniqueId val="{00000023-0A12-42EF-92CB-0E76FAA86AB8}"/>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Gênero'!$E$69</c15:sqref>
                        </c15:formulaRef>
                      </c:ext>
                    </c:extLst>
                    <c:strCache>
                      <c:ptCount val="1"/>
                      <c:pt idx="0">
                        <c:v>Fem.</c:v>
                      </c:pt>
                    </c:strCache>
                  </c:strRef>
                </c:tx>
                <c:spPr>
                  <a:solidFill>
                    <a:srgbClr val="FF0000"/>
                  </a:solidFill>
                  <a:ln>
                    <a:noFill/>
                  </a:ln>
                  <a:effectLst/>
                </c:spPr>
                <c:invertIfNegative val="0"/>
                <c:dLbls>
                  <c:dLbl>
                    <c:idx val="0"/>
                    <c:tx>
                      <c:rich>
                        <a:bodyPr/>
                        <a:lstStyle/>
                        <a:p>
                          <a:fld id="{49FA662A-7199-4B00-996A-84C76C443D56}"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4-0A12-42EF-92CB-0E76FAA86AB8}"/>
                      </c:ext>
                      <c:ext xmlns:c15="http://schemas.microsoft.com/office/drawing/2012/chart" uri="{CE6537A1-D6FC-4f65-9D91-7224C49458BB}">
                        <c15:dlblFieldTable/>
                        <c15:showDataLabelsRange val="1"/>
                      </c:ext>
                    </c:extLst>
                  </c:dLbl>
                  <c:dLbl>
                    <c:idx val="1"/>
                    <c:tx>
                      <c:rich>
                        <a:bodyPr/>
                        <a:lstStyle/>
                        <a:p>
                          <a:fld id="{3BCA87AA-51AF-4F95-8676-4694899D482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B2992E3-14BA-4D18-AF3A-5667D0F8499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E8C1F6D-D9CD-4FED-9E74-86D24F3FCD1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98415D1-7800-447D-96C5-8D321DB98BD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A90A4CB-A2A7-41E9-92C7-8E3CC8D90F0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2A87547-7DEB-4738-ABC6-9BBD9FC49EF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0692388-28F1-46E3-9AA3-064E2707ACB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DD421D2C-F2DA-4E2A-AA12-5647A8113DF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33EFD5E3-F55B-4FAD-A623-E131EADF5BE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8BD7A2FE-01DE-424A-9DE5-BD42D4C97E1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Gênero'!$E$70:$E$80</c15:sqref>
                        </c15:formulaRef>
                      </c:ext>
                    </c:extLst>
                    <c:numCache>
                      <c:formatCode>0%</c:formatCode>
                      <c:ptCount val="11"/>
                      <c:pt idx="0">
                        <c:v>0.55989939654926735</c:v>
                      </c:pt>
                      <c:pt idx="1">
                        <c:v>0.5419211746986965</c:v>
                      </c:pt>
                      <c:pt idx="2">
                        <c:v>0.46737189156445197</c:v>
                      </c:pt>
                      <c:pt idx="3">
                        <c:v>0.46626814718460097</c:v>
                      </c:pt>
                      <c:pt idx="4">
                        <c:v>0.32210999932020834</c:v>
                      </c:pt>
                      <c:pt idx="5">
                        <c:v>0.54473088608619991</c:v>
                      </c:pt>
                      <c:pt idx="6">
                        <c:v>0.46910188903799216</c:v>
                      </c:pt>
                      <c:pt idx="7">
                        <c:v>0.40042531767146666</c:v>
                      </c:pt>
                      <c:pt idx="8">
                        <c:v>0.53204545454545449</c:v>
                      </c:pt>
                      <c:pt idx="9">
                        <c:v>0.37083333333333335</c:v>
                      </c:pt>
                      <c:pt idx="10">
                        <c:v>0.43285300169125202</c:v>
                      </c:pt>
                    </c:numCache>
                  </c:numRef>
                </c:val>
                <c:extLst xmlns:c16r2="http://schemas.microsoft.com/office/drawing/2015/06/chart" xmlns:c15="http://schemas.microsoft.com/office/drawing/2012/chart">
                  <c:ext xmlns:c16="http://schemas.microsoft.com/office/drawing/2014/chart" uri="{C3380CC4-5D6E-409C-BE32-E72D297353CC}">
                    <c16:uniqueId val="{0000002F-0A12-42EF-92CB-0E76FAA86AB8}"/>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3314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3308896"/>
        <c:crosses val="autoZero"/>
        <c:auto val="1"/>
        <c:lblAlgn val="ctr"/>
        <c:lblOffset val="100"/>
        <c:noMultiLvlLbl val="0"/>
      </c:catAx>
      <c:valAx>
        <c:axId val="45330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33147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Ensino e Pesquisa</a:t>
            </a:r>
            <a:endParaRPr lang="pt-BR" sz="6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Gênero'!$B$81</c:f>
              <c:strCache>
                <c:ptCount val="1"/>
                <c:pt idx="0">
                  <c:v>Masc. RRT</c:v>
                </c:pt>
              </c:strCache>
            </c:strRef>
          </c:tx>
          <c:spPr>
            <a:solidFill>
              <a:srgbClr val="0070C0"/>
            </a:solidFill>
            <a:ln>
              <a:noFill/>
            </a:ln>
            <a:effectLst/>
          </c:spPr>
          <c:invertIfNegative val="0"/>
          <c:dLbls>
            <c:dLbl>
              <c:idx val="0"/>
              <c:tx>
                <c:rich>
                  <a:bodyPr/>
                  <a:lstStyle/>
                  <a:p>
                    <a:fld id="{6F6181F0-2FE1-4C16-8268-9D3B33DA4AB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39D-44A6-BA85-B9AF940619DB}"/>
                </c:ext>
                <c:ext xmlns:c15="http://schemas.microsoft.com/office/drawing/2012/chart" uri="{CE6537A1-D6FC-4f65-9D91-7224C49458BB}">
                  <c15:dlblFieldTable/>
                  <c15:showDataLabelsRange val="1"/>
                </c:ext>
              </c:extLst>
            </c:dLbl>
            <c:dLbl>
              <c:idx val="1"/>
              <c:tx>
                <c:rich>
                  <a:bodyPr/>
                  <a:lstStyle/>
                  <a:p>
                    <a:fld id="{9CE9B445-161D-41BF-8C8A-34B0EAC0266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C4D6DE3-68ED-4B16-9028-E7B3A7253AA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B78A24B9-3DCE-4C30-A5DC-D70D21041D19}"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D39D-44A6-BA85-B9AF940619DB}"/>
                </c:ext>
                <c:ext xmlns:c15="http://schemas.microsoft.com/office/drawing/2012/chart" uri="{CE6537A1-D6FC-4f65-9D91-7224C49458BB}">
                  <c15:dlblFieldTable/>
                  <c15:showDataLabelsRange val="1"/>
                </c:ext>
              </c:extLst>
            </c:dLbl>
            <c:dLbl>
              <c:idx val="8"/>
              <c:tx>
                <c:rich>
                  <a:bodyPr/>
                  <a:lstStyle/>
                  <a:p>
                    <a:fld id="{9D5A8E17-398D-4A4E-9720-B41296AD76A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D39D-44A6-BA85-B9AF940619DB}"/>
                </c:ext>
                <c:ext xmlns:c15="http://schemas.microsoft.com/office/drawing/2012/chart" uri="{CE6537A1-D6FC-4f65-9D91-7224C49458BB}">
                  <c15:dlblFieldTable/>
                  <c15:showDataLabelsRange val="1"/>
                </c:ext>
              </c:extLst>
            </c:dLbl>
            <c:dLbl>
              <c:idx val="9"/>
              <c:tx>
                <c:rich>
                  <a:bodyPr/>
                  <a:lstStyle/>
                  <a:p>
                    <a:fld id="{673ACF25-D8A2-46CE-9522-E50ADD60402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D39D-44A6-BA85-B9AF940619DB}"/>
                </c:ext>
                <c:ext xmlns:c15="http://schemas.microsoft.com/office/drawing/2012/chart" uri="{CE6537A1-D6FC-4f65-9D91-7224C49458BB}">
                  <c15:dlblFieldTable/>
                  <c15:showDataLabelsRange val="1"/>
                </c:ext>
              </c:extLst>
            </c:dLbl>
            <c:dLbl>
              <c:idx val="10"/>
              <c:tx>
                <c:rich>
                  <a:bodyPr/>
                  <a:lstStyle/>
                  <a:p>
                    <a:fld id="{D8FA8912-48CE-4224-828F-C19E3217FE5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D39D-44A6-BA85-B9AF940619DB}"/>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Gênero'!$B$82:$B$84</c:f>
              <c:numCache>
                <c:formatCode>_-* #,##0_-;\-* #,##0_-;_-* "-"??_-;_-@_-</c:formatCode>
                <c:ptCount val="3"/>
                <c:pt idx="0">
                  <c:v>61.198676678120314</c:v>
                </c:pt>
                <c:pt idx="1">
                  <c:v>1.7737568085074529</c:v>
                </c:pt>
                <c:pt idx="2">
                  <c:v>67.466248263621694</c:v>
                </c:pt>
              </c:numCache>
            </c:numRef>
          </c:val>
          <c:extLst xmlns:c16r2="http://schemas.microsoft.com/office/drawing/2015/06/chart">
            <c:ext xmlns:c16="http://schemas.microsoft.com/office/drawing/2014/chart" uri="{C3380CC4-5D6E-409C-BE32-E72D297353CC}">
              <c16:uniqueId val="{00000007-D39D-44A6-BA85-B9AF940619DB}"/>
            </c:ext>
            <c:ext xmlns:c15="http://schemas.microsoft.com/office/drawing/2012/chart" uri="{02D57815-91ED-43cb-92C2-25804820EDAC}">
              <c15:datalabelsRange>
                <c15:f>'RRT - Subgrpupo - Gênero'!$C$82:$C$84</c15:f>
                <c15:dlblRangeCache>
                  <c:ptCount val="3"/>
                  <c:pt idx="0">
                    <c:v>52%</c:v>
                  </c:pt>
                  <c:pt idx="1">
                    <c:v>11%</c:v>
                  </c:pt>
                  <c:pt idx="2">
                    <c:v>68%</c:v>
                  </c:pt>
                </c15:dlblRangeCache>
              </c15:datalabelsRange>
            </c:ext>
          </c:extLst>
        </c:ser>
        <c:ser>
          <c:idx val="0"/>
          <c:order val="2"/>
          <c:tx>
            <c:strRef>
              <c:f>'RRT - Subgrpupo - Gênero'!$D$81</c:f>
              <c:strCache>
                <c:ptCount val="1"/>
                <c:pt idx="0">
                  <c:v>Fem. RRT</c:v>
                </c:pt>
              </c:strCache>
            </c:strRef>
          </c:tx>
          <c:spPr>
            <a:solidFill>
              <a:srgbClr val="FF7171"/>
            </a:solidFill>
            <a:ln>
              <a:noFill/>
            </a:ln>
            <a:effectLst/>
          </c:spPr>
          <c:invertIfNegative val="0"/>
          <c:dLbls>
            <c:dLbl>
              <c:idx val="0"/>
              <c:tx>
                <c:rich>
                  <a:bodyPr/>
                  <a:lstStyle/>
                  <a:p>
                    <a:fld id="{0A3222A7-1768-4E87-B0DB-B9799E2834F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D39D-44A6-BA85-B9AF940619DB}"/>
                </c:ext>
                <c:ext xmlns:c15="http://schemas.microsoft.com/office/drawing/2012/chart" uri="{CE6537A1-D6FC-4f65-9D91-7224C49458BB}">
                  <c15:dlblFieldTable/>
                  <c15:showDataLabelsRange val="1"/>
                </c:ext>
              </c:extLst>
            </c:dLbl>
            <c:dLbl>
              <c:idx val="1"/>
              <c:tx>
                <c:rich>
                  <a:bodyPr/>
                  <a:lstStyle/>
                  <a:p>
                    <a:fld id="{47A516C6-779D-4960-938A-CFE2CD7DA90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B4F8AD1-CE16-4FA6-8217-EEC535CF614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A6309D3-56D0-40F4-97C3-DEC20393C8E2}"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D39D-44A6-BA85-B9AF940619DB}"/>
                </c:ext>
                <c:ext xmlns:c15="http://schemas.microsoft.com/office/drawing/2012/chart" uri="{CE6537A1-D6FC-4f65-9D91-7224C49458BB}">
                  <c15:dlblFieldTable/>
                  <c15:showDataLabelsRange val="1"/>
                </c:ext>
              </c:extLst>
            </c:dLbl>
            <c:dLbl>
              <c:idx val="8"/>
              <c:tx>
                <c:rich>
                  <a:bodyPr/>
                  <a:lstStyle/>
                  <a:p>
                    <a:fld id="{25A50D04-29A9-45A3-8C1E-3E2BBB5A445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D39D-44A6-BA85-B9AF940619DB}"/>
                </c:ext>
                <c:ext xmlns:c15="http://schemas.microsoft.com/office/drawing/2012/chart" uri="{CE6537A1-D6FC-4f65-9D91-7224C49458BB}">
                  <c15:dlblFieldTable/>
                  <c15:showDataLabelsRange val="1"/>
                </c:ext>
              </c:extLst>
            </c:dLbl>
            <c:dLbl>
              <c:idx val="9"/>
              <c:tx>
                <c:rich>
                  <a:bodyPr/>
                  <a:lstStyle/>
                  <a:p>
                    <a:fld id="{84E5150E-AB59-44B6-A415-C529AC8226D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D39D-44A6-BA85-B9AF940619DB}"/>
                </c:ext>
                <c:ext xmlns:c15="http://schemas.microsoft.com/office/drawing/2012/chart" uri="{CE6537A1-D6FC-4f65-9D91-7224C49458BB}">
                  <c15:dlblFieldTable/>
                  <c15:showDataLabelsRange val="1"/>
                </c:ext>
              </c:extLst>
            </c:dLbl>
            <c:dLbl>
              <c:idx val="10"/>
              <c:tx>
                <c:rich>
                  <a:bodyPr/>
                  <a:lstStyle/>
                  <a:p>
                    <a:fld id="{C267E246-68C2-44EA-B093-463BAD01FA0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D39D-44A6-BA85-B9AF940619DB}"/>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Gênero'!$D$82:$D$84</c:f>
              <c:numCache>
                <c:formatCode>_-* #,##0_-;\-* #,##0_-;_-* "-"??_-;_-@_-</c:formatCode>
                <c:ptCount val="3"/>
                <c:pt idx="0">
                  <c:v>57.239414266356178</c:v>
                </c:pt>
                <c:pt idx="1">
                  <c:v>14.239631521713559</c:v>
                </c:pt>
                <c:pt idx="2">
                  <c:v>31.681074986957938</c:v>
                </c:pt>
              </c:numCache>
            </c:numRef>
          </c:val>
          <c:extLst xmlns:c16r2="http://schemas.microsoft.com/office/drawing/2015/06/chart">
            <c:ext xmlns:c16="http://schemas.microsoft.com/office/drawing/2014/chart" uri="{C3380CC4-5D6E-409C-BE32-E72D297353CC}">
              <c16:uniqueId val="{0000000F-D39D-44A6-BA85-B9AF940619DB}"/>
            </c:ext>
            <c:ext xmlns:c15="http://schemas.microsoft.com/office/drawing/2012/chart" uri="{02D57815-91ED-43cb-92C2-25804820EDAC}">
              <c15:datalabelsRange>
                <c15:f>'RRT - Subgrpupo - Gênero'!$E$82:$E$84</c15:f>
                <c15:dlblRangeCache>
                  <c:ptCount val="3"/>
                  <c:pt idx="0">
                    <c:v>48%</c:v>
                  </c:pt>
                  <c:pt idx="1">
                    <c:v>89%</c:v>
                  </c:pt>
                  <c:pt idx="2">
                    <c:v>32%</c:v>
                  </c:pt>
                </c15:dlblRangeCache>
              </c15:datalabelsRange>
            </c:ext>
          </c:extLst>
        </c:ser>
        <c:dLbls>
          <c:showLegendKey val="0"/>
          <c:showVal val="0"/>
          <c:showCatName val="0"/>
          <c:showSerName val="0"/>
          <c:showPercent val="0"/>
          <c:showBubbleSize val="0"/>
        </c:dLbls>
        <c:gapWidth val="100"/>
        <c:overlap val="100"/>
        <c:axId val="453310856"/>
        <c:axId val="453313600"/>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Gênero'!$C$81</c15:sqref>
                        </c15:formulaRef>
                      </c:ext>
                    </c:extLst>
                    <c:strCache>
                      <c:ptCount val="1"/>
                      <c:pt idx="0">
                        <c:v>Masc.</c:v>
                      </c:pt>
                    </c:strCache>
                  </c:strRef>
                </c:tx>
                <c:spPr>
                  <a:solidFill>
                    <a:srgbClr val="0070C0"/>
                  </a:solidFill>
                  <a:ln>
                    <a:noFill/>
                  </a:ln>
                  <a:effectLst/>
                </c:spPr>
                <c:invertIfNegative val="0"/>
                <c:dLbls>
                  <c:dLbl>
                    <c:idx val="0"/>
                    <c:tx>
                      <c:rich>
                        <a:bodyPr/>
                        <a:lstStyle/>
                        <a:p>
                          <a:fld id="{A4491AE6-AD65-4D3D-B488-4806461D867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D39D-44A6-BA85-B9AF940619DB}"/>
                      </c:ext>
                      <c:ext uri="{CE6537A1-D6FC-4f65-9D91-7224C49458BB}">
                        <c15:dlblFieldTable/>
                        <c15:showDataLabelsRange val="1"/>
                      </c:ext>
                    </c:extLst>
                  </c:dLbl>
                  <c:dLbl>
                    <c:idx val="1"/>
                    <c:tx>
                      <c:rich>
                        <a:bodyPr/>
                        <a:lstStyle/>
                        <a:p>
                          <a:fld id="{A6D059AF-CD7D-41F4-8B44-9496C335C535}"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7F1C4F72-1401-4C1C-9D8C-0DCA2B207658}"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xmlns:c16r2="http://schemas.microsoft.com/office/drawing/2015/06/chart">
                      <c:ext uri="{02D57815-91ED-43cb-92C2-25804820EDAC}">
                        <c15:formulaRef>
                          <c15:sqref>'RRT - Subgrpupo - Gênero'!$C$82:$C$84</c15:sqref>
                        </c15:formulaRef>
                      </c:ext>
                    </c:extLst>
                    <c:numCache>
                      <c:formatCode>0%</c:formatCode>
                      <c:ptCount val="3"/>
                      <c:pt idx="0">
                        <c:v>0.51671448087431704</c:v>
                      </c:pt>
                      <c:pt idx="1">
                        <c:v>0.11076711386308909</c:v>
                      </c:pt>
                      <c:pt idx="2">
                        <c:v>0.68046464646464644</c:v>
                      </c:pt>
                    </c:numCache>
                  </c:numRef>
                </c:val>
                <c:extLst xmlns:c16r2="http://schemas.microsoft.com/office/drawing/2015/06/chart">
                  <c:ext xmlns:c16="http://schemas.microsoft.com/office/drawing/2014/chart" uri="{C3380CC4-5D6E-409C-BE32-E72D297353CC}">
                    <c16:uniqueId val="{00000013-D39D-44A6-BA85-B9AF940619DB}"/>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Gênero'!$E$81</c15:sqref>
                        </c15:formulaRef>
                      </c:ext>
                    </c:extLst>
                    <c:strCache>
                      <c:ptCount val="1"/>
                      <c:pt idx="0">
                        <c:v>Fem.</c:v>
                      </c:pt>
                    </c:strCache>
                  </c:strRef>
                </c:tx>
                <c:spPr>
                  <a:solidFill>
                    <a:srgbClr val="FF0000"/>
                  </a:solidFill>
                  <a:ln>
                    <a:noFill/>
                  </a:ln>
                  <a:effectLst/>
                </c:spPr>
                <c:invertIfNegative val="0"/>
                <c:dLbls>
                  <c:dLbl>
                    <c:idx val="0"/>
                    <c:tx>
                      <c:rich>
                        <a:bodyPr/>
                        <a:lstStyle/>
                        <a:p>
                          <a:fld id="{0A65720D-98F0-4812-8561-A379DFC21899}"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14-D39D-44A6-BA85-B9AF940619DB}"/>
                      </c:ext>
                      <c:ext xmlns:c15="http://schemas.microsoft.com/office/drawing/2012/chart" uri="{CE6537A1-D6FC-4f65-9D91-7224C49458BB}">
                        <c15:dlblFieldTable/>
                        <c15:showDataLabelsRange val="1"/>
                      </c:ext>
                    </c:extLst>
                  </c:dLbl>
                  <c:dLbl>
                    <c:idx val="1"/>
                    <c:tx>
                      <c:rich>
                        <a:bodyPr/>
                        <a:lstStyle/>
                        <a:p>
                          <a:fld id="{B70DE767-6709-4E49-A591-EFE4CA1ADC7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299879E-AECA-4D3D-AF6E-46EA3A8FB5A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Gênero'!$E$82:$E$84</c15:sqref>
                        </c15:formulaRef>
                      </c:ext>
                    </c:extLst>
                    <c:numCache>
                      <c:formatCode>0%</c:formatCode>
                      <c:ptCount val="3"/>
                      <c:pt idx="0">
                        <c:v>0.48328551912568302</c:v>
                      </c:pt>
                      <c:pt idx="1">
                        <c:v>0.88923288613691087</c:v>
                      </c:pt>
                      <c:pt idx="2">
                        <c:v>0.31953535353535351</c:v>
                      </c:pt>
                    </c:numCache>
                  </c:numRef>
                </c:val>
                <c:extLst xmlns:c16r2="http://schemas.microsoft.com/office/drawing/2015/06/chart" xmlns:c15="http://schemas.microsoft.com/office/drawing/2012/chart">
                  <c:ext xmlns:c16="http://schemas.microsoft.com/office/drawing/2014/chart" uri="{C3380CC4-5D6E-409C-BE32-E72D297353CC}">
                    <c16:uniqueId val="{00000017-D39D-44A6-BA85-B9AF940619DB}"/>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331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3313600"/>
        <c:crosses val="autoZero"/>
        <c:auto val="1"/>
        <c:lblAlgn val="ctr"/>
        <c:lblOffset val="100"/>
        <c:noMultiLvlLbl val="0"/>
      </c:catAx>
      <c:valAx>
        <c:axId val="45331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33108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0-B565-429C-831D-748999442BCC}"/>
            </c:ext>
          </c:extLst>
        </c:ser>
        <c:ser>
          <c:idx val="3"/>
          <c:order val="3"/>
          <c:tx>
            <c:v>Janeiro PJ</c:v>
          </c:tx>
          <c:spPr>
            <a:solidFill>
              <a:schemeClr val="accent4"/>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1-B565-429C-831D-748999442BCC}"/>
            </c:ext>
          </c:extLst>
        </c:ser>
        <c:ser>
          <c:idx val="4"/>
          <c:order val="4"/>
          <c:tx>
            <c:v>Fevereiro PF</c:v>
          </c:tx>
          <c:spPr>
            <a:solidFill>
              <a:schemeClr val="accent5"/>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2-B565-429C-831D-748999442BCC}"/>
            </c:ext>
          </c:extLst>
        </c:ser>
        <c:ser>
          <c:idx val="5"/>
          <c:order val="5"/>
          <c:tx>
            <c:v>Fevereiro PJ</c:v>
          </c:tx>
          <c:spPr>
            <a:solidFill>
              <a:schemeClr val="accent6"/>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3-B565-429C-831D-748999442BCC}"/>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4-B565-429C-831D-748999442BCC}"/>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xmlns:c16r2="http://schemas.microsoft.com/office/drawing/2015/06/chart">
            <c:ext xmlns:c16="http://schemas.microsoft.com/office/drawing/2014/chart" uri="{C3380CC4-5D6E-409C-BE32-E72D297353CC}">
              <c16:uniqueId val="{00000005-B565-429C-831D-748999442BCC}"/>
            </c:ext>
          </c:extLst>
        </c:ser>
        <c:ser>
          <c:idx val="11"/>
          <c:order val="11"/>
          <c:tx>
            <c:strRef>
              <c:f>'EXERCÍCIOS ANTERIORES'!$AE$2:$AE$3</c:f>
              <c:strCache>
                <c:ptCount val="2"/>
                <c:pt idx="0">
                  <c:v>EXECUÇÃO % (C = B/A)</c:v>
                </c:pt>
                <c:pt idx="1">
                  <c:v>PJ</c:v>
                </c:pt>
              </c:strCache>
            </c:strRef>
          </c:tx>
          <c:spPr>
            <a:solidFill>
              <a:schemeClr val="accent6">
                <a:lumMod val="60000"/>
              </a:schemeClr>
            </a:solidFill>
            <a:ln>
              <a:noFill/>
            </a:ln>
            <a:effectLst/>
          </c:spPr>
          <c:invertIfNegative val="0"/>
          <c:dLbls>
            <c:dLbl>
              <c:idx val="0"/>
              <c:tx>
                <c:rich>
                  <a:bodyPr/>
                  <a:lstStyle/>
                  <a:p>
                    <a:fld id="{82F0E7A4-CE78-458F-855D-344D18B2571D}"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B565-429C-831D-748999442BCC}"/>
                </c:ext>
                <c:ext xmlns:c15="http://schemas.microsoft.com/office/drawing/2012/chart" uri="{CE6537A1-D6FC-4f65-9D91-7224C49458BB}">
                  <c15:dlblFieldTable/>
                  <c15:showDataLabelsRange val="1"/>
                </c:ext>
              </c:extLst>
            </c:dLbl>
            <c:dLbl>
              <c:idx val="1"/>
              <c:tx>
                <c:rich>
                  <a:bodyPr/>
                  <a:lstStyle/>
                  <a:p>
                    <a:fld id="{E6111E48-3436-4CCD-A0FA-89D07B511B0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F1EFD03-BBFE-4C11-BAF9-1C425C058C6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DE8FB4-113D-44F1-BC2C-35F4986CA5E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53C52CB-EC89-431A-B639-9487F5683BC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D1AFF41-83D9-48CF-B2B4-629C80E9888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3A567E29-1356-4CB0-92E6-C177030687B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64BBDFB6-D68F-4951-84BD-BF435376DE3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5CA285CA-99BC-462A-9E3B-8FD1F53F1AE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34DBD408-74EF-4F8B-994A-E94D294101A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05DB9EE6-4A10-4FFD-98C9-A088D622469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E017D708-7B3D-42D3-8024-D17BF5F2CCD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5422E649-E721-404A-B04F-AE555E32B6C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C8032EAC-F6B2-498F-883C-F3224CF4881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FB87E3AB-1BD7-49FC-8B74-078016FA3E1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EA89CEAE-D5E1-4259-9D6D-E4BB85946C1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80E43B53-C7F3-48D3-832C-FC006D33123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6ADFED8E-477C-449D-B4F1-92A140C7F06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4A9AAB38-5ABE-4460-83F3-F38715471A0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BD9F02DB-4281-452C-B4B3-0766606C5DF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054FB36C-093F-4556-95A1-49EB6173741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49C8EFBC-8E75-4EB8-B4CE-1AF9393AC0C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D8BBFD58-56DB-4473-A71C-6B2DD23077E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3FA2B6EC-3056-408F-9343-7D0C6BE7165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692DBE91-C2E7-468D-A23F-F49BB032078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1359B7D7-6576-47AE-A175-12E7506F8C9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040F0104-98AD-41CD-831E-51908BCBA35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xmlns:c16r2="http://schemas.microsoft.com/office/drawing/2015/06/chart"/>
            </c:strRef>
          </c:cat>
          <c:val>
            <c:numRef>
              <c:f>'EXERCÍCIOS ANTERIORES'!$AE$4:$AE$30</c:f>
              <c:numCache>
                <c:formatCode>0.0%</c:formatCode>
                <c:ptCount val="27"/>
                <c:pt idx="0">
                  <c:v>1.875272259423975</c:v>
                </c:pt>
                <c:pt idx="1">
                  <c:v>1.0402378669008363</c:v>
                </c:pt>
                <c:pt idx="2">
                  <c:v>1.5887453999340844</c:v>
                </c:pt>
                <c:pt idx="3">
                  <c:v>1.2012545148767784</c:v>
                </c:pt>
                <c:pt idx="4">
                  <c:v>1.3348150399999998</c:v>
                </c:pt>
                <c:pt idx="5">
                  <c:v>0.88051987556170053</c:v>
                </c:pt>
                <c:pt idx="6">
                  <c:v>0.91593973333333334</c:v>
                </c:pt>
                <c:pt idx="7">
                  <c:v>1.0580349228506221</c:v>
                </c:pt>
                <c:pt idx="8">
                  <c:v>1.1437714666666667</c:v>
                </c:pt>
                <c:pt idx="9">
                  <c:v>1.5835288308940223</c:v>
                </c:pt>
                <c:pt idx="10">
                  <c:v>2.23364340101049</c:v>
                </c:pt>
                <c:pt idx="11">
                  <c:v>1.312604952941353</c:v>
                </c:pt>
                <c:pt idx="12">
                  <c:v>0.96476334263311325</c:v>
                </c:pt>
                <c:pt idx="13">
                  <c:v>1.1504720294802748</c:v>
                </c:pt>
                <c:pt idx="14">
                  <c:v>1.4977747360708229</c:v>
                </c:pt>
                <c:pt idx="15">
                  <c:v>1.2414586024586043</c:v>
                </c:pt>
                <c:pt idx="16">
                  <c:v>1.2423923245719413</c:v>
                </c:pt>
                <c:pt idx="17">
                  <c:v>0.73807110566202727</c:v>
                </c:pt>
                <c:pt idx="18">
                  <c:v>0.88491600000000004</c:v>
                </c:pt>
                <c:pt idx="19">
                  <c:v>0.92928758280958046</c:v>
                </c:pt>
                <c:pt idx="20">
                  <c:v>1.5373628623527695</c:v>
                </c:pt>
                <c:pt idx="21">
                  <c:v>1.7744943242183686</c:v>
                </c:pt>
                <c:pt idx="22">
                  <c:v>2.2482547670144801</c:v>
                </c:pt>
                <c:pt idx="23">
                  <c:v>0.8996483074598739</c:v>
                </c:pt>
                <c:pt idx="24">
                  <c:v>1.3649386800475161</c:v>
                </c:pt>
                <c:pt idx="25">
                  <c:v>3.037012540576292</c:v>
                </c:pt>
                <c:pt idx="26">
                  <c:v>1.4409728765968801</c:v>
                </c:pt>
              </c:numCache>
              <c:extLst xmlns:c16r2="http://schemas.microsoft.com/office/drawing/2015/06/chart"/>
            </c:numRef>
          </c:val>
          <c:extLst xmlns:c16r2="http://schemas.microsoft.com/office/drawing/2015/06/chart">
            <c:ext xmlns:c16="http://schemas.microsoft.com/office/drawing/2014/chart" uri="{C3380CC4-5D6E-409C-BE32-E72D297353CC}">
              <c16:uniqueId val="{00000021-B565-429C-831D-748999442BCC}"/>
            </c:ext>
            <c:ext xmlns:c15="http://schemas.microsoft.com/office/drawing/2012/chart" uri="{02D57815-91ED-43cb-92C2-25804820EDAC}">
              <c15:datalabelsRange>
                <c15:f>'EXERCÍCIOS ANTERIORES'!$AC$4:$AC$30</c15:f>
                <c15:dlblRangeCache>
                  <c:ptCount val="27"/>
                  <c:pt idx="0">
                    <c:v> 5.183 </c:v>
                  </c:pt>
                  <c:pt idx="1">
                    <c:v> 5.402 </c:v>
                  </c:pt>
                  <c:pt idx="2">
                    <c:v> 11.039 </c:v>
                  </c:pt>
                  <c:pt idx="3">
                    <c:v> 18.235 </c:v>
                  </c:pt>
                  <c:pt idx="4">
                    <c:v> 33.370 </c:v>
                  </c:pt>
                  <c:pt idx="5">
                    <c:v> 7.642 </c:v>
                  </c:pt>
                  <c:pt idx="6">
                    <c:v> 27.478 </c:v>
                  </c:pt>
                  <c:pt idx="7">
                    <c:v> 26.498 </c:v>
                  </c:pt>
                  <c:pt idx="8">
                    <c:v> 34.313 </c:v>
                  </c:pt>
                  <c:pt idx="9">
                    <c:v> 8.980 </c:v>
                  </c:pt>
                  <c:pt idx="10">
                    <c:v> 35.889 </c:v>
                  </c:pt>
                  <c:pt idx="11">
                    <c:v> 32.444 </c:v>
                  </c:pt>
                  <c:pt idx="12">
                    <c:v> 163.626 </c:v>
                  </c:pt>
                  <c:pt idx="13">
                    <c:v> 14.936 </c:v>
                  </c:pt>
                  <c:pt idx="14">
                    <c:v> 21.382 </c:v>
                  </c:pt>
                  <c:pt idx="15">
                    <c:v> 233.059 </c:v>
                  </c:pt>
                  <c:pt idx="16">
                    <c:v> 31.027 </c:v>
                  </c:pt>
                  <c:pt idx="17">
                    <c:v> 12.088 </c:v>
                  </c:pt>
                  <c:pt idx="18">
                    <c:v> 123.888 </c:v>
                  </c:pt>
                  <c:pt idx="19">
                    <c:v> 10.941 </c:v>
                  </c:pt>
                  <c:pt idx="20">
                    <c:v> 176.157 </c:v>
                  </c:pt>
                  <c:pt idx="21">
                    <c:v> 12.176 </c:v>
                  </c:pt>
                  <c:pt idx="22">
                    <c:v> 1.823 </c:v>
                  </c:pt>
                  <c:pt idx="23">
                    <c:v> 65.959 </c:v>
                  </c:pt>
                  <c:pt idx="24">
                    <c:v> 574.730 </c:v>
                  </c:pt>
                  <c:pt idx="25">
                    <c:v> 6.979 </c:v>
                  </c:pt>
                  <c:pt idx="26">
                    <c:v> 13.610 </c:v>
                  </c:pt>
                </c15:dlblRangeCache>
              </c15:datalabelsRange>
            </c:ext>
          </c:extLst>
        </c:ser>
        <c:dLbls>
          <c:showLegendKey val="0"/>
          <c:showVal val="0"/>
          <c:showCatName val="0"/>
          <c:showSerName val="0"/>
          <c:showPercent val="0"/>
          <c:showBubbleSize val="0"/>
        </c:dLbls>
        <c:gapWidth val="219"/>
        <c:overlap val="-27"/>
        <c:axId val="444105432"/>
        <c:axId val="44410739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xmlns:c16r2="http://schemas.microsoft.com/office/drawing/2015/06/char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c:ext uri="{02D57815-91ED-43cb-92C2-25804820EDAC}">
                        <c15:formulaRef>
                          <c15:sqref>'EXERCÍCIOS ANTERIORES'!$B$4:$B$30</c15:sqref>
                        </c15:formulaRef>
                      </c:ext>
                    </c:extLst>
                    <c:numCache>
                      <c:formatCode>_-* #,##0_-;\-* #,##0_-;_-* "-"??_-;_-@_-</c:formatCode>
                      <c:ptCount val="27"/>
                      <c:pt idx="0">
                        <c:v>19126.64</c:v>
                      </c:pt>
                      <c:pt idx="1">
                        <c:v>144042.57</c:v>
                      </c:pt>
                      <c:pt idx="2">
                        <c:v>28698.84</c:v>
                      </c:pt>
                      <c:pt idx="3">
                        <c:v>134347.413</c:v>
                      </c:pt>
                      <c:pt idx="4">
                        <c:v>300000</c:v>
                      </c:pt>
                      <c:pt idx="5">
                        <c:v>172305.77</c:v>
                      </c:pt>
                      <c:pt idx="6">
                        <c:v>320000</c:v>
                      </c:pt>
                      <c:pt idx="7">
                        <c:v>127208.04</c:v>
                      </c:pt>
                      <c:pt idx="8">
                        <c:v>200000</c:v>
                      </c:pt>
                      <c:pt idx="9">
                        <c:v>72000</c:v>
                      </c:pt>
                      <c:pt idx="10">
                        <c:v>101619.48</c:v>
                      </c:pt>
                      <c:pt idx="11">
                        <c:v>181697.13</c:v>
                      </c:pt>
                      <c:pt idx="12">
                        <c:v>1098934.42</c:v>
                      </c:pt>
                      <c:pt idx="13">
                        <c:v>266422.43</c:v>
                      </c:pt>
                      <c:pt idx="14">
                        <c:v>153007.4</c:v>
                      </c:pt>
                      <c:pt idx="15">
                        <c:v>704597.22</c:v>
                      </c:pt>
                      <c:pt idx="16">
                        <c:v>321606.04000000004</c:v>
                      </c:pt>
                      <c:pt idx="17">
                        <c:v>55168.07</c:v>
                      </c:pt>
                      <c:pt idx="18">
                        <c:v>720000</c:v>
                      </c:pt>
                      <c:pt idx="19">
                        <c:v>192304.15</c:v>
                      </c:pt>
                      <c:pt idx="20">
                        <c:v>763682.25</c:v>
                      </c:pt>
                      <c:pt idx="21">
                        <c:v>41619.199999999997</c:v>
                      </c:pt>
                      <c:pt idx="22">
                        <c:v>2958.21</c:v>
                      </c:pt>
                      <c:pt idx="23">
                        <c:v>336083.68936591974</c:v>
                      </c:pt>
                      <c:pt idx="24">
                        <c:v>2955102.1689929012</c:v>
                      </c:pt>
                      <c:pt idx="25">
                        <c:v>41425.74</c:v>
                      </c:pt>
                      <c:pt idx="26">
                        <c:v>49993.98</c:v>
                      </c:pt>
                    </c:numCache>
                  </c:numRef>
                </c:val>
                <c:extLst xmlns:c16r2="http://schemas.microsoft.com/office/drawing/2015/06/chart">
                  <c:ext xmlns:c16="http://schemas.microsoft.com/office/drawing/2014/chart" uri="{C3380CC4-5D6E-409C-BE32-E72D297353CC}">
                    <c16:uniqueId val="{00000022-B565-429C-831D-748999442BC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5192.82</c:v>
                      </c:pt>
                      <c:pt idx="2">
                        <c:v>6948.27</c:v>
                      </c:pt>
                      <c:pt idx="3">
                        <c:v>15180.37</c:v>
                      </c:pt>
                      <c:pt idx="4">
                        <c:v>25000</c:v>
                      </c:pt>
                      <c:pt idx="5">
                        <c:v>8679</c:v>
                      </c:pt>
                      <c:pt idx="6">
                        <c:v>30000</c:v>
                      </c:pt>
                      <c:pt idx="7">
                        <c:v>25044.92</c:v>
                      </c:pt>
                      <c:pt idx="8">
                        <c:v>30000</c:v>
                      </c:pt>
                      <c:pt idx="9">
                        <c:v>5671</c:v>
                      </c:pt>
                      <c:pt idx="10">
                        <c:v>16067.46</c:v>
                      </c:pt>
                      <c:pt idx="11">
                        <c:v>24717.03</c:v>
                      </c:pt>
                      <c:pt idx="12">
                        <c:v>169602.58000000002</c:v>
                      </c:pt>
                      <c:pt idx="13">
                        <c:v>12982.24</c:v>
                      </c:pt>
                      <c:pt idx="14">
                        <c:v>14275.61</c:v>
                      </c:pt>
                      <c:pt idx="15">
                        <c:v>187730.11</c:v>
                      </c:pt>
                      <c:pt idx="16">
                        <c:v>24973.199999999997</c:v>
                      </c:pt>
                      <c:pt idx="17">
                        <c:v>16377.880000000001</c:v>
                      </c:pt>
                      <c:pt idx="18">
                        <c:v>140000</c:v>
                      </c:pt>
                      <c:pt idx="19">
                        <c:v>11774</c:v>
                      </c:pt>
                      <c:pt idx="20">
                        <c:v>114583.78</c:v>
                      </c:pt>
                      <c:pt idx="21">
                        <c:v>6861.61</c:v>
                      </c:pt>
                      <c:pt idx="22">
                        <c:v>810.78</c:v>
                      </c:pt>
                      <c:pt idx="23">
                        <c:v>73316.311999999947</c:v>
                      </c:pt>
                      <c:pt idx="24">
                        <c:v>421066.2122784832</c:v>
                      </c:pt>
                      <c:pt idx="25">
                        <c:v>2298.14</c:v>
                      </c:pt>
                      <c:pt idx="26">
                        <c:v>9444.98</c:v>
                      </c:pt>
                    </c:numCache>
                  </c:numRef>
                </c:val>
                <c:extLst xmlns:c16r2="http://schemas.microsoft.com/office/drawing/2015/06/chart" xmlns:c15="http://schemas.microsoft.com/office/drawing/2012/chart">
                  <c:ext xmlns:c16="http://schemas.microsoft.com/office/drawing/2014/chart" uri="{C3380CC4-5D6E-409C-BE32-E72D297353CC}">
                    <c16:uniqueId val="{00000023-B565-429C-831D-748999442BCC}"/>
                  </c:ext>
                </c:extLst>
              </c15:ser>
            </c15:filteredBarSeries>
            <c15:filteredBa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Dez.(B)</c:v>
                      </c:pt>
                      <c:pt idx="1">
                        <c:v>PF</c:v>
                      </c:pt>
                    </c:strCache>
                  </c:strRef>
                </c:tx>
                <c:spPr>
                  <a:solidFill>
                    <a:schemeClr val="accent3">
                      <a:lumMod val="60000"/>
                    </a:schemeClr>
                  </a:solidFill>
                  <a:ln>
                    <a:noFill/>
                  </a:ln>
                  <a:effectLst/>
                </c:spPr>
                <c:invertIfNegative val="0"/>
                <c:dLbls>
                  <c:dLbl>
                    <c:idx val="0"/>
                    <c:tx>
                      <c:rich>
                        <a:bodyPr/>
                        <a:lstStyle/>
                        <a:p>
                          <a:fld id="{9D9A38FF-6CCD-490C-B14F-593D7150E625}"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4-B565-429C-831D-748999442BCC}"/>
                      </c:ext>
                      <c:ext xmlns:c15="http://schemas.microsoft.com/office/drawing/2012/chart" uri="{CE6537A1-D6FC-4f65-9D91-7224C49458BB}">
                        <c15:dlblFieldTable/>
                        <c15:showDataLabelsRange val="1"/>
                      </c:ext>
                    </c:extLst>
                  </c:dLbl>
                  <c:dLbl>
                    <c:idx val="1"/>
                    <c:tx>
                      <c:rich>
                        <a:bodyPr/>
                        <a:lstStyle/>
                        <a:p>
                          <a:fld id="{A731CF78-DE57-48FB-BE69-F0B2759BA3E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A941D85-057A-4C96-8DCC-34351D8F517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908E2B8-7B9A-4932-823D-DE864DD4A2D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D1220B9-B2D4-473C-84A1-DE304EFE95E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653970F-0C1A-4499-B9E0-4DF95F32E3D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204CFBA-EB1B-4C8F-BE4E-4446EA6F373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28B3BDB2-DFD9-4886-8A32-F3F11B85CB1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803192FF-87C4-4EA5-8685-A4418B80F27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38079C27-C754-4AB8-AB4F-05CA6FAAF52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70B95A98-F35F-4587-B07A-1DFC79AB9A2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7BB98FB7-7BE6-4247-9AD0-DD434DFF2C7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1B060493-4BF2-4423-8549-1AEF263F087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F0C1122B-36ED-4404-BAAA-1E737D414B8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E641D308-9145-44D7-92F3-FC53B4E2D1C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1CA92C57-DAED-4FA4-BA14-84FB19C7327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BDAD5D0C-14CB-4365-A1C1-A84C072E485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1455CBC8-BA8D-4D2A-9BD1-626EC261D25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0782924B-3D54-4778-93E4-4C54EF502FA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19414FB7-89E2-4AF8-B464-4D3FD6D794B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88FA0F8D-792E-4E0B-A696-C64874DBC76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AC0670E2-537D-4614-BB9C-72999CE443B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11B5BF63-3FD5-48BB-8BE1-F26C6D45352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9F96672F-CD2D-4331-BD11-F2D6C27C0C2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DD5E6730-22C3-48AD-93FA-2FAB986F7E5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5467C3BD-457B-40EE-ABD9-A56643B6902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AE7858D8-AA7D-49C2-9F2F-2702AB3FEFF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35448.703999999998</c:v>
                      </c:pt>
                      <c:pt idx="1">
                        <c:v>182611.66400000002</c:v>
                      </c:pt>
                      <c:pt idx="2">
                        <c:v>62251.96</c:v>
                      </c:pt>
                      <c:pt idx="3">
                        <c:v>178100.65600000002</c:v>
                      </c:pt>
                      <c:pt idx="4">
                        <c:v>360788.64000000007</c:v>
                      </c:pt>
                      <c:pt idx="5">
                        <c:v>171491.20000000001</c:v>
                      </c:pt>
                      <c:pt idx="6">
                        <c:v>453876.95199999999</c:v>
                      </c:pt>
                      <c:pt idx="7">
                        <c:v>156727.40800000002</c:v>
                      </c:pt>
                      <c:pt idx="8">
                        <c:v>347601.92800000001</c:v>
                      </c:pt>
                      <c:pt idx="9">
                        <c:v>178005.09600000002</c:v>
                      </c:pt>
                      <c:pt idx="10">
                        <c:v>267001.57600000006</c:v>
                      </c:pt>
                      <c:pt idx="11">
                        <c:v>228300.79200000004</c:v>
                      </c:pt>
                      <c:pt idx="12">
                        <c:v>1347251.92</c:v>
                      </c:pt>
                      <c:pt idx="13">
                        <c:v>285816.85600000003</c:v>
                      </c:pt>
                      <c:pt idx="14">
                        <c:v>257480.97599999997</c:v>
                      </c:pt>
                      <c:pt idx="15">
                        <c:v>977570.23200000008</c:v>
                      </c:pt>
                      <c:pt idx="16">
                        <c:v>362496.12800000003</c:v>
                      </c:pt>
                      <c:pt idx="17">
                        <c:v>82142.800000000017</c:v>
                      </c:pt>
                      <c:pt idx="18">
                        <c:v>991405.28800000006</c:v>
                      </c:pt>
                      <c:pt idx="19">
                        <c:v>249700.10400000005</c:v>
                      </c:pt>
                      <c:pt idx="20">
                        <c:v>973907.08799999999</c:v>
                      </c:pt>
                      <c:pt idx="21">
                        <c:v>72366.208000000013</c:v>
                      </c:pt>
                      <c:pt idx="22">
                        <c:v>5967.0240000000003</c:v>
                      </c:pt>
                      <c:pt idx="23">
                        <c:v>484391.45600000006</c:v>
                      </c:pt>
                      <c:pt idx="24">
                        <c:v>4338347.7039999999</c:v>
                      </c:pt>
                      <c:pt idx="25">
                        <c:v>129505.38399999999</c:v>
                      </c:pt>
                      <c:pt idx="26">
                        <c:v>71531.088000000003</c:v>
                      </c:pt>
                    </c:numCache>
                  </c:numRef>
                </c:val>
                <c:extLst xmlns:c16r2="http://schemas.microsoft.com/office/drawing/2015/06/chart" xmlns:c15="http://schemas.microsoft.com/office/drawing/2012/chart">
                  <c:ext xmlns:c16="http://schemas.microsoft.com/office/drawing/2014/chart" uri="{C3380CC4-5D6E-409C-BE32-E72D297353CC}">
                    <c16:uniqueId val="{0000003F-B565-429C-831D-748999442BCC}"/>
                  </c:ext>
                  <c:ext xmlns:c15="http://schemas.microsoft.com/office/drawing/2012/chart" uri="{02D57815-91ED-43cb-92C2-25804820EDAC}">
                    <c15:datalabelsRange>
                      <c15:f>'EXERCÍCIOS ANTERIORES'!$AD$4:$AD$30</c15:f>
                      <c15:dlblRangeCache>
                        <c:ptCount val="27"/>
                        <c:pt idx="0">
                          <c:v>185,3%</c:v>
                        </c:pt>
                        <c:pt idx="1">
                          <c:v>126,8%</c:v>
                        </c:pt>
                        <c:pt idx="2">
                          <c:v>216,9%</c:v>
                        </c:pt>
                        <c:pt idx="3">
                          <c:v>132,6%</c:v>
                        </c:pt>
                        <c:pt idx="4">
                          <c:v>120,3%</c:v>
                        </c:pt>
                        <c:pt idx="5">
                          <c:v>99,5%</c:v>
                        </c:pt>
                        <c:pt idx="6">
                          <c:v>141,8%</c:v>
                        </c:pt>
                        <c:pt idx="7">
                          <c:v>123,2%</c:v>
                        </c:pt>
                        <c:pt idx="8">
                          <c:v>173,8%</c:v>
                        </c:pt>
                        <c:pt idx="9">
                          <c:v>247,2%</c:v>
                        </c:pt>
                        <c:pt idx="10">
                          <c:v>262,7%</c:v>
                        </c:pt>
                        <c:pt idx="11">
                          <c:v>125,6%</c:v>
                        </c:pt>
                        <c:pt idx="12">
                          <c:v>122,6%</c:v>
                        </c:pt>
                        <c:pt idx="13">
                          <c:v>107,3%</c:v>
                        </c:pt>
                        <c:pt idx="14">
                          <c:v>168,3%</c:v>
                        </c:pt>
                        <c:pt idx="15">
                          <c:v>138,7%</c:v>
                        </c:pt>
                        <c:pt idx="16">
                          <c:v>112,7%</c:v>
                        </c:pt>
                        <c:pt idx="17">
                          <c:v>148,9%</c:v>
                        </c:pt>
                        <c:pt idx="18">
                          <c:v>137,7%</c:v>
                        </c:pt>
                        <c:pt idx="19">
                          <c:v>129,8%</c:v>
                        </c:pt>
                        <c:pt idx="20">
                          <c:v>127,5%</c:v>
                        </c:pt>
                        <c:pt idx="21">
                          <c:v>173,9%</c:v>
                        </c:pt>
                        <c:pt idx="22">
                          <c:v>201,7%</c:v>
                        </c:pt>
                        <c:pt idx="23">
                          <c:v>144,1%</c:v>
                        </c:pt>
                        <c:pt idx="24">
                          <c:v>146,8%</c:v>
                        </c:pt>
                        <c:pt idx="25">
                          <c:v>312,6%</c:v>
                        </c:pt>
                        <c:pt idx="26">
                          <c:v>143,1%</c:v>
                        </c:pt>
                      </c15:dlblRangeCache>
                    </c15:datalabelsRange>
                  </c:ext>
                </c:extLst>
              </c15:ser>
            </c15:filteredBarSeries>
            <c15:filteredBa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Dez.(B)</c:v>
                      </c:pt>
                      <c:pt idx="1">
                        <c:v>PJ</c:v>
                      </c:pt>
                    </c:strCache>
                  </c:strRef>
                </c:tx>
                <c:spPr>
                  <a:solidFill>
                    <a:schemeClr val="accent4">
                      <a:lumMod val="60000"/>
                    </a:schemeClr>
                  </a:solidFill>
                  <a:ln>
                    <a:noFill/>
                  </a:ln>
                  <a:effectLst/>
                </c:spPr>
                <c:invertIfNegative val="0"/>
                <c:dLbls>
                  <c:dLbl>
                    <c:idx val="0"/>
                    <c:tx>
                      <c:rich>
                        <a:bodyPr/>
                        <a:lstStyle/>
                        <a:p>
                          <a:fld id="{2CA53652-C03F-4815-84C9-31467F657B11}"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40-B565-429C-831D-748999442BCC}"/>
                      </c:ext>
                      <c:ext xmlns:c15="http://schemas.microsoft.com/office/drawing/2012/chart" uri="{CE6537A1-D6FC-4f65-9D91-7224C49458BB}">
                        <c15:dlblFieldTable/>
                        <c15:showDataLabelsRange val="1"/>
                      </c:ext>
                    </c:extLst>
                  </c:dLbl>
                  <c:dLbl>
                    <c:idx val="1"/>
                    <c:tx>
                      <c:rich>
                        <a:bodyPr/>
                        <a:lstStyle/>
                        <a:p>
                          <a:fld id="{8846466A-5FC4-42F6-BB83-829FFC1C857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89848FA-5147-46CD-88B1-7083C82F1F2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9EBA08A-F20B-420E-A6EB-3CC5F869EE8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098D63B-C70F-44B1-8825-8A40213A62C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26F3C56-903B-4C39-8094-1C500596F97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77C8B645-5DB9-488D-8D1C-8578528A8BC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0074E742-A7A7-403D-A4E8-A24DAE3CFD7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ACD069B3-AFF8-4D2B-811F-DB6136CB22E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891C6905-E7DD-4AA9-8500-F9ECB91C7FB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682F75EC-95AE-42EB-9926-557AFFC949D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8542DC10-BB05-4745-B050-DCA23BFFEDF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288EF963-87E0-4240-B172-9148847E70E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BD8AF940-5741-4BBF-85A9-A80119CA26F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1E78C7FE-C33F-43DA-9FCE-23519CCBD00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3EEE5171-18AF-40D5-B955-410802DCDAB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64E62023-36FC-4018-B8BF-C868C49BF1F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CE48D167-CE11-41E9-B6BB-B59A17597880}"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2CAB5C73-DAA0-40AF-9A1D-0AAA3C06156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506BA660-DD18-4DB0-8459-D0C94023EEF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4A2D38EC-633D-424A-8420-D5F95773C07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EB3C268A-2975-46CF-A0C1-0279ECFB847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4258D4DB-1E0D-49BF-B80C-1E69EEF8CD4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9D28714A-26D8-49E2-ACB6-3F83DF1F686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19B3BDA3-87C0-4859-BB08-49B8D2DA59E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0B0D5B9D-0DC0-41CE-97FE-891D1904507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6E4580A3-EA66-4E9D-B932-1F926B0B997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5183.0800000000008</c:v>
                      </c:pt>
                      <c:pt idx="1">
                        <c:v>5401.768</c:v>
                      </c:pt>
                      <c:pt idx="2">
                        <c:v>11039.032000000001</c:v>
                      </c:pt>
                      <c:pt idx="3">
                        <c:v>18235.488000000001</c:v>
                      </c:pt>
                      <c:pt idx="4">
                        <c:v>33370.375999999997</c:v>
                      </c:pt>
                      <c:pt idx="5">
                        <c:v>7642.0319999999992</c:v>
                      </c:pt>
                      <c:pt idx="6">
                        <c:v>27478.191999999999</c:v>
                      </c:pt>
                      <c:pt idx="7">
                        <c:v>26498.400000000001</c:v>
                      </c:pt>
                      <c:pt idx="8">
                        <c:v>34313.144</c:v>
                      </c:pt>
                      <c:pt idx="9">
                        <c:v>8980.1920000000009</c:v>
                      </c:pt>
                      <c:pt idx="10">
                        <c:v>35888.976000000002</c:v>
                      </c:pt>
                      <c:pt idx="11">
                        <c:v>32443.696000000007</c:v>
                      </c:pt>
                      <c:pt idx="12">
                        <c:v>163626.35200000001</c:v>
                      </c:pt>
                      <c:pt idx="13">
                        <c:v>14935.704000000002</c:v>
                      </c:pt>
                      <c:pt idx="14">
                        <c:v>21381.648000000001</c:v>
                      </c:pt>
                      <c:pt idx="15">
                        <c:v>233059.16000000003</c:v>
                      </c:pt>
                      <c:pt idx="16">
                        <c:v>31026.512000000002</c:v>
                      </c:pt>
                      <c:pt idx="17">
                        <c:v>12088.040000000005</c:v>
                      </c:pt>
                      <c:pt idx="18">
                        <c:v>123888.24</c:v>
                      </c:pt>
                      <c:pt idx="19">
                        <c:v>10941.432000000001</c:v>
                      </c:pt>
                      <c:pt idx="20">
                        <c:v>176156.84800000003</c:v>
                      </c:pt>
                      <c:pt idx="21">
                        <c:v>12175.887999999999</c:v>
                      </c:pt>
                      <c:pt idx="22">
                        <c:v>1822.8400000000001</c:v>
                      </c:pt>
                      <c:pt idx="23">
                        <c:v>65958.895999999993</c:v>
                      </c:pt>
                      <c:pt idx="24">
                        <c:v>574729.56000000006</c:v>
                      </c:pt>
                      <c:pt idx="25">
                        <c:v>6979.48</c:v>
                      </c:pt>
                      <c:pt idx="26">
                        <c:v>13609.960000000001</c:v>
                      </c:pt>
                    </c:numCache>
                  </c:numRef>
                </c:val>
                <c:extLst xmlns:c16r2="http://schemas.microsoft.com/office/drawing/2015/06/chart" xmlns:c15="http://schemas.microsoft.com/office/drawing/2012/chart">
                  <c:ext xmlns:c16="http://schemas.microsoft.com/office/drawing/2014/chart" uri="{C3380CC4-5D6E-409C-BE32-E72D297353CC}">
                    <c16:uniqueId val="{0000005B-B565-429C-831D-748999442BCC}"/>
                  </c:ext>
                  <c:ext xmlns:c15="http://schemas.microsoft.com/office/drawing/2012/chart" uri="{02D57815-91ED-43cb-92C2-25804820EDAC}">
                    <c15:datalabelsRange>
                      <c15:f>'EXERCÍCIOS ANTERIORES'!$AE$4:$AE$30</c15:f>
                      <c15:dlblRangeCache>
                        <c:ptCount val="27"/>
                        <c:pt idx="0">
                          <c:v>187,5%</c:v>
                        </c:pt>
                        <c:pt idx="1">
                          <c:v>104,0%</c:v>
                        </c:pt>
                        <c:pt idx="2">
                          <c:v>158,9%</c:v>
                        </c:pt>
                        <c:pt idx="3">
                          <c:v>120,1%</c:v>
                        </c:pt>
                        <c:pt idx="4">
                          <c:v>133,5%</c:v>
                        </c:pt>
                        <c:pt idx="5">
                          <c:v>88,1%</c:v>
                        </c:pt>
                        <c:pt idx="6">
                          <c:v>91,6%</c:v>
                        </c:pt>
                        <c:pt idx="7">
                          <c:v>105,8%</c:v>
                        </c:pt>
                        <c:pt idx="8">
                          <c:v>114,4%</c:v>
                        </c:pt>
                        <c:pt idx="9">
                          <c:v>158,4%</c:v>
                        </c:pt>
                        <c:pt idx="10">
                          <c:v>223,4%</c:v>
                        </c:pt>
                        <c:pt idx="11">
                          <c:v>131,3%</c:v>
                        </c:pt>
                        <c:pt idx="12">
                          <c:v>96,5%</c:v>
                        </c:pt>
                        <c:pt idx="13">
                          <c:v>115,0%</c:v>
                        </c:pt>
                        <c:pt idx="14">
                          <c:v>149,8%</c:v>
                        </c:pt>
                        <c:pt idx="15">
                          <c:v>124,1%</c:v>
                        </c:pt>
                        <c:pt idx="16">
                          <c:v>124,2%</c:v>
                        </c:pt>
                        <c:pt idx="17">
                          <c:v>73,8%</c:v>
                        </c:pt>
                        <c:pt idx="18">
                          <c:v>88,5%</c:v>
                        </c:pt>
                        <c:pt idx="19">
                          <c:v>92,9%</c:v>
                        </c:pt>
                        <c:pt idx="20">
                          <c:v>153,7%</c:v>
                        </c:pt>
                        <c:pt idx="21">
                          <c:v>177,4%</c:v>
                        </c:pt>
                        <c:pt idx="22">
                          <c:v>224,8%</c:v>
                        </c:pt>
                        <c:pt idx="23">
                          <c:v>90,0%</c:v>
                        </c:pt>
                        <c:pt idx="24">
                          <c:v>136,5%</c:v>
                        </c:pt>
                        <c:pt idx="25">
                          <c:v>303,7%</c:v>
                        </c:pt>
                        <c:pt idx="26">
                          <c:v>144,1%</c:v>
                        </c:pt>
                      </c15:dlblRangeCache>
                    </c15:datalabelsRange>
                  </c:ext>
                </c:extLst>
              </c15:ser>
            </c15:filteredBarSeries>
            <c15:filteredBar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'EXERCÍCIOS ANTERIORES'!$AD$2:$AD$3</c15:sqref>
                        </c15:formulaRef>
                      </c:ext>
                    </c:extLst>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6C8FA657-41E0-4D23-954F-493D3E0A316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C6DACBE5-851F-4974-8AED-C13AAA94DE5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BC728CF-AA44-4129-B3A6-47FA357C959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530C2D6-E93F-4E90-82F2-7D6CD97B3C9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1D348E7-BF54-4798-B2B3-84348CF7461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E6A7688-FFFB-4EB4-82C8-B1DD3824C63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30BC635F-7965-408C-8B42-E42AC195011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C234D043-47C9-462A-AD9D-64718FB494C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D7FB08E4-492C-47DF-AF52-F2A4639C6FC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02ACEF64-B0A1-49BB-B629-0F3921639D8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44B1CDC6-8BB2-4145-B265-2BEEE379F24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FE5F7683-C5E8-43FD-AF01-0BEC139BFFC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7F234790-A038-42C0-91AA-030BCB63EB7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1AAD788C-EFDA-49F8-A056-71D9D6EA272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9DCC3C55-8169-4BEC-9B15-1D930FAF56D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3133599F-6053-4BAB-BFDE-BE19C44CC09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E46E92A9-49D4-4AFF-9DD2-0219A96A82F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1D6CF1CE-B5F9-4E8C-9373-CC0DFE94999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2A87502A-91E3-48CD-829F-4A7DE3A0D6A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ABF01843-887A-4A58-B289-2C9B6692A0E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26A7CF00-C70B-484D-A864-EE0BF153D80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7F3493CE-67FB-4FFC-8CA0-5212EEEEB23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05008084-4EE0-4E22-AB5B-FA6DA57016B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F88C730C-2C4D-46B7-9D2C-698FC4208FF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ECD5B134-BAC8-4054-B81A-483D19ECF9B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E05E8869-A23B-48BF-8C75-91605E9A1B8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68E5D563-87C2-4906-9D12-32267D54B1E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'EXERCÍCIOS ANTERIORES'!$AD$4:$AD$30</c15:sqref>
                        </c15:formulaRef>
                      </c:ext>
                    </c:extLst>
                    <c:numCache>
                      <c:formatCode>0.0%</c:formatCode>
                      <c:ptCount val="27"/>
                      <c:pt idx="0">
                        <c:v>1.853368077194949</c:v>
                      </c:pt>
                      <c:pt idx="1">
                        <c:v>1.2677617734812703</c:v>
                      </c:pt>
                      <c:pt idx="2">
                        <c:v>2.1691455125015504</c:v>
                      </c:pt>
                      <c:pt idx="3">
                        <c:v>1.3256723893894409</c:v>
                      </c:pt>
                      <c:pt idx="4">
                        <c:v>1.2026288000000003</c:v>
                      </c:pt>
                      <c:pt idx="5">
                        <c:v>0.99527253208061472</c:v>
                      </c:pt>
                      <c:pt idx="6">
                        <c:v>1.4183654749999999</c:v>
                      </c:pt>
                      <c:pt idx="7">
                        <c:v>1.2320558354644882</c:v>
                      </c:pt>
                      <c:pt idx="8">
                        <c:v>1.73800964</c:v>
                      </c:pt>
                      <c:pt idx="9">
                        <c:v>2.4722930000000001</c:v>
                      </c:pt>
                      <c:pt idx="10">
                        <c:v>2.6274644979486221</c:v>
                      </c:pt>
                      <c:pt idx="11">
                        <c:v>1.2564909087997154</c:v>
                      </c:pt>
                      <c:pt idx="12">
                        <c:v>1.22596207333282</c:v>
                      </c:pt>
                      <c:pt idx="13">
                        <c:v>1.0727957702360122</c:v>
                      </c:pt>
                      <c:pt idx="14">
                        <c:v>1.6828008057126647</c:v>
                      </c:pt>
                      <c:pt idx="15">
                        <c:v>1.3874171005102747</c:v>
                      </c:pt>
                      <c:pt idx="16">
                        <c:v>1.1271434081275338</c:v>
                      </c:pt>
                      <c:pt idx="17">
                        <c:v>1.4889554773259246</c:v>
                      </c:pt>
                      <c:pt idx="18">
                        <c:v>1.3769517888888889</c:v>
                      </c:pt>
                      <c:pt idx="19">
                        <c:v>1.2984644585153262</c:v>
                      </c:pt>
                      <c:pt idx="20">
                        <c:v>1.275277889462535</c:v>
                      </c:pt>
                      <c:pt idx="21">
                        <c:v>1.7387697985545136</c:v>
                      </c:pt>
                      <c:pt idx="22">
                        <c:v>2.0171062906284543</c:v>
                      </c:pt>
                      <c:pt idx="23">
                        <c:v>1.4412822500071001</c:v>
                      </c:pt>
                      <c:pt idx="24">
                        <c:v>1.468087211847064</c:v>
                      </c:pt>
                      <c:pt idx="25">
                        <c:v>3.1262056875749233</c:v>
                      </c:pt>
                      <c:pt idx="26">
                        <c:v>1.4307940276009232</c:v>
                      </c:pt>
                    </c:numCache>
                  </c:numRef>
                </c:val>
                <c:extLst xmlns:c16r2="http://schemas.microsoft.com/office/drawing/2015/06/chart" xmlns:c15="http://schemas.microsoft.com/office/drawing/2012/chart">
                  <c:ext xmlns:c16="http://schemas.microsoft.com/office/drawing/2014/chart" uri="{C3380CC4-5D6E-409C-BE32-E72D297353CC}">
                    <c16:uniqueId val="{00000077-B565-429C-831D-748999442BCC}"/>
                  </c:ext>
                  <c:ext xmlns:c15="http://schemas.microsoft.com/office/drawing/2012/chart" uri="{02D57815-91ED-43cb-92C2-25804820EDAC}">
                    <c15:datalabelsRange>
                      <c15:f>'EXERCÍCIOS ANTERIORES'!$AB$4:$AB$30</c15:f>
                      <c15:dlblRangeCache>
                        <c:ptCount val="27"/>
                        <c:pt idx="0">
                          <c:v> 35.449 </c:v>
                        </c:pt>
                        <c:pt idx="1">
                          <c:v> 182.612 </c:v>
                        </c:pt>
                        <c:pt idx="2">
                          <c:v> 62.252 </c:v>
                        </c:pt>
                        <c:pt idx="3">
                          <c:v> 178.101 </c:v>
                        </c:pt>
                        <c:pt idx="4">
                          <c:v> 360.789 </c:v>
                        </c:pt>
                        <c:pt idx="5">
                          <c:v> 171.491 </c:v>
                        </c:pt>
                        <c:pt idx="6">
                          <c:v> 453.877 </c:v>
                        </c:pt>
                        <c:pt idx="7">
                          <c:v> 156.727 </c:v>
                        </c:pt>
                        <c:pt idx="8">
                          <c:v> 347.602 </c:v>
                        </c:pt>
                        <c:pt idx="9">
                          <c:v> 178.005 </c:v>
                        </c:pt>
                        <c:pt idx="10">
                          <c:v> 267.002 </c:v>
                        </c:pt>
                        <c:pt idx="11">
                          <c:v> 228.301 </c:v>
                        </c:pt>
                        <c:pt idx="12">
                          <c:v> 1.347.252 </c:v>
                        </c:pt>
                        <c:pt idx="13">
                          <c:v> 285.817 </c:v>
                        </c:pt>
                        <c:pt idx="14">
                          <c:v> 257.481 </c:v>
                        </c:pt>
                        <c:pt idx="15">
                          <c:v> 977.570 </c:v>
                        </c:pt>
                        <c:pt idx="16">
                          <c:v> 362.496 </c:v>
                        </c:pt>
                        <c:pt idx="17">
                          <c:v> 82.143 </c:v>
                        </c:pt>
                        <c:pt idx="18">
                          <c:v> 991.405 </c:v>
                        </c:pt>
                        <c:pt idx="19">
                          <c:v> 249.700 </c:v>
                        </c:pt>
                        <c:pt idx="20">
                          <c:v> 973.907 </c:v>
                        </c:pt>
                        <c:pt idx="21">
                          <c:v> 72.366 </c:v>
                        </c:pt>
                        <c:pt idx="22">
                          <c:v> 5.967 </c:v>
                        </c:pt>
                        <c:pt idx="23">
                          <c:v> 484.391 </c:v>
                        </c:pt>
                        <c:pt idx="24">
                          <c:v> 4.338.348 </c:v>
                        </c:pt>
                        <c:pt idx="25">
                          <c:v> 129.505 </c:v>
                        </c:pt>
                        <c:pt idx="26">
                          <c:v> 71.531 </c:v>
                        </c:pt>
                      </c15:dlblRangeCache>
                    </c15:datalabelsRange>
                  </c:ext>
                </c:extLst>
              </c15:ser>
            </c15:filteredBarSeries>
          </c:ext>
        </c:extLst>
      </c:barChart>
      <c:catAx>
        <c:axId val="44410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7392"/>
        <c:crosses val="autoZero"/>
        <c:auto val="1"/>
        <c:lblAlgn val="ctr"/>
        <c:lblOffset val="100"/>
        <c:noMultiLvlLbl val="0"/>
      </c:catAx>
      <c:valAx>
        <c:axId val="444107392"/>
        <c:scaling>
          <c:orientation val="minMax"/>
          <c:max val="4.0999999999999996"/>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5432"/>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Engenharia de Segurança do Trabalho (Lei 7.410/85)</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Gênero'!$B$85</c:f>
              <c:strCache>
                <c:ptCount val="1"/>
                <c:pt idx="0">
                  <c:v>Masc. RRT</c:v>
                </c:pt>
              </c:strCache>
            </c:strRef>
          </c:tx>
          <c:spPr>
            <a:solidFill>
              <a:srgbClr val="0070C0"/>
            </a:solidFill>
            <a:ln>
              <a:noFill/>
            </a:ln>
            <a:effectLst/>
          </c:spPr>
          <c:invertIfNegative val="0"/>
          <c:dLbls>
            <c:dLbl>
              <c:idx val="0"/>
              <c:tx>
                <c:rich>
                  <a:bodyPr/>
                  <a:lstStyle/>
                  <a:p>
                    <a:fld id="{93D79BB4-6B22-4D40-AA03-553F78C4DB4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2CB54D1C-B72C-40C5-9EB9-FC25798C8D9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984507E-65B6-460B-8903-70C4EE4EEF1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88313E5-F0D7-4551-9C32-D5C71F9B360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3F0095C-5039-4774-9E6D-2BC5AF260C6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0B7FD6A-2713-42A2-A517-EF8B1E316FF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67443A94-7ABB-49C8-838B-FA597F84E6E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58226028-4FC3-44A1-8B0A-BD3B248FD5C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D5A8E17-398D-4A4E-9720-B41296AD76A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C86-440B-ACFA-14A089690B66}"/>
                </c:ext>
                <c:ext xmlns:c15="http://schemas.microsoft.com/office/drawing/2012/chart" uri="{CE6537A1-D6FC-4f65-9D91-7224C49458BB}">
                  <c15:dlblFieldTable/>
                  <c15:showDataLabelsRange val="1"/>
                </c:ext>
              </c:extLst>
            </c:dLbl>
            <c:dLbl>
              <c:idx val="9"/>
              <c:tx>
                <c:rich>
                  <a:bodyPr/>
                  <a:lstStyle/>
                  <a:p>
                    <a:fld id="{673ACF25-D8A2-46CE-9522-E50ADD60402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C86-440B-ACFA-14A089690B66}"/>
                </c:ext>
                <c:ext xmlns:c15="http://schemas.microsoft.com/office/drawing/2012/chart" uri="{CE6537A1-D6FC-4f65-9D91-7224C49458BB}">
                  <c15:dlblFieldTable/>
                  <c15:showDataLabelsRange val="1"/>
                </c:ext>
              </c:extLst>
            </c:dLbl>
            <c:dLbl>
              <c:idx val="10"/>
              <c:tx>
                <c:rich>
                  <a:bodyPr/>
                  <a:lstStyle/>
                  <a:p>
                    <a:fld id="{D8FA8912-48CE-4224-828F-C19E3217FE5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C86-440B-ACFA-14A089690B66}"/>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Gênero'!$B$86:$B$93</c:f>
              <c:numCache>
                <c:formatCode>_-* #,##0_-;\-* #,##0_-;_-* "-"??_-;_-@_-</c:formatCode>
                <c:ptCount val="8"/>
                <c:pt idx="0">
                  <c:v>158.10504231756278</c:v>
                </c:pt>
                <c:pt idx="1">
                  <c:v>600.43206087178567</c:v>
                </c:pt>
                <c:pt idx="2">
                  <c:v>230.14547753024689</c:v>
                </c:pt>
                <c:pt idx="3">
                  <c:v>18.655315724121113</c:v>
                </c:pt>
                <c:pt idx="4">
                  <c:v>65.045915995666377</c:v>
                </c:pt>
                <c:pt idx="5">
                  <c:v>133.44409584448974</c:v>
                </c:pt>
                <c:pt idx="6">
                  <c:v>468.86361454930039</c:v>
                </c:pt>
                <c:pt idx="7">
                  <c:v>739.65694642108531</c:v>
                </c:pt>
              </c:numCache>
            </c:numRef>
          </c:val>
          <c:extLst xmlns:c16r2="http://schemas.microsoft.com/office/drawing/2015/06/chart">
            <c:ext xmlns:c16="http://schemas.microsoft.com/office/drawing/2014/chart" uri="{C3380CC4-5D6E-409C-BE32-E72D297353CC}">
              <c16:uniqueId val="{0000000B-EC86-440B-ACFA-14A089690B66}"/>
            </c:ext>
            <c:ext xmlns:c15="http://schemas.microsoft.com/office/drawing/2012/chart" uri="{02D57815-91ED-43cb-92C2-25804820EDAC}">
              <c15:datalabelsRange>
                <c15:f>'RRT - Subgrpupo - Gênero'!$C$86:$C$93</c15:f>
                <c15:dlblRangeCache>
                  <c:ptCount val="8"/>
                  <c:pt idx="0">
                    <c:v>57%</c:v>
                  </c:pt>
                  <c:pt idx="1">
                    <c:v>53%</c:v>
                  </c:pt>
                  <c:pt idx="2">
                    <c:v>71%</c:v>
                  </c:pt>
                  <c:pt idx="3">
                    <c:v>63%</c:v>
                  </c:pt>
                  <c:pt idx="4">
                    <c:v>66%</c:v>
                  </c:pt>
                  <c:pt idx="5">
                    <c:v>50%</c:v>
                  </c:pt>
                  <c:pt idx="6">
                    <c:v>58%</c:v>
                  </c:pt>
                  <c:pt idx="7">
                    <c:v>31%</c:v>
                  </c:pt>
                </c15:dlblRangeCache>
              </c15:datalabelsRange>
            </c:ext>
          </c:extLst>
        </c:ser>
        <c:ser>
          <c:idx val="0"/>
          <c:order val="2"/>
          <c:tx>
            <c:strRef>
              <c:f>'RRT - Subgrpupo - Gênero'!$D$85</c:f>
              <c:strCache>
                <c:ptCount val="1"/>
                <c:pt idx="0">
                  <c:v>Fem. RRT</c:v>
                </c:pt>
              </c:strCache>
            </c:strRef>
          </c:tx>
          <c:spPr>
            <a:solidFill>
              <a:srgbClr val="FF7171"/>
            </a:solidFill>
            <a:ln>
              <a:noFill/>
            </a:ln>
            <a:effectLst/>
          </c:spPr>
          <c:invertIfNegative val="0"/>
          <c:dLbls>
            <c:dLbl>
              <c:idx val="0"/>
              <c:tx>
                <c:rich>
                  <a:bodyPr/>
                  <a:lstStyle/>
                  <a:p>
                    <a:fld id="{4393C632-76BB-4CCB-A23C-5587C11A043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AB4E2F7B-95FB-449F-845C-5FB5C2F0D66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F2FD148-5106-44B9-8C99-05B9E9B0463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5ADFFA1-0F65-4BA2-8DB1-5518474A1D7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8166449-53E3-4648-8EF3-EEDBC5D1073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ECDE288-3987-4D92-BDCB-0890559ADD0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1767C978-1653-4986-8B63-B43B1221E3F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D2A15D74-DC7B-4A6B-BB22-4F506C160FD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25A50D04-29A9-45A3-8C1E-3E2BBB5A445C}"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C86-440B-ACFA-14A089690B66}"/>
                </c:ext>
                <c:ext xmlns:c15="http://schemas.microsoft.com/office/drawing/2012/chart" uri="{CE6537A1-D6FC-4f65-9D91-7224C49458BB}">
                  <c15:dlblFieldTable/>
                  <c15:showDataLabelsRange val="1"/>
                </c:ext>
              </c:extLst>
            </c:dLbl>
            <c:dLbl>
              <c:idx val="9"/>
              <c:tx>
                <c:rich>
                  <a:bodyPr/>
                  <a:lstStyle/>
                  <a:p>
                    <a:fld id="{84E5150E-AB59-44B6-A415-C529AC8226D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C86-440B-ACFA-14A089690B66}"/>
                </c:ext>
                <c:ext xmlns:c15="http://schemas.microsoft.com/office/drawing/2012/chart" uri="{CE6537A1-D6FC-4f65-9D91-7224C49458BB}">
                  <c15:dlblFieldTable/>
                  <c15:showDataLabelsRange val="1"/>
                </c:ext>
              </c:extLst>
            </c:dLbl>
            <c:dLbl>
              <c:idx val="10"/>
              <c:tx>
                <c:rich>
                  <a:bodyPr/>
                  <a:lstStyle/>
                  <a:p>
                    <a:fld id="{C267E246-68C2-44EA-B093-463BAD01FA0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C86-440B-ACFA-14A089690B66}"/>
                </c:ext>
                <c:ext xmlns:c15="http://schemas.microsoft.com/office/drawing/2012/chart" uri="{CE6537A1-D6FC-4f65-9D91-7224C49458BB}">
                  <c15:dlblFieldTable/>
                  <c15:showDataLabelsRange val="1"/>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Gênero'!$D$86:$D$93</c:f>
              <c:numCache>
                <c:formatCode>_-* #,##0_-;\-* #,##0_-;_-* "-"??_-;_-@_-</c:formatCode>
                <c:ptCount val="8"/>
                <c:pt idx="0">
                  <c:v>118.79448903158908</c:v>
                </c:pt>
                <c:pt idx="1">
                  <c:v>531.68637706687332</c:v>
                </c:pt>
                <c:pt idx="2">
                  <c:v>92.472098780194912</c:v>
                </c:pt>
                <c:pt idx="3">
                  <c:v>11.051145871372265</c:v>
                </c:pt>
                <c:pt idx="4">
                  <c:v>32.931195964333192</c:v>
                </c:pt>
                <c:pt idx="5">
                  <c:v>130.94888254919525</c:v>
                </c:pt>
                <c:pt idx="6">
                  <c:v>334.91214159249648</c:v>
                </c:pt>
                <c:pt idx="7">
                  <c:v>1633.6069312813102</c:v>
                </c:pt>
              </c:numCache>
            </c:numRef>
          </c:val>
          <c:extLst xmlns:c16r2="http://schemas.microsoft.com/office/drawing/2015/06/chart">
            <c:ext xmlns:c16="http://schemas.microsoft.com/office/drawing/2014/chart" uri="{C3380CC4-5D6E-409C-BE32-E72D297353CC}">
              <c16:uniqueId val="{00000017-EC86-440B-ACFA-14A089690B66}"/>
            </c:ext>
            <c:ext xmlns:c15="http://schemas.microsoft.com/office/drawing/2012/chart" uri="{02D57815-91ED-43cb-92C2-25804820EDAC}">
              <c15:datalabelsRange>
                <c15:f>'RRT - Subgrpupo - Gênero'!$E$86:$E$93</c15:f>
                <c15:dlblRangeCache>
                  <c:ptCount val="8"/>
                  <c:pt idx="0">
                    <c:v>43%</c:v>
                  </c:pt>
                  <c:pt idx="1">
                    <c:v>47%</c:v>
                  </c:pt>
                  <c:pt idx="2">
                    <c:v>29%</c:v>
                  </c:pt>
                  <c:pt idx="3">
                    <c:v>37%</c:v>
                  </c:pt>
                  <c:pt idx="4">
                    <c:v>34%</c:v>
                  </c:pt>
                  <c:pt idx="5">
                    <c:v>50%</c:v>
                  </c:pt>
                  <c:pt idx="6">
                    <c:v>42%</c:v>
                  </c:pt>
                  <c:pt idx="7">
                    <c:v>69%</c:v>
                  </c:pt>
                </c15:dlblRangeCache>
              </c15:datalabelsRange>
            </c:ext>
          </c:extLst>
        </c:ser>
        <c:dLbls>
          <c:showLegendKey val="0"/>
          <c:showVal val="0"/>
          <c:showCatName val="0"/>
          <c:showSerName val="0"/>
          <c:showPercent val="0"/>
          <c:showBubbleSize val="0"/>
        </c:dLbls>
        <c:gapWidth val="100"/>
        <c:overlap val="100"/>
        <c:axId val="453308504"/>
        <c:axId val="453315560"/>
        <c:extLst xmlns:c16r2="http://schemas.microsoft.com/office/drawing/2015/06/chart">
          <c:ext xmlns:c15="http://schemas.microsoft.com/office/drawing/2012/chart" uri="{02D57815-91ED-43cb-92C2-25804820EDAC}">
            <c15:filteredBarSeries>
              <c15:ser>
                <c:idx val="3"/>
                <c:order val="1"/>
                <c:tx>
                  <c:strRef>
                    <c:extLst xmlns:c16r2="http://schemas.microsoft.com/office/drawing/2015/06/chart">
                      <c:ext uri="{02D57815-91ED-43cb-92C2-25804820EDAC}">
                        <c15:formulaRef>
                          <c15:sqref>'RRT - Subgrpupo - Gênero'!$C$85</c15:sqref>
                        </c15:formulaRef>
                      </c:ext>
                    </c:extLst>
                    <c:strCache>
                      <c:ptCount val="1"/>
                      <c:pt idx="0">
                        <c:v>Masc.</c:v>
                      </c:pt>
                    </c:strCache>
                  </c:strRef>
                </c:tx>
                <c:spPr>
                  <a:solidFill>
                    <a:srgbClr val="0070C0"/>
                  </a:solidFill>
                  <a:ln>
                    <a:noFill/>
                  </a:ln>
                  <a:effectLst/>
                </c:spPr>
                <c:invertIfNegative val="0"/>
                <c:dLbls>
                  <c:dLbl>
                    <c:idx val="0"/>
                    <c:tx>
                      <c:rich>
                        <a:bodyPr/>
                        <a:lstStyle/>
                        <a:p>
                          <a:fld id="{84C186E3-E651-4E60-B7F7-E3665C4118F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C86-440B-ACFA-14A089690B66}"/>
                      </c:ext>
                      <c:ext uri="{CE6537A1-D6FC-4f65-9D91-7224C49458BB}">
                        <c15:dlblFieldTable/>
                        <c15:showDataLabelsRange val="1"/>
                      </c:ext>
                    </c:extLst>
                  </c:dLbl>
                  <c:dLbl>
                    <c:idx val="1"/>
                    <c:tx>
                      <c:rich>
                        <a:bodyPr/>
                        <a:lstStyle/>
                        <a:p>
                          <a:fld id="{6E0A1591-D44D-4E2A-AB1E-F223CF088E48}"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2"/>
                    <c:tx>
                      <c:rich>
                        <a:bodyPr/>
                        <a:lstStyle/>
                        <a:p>
                          <a:fld id="{1154D35E-A96A-46C2-B36E-0B163A4C41D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3"/>
                    <c:tx>
                      <c:rich>
                        <a:bodyPr/>
                        <a:lstStyle/>
                        <a:p>
                          <a:fld id="{4972A727-C57B-4F0E-A3AC-9745B45FD00C}"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4"/>
                    <c:tx>
                      <c:rich>
                        <a:bodyPr/>
                        <a:lstStyle/>
                        <a:p>
                          <a:fld id="{E13C891E-8C59-4269-BB2A-C1030B8CE74C}"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5"/>
                    <c:tx>
                      <c:rich>
                        <a:bodyPr/>
                        <a:lstStyle/>
                        <a:p>
                          <a:fld id="{2E5C1078-599C-4857-85FA-2A81A1133102}"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6"/>
                    <c:tx>
                      <c:rich>
                        <a:bodyPr/>
                        <a:lstStyle/>
                        <a:p>
                          <a:fld id="{0081A0FC-CF4A-4429-8004-59462193047D}"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dLbl>
                    <c:idx val="7"/>
                    <c:tx>
                      <c:rich>
                        <a:bodyPr/>
                        <a:lstStyle/>
                        <a:p>
                          <a:fld id="{8F04AFF9-A5A1-4489-AFAD-35C8A255D318}" type="CELLRANGE">
                            <a:rPr lang="pt-BR"/>
                            <a:pPr/>
                            <a:t>[CELLRANGE]</a:t>
                          </a:fld>
                          <a:endParaRPr lang="pt-BR"/>
                        </a:p>
                      </c:rich>
                    </c:tx>
                    <c:showLegendKey val="0"/>
                    <c:showVal val="0"/>
                    <c:showCatName val="0"/>
                    <c:showSerName val="0"/>
                    <c:showPercent val="0"/>
                    <c:showBubbleSize val="0"/>
                    <c:extLst>
                      <c:ex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xmlns:c16r2="http://schemas.microsoft.com/office/drawing/2015/06/chart">
                      <c:ext uri="{02D57815-91ED-43cb-92C2-25804820EDAC}">
                        <c15:formulaRef>
                          <c15:sqref>'RRT - Subgrpupo - Gênero'!$C$86:$C$93</c15:sqref>
                        </c15:formulaRef>
                      </c:ext>
                    </c:extLst>
                    <c:numCache>
                      <c:formatCode>0%</c:formatCode>
                      <c:ptCount val="8"/>
                      <c:pt idx="0">
                        <c:v>0.57098342329154339</c:v>
                      </c:pt>
                      <c:pt idx="1">
                        <c:v>0.53036152468733011</c:v>
                      </c:pt>
                      <c:pt idx="2">
                        <c:v>0.71336930914386154</c:v>
                      </c:pt>
                      <c:pt idx="3">
                        <c:v>0.62798848203958491</c:v>
                      </c:pt>
                      <c:pt idx="4">
                        <c:v>0.66388888888888897</c:v>
                      </c:pt>
                      <c:pt idx="5">
                        <c:v>0.50471875862674964</c:v>
                      </c:pt>
                      <c:pt idx="6">
                        <c:v>0.58332639541144182</c:v>
                      </c:pt>
                      <c:pt idx="7">
                        <c:v>0.31166232856380138</c:v>
                      </c:pt>
                    </c:numCache>
                  </c:numRef>
                </c:val>
                <c:extLst xmlns:c16r2="http://schemas.microsoft.com/office/drawing/2015/06/chart">
                  <c:ext xmlns:c16="http://schemas.microsoft.com/office/drawing/2014/chart" uri="{C3380CC4-5D6E-409C-BE32-E72D297353CC}">
                    <c16:uniqueId val="{00000020-EC86-440B-ACFA-14A089690B66}"/>
                  </c:ext>
                  <c:ext uri="{02D57815-91ED-43cb-92C2-25804820EDAC}">
                    <c15:datalabelsRange>
                      <c15:f>'RRT - Subgrpupo - Gênero'!$B$35:$B$45</c15:f>
                      <c15:dlblRangeCache>
                        <c:ptCount val="11"/>
                        <c:pt idx="0">
                          <c:v> 121.276 </c:v>
                        </c:pt>
                        <c:pt idx="1">
                          <c:v> 27.631 </c:v>
                        </c:pt>
                        <c:pt idx="2">
                          <c:v> 2.448 </c:v>
                        </c:pt>
                        <c:pt idx="3">
                          <c:v> 6.596 </c:v>
                        </c:pt>
                        <c:pt idx="4">
                          <c:v> 46.409 </c:v>
                        </c:pt>
                        <c:pt idx="5">
                          <c:v> 1.680 </c:v>
                        </c:pt>
                        <c:pt idx="6">
                          <c:v> 8.170 </c:v>
                        </c:pt>
                        <c:pt idx="7">
                          <c:v> 15.536 </c:v>
                        </c:pt>
                        <c:pt idx="8">
                          <c:v> 3.024 </c:v>
                        </c:pt>
                        <c:pt idx="9">
                          <c:v> 3.029 </c:v>
                        </c:pt>
                        <c:pt idx="10">
                          <c:v> 311 </c:v>
                        </c:pt>
                      </c15:dlblRangeCache>
                    </c15:datalabelsRange>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'RRT - Subgrpupo - Gênero'!$E$85</c15:sqref>
                        </c15:formulaRef>
                      </c:ext>
                    </c:extLst>
                    <c:strCache>
                      <c:ptCount val="1"/>
                      <c:pt idx="0">
                        <c:v>Fem.</c:v>
                      </c:pt>
                    </c:strCache>
                  </c:strRef>
                </c:tx>
                <c:spPr>
                  <a:solidFill>
                    <a:srgbClr val="FF0000"/>
                  </a:solidFill>
                  <a:ln>
                    <a:noFill/>
                  </a:ln>
                  <a:effectLst/>
                </c:spPr>
                <c:invertIfNegative val="0"/>
                <c:dLbls>
                  <c:dLbl>
                    <c:idx val="0"/>
                    <c:tx>
                      <c:rich>
                        <a:bodyPr/>
                        <a:lstStyle/>
                        <a:p>
                          <a:fld id="{69AC2CB1-860B-4B3A-A19F-25B6C860B9F8}" type="CELLRANGE">
                            <a:rPr lang="en-US"/>
                            <a:pPr/>
                            <a:t>[CELLRANGE]</a:t>
                          </a:fld>
                          <a:endParaRPr lang="pt-BR"/>
                        </a:p>
                      </c:rich>
                    </c:tx>
                    <c:showLegendKey val="0"/>
                    <c:showVal val="0"/>
                    <c:showCatName val="0"/>
                    <c:showSerName val="0"/>
                    <c:showPercent val="0"/>
                    <c:showBubbleSize val="0"/>
                    <c:extLst xmlns:c16r2="http://schemas.microsoft.com/office/drawing/2015/06/chart" xmlns:c15="http://schemas.microsoft.com/office/drawing/2012/chart">
                      <c:ext xmlns:c16="http://schemas.microsoft.com/office/drawing/2014/chart" uri="{C3380CC4-5D6E-409C-BE32-E72D297353CC}">
                        <c16:uniqueId val="{00000021-EC86-440B-ACFA-14A089690B66}"/>
                      </c:ext>
                      <c:ext xmlns:c15="http://schemas.microsoft.com/office/drawing/2012/chart" uri="{CE6537A1-D6FC-4f65-9D91-7224C49458BB}">
                        <c15:dlblFieldTable/>
                        <c15:showDataLabelsRange val="1"/>
                      </c:ext>
                    </c:extLst>
                  </c:dLbl>
                  <c:dLbl>
                    <c:idx val="1"/>
                    <c:tx>
                      <c:rich>
                        <a:bodyPr/>
                        <a:lstStyle/>
                        <a:p>
                          <a:fld id="{85DFFC8E-AAAF-402F-A71B-1769EBA7CCD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DB32E79-C6D8-401D-9FDD-FB833399E94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B0995D8-F56F-48DA-BF14-C00472CB1D8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1472B55-0380-41EE-B2D6-FA605EE0DCD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5455B44-DBEB-40AD-AE0B-6830C2501D8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021CE696-813B-4875-9AF8-2B72EFE9442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24F0646A-1A36-44CF-818F-0B887BF2420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'RRT - Subgrpupo - Gênero'!$E$86:$E$93</c15:sqref>
                        </c15:formulaRef>
                      </c:ext>
                    </c:extLst>
                    <c:numCache>
                      <c:formatCode>0%</c:formatCode>
                      <c:ptCount val="8"/>
                      <c:pt idx="0">
                        <c:v>0.42901657670845655</c:v>
                      </c:pt>
                      <c:pt idx="1">
                        <c:v>0.46963847531266995</c:v>
                      </c:pt>
                      <c:pt idx="2">
                        <c:v>0.28663069085613851</c:v>
                      </c:pt>
                      <c:pt idx="3">
                        <c:v>0.37201151796041504</c:v>
                      </c:pt>
                      <c:pt idx="4">
                        <c:v>0.33611111111111114</c:v>
                      </c:pt>
                      <c:pt idx="5">
                        <c:v>0.49528124137325036</c:v>
                      </c:pt>
                      <c:pt idx="6">
                        <c:v>0.41667360458855823</c:v>
                      </c:pt>
                      <c:pt idx="7">
                        <c:v>0.68833767143619862</c:v>
                      </c:pt>
                    </c:numCache>
                  </c:numRef>
                </c:val>
                <c:extLst xmlns:c16r2="http://schemas.microsoft.com/office/drawing/2015/06/chart" xmlns:c15="http://schemas.microsoft.com/office/drawing/2012/chart">
                  <c:ext xmlns:c16="http://schemas.microsoft.com/office/drawing/2014/chart" uri="{C3380CC4-5D6E-409C-BE32-E72D297353CC}">
                    <c16:uniqueId val="{00000029-EC86-440B-ACFA-14A089690B66}"/>
                  </c:ext>
                  <c:ext xmlns:c15="http://schemas.microsoft.com/office/drawing/2012/chart" uri="{02D57815-91ED-43cb-92C2-25804820EDAC}">
                    <c15:datalabelsRange>
                      <c15:f>'RRT - Subgrpupo - Gênero'!$D$35:$D$45</c15:f>
                      <c15:dlblRangeCache>
                        <c:ptCount val="11"/>
                        <c:pt idx="0">
                          <c:v> 113.554 </c:v>
                        </c:pt>
                        <c:pt idx="1">
                          <c:v> 15.851 </c:v>
                        </c:pt>
                        <c:pt idx="2">
                          <c:v> 2.351 </c:v>
                        </c:pt>
                        <c:pt idx="3">
                          <c:v> 23.384 </c:v>
                        </c:pt>
                        <c:pt idx="4">
                          <c:v> 29.996 </c:v>
                        </c:pt>
                        <c:pt idx="5">
                          <c:v> 1.625 </c:v>
                        </c:pt>
                        <c:pt idx="6">
                          <c:v> 6.794 </c:v>
                        </c:pt>
                        <c:pt idx="7">
                          <c:v> 10.300 </c:v>
                        </c:pt>
                        <c:pt idx="8">
                          <c:v> 1.532 </c:v>
                        </c:pt>
                        <c:pt idx="9">
                          <c:v> 2.304 </c:v>
                        </c:pt>
                        <c:pt idx="10">
                          <c:v> 253 </c:v>
                        </c:pt>
                      </c15:dlblRangeCache>
                    </c15:datalabelsRange>
                  </c:ext>
                </c:extLst>
              </c15:ser>
            </c15:filteredBarSeries>
          </c:ext>
        </c:extLst>
      </c:barChart>
      <c:catAx>
        <c:axId val="45330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453315560"/>
        <c:crosses val="autoZero"/>
        <c:auto val="1"/>
        <c:lblAlgn val="ctr"/>
        <c:lblOffset val="100"/>
        <c:noMultiLvlLbl val="0"/>
      </c:catAx>
      <c:valAx>
        <c:axId val="45331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3308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55109754419979E-2"/>
          <c:y val="1.8671898963513848E-2"/>
          <c:w val="0.94344631048611616"/>
          <c:h val="0.73722329030279143"/>
        </c:manualLayout>
      </c:layout>
      <c:barChart>
        <c:barDir val="col"/>
        <c:grouping val="clustered"/>
        <c:varyColors val="0"/>
        <c:ser>
          <c:idx val="0"/>
          <c:order val="0"/>
          <c:tx>
            <c:v>Qtde</c:v>
          </c:tx>
          <c:spPr>
            <a:solidFill>
              <a:srgbClr val="006666"/>
            </a:solidFill>
            <a:ln w="25400" cap="rnd" cmpd="sng" algn="ctr">
              <a:noFill/>
              <a:round/>
            </a:ln>
            <a:effectLst>
              <a:softEdge rad="12700"/>
            </a:effectLst>
            <a:scene3d>
              <a:camera prst="orthographicFront"/>
              <a:lightRig rig="threePt" dir="t"/>
            </a:scene3d>
            <a:sp3d>
              <a:bevelT w="254000" h="279400"/>
              <a:bevelB w="158750" h="152400"/>
            </a:sp3d>
          </c:spPr>
          <c:invertIfNegative val="0"/>
          <c:dPt>
            <c:idx val="0"/>
            <c:invertIfNegative val="0"/>
            <c:bubble3D val="0"/>
            <c:spPr>
              <a:solidFill>
                <a:srgbClr val="006666"/>
              </a:solidFill>
              <a:ln w="25400" cap="rnd" cmpd="sng" algn="ctr">
                <a:noFill/>
                <a:round/>
              </a:ln>
              <a:effectLst>
                <a:softEdge rad="12700"/>
              </a:effectLst>
              <a:scene3d>
                <a:camera prst="orthographicFront"/>
                <a:lightRig rig="threePt" dir="t"/>
              </a:scene3d>
              <a:sp3d>
                <a:bevelT w="254000" h="279400"/>
                <a:bevelB w="158750" h="292100"/>
              </a:sp3d>
            </c:spPr>
            <c:extLst xmlns:c16r2="http://schemas.microsoft.com/office/drawing/2015/06/chart">
              <c:ext xmlns:c16="http://schemas.microsoft.com/office/drawing/2014/chart" uri="{C3380CC4-5D6E-409C-BE32-E72D297353CC}">
                <c16:uniqueId val="{00000001-E5A0-4701-AE76-163EAE424192}"/>
              </c:ext>
            </c:extLst>
          </c:dPt>
          <c:dLbls>
            <c:dLbl>
              <c:idx val="0"/>
              <c:tx>
                <c:rich>
                  <a:bodyPr/>
                  <a:lstStyle/>
                  <a:p>
                    <a:fld id="{FA4A818F-FE6E-4820-8D05-1D0A16BA20BC}"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14ECA1F3-CE52-470D-85C4-442E5AD2054B}"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2971DEF-6209-4269-A6EF-6B14BDC8B864}"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4E71069-8E33-4792-AD9A-532D25BEC7AB}"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EA12874-EEAF-440D-BF2B-DBF1BD3829DB}"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FBD1DDA-B3AA-4DCC-9C41-606C05116801}" type="CELLRANGE">
                      <a:rPr lang="pt-BR"/>
                      <a:pPr/>
                      <a:t>[CELLRANGE]</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fld id="{E9C7D78F-0F3A-4D13-8546-91C8A6866EDF}" type="CELLRANGE">
                      <a:rPr lang="pt-BR"/>
                      <a:pPr>
                        <a:defRPr sz="2800"/>
                      </a:pPr>
                      <a:t>[CELLRANGE]</a:t>
                    </a:fld>
                    <a:endParaRPr lang="pt-B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'RRT - Atividades '!$AE$15:$AE$21</c:f>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f>'RRT - Atividades '!$AF$15:$AF$21</c:f>
              <c:numCache>
                <c:formatCode>_(* #,##0_);_(* \(#,##0\);_(* "-"??_);_(@_)</c:formatCode>
                <c:ptCount val="7"/>
                <c:pt idx="0">
                  <c:v>444051.20445931476</c:v>
                </c:pt>
                <c:pt idx="1">
                  <c:v>277041.64539789548</c:v>
                </c:pt>
                <c:pt idx="2">
                  <c:v>74704.082745314387</c:v>
                </c:pt>
                <c:pt idx="3">
                  <c:v>25092.828680220729</c:v>
                </c:pt>
                <c:pt idx="4">
                  <c:v>12985.888183337771</c:v>
                </c:pt>
                <c:pt idx="5">
                  <c:v>5300.7517313916223</c:v>
                </c:pt>
                <c:pt idx="6">
                  <c:v>233.59880252527716</c:v>
                </c:pt>
              </c:numCache>
            </c:numRef>
          </c:val>
          <c:extLst xmlns:c16r2="http://schemas.microsoft.com/office/drawing/2015/06/chart">
            <c:ext xmlns:c16="http://schemas.microsoft.com/office/drawing/2014/chart" uri="{C3380CC4-5D6E-409C-BE32-E72D297353CC}">
              <c16:uniqueId val="{00000008-E5A0-4701-AE76-163EAE424192}"/>
            </c:ext>
            <c:ext xmlns:c15="http://schemas.microsoft.com/office/drawing/2012/chart" uri="{02D57815-91ED-43cb-92C2-25804820EDAC}">
              <c15:datalabelsRange>
                <c15:f>'RRT - Atividades '!$AG$15:$AG$21</c15:f>
                <c15:dlblRangeCache>
                  <c:ptCount val="7"/>
                  <c:pt idx="0">
                    <c:v>52,90%</c:v>
                  </c:pt>
                  <c:pt idx="1">
                    <c:v>33,00%</c:v>
                  </c:pt>
                  <c:pt idx="2">
                    <c:v>8,90%</c:v>
                  </c:pt>
                  <c:pt idx="3">
                    <c:v>2,99%</c:v>
                  </c:pt>
                  <c:pt idx="4">
                    <c:v>1,55%</c:v>
                  </c:pt>
                  <c:pt idx="5">
                    <c:v>0,63%</c:v>
                  </c:pt>
                  <c:pt idx="6">
                    <c:v>0,03%</c:v>
                  </c:pt>
                </c15:dlblRangeCache>
              </c15:datalabelsRange>
            </c:ext>
          </c:extLst>
        </c:ser>
        <c:dLbls>
          <c:showLegendKey val="0"/>
          <c:showVal val="0"/>
          <c:showCatName val="0"/>
          <c:showSerName val="0"/>
          <c:showPercent val="0"/>
          <c:showBubbleSize val="0"/>
        </c:dLbls>
        <c:gapWidth val="119"/>
        <c:overlap val="-60"/>
        <c:axId val="453309680"/>
        <c:axId val="453312424"/>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xmlns:c16r2="http://schemas.microsoft.com/office/drawing/2015/06/chart">
                      <c:ext uri="{02D57815-91ED-43cb-92C2-25804820EDAC}">
                        <c15:formulaRef>
                          <c15:sqref>'RRT - Atividades '!$AE$15:$AE$21</c15:sqref>
                        </c15:formulaRef>
                      </c:ext>
                    </c:extLst>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extLst xmlns:c16r2="http://schemas.microsoft.com/office/drawing/2015/06/chart">
                      <c:ext uri="{02D57815-91ED-43cb-92C2-25804820EDAC}">
                        <c15:formulaRef>
                          <c15:sqref>'RRT - Atividades '!$AG$15:$AG$21</c15:sqref>
                        </c15:formulaRef>
                      </c:ext>
                    </c:extLst>
                    <c:numCache>
                      <c:formatCode>0.00%</c:formatCode>
                      <c:ptCount val="7"/>
                      <c:pt idx="0">
                        <c:v>0.52900394855829069</c:v>
                      </c:pt>
                      <c:pt idx="1">
                        <c:v>0.33004329874304034</c:v>
                      </c:pt>
                      <c:pt idx="2">
                        <c:v>8.8995940893382711E-2</c:v>
                      </c:pt>
                      <c:pt idx="3">
                        <c:v>2.9893411658451448E-2</c:v>
                      </c:pt>
                      <c:pt idx="4">
                        <c:v>1.5470256708089934E-2</c:v>
                      </c:pt>
                      <c:pt idx="5">
                        <c:v>6.3148541611270084E-3</c:v>
                      </c:pt>
                      <c:pt idx="6">
                        <c:v>2.7828927761794256E-4</c:v>
                      </c:pt>
                    </c:numCache>
                  </c:numRef>
                </c:val>
                <c:extLst xmlns:c16r2="http://schemas.microsoft.com/office/drawing/2015/06/chart">
                  <c:ext xmlns:c16="http://schemas.microsoft.com/office/drawing/2014/chart" uri="{C3380CC4-5D6E-409C-BE32-E72D297353CC}">
                    <c16:uniqueId val="{00000009-E5A0-4701-AE76-163EAE424192}"/>
                  </c:ext>
                </c:extLst>
              </c15:ser>
            </c15:filteredBarSeries>
          </c:ext>
        </c:extLst>
      </c:barChart>
      <c:catAx>
        <c:axId val="4533096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453312424"/>
        <c:crosses val="autoZero"/>
        <c:auto val="1"/>
        <c:lblAlgn val="ctr"/>
        <c:lblOffset val="100"/>
        <c:tickLblSkip val="1"/>
        <c:noMultiLvlLbl val="0"/>
      </c:catAx>
      <c:valAx>
        <c:axId val="453312424"/>
        <c:scaling>
          <c:orientation val="minMax"/>
        </c:scaling>
        <c:delete val="1"/>
        <c:axPos val="l"/>
        <c:numFmt formatCode="_(* #,##0_);_(* \(#,##0\);_(* &quot;-&quot;??_);_(@_)" sourceLinked="1"/>
        <c:majorTickMark val="out"/>
        <c:minorTickMark val="none"/>
        <c:tickLblPos val="nextTo"/>
        <c:crossAx val="453309680"/>
        <c:crosses val="autoZero"/>
        <c:crossBetween val="between"/>
        <c:majorUnit val="5000"/>
        <c:dispUnits>
          <c:builtInUnit val="thousands"/>
          <c:dispUnitsLbl>
            <c:layout>
              <c:manualLayout>
                <c:xMode val="edge"/>
                <c:yMode val="edge"/>
                <c:x val="5.5124902560608939E-3"/>
                <c:y val="2.1698452546873609E-2"/>
              </c:manualLayout>
            </c:layout>
            <c:spPr>
              <a:noFill/>
              <a:ln>
                <a:noFill/>
              </a:ln>
              <a:effectLst/>
            </c:spPr>
            <c:txPr>
              <a:bodyPr rot="-540000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pt-BR"/>
              </a:p>
            </c:txPr>
          </c:dispUnitsLbl>
        </c:dispUnits>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2400" b="1" i="0" u="none" strike="noStrike" kern="1200" baseline="0">
                <a:solidFill>
                  <a:sysClr val="windowText" lastClr="000000"/>
                </a:solidFill>
                <a:latin typeface="+mn-lt"/>
                <a:ea typeface="+mn-ea"/>
                <a:cs typeface="+mn-cs"/>
              </a:defRPr>
            </a:pPr>
            <a:endParaRPr lang="pt-BR"/>
          </a:p>
        </c:txPr>
      </c:dTable>
      <c:spPr>
        <a:noFill/>
        <a:ln w="25400">
          <a:noFill/>
        </a:ln>
        <a:effectLst>
          <a:innerShdw blurRad="114300">
            <a:prstClr val="black"/>
          </a:innerShdw>
        </a:effectLst>
      </c:spPr>
    </c:plotArea>
    <c:plotVisOnly val="1"/>
    <c:dispBlanksAs val="gap"/>
    <c:showDLblsOverMax val="0"/>
  </c:chart>
  <c:spPr>
    <a:noFill/>
    <a:ln w="9525" cap="flat" cmpd="sng" algn="ctr">
      <a:solidFill>
        <a:schemeClr val="tx1">
          <a:lumMod val="15000"/>
          <a:lumOff val="85000"/>
        </a:schemeClr>
      </a:solid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151933506335618"/>
        </c:manualLayout>
      </c:layout>
      <c:barChart>
        <c:barDir val="col"/>
        <c:grouping val="clustered"/>
        <c:varyColors val="0"/>
        <c:ser>
          <c:idx val="0"/>
          <c:order val="0"/>
          <c:tx>
            <c:v>Qtde</c:v>
          </c:tx>
          <c:spPr>
            <a:solidFill>
              <a:srgbClr val="C0504D">
                <a:lumMod val="60000"/>
                <a:lumOff val="40000"/>
              </a:srgbClr>
            </a:solidFill>
            <a:ln w="25400" cap="rnd" cmpd="sng" algn="ctr">
              <a:noFill/>
              <a:round/>
            </a:ln>
            <a:effectLst>
              <a:glow>
                <a:srgbClr val="4F81BD">
                  <a:alpha val="85000"/>
                </a:srgbClr>
              </a:glow>
              <a:innerShdw blurRad="63500" dist="50800" dir="10800000">
                <a:prstClr val="black">
                  <a:alpha val="50000"/>
                </a:prstClr>
              </a:innerShdw>
              <a:softEdge rad="38100"/>
            </a:effectLst>
            <a:scene3d>
              <a:camera prst="orthographicFront"/>
              <a:lightRig rig="threePt" dir="t"/>
            </a:scene3d>
            <a:sp3d>
              <a:bevelT w="298450" h="158750" prst="coolSlant"/>
              <a:bevelB w="323850" h="349250"/>
            </a:sp3d>
          </c:spPr>
          <c:invertIfNegative val="0"/>
          <c:dLbls>
            <c:dLbl>
              <c:idx val="0"/>
              <c:tx>
                <c:rich>
                  <a:bodyPr/>
                  <a:lstStyle/>
                  <a:p>
                    <a:fld id="{61F5C671-CE58-417E-92ED-98877C77FC95}"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5B8-43FB-A199-B28C8D02F74D}"/>
                </c:ext>
                <c:ext xmlns:c15="http://schemas.microsoft.com/office/drawing/2012/chart" uri="{CE6537A1-D6FC-4f65-9D91-7224C49458BB}">
                  <c15:dlblFieldTable/>
                  <c15:showDataLabelsRange val="1"/>
                </c:ext>
              </c:extLst>
            </c:dLbl>
            <c:dLbl>
              <c:idx val="1"/>
              <c:tx>
                <c:rich>
                  <a:bodyPr/>
                  <a:lstStyle/>
                  <a:p>
                    <a:fld id="{6477B919-2F18-4C3A-8ABE-128A408728E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CF2AD54-82E7-4754-9048-1D83DCD9C78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layout>
                <c:manualLayout>
                  <c:x val="1.0329243413826335E-3"/>
                  <c:y val="7.6350425608533931E-3"/>
                </c:manualLayout>
              </c:layout>
              <c:tx>
                <c:rich>
                  <a:bodyPr/>
                  <a:lstStyle/>
                  <a:p>
                    <a:fld id="{29FFE9A9-D1E0-44C2-AAD3-76386A1BE14D}"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5B8-43FB-A199-B28C8D02F74D}"/>
                </c:ext>
                <c:ext xmlns:c15="http://schemas.microsoft.com/office/drawing/2012/chart" uri="{CE6537A1-D6FC-4f65-9D91-7224C49458BB}">
                  <c15:dlblFieldTable/>
                  <c15:showDataLabelsRange val="1"/>
                </c:ext>
              </c:extLst>
            </c:dLbl>
            <c:dLbl>
              <c:idx val="4"/>
              <c:layout>
                <c:manualLayout>
                  <c:x val="0"/>
                  <c:y val="4.581025536512036E-3"/>
                </c:manualLayout>
              </c:layout>
              <c:tx>
                <c:rich>
                  <a:bodyPr/>
                  <a:lstStyle/>
                  <a:p>
                    <a:fld id="{E466DFF3-B94C-4CF5-A507-53369C89E43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15B8-43FB-A199-B28C8D02F74D}"/>
                </c:ext>
                <c:ext xmlns:c15="http://schemas.microsoft.com/office/drawing/2012/chart" uri="{CE6537A1-D6FC-4f65-9D91-7224C49458BB}">
                  <c15:dlblFieldTable/>
                  <c15:showDataLabelsRange val="1"/>
                </c:ext>
              </c:extLst>
            </c:dLbl>
            <c:dLbl>
              <c:idx val="5"/>
              <c:tx>
                <c:rich>
                  <a:bodyPr/>
                  <a:lstStyle/>
                  <a:p>
                    <a:fld id="{4EC38606-F965-4D2F-90D7-A32A4E014EA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85D80952-15B1-4500-877B-91BE987C036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80B247F9-79F9-4CC9-88E3-03E01B5FEC4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A94AFB13-3D33-4D02-906F-B7AB837D6FE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2BF6633A-9E03-4AA8-93E2-7AEFDA125F6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CC38A459-17D0-41F8-93ED-1E843C7BE2C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'1 - Projeto'!$AX$21:$AX$31</c:f>
              <c:strCache>
                <c:ptCount val="11"/>
                <c:pt idx="0">
                  <c:v>ARQUITETURA DAS EDIFICAÇÕES</c:v>
                </c:pt>
                <c:pt idx="1">
                  <c:v>INSTALAÇÕES E EQUIPAMENTOS REFERENTES À ARQUITETURA</c:v>
                </c:pt>
                <c:pt idx="2">
                  <c:v>SISTEMAS CONSTRUTIVOS E ESTRUTURAIS</c:v>
                </c:pt>
                <c:pt idx="3">
                  <c:v>ARQUITETURA 
DE INTERIORES</c:v>
                </c:pt>
                <c:pt idx="4">
                  <c:v>URBANISMO 
E DESENHO URBANO</c:v>
                </c:pt>
                <c:pt idx="5">
                  <c:v>RELATÓRIOS TÉCNICOS 
DE ARQUITETURA</c:v>
                </c:pt>
                <c:pt idx="6">
                  <c:v>RELATÓRIOS 
TÉCNICOS E URBANÍSTICOS</c:v>
                </c:pt>
                <c:pt idx="7">
                  <c:v>CONFORTO 
AMBIENTAL</c:v>
                </c:pt>
                <c:pt idx="8">
                  <c:v>INSTALAÇÕES E EQUIPAMENTOS REFERENTES AO URBANISMO</c:v>
                </c:pt>
                <c:pt idx="9">
                  <c:v>ARQUITETURA 
PAISAGÍSTICA</c:v>
                </c:pt>
                <c:pt idx="10">
                  <c:v>PATRIMÔNIO ARQUITETÔNICO, URBANÍSTICO E PAISAGÍSTICO</c:v>
                </c:pt>
              </c:strCache>
            </c:strRef>
          </c:cat>
          <c:val>
            <c:numRef>
              <c:f>'1 - Projeto'!$AY$21:$AY$31</c:f>
              <c:numCache>
                <c:formatCode>#,##0</c:formatCode>
                <c:ptCount val="11"/>
                <c:pt idx="0">
                  <c:v>234829.73129362066</c:v>
                </c:pt>
                <c:pt idx="1">
                  <c:v>76405.109185134861</c:v>
                </c:pt>
                <c:pt idx="2">
                  <c:v>43481.442988311152</c:v>
                </c:pt>
                <c:pt idx="3">
                  <c:v>29979.173722715605</c:v>
                </c:pt>
                <c:pt idx="4">
                  <c:v>25835.943462195719</c:v>
                </c:pt>
                <c:pt idx="5">
                  <c:v>14963.975725726274</c:v>
                </c:pt>
                <c:pt idx="6">
                  <c:v>5333.1460239436392</c:v>
                </c:pt>
                <c:pt idx="7">
                  <c:v>4798.6044796953129</c:v>
                </c:pt>
                <c:pt idx="8">
                  <c:v>4555.840444297849</c:v>
                </c:pt>
                <c:pt idx="9">
                  <c:v>3304.4689553259773</c:v>
                </c:pt>
                <c:pt idx="10">
                  <c:v>563.76817834768838</c:v>
                </c:pt>
              </c:numCache>
            </c:numRef>
          </c:val>
          <c:extLst xmlns:c16r2="http://schemas.microsoft.com/office/drawing/2015/06/chart">
            <c:ext xmlns:c16="http://schemas.microsoft.com/office/drawing/2014/chart" uri="{C3380CC4-5D6E-409C-BE32-E72D297353CC}">
              <c16:uniqueId val="{0000000B-15B8-43FB-A199-B28C8D02F74D}"/>
            </c:ext>
            <c:ext xmlns:c15="http://schemas.microsoft.com/office/drawing/2012/chart" uri="{02D57815-91ED-43cb-92C2-25804820EDAC}">
              <c15:datalabelsRange>
                <c15:f>'1 - Projeto'!$AZ$21:$AZ$31</c15:f>
                <c15:dlblRangeCache>
                  <c:ptCount val="11"/>
                  <c:pt idx="0">
                    <c:v>52,9%</c:v>
                  </c:pt>
                  <c:pt idx="1">
                    <c:v>17,2%</c:v>
                  </c:pt>
                  <c:pt idx="2">
                    <c:v>9,8%</c:v>
                  </c:pt>
                  <c:pt idx="3">
                    <c:v>6,8%</c:v>
                  </c:pt>
                  <c:pt idx="4">
                    <c:v>5,8%</c:v>
                  </c:pt>
                  <c:pt idx="5">
                    <c:v>3,4%</c:v>
                  </c:pt>
                  <c:pt idx="6">
                    <c:v>1,2%</c:v>
                  </c:pt>
                  <c:pt idx="7">
                    <c:v>1,1%</c:v>
                  </c:pt>
                  <c:pt idx="8">
                    <c:v>1,0%</c:v>
                  </c:pt>
                  <c:pt idx="9">
                    <c:v>0,7%</c:v>
                  </c:pt>
                  <c:pt idx="10">
                    <c:v>0,1%</c:v>
                  </c:pt>
                </c15:dlblRangeCache>
              </c15:datalabelsRange>
            </c:ext>
          </c:extLst>
        </c:ser>
        <c:dLbls>
          <c:showLegendKey val="0"/>
          <c:showVal val="0"/>
          <c:showCatName val="0"/>
          <c:showSerName val="0"/>
          <c:showPercent val="0"/>
          <c:showBubbleSize val="0"/>
        </c:dLbls>
        <c:gapWidth val="80"/>
        <c:overlap val="100"/>
        <c:axId val="453313992"/>
        <c:axId val="453314384"/>
      </c:barChart>
      <c:catAx>
        <c:axId val="45331399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pt-BR"/>
          </a:p>
        </c:txPr>
        <c:crossAx val="453314384"/>
        <c:crosses val="autoZero"/>
        <c:auto val="1"/>
        <c:lblAlgn val="ctr"/>
        <c:lblOffset val="100"/>
        <c:tickLblSkip val="1"/>
        <c:noMultiLvlLbl val="0"/>
      </c:catAx>
      <c:valAx>
        <c:axId val="453314384"/>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crossAx val="453313992"/>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glow rad="127000">
            <a:sysClr val="window" lastClr="FFFFFF"/>
          </a:glow>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8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456119049405826E-2"/>
          <c:y val="2.24178268353122E-2"/>
          <c:w val="0.95916244778379978"/>
          <c:h val="0.87077590171675723"/>
        </c:manualLayout>
      </c:layout>
      <c:barChart>
        <c:barDir val="col"/>
        <c:grouping val="clustered"/>
        <c:varyColors val="0"/>
        <c:ser>
          <c:idx val="2"/>
          <c:order val="0"/>
          <c:tx>
            <c:strRef>
              <c:f>'2 - Execução '!$AQ$19</c:f>
              <c:strCache>
                <c:ptCount val="1"/>
                <c:pt idx="0">
                  <c:v>Qtde</c:v>
                </c:pt>
              </c:strCache>
            </c:strRef>
          </c:tx>
          <c:spPr>
            <a:solidFill>
              <a:srgbClr val="EEECE1">
                <a:lumMod val="50000"/>
              </a:srgbClr>
            </a:solidFill>
            <a:ln w="9525" cap="flat" cmpd="sng" algn="ctr">
              <a:noFill/>
              <a:round/>
            </a:ln>
            <a:effectLst/>
            <a:scene3d>
              <a:camera prst="orthographicFront"/>
              <a:lightRig rig="threePt" dir="t"/>
            </a:scene3d>
            <a:sp3d>
              <a:bevelT w="146050" h="190500"/>
            </a:sp3d>
          </c:spPr>
          <c:invertIfNegative val="0"/>
          <c:dLbls>
            <c:dLbl>
              <c:idx val="0"/>
              <c:tx>
                <c:rich>
                  <a:bodyPr/>
                  <a:lstStyle/>
                  <a:p>
                    <a:fld id="{118BBD46-B12D-4356-8C2B-4437CB34BC2F}"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59DC-4AF8-9CB1-08BB7CA5D4E5}"/>
                </c:ext>
                <c:ext xmlns:c15="http://schemas.microsoft.com/office/drawing/2012/chart" uri="{CE6537A1-D6FC-4f65-9D91-7224C49458BB}">
                  <c15:dlblFieldTable/>
                  <c15:showDataLabelsRange val="1"/>
                </c:ext>
              </c:extLst>
            </c:dLbl>
            <c:dLbl>
              <c:idx val="1"/>
              <c:tx>
                <c:rich>
                  <a:bodyPr/>
                  <a:lstStyle/>
                  <a:p>
                    <a:fld id="{BBAC2557-7177-4248-A881-49A237EED2F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8FB8A78-9BEA-457D-9338-F8DC7B34CAE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66413AB-8F49-4F2E-8B33-848BDF7F8A9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B921608-8554-4ED2-BB71-4DBE36A3E6C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2DFBDE50-6E05-47D8-B235-E9180CFDA93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463290F-C7DF-45EA-AC76-CF6AF76D705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4706E3DD-31AC-4CF9-B586-5A090A4C4AC6}"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04E7020A-2ED4-40D4-BE23-FA45665B3D0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'2 - Execução '!$AP$20:$AP$28</c:f>
              <c:strCache>
                <c:ptCount val="9"/>
                <c:pt idx="0">
                  <c:v>ARQUITETURA DAS EDIFICAÇÕES</c:v>
                </c:pt>
                <c:pt idx="1">
                  <c:v>INSTALAÇÕES E EQUIPAMENTOS REFERENTES À ARQUITETURA</c:v>
                </c:pt>
                <c:pt idx="2">
                  <c:v>SISTEMAS CONSTRUTIVOS E ESTRUTURAIS</c:v>
                </c:pt>
                <c:pt idx="3">
                  <c:v>ARQUITETURA DE INTERIORES</c:v>
                </c:pt>
                <c:pt idx="4">
                  <c:v>CONFORTO AMBIENTAL</c:v>
                </c:pt>
                <c:pt idx="5">
                  <c:v>INSTALAÇÕES E EQUIPAMENTOS REFERENTES AO URBANISMO</c:v>
                </c:pt>
                <c:pt idx="6">
                  <c:v>URBANISMO E DESENHO URBANO</c:v>
                </c:pt>
                <c:pt idx="7">
                  <c:v>ARQUITETURA PAISAGÍSTICA</c:v>
                </c:pt>
                <c:pt idx="8">
                  <c:v>PATRIMÔNIO ARQUITETÔNICO,   URBANÍSTICO E PAISAGÍSTICO</c:v>
                </c:pt>
              </c:strCache>
            </c:strRef>
          </c:cat>
          <c:val>
            <c:numRef>
              <c:f>'2 - Execução '!$AQ$20:$AQ$28</c:f>
              <c:numCache>
                <c:formatCode>_(* #,##0_);_(* \(#,##0\);_(* "-"??_);_(@_)</c:formatCode>
                <c:ptCount val="9"/>
                <c:pt idx="0">
                  <c:v>139133.26483269359</c:v>
                </c:pt>
                <c:pt idx="1">
                  <c:v>60249.29970595194</c:v>
                </c:pt>
                <c:pt idx="2">
                  <c:v>36289.665012565056</c:v>
                </c:pt>
                <c:pt idx="3">
                  <c:v>32511.412576012772</c:v>
                </c:pt>
                <c:pt idx="4">
                  <c:v>4149.6468992263499</c:v>
                </c:pt>
                <c:pt idx="5">
                  <c:v>2429.3250805504931</c:v>
                </c:pt>
                <c:pt idx="6">
                  <c:v>1484.4182616591804</c:v>
                </c:pt>
                <c:pt idx="7">
                  <c:v>538.53229749466789</c:v>
                </c:pt>
                <c:pt idx="8">
                  <c:v>256.0807317414172</c:v>
                </c:pt>
              </c:numCache>
            </c:numRef>
          </c:val>
          <c:extLst xmlns:c16r2="http://schemas.microsoft.com/office/drawing/2015/06/chart">
            <c:ext xmlns:c16="http://schemas.microsoft.com/office/drawing/2014/chart" uri="{C3380CC4-5D6E-409C-BE32-E72D297353CC}">
              <c16:uniqueId val="{00000009-59DC-4AF8-9CB1-08BB7CA5D4E5}"/>
            </c:ext>
            <c:ext xmlns:c15="http://schemas.microsoft.com/office/drawing/2012/chart" uri="{02D57815-91ED-43cb-92C2-25804820EDAC}">
              <c15:datalabelsRange>
                <c15:f>'2 - Execução '!$AR$20:$AR$28</c15:f>
                <c15:dlblRangeCache>
                  <c:ptCount val="9"/>
                  <c:pt idx="0">
                    <c:v>50,2%</c:v>
                  </c:pt>
                  <c:pt idx="1">
                    <c:v>21,7%</c:v>
                  </c:pt>
                  <c:pt idx="2">
                    <c:v>13,1%</c:v>
                  </c:pt>
                  <c:pt idx="3">
                    <c:v>11,7%</c:v>
                  </c:pt>
                  <c:pt idx="4">
                    <c:v>1,5%</c:v>
                  </c:pt>
                  <c:pt idx="5">
                    <c:v>0,9%</c:v>
                  </c:pt>
                  <c:pt idx="6">
                    <c:v>0,5%</c:v>
                  </c:pt>
                  <c:pt idx="7">
                    <c:v>0,2%</c:v>
                  </c:pt>
                  <c:pt idx="8">
                    <c:v>0,1%</c:v>
                  </c:pt>
                </c15:dlblRangeCache>
              </c15:datalabelsRange>
            </c:ext>
          </c:extLst>
        </c:ser>
        <c:dLbls>
          <c:showLegendKey val="0"/>
          <c:showVal val="0"/>
          <c:showCatName val="0"/>
          <c:showSerName val="0"/>
          <c:showPercent val="0"/>
          <c:showBubbleSize val="0"/>
        </c:dLbls>
        <c:gapWidth val="80"/>
        <c:overlap val="100"/>
        <c:axId val="452445856"/>
        <c:axId val="452446248"/>
        <c:extLst xmlns:c16r2="http://schemas.microsoft.com/office/drawing/2015/06/char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xmlns:c16r2="http://schemas.microsoft.com/office/drawing/2015/06/chart">
                      <c:ext uri="{02D57815-91ED-43cb-92C2-25804820EDAC}">
                        <c15:formulaRef>
                          <c15:sqref>'2 - Execução '!$AP$20:$AP$28</c15:sqref>
                        </c15:formulaRef>
                      </c:ext>
                    </c:extLst>
                    <c:strCache>
                      <c:ptCount val="9"/>
                      <c:pt idx="0">
                        <c:v>ARQUITETURA DAS EDIFICAÇÕES</c:v>
                      </c:pt>
                      <c:pt idx="1">
                        <c:v>INSTALAÇÕES E EQUIPAMENTOS REFERENTES À ARQUITETURA</c:v>
                      </c:pt>
                      <c:pt idx="2">
                        <c:v>SISTEMAS CONSTRUTIVOS E ESTRUTURAIS</c:v>
                      </c:pt>
                      <c:pt idx="3">
                        <c:v>ARQUITETURA DE INTERIORES</c:v>
                      </c:pt>
                      <c:pt idx="4">
                        <c:v>CONFORTO AMBIENTAL</c:v>
                      </c:pt>
                      <c:pt idx="5">
                        <c:v>INSTALAÇÕES E EQUIPAMENTOS REFERENTES AO URBANISMO</c:v>
                      </c:pt>
                      <c:pt idx="6">
                        <c:v>URBANISMO E DESENHO URBANO</c:v>
                      </c:pt>
                      <c:pt idx="7">
                        <c:v>ARQUITETURA PAISAGÍSTICA</c:v>
                      </c:pt>
                      <c:pt idx="8">
                        <c:v>PATRIMÔNIO ARQUITETÔNICO,   URBANÍSTICO E PAISAGÍSTICO</c:v>
                      </c:pt>
                    </c:strCache>
                  </c:strRef>
                </c:cat>
                <c:val>
                  <c:numRef>
                    <c:extLst xmlns:c16r2="http://schemas.microsoft.com/office/drawing/2015/06/chart">
                      <c:ext uri="{02D57815-91ED-43cb-92C2-25804820EDAC}">
                        <c15:formulaRef>
                          <c15:sqref>'2 - Execução '!$AR$20:$AR$28</c15:sqref>
                        </c15:formulaRef>
                      </c:ext>
                    </c:extLst>
                    <c:numCache>
                      <c:formatCode>0.0%</c:formatCode>
                      <c:ptCount val="9"/>
                      <c:pt idx="0">
                        <c:v>0.50221065007344379</c:v>
                      </c:pt>
                      <c:pt idx="1">
                        <c:v>0.21747380116595863</c:v>
                      </c:pt>
                      <c:pt idx="2">
                        <c:v>0.13098992738237875</c:v>
                      </c:pt>
                      <c:pt idx="3">
                        <c:v>0.11735207726375907</c:v>
                      </c:pt>
                      <c:pt idx="4">
                        <c:v>1.4978422804508337E-2</c:v>
                      </c:pt>
                      <c:pt idx="5">
                        <c:v>8.7688083033921633E-3</c:v>
                      </c:pt>
                      <c:pt idx="6">
                        <c:v>5.3581051308268643E-3</c:v>
                      </c:pt>
                      <c:pt idx="7">
                        <c:v>1.9438676691412647E-3</c:v>
                      </c:pt>
                      <c:pt idx="8">
                        <c:v>9.2434020659105747E-4</c:v>
                      </c:pt>
                    </c:numCache>
                  </c:numRef>
                </c:val>
                <c:extLst xmlns:c16r2="http://schemas.microsoft.com/office/drawing/2015/06/chart">
                  <c:ext xmlns:c16="http://schemas.microsoft.com/office/drawing/2014/chart" uri="{C3380CC4-5D6E-409C-BE32-E72D297353CC}">
                    <c16:uniqueId val="{0000000A-59DC-4AF8-9CB1-08BB7CA5D4E5}"/>
                  </c:ext>
                </c:extLst>
              </c15:ser>
            </c15:filteredBarSeries>
          </c:ext>
        </c:extLst>
      </c:barChart>
      <c:catAx>
        <c:axId val="4524458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ysClr val="windowText" lastClr="000000"/>
                </a:solidFill>
                <a:latin typeface="+mn-lt"/>
                <a:ea typeface="+mn-ea"/>
                <a:cs typeface="+mn-cs"/>
              </a:defRPr>
            </a:pPr>
            <a:endParaRPr lang="pt-BR"/>
          </a:p>
        </c:txPr>
        <c:crossAx val="452446248"/>
        <c:crosses val="autoZero"/>
        <c:auto val="1"/>
        <c:lblAlgn val="ctr"/>
        <c:lblOffset val="100"/>
        <c:tickLblSkip val="1"/>
        <c:noMultiLvlLbl val="0"/>
      </c:catAx>
      <c:valAx>
        <c:axId val="452446248"/>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pt-BR"/>
          </a:p>
        </c:txPr>
        <c:crossAx val="45244585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pt-BR"/>
          </a:p>
        </c:txPr>
      </c:dTable>
      <c:spPr>
        <a:solidFill>
          <a:sysClr val="window" lastClr="FFFFFF"/>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1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93887628453224E-2"/>
          <c:y val="3.0231744314140482E-2"/>
          <c:w val="0.95137300369233502"/>
          <c:h val="0.87923174844935492"/>
        </c:manualLayout>
      </c:layout>
      <c:barChart>
        <c:barDir val="col"/>
        <c:grouping val="clustered"/>
        <c:varyColors val="0"/>
        <c:ser>
          <c:idx val="0"/>
          <c:order val="0"/>
          <c:tx>
            <c:v>Qtde</c:v>
          </c:tx>
          <c:spPr>
            <a:solidFill>
              <a:srgbClr val="4BACC6">
                <a:lumMod val="60000"/>
                <a:lumOff val="40000"/>
              </a:srgbClr>
            </a:solidFill>
            <a:ln w="25400" cap="rnd" cmpd="sng" algn="ctr">
              <a:noFill/>
              <a:round/>
            </a:ln>
            <a:effectLst>
              <a:softEdge rad="38100"/>
            </a:effectLst>
            <a:scene3d>
              <a:camera prst="orthographicFront"/>
              <a:lightRig rig="threePt" dir="t"/>
            </a:scene3d>
            <a:sp3d prstMaterial="softEdge">
              <a:bevelT w="203200" h="196850"/>
              <a:bevelB w="139700" h="120650"/>
            </a:sp3d>
          </c:spPr>
          <c:invertIfNegative val="0"/>
          <c:dLbls>
            <c:dLbl>
              <c:idx val="0"/>
              <c:tx>
                <c:rich>
                  <a:bodyPr/>
                  <a:lstStyle/>
                  <a:p>
                    <a:fld id="{350D833F-1022-48B8-B8E2-C72C32341D76}"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29C3-4324-A49A-6410F4B5A20F}"/>
                </c:ext>
                <c:ext xmlns:c15="http://schemas.microsoft.com/office/drawing/2012/chart" uri="{CE6537A1-D6FC-4f65-9D91-7224C49458BB}">
                  <c15:dlblFieldTable/>
                  <c15:showDataLabelsRange val="1"/>
                </c:ext>
              </c:extLst>
            </c:dLbl>
            <c:dLbl>
              <c:idx val="1"/>
              <c:tx>
                <c:rich>
                  <a:bodyPr/>
                  <a:lstStyle/>
                  <a:p>
                    <a:fld id="{443C67E4-632D-4937-AF59-0F3EC3B5B25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43C9F87-ECB2-44D7-87D9-54D8261452C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5D0E1DC-E16B-49D1-8990-35C70F79902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45A3CE1-47E4-48B4-9341-46CE58BA2593}"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6CC0503-563F-43EA-97C1-B9E831C13B1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04F1112A-0271-4175-AF25-15A37EDFC23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'3 - Gestão'!$AH$18:$AH$24</c:f>
              <c:strCache>
                <c:ptCount val="7"/>
                <c:pt idx="0">
                  <c:v>DIREÇÃO OU CONDUÇÃO DE OBRA OU SERVIÇO TÉCNICO</c:v>
                </c:pt>
                <c:pt idx="1">
                  <c:v>FISCALIZAÇÃO DE OBRA OU SERVIÇO TÉCNICO</c:v>
                </c:pt>
                <c:pt idx="2">
                  <c:v>DESEMPENHO DE CARGO OU FUNÇÃO TÉCNICA</c:v>
                </c:pt>
                <c:pt idx="3">
                  <c:v>ACOMPANHAMENTO DE OBRA OU SERVIÇO TÉCNICO</c:v>
                </c:pt>
                <c:pt idx="4">
                  <c:v>COORDENAÇÃO E COMPATIBILIZAÇÃO DE PROJETOS</c:v>
                </c:pt>
                <c:pt idx="5">
                  <c:v>SUPERVISÃO DE OBRA OU SERVIÇO TÉCNICO</c:v>
                </c:pt>
                <c:pt idx="6">
                  <c:v>GERENCIAMENTO DE OBRA OU SERVIÇO TÉCNICO</c:v>
                </c:pt>
              </c:strCache>
            </c:strRef>
          </c:cat>
          <c:val>
            <c:numRef>
              <c:f>'3 - Gestão'!$AI$18:$AI$24</c:f>
              <c:numCache>
                <c:formatCode>_(* #,##0_);_(* \(#,##0\);_(* "-"??_);_(@_)</c:formatCode>
                <c:ptCount val="7"/>
                <c:pt idx="0">
                  <c:v>7950.887999333826</c:v>
                </c:pt>
                <c:pt idx="1">
                  <c:v>4741.424913598099</c:v>
                </c:pt>
                <c:pt idx="2">
                  <c:v>4264.0933335084046</c:v>
                </c:pt>
                <c:pt idx="3">
                  <c:v>2289.2807990400743</c:v>
                </c:pt>
                <c:pt idx="4">
                  <c:v>2256.6185249583291</c:v>
                </c:pt>
                <c:pt idx="5">
                  <c:v>2248.9713905314002</c:v>
                </c:pt>
                <c:pt idx="6">
                  <c:v>1341.5517192505968</c:v>
                </c:pt>
              </c:numCache>
            </c:numRef>
          </c:val>
          <c:extLst xmlns:c16r2="http://schemas.microsoft.com/office/drawing/2015/06/chart">
            <c:ext xmlns:c16="http://schemas.microsoft.com/office/drawing/2014/chart" uri="{C3380CC4-5D6E-409C-BE32-E72D297353CC}">
              <c16:uniqueId val="{00000007-29C3-4324-A49A-6410F4B5A20F}"/>
            </c:ext>
            <c:ext xmlns:c15="http://schemas.microsoft.com/office/drawing/2012/chart" uri="{02D57815-91ED-43cb-92C2-25804820EDAC}">
              <c15:datalabelsRange>
                <c15:f>'3 - Gestão'!$AJ$18:$AJ$24</c15:f>
                <c15:dlblRangeCache>
                  <c:ptCount val="7"/>
                  <c:pt idx="0">
                    <c:v>31,7%</c:v>
                  </c:pt>
                  <c:pt idx="1">
                    <c:v>18,9%</c:v>
                  </c:pt>
                  <c:pt idx="2">
                    <c:v>17,0%</c:v>
                  </c:pt>
                  <c:pt idx="3">
                    <c:v>9,1%</c:v>
                  </c:pt>
                  <c:pt idx="4">
                    <c:v>9,0%</c:v>
                  </c:pt>
                  <c:pt idx="5">
                    <c:v>9,0%</c:v>
                  </c:pt>
                  <c:pt idx="6">
                    <c:v>5,3%</c:v>
                  </c:pt>
                </c15:dlblRangeCache>
              </c15:datalabelsRange>
            </c:ext>
          </c:extLst>
        </c:ser>
        <c:dLbls>
          <c:showLegendKey val="0"/>
          <c:showVal val="0"/>
          <c:showCatName val="0"/>
          <c:showSerName val="0"/>
          <c:showPercent val="0"/>
          <c:showBubbleSize val="0"/>
        </c:dLbls>
        <c:gapWidth val="80"/>
        <c:overlap val="100"/>
        <c:axId val="452445072"/>
        <c:axId val="452443896"/>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xmlns:c16r2="http://schemas.microsoft.com/office/drawing/2015/06/chart">
                      <c:ext uri="{02D57815-91ED-43cb-92C2-25804820EDAC}">
                        <c15:formulaRef>
                          <c15:sqref>'3 - Gestão'!$AH$18:$AH$24</c15:sqref>
                        </c15:formulaRef>
                      </c:ext>
                    </c:extLst>
                    <c:strCache>
                      <c:ptCount val="7"/>
                      <c:pt idx="0">
                        <c:v>DIREÇÃO OU CONDUÇÃO DE OBRA OU SERVIÇO TÉCNICO</c:v>
                      </c:pt>
                      <c:pt idx="1">
                        <c:v>FISCALIZAÇÃO DE OBRA OU SERVIÇO TÉCNICO</c:v>
                      </c:pt>
                      <c:pt idx="2">
                        <c:v>DESEMPENHO DE CARGO OU FUNÇÃO TÉCNICA</c:v>
                      </c:pt>
                      <c:pt idx="3">
                        <c:v>ACOMPANHAMENTO DE OBRA OU SERVIÇO TÉCNICO</c:v>
                      </c:pt>
                      <c:pt idx="4">
                        <c:v>COORDENAÇÃO E COMPATIBILIZAÇÃO DE PROJETOS</c:v>
                      </c:pt>
                      <c:pt idx="5">
                        <c:v>SUPERVISÃO DE OBRA OU SERVIÇO TÉCNICO</c:v>
                      </c:pt>
                      <c:pt idx="6">
                        <c:v>GERENCIAMENTO DE OBRA OU SERVIÇO TÉCNICO</c:v>
                      </c:pt>
                    </c:strCache>
                  </c:strRef>
                </c:cat>
                <c:val>
                  <c:numRef>
                    <c:extLst xmlns:c16r2="http://schemas.microsoft.com/office/drawing/2015/06/chart">
                      <c:ext uri="{02D57815-91ED-43cb-92C2-25804820EDAC}">
                        <c15:formulaRef>
                          <c15:sqref>'3 - Gestão'!$AJ$18:$AJ$24</c15:sqref>
                        </c15:formulaRef>
                      </c:ext>
                    </c:extLst>
                    <c:numCache>
                      <c:formatCode>0.0%</c:formatCode>
                      <c:ptCount val="7"/>
                      <c:pt idx="0">
                        <c:v>0.31685897595120732</c:v>
                      </c:pt>
                      <c:pt idx="1">
                        <c:v>0.18895537741169446</c:v>
                      </c:pt>
                      <c:pt idx="2">
                        <c:v>0.1699327480312951</c:v>
                      </c:pt>
                      <c:pt idx="3">
                        <c:v>9.1232472361499284E-2</c:v>
                      </c:pt>
                      <c:pt idx="4">
                        <c:v>8.9930814644946552E-2</c:v>
                      </c:pt>
                      <c:pt idx="5">
                        <c:v>8.9626060863522261E-2</c:v>
                      </c:pt>
                      <c:pt idx="6">
                        <c:v>5.346355073583501E-2</c:v>
                      </c:pt>
                    </c:numCache>
                  </c:numRef>
                </c:val>
                <c:extLst xmlns:c16r2="http://schemas.microsoft.com/office/drawing/2015/06/chart">
                  <c:ext xmlns:c16="http://schemas.microsoft.com/office/drawing/2014/chart" uri="{C3380CC4-5D6E-409C-BE32-E72D297353CC}">
                    <c16:uniqueId val="{00000008-29C3-4324-A49A-6410F4B5A20F}"/>
                  </c:ext>
                </c:extLst>
              </c15:ser>
            </c15:filteredBarSeries>
          </c:ext>
        </c:extLst>
      </c:barChart>
      <c:catAx>
        <c:axId val="45244507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3896"/>
        <c:crosses val="autoZero"/>
        <c:auto val="1"/>
        <c:lblAlgn val="ctr"/>
        <c:lblOffset val="100"/>
        <c:tickLblSkip val="1"/>
        <c:noMultiLvlLbl val="0"/>
      </c:catAx>
      <c:valAx>
        <c:axId val="45244389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5072"/>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0045053176216185"/>
        </c:manualLayout>
      </c:layout>
      <c:barChart>
        <c:barDir val="col"/>
        <c:grouping val="clustered"/>
        <c:varyColors val="0"/>
        <c:ser>
          <c:idx val="0"/>
          <c:order val="0"/>
          <c:tx>
            <c:v>Qtde</c:v>
          </c:tx>
          <c:spPr>
            <a:solidFill>
              <a:srgbClr val="F8A662"/>
            </a:solidFill>
            <a:ln w="25400" cap="rnd" cmpd="sng" algn="ctr">
              <a:noFill/>
              <a:round/>
            </a:ln>
            <a:effectLst>
              <a:softEdge rad="38100"/>
            </a:effectLst>
            <a:scene3d>
              <a:camera prst="orthographicFront"/>
              <a:lightRig rig="threePt" dir="t"/>
            </a:scene3d>
            <a:sp3d>
              <a:bevelT w="190500" h="203200"/>
              <a:bevelB w="190500" h="184150"/>
            </a:sp3d>
          </c:spPr>
          <c:invertIfNegative val="0"/>
          <c:dLbls>
            <c:dLbl>
              <c:idx val="0"/>
              <c:tx>
                <c:rich>
                  <a:bodyPr/>
                  <a:lstStyle/>
                  <a:p>
                    <a:fld id="{98E89969-8F19-4241-AD65-69AB0A09F381}"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A22-4CC1-A5A2-D8CD405AE8A3}"/>
                </c:ext>
                <c:ext xmlns:c15="http://schemas.microsoft.com/office/drawing/2012/chart" uri="{CE6537A1-D6FC-4f65-9D91-7224C49458BB}">
                  <c15:dlblFieldTable/>
                  <c15:showDataLabelsRange val="1"/>
                </c:ext>
              </c:extLst>
            </c:dLbl>
            <c:dLbl>
              <c:idx val="1"/>
              <c:tx>
                <c:rich>
                  <a:bodyPr/>
                  <a:lstStyle/>
                  <a:p>
                    <a:fld id="{4EA15F55-42D6-43E5-A972-5AD1109600B4}"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28DB5F3-36B3-4966-83EA-81BBCA53DA5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843E2AB-1E4F-4E03-BC88-B74B9747372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'4 - Meio Amb. e Plan. '!$V$15:$V$18</c:f>
              <c:strCache>
                <c:ptCount val="4"/>
                <c:pt idx="0">
                  <c:v>GEORREFERENCIAMENTO E TOPOGRAFIA</c:v>
                </c:pt>
                <c:pt idx="1">
                  <c:v>MEIO AMBIENTE</c:v>
                </c:pt>
                <c:pt idx="2">
                  <c:v>PLANEJAMENTO URBANO</c:v>
                </c:pt>
                <c:pt idx="3">
                  <c:v>PLANEJAMENTO REGIONAL</c:v>
                </c:pt>
              </c:strCache>
            </c:strRef>
          </c:cat>
          <c:val>
            <c:numRef>
              <c:f>'4 - Meio Amb. e Plan. '!$W$15:$W$18</c:f>
              <c:numCache>
                <c:formatCode>_(* #,##0_);_(* \(#,##0\);_(* "-"??_);_(@_)</c:formatCode>
                <c:ptCount val="4"/>
                <c:pt idx="0">
                  <c:v>7027.3714703120404</c:v>
                </c:pt>
                <c:pt idx="1">
                  <c:v>5031.4325927235104</c:v>
                </c:pt>
                <c:pt idx="2">
                  <c:v>771.62283791592984</c:v>
                </c:pt>
                <c:pt idx="3">
                  <c:v>155.46128238628978</c:v>
                </c:pt>
              </c:numCache>
            </c:numRef>
          </c:val>
          <c:extLst xmlns:c16r2="http://schemas.microsoft.com/office/drawing/2015/06/chart">
            <c:ext xmlns:c16="http://schemas.microsoft.com/office/drawing/2014/chart" uri="{C3380CC4-5D6E-409C-BE32-E72D297353CC}">
              <c16:uniqueId val="{00000004-DA22-4CC1-A5A2-D8CD405AE8A3}"/>
            </c:ext>
            <c:ext xmlns:c15="http://schemas.microsoft.com/office/drawing/2012/chart" uri="{02D57815-91ED-43cb-92C2-25804820EDAC}">
              <c15:datalabelsRange>
                <c15:f>'4 - Meio Amb. e Plan. '!$X$15:$X$18</c15:f>
                <c15:dlblRangeCache>
                  <c:ptCount val="4"/>
                  <c:pt idx="0">
                    <c:v>54,1%</c:v>
                  </c:pt>
                  <c:pt idx="1">
                    <c:v>38,7%</c:v>
                  </c:pt>
                  <c:pt idx="2">
                    <c:v>5,9%</c:v>
                  </c:pt>
                  <c:pt idx="3">
                    <c:v>1,2%</c:v>
                  </c:pt>
                </c15:dlblRangeCache>
              </c15:datalabelsRange>
            </c:ext>
          </c:extLst>
        </c:ser>
        <c:dLbls>
          <c:showLegendKey val="0"/>
          <c:showVal val="0"/>
          <c:showCatName val="0"/>
          <c:showSerName val="0"/>
          <c:showPercent val="0"/>
          <c:showBubbleSize val="0"/>
        </c:dLbls>
        <c:gapWidth val="155"/>
        <c:overlap val="-60"/>
        <c:axId val="452444288"/>
        <c:axId val="452447424"/>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xmlns:c16r2="http://schemas.microsoft.com/office/drawing/2015/06/chart">
                      <c:ext uri="{02D57815-91ED-43cb-92C2-25804820EDAC}">
                        <c15:formulaRef>
                          <c15:sqref>'4 - Meio Amb. e Plan. '!$V$15:$V$18</c15:sqref>
                        </c15:formulaRef>
                      </c:ext>
                    </c:extLst>
                    <c:strCache>
                      <c:ptCount val="4"/>
                      <c:pt idx="0">
                        <c:v>GEORREFERENCIAMENTO E TOPOGRAFIA</c:v>
                      </c:pt>
                      <c:pt idx="1">
                        <c:v>MEIO AMBIENTE</c:v>
                      </c:pt>
                      <c:pt idx="2">
                        <c:v>PLANEJAMENTO URBANO</c:v>
                      </c:pt>
                      <c:pt idx="3">
                        <c:v>PLANEJAMENTO REGIONAL</c:v>
                      </c:pt>
                    </c:strCache>
                  </c:strRef>
                </c:cat>
                <c:val>
                  <c:numRef>
                    <c:extLst xmlns:c16r2="http://schemas.microsoft.com/office/drawing/2015/06/chart">
                      <c:ext uri="{02D57815-91ED-43cb-92C2-25804820EDAC}">
                        <c15:formulaRef>
                          <c15:sqref>'4 - Meio Amb. e Plan. '!$X$15:$X$18</c15:sqref>
                        </c15:formulaRef>
                      </c:ext>
                    </c:extLst>
                    <c:numCache>
                      <c:formatCode>0.0%</c:formatCode>
                      <c:ptCount val="4"/>
                      <c:pt idx="0">
                        <c:v>0.54115447253957427</c:v>
                      </c:pt>
                      <c:pt idx="1">
                        <c:v>0.38745386697379364</c:v>
                      </c:pt>
                      <c:pt idx="2">
                        <c:v>5.9420104887858295E-2</c:v>
                      </c:pt>
                      <c:pt idx="3">
                        <c:v>1.1971555598773952E-2</c:v>
                      </c:pt>
                    </c:numCache>
                  </c:numRef>
                </c:val>
                <c:extLst xmlns:c16r2="http://schemas.microsoft.com/office/drawing/2015/06/chart">
                  <c:ext xmlns:c16="http://schemas.microsoft.com/office/drawing/2014/chart" uri="{C3380CC4-5D6E-409C-BE32-E72D297353CC}">
                    <c16:uniqueId val="{00000005-DA22-4CC1-A5A2-D8CD405AE8A3}"/>
                  </c:ext>
                </c:extLst>
              </c15:ser>
            </c15:filteredBarSeries>
          </c:ext>
        </c:extLst>
      </c:barChart>
      <c:catAx>
        <c:axId val="4524442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7424"/>
        <c:crosses val="autoZero"/>
        <c:auto val="1"/>
        <c:lblAlgn val="ctr"/>
        <c:lblOffset val="100"/>
        <c:tickLblSkip val="1"/>
        <c:noMultiLvlLbl val="0"/>
      </c:catAx>
      <c:valAx>
        <c:axId val="452447424"/>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4288"/>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74623512104E-2"/>
          <c:y val="2.6573130910466519E-2"/>
          <c:w val="0.90123178385945357"/>
          <c:h val="0.85917129696427075"/>
        </c:manualLayout>
      </c:layout>
      <c:barChart>
        <c:barDir val="col"/>
        <c:grouping val="clustered"/>
        <c:varyColors val="0"/>
        <c:ser>
          <c:idx val="2"/>
          <c:order val="0"/>
          <c:tx>
            <c:v>Qtde</c:v>
          </c:tx>
          <c:spPr>
            <a:solidFill>
              <a:srgbClr val="8064A2">
                <a:lumMod val="60000"/>
                <a:lumOff val="40000"/>
              </a:srgbClr>
            </a:solidFill>
            <a:ln w="9525" cap="flat" cmpd="sng" algn="ctr">
              <a:noFill/>
              <a:round/>
            </a:ln>
            <a:effectLst/>
            <a:scene3d>
              <a:camera prst="orthographicFront"/>
              <a:lightRig rig="threePt" dir="t"/>
            </a:scene3d>
            <a:sp3d>
              <a:bevelT w="215900" h="177800"/>
              <a:bevelB w="184150" h="152400"/>
            </a:sp3d>
          </c:spPr>
          <c:invertIfNegative val="0"/>
          <c:dLbls>
            <c:dLbl>
              <c:idx val="0"/>
              <c:tx>
                <c:rich>
                  <a:bodyPr/>
                  <a:lstStyle/>
                  <a:p>
                    <a:fld id="{F78CAAA6-F0A2-446B-B3BC-E0CF1FD78803}"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918-44E7-A801-73954C3CF80E}"/>
                </c:ext>
                <c:ext xmlns:c15="http://schemas.microsoft.com/office/drawing/2012/chart" uri="{CE6537A1-D6FC-4f65-9D91-7224C49458BB}">
                  <c15:dlblFieldTable/>
                  <c15:showDataLabelsRange val="1"/>
                </c:ext>
              </c:extLst>
            </c:dLbl>
            <c:dLbl>
              <c:idx val="1"/>
              <c:tx>
                <c:rich>
                  <a:bodyPr/>
                  <a:lstStyle/>
                  <a:p>
                    <a:fld id="{9189FA4F-C251-46D3-804A-9E2E9667991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752183A-55C3-45E1-B2A5-C82F25F78908}"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78F18C0-07C8-4FBA-AD43-9DCB951228DA}"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4F6F254-0563-4878-8953-7831E3E7AA7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5FC1C1B-9081-4CAA-8C2A-0FB5E6E5B495}"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F28F76FC-4944-487B-9FEA-EFE6AA5F887D}"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BFCD0F1-5A76-4BF1-8D67-14738E95E911}"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831C3F83-2A81-4D80-880E-DE82F8E97CBE}"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8796AE54-BA12-4D8A-877C-F7FD34B912C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F4B15AA2-02E2-46B8-A6AE-2572B5007037}"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'5 - Atividades Especiais'!$AX$22:$AX$32</c:f>
              <c:strCache>
                <c:ptCount val="11"/>
                <c:pt idx="0">
                  <c:v>LAUDO TÉCNICO</c:v>
                </c:pt>
                <c:pt idx="1">
                  <c:v>VISTORIA</c:v>
                </c:pt>
                <c:pt idx="2">
                  <c:v>AVALIAÇÃO</c:v>
                </c:pt>
                <c:pt idx="3">
                  <c:v>PARECER TÉCNICO</c:v>
                </c:pt>
                <c:pt idx="4">
                  <c:v>MENSURAÇÃO</c:v>
                </c:pt>
                <c:pt idx="5">
                  <c:v>ASSESSORIA</c:v>
                </c:pt>
                <c:pt idx="6">
                  <c:v>CONSULTORIA</c:v>
                </c:pt>
                <c:pt idx="7">
                  <c:v>ASSISTÊNCIA TÉCNICA</c:v>
                </c:pt>
                <c:pt idx="8">
                  <c:v>PERÍCIA</c:v>
                </c:pt>
                <c:pt idx="9">
                  <c:v>AUDITORIA</c:v>
                </c:pt>
                <c:pt idx="10">
                  <c:v>ARBITRAGEM</c:v>
                </c:pt>
              </c:strCache>
            </c:strRef>
          </c:cat>
          <c:val>
            <c:numRef>
              <c:f>'5 - Atividades Especiais'!$AY$22:$AY$32</c:f>
              <c:numCache>
                <c:formatCode>_(* #,##0_);_(* \(#,##0\);_(* "-"??_);_(@_)</c:formatCode>
                <c:ptCount val="11"/>
                <c:pt idx="0">
                  <c:v>37773.649500958236</c:v>
                </c:pt>
                <c:pt idx="1">
                  <c:v>17028.984978176784</c:v>
                </c:pt>
                <c:pt idx="2">
                  <c:v>7687.7060738849668</c:v>
                </c:pt>
                <c:pt idx="3">
                  <c:v>3782.8606194426466</c:v>
                </c:pt>
                <c:pt idx="4">
                  <c:v>2787.9999294266645</c:v>
                </c:pt>
                <c:pt idx="5">
                  <c:v>2358.9899302250669</c:v>
                </c:pt>
                <c:pt idx="6">
                  <c:v>1420.3574608467077</c:v>
                </c:pt>
                <c:pt idx="7">
                  <c:v>1253.5545022460467</c:v>
                </c:pt>
                <c:pt idx="8">
                  <c:v>552.89261745756937</c:v>
                </c:pt>
                <c:pt idx="9">
                  <c:v>41.880194861733209</c:v>
                </c:pt>
                <c:pt idx="10">
                  <c:v>15.20693778798309</c:v>
                </c:pt>
              </c:numCache>
            </c:numRef>
          </c:val>
          <c:extLst xmlns:c16r2="http://schemas.microsoft.com/office/drawing/2015/06/chart">
            <c:ext xmlns:c16="http://schemas.microsoft.com/office/drawing/2014/chart" uri="{C3380CC4-5D6E-409C-BE32-E72D297353CC}">
              <c16:uniqueId val="{0000000B-1918-44E7-A801-73954C3CF80E}"/>
            </c:ext>
            <c:ext xmlns:c15="http://schemas.microsoft.com/office/drawing/2012/chart" uri="{02D57815-91ED-43cb-92C2-25804820EDAC}">
              <c15:datalabelsRange>
                <c15:f>'5 - Atividades Especiais'!$AZ$22:$AZ$32</c15:f>
                <c15:dlblRangeCache>
                  <c:ptCount val="11"/>
                  <c:pt idx="0">
                    <c:v>50,56%</c:v>
                  </c:pt>
                  <c:pt idx="1">
                    <c:v>22,80%</c:v>
                  </c:pt>
                  <c:pt idx="2">
                    <c:v>10,29%</c:v>
                  </c:pt>
                  <c:pt idx="3">
                    <c:v>5,06%</c:v>
                  </c:pt>
                  <c:pt idx="4">
                    <c:v>3,73%</c:v>
                  </c:pt>
                  <c:pt idx="5">
                    <c:v>3,16%</c:v>
                  </c:pt>
                  <c:pt idx="6">
                    <c:v>1,90%</c:v>
                  </c:pt>
                  <c:pt idx="7">
                    <c:v>1,68%</c:v>
                  </c:pt>
                  <c:pt idx="8">
                    <c:v>0,74%</c:v>
                  </c:pt>
                  <c:pt idx="9">
                    <c:v>0,06%</c:v>
                  </c:pt>
                  <c:pt idx="10">
                    <c:v>0,02%</c:v>
                  </c:pt>
                </c15:dlblRangeCache>
              </c15:datalabelsRange>
            </c:ext>
          </c:extLst>
        </c:ser>
        <c:dLbls>
          <c:showLegendKey val="0"/>
          <c:showVal val="0"/>
          <c:showCatName val="0"/>
          <c:showSerName val="0"/>
          <c:showPercent val="0"/>
          <c:showBubbleSize val="0"/>
        </c:dLbls>
        <c:gapWidth val="80"/>
        <c:overlap val="100"/>
        <c:axId val="452448208"/>
        <c:axId val="452448600"/>
        <c:extLst xmlns:c16r2="http://schemas.microsoft.com/office/drawing/2015/06/char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xmlns:c16r2="http://schemas.microsoft.com/office/drawing/2015/06/chart">
                      <c:ext uri="{02D57815-91ED-43cb-92C2-25804820EDAC}">
                        <c15:formulaRef>
                          <c15:sqref>'5 - Atividades Especiais'!$AX$22:$AX$32</c15:sqref>
                        </c15:formulaRef>
                      </c:ext>
                    </c:extLst>
                    <c:strCache>
                      <c:ptCount val="11"/>
                      <c:pt idx="0">
                        <c:v>LAUDO TÉCNICO</c:v>
                      </c:pt>
                      <c:pt idx="1">
                        <c:v>VISTORIA</c:v>
                      </c:pt>
                      <c:pt idx="2">
                        <c:v>AVALIAÇÃO</c:v>
                      </c:pt>
                      <c:pt idx="3">
                        <c:v>PARECER TÉCNICO</c:v>
                      </c:pt>
                      <c:pt idx="4">
                        <c:v>MENSURAÇÃO</c:v>
                      </c:pt>
                      <c:pt idx="5">
                        <c:v>ASSESSORIA</c:v>
                      </c:pt>
                      <c:pt idx="6">
                        <c:v>CONSULTORIA</c:v>
                      </c:pt>
                      <c:pt idx="7">
                        <c:v>ASSISTÊNCIA TÉCNICA</c:v>
                      </c:pt>
                      <c:pt idx="8">
                        <c:v>PERÍCIA</c:v>
                      </c:pt>
                      <c:pt idx="9">
                        <c:v>AUDITORIA</c:v>
                      </c:pt>
                      <c:pt idx="10">
                        <c:v>ARBITRAGEM</c:v>
                      </c:pt>
                    </c:strCache>
                  </c:strRef>
                </c:cat>
                <c:val>
                  <c:numRef>
                    <c:extLst xmlns:c16r2="http://schemas.microsoft.com/office/drawing/2015/06/chart">
                      <c:ext uri="{02D57815-91ED-43cb-92C2-25804820EDAC}">
                        <c15:formulaRef>
                          <c15:sqref>'5 - Atividades Especiais'!$AZ$22:$AZ$32</c15:sqref>
                        </c15:formulaRef>
                      </c:ext>
                    </c:extLst>
                    <c:numCache>
                      <c:formatCode>0.00%</c:formatCode>
                      <c:ptCount val="11"/>
                      <c:pt idx="0">
                        <c:v>0.50564370932360425</c:v>
                      </c:pt>
                      <c:pt idx="1">
                        <c:v>0.22795253421734676</c:v>
                      </c:pt>
                      <c:pt idx="2">
                        <c:v>0.10290878077031414</c:v>
                      </c:pt>
                      <c:pt idx="3">
                        <c:v>5.0637936782376401E-2</c:v>
                      </c:pt>
                      <c:pt idx="4">
                        <c:v>3.7320583119020138E-2</c:v>
                      </c:pt>
                      <c:pt idx="5">
                        <c:v>3.157779124693192E-2</c:v>
                      </c:pt>
                      <c:pt idx="6">
                        <c:v>1.901311693617971E-2</c:v>
                      </c:pt>
                      <c:pt idx="7">
                        <c:v>1.6780267639718422E-2</c:v>
                      </c:pt>
                      <c:pt idx="8">
                        <c:v>7.4011030875316911E-3</c:v>
                      </c:pt>
                      <c:pt idx="9">
                        <c:v>5.6061453835814644E-4</c:v>
                      </c:pt>
                      <c:pt idx="10">
                        <c:v>2.0356233861845927E-4</c:v>
                      </c:pt>
                    </c:numCache>
                  </c:numRef>
                </c:val>
                <c:extLst xmlns:c16r2="http://schemas.microsoft.com/office/drawing/2015/06/chart">
                  <c:ext xmlns:c16="http://schemas.microsoft.com/office/drawing/2014/chart" uri="{C3380CC4-5D6E-409C-BE32-E72D297353CC}">
                    <c16:uniqueId val="{0000000C-1918-44E7-A801-73954C3CF80E}"/>
                  </c:ext>
                </c:extLst>
              </c15:ser>
            </c15:filteredBarSeries>
          </c:ext>
        </c:extLst>
      </c:barChart>
      <c:catAx>
        <c:axId val="4524482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452448600"/>
        <c:crosses val="autoZero"/>
        <c:auto val="1"/>
        <c:lblAlgn val="ctr"/>
        <c:lblOffset val="100"/>
        <c:tickLblSkip val="1"/>
        <c:noMultiLvlLbl val="0"/>
      </c:catAx>
      <c:valAx>
        <c:axId val="452448600"/>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8208"/>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v>Qtde</c:v>
          </c:tx>
          <c:spPr>
            <a:solidFill>
              <a:srgbClr val="6599D9"/>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1E6B02D3-E57E-4821-A788-832FD8145CEE}"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B7EE-4043-A77A-B516B5774E82}"/>
                </c:ext>
                <c:ext xmlns:c15="http://schemas.microsoft.com/office/drawing/2012/chart" uri="{CE6537A1-D6FC-4f65-9D91-7224C49458BB}">
                  <c15:dlblFieldTable/>
                  <c15:showDataLabelsRange val="1"/>
                </c:ext>
              </c:extLst>
            </c:dLbl>
            <c:dLbl>
              <c:idx val="1"/>
              <c:tx>
                <c:rich>
                  <a:bodyPr/>
                  <a:lstStyle/>
                  <a:p>
                    <a:fld id="{648ACF30-3BDC-4C77-8BA7-5BA7F89CBFD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7761D59-B36A-4725-B9BD-FB0EB8106E1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'6 - Ensino e Pesquisa '!$R$15:$R$17</c:f>
              <c:strCache>
                <c:ptCount val="3"/>
                <c:pt idx="0">
                  <c:v>ENSINO</c:v>
                </c:pt>
                <c:pt idx="1">
                  <c:v>TECNOL. DA CONSTR. E CONTR. DE QUAL.</c:v>
                </c:pt>
                <c:pt idx="2">
                  <c:v>PESQUISA</c:v>
                </c:pt>
              </c:strCache>
            </c:strRef>
          </c:cat>
          <c:val>
            <c:numRef>
              <c:f>'6 - Ensino e Pesquisa '!$S$15:$S$17</c:f>
              <c:numCache>
                <c:formatCode>#,##0</c:formatCode>
                <c:ptCount val="3"/>
                <c:pt idx="0">
                  <c:v>118.43809094447649</c:v>
                </c:pt>
                <c:pt idx="1">
                  <c:v>99.147323250579632</c:v>
                </c:pt>
                <c:pt idx="2">
                  <c:v>16.013388330221012</c:v>
                </c:pt>
              </c:numCache>
            </c:numRef>
          </c:val>
          <c:extLst xmlns:c16r2="http://schemas.microsoft.com/office/drawing/2015/06/chart">
            <c:ext xmlns:c16="http://schemas.microsoft.com/office/drawing/2014/chart" uri="{C3380CC4-5D6E-409C-BE32-E72D297353CC}">
              <c16:uniqueId val="{00000003-B7EE-4043-A77A-B516B5774E82}"/>
            </c:ext>
            <c:ext xmlns:c15="http://schemas.microsoft.com/office/drawing/2012/chart" uri="{02D57815-91ED-43cb-92C2-25804820EDAC}">
              <c15:datalabelsRange>
                <c15:f>'6 - Ensino e Pesquisa '!$T$15:$T$17</c15:f>
                <c15:dlblRangeCache>
                  <c:ptCount val="3"/>
                  <c:pt idx="0">
                    <c:v>50,7%</c:v>
                  </c:pt>
                  <c:pt idx="1">
                    <c:v>42,4%</c:v>
                  </c:pt>
                  <c:pt idx="2">
                    <c:v>6,9%</c:v>
                  </c:pt>
                </c15:dlblRangeCache>
              </c15:datalabelsRange>
            </c:ext>
          </c:extLst>
        </c:ser>
        <c:dLbls>
          <c:showLegendKey val="0"/>
          <c:showVal val="0"/>
          <c:showCatName val="0"/>
          <c:showSerName val="0"/>
          <c:showPercent val="0"/>
          <c:showBubbleSize val="0"/>
        </c:dLbls>
        <c:gapWidth val="149"/>
        <c:overlap val="-60"/>
        <c:axId val="452448992"/>
        <c:axId val="452449384"/>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xmlns:c16r2="http://schemas.microsoft.com/office/drawing/2015/06/chart">
                      <c:ext uri="{02D57815-91ED-43cb-92C2-25804820EDAC}">
                        <c15:formulaRef>
                          <c15:sqref>'6 - Ensino e Pesquisa '!$R$15:$R$17</c15:sqref>
                        </c15:formulaRef>
                      </c:ext>
                    </c:extLst>
                    <c:strCache>
                      <c:ptCount val="3"/>
                      <c:pt idx="0">
                        <c:v>ENSINO</c:v>
                      </c:pt>
                      <c:pt idx="1">
                        <c:v>TECNOL. DA CONSTR. E CONTR. DE QUAL.</c:v>
                      </c:pt>
                      <c:pt idx="2">
                        <c:v>PESQUISA</c:v>
                      </c:pt>
                    </c:strCache>
                  </c:strRef>
                </c:cat>
                <c:val>
                  <c:numRef>
                    <c:extLst xmlns:c16r2="http://schemas.microsoft.com/office/drawing/2015/06/chart">
                      <c:ext uri="{02D57815-91ED-43cb-92C2-25804820EDAC}">
                        <c15:formulaRef>
                          <c15:sqref>'6 - Ensino e Pesquisa '!$T$15:$T$17</c15:sqref>
                        </c15:formulaRef>
                      </c:ext>
                    </c:extLst>
                    <c:numCache>
                      <c:formatCode>0.0%</c:formatCode>
                      <c:ptCount val="3"/>
                      <c:pt idx="0">
                        <c:v>0.50701497466649303</c:v>
                      </c:pt>
                      <c:pt idx="1">
                        <c:v>0.42443421018757643</c:v>
                      </c:pt>
                      <c:pt idx="2">
                        <c:v>6.8550815145930574E-2</c:v>
                      </c:pt>
                    </c:numCache>
                  </c:numRef>
                </c:val>
                <c:extLst xmlns:c16r2="http://schemas.microsoft.com/office/drawing/2015/06/chart">
                  <c:ext xmlns:c16="http://schemas.microsoft.com/office/drawing/2014/chart" uri="{C3380CC4-5D6E-409C-BE32-E72D297353CC}">
                    <c16:uniqueId val="{00000004-B7EE-4043-A77A-B516B5774E82}"/>
                  </c:ext>
                </c:extLst>
              </c15:ser>
            </c15:filteredBarSeries>
          </c:ext>
        </c:extLst>
      </c:barChart>
      <c:catAx>
        <c:axId val="45244899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452449384"/>
        <c:crosses val="autoZero"/>
        <c:auto val="1"/>
        <c:lblAlgn val="ctr"/>
        <c:lblOffset val="100"/>
        <c:tickLblSkip val="1"/>
        <c:noMultiLvlLbl val="0"/>
      </c:catAx>
      <c:valAx>
        <c:axId val="452449384"/>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2448992"/>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strRef>
              <c:f>'7 - Eng. Segurança '!$AM$18</c:f>
              <c:strCache>
                <c:ptCount val="1"/>
                <c:pt idx="0">
                  <c:v>Qtde</c:v>
                </c:pt>
              </c:strCache>
            </c:strRef>
          </c:tx>
          <c:spPr>
            <a:solidFill>
              <a:srgbClr val="ABC674"/>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0B41038C-E87A-4F2F-9F29-4614C27A0750}"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CF30-4320-A7EC-A386BC8B3B81}"/>
                </c:ext>
                <c:ext xmlns:c15="http://schemas.microsoft.com/office/drawing/2012/chart" uri="{CE6537A1-D6FC-4f65-9D91-7224C49458BB}">
                  <c15:dlblFieldTable/>
                  <c15:showDataLabelsRange val="1"/>
                </c:ext>
              </c:extLst>
            </c:dLbl>
            <c:dLbl>
              <c:idx val="1"/>
              <c:tx>
                <c:rich>
                  <a:bodyPr/>
                  <a:lstStyle/>
                  <a:p>
                    <a:fld id="{CF96C917-07B5-4D73-AFFE-ECA5E0E3717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915B21E2-F891-40CF-96B2-89CBE4AB3C6F}"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D6AFD83-10B8-4808-94E3-DA9E564128E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63A2555-C55F-4B88-82A5-B57119575BA9}"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06C66BD-FC3C-431D-9720-616AF9B4496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8B23E038-E610-42DB-88DD-32518E2316B2}"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D402A7A0-A210-4F1F-8DE8-7F23E5BEAD8C}"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'7 - Eng. Segurança '!$AL$19:$AL$26</c:f>
              <c:strCache>
                <c:ptCount val="8"/>
                <c:pt idx="0">
                  <c:v>PLANOS</c:v>
                </c:pt>
                <c:pt idx="1">
                  <c:v>PROGRAMAS</c:v>
                </c:pt>
                <c:pt idx="2">
                  <c:v>AVALIAÇÃO DE RISCOS</c:v>
                </c:pt>
                <c:pt idx="3">
                  <c:v>MAPA DE RISCO DAS COND. E MEIO AMB. DE TRAB.</c:v>
                </c:pt>
                <c:pt idx="4">
                  <c:v>RELAT. PARA FINS JUDICIAIS</c:v>
                </c:pt>
                <c:pt idx="5">
                  <c:v>LAUDO DE INSP. SOBRE ATIV. INSAL.</c:v>
                </c:pt>
                <c:pt idx="6">
                  <c:v>LAUDO TÉC. DE COND. DO TRAB. - LTCAT</c:v>
                </c:pt>
                <c:pt idx="7">
                  <c:v>OUTRAS ATIVIDADES</c:v>
                </c:pt>
              </c:strCache>
            </c:strRef>
          </c:cat>
          <c:val>
            <c:numRef>
              <c:f>'7 - Eng. Segurança '!$AM$19:$AM$26</c:f>
              <c:numCache>
                <c:formatCode>_(* #,##0_);_(* \(#,##0\);_(* "-"??_);_(@_)</c:formatCode>
                <c:ptCount val="8"/>
                <c:pt idx="0">
                  <c:v>276.89953134915186</c:v>
                </c:pt>
                <c:pt idx="1">
                  <c:v>1132.1184379386589</c:v>
                </c:pt>
                <c:pt idx="2">
                  <c:v>322.61757631044179</c:v>
                </c:pt>
                <c:pt idx="3">
                  <c:v>29.70646159549338</c:v>
                </c:pt>
                <c:pt idx="4">
                  <c:v>97.977111959999561</c:v>
                </c:pt>
                <c:pt idx="5">
                  <c:v>264.39297839368498</c:v>
                </c:pt>
                <c:pt idx="6">
                  <c:v>803.77575614179682</c:v>
                </c:pt>
                <c:pt idx="7">
                  <c:v>2373.2638777023953</c:v>
                </c:pt>
              </c:numCache>
            </c:numRef>
          </c:val>
          <c:extLst xmlns:c16r2="http://schemas.microsoft.com/office/drawing/2015/06/chart">
            <c:ext xmlns:c16="http://schemas.microsoft.com/office/drawing/2014/chart" uri="{C3380CC4-5D6E-409C-BE32-E72D297353CC}">
              <c16:uniqueId val="{00000008-CF30-4320-A7EC-A386BC8B3B81}"/>
            </c:ext>
            <c:ext xmlns:c15="http://schemas.microsoft.com/office/drawing/2012/chart" uri="{02D57815-91ED-43cb-92C2-25804820EDAC}">
              <c15:datalabelsRange>
                <c15:f>'7 - Eng. Segurança '!$AN$19:$AN$26</c15:f>
                <c15:dlblRangeCache>
                  <c:ptCount val="8"/>
                  <c:pt idx="0">
                    <c:v>5,2%</c:v>
                  </c:pt>
                  <c:pt idx="1">
                    <c:v>21,4%</c:v>
                  </c:pt>
                  <c:pt idx="2">
                    <c:v>6,1%</c:v>
                  </c:pt>
                  <c:pt idx="3">
                    <c:v>0,6%</c:v>
                  </c:pt>
                  <c:pt idx="4">
                    <c:v>1,8%</c:v>
                  </c:pt>
                  <c:pt idx="5">
                    <c:v>5,0%</c:v>
                  </c:pt>
                  <c:pt idx="6">
                    <c:v>15,2%</c:v>
                  </c:pt>
                  <c:pt idx="7">
                    <c:v>44,8%</c:v>
                  </c:pt>
                </c15:dlblRangeCache>
              </c15:datalabelsRange>
            </c:ext>
          </c:extLst>
        </c:ser>
        <c:dLbls>
          <c:showLegendKey val="0"/>
          <c:showVal val="0"/>
          <c:showCatName val="0"/>
          <c:showSerName val="0"/>
          <c:showPercent val="0"/>
          <c:showBubbleSize val="0"/>
        </c:dLbls>
        <c:gapWidth val="149"/>
        <c:overlap val="-60"/>
        <c:axId val="454254024"/>
        <c:axId val="454258336"/>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xmlns:c16r2="http://schemas.microsoft.com/office/drawing/2015/06/chart">
                      <c:ext uri="{02D57815-91ED-43cb-92C2-25804820EDAC}">
                        <c15:formulaRef>
                          <c15:sqref>'7 - Eng. Segurança '!$AL$19:$AL$26</c15:sqref>
                        </c15:formulaRef>
                      </c:ext>
                    </c:extLst>
                    <c:strCache>
                      <c:ptCount val="8"/>
                      <c:pt idx="0">
                        <c:v>PLANOS</c:v>
                      </c:pt>
                      <c:pt idx="1">
                        <c:v>PROGRAMAS</c:v>
                      </c:pt>
                      <c:pt idx="2">
                        <c:v>AVALIAÇÃO DE RISCOS</c:v>
                      </c:pt>
                      <c:pt idx="3">
                        <c:v>MAPA DE RISCO DAS COND. E MEIO AMB. DE TRAB.</c:v>
                      </c:pt>
                      <c:pt idx="4">
                        <c:v>RELAT. PARA FINS JUDICIAIS</c:v>
                      </c:pt>
                      <c:pt idx="5">
                        <c:v>LAUDO DE INSP. SOBRE ATIV. INSAL.</c:v>
                      </c:pt>
                      <c:pt idx="6">
                        <c:v>LAUDO TÉC. DE COND. DO TRAB. - LTCAT</c:v>
                      </c:pt>
                      <c:pt idx="7">
                        <c:v>OUTRAS ATIVIDADES</c:v>
                      </c:pt>
                    </c:strCache>
                  </c:strRef>
                </c:cat>
                <c:val>
                  <c:numRef>
                    <c:extLst xmlns:c16r2="http://schemas.microsoft.com/office/drawing/2015/06/chart">
                      <c:ext uri="{02D57815-91ED-43cb-92C2-25804820EDAC}">
                        <c15:formulaRef>
                          <c15:sqref>'7 - Eng. Segurança '!$AN$19:$AN$26</c15:sqref>
                        </c15:formulaRef>
                      </c:ext>
                    </c:extLst>
                    <c:numCache>
                      <c:formatCode>0.0%</c:formatCode>
                      <c:ptCount val="8"/>
                      <c:pt idx="0">
                        <c:v>5.2237785389819894E-2</c:v>
                      </c:pt>
                      <c:pt idx="1">
                        <c:v>0.21357695951578554</c:v>
                      </c:pt>
                      <c:pt idx="2">
                        <c:v>6.0862608297586496E-2</c:v>
                      </c:pt>
                      <c:pt idx="3">
                        <c:v>5.6041978762311224E-3</c:v>
                      </c:pt>
                      <c:pt idx="4">
                        <c:v>1.8483625893996984E-2</c:v>
                      </c:pt>
                      <c:pt idx="5">
                        <c:v>4.9878393064123575E-2</c:v>
                      </c:pt>
                      <c:pt idx="6">
                        <c:v>0.15163429582671267</c:v>
                      </c:pt>
                      <c:pt idx="7">
                        <c:v>0.44772213413574358</c:v>
                      </c:pt>
                    </c:numCache>
                  </c:numRef>
                </c:val>
                <c:extLst xmlns:c16r2="http://schemas.microsoft.com/office/drawing/2015/06/chart">
                  <c:ext xmlns:c16="http://schemas.microsoft.com/office/drawing/2014/chart" uri="{C3380CC4-5D6E-409C-BE32-E72D297353CC}">
                    <c16:uniqueId val="{00000009-CF30-4320-A7EC-A386BC8B3B81}"/>
                  </c:ext>
                </c:extLst>
              </c15:ser>
            </c15:filteredBarSeries>
          </c:ext>
        </c:extLst>
      </c:barChart>
      <c:catAx>
        <c:axId val="4542540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454258336"/>
        <c:crosses val="autoZero"/>
        <c:auto val="1"/>
        <c:lblAlgn val="ctr"/>
        <c:lblOffset val="100"/>
        <c:tickLblSkip val="1"/>
        <c:noMultiLvlLbl val="0"/>
      </c:catAx>
      <c:valAx>
        <c:axId val="45425833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454254024"/>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r>
              <a:rPr lang="pt-BR" sz="1800" b="1">
                <a:solidFill>
                  <a:schemeClr val="bg1"/>
                </a:solidFill>
              </a:rPr>
              <a:t>Composição por Gênero</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endParaRPr lang="pt-BR"/>
        </a:p>
      </c:txPr>
    </c:title>
    <c:autoTitleDeleted val="0"/>
    <c:plotArea>
      <c:layout>
        <c:manualLayout>
          <c:layoutTarget val="inner"/>
          <c:xMode val="edge"/>
          <c:yMode val="edge"/>
          <c:x val="1.4272647373956315E-3"/>
          <c:y val="9.9939873486609654E-2"/>
          <c:w val="0.98681501768800639"/>
          <c:h val="1"/>
        </c:manualLayout>
      </c:layout>
      <c:doughnutChart>
        <c:varyColors val="1"/>
        <c:ser>
          <c:idx val="0"/>
          <c:order val="0"/>
          <c:spPr>
            <a:solidFill>
              <a:srgbClr val="008F9A"/>
            </a:solidFill>
            <a:ln>
              <a:noFill/>
            </a:ln>
          </c:spPr>
          <c:dPt>
            <c:idx val="0"/>
            <c:bubble3D val="0"/>
            <c:spPr>
              <a:solidFill>
                <a:srgbClr val="FFF3AB"/>
              </a:solidFill>
              <a:ln w="19050">
                <a:noFill/>
              </a:ln>
              <a:effectLst/>
            </c:spPr>
            <c:extLst xmlns:c16r2="http://schemas.microsoft.com/office/drawing/2015/06/chart">
              <c:ext xmlns:c16="http://schemas.microsoft.com/office/drawing/2014/chart" uri="{C3380CC4-5D6E-409C-BE32-E72D297353CC}">
                <c16:uniqueId val="{00000001-1B45-46F7-960A-4D755BB8A395}"/>
              </c:ext>
            </c:extLst>
          </c:dPt>
          <c:dPt>
            <c:idx val="1"/>
            <c:bubble3D val="0"/>
            <c:spPr>
              <a:solidFill>
                <a:srgbClr val="5E9AA6"/>
              </a:solidFill>
              <a:ln w="19050">
                <a:noFill/>
              </a:ln>
              <a:effectLst/>
            </c:spPr>
            <c:extLst xmlns:c16r2="http://schemas.microsoft.com/office/drawing/2015/06/chart">
              <c:ext xmlns:c16="http://schemas.microsoft.com/office/drawing/2014/chart" uri="{C3380CC4-5D6E-409C-BE32-E72D297353CC}">
                <c16:uniqueId val="{00000003-1B45-46F7-960A-4D755BB8A395}"/>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6600">
                      <a:noFill/>
                      <a:prstDash val="solid"/>
                    </a:ln>
                    <a:solidFill>
                      <a:srgbClr val="FFFFFF"/>
                    </a:solidFill>
                    <a:effectLst>
                      <a:outerShdw blurRad="139700" dir="2700000" algn="tl" rotWithShape="0">
                        <a:prstClr val="black"/>
                      </a:outerShdw>
                    </a:effectLst>
                    <a:latin typeface="+mn-lt"/>
                    <a:ea typeface="+mn-ea"/>
                    <a:cs typeface="+mn-cs"/>
                  </a:defRPr>
                </a:pPr>
                <a:endParaRPr lang="pt-B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'Dados - Receita e Qntd'!$AY$68:$AY$69</c:f>
              <c:strCache>
                <c:ptCount val="2"/>
                <c:pt idx="0">
                  <c:v>Masculino</c:v>
                </c:pt>
                <c:pt idx="1">
                  <c:v>Feminino</c:v>
                </c:pt>
              </c:strCache>
            </c:strRef>
          </c:cat>
          <c:val>
            <c:numRef>
              <c:f>'Dados - Receita e Qntd'!$AZ$68:$AZ$69</c:f>
              <c:numCache>
                <c:formatCode>_-* #,##0_-;\-* #,##0_-;_-* "-"??_-;_-@_-</c:formatCode>
                <c:ptCount val="2"/>
                <c:pt idx="0">
                  <c:v>4331</c:v>
                </c:pt>
                <c:pt idx="1">
                  <c:v>8457</c:v>
                </c:pt>
              </c:numCache>
            </c:numRef>
          </c:val>
          <c:extLst xmlns:c16r2="http://schemas.microsoft.com/office/drawing/2015/06/chart">
            <c:ext xmlns:c16="http://schemas.microsoft.com/office/drawing/2014/chart" uri="{C3380CC4-5D6E-409C-BE32-E72D297353CC}">
              <c16:uniqueId val="{00000004-1B45-46F7-960A-4D755BB8A39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AU Ativos</a:t>
            </a:r>
            <a:r>
              <a:rPr lang="pt-BR" sz="1200" baseline="0"/>
              <a:t> - por gênero e por CAU/UF</a:t>
            </a:r>
          </a:p>
          <a:p>
            <a:pPr>
              <a:defRPr/>
            </a:pPr>
            <a:r>
              <a:rPr lang="pt-BR" sz="1050" baseline="0"/>
              <a:t>Janeiro a Dezembro / 2020</a:t>
            </a:r>
            <a:endParaRPr lang="pt-BR" sz="1050"/>
          </a:p>
        </c:rich>
      </c:tx>
      <c:layout>
        <c:manualLayout>
          <c:xMode val="edge"/>
          <c:yMode val="edge"/>
          <c:x val="0.23984011373578304"/>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9.3018372703412067E-2"/>
          <c:y val="0.1688425925925926"/>
          <c:w val="0.89031496062992121"/>
          <c:h val="0.68503937007874016"/>
        </c:manualLayout>
      </c:layout>
      <c:barChart>
        <c:barDir val="col"/>
        <c:grouping val="percentStacked"/>
        <c:varyColors val="0"/>
        <c:ser>
          <c:idx val="0"/>
          <c:order val="0"/>
          <c:tx>
            <c:strRef>
              <c:f>'PF - Gênero'!$B$1</c:f>
              <c:strCache>
                <c:ptCount val="1"/>
                <c:pt idx="0">
                  <c:v>Masc.</c:v>
                </c:pt>
              </c:strCache>
            </c:strRef>
          </c:tx>
          <c:spPr>
            <a:solidFill>
              <a:schemeClr val="tx2">
                <a:lumMod val="60000"/>
                <a:lumOff val="40000"/>
              </a:schemeClr>
            </a:solidFill>
            <a:ln>
              <a:noFill/>
            </a:ln>
            <a:effectLst/>
          </c:spPr>
          <c:invertIfNegative val="0"/>
          <c:dLbls>
            <c:dLbl>
              <c:idx val="0"/>
              <c:tx>
                <c:rich>
                  <a:bodyPr/>
                  <a:lstStyle/>
                  <a:p>
                    <a:fld id="{4C3E8191-362D-4FAD-8BE1-C08A2EFBEBA1}" type="CELLRANGE">
                      <a:rPr lang="en-US"/>
                      <a:pPr/>
                      <a:t>[CELLRANGE]</a:t>
                    </a:fld>
                    <a:endParaRPr lang="pt-BR"/>
                  </a:p>
                </c:rich>
              </c:tx>
              <c:dLblPos val="ct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ED4-4F2C-B474-00B020012A6C}"/>
                </c:ext>
                <c:ext xmlns:c15="http://schemas.microsoft.com/office/drawing/2012/chart" uri="{CE6537A1-D6FC-4f65-9D91-7224C49458BB}">
                  <c15:dlblFieldTable/>
                  <c15:showDataLabelsRange val="1"/>
                </c:ext>
              </c:extLst>
            </c:dLbl>
            <c:dLbl>
              <c:idx val="1"/>
              <c:tx>
                <c:rich>
                  <a:bodyPr/>
                  <a:lstStyle/>
                  <a:p>
                    <a:fld id="{B72C3ACF-7C35-42C3-816D-2EB2BACD887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B42B972-BD42-400A-94D4-5761FA2EA472}"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43E0FE7-B518-408C-B781-875F22FB9A9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9A79046-DDF7-49D7-8101-34BFEC453A62}"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3F172CD-D65C-460C-887B-1F352FAFFCFE}"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14CCA3DB-7F08-4AE1-BA39-0DA52D534D56}"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F83EF14E-BDF7-4465-B7C5-EC4B29001C0C}"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F37AEF25-3E92-4803-94AD-962E04FF4BA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E8C0E2FB-1FE8-4269-8417-07F21B4DCCAC}"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82C920F2-2EDD-4DAA-B7D4-D82100C5CCF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4BF7D797-AAA5-443D-86DE-C529AB3B0239}"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E51D9024-39E9-4889-AED0-FC83C05D7AA5}"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F58420C1-DD20-45C7-B0EC-BFCD73927C2C}"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C5A53193-817A-4FBC-965F-042556EBA886}"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A9FE2872-510E-4044-AA2A-DD0702F88006}"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2263B427-7EFA-4030-A950-1F5CFBC6D8C6}"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5A164503-DE62-4615-8BC8-9320C7F3243E}"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BFA43827-2B12-428D-A066-5526244530EF}"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16F10E7D-BDED-4BF3-A6FE-51024279C13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67F9E29C-24D4-4E21-A2D3-B82CC8105483}"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55B97110-58EE-4E87-A547-D677B72C672C}"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D023A2B4-3F05-4592-B771-086EA8D513DD}"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8D233416-3A42-4D13-B24B-DC9E95D32B9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6AF919C6-2F29-4C28-96E3-55597E60791D}"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DA10AE6D-5108-44DC-96F3-6BF916BC602E}"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CEF16937-797F-40D2-9E24-CC5156E084EF}"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Gênero'!$B$2:$B$28</c:f>
              <c:numCache>
                <c:formatCode>_-* #,##0_-;\-* #,##0_-;_-* "-"??_-;_-@_-</c:formatCode>
                <c:ptCount val="27"/>
                <c:pt idx="0">
                  <c:v>344</c:v>
                </c:pt>
                <c:pt idx="1">
                  <c:v>539</c:v>
                </c:pt>
                <c:pt idx="2">
                  <c:v>685</c:v>
                </c:pt>
                <c:pt idx="3">
                  <c:v>412</c:v>
                </c:pt>
                <c:pt idx="4">
                  <c:v>2457</c:v>
                </c:pt>
                <c:pt idx="5">
                  <c:v>1523</c:v>
                </c:pt>
                <c:pt idx="6">
                  <c:v>2236</c:v>
                </c:pt>
                <c:pt idx="7">
                  <c:v>972</c:v>
                </c:pt>
                <c:pt idx="8">
                  <c:v>1517</c:v>
                </c:pt>
                <c:pt idx="9">
                  <c:v>722</c:v>
                </c:pt>
                <c:pt idx="10">
                  <c:v>4839</c:v>
                </c:pt>
                <c:pt idx="11">
                  <c:v>1259</c:v>
                </c:pt>
                <c:pt idx="12">
                  <c:v>1069</c:v>
                </c:pt>
                <c:pt idx="13">
                  <c:v>1048</c:v>
                </c:pt>
                <c:pt idx="14">
                  <c:v>914</c:v>
                </c:pt>
                <c:pt idx="15">
                  <c:v>1577</c:v>
                </c:pt>
                <c:pt idx="16">
                  <c:v>489</c:v>
                </c:pt>
                <c:pt idx="17">
                  <c:v>4331</c:v>
                </c:pt>
                <c:pt idx="18">
                  <c:v>8384</c:v>
                </c:pt>
                <c:pt idx="19">
                  <c:v>668</c:v>
                </c:pt>
                <c:pt idx="20">
                  <c:v>534</c:v>
                </c:pt>
                <c:pt idx="21">
                  <c:v>89</c:v>
                </c:pt>
                <c:pt idx="22">
                  <c:v>5583</c:v>
                </c:pt>
                <c:pt idx="23">
                  <c:v>3420</c:v>
                </c:pt>
                <c:pt idx="24">
                  <c:v>562</c:v>
                </c:pt>
                <c:pt idx="25">
                  <c:v>22805</c:v>
                </c:pt>
                <c:pt idx="26">
                  <c:v>312</c:v>
                </c:pt>
              </c:numCache>
            </c:numRef>
          </c:val>
          <c:extLst xmlns:c16r2="http://schemas.microsoft.com/office/drawing/2015/06/chart">
            <c:ext xmlns:c16="http://schemas.microsoft.com/office/drawing/2014/chart" uri="{C3380CC4-5D6E-409C-BE32-E72D297353CC}">
              <c16:uniqueId val="{0000001B-1ED4-4F2C-B474-00B020012A6C}"/>
            </c:ext>
            <c:ext xmlns:c15="http://schemas.microsoft.com/office/drawing/2012/chart" uri="{02D57815-91ED-43cb-92C2-25804820EDAC}">
              <c15:datalabelsRange>
                <c15:f>'PF - Gênero'!$D$2:$D$28</c15:f>
                <c15:dlblRangeCache>
                  <c:ptCount val="27"/>
                  <c:pt idx="0">
                    <c:v>54%</c:v>
                  </c:pt>
                  <c:pt idx="1">
                    <c:v>27%</c:v>
                  </c:pt>
                  <c:pt idx="2">
                    <c:v>39%</c:v>
                  </c:pt>
                  <c:pt idx="3">
                    <c:v>55%</c:v>
                  </c:pt>
                  <c:pt idx="4">
                    <c:v>38%</c:v>
                  </c:pt>
                  <c:pt idx="5">
                    <c:v>39%</c:v>
                  </c:pt>
                  <c:pt idx="6">
                    <c:v>36%</c:v>
                  </c:pt>
                  <c:pt idx="7">
                    <c:v>27%</c:v>
                  </c:pt>
                  <c:pt idx="8">
                    <c:v>32%</c:v>
                  </c:pt>
                  <c:pt idx="9">
                    <c:v>41%</c:v>
                  </c:pt>
                  <c:pt idx="10">
                    <c:v>31%</c:v>
                  </c:pt>
                  <c:pt idx="11">
                    <c:v>38%</c:v>
                  </c:pt>
                  <c:pt idx="12">
                    <c:v>34%</c:v>
                  </c:pt>
                  <c:pt idx="13">
                    <c:v>36%</c:v>
                  </c:pt>
                  <c:pt idx="14">
                    <c:v>35%</c:v>
                  </c:pt>
                  <c:pt idx="15">
                    <c:v>32%</c:v>
                  </c:pt>
                  <c:pt idx="16">
                    <c:v>37%</c:v>
                  </c:pt>
                  <c:pt idx="17">
                    <c:v>34%</c:v>
                  </c:pt>
                  <c:pt idx="18">
                    <c:v>41%</c:v>
                  </c:pt>
                  <c:pt idx="19">
                    <c:v>27%</c:v>
                  </c:pt>
                  <c:pt idx="20">
                    <c:v>44%</c:v>
                  </c:pt>
                  <c:pt idx="21">
                    <c:v>40%</c:v>
                  </c:pt>
                  <c:pt idx="22">
                    <c:v>34%</c:v>
                  </c:pt>
                  <c:pt idx="23">
                    <c:v>33%</c:v>
                  </c:pt>
                  <c:pt idx="24">
                    <c:v>39%</c:v>
                  </c:pt>
                  <c:pt idx="25">
                    <c:v>37%</c:v>
                  </c:pt>
                  <c:pt idx="26">
                    <c:v>42%</c:v>
                  </c:pt>
                </c15:dlblRangeCache>
              </c15:datalabelsRange>
            </c:ext>
          </c:extLst>
        </c:ser>
        <c:ser>
          <c:idx val="1"/>
          <c:order val="1"/>
          <c:tx>
            <c:strRef>
              <c:f>'PF - Gênero'!$C$1</c:f>
              <c:strCache>
                <c:ptCount val="1"/>
                <c:pt idx="0">
                  <c:v>Fem.</c:v>
                </c:pt>
              </c:strCache>
            </c:strRef>
          </c:tx>
          <c:spPr>
            <a:solidFill>
              <a:srgbClr val="FF7171"/>
            </a:solidFill>
            <a:ln>
              <a:noFill/>
            </a:ln>
            <a:effectLst/>
          </c:spPr>
          <c:invertIfNegative val="0"/>
          <c:dLbls>
            <c:dLbl>
              <c:idx val="0"/>
              <c:tx>
                <c:rich>
                  <a:bodyPr/>
                  <a:lstStyle/>
                  <a:p>
                    <a:fld id="{AC471F72-3703-4E9B-800D-BE2C57FDBEEF}" type="CELLRANGE">
                      <a:rPr lang="en-US"/>
                      <a:pPr/>
                      <a:t>[CELLRANGE]</a:t>
                    </a:fld>
                    <a:endParaRPr lang="pt-BR"/>
                  </a:p>
                </c:rich>
              </c:tx>
              <c:dLblPos val="ct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1ED4-4F2C-B474-00B020012A6C}"/>
                </c:ext>
                <c:ext xmlns:c15="http://schemas.microsoft.com/office/drawing/2012/chart" uri="{CE6537A1-D6FC-4f65-9D91-7224C49458BB}">
                  <c15:dlblFieldTable/>
                  <c15:showDataLabelsRange val="1"/>
                </c:ext>
              </c:extLst>
            </c:dLbl>
            <c:dLbl>
              <c:idx val="1"/>
              <c:tx>
                <c:rich>
                  <a:bodyPr/>
                  <a:lstStyle/>
                  <a:p>
                    <a:fld id="{E2D1D510-782E-4A0E-A5AA-9B00103EBC09}"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6C65A0F-B8C1-44D8-81E9-D4362CE3397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C253BE7-C3F7-4C4D-9D76-893BE40D852F}"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FDBBDFB-1105-4657-BD27-F1A973299741}"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BB424CA-6212-4863-A1D0-536017632DBA}"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14E703A9-228A-4060-A99D-60EBD2C1FD1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FBBF7D84-C12A-413A-A408-2427416E30FF}"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AE5CDB5B-D041-42EB-ABB9-A014F32BFD4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FBC2DC1E-7B9E-4B17-AD8B-F837CEF97BD5}"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F5330DAA-ADB5-4108-8F32-E4AAC643C695}"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59215C28-CD38-4979-9007-1D96F4AC24EA}"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A884272A-B411-4C83-B376-7729A64B186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C7044364-E974-43B1-A8A8-9BA43F53F4D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6FD62872-0E1A-43F0-91C0-D287861F0EFC}"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C0F7DE54-5D6D-4840-A6B7-5ACA78A356BA}"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939E541E-4CAF-4DCB-8021-41DF3292B56F}"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2E0B7031-7490-4243-BF71-14FEF877AA47}"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1D307DD4-88B5-49A8-A0F8-7450CAA9DF35}"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A74404B5-3043-481C-81BA-49C55FC418F5}"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728F2B41-6DA2-449F-B199-5AF0A0F73A31}"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5DD7605E-910E-4F4C-AFF5-DA2F568E1571}"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7C08A161-B806-4F80-9116-44B73A5C2521}"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4CE79F51-7E42-47C6-8D1E-E23D3EF49D1A}"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BE111E40-29B6-4A1A-B35D-E9F52681827B}"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2E514B33-07E8-4DC1-B3FB-14465FE20290}"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A1A6B1D5-A4BC-4CC4-B96C-CFB63E65A62D}" type="CELLRANGE">
                      <a:rPr lang="pt-BR"/>
                      <a:pPr/>
                      <a:t>[CELLRANGE]</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Gênero'!$C$2:$C$28</c:f>
              <c:numCache>
                <c:formatCode>_-* #,##0_-;\-* #,##0_-;_-* "-"??_-;_-@_-</c:formatCode>
                <c:ptCount val="27"/>
                <c:pt idx="0">
                  <c:v>291</c:v>
                </c:pt>
                <c:pt idx="1">
                  <c:v>1445</c:v>
                </c:pt>
                <c:pt idx="2">
                  <c:v>1060</c:v>
                </c:pt>
                <c:pt idx="3">
                  <c:v>335</c:v>
                </c:pt>
                <c:pt idx="4">
                  <c:v>4036</c:v>
                </c:pt>
                <c:pt idx="5">
                  <c:v>2348</c:v>
                </c:pt>
                <c:pt idx="6">
                  <c:v>3983</c:v>
                </c:pt>
                <c:pt idx="7">
                  <c:v>2586</c:v>
                </c:pt>
                <c:pt idx="8">
                  <c:v>3186</c:v>
                </c:pt>
                <c:pt idx="9">
                  <c:v>1055</c:v>
                </c:pt>
                <c:pt idx="10">
                  <c:v>10858</c:v>
                </c:pt>
                <c:pt idx="11">
                  <c:v>2026</c:v>
                </c:pt>
                <c:pt idx="12">
                  <c:v>2108</c:v>
                </c:pt>
                <c:pt idx="13">
                  <c:v>1862</c:v>
                </c:pt>
                <c:pt idx="14">
                  <c:v>1725</c:v>
                </c:pt>
                <c:pt idx="15">
                  <c:v>3309</c:v>
                </c:pt>
                <c:pt idx="16">
                  <c:v>848</c:v>
                </c:pt>
                <c:pt idx="17">
                  <c:v>8456</c:v>
                </c:pt>
                <c:pt idx="18">
                  <c:v>11979</c:v>
                </c:pt>
                <c:pt idx="19">
                  <c:v>1818</c:v>
                </c:pt>
                <c:pt idx="20">
                  <c:v>690</c:v>
                </c:pt>
                <c:pt idx="21">
                  <c:v>134</c:v>
                </c:pt>
                <c:pt idx="22">
                  <c:v>10866</c:v>
                </c:pt>
                <c:pt idx="23">
                  <c:v>7052</c:v>
                </c:pt>
                <c:pt idx="24">
                  <c:v>882</c:v>
                </c:pt>
                <c:pt idx="25">
                  <c:v>38455</c:v>
                </c:pt>
                <c:pt idx="26">
                  <c:v>438</c:v>
                </c:pt>
              </c:numCache>
            </c:numRef>
          </c:val>
          <c:extLst xmlns:c16r2="http://schemas.microsoft.com/office/drawing/2015/06/chart">
            <c:ext xmlns:c16="http://schemas.microsoft.com/office/drawing/2014/chart" uri="{C3380CC4-5D6E-409C-BE32-E72D297353CC}">
              <c16:uniqueId val="{00000037-1ED4-4F2C-B474-00B020012A6C}"/>
            </c:ext>
            <c:ext xmlns:c15="http://schemas.microsoft.com/office/drawing/2012/chart" uri="{02D57815-91ED-43cb-92C2-25804820EDAC}">
              <c15:datalabelsRange>
                <c15:f>'PF - Gênero'!$E$2:$E$28</c15:f>
                <c15:dlblRangeCache>
                  <c:ptCount val="27"/>
                  <c:pt idx="0">
                    <c:v>46%</c:v>
                  </c:pt>
                  <c:pt idx="1">
                    <c:v>73%</c:v>
                  </c:pt>
                  <c:pt idx="2">
                    <c:v>61%</c:v>
                  </c:pt>
                  <c:pt idx="3">
                    <c:v>45%</c:v>
                  </c:pt>
                  <c:pt idx="4">
                    <c:v>62%</c:v>
                  </c:pt>
                  <c:pt idx="5">
                    <c:v>61%</c:v>
                  </c:pt>
                  <c:pt idx="6">
                    <c:v>64%</c:v>
                  </c:pt>
                  <c:pt idx="7">
                    <c:v>73%</c:v>
                  </c:pt>
                  <c:pt idx="8">
                    <c:v>68%</c:v>
                  </c:pt>
                  <c:pt idx="9">
                    <c:v>59%</c:v>
                  </c:pt>
                  <c:pt idx="10">
                    <c:v>69%</c:v>
                  </c:pt>
                  <c:pt idx="11">
                    <c:v>62%</c:v>
                  </c:pt>
                  <c:pt idx="12">
                    <c:v>66%</c:v>
                  </c:pt>
                  <c:pt idx="13">
                    <c:v>64%</c:v>
                  </c:pt>
                  <c:pt idx="14">
                    <c:v>65%</c:v>
                  </c:pt>
                  <c:pt idx="15">
                    <c:v>68%</c:v>
                  </c:pt>
                  <c:pt idx="16">
                    <c:v>63%</c:v>
                  </c:pt>
                  <c:pt idx="17">
                    <c:v>66%</c:v>
                  </c:pt>
                  <c:pt idx="18">
                    <c:v>59%</c:v>
                  </c:pt>
                  <c:pt idx="19">
                    <c:v>73%</c:v>
                  </c:pt>
                  <c:pt idx="20">
                    <c:v>56%</c:v>
                  </c:pt>
                  <c:pt idx="21">
                    <c:v>60%</c:v>
                  </c:pt>
                  <c:pt idx="22">
                    <c:v>66%</c:v>
                  </c:pt>
                  <c:pt idx="23">
                    <c:v>67%</c:v>
                  </c:pt>
                  <c:pt idx="24">
                    <c:v>61%</c:v>
                  </c:pt>
                  <c:pt idx="25">
                    <c:v>63%</c:v>
                  </c:pt>
                  <c:pt idx="26">
                    <c:v>58%</c:v>
                  </c:pt>
                </c15:dlblRangeCache>
              </c15:datalabelsRange>
            </c:ext>
          </c:extLst>
        </c:ser>
        <c:dLbls>
          <c:showLegendKey val="0"/>
          <c:showVal val="0"/>
          <c:showCatName val="0"/>
          <c:showSerName val="0"/>
          <c:showPercent val="0"/>
          <c:showBubbleSize val="0"/>
        </c:dLbls>
        <c:gapWidth val="80"/>
        <c:overlap val="100"/>
        <c:axId val="444106608"/>
        <c:axId val="444108960"/>
      </c:barChart>
      <c:catAx>
        <c:axId val="44410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8960"/>
        <c:crosses val="autoZero"/>
        <c:auto val="1"/>
        <c:lblAlgn val="ctr"/>
        <c:lblOffset val="100"/>
        <c:noMultiLvlLbl val="0"/>
      </c:catAx>
      <c:valAx>
        <c:axId val="44410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66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400" b="1"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[cenário de arrecadacao-2020-12.xlsx]Dados - RRT!Tabela dinâmica3</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dLbl>
          <c:idx val="0"/>
          <c:tx>
            <c:rich>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fld id="{5945B838-3A91-40B6-A317-EE794AB38D28}" type="VALUE">
                  <a:rPr lang="en-US" sz="1600"/>
                  <a:pPr algn="ctr">
                    <a:defRPr lang="en-US" sz="1600" b="1">
                      <a:solidFill>
                        <a:schemeClr val="bg1"/>
                      </a:solidFill>
                    </a:defRPr>
                  </a:pPr>
                  <a:t>[VALOR]</a:t>
                </a:fld>
                <a:endParaRPr lang="pt-BR"/>
              </a:p>
            </c:rich>
          </c:tx>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AD-4048-9E19-BD1EE720FFC4}"/>
            </c:ext>
            <c:ext xmlns:c15="http://schemas.microsoft.com/office/drawing/2012/chart" uri="{CE6537A1-D6FC-4f65-9D91-7224C49458BB}">
              <c15:dlblFieldTable/>
              <c15:showDataLabelsRange val="0"/>
            </c:ext>
          </c:extLst>
        </c:dLbl>
      </c:pivotFmt>
    </c:pivotFmts>
    <c:plotArea>
      <c:layout>
        <c:manualLayout>
          <c:layoutTarget val="inner"/>
          <c:xMode val="edge"/>
          <c:yMode val="edge"/>
          <c:x val="5.3075516056286381E-2"/>
          <c:y val="9.5877135988803791E-2"/>
          <c:w val="0.93654604485837012"/>
          <c:h val="0.57891492786649712"/>
        </c:manualLayout>
      </c:layout>
      <c:barChart>
        <c:barDir val="col"/>
        <c:grouping val="percentStacked"/>
        <c:varyColors val="0"/>
        <c:ser>
          <c:idx val="0"/>
          <c:order val="0"/>
          <c:tx>
            <c:strRef>
              <c:f>'Dados - RRT'!$J$1</c:f>
              <c:strCache>
                <c:ptCount val="1"/>
                <c:pt idx="0">
                  <c:v>Soma de Masc. RRT</c:v>
                </c:pt>
              </c:strCache>
            </c:strRef>
          </c:tx>
          <c:spPr>
            <a:solidFill>
              <a:schemeClr val="accent1"/>
            </a:solidFill>
            <a:ln>
              <a:noFill/>
            </a:ln>
            <a:effectLst/>
          </c:spPr>
          <c:invertIfNegative val="0"/>
          <c:dPt>
            <c:idx val="5"/>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0-2CAD-4048-9E19-BD1EE720FFC4}"/>
              </c:ext>
            </c:extLst>
          </c:dPt>
          <c:dLbls>
            <c:dLbl>
              <c:idx val="5"/>
              <c:tx>
                <c:rich>
                  <a:bodyPr/>
                  <a:lstStyle/>
                  <a:p>
                    <a:fld id="{5945B838-3A91-40B6-A317-EE794AB38D28}" type="VALUE">
                      <a:rPr lang="en-US" sz="1600"/>
                      <a:pPr/>
                      <a:t>[VALOR]</a:t>
                    </a:fld>
                    <a:endParaRPr lang="pt-B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AD-4048-9E19-BD1EE720FFC4}"/>
                </c:ext>
                <c:ext xmlns:c15="http://schemas.microsoft.com/office/drawing/2012/chart" uri="{CE6537A1-D6FC-4f65-9D91-7224C49458BB}">
                  <c15:dlblFieldTable/>
                  <c15:showDataLabelsRange val="0"/>
                </c:ext>
              </c:extLst>
            </c:dLbl>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RRT'!$J$2:$J$15</c:f>
              <c:numCache>
                <c:formatCode>_-* #,##0_-;\-* #,##0_-;_-* "-"??_-;_-@_-</c:formatCode>
                <c:ptCount val="11"/>
                <c:pt idx="0">
                  <c:v>121275.55183147801</c:v>
                </c:pt>
                <c:pt idx="1">
                  <c:v>3029.1507420667213</c:v>
                </c:pt>
                <c:pt idx="2">
                  <c:v>310.69257770701853</c:v>
                </c:pt>
                <c:pt idx="3">
                  <c:v>27630.533444891436</c:v>
                </c:pt>
                <c:pt idx="4">
                  <c:v>2448.0243726719709</c:v>
                </c:pt>
                <c:pt idx="5">
                  <c:v>6595.6373700098138</c:v>
                </c:pt>
                <c:pt idx="6">
                  <c:v>46409.03074062596</c:v>
                </c:pt>
                <c:pt idx="7">
                  <c:v>1679.6782720638732</c:v>
                </c:pt>
                <c:pt idx="8">
                  <c:v>8169.6398994087886</c:v>
                </c:pt>
                <c:pt idx="9">
                  <c:v>15535.532207375118</c:v>
                </c:pt>
                <c:pt idx="10">
                  <c:v>3023.7199518324956</c:v>
                </c:pt>
              </c:numCache>
            </c:numRef>
          </c:val>
          <c:extLst xmlns:c16r2="http://schemas.microsoft.com/office/drawing/2015/06/chart">
            <c:ext xmlns:c16="http://schemas.microsoft.com/office/drawing/2014/chart" uri="{C3380CC4-5D6E-409C-BE32-E72D297353CC}">
              <c16:uniqueId val="{00000000-CECE-4734-947A-834BC344E826}"/>
            </c:ext>
          </c:extLst>
        </c:ser>
        <c:ser>
          <c:idx val="1"/>
          <c:order val="1"/>
          <c:tx>
            <c:strRef>
              <c:f>'Dados - RRT'!$K$1</c:f>
              <c:strCache>
                <c:ptCount val="1"/>
                <c:pt idx="0">
                  <c:v>Soma de Fem. RRT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RRT'!$K$2:$K$15</c:f>
              <c:numCache>
                <c:formatCode>_-* #,##0_-;\-* #,##0_-;_-* "-"??_-;_-@_-</c:formatCode>
                <c:ptCount val="11"/>
                <c:pt idx="0">
                  <c:v>113554.17946214264</c:v>
                </c:pt>
                <c:pt idx="1">
                  <c:v>2303.9952818769184</c:v>
                </c:pt>
                <c:pt idx="2">
                  <c:v>253.07560064066988</c:v>
                </c:pt>
                <c:pt idx="3">
                  <c:v>15850.909543419712</c:v>
                </c:pt>
                <c:pt idx="4">
                  <c:v>2350.5801070233424</c:v>
                </c:pt>
                <c:pt idx="5">
                  <c:v>23383.536352705789</c:v>
                </c:pt>
                <c:pt idx="6">
                  <c:v>29996.078444508912</c:v>
                </c:pt>
                <c:pt idx="7">
                  <c:v>1624.7906832621034</c:v>
                </c:pt>
                <c:pt idx="8">
                  <c:v>6794.3358263174841</c:v>
                </c:pt>
                <c:pt idx="9">
                  <c:v>10300.411254820599</c:v>
                </c:pt>
                <c:pt idx="10">
                  <c:v>1532.1204924653546</c:v>
                </c:pt>
              </c:numCache>
            </c:numRef>
          </c:val>
          <c:extLst xmlns:c16r2="http://schemas.microsoft.com/office/drawing/2015/06/chart">
            <c:ext xmlns:c16="http://schemas.microsoft.com/office/drawing/2014/chart" uri="{C3380CC4-5D6E-409C-BE32-E72D297353CC}">
              <c16:uniqueId val="{00000001-CECE-4734-947A-834BC344E826}"/>
            </c:ext>
          </c:extLst>
        </c:ser>
        <c:dLbls>
          <c:showLegendKey val="0"/>
          <c:showVal val="0"/>
          <c:showCatName val="0"/>
          <c:showSerName val="0"/>
          <c:showPercent val="0"/>
          <c:showBubbleSize val="0"/>
        </c:dLbls>
        <c:gapWidth val="219"/>
        <c:overlap val="100"/>
        <c:axId val="456700128"/>
        <c:axId val="456700912"/>
      </c:barChart>
      <c:catAx>
        <c:axId val="45670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700912"/>
        <c:crosses val="autoZero"/>
        <c:auto val="1"/>
        <c:lblAlgn val="ctr"/>
        <c:lblOffset val="100"/>
        <c:noMultiLvlLbl val="0"/>
      </c:catAx>
      <c:valAx>
        <c:axId val="45670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700128"/>
        <c:crosses val="autoZero"/>
        <c:crossBetween val="between"/>
      </c:valAx>
      <c:spPr>
        <a:noFill/>
        <a:ln>
          <a:noFill/>
        </a:ln>
        <a:effectLst/>
      </c:spPr>
    </c:plotArea>
    <c:legend>
      <c:legendPos val="r"/>
      <c:layout>
        <c:manualLayout>
          <c:xMode val="edge"/>
          <c:yMode val="edge"/>
          <c:x val="0.68837717376896101"/>
          <c:y val="0.89204980116960797"/>
          <c:w val="0.30275557125879138"/>
          <c:h val="9.43203895520656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92468894926937E-2"/>
          <c:y val="1.3519958216496226E-2"/>
          <c:w val="0.91772027914153931"/>
          <c:h val="0.92973220553586311"/>
        </c:manualLayout>
      </c:layout>
      <c:barChart>
        <c:barDir val="col"/>
        <c:grouping val="clustered"/>
        <c:varyColors val="0"/>
        <c:ser>
          <c:idx val="2"/>
          <c:order val="0"/>
          <c:tx>
            <c:strRef>
              <c:f>Gráficos!$S$4</c:f>
              <c:strCache>
                <c:ptCount val="1"/>
                <c:pt idx="0">
                  <c:v>Potencial</c:v>
                </c:pt>
              </c:strCache>
            </c:strRef>
          </c:tx>
          <c:spPr>
            <a:solidFill>
              <a:schemeClr val="tx1"/>
            </a:solidFill>
            <a:ln w="66675">
              <a:noFill/>
            </a:ln>
            <a:effectLst/>
          </c:spPr>
          <c:invertIfNegative val="0"/>
          <c:dPt>
            <c:idx val="3"/>
            <c:invertIfNegative val="0"/>
            <c:bubble3D val="0"/>
            <c:spPr>
              <a:solidFill>
                <a:schemeClr val="tx1"/>
              </a:solidFill>
              <a:ln w="66675" cap="rnd">
                <a:noFill/>
                <a:round/>
              </a:ln>
              <a:effectLst/>
            </c:spPr>
            <c:extLst xmlns:c16r2="http://schemas.microsoft.com/office/drawing/2015/06/chart">
              <c:ext xmlns:c16="http://schemas.microsoft.com/office/drawing/2014/chart" uri="{C3380CC4-5D6E-409C-BE32-E72D297353CC}">
                <c16:uniqueId val="{0000001B-6A14-4F87-B78A-F6D6218D9EFB}"/>
              </c:ext>
            </c:extLst>
          </c:dPt>
          <c:dLbls>
            <c:dLbl>
              <c:idx val="0"/>
              <c:layout>
                <c:manualLayout>
                  <c:x val="-2.8828832100881844E-3"/>
                  <c:y val="0.1174403830139164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2E9-4C51-9FCC-A4741F58B6C2}"/>
                </c:ext>
                <c:ext xmlns:c15="http://schemas.microsoft.com/office/drawing/2012/chart" uri="{CE6537A1-D6FC-4f65-9D91-7224C49458BB}"/>
              </c:extLst>
            </c:dLbl>
            <c:numFmt formatCode="&quot;R$&quot;\ #,##0.00" sourceLinked="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30184239.498371247</c:v>
                </c:pt>
                <c:pt idx="1">
                  <c:v>56927031.176796898</c:v>
                </c:pt>
                <c:pt idx="2">
                  <c:v>74074346.245687261</c:v>
                </c:pt>
                <c:pt idx="3">
                  <c:v>89762305.828869447</c:v>
                </c:pt>
                <c:pt idx="4">
                  <c:v>109135045.40767497</c:v>
                </c:pt>
                <c:pt idx="5">
                  <c:v>125438557.78640747</c:v>
                </c:pt>
                <c:pt idx="6">
                  <c:v>136801856.5243001</c:v>
                </c:pt>
                <c:pt idx="7">
                  <c:v>148498354.47810993</c:v>
                </c:pt>
                <c:pt idx="8">
                  <c:v>158386068.53800189</c:v>
                </c:pt>
                <c:pt idx="9">
                  <c:v>169500886.80442035</c:v>
                </c:pt>
                <c:pt idx="10">
                  <c:v>179138911.01441649</c:v>
                </c:pt>
                <c:pt idx="11">
                  <c:v>188503736.13176399</c:v>
                </c:pt>
              </c:numCache>
            </c:numRef>
          </c:val>
          <c:extLst xmlns:c16r2="http://schemas.microsoft.com/office/drawing/2015/06/chart">
            <c:ext xmlns:c16="http://schemas.microsoft.com/office/drawing/2014/chart" uri="{C3380CC4-5D6E-409C-BE32-E72D297353CC}">
              <c16:uniqueId val="{00000027-6A14-4F87-B78A-F6D6218D9EFB}"/>
            </c:ext>
          </c:extLst>
        </c:ser>
        <c:ser>
          <c:idx val="0"/>
          <c:order val="1"/>
          <c:tx>
            <c:strRef>
              <c:f>Gráficos!$Q$4</c:f>
              <c:strCache>
                <c:ptCount val="1"/>
                <c:pt idx="0">
                  <c:v>Meta</c:v>
                </c:pt>
              </c:strCache>
            </c:strRef>
          </c:tx>
          <c:spPr>
            <a:solidFill>
              <a:schemeClr val="accent1"/>
            </a:solidFill>
            <a:ln>
              <a:solidFill>
                <a:schemeClr val="tx2">
                  <a:lumMod val="60000"/>
                  <a:lumOff val="40000"/>
                </a:schemeClr>
              </a:solidFill>
            </a:ln>
            <a:effectLst/>
          </c:spPr>
          <c:invertIfNegative val="0"/>
          <c:dLbls>
            <c:dLbl>
              <c:idx val="0"/>
              <c:layout>
                <c:manualLayout>
                  <c:x val="-1.3213062074483579E-17"/>
                  <c:y val="0.1144554199731569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2E9-4C51-9FCC-A4741F58B6C2}"/>
                </c:ext>
                <c:ext xmlns:c15="http://schemas.microsoft.com/office/drawing/2012/chart" uri="{CE6537A1-D6FC-4f65-9D91-7224C49458BB}"/>
              </c:extLst>
            </c:dLbl>
            <c:numFmt formatCode="&quot;R$&quot;\ #,##0.00" sourceLinked="0"/>
            <c:spPr>
              <a:noFill/>
              <a:ln>
                <a:noFill/>
              </a:ln>
              <a:effectLst/>
            </c:spPr>
            <c:txPr>
              <a:bodyPr rot="-5400000" spcFirstLastPara="1" vertOverflow="ellipsis" wrap="square" lIns="38100" tIns="19050" rIns="38100" bIns="19050" anchor="ctr" anchorCtr="0">
                <a:spAutoFit/>
              </a:bodyPr>
              <a:lstStyle/>
              <a:p>
                <a:pPr algn="ctr">
                  <a:defRPr lang="pt-B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9050"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extLst xmlns:c16r2="http://schemas.microsoft.com/office/drawing/2015/06/chart">
            <c:ext xmlns:c16="http://schemas.microsoft.com/office/drawing/2014/chart" uri="{C3380CC4-5D6E-409C-BE32-E72D297353CC}">
              <c16:uniqueId val="{0000000C-6A14-4F87-B78A-F6D6218D9EFB}"/>
            </c:ext>
          </c:extLst>
        </c:ser>
        <c:dLbls>
          <c:showLegendKey val="0"/>
          <c:showVal val="0"/>
          <c:showCatName val="0"/>
          <c:showSerName val="0"/>
          <c:showPercent val="0"/>
          <c:showBubbleSize val="0"/>
        </c:dLbls>
        <c:gapWidth val="150"/>
        <c:axId val="483306552"/>
        <c:axId val="483304592"/>
      </c:barChart>
      <c:lineChart>
        <c:grouping val="standard"/>
        <c:varyColors val="0"/>
        <c:ser>
          <c:idx val="1"/>
          <c:order val="2"/>
          <c:tx>
            <c:strRef>
              <c:f>Gráficos!$R$4</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4.3317301712390406E-2"/>
                  <c:y val="-5.7557596868171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A14-4F87-B78A-F6D6218D9EFB}"/>
                </c:ext>
                <c:ext xmlns:c15="http://schemas.microsoft.com/office/drawing/2012/chart" uri="{CE6537A1-D6FC-4f65-9D91-7224C49458BB}"/>
              </c:extLst>
            </c:dLbl>
            <c:dLbl>
              <c:idx val="1"/>
              <c:layout>
                <c:manualLayout>
                  <c:x val="-3.3147476990708635E-2"/>
                  <c:y val="-7.1203077725155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A14-4F87-B78A-F6D6218D9EFB}"/>
                </c:ext>
                <c:ext xmlns:c15="http://schemas.microsoft.com/office/drawing/2012/chart" uri="{CE6537A1-D6FC-4f65-9D91-7224C49458BB}"/>
              </c:extLst>
            </c:dLbl>
            <c:dLbl>
              <c:idx val="2"/>
              <c:layout>
                <c:manualLayout>
                  <c:x val="-3.6062965582496401E-2"/>
                  <c:y val="-8.0293981936631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A14-4F87-B78A-F6D6218D9EFB}"/>
                </c:ext>
                <c:ext xmlns:c15="http://schemas.microsoft.com/office/drawing/2012/chart" uri="{CE6537A1-D6FC-4f65-9D91-7224C49458BB}"/>
              </c:extLst>
            </c:dLbl>
            <c:dLbl>
              <c:idx val="3"/>
              <c:layout>
                <c:manualLayout>
                  <c:x val="-3.6024060361679003E-2"/>
                  <c:y val="-0.1121048112624731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A14-4F87-B78A-F6D6218D9EFB}"/>
                </c:ext>
                <c:ext xmlns:c15="http://schemas.microsoft.com/office/drawing/2012/chart" uri="{CE6537A1-D6FC-4f65-9D91-7224C49458BB}"/>
              </c:extLst>
            </c:dLbl>
            <c:dLbl>
              <c:idx val="4"/>
              <c:layout>
                <c:manualLayout>
                  <c:x val="-3.5870728020810226E-2"/>
                  <c:y val="-0.1574883040396842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1B2-47DB-8B60-A751124F5013}"/>
                </c:ext>
                <c:ext xmlns:c15="http://schemas.microsoft.com/office/drawing/2012/chart" uri="{CE6537A1-D6FC-4f65-9D91-7224C49458BB}"/>
              </c:extLst>
            </c:dLbl>
            <c:dLbl>
              <c:idx val="5"/>
              <c:layout>
                <c:manualLayout>
                  <c:x val="-3.4468309237461157E-2"/>
                  <c:y val="-0.1779381867893481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01C-436F-8C22-DBF1909CD203}"/>
                </c:ext>
                <c:ext xmlns:c15="http://schemas.microsoft.com/office/drawing/2012/chart" uri="{CE6537A1-D6FC-4f65-9D91-7224C49458BB}"/>
              </c:extLst>
            </c:dLbl>
            <c:dLbl>
              <c:idx val="6"/>
              <c:layout>
                <c:manualLayout>
                  <c:x val="-4.0999580395750773E-2"/>
                  <c:y val="-0.1551799743904584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080-4414-9466-1C0CB3D28A6C}"/>
                </c:ext>
                <c:ext xmlns:c15="http://schemas.microsoft.com/office/drawing/2012/chart" uri="{CE6537A1-D6FC-4f65-9D91-7224C49458BB}"/>
              </c:extLst>
            </c:dLbl>
            <c:dLbl>
              <c:idx val="7"/>
              <c:layout>
                <c:manualLayout>
                  <c:x val="-4.3080552001004212E-2"/>
                  <c:y val="-0.1371021141558647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3B-4278-BD71-195B9400B2B0}"/>
                </c:ext>
                <c:ext xmlns:c15="http://schemas.microsoft.com/office/drawing/2012/chart" uri="{CE6537A1-D6FC-4f65-9D91-7224C49458BB}"/>
              </c:extLst>
            </c:dLbl>
            <c:dLbl>
              <c:idx val="8"/>
              <c:layout>
                <c:manualLayout>
                  <c:x val="-3.9269785621934852E-2"/>
                  <c:y val="-0.1302531630396024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047-46F4-9ED1-11D7401727CC}"/>
                </c:ext>
                <c:ext xmlns:c15="http://schemas.microsoft.com/office/drawing/2012/chart" uri="{CE6537A1-D6FC-4f65-9D91-7224C49458BB}"/>
              </c:extLst>
            </c:dLbl>
            <c:dLbl>
              <c:idx val="9"/>
              <c:layout>
                <c:manualLayout>
                  <c:x val="-5.8533856371487294E-2"/>
                  <c:y val="-0.1188078505466905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664-46D4-9D5B-C254158161D5}"/>
                </c:ext>
                <c:ext xmlns:c15="http://schemas.microsoft.com/office/drawing/2012/chart" uri="{CE6537A1-D6FC-4f65-9D91-7224C49458BB}"/>
              </c:extLst>
            </c:dLbl>
            <c:dLbl>
              <c:idx val="10"/>
              <c:layout>
                <c:manualLayout>
                  <c:x val="-5.414628731045943E-2"/>
                  <c:y val="-0.11426669660729319"/>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5DB-475E-9694-A263A3E8789C}"/>
                </c:ext>
                <c:ext xmlns:c15="http://schemas.microsoft.com/office/drawing/2012/chart" uri="{CE6537A1-D6FC-4f65-9D91-7224C49458BB}"/>
              </c:extLst>
            </c:dLbl>
            <c:dLbl>
              <c:idx val="11"/>
              <c:layout>
                <c:manualLayout>
                  <c:x val="-9.7011803664811217E-3"/>
                  <c:y val="-0.102698240576913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606-4BB0-8DA6-27D647FCA33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9050"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pt idx="11">
                  <c:v>169425814.06000003</c:v>
                </c:pt>
              </c:numCache>
            </c:numRef>
          </c:val>
          <c:smooth val="0"/>
          <c:extLst xmlns:c16r2="http://schemas.microsoft.com/office/drawing/2015/06/chart">
            <c:ext xmlns:c16="http://schemas.microsoft.com/office/drawing/2014/chart" uri="{C3380CC4-5D6E-409C-BE32-E72D297353CC}">
              <c16:uniqueId val="{00000019-6A14-4F87-B78A-F6D6218D9EFB}"/>
            </c:ext>
          </c:extLst>
        </c:ser>
        <c:dLbls>
          <c:showLegendKey val="0"/>
          <c:showVal val="0"/>
          <c:showCatName val="0"/>
          <c:showSerName val="0"/>
          <c:showPercent val="0"/>
          <c:showBubbleSize val="0"/>
        </c:dLbls>
        <c:marker val="1"/>
        <c:smooth val="0"/>
        <c:axId val="483306552"/>
        <c:axId val="483304592"/>
      </c:lineChart>
      <c:catAx>
        <c:axId val="48330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483304592"/>
        <c:crosses val="autoZero"/>
        <c:auto val="1"/>
        <c:lblAlgn val="ctr"/>
        <c:lblOffset val="100"/>
        <c:noMultiLvlLbl val="0"/>
      </c:catAx>
      <c:valAx>
        <c:axId val="483304592"/>
        <c:scaling>
          <c:orientation val="minMax"/>
          <c:max val="220000000.00000003"/>
          <c:min val="0"/>
        </c:scaling>
        <c:delete val="0"/>
        <c:axPos val="l"/>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3306552"/>
        <c:crosses val="autoZero"/>
        <c:crossBetween val="between"/>
        <c:dispUnits>
          <c:builtInUnit val="millions"/>
          <c:dispUnitsLbl>
            <c:layout>
              <c:manualLayout>
                <c:xMode val="edge"/>
                <c:yMode val="edge"/>
                <c:x val="1.0146005398961983E-3"/>
                <c:y val="8.8670365068002858E-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1"/>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2"/>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ayout>
        <c:manualLayout>
          <c:xMode val="edge"/>
          <c:yMode val="edge"/>
          <c:x val="0.63050346260962009"/>
          <c:y val="1.9531789150289313E-2"/>
          <c:w val="0.17143757193890002"/>
          <c:h val="0.1562287597263568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0089964439917E-2"/>
          <c:y val="9.2879889779688002E-3"/>
          <c:w val="0.87550485656990695"/>
          <c:h val="0.92242359853848754"/>
        </c:manualLayout>
      </c:layout>
      <c:lineChart>
        <c:grouping val="standard"/>
        <c:varyColors val="0"/>
        <c:ser>
          <c:idx val="1"/>
          <c:order val="1"/>
          <c:tx>
            <c:strRef>
              <c:f>Gráficos!$R$116</c:f>
              <c:strCache>
                <c:ptCount val="1"/>
                <c:pt idx="0">
                  <c:v>2018</c:v>
                </c:pt>
              </c:strCache>
            </c:strRef>
          </c:tx>
          <c:spPr>
            <a:ln w="50800" cap="rnd">
              <a:solidFill>
                <a:schemeClr val="tx1">
                  <a:lumMod val="95000"/>
                  <a:lumOff val="5000"/>
                </a:schemeClr>
              </a:solidFill>
              <a:round/>
            </a:ln>
            <a:effectLst/>
          </c:spPr>
          <c:marker>
            <c:symbol val="circle"/>
            <c:size val="7"/>
            <c:spPr>
              <a:solidFill>
                <a:schemeClr val="tx1"/>
              </a:solidFill>
              <a:ln w="3175">
                <a:solidFill>
                  <a:schemeClr val="tx1">
                    <a:lumMod val="95000"/>
                    <a:lumOff val="5000"/>
                  </a:schemeClr>
                </a:solidFill>
              </a:ln>
              <a:effectLst/>
            </c:spPr>
          </c:marker>
          <c:dLbls>
            <c:dLbl>
              <c:idx val="0"/>
              <c:layout>
                <c:manualLayout>
                  <c:x val="-5.8206589593145813E-2"/>
                  <c:y val="-3.41451954510204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1BE-4DE6-9C01-060AF4899502}"/>
                </c:ext>
                <c:ext xmlns:c15="http://schemas.microsoft.com/office/drawing/2012/chart" uri="{CE6537A1-D6FC-4f65-9D91-7224C49458BB}"/>
              </c:extLst>
            </c:dLbl>
            <c:dLbl>
              <c:idx val="1"/>
              <c:layout>
                <c:manualLayout>
                  <c:x val="-8.3199991933758627E-2"/>
                  <c:y val="1.26206617814027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1BE-4DE6-9C01-060AF4899502}"/>
                </c:ext>
                <c:ext xmlns:c15="http://schemas.microsoft.com/office/drawing/2012/chart" uri="{CE6537A1-D6FC-4f65-9D91-7224C49458BB}"/>
              </c:extLst>
            </c:dLbl>
            <c:dLbl>
              <c:idx val="2"/>
              <c:layout>
                <c:manualLayout>
                  <c:x val="-9.3251230101810023E-2"/>
                  <c:y val="8.280657982493515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1BE-4DE6-9C01-060AF4899502}"/>
                </c:ext>
                <c:ext xmlns:c15="http://schemas.microsoft.com/office/drawing/2012/chart" uri="{CE6537A1-D6FC-4f65-9D91-7224C49458BB}"/>
              </c:extLst>
            </c:dLbl>
            <c:dLbl>
              <c:idx val="3"/>
              <c:layout>
                <c:manualLayout>
                  <c:x val="-5.3223290724560002E-2"/>
                  <c:y val="3.4273420753778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1BE-4DE6-9C01-060AF4899502}"/>
                </c:ext>
                <c:ext xmlns:c15="http://schemas.microsoft.com/office/drawing/2012/chart" uri="{CE6537A1-D6FC-4f65-9D91-7224C49458BB}"/>
              </c:extLst>
            </c:dLbl>
            <c:dLbl>
              <c:idx val="4"/>
              <c:layout>
                <c:manualLayout>
                  <c:x val="-5.8760267249506351E-2"/>
                  <c:y val="3.2141681935860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1BE-4DE6-9C01-060AF4899502}"/>
                </c:ext>
                <c:ext xmlns:c15="http://schemas.microsoft.com/office/drawing/2012/chart" uri="{CE6537A1-D6FC-4f65-9D91-7224C49458BB}"/>
              </c:extLst>
            </c:dLbl>
            <c:dLbl>
              <c:idx val="5"/>
              <c:layout>
                <c:manualLayout>
                  <c:x val="-8.0530304165272598E-2"/>
                  <c:y val="1.08615893713564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1BE-4DE6-9C01-060AF4899502}"/>
                </c:ext>
                <c:ext xmlns:c15="http://schemas.microsoft.com/office/drawing/2012/chart" uri="{CE6537A1-D6FC-4f65-9D91-7224C49458BB}"/>
              </c:extLst>
            </c:dLbl>
            <c:dLbl>
              <c:idx val="6"/>
              <c:layout>
                <c:manualLayout>
                  <c:x val="-4.3276261753039849E-2"/>
                  <c:y val="2.7142920390002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1BE-4DE6-9C01-060AF4899502}"/>
                </c:ext>
                <c:ext xmlns:c15="http://schemas.microsoft.com/office/drawing/2012/chart" uri="{CE6537A1-D6FC-4f65-9D91-7224C49458BB}"/>
              </c:extLst>
            </c:dLbl>
            <c:dLbl>
              <c:idx val="7"/>
              <c:layout>
                <c:manualLayout>
                  <c:x val="-5.1619451390374618E-2"/>
                  <c:y val="-3.40487945604191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1BE-4DE6-9C01-060AF4899502}"/>
                </c:ext>
                <c:ext xmlns:c15="http://schemas.microsoft.com/office/drawing/2012/chart" uri="{CE6537A1-D6FC-4f65-9D91-7224C49458BB}"/>
              </c:extLst>
            </c:dLbl>
            <c:dLbl>
              <c:idx val="8"/>
              <c:layout>
                <c:manualLayout>
                  <c:x val="-4.4700238304826771E-2"/>
                  <c:y val="2.94151250855109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F1BE-4DE6-9C01-060AF4899502}"/>
                </c:ext>
                <c:ext xmlns:c15="http://schemas.microsoft.com/office/drawing/2012/chart" uri="{CE6537A1-D6FC-4f65-9D91-7224C49458BB}"/>
              </c:extLst>
            </c:dLbl>
            <c:dLbl>
              <c:idx val="9"/>
              <c:layout>
                <c:manualLayout>
                  <c:x val="-3.7821246830493198E-2"/>
                  <c:y val="-2.49774707548261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1BE-4DE6-9C01-060AF4899502}"/>
                </c:ext>
                <c:ext xmlns:c15="http://schemas.microsoft.com/office/drawing/2012/chart" uri="{CE6537A1-D6FC-4f65-9D91-7224C49458BB}"/>
              </c:extLst>
            </c:dLbl>
            <c:dLbl>
              <c:idx val="10"/>
              <c:layout>
                <c:manualLayout>
                  <c:x val="-4.3396730551827405E-2"/>
                  <c:y val="3.8585762979399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F1BE-4DE6-9C01-060AF4899502}"/>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xmlns:c16r2="http://schemas.microsoft.com/office/drawing/2015/06/chart">
            <c:ext xmlns:c16="http://schemas.microsoft.com/office/drawing/2014/chart" uri="{C3380CC4-5D6E-409C-BE32-E72D297353CC}">
              <c16:uniqueId val="{00000017-F1BE-4DE6-9C01-060AF4899502}"/>
            </c:ex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56-4729-9033-06DC224F3404}"/>
                      </c:ext>
                      <c:ext uri="{CE6537A1-D6FC-4f65-9D91-7224C49458BB}"/>
                    </c:extLst>
                  </c15:dLbl>
                </c15:categoryFilterException>
              </c15:categoryFilterExceptions>
            </c:ext>
          </c:extLst>
        </c:ser>
        <c:ser>
          <c:idx val="2"/>
          <c:order val="2"/>
          <c:tx>
            <c:strRef>
              <c:f>Gráficos!$S$116</c:f>
              <c:strCache>
                <c:ptCount val="1"/>
                <c:pt idx="0">
                  <c:v>2019</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2401035109192357E-2"/>
                  <c:y val="3.05389095416887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F1BE-4DE6-9C01-060AF4899502}"/>
                </c:ext>
                <c:ext xmlns:c15="http://schemas.microsoft.com/office/drawing/2012/chart" uri="{CE6537A1-D6FC-4f65-9D91-7224C49458BB}"/>
              </c:extLst>
            </c:dLbl>
            <c:dLbl>
              <c:idx val="1"/>
              <c:layout>
                <c:manualLayout>
                  <c:x val="-5.8849394099729127E-2"/>
                  <c:y val="-5.92423604612295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F1BE-4DE6-9C01-060AF4899502}"/>
                </c:ext>
                <c:ext xmlns:c15="http://schemas.microsoft.com/office/drawing/2012/chart" uri="{CE6537A1-D6FC-4f65-9D91-7224C49458BB}"/>
              </c:extLst>
            </c:dLbl>
            <c:dLbl>
              <c:idx val="2"/>
              <c:layout>
                <c:manualLayout>
                  <c:x val="-6.3017729949252824E-2"/>
                  <c:y val="3.5640658896516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F1BE-4DE6-9C01-060AF4899502}"/>
                </c:ext>
                <c:ext xmlns:c15="http://schemas.microsoft.com/office/drawing/2012/chart" uri="{CE6537A1-D6FC-4f65-9D91-7224C49458BB}"/>
              </c:extLst>
            </c:dLbl>
            <c:dLbl>
              <c:idx val="3"/>
              <c:layout>
                <c:manualLayout>
                  <c:x val="9.8629303500580301E-3"/>
                  <c:y val="8.033402999270954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F1BE-4DE6-9C01-060AF4899502}"/>
                </c:ext>
                <c:ext xmlns:c15="http://schemas.microsoft.com/office/drawing/2012/chart" uri="{CE6537A1-D6FC-4f65-9D91-7224C49458BB}"/>
              </c:extLst>
            </c:dLbl>
            <c:dLbl>
              <c:idx val="4"/>
              <c:layout>
                <c:manualLayout>
                  <c:x val="-4.3868214015886316E-2"/>
                  <c:y val="-3.13835569054986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F1BE-4DE6-9C01-060AF4899502}"/>
                </c:ext>
                <c:ext xmlns:c15="http://schemas.microsoft.com/office/drawing/2012/chart" uri="{CE6537A1-D6FC-4f65-9D91-7224C49458BB}"/>
              </c:extLst>
            </c:dLbl>
            <c:dLbl>
              <c:idx val="5"/>
              <c:layout>
                <c:manualLayout>
                  <c:x val="-2.0192252738441732E-2"/>
                  <c:y val="-2.6146724160206258E-2"/>
                </c:manualLayout>
              </c:layout>
              <c:numFmt formatCode="&quot;R$&quot;\ 0.00;;_(@_)"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F1BE-4DE6-9C01-060AF4899502}"/>
                </c:ext>
                <c:ext xmlns:c15="http://schemas.microsoft.com/office/drawing/2012/chart" uri="{CE6537A1-D6FC-4f65-9D91-7224C49458BB}">
                  <c15:layout>
                    <c:manualLayout>
                      <c:w val="7.5724429603414897E-2"/>
                      <c:h val="5.3626097365466342E-2"/>
                    </c:manualLayout>
                  </c15:layout>
                </c:ext>
              </c:extLst>
            </c:dLbl>
            <c:dLbl>
              <c:idx val="6"/>
              <c:layout>
                <c:manualLayout>
                  <c:x val="-1.403865899198781E-2"/>
                  <c:y val="-3.12112326151130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F1BE-4DE6-9C01-060AF4899502}"/>
                </c:ext>
                <c:ext xmlns:c15="http://schemas.microsoft.com/office/drawing/2012/chart" uri="{CE6537A1-D6FC-4f65-9D91-7224C49458BB}"/>
              </c:extLst>
            </c:dLbl>
            <c:dLbl>
              <c:idx val="7"/>
              <c:layout>
                <c:manualLayout>
                  <c:x val="-2.6192663686339629E-2"/>
                  <c:y val="-3.35476999885891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F1BE-4DE6-9C01-060AF4899502}"/>
                </c:ext>
                <c:ext xmlns:c15="http://schemas.microsoft.com/office/drawing/2012/chart" uri="{CE6537A1-D6FC-4f65-9D91-7224C49458BB}"/>
              </c:extLst>
            </c:dLbl>
            <c:dLbl>
              <c:idx val="8"/>
              <c:layout>
                <c:manualLayout>
                  <c:x val="-3.8665243091965673E-2"/>
                  <c:y val="3.2442113050395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F1BE-4DE6-9C01-060AF4899502}"/>
                </c:ext>
                <c:ext xmlns:c15="http://schemas.microsoft.com/office/drawing/2012/chart" uri="{CE6537A1-D6FC-4f65-9D91-7224C49458BB}"/>
              </c:extLst>
            </c:dLbl>
            <c:dLbl>
              <c:idx val="9"/>
              <c:layout>
                <c:manualLayout>
                  <c:x val="-5.155866876852943E-2"/>
                  <c:y val="5.26419571025482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F1BE-4DE6-9C01-060AF4899502}"/>
                </c:ext>
                <c:ext xmlns:c15="http://schemas.microsoft.com/office/drawing/2012/chart" uri="{CE6537A1-D6FC-4f65-9D91-7224C49458BB}"/>
              </c:extLst>
            </c:dLbl>
            <c:dLbl>
              <c:idx val="10"/>
              <c:layout>
                <c:manualLayout>
                  <c:x val="-2.9943619603070681E-2"/>
                  <c:y val="2.64024187340491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F1BE-4DE6-9C01-060AF4899502}"/>
                </c:ext>
                <c:ext xmlns:c15="http://schemas.microsoft.com/office/drawing/2012/chart" uri="{CE6537A1-D6FC-4f65-9D91-7224C49458BB}"/>
              </c:extLst>
            </c:dLbl>
            <c:dLbl>
              <c:idx val="11"/>
              <c:layout>
                <c:manualLayout>
                  <c:x val="-1.544758284707198E-2"/>
                  <c:y val="3.2476373342997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B5-4E0D-ACE9-4A9DAC5C8962}"/>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xmlns:c16r2="http://schemas.microsoft.com/office/drawing/2015/06/chart">
            <c:ext xmlns:c16="http://schemas.microsoft.com/office/drawing/2014/chart" uri="{C3380CC4-5D6E-409C-BE32-E72D297353CC}">
              <c16:uniqueId val="{00000023-F1BE-4DE6-9C01-060AF4899502}"/>
            </c:ex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56-4729-9033-06DC224F3404}"/>
                      </c:ext>
                      <c:ext uri="{CE6537A1-D6FC-4f65-9D91-7224C49458BB}"/>
                    </c:extLst>
                  </c15:dLbl>
                </c15:categoryFilterException>
              </c15:categoryFilterExceptions>
            </c:ext>
          </c:extLst>
        </c:ser>
        <c:ser>
          <c:idx val="3"/>
          <c:order val="3"/>
          <c:tx>
            <c:strRef>
              <c:f>Gráficos!$T$116</c:f>
              <c:strCache>
                <c:ptCount val="1"/>
                <c:pt idx="0">
                  <c:v>2020</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4.7198282410999319E-2"/>
                  <c:y val="3.40264609765612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A43-4B1F-B8E9-DD0A9E48DE1B}"/>
                </c:ext>
                <c:ext xmlns:c15="http://schemas.microsoft.com/office/drawing/2012/chart" uri="{CE6537A1-D6FC-4f65-9D91-7224C49458BB}"/>
              </c:extLst>
            </c:dLbl>
            <c:dLbl>
              <c:idx val="1"/>
              <c:layout>
                <c:manualLayout>
                  <c:x val="-1.413867611871454E-3"/>
                  <c:y val="-1.79025190218669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C75-42D7-92F3-1AEAD10E4FAB}"/>
                </c:ext>
                <c:ext xmlns:c15="http://schemas.microsoft.com/office/drawing/2012/chart" uri="{CE6537A1-D6FC-4f65-9D91-7224C49458BB}"/>
              </c:extLst>
            </c:dLbl>
            <c:dLbl>
              <c:idx val="3"/>
              <c:layout>
                <c:manualLayout>
                  <c:x val="-5.984351053345912E-2"/>
                  <c:y val="2.6059749271994757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68E-4254-963E-2F4FFCDC2183}"/>
                </c:ext>
                <c:ext xmlns:c15="http://schemas.microsoft.com/office/drawing/2012/chart" uri="{CE6537A1-D6FC-4f65-9D91-7224C49458BB}">
                  <c15:layout>
                    <c:manualLayout>
                      <c:w val="7.6196390181630713E-2"/>
                      <c:h val="5.5902876459759401E-2"/>
                    </c:manualLayout>
                  </c15:layout>
                </c:ext>
              </c:extLst>
            </c:dLbl>
            <c:dLbl>
              <c:idx val="4"/>
              <c:layout>
                <c:manualLayout>
                  <c:x val="-1.1134920161745675E-2"/>
                  <c:y val="1.5870621435844851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A9B-4271-8CE2-5210D91F15BC}"/>
                </c:ext>
                <c:ext xmlns:c15="http://schemas.microsoft.com/office/drawing/2012/chart" uri="{CE6537A1-D6FC-4f65-9D91-7224C49458BB}">
                  <c15:layout>
                    <c:manualLayout>
                      <c:w val="7.8424689362030453E-2"/>
                      <c:h val="6.2688249516924421E-2"/>
                    </c:manualLayout>
                  </c15:layout>
                </c:ext>
              </c:extLst>
            </c:dLbl>
            <c:dLbl>
              <c:idx val="5"/>
              <c:layout>
                <c:manualLayout>
                  <c:x val="-8.777118772441185E-2"/>
                  <c:y val="-2.27753076620539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82D-4E7B-AA1C-FDE020115391}"/>
                </c:ext>
                <c:ext xmlns:c15="http://schemas.microsoft.com/office/drawing/2012/chart" uri="{CE6537A1-D6FC-4f65-9D91-7224C49458BB}"/>
              </c:extLst>
            </c:dLbl>
            <c:dLbl>
              <c:idx val="6"/>
              <c:layout>
                <c:manualLayout>
                  <c:x val="-5.704522209488519E-2"/>
                  <c:y val="-3.62948884686834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40B-4175-B767-CB983D9814EA}"/>
                </c:ext>
                <c:ext xmlns:c15="http://schemas.microsoft.com/office/drawing/2012/chart" uri="{CE6537A1-D6FC-4f65-9D91-7224C49458BB}"/>
              </c:extLst>
            </c:dLbl>
            <c:dLbl>
              <c:idx val="7"/>
              <c:layout>
                <c:manualLayout>
                  <c:x val="-4.1645543303822932E-2"/>
                  <c:y val="-2.94895995130197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40B-4175-B767-CB983D9814EA}"/>
                </c:ext>
                <c:ext xmlns:c15="http://schemas.microsoft.com/office/drawing/2012/chart" uri="{CE6537A1-D6FC-4f65-9D91-7224C49458BB}"/>
              </c:extLst>
            </c:dLbl>
            <c:dLbl>
              <c:idx val="8"/>
              <c:layout>
                <c:manualLayout>
                  <c:x val="-3.2361360573207126E-2"/>
                  <c:y val="-7.0272611314026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B5-4E0D-ACE9-4A9DAC5C8962}"/>
                </c:ext>
                <c:ext xmlns:c15="http://schemas.microsoft.com/office/drawing/2012/chart" uri="{CE6537A1-D6FC-4f65-9D91-7224C49458BB}"/>
              </c:extLst>
            </c:dLbl>
            <c:dLbl>
              <c:idx val="9"/>
              <c:layout>
                <c:manualLayout>
                  <c:x val="-3.9462637837633881E-2"/>
                  <c:y val="-6.11897907805241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C9F-4E5E-9907-4041ABDA72D7}"/>
                </c:ext>
                <c:ext xmlns:c15="http://schemas.microsoft.com/office/drawing/2012/chart" uri="{CE6537A1-D6FC-4f65-9D91-7224C49458BB}"/>
              </c:extLst>
            </c:dLbl>
            <c:dLbl>
              <c:idx val="10"/>
              <c:layout>
                <c:manualLayout>
                  <c:x val="-2.5368838609907497E-2"/>
                  <c:y val="-6.34560793279509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49C-4535-B40C-521CA73D2F5F}"/>
                </c:ext>
                <c:ext xmlns:c15="http://schemas.microsoft.com/office/drawing/2012/chart" uri="{CE6537A1-D6FC-4f65-9D91-7224C49458BB}"/>
              </c:extLst>
            </c:dLbl>
            <c:dLbl>
              <c:idx val="11"/>
              <c:layout>
                <c:manualLayout>
                  <c:x val="-6.917153309280521E-3"/>
                  <c:y val="-5.75333491309015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2FC-4F3B-9A5C-1DA39CC7B933}"/>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Gráficos!$T$116:$T$128</c15:sqref>
                  </c15:fullRef>
                </c:ext>
              </c:extLst>
              <c:f>Gráficos!$T$117:$T$128</c:f>
              <c:numCache>
                <c:formatCode>_-[$R$-416]\ * #,##0_-;\-[$R$-416]\ * #,##0_-;_-[$R$-416]\ * "-"??_-;_-@_-</c:formatCode>
                <c:ptCount val="12"/>
                <c:pt idx="0">
                  <c:v>22576388.020000003</c:v>
                </c:pt>
                <c:pt idx="1">
                  <c:v>21791063.839999996</c:v>
                </c:pt>
                <c:pt idx="2">
                  <c:v>15811503.18999999</c:v>
                </c:pt>
                <c:pt idx="3">
                  <c:v>8141870.1900000051</c:v>
                </c:pt>
                <c:pt idx="4">
                  <c:v>8658705.8900000006</c:v>
                </c:pt>
                <c:pt idx="5">
                  <c:v>11852236.879999995</c:v>
                </c:pt>
                <c:pt idx="6">
                  <c:v>15414639.370000005</c:v>
                </c:pt>
                <c:pt idx="7">
                  <c:v>16518182.859999985</c:v>
                </c:pt>
                <c:pt idx="8">
                  <c:v>12575439.830000013</c:v>
                </c:pt>
                <c:pt idx="9">
                  <c:v>13091764.559999973</c:v>
                </c:pt>
                <c:pt idx="10">
                  <c:v>11490553.480000019</c:v>
                </c:pt>
                <c:pt idx="11">
                  <c:v>11503465.950000048</c:v>
                </c:pt>
              </c:numCache>
            </c:numRef>
          </c:val>
          <c:smooth val="0"/>
          <c:extLst xmlns:c16r2="http://schemas.microsoft.com/office/drawing/2015/06/chart">
            <c:ext xmlns:c16="http://schemas.microsoft.com/office/drawing/2014/chart" uri="{C3380CC4-5D6E-409C-BE32-E72D297353CC}">
              <c16:uniqueId val="{00000003-AA43-4B1F-B8E9-DD0A9E48DE1B}"/>
            </c:ext>
          </c:extLst>
        </c:ser>
        <c:dLbls>
          <c:showLegendKey val="0"/>
          <c:showVal val="0"/>
          <c:showCatName val="0"/>
          <c:showSerName val="0"/>
          <c:showPercent val="0"/>
          <c:showBubbleSize val="0"/>
        </c:dLbls>
        <c:marker val="1"/>
        <c:smooth val="0"/>
        <c:axId val="483293616"/>
        <c:axId val="483294400"/>
        <c:extLst xmlns:c16r2="http://schemas.microsoft.com/office/drawing/2015/06/chart">
          <c:ext xmlns:c15="http://schemas.microsoft.com/office/drawing/2012/chart" uri="{02D57815-91ED-43cb-92C2-25804820EDAC}">
            <c15:filteredLineSeries>
              <c15:ser>
                <c:idx val="0"/>
                <c:order val="0"/>
                <c:spPr>
                  <a:ln w="28575" cap="rnd">
                    <a:solidFill>
                      <a:schemeClr val="tx1"/>
                    </a:solidFill>
                    <a:round/>
                  </a:ln>
                  <a:effectLst/>
                </c:spPr>
                <c:marker>
                  <c:symbol val="circle"/>
                  <c:size val="5"/>
                  <c:spPr>
                    <a:solidFill>
                      <a:schemeClr val="tx1"/>
                    </a:solidFill>
                    <a:ln w="3175">
                      <a:noFill/>
                    </a:ln>
                    <a:effectLst/>
                  </c:spPr>
                </c:marker>
                <c:dLbls>
                  <c:dLbl>
                    <c:idx val="0"/>
                    <c:layout>
                      <c:manualLayout>
                        <c:x val="-4.7572982994845789E-2"/>
                        <c:y val="-3.27918630853801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1BE-4DE6-9C01-060AF4899502}"/>
                      </c:ext>
                      <c:ext uri="{CE6537A1-D6FC-4f65-9D91-7224C49458BB}"/>
                    </c:extLst>
                  </c:dLbl>
                  <c:dLbl>
                    <c:idx val="1"/>
                    <c:layout>
                      <c:manualLayout>
                        <c:x val="-5.932594157550667E-2"/>
                        <c:y val="6.20713373966473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BE-4DE6-9C01-060AF4899502}"/>
                      </c:ext>
                      <c:ext uri="{CE6537A1-D6FC-4f65-9D91-7224C49458BB}"/>
                    </c:extLst>
                  </c:dLbl>
                  <c:dLbl>
                    <c:idx val="2"/>
                    <c:layout>
                      <c:manualLayout>
                        <c:x val="-8.53935665697249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1BE-4DE6-9C01-060AF4899502}"/>
                      </c:ext>
                      <c:ext uri="{CE6537A1-D6FC-4f65-9D91-7224C49458BB}"/>
                    </c:extLst>
                  </c:dLbl>
                  <c:dLbl>
                    <c:idx val="3"/>
                    <c:layout>
                      <c:manualLayout>
                        <c:x val="-4.1996836017897485E-2"/>
                        <c:y val="4.99345167968703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1BE-4DE6-9C01-060AF4899502}"/>
                      </c:ext>
                      <c:ext uri="{CE6537A1-D6FC-4f65-9D91-7224C49458BB}"/>
                    </c:extLst>
                  </c:dLbl>
                  <c:dLbl>
                    <c:idx val="4"/>
                    <c:layout>
                      <c:manualLayout>
                        <c:x val="-4.7638628540663717E-2"/>
                        <c:y val="-3.63159996431590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1BE-4DE6-9C01-060AF4899502}"/>
                      </c:ext>
                      <c:ext uri="{CE6537A1-D6FC-4f65-9D91-7224C49458BB}"/>
                    </c:extLst>
                  </c:dLbl>
                  <c:dLbl>
                    <c:idx val="5"/>
                    <c:layout>
                      <c:manualLayout>
                        <c:x val="-4.3342961519248491E-2"/>
                        <c:y val="0.1204069833953632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1BE-4DE6-9C01-060AF4899502}"/>
                      </c:ext>
                      <c:ext uri="{CE6537A1-D6FC-4f65-9D91-7224C49458BB}"/>
                    </c:extLst>
                  </c:dLbl>
                  <c:dLbl>
                    <c:idx val="6"/>
                    <c:layout>
                      <c:manualLayout>
                        <c:x val="-3.9197046950037652E-2"/>
                        <c:y val="3.8585762979399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1BE-4DE6-9C01-060AF4899502}"/>
                      </c:ext>
                      <c:ext uri="{CE6537A1-D6FC-4f65-9D91-7224C49458BB}"/>
                    </c:extLst>
                  </c:dLbl>
                  <c:dLbl>
                    <c:idx val="7"/>
                    <c:layout>
                      <c:manualLayout>
                        <c:x val="-4.1996836017897485E-2"/>
                        <c:y val="6.1283270614341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1BE-4DE6-9C01-060AF4899502}"/>
                      </c:ext>
                      <c:ext uri="{CE6537A1-D6FC-4f65-9D91-7224C49458BB}"/>
                    </c:extLst>
                  </c:dLbl>
                  <c:dLbl>
                    <c:idx val="8"/>
                    <c:layout>
                      <c:manualLayout>
                        <c:x val="-3.4997363348247906E-2"/>
                        <c:y val="4.53950152698823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1BE-4DE6-9C01-060AF4899502}"/>
                      </c:ext>
                      <c:ext uri="{CE6537A1-D6FC-4f65-9D91-7224C49458BB}"/>
                    </c:extLst>
                  </c:dLbl>
                  <c:dLbl>
                    <c:idx val="9"/>
                    <c:layout>
                      <c:manualLayout>
                        <c:x val="-3.9197046950037756E-2"/>
                        <c:y val="4.53950152698823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1BE-4DE6-9C01-060AF4899502}"/>
                      </c:ext>
                      <c:ext uri="{CE6537A1-D6FC-4f65-9D91-7224C49458BB}"/>
                    </c:extLst>
                  </c:dLbl>
                  <c:dLbl>
                    <c:idx val="10"/>
                    <c:layout>
                      <c:manualLayout>
                        <c:x val="-2.7997890678598428E-2"/>
                        <c:y val="-3.8585762979399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1BE-4DE6-9C01-060AF4899502}"/>
                      </c:ext>
                      <c:ex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1587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xmlns:c16r2="http://schemas.microsoft.com/office/drawing/2015/06/chart">
                  <c:ext xmlns:c16="http://schemas.microsoft.com/office/drawing/2014/chart" uri="{C3380CC4-5D6E-409C-BE32-E72D297353CC}">
                    <c16:uniqueId val="{0000000B-F1BE-4DE6-9C01-060AF4899502}"/>
                  </c:ex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556-4729-9033-06DC224F3404}"/>
                            </c:ext>
                            <c:ext uri="{CE6537A1-D6FC-4f65-9D91-7224C49458BB}"/>
                          </c:extLst>
                        </c15:dLbl>
                      </c15:categoryFilterException>
                    </c15:categoryFilterExceptions>
                  </c:ext>
                </c:extLst>
              </c15:ser>
            </c15:filteredLineSeries>
          </c:ext>
        </c:extLst>
      </c:lineChart>
      <c:catAx>
        <c:axId val="48329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483294400"/>
        <c:crosses val="autoZero"/>
        <c:auto val="1"/>
        <c:lblAlgn val="ctr"/>
        <c:lblOffset val="100"/>
        <c:noMultiLvlLbl val="0"/>
      </c:catAx>
      <c:valAx>
        <c:axId val="483294400"/>
        <c:scaling>
          <c:orientation val="minMax"/>
          <c:max val="23000000"/>
          <c:min val="6500000"/>
        </c:scaling>
        <c:delete val="0"/>
        <c:axPos val="l"/>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3293616"/>
        <c:crosses val="autoZero"/>
        <c:crossBetween val="between"/>
        <c:dispUnits>
          <c:builtInUnit val="millions"/>
          <c:dispUnitsLbl>
            <c:layout>
              <c:manualLayout>
                <c:xMode val="edge"/>
                <c:yMode val="edge"/>
                <c:x val="1.0249806337745864E-2"/>
                <c:y val="2.2661551711199174E-2"/>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11405594862831739"/>
          <c:y val="0.73445221026168661"/>
          <c:w val="7.5809605651896081E-2"/>
          <c:h val="0.1393219002288368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1.4791195200462525E-2"/>
                  <c:y val="-6.737574726844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33F-43BF-9E37-08990A252F53}"/>
                </c:ext>
                <c:ext xmlns:c15="http://schemas.microsoft.com/office/drawing/2012/chart" uri="{CE6537A1-D6FC-4f65-9D91-7224C49458BB}"/>
              </c:extLst>
            </c:dLbl>
            <c:dLbl>
              <c:idx val="1"/>
              <c:layout>
                <c:manualLayout>
                  <c:x val="1.8493490774578025E-2"/>
                  <c:y val="-2.935907853757412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33F-43BF-9E37-08990A252F53}"/>
                </c:ext>
                <c:ext xmlns:c15="http://schemas.microsoft.com/office/drawing/2012/chart" uri="{CE6537A1-D6FC-4f65-9D91-7224C49458BB}"/>
              </c:extLst>
            </c:dLbl>
            <c:dLbl>
              <c:idx val="2"/>
              <c:layout>
                <c:manualLayout>
                  <c:x val="2.4022637050429615E-2"/>
                  <c:y val="-3.005083993124677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33F-43BF-9E37-08990A252F53}"/>
                </c:ext>
                <c:ext xmlns:c15="http://schemas.microsoft.com/office/drawing/2012/chart" uri="{CE6537A1-D6FC-4f65-9D91-7224C49458BB}"/>
              </c:extLst>
            </c:dLbl>
            <c:dLbl>
              <c:idx val="3"/>
              <c:layout>
                <c:manualLayout>
                  <c:x val="3.1358471073630836E-2"/>
                  <c:y val="-7.326327109494792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33F-43BF-9E37-08990A252F53}"/>
                </c:ext>
                <c:ext xmlns:c15="http://schemas.microsoft.com/office/drawing/2012/chart" uri="{CE6537A1-D6FC-4f65-9D91-7224C49458BB}"/>
              </c:extLst>
            </c:dLbl>
            <c:dLbl>
              <c:idx val="4"/>
              <c:layout>
                <c:manualLayout>
                  <c:x val="3.135600510079229E-2"/>
                  <c:y val="3.4648485525874597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33F-43BF-9E37-08990A252F53}"/>
                </c:ext>
                <c:ext xmlns:c15="http://schemas.microsoft.com/office/drawing/2012/chart" uri="{CE6537A1-D6FC-4f65-9D91-7224C49458BB}"/>
              </c:extLst>
            </c:dLbl>
            <c:dLbl>
              <c:idx val="5"/>
              <c:layout>
                <c:manualLayout>
                  <c:x val="2.1957348820463501E-2"/>
                  <c:y val="5.311859256976420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33F-43BF-9E37-08990A252F53}"/>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33F-43BF-9E37-08990A252F53}"/>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33F-43BF-9E37-08990A252F53}"/>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33F-43BF-9E37-08990A252F53}"/>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33F-43BF-9E37-08990A252F53}"/>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33F-43BF-9E37-08990A252F53}"/>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33F-43BF-9E37-08990A252F53}"/>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0C-433F-43BF-9E37-08990A252F53}"/>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33F-43BF-9E37-08990A252F53}"/>
                </c:ext>
                <c:ext xmlns:c15="http://schemas.microsoft.com/office/drawing/2012/chart" uri="{CE6537A1-D6FC-4f65-9D91-7224C49458BB}"/>
              </c:extLst>
            </c:dLbl>
            <c:dLbl>
              <c:idx val="1"/>
              <c:layout>
                <c:manualLayout>
                  <c:x val="-5.4936072555303427E-3"/>
                  <c:y val="1.5762191161766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33F-43BF-9E37-08990A252F53}"/>
                </c:ext>
                <c:ext xmlns:c15="http://schemas.microsoft.com/office/drawing/2012/chart" uri="{CE6537A1-D6FC-4f65-9D91-7224C49458BB}"/>
              </c:extLst>
            </c:dLbl>
            <c:dLbl>
              <c:idx val="2"/>
              <c:layout>
                <c:manualLayout>
                  <c:x val="-5.4803038167005524E-3"/>
                  <c:y val="1.57765255280367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33F-43BF-9E37-08990A252F53}"/>
                </c:ext>
                <c:ext xmlns:c15="http://schemas.microsoft.com/office/drawing/2012/chart" uri="{CE6537A1-D6FC-4f65-9D91-7224C49458BB}"/>
              </c:extLst>
            </c:dLbl>
            <c:dLbl>
              <c:idx val="4"/>
              <c:layout>
                <c:manualLayout>
                  <c:x val="-1.8355845259936064E-3"/>
                  <c:y val="3.836376522796223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33F-43BF-9E37-08990A252F53}"/>
                </c:ext>
                <c:ext xmlns:c15="http://schemas.microsoft.com/office/drawing/2012/chart" uri="{CE6537A1-D6FC-4f65-9D91-7224C49458BB}"/>
              </c:extLst>
            </c:dLbl>
            <c:dLbl>
              <c:idx val="6"/>
              <c:layout>
                <c:manualLayout>
                  <c:x val="-7.3689323994689327E-3"/>
                  <c:y val="1.53269904674891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33F-43BF-9E37-08990A252F53}"/>
                </c:ext>
                <c:ext xmlns:c15="http://schemas.microsoft.com/office/drawing/2012/chart" uri="{CE6537A1-D6FC-4f65-9D91-7224C49458BB}"/>
              </c:extLst>
            </c:dLbl>
            <c:dLbl>
              <c:idx val="7"/>
              <c:layout>
                <c:manualLayout>
                  <c:x val="-5.5266803030128726E-3"/>
                  <c:y val="1.91820299118834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33F-43BF-9E37-08990A252F53}"/>
                </c:ext>
                <c:ext xmlns:c15="http://schemas.microsoft.com/office/drawing/2012/chart" uri="{CE6537A1-D6FC-4f65-9D91-7224C49458BB}"/>
              </c:extLst>
            </c:dLbl>
            <c:dLbl>
              <c:idx val="8"/>
              <c:layout>
                <c:manualLayout>
                  <c:x val="-7.368907070684055E-3"/>
                  <c:y val="1.15092179471300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433F-43BF-9E37-08990A252F53}"/>
                </c:ext>
                <c:ext xmlns:c15="http://schemas.microsoft.com/office/drawing/2012/chart" uri="{CE6537A1-D6FC-4f65-9D91-7224C49458BB}"/>
              </c:extLst>
            </c:dLbl>
            <c:dLbl>
              <c:idx val="9"/>
              <c:layout>
                <c:manualLayout>
                  <c:x val="-9.2111338383550345E-3"/>
                  <c:y val="1.91820299118834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433F-43BF-9E37-08990A252F53}"/>
                </c:ext>
                <c:ext xmlns:c15="http://schemas.microsoft.com/office/drawing/2012/chart" uri="{CE6537A1-D6FC-4f65-9D91-7224C49458BB}"/>
              </c:extLst>
            </c:dLbl>
            <c:dLbl>
              <c:idx val="10"/>
              <c:layout>
                <c:manualLayout>
                  <c:x val="-7.3689070706839206E-3"/>
                  <c:y val="1.15092179471300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433F-43BF-9E37-08990A252F53}"/>
                </c:ext>
                <c:ext xmlns:c15="http://schemas.microsoft.com/office/drawing/2012/chart" uri="{CE6537A1-D6FC-4f65-9D91-7224C49458BB}"/>
              </c:extLst>
            </c:dLbl>
            <c:dLbl>
              <c:idx val="11"/>
              <c:layout>
                <c:manualLayout>
                  <c:x val="-4.0630045501247611E-3"/>
                  <c:y val="2.68546899389811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433F-43BF-9E37-08990A252F53}"/>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17-433F-43BF-9E37-08990A252F53}"/>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433F-43BF-9E37-08990A252F53}"/>
                </c:ext>
                <c:ext xmlns:c15="http://schemas.microsoft.com/office/drawing/2012/chart" uri="{CE6537A1-D6FC-4f65-9D91-7224C49458BB}"/>
              </c:extLst>
            </c:dLbl>
            <c:dLbl>
              <c:idx val="1"/>
              <c:layout>
                <c:manualLayout>
                  <c:x val="-6.075533328275675E-2"/>
                  <c:y val="-2.74091572292086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433F-43BF-9E37-08990A252F53}"/>
                </c:ext>
                <c:ext xmlns:c15="http://schemas.microsoft.com/office/drawing/2012/chart" uri="{CE6537A1-D6FC-4f65-9D91-7224C49458BB}"/>
              </c:extLst>
            </c:dLbl>
            <c:dLbl>
              <c:idx val="2"/>
              <c:layout>
                <c:manualLayout>
                  <c:x val="-4.7854668906156854E-2"/>
                  <c:y val="-3.53242367213530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433F-43BF-9E37-08990A252F53}"/>
                </c:ext>
                <c:ext xmlns:c15="http://schemas.microsoft.com/office/drawing/2012/chart" uri="{CE6537A1-D6FC-4f65-9D91-7224C49458BB}"/>
              </c:extLst>
            </c:dLbl>
            <c:dLbl>
              <c:idx val="3"/>
              <c:layout>
                <c:manualLayout>
                  <c:x val="-4.7897895959445512E-2"/>
                  <c:y val="-3.83640598237669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433F-43BF-9E37-08990A252F53}"/>
                </c:ext>
                <c:ext xmlns:c15="http://schemas.microsoft.com/office/drawing/2012/chart" uri="{CE6537A1-D6FC-4f65-9D91-7224C49458BB}"/>
              </c:extLst>
            </c:dLbl>
            <c:dLbl>
              <c:idx val="4"/>
              <c:layout>
                <c:manualLayout>
                  <c:x val="-4.0528988888761559E-2"/>
                  <c:y val="-3.4527653841390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433F-43BF-9E37-08990A252F53}"/>
                </c:ext>
                <c:ext xmlns:c15="http://schemas.microsoft.com/office/drawing/2012/chart" uri="{CE6537A1-D6FC-4f65-9D91-7224C49458BB}"/>
              </c:extLst>
            </c:dLbl>
            <c:dLbl>
              <c:idx val="5"/>
              <c:layout>
                <c:manualLayout>
                  <c:x val="-3.4876105993877242E-2"/>
                  <c:y val="-3.0839137171935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433F-43BF-9E37-08990A252F53}"/>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1E-433F-43BF-9E37-08990A252F53}"/>
            </c:ext>
          </c:extLst>
        </c:ser>
        <c:dLbls>
          <c:showLegendKey val="0"/>
          <c:showVal val="0"/>
          <c:showCatName val="0"/>
          <c:showSerName val="0"/>
          <c:showPercent val="0"/>
          <c:showBubbleSize val="0"/>
        </c:dLbls>
        <c:marker val="1"/>
        <c:smooth val="0"/>
        <c:axId val="484849832"/>
        <c:axId val="484851008"/>
      </c:lineChart>
      <c:catAx>
        <c:axId val="48484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1008"/>
        <c:crosses val="autoZero"/>
        <c:auto val="1"/>
        <c:lblAlgn val="ctr"/>
        <c:lblOffset val="100"/>
        <c:noMultiLvlLbl val="0"/>
      </c:catAx>
      <c:valAx>
        <c:axId val="48485100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49832"/>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CD-40C7-A525-0F1F05B89684}"/>
                </c:ext>
                <c:ext xmlns:c15="http://schemas.microsoft.com/office/drawing/2012/chart" uri="{CE6537A1-D6FC-4f65-9D91-7224C49458BB}"/>
              </c:extLst>
            </c:dLbl>
            <c:dLbl>
              <c:idx val="1"/>
              <c:layout>
                <c:manualLayout>
                  <c:x val="-2.9730929000145203E-2"/>
                  <c:y val="4.07325739747770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5CD-40C7-A525-0F1F05B89684}"/>
                </c:ext>
                <c:ext xmlns:c15="http://schemas.microsoft.com/office/drawing/2012/chart" uri="{CE6537A1-D6FC-4f65-9D91-7224C49458BB}"/>
              </c:extLst>
            </c:dLbl>
            <c:dLbl>
              <c:idx val="2"/>
              <c:layout>
                <c:manualLayout>
                  <c:x val="-2.9728463027306622E-2"/>
                  <c:y val="3.67778702942778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5CD-40C7-A525-0F1F05B89684}"/>
                </c:ext>
                <c:ext xmlns:c15="http://schemas.microsoft.com/office/drawing/2012/chart" uri="{CE6537A1-D6FC-4f65-9D91-7224C49458BB}"/>
              </c:extLst>
            </c:dLbl>
            <c:dLbl>
              <c:idx val="3"/>
              <c:layout>
                <c:manualLayout>
                  <c:x val="-2.973354003020965E-2"/>
                  <c:y val="3.68544148903950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5CD-40C7-A525-0F1F05B89684}"/>
                </c:ext>
                <c:ext xmlns:c15="http://schemas.microsoft.com/office/drawing/2012/chart" uri="{CE6537A1-D6FC-4f65-9D91-7224C49458BB}"/>
              </c:extLst>
            </c:dLbl>
            <c:dLbl>
              <c:idx val="4"/>
              <c:layout>
                <c:manualLayout>
                  <c:x val="-3.3415382535487162E-2"/>
                  <c:y val="4.0757887935697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5CD-40C7-A525-0F1F05B89684}"/>
                </c:ext>
                <c:ext xmlns:c15="http://schemas.microsoft.com/office/drawing/2012/chart" uri="{CE6537A1-D6FC-4f65-9D91-7224C49458BB}"/>
              </c:extLst>
            </c:dLbl>
            <c:dLbl>
              <c:idx val="5"/>
              <c:layout>
                <c:manualLayout>
                  <c:x val="-2.7888702232474222E-2"/>
                  <c:y val="3.68797288513156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5CD-40C7-A525-0F1F05B89684}"/>
                </c:ext>
                <c:ext xmlns:c15="http://schemas.microsoft.com/office/drawing/2012/chart" uri="{CE6537A1-D6FC-4f65-9D91-7224C49458BB}"/>
              </c:extLst>
            </c:dLbl>
            <c:dLbl>
              <c:idx val="6"/>
              <c:layout>
                <c:manualLayout>
                  <c:x val="-2.9730929000145269E-2"/>
                  <c:y val="3.69815874083536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5CD-40C7-A525-0F1F05B89684}"/>
                </c:ext>
                <c:ext xmlns:c15="http://schemas.microsoft.com/office/drawing/2012/chart" uri="{CE6537A1-D6FC-4f65-9D91-7224C49458BB}"/>
              </c:extLst>
            </c:dLbl>
            <c:dLbl>
              <c:idx val="7"/>
              <c:layout>
                <c:manualLayout>
                  <c:x val="-2.6046475464803241E-2"/>
                  <c:y val="4.0757887935697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5CD-40C7-A525-0F1F05B89684}"/>
                </c:ext>
                <c:ext xmlns:c15="http://schemas.microsoft.com/office/drawing/2012/chart" uri="{CE6537A1-D6FC-4f65-9D91-7224C49458BB}"/>
              </c:extLst>
            </c:dLbl>
            <c:dLbl>
              <c:idx val="8"/>
              <c:layout>
                <c:manualLayout>
                  <c:x val="-1.8675102421280707E-2"/>
                  <c:y val="3.30524990454527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5CD-40C7-A525-0F1F05B89684}"/>
                </c:ext>
                <c:ext xmlns:c15="http://schemas.microsoft.com/office/drawing/2012/chart" uri="{CE6537A1-D6FC-4f65-9D91-7224C49458BB}"/>
              </c:extLst>
            </c:dLbl>
            <c:dLbl>
              <c:idx val="9"/>
              <c:layout>
                <c:manualLayout>
                  <c:x val="-2.2362021929461417E-2"/>
                  <c:y val="3.31290436415699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5CD-40C7-A525-0F1F05B89684}"/>
                </c:ext>
                <c:ext xmlns:c15="http://schemas.microsoft.com/office/drawing/2012/chart" uri="{CE6537A1-D6FC-4f65-9D91-7224C49458BB}"/>
              </c:extLst>
            </c:dLbl>
            <c:dLbl>
              <c:idx val="10"/>
              <c:layout>
                <c:manualLayout>
                  <c:x val="-2.4201782724293647E-2"/>
                  <c:y val="3.69053441689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5CD-40C7-A525-0F1F05B89684}"/>
                </c:ext>
                <c:ext xmlns:c15="http://schemas.microsoft.com/office/drawing/2012/chart" uri="{CE6537A1-D6FC-4f65-9D91-7224C49458BB}"/>
              </c:extLst>
            </c:dLbl>
            <c:dLbl>
              <c:idx val="11"/>
              <c:layout>
                <c:manualLayout>
                  <c:x val="-8.137751357698517E-3"/>
                  <c:y val="3.30271383915885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5CD-40C7-A525-0F1F05B89684}"/>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55CD-40C7-A525-0F1F05B89684}"/>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5CD-40C7-A525-0F1F05B89684}"/>
                </c:ext>
                <c:ext xmlns:c15="http://schemas.microsoft.com/office/drawing/2012/chart" uri="{CE6537A1-D6FC-4f65-9D91-7224C49458BB}"/>
              </c:extLst>
            </c:dLbl>
            <c:dLbl>
              <c:idx val="1"/>
              <c:layout>
                <c:manualLayout>
                  <c:x val="-3.6209184704411815E-3"/>
                  <c:y val="7.8581767258018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5CD-40C7-A525-0F1F05B89684}"/>
                </c:ext>
                <c:ext xmlns:c15="http://schemas.microsoft.com/office/drawing/2012/chart" uri="{CE6537A1-D6FC-4f65-9D91-7224C49458BB}"/>
              </c:extLst>
            </c:dLbl>
            <c:dLbl>
              <c:idx val="2"/>
              <c:layout>
                <c:manualLayout>
                  <c:x val="-5.4631452381122287E-3"/>
                  <c:y val="1.9390795421909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5CD-40C7-A525-0F1F05B89684}"/>
                </c:ext>
                <c:ext xmlns:c15="http://schemas.microsoft.com/office/drawing/2012/chart" uri="{CE6537A1-D6FC-4f65-9D91-7224C49458BB}"/>
              </c:extLst>
            </c:dLbl>
            <c:dLbl>
              <c:idx val="3"/>
              <c:layout>
                <c:manualLayout>
                  <c:x val="-3.6844535353419603E-3"/>
                  <c:y val="1.5308919223452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5CD-40C7-A525-0F1F05B89684}"/>
                </c:ext>
                <c:ext xmlns:c15="http://schemas.microsoft.com/office/drawing/2012/chart" uri="{CE6537A1-D6FC-4f65-9D91-7224C49458BB}"/>
              </c:extLst>
            </c:dLbl>
            <c:dLbl>
              <c:idx val="4"/>
              <c:layout>
                <c:manualLayout>
                  <c:x val="-5.5266803030129402E-3"/>
                  <c:y val="1.5308919223452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5CD-40C7-A525-0F1F05B89684}"/>
                </c:ext>
                <c:ext xmlns:c15="http://schemas.microsoft.com/office/drawing/2012/chart" uri="{CE6537A1-D6FC-4f65-9D91-7224C49458BB}"/>
              </c:extLst>
            </c:dLbl>
            <c:dLbl>
              <c:idx val="5"/>
              <c:layout>
                <c:manualLayout>
                  <c:x val="-5.513982794637060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5CD-40C7-A525-0F1F05B89684}"/>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3-55CD-40C7-A525-0F1F05B89684}"/>
            </c:ext>
          </c:extLst>
        </c:ser>
        <c:dLbls>
          <c:showLegendKey val="0"/>
          <c:showVal val="0"/>
          <c:showCatName val="0"/>
          <c:showSerName val="0"/>
          <c:showPercent val="0"/>
          <c:showBubbleSize val="0"/>
        </c:dLbls>
        <c:marker val="1"/>
        <c:smooth val="0"/>
        <c:axId val="484860024"/>
        <c:axId val="484856888"/>
      </c:lineChart>
      <c:catAx>
        <c:axId val="48486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6888"/>
        <c:crosses val="autoZero"/>
        <c:auto val="1"/>
        <c:lblAlgn val="ctr"/>
        <c:lblOffset val="100"/>
        <c:noMultiLvlLbl val="0"/>
      </c:catAx>
      <c:valAx>
        <c:axId val="48485688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0024"/>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5846176427417"/>
          <c:y val="4.1406210635201501E-2"/>
          <c:w val="0.82700003669455457"/>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04D-4E20-B38A-200C0FD1FC49}"/>
                </c:ext>
                <c:ext xmlns:c15="http://schemas.microsoft.com/office/drawing/2012/chart" uri="{CE6537A1-D6FC-4f65-9D91-7224C49458BB}"/>
              </c:extLst>
            </c:dLbl>
            <c:dLbl>
              <c:idx val="11"/>
              <c:layout>
                <c:manualLayout>
                  <c:x val="-3.876372411338664E-3"/>
                  <c:y val="-1.725238846360355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04D-4E20-B38A-200C0FD1FC4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2-C04D-4E20-B38A-200C0FD1FC49}"/>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04D-4E20-B38A-200C0FD1FC49}"/>
                </c:ext>
                <c:ext xmlns:c15="http://schemas.microsoft.com/office/drawing/2012/chart" uri="{CE6537A1-D6FC-4f65-9D91-7224C49458BB}"/>
              </c:extLst>
            </c:dLbl>
            <c:dLbl>
              <c:idx val="1"/>
              <c:layout>
                <c:manualLayout>
                  <c:x val="-6.0249283325688229E-3"/>
                  <c:y val="7.04330826949845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04D-4E20-B38A-200C0FD1FC49}"/>
                </c:ext>
                <c:ext xmlns:c15="http://schemas.microsoft.com/office/drawing/2012/chart" uri="{CE6537A1-D6FC-4f65-9D91-7224C49458BB}"/>
              </c:extLst>
            </c:dLbl>
            <c:dLbl>
              <c:idx val="2"/>
              <c:layout>
                <c:manualLayout>
                  <c:x val="-6.0269615621083589E-3"/>
                  <c:y val="1.47486971597434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04D-4E20-B38A-200C0FD1FC49}"/>
                </c:ext>
                <c:ext xmlns:c15="http://schemas.microsoft.com/office/drawing/2012/chart" uri="{CE6537A1-D6FC-4f65-9D91-7224C49458BB}"/>
              </c:extLst>
            </c:dLbl>
            <c:dLbl>
              <c:idx val="3"/>
              <c:layout>
                <c:manualLayout>
                  <c:x val="-7.9314720315982641E-3"/>
                  <c:y val="1.8932431915239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04D-4E20-B38A-200C0FD1FC49}"/>
                </c:ext>
                <c:ext xmlns:c15="http://schemas.microsoft.com/office/drawing/2012/chart" uri="{CE6537A1-D6FC-4f65-9D91-7224C49458BB}"/>
              </c:extLst>
            </c:dLbl>
            <c:dLbl>
              <c:idx val="4"/>
              <c:layout>
                <c:manualLayout>
                  <c:x val="-3.9598143048194256E-3"/>
                  <c:y val="3.692710749467365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04D-4E20-B38A-200C0FD1FC49}"/>
                </c:ext>
                <c:ext xmlns:c15="http://schemas.microsoft.com/office/drawing/2012/chart" uri="{CE6537A1-D6FC-4f65-9D91-7224C49458BB}"/>
              </c:extLst>
            </c:dLbl>
            <c:dLbl>
              <c:idx val="5"/>
              <c:layout>
                <c:manualLayout>
                  <c:x val="-7.9255571760303688E-3"/>
                  <c:y val="7.691254861539244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04D-4E20-B38A-200C0FD1FC49}"/>
                </c:ext>
                <c:ext xmlns:c15="http://schemas.microsoft.com/office/drawing/2012/chart" uri="{CE6537A1-D6FC-4f65-9D91-7224C49458BB}"/>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9-C04D-4E20-B38A-200C0FD1FC49}"/>
            </c:ext>
          </c:extLst>
        </c:ser>
        <c:dLbls>
          <c:showLegendKey val="0"/>
          <c:showVal val="0"/>
          <c:showCatName val="0"/>
          <c:showSerName val="0"/>
          <c:showPercent val="0"/>
          <c:showBubbleSize val="0"/>
        </c:dLbls>
        <c:marker val="1"/>
        <c:smooth val="0"/>
        <c:axId val="484847872"/>
        <c:axId val="48485218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A-C04D-4E20-B38A-200C0FD1FC49}"/>
                  </c:ext>
                </c:extLst>
              </c15:ser>
            </c15:filteredLineSeries>
          </c:ext>
        </c:extLst>
      </c:lineChart>
      <c:catAx>
        <c:axId val="48484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2184"/>
        <c:crosses val="autoZero"/>
        <c:auto val="1"/>
        <c:lblAlgn val="ctr"/>
        <c:lblOffset val="100"/>
        <c:noMultiLvlLbl val="0"/>
      </c:catAx>
      <c:valAx>
        <c:axId val="48485218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47872"/>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25A-4861-A269-4F7230E1B01D}"/>
                </c:ext>
                <c:ext xmlns:c15="http://schemas.microsoft.com/office/drawing/2012/chart" uri="{CE6537A1-D6FC-4f65-9D91-7224C49458BB}"/>
              </c:extLst>
            </c:dLbl>
            <c:dLbl>
              <c:idx val="1"/>
              <c:layout>
                <c:manualLayout>
                  <c:x val="-2.9732644380274339E-2"/>
                  <c:y val="3.691060578997100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5A-4861-A269-4F7230E1B01D}"/>
                </c:ext>
                <c:ext xmlns:c15="http://schemas.microsoft.com/office/drawing/2012/chart" uri="{CE6537A1-D6FC-4f65-9D91-7224C49458BB}"/>
              </c:extLst>
            </c:dLbl>
            <c:dLbl>
              <c:idx val="2"/>
              <c:layout>
                <c:manualLayout>
                  <c:x val="-6.1125861911869445E-2"/>
                  <c:y val="-3.94028397732110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25A-4861-A269-4F7230E1B01D}"/>
                </c:ext>
                <c:ext xmlns:c15="http://schemas.microsoft.com/office/drawing/2012/chart" uri="{CE6537A1-D6FC-4f65-9D91-7224C49458BB}"/>
              </c:extLst>
            </c:dLbl>
            <c:dLbl>
              <c:idx val="3"/>
              <c:layout>
                <c:manualLayout>
                  <c:x val="-7.1372448615426048E-2"/>
                  <c:y val="-3.41051259452374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5A-4861-A269-4F7230E1B01D}"/>
                </c:ext>
                <c:ext xmlns:c15="http://schemas.microsoft.com/office/drawing/2012/chart" uri="{CE6537A1-D6FC-4f65-9D91-7224C49458BB}"/>
              </c:extLst>
            </c:dLbl>
            <c:dLbl>
              <c:idx val="4"/>
              <c:layout>
                <c:manualLayout>
                  <c:x val="-7.3175644259552669E-2"/>
                  <c:y val="-3.03426925099430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25A-4861-A269-4F7230E1B01D}"/>
                </c:ext>
                <c:ext xmlns:c15="http://schemas.microsoft.com/office/drawing/2012/chart" uri="{CE6537A1-D6FC-4f65-9D91-7224C49458BB}"/>
              </c:extLst>
            </c:dLbl>
            <c:dLbl>
              <c:idx val="5"/>
              <c:layout>
                <c:manualLayout>
                  <c:x val="-7.5052961647704697E-2"/>
                  <c:y val="-3.03426925099430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25A-4861-A269-4F7230E1B01D}"/>
                </c:ext>
                <c:ext xmlns:c15="http://schemas.microsoft.com/office/drawing/2012/chart" uri="{CE6537A1-D6FC-4f65-9D91-7224C49458BB}"/>
              </c:extLst>
            </c:dLbl>
            <c:dLbl>
              <c:idx val="6"/>
              <c:layout>
                <c:manualLayout>
                  <c:x val="-7.3217978900877126E-2"/>
                  <c:y val="-2.64543508691370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25A-4861-A269-4F7230E1B01D}"/>
                </c:ext>
                <c:ext xmlns:c15="http://schemas.microsoft.com/office/drawing/2012/chart" uri="{CE6537A1-D6FC-4f65-9D91-7224C49458BB}"/>
              </c:extLst>
            </c:dLbl>
            <c:dLbl>
              <c:idx val="7"/>
              <c:layout>
                <c:manualLayout>
                  <c:x val="-7.1393543692673048E-2"/>
                  <c:y val="-2.28178256393544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25A-4861-A269-4F7230E1B01D}"/>
                </c:ext>
                <c:ext xmlns:c15="http://schemas.microsoft.com/office/drawing/2012/chart" uri="{CE6537A1-D6FC-4f65-9D91-7224C49458BB}"/>
              </c:extLst>
            </c:dLbl>
            <c:dLbl>
              <c:idx val="8"/>
              <c:layout>
                <c:manualLayout>
                  <c:x val="-7.5063509186328189E-2"/>
                  <c:y val="-2.65802590746488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25A-4861-A269-4F7230E1B01D}"/>
                </c:ext>
                <c:ext xmlns:c15="http://schemas.microsoft.com/office/drawing/2012/chart" uri="{CE6537A1-D6FC-4f65-9D91-7224C49458BB}"/>
              </c:extLst>
            </c:dLbl>
            <c:dLbl>
              <c:idx val="9"/>
              <c:layout>
                <c:manualLayout>
                  <c:x val="-7.1393543692673048E-2"/>
                  <c:y val="-3.03426925099430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25A-4861-A269-4F7230E1B01D}"/>
                </c:ext>
                <c:ext xmlns:c15="http://schemas.microsoft.com/office/drawing/2012/chart" uri="{CE6537A1-D6FC-4f65-9D91-7224C49458BB}"/>
              </c:extLst>
            </c:dLbl>
            <c:dLbl>
              <c:idx val="10"/>
              <c:layout>
                <c:manualLayout>
                  <c:x val="-6.7681243557693449E-2"/>
                  <c:y val="-3.41051259452373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25A-4861-A269-4F7230E1B01D}"/>
                </c:ext>
                <c:ext xmlns:c15="http://schemas.microsoft.com/office/drawing/2012/chart" uri="{CE6537A1-D6FC-4f65-9D91-7224C49458BB}"/>
              </c:extLst>
            </c:dLbl>
            <c:dLbl>
              <c:idx val="11"/>
              <c:layout>
                <c:manualLayout>
                  <c:x val="-5.5999009247027741E-2"/>
                  <c:y val="-3.78044188689968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25A-4861-A269-4F7230E1B01D}"/>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C-B25A-4861-A269-4F7230E1B01D}"/>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1662630265668572E-2"/>
                  <c:y val="-4.62127024722932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25A-4861-A269-4F7230E1B01D}"/>
                </c:ext>
                <c:ext xmlns:c15="http://schemas.microsoft.com/office/drawing/2012/chart" uri="{CE6537A1-D6FC-4f65-9D91-7224C49458BB}"/>
              </c:extLst>
            </c:dLbl>
            <c:dLbl>
              <c:idx val="1"/>
              <c:layout>
                <c:manualLayout>
                  <c:x val="-6.6905731689417297E-2"/>
                  <c:y val="-4.30729610684854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25A-4861-A269-4F7230E1B01D}"/>
                </c:ext>
                <c:ext xmlns:c15="http://schemas.microsoft.com/office/drawing/2012/chart" uri="{CE6537A1-D6FC-4f65-9D91-7224C49458BB}"/>
              </c:extLst>
            </c:dLbl>
            <c:dLbl>
              <c:idx val="2"/>
              <c:layout>
                <c:manualLayout>
                  <c:x val="-2.7554150277583251E-2"/>
                  <c:y val="3.47596458099956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25A-4861-A269-4F7230E1B01D}"/>
                </c:ext>
                <c:ext xmlns:c15="http://schemas.microsoft.com/office/drawing/2012/chart" uri="{CE6537A1-D6FC-4f65-9D91-7224C49458BB}"/>
              </c:extLst>
            </c:dLbl>
            <c:dLbl>
              <c:idx val="3"/>
              <c:layout>
                <c:manualLayout>
                  <c:x val="-1.2918959757803723E-2"/>
                  <c:y val="3.06032115901832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25A-4861-A269-4F7230E1B01D}"/>
                </c:ext>
                <c:ext xmlns:c15="http://schemas.microsoft.com/office/drawing/2012/chart" uri="{CE6537A1-D6FC-4f65-9D91-7224C49458BB}"/>
              </c:extLst>
            </c:dLbl>
            <c:dLbl>
              <c:idx val="4"/>
              <c:layout>
                <c:manualLayout>
                  <c:x val="-3.6911313593724726E-3"/>
                  <c:y val="1.91270072438645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25A-4861-A269-4F7230E1B01D}"/>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12-B25A-4861-A269-4F7230E1B01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13-B25A-4861-A269-4F7230E1B01D}"/>
            </c:ext>
          </c:extLst>
        </c:ser>
        <c:dLbls>
          <c:showLegendKey val="0"/>
          <c:showVal val="0"/>
          <c:showCatName val="0"/>
          <c:showSerName val="0"/>
          <c:showPercent val="0"/>
          <c:showBubbleSize val="0"/>
        </c:dLbls>
        <c:marker val="1"/>
        <c:smooth val="0"/>
        <c:axId val="484858848"/>
        <c:axId val="484857280"/>
      </c:lineChart>
      <c:catAx>
        <c:axId val="48485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7280"/>
        <c:crosses val="autoZero"/>
        <c:auto val="1"/>
        <c:lblAlgn val="ctr"/>
        <c:lblOffset val="100"/>
        <c:noMultiLvlLbl val="0"/>
      </c:catAx>
      <c:valAx>
        <c:axId val="48485728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8848"/>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8961615181936659E-2"/>
                  <c:y val="-4.55920510058567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6FE-4718-BF94-361D21E74146}"/>
                </c:ext>
                <c:ext xmlns:c15="http://schemas.microsoft.com/office/drawing/2012/chart" uri="{CE6537A1-D6FC-4f65-9D91-7224C49458BB}"/>
              </c:extLst>
            </c:dLbl>
            <c:dLbl>
              <c:idx val="1"/>
              <c:layout>
                <c:manualLayout>
                  <c:x val="-6.6326300825779047E-2"/>
                  <c:y val="-4.1864896315463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6FE-4718-BF94-361D21E74146}"/>
                </c:ext>
                <c:ext xmlns:c15="http://schemas.microsoft.com/office/drawing/2012/chart" uri="{CE6537A1-D6FC-4f65-9D91-7224C49458BB}"/>
              </c:extLst>
            </c:dLbl>
            <c:dLbl>
              <c:idx val="2"/>
              <c:layout>
                <c:manualLayout>
                  <c:x val="-5.1697308919017082E-2"/>
                  <c:y val="-6.48392698854900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6FE-4718-BF94-361D21E74146}"/>
                </c:ext>
                <c:ext xmlns:c15="http://schemas.microsoft.com/office/drawing/2012/chart" uri="{CE6537A1-D6FC-4f65-9D91-7224C49458BB}"/>
              </c:extLst>
            </c:dLbl>
            <c:dLbl>
              <c:idx val="3"/>
              <c:layout>
                <c:manualLayout>
                  <c:x val="-3.9758720184290892E-2"/>
                  <c:y val="-7.62498718621297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6FE-4718-BF94-361D21E74146}"/>
                </c:ext>
                <c:ext xmlns:c15="http://schemas.microsoft.com/office/drawing/2012/chart" uri="{CE6537A1-D6FC-4f65-9D91-7224C49458BB}"/>
              </c:extLst>
            </c:dLbl>
            <c:dLbl>
              <c:idx val="4"/>
              <c:layout>
                <c:manualLayout>
                  <c:x val="-4.373427869759311E-2"/>
                  <c:y val="-6.86683309514764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6FE-4718-BF94-361D21E74146}"/>
                </c:ext>
                <c:ext xmlns:c15="http://schemas.microsoft.com/office/drawing/2012/chart" uri="{CE6537A1-D6FC-4f65-9D91-7224C49458BB}"/>
              </c:extLst>
            </c:dLbl>
            <c:dLbl>
              <c:idx val="5"/>
              <c:layout>
                <c:manualLayout>
                  <c:x val="-4.5729372578376726E-2"/>
                  <c:y val="-5.3425692962299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6FE-4718-BF94-361D21E74146}"/>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6FE-4718-BF94-361D21E74146}"/>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6FE-4718-BF94-361D21E74146}"/>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6FE-4718-BF94-361D21E74146}"/>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6FE-4718-BF94-361D21E74146}"/>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6FE-4718-BF94-361D21E74146}"/>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6FE-4718-BF94-361D21E74146}"/>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C-06FE-4718-BF94-361D21E74146}"/>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893019510521315E-2"/>
                  <c:y val="1.45344525045677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6FE-4718-BF94-361D21E74146}"/>
                </c:ext>
                <c:ext xmlns:c15="http://schemas.microsoft.com/office/drawing/2012/chart" uri="{CE6537A1-D6FC-4f65-9D91-7224C49458BB}"/>
              </c:extLst>
            </c:dLbl>
            <c:dLbl>
              <c:idx val="1"/>
              <c:layout>
                <c:manualLayout>
                  <c:x val="-9.0640650181724347E-2"/>
                  <c:y val="-1.10740318155484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6FE-4718-BF94-361D21E74146}"/>
                </c:ext>
                <c:ext xmlns:c15="http://schemas.microsoft.com/office/drawing/2012/chart" uri="{CE6537A1-D6FC-4f65-9D91-7224C49458BB}"/>
              </c:extLst>
            </c:dLbl>
            <c:dLbl>
              <c:idx val="2"/>
              <c:layout>
                <c:manualLayout>
                  <c:x val="-8.8656214262459898E-2"/>
                  <c:y val="-3.01827908418079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6FE-4718-BF94-361D21E74146}"/>
                </c:ext>
                <c:ext xmlns:c15="http://schemas.microsoft.com/office/drawing/2012/chart" uri="{CE6537A1-D6FC-4f65-9D91-7224C49458BB}"/>
              </c:extLst>
            </c:dLbl>
            <c:dLbl>
              <c:idx val="3"/>
              <c:layout>
                <c:manualLayout>
                  <c:x val="-7.9980028798678202E-2"/>
                  <c:y val="-4.54988012262168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6FE-4718-BF94-361D21E74146}"/>
                </c:ext>
                <c:ext xmlns:c15="http://schemas.microsoft.com/office/drawing/2012/chart" uri="{CE6537A1-D6FC-4f65-9D91-7224C49458BB}"/>
              </c:extLst>
            </c:dLbl>
            <c:dLbl>
              <c:idx val="4"/>
              <c:layout>
                <c:manualLayout>
                  <c:x val="-7.9980028798678243E-2"/>
                  <c:y val="-3.7840618753062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6FE-4718-BF94-361D21E74146}"/>
                </c:ext>
                <c:ext xmlns:c15="http://schemas.microsoft.com/office/drawing/2012/chart" uri="{CE6537A1-D6FC-4f65-9D91-7224C49458BB}"/>
              </c:extLst>
            </c:dLbl>
            <c:dLbl>
              <c:idx val="5"/>
              <c:layout>
                <c:manualLayout>
                  <c:x val="-7.2798114842893419E-2"/>
                  <c:y val="-4.57177133872484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6FE-4718-BF94-361D21E74146}"/>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13-06FE-4718-BF94-361D21E74146}"/>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1.3914527549355914E-2"/>
                  <c:y val="2.28214431717611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6FE-4718-BF94-361D21E74146}"/>
                </c:ext>
                <c:ext xmlns:c15="http://schemas.microsoft.com/office/drawing/2012/chart" uri="{CE6537A1-D6FC-4f65-9D91-7224C49458BB}"/>
              </c:extLst>
            </c:dLbl>
            <c:dLbl>
              <c:idx val="1"/>
              <c:layout>
                <c:manualLayout>
                  <c:x val="-1.3936735364132175E-2"/>
                  <c:y val="2.2971845344812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6FE-4718-BF94-361D21E74146}"/>
                </c:ext>
                <c:ext xmlns:c15="http://schemas.microsoft.com/office/drawing/2012/chart" uri="{CE6537A1-D6FC-4f65-9D91-7224C49458BB}"/>
              </c:extLst>
            </c:dLbl>
            <c:dLbl>
              <c:idx val="2"/>
              <c:layout>
                <c:manualLayout>
                  <c:x val="-1.7912346038202569E-2"/>
                  <c:y val="2.8658465345037239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6FE-4718-BF94-361D21E74146}"/>
                </c:ext>
                <c:ext xmlns:c15="http://schemas.microsoft.com/office/drawing/2012/chart" uri="{CE6537A1-D6FC-4f65-9D91-7224C49458BB}">
                  <c15:layout>
                    <c:manualLayout>
                      <c:w val="7.2134603242425419E-2"/>
                      <c:h val="5.9370720653132487E-2"/>
                    </c:manualLayout>
                  </c15:layout>
                </c:ext>
              </c:extLst>
            </c:dLbl>
            <c:dLbl>
              <c:idx val="3"/>
              <c:layout>
                <c:manualLayout>
                  <c:x val="-1.1948851942274076E-2"/>
                  <c:y val="2.2934185609710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06FE-4718-BF94-361D21E74146}"/>
                </c:ext>
                <c:ext xmlns:c15="http://schemas.microsoft.com/office/drawing/2012/chart" uri="{CE6537A1-D6FC-4f65-9D91-7224C49458BB}"/>
              </c:extLst>
            </c:dLbl>
            <c:dLbl>
              <c:idx val="4"/>
              <c:layout>
                <c:manualLayout>
                  <c:x val="-9.9389486003529752E-3"/>
                  <c:y val="1.52895559175898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6FE-4718-BF94-361D21E74146}"/>
                </c:ext>
                <c:ext xmlns:c15="http://schemas.microsoft.com/office/drawing/2012/chart" uri="{CE6537A1-D6FC-4f65-9D91-7224C49458BB}"/>
              </c:extLst>
            </c:dLbl>
            <c:dLbl>
              <c:idx val="5"/>
              <c:layout>
                <c:manualLayout>
                  <c:x val="-5.9532263908870422E-3"/>
                  <c:y val="-3.847476343322129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6FE-4718-BF94-361D21E74146}"/>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A-06FE-4718-BF94-361D21E74146}"/>
            </c:ext>
          </c:extLst>
        </c:ser>
        <c:dLbls>
          <c:showLegendKey val="0"/>
          <c:showVal val="0"/>
          <c:showCatName val="0"/>
          <c:showSerName val="0"/>
          <c:showPercent val="0"/>
          <c:showBubbleSize val="0"/>
        </c:dLbls>
        <c:marker val="1"/>
        <c:smooth val="0"/>
        <c:axId val="484854536"/>
        <c:axId val="484851400"/>
      </c:lineChart>
      <c:catAx>
        <c:axId val="48485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1400"/>
        <c:crosses val="autoZero"/>
        <c:auto val="1"/>
        <c:lblAlgn val="ctr"/>
        <c:lblOffset val="100"/>
        <c:noMultiLvlLbl val="0"/>
      </c:catAx>
      <c:valAx>
        <c:axId val="48485140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4536"/>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0603581029049973"/>
          <c:y val="0.83399410847545685"/>
          <c:w val="0.57016382672041588"/>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453449692278"/>
          <c:y val="7.6781561613913571E-2"/>
          <c:w val="0.85194665323649321"/>
          <c:h val="0.8184420135617789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21B-4204-B0E3-0CDA743883FC}"/>
                </c:ext>
                <c:ext xmlns:c15="http://schemas.microsoft.com/office/drawing/2012/chart" uri="{CE6537A1-D6FC-4f65-9D91-7224C49458BB}"/>
              </c:extLst>
            </c:dLbl>
            <c:dLbl>
              <c:idx val="1"/>
              <c:layout>
                <c:manualLayout>
                  <c:x val="-8.129870353431462E-2"/>
                  <c:y val="-2.69983351717907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21B-4204-B0E3-0CDA743883FC}"/>
                </c:ext>
                <c:ext xmlns:c15="http://schemas.microsoft.com/office/drawing/2012/chart" uri="{CE6537A1-D6FC-4f65-9D91-7224C49458BB}"/>
              </c:extLst>
            </c:dLbl>
            <c:dLbl>
              <c:idx val="2"/>
              <c:layout>
                <c:manualLayout>
                  <c:x val="-6.3471185347879877E-2"/>
                  <c:y val="-4.21418980139474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21B-4204-B0E3-0CDA743883FC}"/>
                </c:ext>
                <c:ext xmlns:c15="http://schemas.microsoft.com/office/drawing/2012/chart" uri="{CE6537A1-D6FC-4f65-9D91-7224C49458BB}"/>
              </c:extLst>
            </c:dLbl>
            <c:dLbl>
              <c:idx val="3"/>
              <c:layout>
                <c:manualLayout>
                  <c:x val="-5.156911549413034E-2"/>
                  <c:y val="-5.75821961276810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21B-4204-B0E3-0CDA743883FC}"/>
                </c:ext>
                <c:ext xmlns:c15="http://schemas.microsoft.com/office/drawing/2012/chart" uri="{CE6537A1-D6FC-4f65-9D91-7224C49458BB}"/>
              </c:extLst>
            </c:dLbl>
            <c:dLbl>
              <c:idx val="4"/>
              <c:layout>
                <c:manualLayout>
                  <c:x val="-4.9601373381960905E-2"/>
                  <c:y val="-4.96886719404016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21B-4204-B0E3-0CDA743883FC}"/>
                </c:ext>
                <c:ext xmlns:c15="http://schemas.microsoft.com/office/drawing/2012/chart" uri="{CE6537A1-D6FC-4f65-9D91-7224C49458BB}"/>
              </c:extLst>
            </c:dLbl>
            <c:dLbl>
              <c:idx val="5"/>
              <c:layout>
                <c:manualLayout>
                  <c:x val="-5.554252999972701E-2"/>
                  <c:y val="-6.17322200504912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21B-4204-B0E3-0CDA743883FC}"/>
                </c:ext>
                <c:ext xmlns:c15="http://schemas.microsoft.com/office/drawing/2012/chart" uri="{CE6537A1-D6FC-4f65-9D91-7224C49458BB}"/>
              </c:extLst>
            </c:dLbl>
            <c:dLbl>
              <c:idx val="6"/>
              <c:layout>
                <c:manualLayout>
                  <c:x val="-3.7705540511189073E-2"/>
                  <c:y val="-4.23174066003037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21B-4204-B0E3-0CDA743883FC}"/>
                </c:ext>
                <c:ext xmlns:c15="http://schemas.microsoft.com/office/drawing/2012/chart" uri="{CE6537A1-D6FC-4f65-9D91-7224C49458BB}"/>
              </c:extLst>
            </c:dLbl>
            <c:dLbl>
              <c:idx val="7"/>
              <c:layout>
                <c:manualLayout>
                  <c:x val="-3.9690042643356765E-2"/>
                  <c:y val="-4.6164443563967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21B-4204-B0E3-0CDA743883FC}"/>
                </c:ext>
                <c:ext xmlns:c15="http://schemas.microsoft.com/office/drawing/2012/chart" uri="{CE6537A1-D6FC-4f65-9D91-7224C49458BB}"/>
              </c:extLst>
            </c:dLbl>
            <c:dLbl>
              <c:idx val="8"/>
              <c:layout>
                <c:manualLayout>
                  <c:x val="-3.9690042643356842E-2"/>
                  <c:y val="-4.6164443563967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21B-4204-B0E3-0CDA743883FC}"/>
                </c:ext>
                <c:ext xmlns:c15="http://schemas.microsoft.com/office/drawing/2012/chart" uri="{CE6537A1-D6FC-4f65-9D91-7224C49458BB}"/>
              </c:extLst>
            </c:dLbl>
            <c:dLbl>
              <c:idx val="9"/>
              <c:layout>
                <c:manualLayout>
                  <c:x val="-3.9690042643356842E-2"/>
                  <c:y val="-4.23174066003037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21B-4204-B0E3-0CDA743883FC}"/>
                </c:ext>
                <c:ext xmlns:c15="http://schemas.microsoft.com/office/drawing/2012/chart" uri="{CE6537A1-D6FC-4f65-9D91-7224C49458BB}"/>
              </c:extLst>
            </c:dLbl>
            <c:dLbl>
              <c:idx val="10"/>
              <c:layout>
                <c:manualLayout>
                  <c:x val="-4.5643549039860509E-2"/>
                  <c:y val="-3.46233326729758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21B-4204-B0E3-0CDA743883FC}"/>
                </c:ext>
                <c:ext xmlns:c15="http://schemas.microsoft.com/office/drawing/2012/chart" uri="{CE6537A1-D6FC-4f65-9D91-7224C49458BB}"/>
              </c:extLst>
            </c:dLbl>
            <c:dLbl>
              <c:idx val="11"/>
              <c:layout>
                <c:manualLayout>
                  <c:x val="-3.3736536246853313E-2"/>
                  <c:y val="-3.46233326729758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21B-4204-B0E3-0CDA743883FC}"/>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pt idx="11">
                  <c:v>86382588.019999966</c:v>
                </c:pt>
              </c:numCache>
            </c:numRef>
          </c:val>
          <c:smooth val="0"/>
          <c:extLst xmlns:c16r2="http://schemas.microsoft.com/office/drawing/2015/06/chart">
            <c:ext xmlns:c16="http://schemas.microsoft.com/office/drawing/2014/chart" uri="{C3380CC4-5D6E-409C-BE32-E72D297353CC}">
              <c16:uniqueId val="{0000000C-421B-4204-B0E3-0CDA743883F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221087464842484E-2"/>
                  <c:y val="2.30319790403051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21B-4204-B0E3-0CDA743883FC}"/>
                </c:ext>
                <c:ext xmlns:c15="http://schemas.microsoft.com/office/drawing/2012/chart" uri="{CE6537A1-D6FC-4f65-9D91-7224C49458BB}"/>
              </c:extLst>
            </c:dLbl>
            <c:dLbl>
              <c:idx val="1"/>
              <c:layout>
                <c:manualLayout>
                  <c:x val="-9.4501218170012627E-2"/>
                  <c:y val="4.4915988737285719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21B-4204-B0E3-0CDA743883FC}"/>
                </c:ext>
                <c:ext xmlns:c15="http://schemas.microsoft.com/office/drawing/2012/chart" uri="{CE6537A1-D6FC-4f65-9D91-7224C49458BB}"/>
              </c:extLst>
            </c:dLbl>
            <c:dLbl>
              <c:idx val="2"/>
              <c:layout>
                <c:manualLayout>
                  <c:x val="-9.4501218170012627E-2"/>
                  <c:y val="-7.197395835998910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21B-4204-B0E3-0CDA743883FC}"/>
                </c:ext>
                <c:ext xmlns:c15="http://schemas.microsoft.com/office/drawing/2012/chart" uri="{CE6537A1-D6FC-4f65-9D91-7224C49458BB}"/>
              </c:extLst>
            </c:dLbl>
            <c:dLbl>
              <c:idx val="3"/>
              <c:layout>
                <c:manualLayout>
                  <c:x val="-9.0537659812155419E-2"/>
                  <c:y val="-2.24905072827422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21B-4204-B0E3-0CDA743883FC}"/>
                </c:ext>
                <c:ext xmlns:c15="http://schemas.microsoft.com/office/drawing/2012/chart" uri="{CE6537A1-D6FC-4f65-9D91-7224C49458BB}"/>
              </c:extLst>
            </c:dLbl>
            <c:dLbl>
              <c:idx val="4"/>
              <c:layout>
                <c:manualLayout>
                  <c:x val="-8.6574101454298225E-2"/>
                  <c:y val="-2.63137851444280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21B-4204-B0E3-0CDA743883FC}"/>
                </c:ext>
                <c:ext xmlns:c15="http://schemas.microsoft.com/office/drawing/2012/chart" uri="{CE6537A1-D6FC-4f65-9D91-7224C49458BB}"/>
              </c:extLst>
            </c:dLbl>
            <c:dLbl>
              <c:idx val="5"/>
              <c:layout>
                <c:manualLayout>
                  <c:x val="-8.4794496507669084E-2"/>
                  <c:y val="-3.4399667559671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21B-4204-B0E3-0CDA743883FC}"/>
                </c:ext>
                <c:ext xmlns:c15="http://schemas.microsoft.com/office/drawing/2012/chart" uri="{CE6537A1-D6FC-4f65-9D91-7224C49458BB}"/>
              </c:extLst>
            </c:dLbl>
            <c:dLbl>
              <c:idx val="6"/>
              <c:layout>
                <c:manualLayout>
                  <c:x val="-5.1102588416525548E-2"/>
                  <c:y val="-3.4426157658647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421B-4204-B0E3-0CDA743883FC}"/>
                </c:ext>
                <c:ext xmlns:c15="http://schemas.microsoft.com/office/drawing/2012/chart" uri="{CE6537A1-D6FC-4f65-9D91-7224C49458BB}"/>
              </c:extLst>
            </c:dLbl>
            <c:dLbl>
              <c:idx val="7"/>
              <c:layout>
                <c:manualLayout>
                  <c:x val="-5.1102588416525617E-2"/>
                  <c:y val="-3.82915636145381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421B-4204-B0E3-0CDA743883FC}"/>
                </c:ext>
                <c:ext xmlns:c15="http://schemas.microsoft.com/office/drawing/2012/chart" uri="{CE6537A1-D6FC-4f65-9D91-7224C49458BB}"/>
              </c:extLst>
            </c:dLbl>
            <c:dLbl>
              <c:idx val="8"/>
              <c:layout>
                <c:manualLayout>
                  <c:x val="-5.1101806294704129E-2"/>
                  <c:y val="-3.82991726813803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421B-4204-B0E3-0CDA743883FC}"/>
                </c:ext>
                <c:ext xmlns:c15="http://schemas.microsoft.com/office/drawing/2012/chart" uri="{CE6537A1-D6FC-4f65-9D91-7224C49458BB}"/>
              </c:extLst>
            </c:dLbl>
            <c:dLbl>
              <c:idx val="9"/>
              <c:layout>
                <c:manualLayout>
                  <c:x val="-4.9115216868302884E-2"/>
                  <c:y val="-3.82991726813803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421B-4204-B0E3-0CDA743883FC}"/>
                </c:ext>
                <c:ext xmlns:c15="http://schemas.microsoft.com/office/drawing/2012/chart" uri="{CE6537A1-D6FC-4f65-9D91-7224C49458BB}"/>
              </c:extLst>
            </c:dLbl>
            <c:dLbl>
              <c:idx val="10"/>
              <c:layout>
                <c:manualLayout>
                  <c:x val="-4.3154510042913458E-2"/>
                  <c:y val="-3.82991726813803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421B-4204-B0E3-0CDA743883FC}"/>
                </c:ext>
                <c:ext xmlns:c15="http://schemas.microsoft.com/office/drawing/2012/chart" uri="{CE6537A1-D6FC-4f65-9D91-7224C49458BB}"/>
              </c:extLst>
            </c:dLbl>
            <c:dLbl>
              <c:idx val="11"/>
              <c:layout>
                <c:manualLayout>
                  <c:x val="-1.4917345112411561E-2"/>
                  <c:y val="-3.82990270186455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421B-4204-B0E3-0CDA743883FC}"/>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6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xmlns:c16r2="http://schemas.microsoft.com/office/drawing/2015/06/chart">
            <c:ext xmlns:c16="http://schemas.microsoft.com/office/drawing/2014/chart" uri="{C3380CC4-5D6E-409C-BE32-E72D297353CC}">
              <c16:uniqueId val="{00000019-421B-4204-B0E3-0CDA743883F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1.5832737338664551E-2"/>
                  <c:y val="1.4509901407353747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6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421B-4204-B0E3-0CDA743883FC}"/>
                </c:ext>
                <c:ext xmlns:c15="http://schemas.microsoft.com/office/drawing/2012/chart" uri="{CE6537A1-D6FC-4f65-9D91-7224C49458BB}">
                  <c15:layout>
                    <c:manualLayout>
                      <c:w val="7.6571834558803398E-2"/>
                      <c:h val="6.1314717185058813E-2"/>
                    </c:manualLayout>
                  </c15:layout>
                </c:ext>
              </c:extLst>
            </c:dLbl>
            <c:dLbl>
              <c:idx val="1"/>
              <c:layout>
                <c:manualLayout>
                  <c:x val="-1.2807286955227239E-2"/>
                  <c:y val="2.48799054235453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421B-4204-B0E3-0CDA743883FC}"/>
                </c:ext>
                <c:ext xmlns:c15="http://schemas.microsoft.com/office/drawing/2012/chart" uri="{CE6537A1-D6FC-4f65-9D91-7224C49458BB}"/>
              </c:extLst>
            </c:dLbl>
            <c:dLbl>
              <c:idx val="2"/>
              <c:layout>
                <c:manualLayout>
                  <c:x val="-1.2292024368705839E-2"/>
                  <c:y val="2.8703183285231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421B-4204-B0E3-0CDA743883FC}"/>
                </c:ext>
                <c:ext xmlns:c15="http://schemas.microsoft.com/office/drawing/2012/chart" uri="{CE6537A1-D6FC-4f65-9D91-7224C49458BB}"/>
              </c:extLst>
            </c:dLbl>
            <c:dLbl>
              <c:idx val="3"/>
              <c:layout>
                <c:manualLayout>
                  <c:x val="-8.3284660108486029E-3"/>
                  <c:y val="2.487990542354543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421B-4204-B0E3-0CDA743883FC}"/>
                </c:ext>
                <c:ext xmlns:c15="http://schemas.microsoft.com/office/drawing/2012/chart" uri="{CE6537A1-D6FC-4f65-9D91-7224C49458BB}"/>
              </c:extLst>
            </c:dLbl>
            <c:dLbl>
              <c:idx val="4"/>
              <c:layout>
                <c:manualLayout>
                  <c:x val="-6.3466868319200023E-3"/>
                  <c:y val="1.34100718384878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421B-4204-B0E3-0CDA743883FC}"/>
                </c:ext>
                <c:ext xmlns:c15="http://schemas.microsoft.com/office/drawing/2012/chart" uri="{CE6537A1-D6FC-4f65-9D91-7224C49458BB}"/>
              </c:extLst>
            </c:dLbl>
            <c:dLbl>
              <c:idx val="5"/>
              <c:layout>
                <c:manualLayout>
                  <c:x val="-8.8804651761374941E-3"/>
                  <c:y val="1.97509026576219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421B-4204-B0E3-0CDA743883FC}"/>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pt idx="11">
                  <c:v>54822531.61999999</c:v>
                </c:pt>
              </c:numCache>
            </c:numRef>
          </c:val>
          <c:smooth val="0"/>
          <c:extLst xmlns:c16r2="http://schemas.microsoft.com/office/drawing/2015/06/chart">
            <c:ext xmlns:c16="http://schemas.microsoft.com/office/drawing/2014/chart" uri="{C3380CC4-5D6E-409C-BE32-E72D297353CC}">
              <c16:uniqueId val="{00000020-421B-4204-B0E3-0CDA743883FC}"/>
            </c:ext>
          </c:extLst>
        </c:ser>
        <c:dLbls>
          <c:showLegendKey val="0"/>
          <c:showVal val="0"/>
          <c:showCatName val="0"/>
          <c:showSerName val="0"/>
          <c:showPercent val="0"/>
          <c:showBubbleSize val="0"/>
        </c:dLbls>
        <c:marker val="1"/>
        <c:smooth val="0"/>
        <c:axId val="484858456"/>
        <c:axId val="484856104"/>
      </c:lineChart>
      <c:catAx>
        <c:axId val="48485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6104"/>
        <c:crosses val="autoZero"/>
        <c:auto val="1"/>
        <c:lblAlgn val="ctr"/>
        <c:lblOffset val="100"/>
        <c:noMultiLvlLbl val="0"/>
      </c:catAx>
      <c:valAx>
        <c:axId val="484856104"/>
        <c:scaling>
          <c:orientation val="minMax"/>
          <c:min val="10000000"/>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8456"/>
        <c:crosses val="autoZero"/>
        <c:crossBetween val="between"/>
        <c:majorUnit val="5000000"/>
        <c:dispUnits>
          <c:builtInUnit val="millions"/>
          <c:dispUnitsLbl>
            <c:layout>
              <c:manualLayout>
                <c:xMode val="edge"/>
                <c:yMode val="edge"/>
                <c:x val="7.9189814016079503E-3"/>
                <c:y val="1.650403942412586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6456345397747695"/>
          <c:y val="0.83281321738215064"/>
          <c:w val="0.50955246667679543"/>
          <c:h val="5.7023201261223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6EF7-494A-84F6-A1773D5E6109}"/>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EF7-494A-84F6-A1773D5E6109}"/>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EF7-494A-84F6-A1773D5E6109}"/>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EF7-494A-84F6-A1773D5E6109}"/>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6EF7-494A-84F6-A1773D5E6109}"/>
            </c:ext>
          </c:extLst>
        </c:ser>
        <c:dLbls>
          <c:showLegendKey val="0"/>
          <c:showVal val="0"/>
          <c:showCatName val="0"/>
          <c:showSerName val="0"/>
          <c:showPercent val="0"/>
          <c:showBubbleSize val="0"/>
        </c:dLbls>
        <c:marker val="1"/>
        <c:smooth val="0"/>
        <c:axId val="484853360"/>
        <c:axId val="484853752"/>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6EF7-494A-84F6-A1773D5E6109}"/>
                  </c:ext>
                </c:extLst>
              </c15:ser>
            </c15:filteredLineSeries>
          </c:ext>
        </c:extLst>
      </c:lineChart>
      <c:catAx>
        <c:axId val="48485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3752"/>
        <c:crosses val="autoZero"/>
        <c:auto val="1"/>
        <c:lblAlgn val="ctr"/>
        <c:lblOffset val="100"/>
        <c:noMultiLvlLbl val="0"/>
      </c:catAx>
      <c:valAx>
        <c:axId val="4848537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336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Arrecadação de Dezembro 2020</a:t>
            </a:r>
          </a:p>
          <a:p>
            <a:pPr>
              <a:defRPr/>
            </a:pPr>
            <a:r>
              <a:rPr lang="pt-BR" sz="1100"/>
              <a:t>Previsto X Executado</a:t>
            </a:r>
          </a:p>
        </c:rich>
      </c:tx>
      <c:layout>
        <c:manualLayout>
          <c:xMode val="edge"/>
          <c:yMode val="edge"/>
          <c:x val="0.29071562307391136"/>
          <c:y val="1.8613656341339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8856056831198639"/>
          <c:y val="0.17171296296296296"/>
          <c:w val="0.80231270871827165"/>
          <c:h val="0.60300845052669683"/>
        </c:manualLayout>
      </c:layout>
      <c:barChart>
        <c:barDir val="col"/>
        <c:grouping val="clustered"/>
        <c:varyColors val="0"/>
        <c:ser>
          <c:idx val="1"/>
          <c:order val="1"/>
          <c:tx>
            <c:strRef>
              <c:f>Gráficos!$A$5</c:f>
              <c:strCache>
                <c:ptCount val="1"/>
                <c:pt idx="0">
                  <c:v>Executado</c:v>
                </c:pt>
              </c:strCache>
            </c:strRef>
          </c:tx>
          <c:spPr>
            <a:solidFill>
              <a:srgbClr val="00B050"/>
            </a:solidFill>
            <a:ln>
              <a:noFill/>
            </a:ln>
            <a:effectLst/>
          </c:spPr>
          <c:invertIfNegative val="0"/>
          <c:dLbls>
            <c:dLbl>
              <c:idx val="0"/>
              <c:tx>
                <c:rich>
                  <a:bodyPr/>
                  <a:lstStyle/>
                  <a:p>
                    <a:fld id="{304D5A92-F816-4B70-983B-A3FDADF072A2}"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C10-45F9-AF88-9E13E7A4336F}"/>
                </c:ext>
                <c:ext xmlns:c15="http://schemas.microsoft.com/office/drawing/2012/chart" uri="{CE6537A1-D6FC-4f65-9D91-7224C49458BB}">
                  <c15:dlblFieldTable/>
                  <c15:showDataLabelsRange val="0"/>
                </c:ext>
              </c:extLst>
            </c:dLbl>
            <c:dLbl>
              <c:idx val="1"/>
              <c:tx>
                <c:rich>
                  <a:bodyPr/>
                  <a:lstStyle/>
                  <a:p>
                    <a:fld id="{CAC9945B-C830-44E7-ABF8-1754223E3FB1}"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C10-45F9-AF88-9E13E7A4336F}"/>
                </c:ext>
                <c:ext xmlns:c15="http://schemas.microsoft.com/office/drawing/2012/chart" uri="{CE6537A1-D6FC-4f65-9D91-7224C49458BB}">
                  <c15:dlblFieldTable/>
                  <c15:showDataLabelsRange val="0"/>
                </c:ext>
              </c:extLst>
            </c:dLbl>
            <c:dLbl>
              <c:idx val="2"/>
              <c:tx>
                <c:rich>
                  <a:bodyPr/>
                  <a:lstStyle/>
                  <a:p>
                    <a:fld id="{E3039EC5-CE1E-4D35-BD2A-87B8C55CCA49}"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C10-45F9-AF88-9E13E7A4336F}"/>
                </c:ext>
                <c:ext xmlns:c15="http://schemas.microsoft.com/office/drawing/2012/chart" uri="{CE6537A1-D6FC-4f65-9D91-7224C49458BB}">
                  <c15:dlblFieldTable/>
                  <c15:showDataLabelsRange val="0"/>
                </c:ext>
              </c:extLst>
            </c:dLbl>
            <c:dLbl>
              <c:idx val="3"/>
              <c:tx>
                <c:rich>
                  <a:bodyPr/>
                  <a:lstStyle/>
                  <a:p>
                    <a:fld id="{32152771-CDDC-4BB3-9F22-76165B9D53BF}"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C10-45F9-AF88-9E13E7A4336F}"/>
                </c:ext>
                <c:ext xmlns:c15="http://schemas.microsoft.com/office/drawing/2012/chart" uri="{CE6537A1-D6FC-4f65-9D91-7224C49458BB}">
                  <c15:dlblFieldTable/>
                  <c15:showDataLabelsRange val="0"/>
                </c:ext>
              </c:extLst>
            </c:dLbl>
            <c:dLbl>
              <c:idx val="4"/>
              <c:tx>
                <c:rich>
                  <a:bodyPr/>
                  <a:lstStyle/>
                  <a:p>
                    <a:fld id="{228D02C5-3AAC-4CE9-9E0B-9CAD705BB7A4}"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C10-45F9-AF88-9E13E7A4336F}"/>
                </c:ext>
                <c:ext xmlns:c15="http://schemas.microsoft.com/office/drawing/2012/chart" uri="{CE6537A1-D6FC-4f65-9D91-7224C49458BB}">
                  <c15:dlblFieldTable/>
                  <c15:showDataLabelsRange val="0"/>
                </c:ext>
              </c:extLst>
            </c:dLbl>
            <c:dLbl>
              <c:idx val="5"/>
              <c:tx>
                <c:rich>
                  <a:bodyPr/>
                  <a:lstStyle/>
                  <a:p>
                    <a:fld id="{9CBFC870-D7EE-4306-A59B-891A02AE7A33}"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C10-45F9-AF88-9E13E7A4336F}"/>
                </c:ext>
                <c:ext xmlns:c15="http://schemas.microsoft.com/office/drawing/2012/chart" uri="{CE6537A1-D6FC-4f65-9D91-7224C49458BB}">
                  <c15:dlblFieldTable/>
                  <c15:showDataLabelsRange val="0"/>
                </c:ext>
              </c:extLst>
            </c:dLbl>
            <c:dLbl>
              <c:idx val="6"/>
              <c:tx>
                <c:rich>
                  <a:bodyPr/>
                  <a:lstStyle/>
                  <a:p>
                    <a:fld id="{BA63BA7F-9ED3-452A-951A-1AA6AD93C9EC}"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C10-45F9-AF88-9E13E7A4336F}"/>
                </c:ext>
                <c:ext xmlns:c15="http://schemas.microsoft.com/office/drawing/2012/chart" uri="{CE6537A1-D6FC-4f65-9D91-7224C49458BB}">
                  <c15:dlblFieldTable/>
                  <c15:showDataLabelsRange val="0"/>
                </c:ext>
              </c:extLst>
            </c:dLbl>
            <c:dLbl>
              <c:idx val="7"/>
              <c:tx>
                <c:rich>
                  <a:bodyPr/>
                  <a:lstStyle/>
                  <a:p>
                    <a:fld id="{59888F8C-9341-41DA-AF5C-D25F2D8644D8}"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C10-45F9-AF88-9E13E7A4336F}"/>
                </c:ext>
                <c:ext xmlns:c15="http://schemas.microsoft.com/office/drawing/2012/chart" uri="{CE6537A1-D6FC-4f65-9D91-7224C49458BB}">
                  <c15:dlblFieldTable/>
                  <c15:showDataLabelsRange val="0"/>
                </c:ext>
              </c:extLst>
            </c:dLbl>
            <c:dLbl>
              <c:idx val="8"/>
              <c:tx>
                <c:rich>
                  <a:bodyPr/>
                  <a:lstStyle/>
                  <a:p>
                    <a:fld id="{E22DAFCF-0EA4-440D-B40B-94C820B1B755}" type="VALUE">
                      <a:rPr lang="en-US"/>
                      <a:pPr/>
                      <a:t>[VALOR]</a:t>
                    </a:fld>
                    <a:r>
                      <a:rPr lang="en-US"/>
                      <a:t>%</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C10-45F9-AF88-9E13E7A4336F}"/>
                </c:ext>
                <c:ext xmlns:c15="http://schemas.microsoft.com/office/drawing/2012/chart" uri="{CE6537A1-D6FC-4f65-9D91-7224C49458BB}">
                  <c15:dlblFieldTable/>
                  <c15:showDataLabelsRange val="0"/>
                </c:ext>
              </c:extLst>
            </c:dLbl>
            <c:dLbl>
              <c:idx val="9"/>
              <c:delete val="1"/>
              <c:extLst xmlns:c16r2="http://schemas.microsoft.com/office/drawing/2015/06/chart">
                <c:ext xmlns:c16="http://schemas.microsoft.com/office/drawing/2014/chart" uri="{C3380CC4-5D6E-409C-BE32-E72D297353CC}">
                  <c16:uniqueId val="{00000009-7C10-45F9-AF88-9E13E7A4336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7C10-45F9-AF88-9E13E7A4336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7C10-45F9-AF88-9E13E7A4336F}"/>
                </c:ext>
                <c:ext xmlns:c15="http://schemas.microsoft.com/office/drawing/2012/chart" uri="{CE6537A1-D6FC-4f65-9D91-7224C49458BB}"/>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Gráficos!$B$5:$M$5</c:f>
              <c:numCache>
                <c:formatCode>_-* #,##0_-;\-* #,##0_-;_-*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pt idx="11">
                  <c:v>169425814.06000003</c:v>
                </c:pt>
              </c:numCache>
            </c:numRef>
          </c:val>
          <c:extLst xmlns:c16r2="http://schemas.microsoft.com/office/drawing/2015/06/chart">
            <c:ext xmlns:c16="http://schemas.microsoft.com/office/drawing/2014/chart" uri="{C3380CC4-5D6E-409C-BE32-E72D297353CC}">
              <c16:uniqueId val="{0000000C-7C10-45F9-AF88-9E13E7A4336F}"/>
            </c:ext>
          </c:extLst>
        </c:ser>
        <c:dLbls>
          <c:showLegendKey val="0"/>
          <c:showVal val="0"/>
          <c:showCatName val="0"/>
          <c:showSerName val="0"/>
          <c:showPercent val="0"/>
          <c:showBubbleSize val="0"/>
        </c:dLbls>
        <c:gapWidth val="150"/>
        <c:axId val="444110528"/>
        <c:axId val="444106216"/>
      </c:barChart>
      <c:lineChart>
        <c:grouping val="standard"/>
        <c:varyColors val="0"/>
        <c:ser>
          <c:idx val="0"/>
          <c:order val="0"/>
          <c:tx>
            <c:strRef>
              <c:f>Gráficos!$A$4</c:f>
              <c:strCache>
                <c:ptCount val="1"/>
                <c:pt idx="0">
                  <c:v>Previsto</c:v>
                </c:pt>
              </c:strCache>
            </c:strRef>
          </c:tx>
          <c:spPr>
            <a:ln w="28575" cap="rnd">
              <a:solidFill>
                <a:schemeClr val="tx2">
                  <a:lumMod val="60000"/>
                  <a:lumOff val="40000"/>
                </a:schemeClr>
              </a:solidFill>
              <a:round/>
            </a:ln>
            <a:effectLst/>
          </c:spPr>
          <c:marker>
            <c:symbol val="none"/>
          </c:marker>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Gráficos!$B$4:$M$4</c:f>
              <c:numCache>
                <c:formatCode>_-* #,##0_-;\-* #,##0_-;_-*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smooth val="0"/>
          <c:extLst xmlns:c16r2="http://schemas.microsoft.com/office/drawing/2015/06/chart">
            <c:ext xmlns:c16="http://schemas.microsoft.com/office/drawing/2014/chart" uri="{C3380CC4-5D6E-409C-BE32-E72D297353CC}">
              <c16:uniqueId val="{0000000D-7C10-45F9-AF88-9E13E7A4336F}"/>
            </c:ext>
          </c:extLst>
        </c:ser>
        <c:dLbls>
          <c:showLegendKey val="0"/>
          <c:showVal val="0"/>
          <c:showCatName val="0"/>
          <c:showSerName val="0"/>
          <c:showPercent val="0"/>
          <c:showBubbleSize val="0"/>
        </c:dLbls>
        <c:marker val="1"/>
        <c:smooth val="0"/>
        <c:axId val="444110528"/>
        <c:axId val="444106216"/>
      </c:lineChart>
      <c:catAx>
        <c:axId val="4441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4106216"/>
        <c:crosses val="autoZero"/>
        <c:auto val="1"/>
        <c:lblAlgn val="ctr"/>
        <c:lblOffset val="100"/>
        <c:noMultiLvlLbl val="0"/>
      </c:catAx>
      <c:valAx>
        <c:axId val="44410621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4110528"/>
        <c:crosses val="autoZero"/>
        <c:crossBetween val="between"/>
        <c:dispUnits>
          <c:builtInUnit val="millions"/>
          <c:dispUnitsLbl>
            <c:layout>
              <c:manualLayout>
                <c:xMode val="edge"/>
                <c:yMode val="edge"/>
                <c:x val="8.3705920432916886E-2"/>
                <c:y val="0.3159686484470238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EF-4CC1-B828-216D0D3B0CA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65EF-4CC1-B828-216D0D3B0CA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5EF-4CC1-B828-216D0D3B0CA2}"/>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5EF-4CC1-B828-216D0D3B0CA2}"/>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5EF-4CC1-B828-216D0D3B0CA2}"/>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5EF-4CC1-B828-216D0D3B0CA2}"/>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5EF-4CC1-B828-216D0D3B0CA2}"/>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5EF-4CC1-B828-216D0D3B0CA2}"/>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5EF-4CC1-B828-216D0D3B0CA2}"/>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5EF-4CC1-B828-216D0D3B0CA2}"/>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5EF-4CC1-B828-216D0D3B0CA2}"/>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5EF-4CC1-B828-216D0D3B0CA2}"/>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5EF-4CC1-B828-216D0D3B0CA2}"/>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5EF-4CC1-B828-216D0D3B0CA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65EF-4CC1-B828-216D0D3B0CA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5EF-4CC1-B828-216D0D3B0CA2}"/>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5EF-4CC1-B828-216D0D3B0CA2}"/>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5EF-4CC1-B828-216D0D3B0CA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65EF-4CC1-B828-216D0D3B0CA2}"/>
            </c:ext>
          </c:extLst>
        </c:ser>
        <c:dLbls>
          <c:showLegendKey val="0"/>
          <c:showVal val="0"/>
          <c:showCatName val="0"/>
          <c:showSerName val="0"/>
          <c:showPercent val="0"/>
          <c:showBubbleSize val="0"/>
        </c:dLbls>
        <c:marker val="1"/>
        <c:smooth val="0"/>
        <c:axId val="484848656"/>
        <c:axId val="484856496"/>
      </c:lineChart>
      <c:catAx>
        <c:axId val="48484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6496"/>
        <c:crosses val="autoZero"/>
        <c:auto val="1"/>
        <c:lblAlgn val="ctr"/>
        <c:lblOffset val="100"/>
        <c:noMultiLvlLbl val="0"/>
      </c:catAx>
      <c:valAx>
        <c:axId val="4848564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4865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00-4290-BFCA-9764BF3329E8}"/>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100-4290-BFCA-9764BF3329E8}"/>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100-4290-BFCA-9764BF3329E8}"/>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100-4290-BFCA-9764BF3329E8}"/>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100-4290-BFCA-9764BF3329E8}"/>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100-4290-BFCA-9764BF3329E8}"/>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100-4290-BFCA-9764BF3329E8}"/>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100-4290-BFCA-9764BF3329E8}"/>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100-4290-BFCA-9764BF3329E8}"/>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100-4290-BFCA-9764BF3329E8}"/>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100-4290-BFCA-9764BF3329E8}"/>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100-4290-BFCA-9764BF3329E8}"/>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6100-4290-BFCA-9764BF3329E8}"/>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100-4290-BFCA-9764BF3329E8}"/>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100-4290-BFCA-9764BF3329E8}"/>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100-4290-BFCA-9764BF3329E8}"/>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6100-4290-BFCA-9764BF3329E8}"/>
            </c:ext>
          </c:extLst>
        </c:ser>
        <c:dLbls>
          <c:showLegendKey val="0"/>
          <c:showVal val="0"/>
          <c:showCatName val="0"/>
          <c:showSerName val="0"/>
          <c:showPercent val="0"/>
          <c:showBubbleSize val="0"/>
        </c:dLbls>
        <c:marker val="1"/>
        <c:smooth val="0"/>
        <c:axId val="484854928"/>
        <c:axId val="484855320"/>
      </c:lineChart>
      <c:catAx>
        <c:axId val="48485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5320"/>
        <c:crosses val="autoZero"/>
        <c:auto val="1"/>
        <c:lblAlgn val="ctr"/>
        <c:lblOffset val="100"/>
        <c:noMultiLvlLbl val="0"/>
      </c:catAx>
      <c:valAx>
        <c:axId val="48485532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492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F-42D5-BE36-58EE8897C803}"/>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39F-42D5-BE36-58EE8897C803}"/>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39F-42D5-BE36-58EE8897C803}"/>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539F-42D5-BE36-58EE8897C803}"/>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39F-42D5-BE36-58EE8897C803}"/>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39F-42D5-BE36-58EE8897C803}"/>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39F-42D5-BE36-58EE8897C803}"/>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539F-42D5-BE36-58EE8897C803}"/>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539F-42D5-BE36-58EE8897C803}"/>
            </c:ext>
          </c:extLst>
        </c:ser>
        <c:dLbls>
          <c:showLegendKey val="0"/>
          <c:showVal val="0"/>
          <c:showCatName val="0"/>
          <c:showSerName val="0"/>
          <c:showPercent val="0"/>
          <c:showBubbleSize val="0"/>
        </c:dLbls>
        <c:marker val="1"/>
        <c:smooth val="0"/>
        <c:axId val="484857672"/>
        <c:axId val="484858064"/>
      </c:lineChart>
      <c:catAx>
        <c:axId val="48485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58064"/>
        <c:crosses val="autoZero"/>
        <c:auto val="1"/>
        <c:lblAlgn val="ctr"/>
        <c:lblOffset val="100"/>
        <c:noMultiLvlLbl val="0"/>
      </c:catAx>
      <c:valAx>
        <c:axId val="4848580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576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26B-43BC-8B07-BE2FDE0BA54C}"/>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26B-43BC-8B07-BE2FDE0BA54C}"/>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26B-43BC-8B07-BE2FDE0BA54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826B-43BC-8B07-BE2FDE0BA54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26B-43BC-8B07-BE2FDE0BA54C}"/>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26B-43BC-8B07-BE2FDE0BA54C}"/>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26B-43BC-8B07-BE2FDE0BA54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826B-43BC-8B07-BE2FDE0BA54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26B-43BC-8B07-BE2FDE0BA54C}"/>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26B-43BC-8B07-BE2FDE0BA54C}"/>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26B-43BC-8B07-BE2FDE0BA54C}"/>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26B-43BC-8B07-BE2FDE0BA54C}"/>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26B-43BC-8B07-BE2FDE0BA54C}"/>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26B-43BC-8B07-BE2FDE0BA54C}"/>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26B-43BC-8B07-BE2FDE0BA54C}"/>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26B-43BC-8B07-BE2FDE0BA54C}"/>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26B-43BC-8B07-BE2FDE0BA54C}"/>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26B-43BC-8B07-BE2FDE0BA54C}"/>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26B-43BC-8B07-BE2FDE0BA54C}"/>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26B-43BC-8B07-BE2FDE0BA54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826B-43BC-8B07-BE2FDE0BA54C}"/>
            </c:ext>
          </c:extLst>
        </c:ser>
        <c:dLbls>
          <c:showLegendKey val="0"/>
          <c:showVal val="0"/>
          <c:showCatName val="0"/>
          <c:showSerName val="0"/>
          <c:showPercent val="0"/>
          <c:showBubbleSize val="0"/>
        </c:dLbls>
        <c:marker val="1"/>
        <c:smooth val="0"/>
        <c:axId val="484848264"/>
        <c:axId val="484849048"/>
      </c:lineChart>
      <c:catAx>
        <c:axId val="48484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49048"/>
        <c:crosses val="autoZero"/>
        <c:auto val="1"/>
        <c:lblAlgn val="ctr"/>
        <c:lblOffset val="100"/>
        <c:noMultiLvlLbl val="0"/>
      </c:catAx>
      <c:valAx>
        <c:axId val="48484904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482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9672676109782E-2"/>
          <c:y val="6.4675925925925928E-2"/>
          <c:w val="0.93664310434193554"/>
          <c:h val="0.8753463900763194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7"/>
            <c:spPr>
              <a:solidFill>
                <a:schemeClr val="tx1"/>
              </a:solidFill>
              <a:ln w="3175">
                <a:noFill/>
              </a:ln>
              <a:effectLst/>
            </c:spPr>
          </c:marker>
          <c:dLbls>
            <c:dLbl>
              <c:idx val="0"/>
              <c:layout>
                <c:manualLayout>
                  <c:x val="-5.5371648328632075E-2"/>
                  <c:y val="-2.71940882416867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5AF-4A3D-BDD8-64AC300CEA39}"/>
                </c:ext>
                <c:ext xmlns:c15="http://schemas.microsoft.com/office/drawing/2012/chart" uri="{CE6537A1-D6FC-4f65-9D91-7224C49458BB}"/>
              </c:extLst>
            </c:dLbl>
            <c:dLbl>
              <c:idx val="1"/>
              <c:layout>
                <c:manualLayout>
                  <c:x val="-6.0645909475795942E-2"/>
                  <c:y val="-3.13694347382676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5AF-4A3D-BDD8-64AC300CEA39}"/>
                </c:ext>
                <c:ext xmlns:c15="http://schemas.microsoft.com/office/drawing/2012/chart" uri="{CE6537A1-D6FC-4f65-9D91-7224C49458BB}"/>
              </c:extLst>
            </c:dLbl>
            <c:dLbl>
              <c:idx val="2"/>
              <c:layout>
                <c:manualLayout>
                  <c:x val="-5.6370573594280521E-2"/>
                  <c:y val="-2.71215287646498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5AF-4A3D-BDD8-64AC300CEA39}"/>
                </c:ext>
                <c:ext xmlns:c15="http://schemas.microsoft.com/office/drawing/2012/chart" uri="{CE6537A1-D6FC-4f65-9D91-7224C49458BB}"/>
              </c:extLst>
            </c:dLbl>
            <c:dLbl>
              <c:idx val="3"/>
              <c:layout>
                <c:manualLayout>
                  <c:x val="-5.8755439703510479E-2"/>
                  <c:y val="-2.63008041730058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5AF-4A3D-BDD8-64AC300CEA39}"/>
                </c:ext>
                <c:ext xmlns:c15="http://schemas.microsoft.com/office/drawing/2012/chart" uri="{CE6537A1-D6FC-4f65-9D91-7224C49458BB}"/>
              </c:extLst>
            </c:dLbl>
            <c:dLbl>
              <c:idx val="4"/>
              <c:layout>
                <c:manualLayout>
                  <c:x val="-5.7395139259808048E-2"/>
                  <c:y val="-2.91807800979720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5AF-4A3D-BDD8-64AC300CEA39}"/>
                </c:ext>
                <c:ext xmlns:c15="http://schemas.microsoft.com/office/drawing/2012/chart" uri="{CE6537A1-D6FC-4f65-9D91-7224C49458BB}"/>
              </c:extLst>
            </c:dLbl>
            <c:dLbl>
              <c:idx val="5"/>
              <c:layout>
                <c:manualLayout>
                  <c:x val="-5.6705999451975068E-2"/>
                  <c:y val="-3.13381706318024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5AF-4A3D-BDD8-64AC300CEA39}"/>
                </c:ext>
                <c:ext xmlns:c15="http://schemas.microsoft.com/office/drawing/2012/chart" uri="{CE6537A1-D6FC-4f65-9D91-7224C49458BB}"/>
              </c:extLst>
            </c:dLbl>
            <c:dLbl>
              <c:idx val="6"/>
              <c:layout>
                <c:manualLayout>
                  <c:x val="-5.2371474406401629E-2"/>
                  <c:y val="-2.74803136441910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5AF-4A3D-BDD8-64AC300CEA39}"/>
                </c:ext>
                <c:ext xmlns:c15="http://schemas.microsoft.com/office/drawing/2012/chart" uri="{CE6537A1-D6FC-4f65-9D91-7224C49458BB}"/>
              </c:extLst>
            </c:dLbl>
            <c:dLbl>
              <c:idx val="7"/>
              <c:layout>
                <c:manualLayout>
                  <c:x val="-5.4598543934207468E-2"/>
                  <c:y val="-2.91781050942102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5AF-4A3D-BDD8-64AC300CEA39}"/>
                </c:ext>
                <c:ext xmlns:c15="http://schemas.microsoft.com/office/drawing/2012/chart" uri="{CE6537A1-D6FC-4f65-9D91-7224C49458BB}"/>
              </c:extLst>
            </c:dLbl>
            <c:dLbl>
              <c:idx val="8"/>
              <c:layout>
                <c:manualLayout>
                  <c:x val="-4.2044015607898354E-2"/>
                  <c:y val="-2.70548208583418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5AF-4A3D-BDD8-64AC300CEA39}"/>
                </c:ext>
                <c:ext xmlns:c15="http://schemas.microsoft.com/office/drawing/2012/chart" uri="{CE6537A1-D6FC-4f65-9D91-7224C49458BB}"/>
              </c:extLst>
            </c:dLbl>
            <c:dLbl>
              <c:idx val="9"/>
              <c:layout>
                <c:manualLayout>
                  <c:x val="-3.9690042643356842E-2"/>
                  <c:y val="-4.23174066003037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5AF-4A3D-BDD8-64AC300CEA39}"/>
                </c:ext>
                <c:ext xmlns:c15="http://schemas.microsoft.com/office/drawing/2012/chart" uri="{CE6537A1-D6FC-4f65-9D91-7224C49458BB}"/>
              </c:extLst>
            </c:dLbl>
            <c:dLbl>
              <c:idx val="10"/>
              <c:layout>
                <c:manualLayout>
                  <c:x val="-4.5643549039860509E-2"/>
                  <c:y val="-3.46233326729758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5AF-4A3D-BDD8-64AC300CEA39}"/>
                </c:ext>
                <c:ext xmlns:c15="http://schemas.microsoft.com/office/drawing/2012/chart" uri="{CE6537A1-D6FC-4f65-9D91-7224C49458BB}"/>
              </c:extLst>
            </c:dLbl>
            <c:dLbl>
              <c:idx val="11"/>
              <c:layout>
                <c:manualLayout>
                  <c:x val="-3.3736536246853313E-2"/>
                  <c:y val="-3.46233326729758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5AF-4A3D-BDD8-64AC300CEA3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pt idx="11">
                  <c:v>86382588.019999966</c:v>
                </c:pt>
              </c:numCache>
            </c:numRef>
          </c:val>
          <c:smooth val="0"/>
          <c:extLst xmlns:c16r2="http://schemas.microsoft.com/office/drawing/2015/06/chart">
            <c:ext xmlns:c16="http://schemas.microsoft.com/office/drawing/2014/chart" uri="{C3380CC4-5D6E-409C-BE32-E72D297353CC}">
              <c16:uniqueId val="{0000000E-05AF-4A3D-BDD8-64AC300CEA39}"/>
            </c:ext>
          </c:extLst>
        </c:ser>
        <c:ser>
          <c:idx val="0"/>
          <c:order val="1"/>
          <c:tx>
            <c:strRef>
              <c:f>Gráficos!$Q$20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6350">
                <a:noFill/>
              </a:ln>
              <a:effectLst/>
            </c:spPr>
          </c:marker>
          <c:dLbls>
            <c:dLbl>
              <c:idx val="0"/>
              <c:layout>
                <c:manualLayout>
                  <c:x val="-5.7806234968383975E-2"/>
                  <c:y val="-3.29713378348912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AF-4A3D-BDD8-64AC300CEA39}"/>
                </c:ext>
                <c:ext xmlns:c15="http://schemas.microsoft.com/office/drawing/2012/chart" uri="{CE6537A1-D6FC-4f65-9D91-7224C49458BB}"/>
              </c:extLst>
            </c:dLbl>
            <c:dLbl>
              <c:idx val="1"/>
              <c:layout>
                <c:manualLayout>
                  <c:x val="-5.379788383292468E-3"/>
                  <c:y val="3.18002775316402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180-4248-B9AE-B421F85441C8}"/>
                </c:ext>
                <c:ext xmlns:c15="http://schemas.microsoft.com/office/drawing/2012/chart" uri="{CE6537A1-D6FC-4f65-9D91-7224C49458BB}"/>
              </c:extLst>
            </c:dLbl>
            <c:dLbl>
              <c:idx val="2"/>
              <c:layout>
                <c:manualLayout>
                  <c:x val="-6.1852676440704432E-3"/>
                  <c:y val="3.39304164646481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DF6-4BC4-9557-CDE36CFBA993}"/>
                </c:ext>
                <c:ext xmlns:c15="http://schemas.microsoft.com/office/drawing/2012/chart" uri="{CE6537A1-D6FC-4f65-9D91-7224C49458BB}"/>
              </c:extLst>
            </c:dLbl>
            <c:dLbl>
              <c:idx val="3"/>
              <c:layout>
                <c:manualLayout>
                  <c:x val="-3.4660568988276158E-2"/>
                  <c:y val="-3.8265761623727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DB0-427E-8D46-7FD048287301}"/>
                </c:ext>
                <c:ext xmlns:c15="http://schemas.microsoft.com/office/drawing/2012/chart" uri="{CE6537A1-D6FC-4f65-9D91-7224C49458BB}"/>
              </c:extLst>
            </c:dLbl>
            <c:dLbl>
              <c:idx val="4"/>
              <c:layout>
                <c:manualLayout>
                  <c:x val="-3.5996773634501968E-2"/>
                  <c:y val="-3.611556016250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90-4230-B8B6-420486308AFE}"/>
                </c:ext>
                <c:ext xmlns:c15="http://schemas.microsoft.com/office/drawing/2012/chart" uri="{CE6537A1-D6FC-4f65-9D91-7224C49458BB}"/>
              </c:extLst>
            </c:dLbl>
            <c:dLbl>
              <c:idx val="5"/>
              <c:layout>
                <c:manualLayout>
                  <c:x val="-3.0517883561074662E-2"/>
                  <c:y val="-3.611556016250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901-4D75-91C1-BA403A4D44E1}"/>
                </c:ext>
                <c:ext xmlns:c15="http://schemas.microsoft.com/office/drawing/2012/chart" uri="{CE6537A1-D6FC-4f65-9D91-7224C49458BB}"/>
              </c:extLst>
            </c:dLbl>
            <c:dLbl>
              <c:idx val="6"/>
              <c:layout>
                <c:manualLayout>
                  <c:x val="-3.2267794514746165E-2"/>
                  <c:y val="-4.0348419239964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901-4D75-91C1-BA403A4D44E1}"/>
                </c:ext>
                <c:ext xmlns:c15="http://schemas.microsoft.com/office/drawing/2012/chart" uri="{CE6537A1-D6FC-4f65-9D91-7224C49458BB}"/>
              </c:extLst>
            </c:dLbl>
            <c:dLbl>
              <c:idx val="7"/>
              <c:layout>
                <c:manualLayout>
                  <c:x val="-3.8975261339003467E-3"/>
                  <c:y val="2.9763429354822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901-4D75-91C1-BA403A4D44E1}"/>
                </c:ext>
                <c:ext xmlns:c15="http://schemas.microsoft.com/office/drawing/2012/chart" uri="{CE6537A1-D6FC-4f65-9D91-7224C49458BB}"/>
              </c:extLst>
            </c:dLbl>
            <c:dLbl>
              <c:idx val="8"/>
              <c:layout>
                <c:manualLayout>
                  <c:x val="-8.6225884508843841E-3"/>
                  <c:y val="3.39702071456037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901-4D75-91C1-BA403A4D44E1}"/>
                </c:ext>
                <c:ext xmlns:c15="http://schemas.microsoft.com/office/drawing/2012/chart" uri="{CE6537A1-D6FC-4f65-9D91-7224C49458BB}"/>
              </c:extLst>
            </c:dLbl>
            <c:dLbl>
              <c:idx val="9"/>
              <c:layout>
                <c:manualLayout>
                  <c:x val="-3.218224133825251E-2"/>
                  <c:y val="4.03802195504442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901-4D75-91C1-BA403A4D44E1}"/>
                </c:ext>
                <c:ext xmlns:c15="http://schemas.microsoft.com/office/drawing/2012/chart" uri="{CE6537A1-D6FC-4f65-9D91-7224C49458BB}"/>
              </c:extLst>
            </c:dLbl>
            <c:dLbl>
              <c:idx val="10"/>
              <c:layout>
                <c:manualLayout>
                  <c:x val="-3.609877346203675E-2"/>
                  <c:y val="4.6754960794563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901-4D75-91C1-BA403A4D44E1}"/>
                </c:ext>
                <c:ext xmlns:c15="http://schemas.microsoft.com/office/drawing/2012/chart" uri="{CE6537A1-D6FC-4f65-9D91-7224C49458BB}"/>
              </c:extLst>
            </c:dLbl>
            <c:dLbl>
              <c:idx val="11"/>
              <c:layout>
                <c:manualLayout>
                  <c:x val="-2.8284123357279235E-2"/>
                  <c:y val="4.88776999477260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901-4D75-91C1-BA403A4D44E1}"/>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xmlns:c16r2="http://schemas.microsoft.com/office/drawing/2015/06/chart">
            <c:ext xmlns:c16="http://schemas.microsoft.com/office/drawing/2014/chart" uri="{C3380CC4-5D6E-409C-BE32-E72D297353CC}">
              <c16:uniqueId val="{00000001-05AF-4A3D-BDD8-64AC300CEA39}"/>
            </c:ext>
          </c:extLst>
        </c:ser>
        <c:ser>
          <c:idx val="2"/>
          <c:order val="2"/>
          <c:tx>
            <c:strRef>
              <c:f>Gráficos!$R$20</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7.0608341346196733E-3"/>
                  <c:y val="2.66671374499088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5AF-4A3D-BDD8-64AC300CEA39}"/>
                </c:ext>
                <c:ext xmlns:c15="http://schemas.microsoft.com/office/drawing/2012/chart" uri="{CE6537A1-D6FC-4f65-9D91-7224C49458BB}"/>
              </c:extLst>
            </c:dLbl>
            <c:dLbl>
              <c:idx val="1"/>
              <c:layout>
                <c:manualLayout>
                  <c:x val="-4.0594313577147795E-2"/>
                  <c:y val="-3.46429705916774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5AF-4A3D-BDD8-64AC300CEA39}"/>
                </c:ext>
                <c:ext xmlns:c15="http://schemas.microsoft.com/office/drawing/2012/chart" uri="{CE6537A1-D6FC-4f65-9D91-7224C49458BB}"/>
              </c:extLst>
            </c:dLbl>
            <c:dLbl>
              <c:idx val="2"/>
              <c:layout>
                <c:manualLayout>
                  <c:x val="-2.9321125619733129E-2"/>
                  <c:y val="-3.6603079598080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5AF-4A3D-BDD8-64AC300CEA39}"/>
                </c:ext>
                <c:ext xmlns:c15="http://schemas.microsoft.com/office/drawing/2012/chart" uri="{CE6537A1-D6FC-4f65-9D91-7224C49458BB}"/>
              </c:extLst>
            </c:dLbl>
            <c:dLbl>
              <c:idx val="3"/>
              <c:layout>
                <c:manualLayout>
                  <c:x val="-9.0657039880707273E-3"/>
                  <c:y val="3.14975005433601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5AF-4A3D-BDD8-64AC300CEA39}"/>
                </c:ext>
                <c:ext xmlns:c15="http://schemas.microsoft.com/office/drawing/2012/chart" uri="{CE6537A1-D6FC-4f65-9D91-7224C49458BB}"/>
              </c:extLst>
            </c:dLbl>
            <c:dLbl>
              <c:idx val="4"/>
              <c:layout>
                <c:manualLayout>
                  <c:x val="-1.0190483457462731E-2"/>
                  <c:y val="3.4981191379800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5AF-4A3D-BDD8-64AC300CEA39}"/>
                </c:ext>
                <c:ext xmlns:c15="http://schemas.microsoft.com/office/drawing/2012/chart" uri="{CE6537A1-D6FC-4f65-9D91-7224C49458BB}"/>
              </c:extLst>
            </c:dLbl>
            <c:dLbl>
              <c:idx val="5"/>
              <c:layout>
                <c:manualLayout>
                  <c:x val="-1.010528136638472E-2"/>
                  <c:y val="2.9785351289363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5AF-4A3D-BDD8-64AC300CEA39}"/>
                </c:ext>
                <c:ext xmlns:c15="http://schemas.microsoft.com/office/drawing/2012/chart" uri="{CE6537A1-D6FC-4f65-9D91-7224C49458BB}"/>
              </c:extLst>
            </c:dLbl>
            <c:dLbl>
              <c:idx val="6"/>
              <c:layout>
                <c:manualLayout>
                  <c:x val="-8.4722677450874695E-3"/>
                  <c:y val="3.40387541169979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5AF-4A3D-BDD8-64AC300CEA39}"/>
                </c:ext>
                <c:ext xmlns:c15="http://schemas.microsoft.com/office/drawing/2012/chart" uri="{CE6537A1-D6FC-4f65-9D91-7224C49458BB}"/>
              </c:extLst>
            </c:dLbl>
            <c:dLbl>
              <c:idx val="7"/>
              <c:layout>
                <c:manualLayout>
                  <c:x val="-2.885020723930444E-2"/>
                  <c:y val="-4.03213348268771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5AF-4A3D-BDD8-64AC300CEA39}"/>
                </c:ext>
                <c:ext xmlns:c15="http://schemas.microsoft.com/office/drawing/2012/chart" uri="{CE6537A1-D6FC-4f65-9D91-7224C49458BB}"/>
              </c:extLst>
            </c:dLbl>
            <c:dLbl>
              <c:idx val="8"/>
              <c:layout>
                <c:manualLayout>
                  <c:x val="-4.2949523320252612E-2"/>
                  <c:y val="-3.6014578770501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05AF-4A3D-BDD8-64AC300CEA39}"/>
                </c:ext>
                <c:ext xmlns:c15="http://schemas.microsoft.com/office/drawing/2012/chart" uri="{CE6537A1-D6FC-4f65-9D91-7224C49458BB}"/>
              </c:extLst>
            </c:dLbl>
            <c:dLbl>
              <c:idx val="9"/>
              <c:layout>
                <c:manualLayout>
                  <c:x val="-3.2759821214278631E-2"/>
                  <c:y val="-4.4563638264506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5AF-4A3D-BDD8-64AC300CEA39}"/>
                </c:ext>
                <c:ext xmlns:c15="http://schemas.microsoft.com/office/drawing/2012/chart" uri="{CE6537A1-D6FC-4f65-9D91-7224C49458BB}"/>
              </c:extLst>
            </c:dLbl>
            <c:dLbl>
              <c:idx val="10"/>
              <c:layout>
                <c:manualLayout>
                  <c:x val="-3.9101776839939588E-2"/>
                  <c:y val="-4.668253005750134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5AF-4A3D-BDD8-64AC300CEA39}"/>
                </c:ext>
                <c:ext xmlns:c15="http://schemas.microsoft.com/office/drawing/2012/chart" uri="{CE6537A1-D6FC-4f65-9D91-7224C49458BB}"/>
              </c:extLst>
            </c:dLbl>
            <c:dLbl>
              <c:idx val="11"/>
              <c:layout>
                <c:manualLayout>
                  <c:x val="-2.4575078049436667E-2"/>
                  <c:y val="-4.88614741244119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663-467A-9A5B-0557C5F67551}"/>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pt idx="11">
                  <c:v>54822531.61999999</c:v>
                </c:pt>
              </c:numCache>
            </c:numRef>
          </c:val>
          <c:smooth val="0"/>
          <c:extLst xmlns:c16r2="http://schemas.microsoft.com/office/drawing/2015/06/chart">
            <c:ext xmlns:c16="http://schemas.microsoft.com/office/drawing/2014/chart" uri="{C3380CC4-5D6E-409C-BE32-E72D297353CC}">
              <c16:uniqueId val="{0000001A-05AF-4A3D-BDD8-64AC300CEA39}"/>
            </c:ext>
          </c:extLst>
        </c:ser>
        <c:dLbls>
          <c:showLegendKey val="0"/>
          <c:showVal val="0"/>
          <c:showCatName val="0"/>
          <c:showSerName val="0"/>
          <c:showPercent val="0"/>
          <c:showBubbleSize val="0"/>
        </c:dLbls>
        <c:marker val="1"/>
        <c:smooth val="0"/>
        <c:axId val="484867472"/>
        <c:axId val="484861592"/>
      </c:lineChart>
      <c:catAx>
        <c:axId val="4848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484861592"/>
        <c:crosses val="autoZero"/>
        <c:auto val="1"/>
        <c:lblAlgn val="ctr"/>
        <c:lblOffset val="100"/>
        <c:noMultiLvlLbl val="0"/>
      </c:catAx>
      <c:valAx>
        <c:axId val="48486159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7472"/>
        <c:crosses val="autoZero"/>
        <c:crossBetween val="between"/>
        <c:dispUnits>
          <c:builtInUnit val="millions"/>
          <c:dispUnitsLbl>
            <c:layout>
              <c:manualLayout>
                <c:xMode val="edge"/>
                <c:yMode val="edge"/>
                <c:x val="5.8400234030476974E-3"/>
                <c:y val="3.151408993366629E-3"/>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0853280163436261"/>
          <c:y val="0.80595150180110875"/>
          <c:w val="0.27364161054176739"/>
          <c:h val="0.11754742327474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5D7C-499D-8A46-D2B90CC6CFAA}"/>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D7C-499D-8A46-D2B90CC6CFAA}"/>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D7C-499D-8A46-D2B90CC6CFAA}"/>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D7C-499D-8A46-D2B90CC6CFAA}"/>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5D7C-499D-8A46-D2B90CC6CFAA}"/>
            </c:ext>
          </c:extLst>
        </c:ser>
        <c:dLbls>
          <c:showLegendKey val="0"/>
          <c:showVal val="0"/>
          <c:showCatName val="0"/>
          <c:showSerName val="0"/>
          <c:showPercent val="0"/>
          <c:showBubbleSize val="0"/>
        </c:dLbls>
        <c:marker val="1"/>
        <c:smooth val="0"/>
        <c:axId val="484861200"/>
        <c:axId val="484865120"/>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5D7C-499D-8A46-D2B90CC6CFAA}"/>
                  </c:ext>
                </c:extLst>
              </c15:ser>
            </c15:filteredLineSeries>
          </c:ext>
        </c:extLst>
      </c:lineChart>
      <c:catAx>
        <c:axId val="48486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5120"/>
        <c:crosses val="autoZero"/>
        <c:auto val="1"/>
        <c:lblAlgn val="ctr"/>
        <c:lblOffset val="100"/>
        <c:noMultiLvlLbl val="0"/>
      </c:catAx>
      <c:valAx>
        <c:axId val="48486512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120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808-4868-BBAC-7E369F1660DB}"/>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C808-4868-BBAC-7E369F1660DB}"/>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808-4868-BBAC-7E369F1660DB}"/>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808-4868-BBAC-7E369F1660DB}"/>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808-4868-BBAC-7E369F1660DB}"/>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808-4868-BBAC-7E369F1660DB}"/>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808-4868-BBAC-7E369F1660DB}"/>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808-4868-BBAC-7E369F1660DB}"/>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808-4868-BBAC-7E369F1660DB}"/>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808-4868-BBAC-7E369F1660DB}"/>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808-4868-BBAC-7E369F1660DB}"/>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808-4868-BBAC-7E369F1660DB}"/>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808-4868-BBAC-7E369F1660DB}"/>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808-4868-BBAC-7E369F1660DB}"/>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C808-4868-BBAC-7E369F1660DB}"/>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808-4868-BBAC-7E369F1660DB}"/>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808-4868-BBAC-7E369F1660DB}"/>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808-4868-BBAC-7E369F1660DB}"/>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C808-4868-BBAC-7E369F1660DB}"/>
            </c:ext>
          </c:extLst>
        </c:ser>
        <c:dLbls>
          <c:showLegendKey val="0"/>
          <c:showVal val="0"/>
          <c:showCatName val="0"/>
          <c:showSerName val="0"/>
          <c:showPercent val="0"/>
          <c:showBubbleSize val="0"/>
        </c:dLbls>
        <c:marker val="1"/>
        <c:smooth val="0"/>
        <c:axId val="484870608"/>
        <c:axId val="484865512"/>
      </c:lineChart>
      <c:catAx>
        <c:axId val="48487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5512"/>
        <c:crosses val="autoZero"/>
        <c:auto val="1"/>
        <c:lblAlgn val="ctr"/>
        <c:lblOffset val="100"/>
        <c:noMultiLvlLbl val="0"/>
      </c:catAx>
      <c:valAx>
        <c:axId val="48486551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060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4A4-4245-A40B-196375D81B69}"/>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4A4-4245-A40B-196375D81B69}"/>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4A4-4245-A40B-196375D81B69}"/>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4A4-4245-A40B-196375D81B69}"/>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4A4-4245-A40B-196375D81B69}"/>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4A4-4245-A40B-196375D81B69}"/>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4A4-4245-A40B-196375D81B69}"/>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4A4-4245-A40B-196375D81B69}"/>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4A4-4245-A40B-196375D81B69}"/>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4A4-4245-A40B-196375D81B69}"/>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4A4-4245-A40B-196375D81B69}"/>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4A4-4245-A40B-196375D81B6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34A4-4245-A40B-196375D81B69}"/>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4A4-4245-A40B-196375D81B69}"/>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34A4-4245-A40B-196375D81B69}"/>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4A4-4245-A40B-196375D81B69}"/>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34A4-4245-A40B-196375D81B69}"/>
            </c:ext>
          </c:extLst>
        </c:ser>
        <c:dLbls>
          <c:showLegendKey val="0"/>
          <c:showVal val="0"/>
          <c:showCatName val="0"/>
          <c:showSerName val="0"/>
          <c:showPercent val="0"/>
          <c:showBubbleSize val="0"/>
        </c:dLbls>
        <c:marker val="1"/>
        <c:smooth val="0"/>
        <c:axId val="484862768"/>
        <c:axId val="484867864"/>
      </c:lineChart>
      <c:catAx>
        <c:axId val="48486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7864"/>
        <c:crosses val="autoZero"/>
        <c:auto val="1"/>
        <c:lblAlgn val="ctr"/>
        <c:lblOffset val="100"/>
        <c:noMultiLvlLbl val="0"/>
      </c:catAx>
      <c:valAx>
        <c:axId val="4848678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276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316-414F-8097-06D655C05521}"/>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16-414F-8097-06D655C05521}"/>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316-414F-8097-06D655C05521}"/>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3316-414F-8097-06D655C05521}"/>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316-414F-8097-06D655C05521}"/>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316-414F-8097-06D655C05521}"/>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316-414F-8097-06D655C05521}"/>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3316-414F-8097-06D655C05521}"/>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3316-414F-8097-06D655C05521}"/>
            </c:ext>
          </c:extLst>
        </c:ser>
        <c:dLbls>
          <c:showLegendKey val="0"/>
          <c:showVal val="0"/>
          <c:showCatName val="0"/>
          <c:showSerName val="0"/>
          <c:showPercent val="0"/>
          <c:showBubbleSize val="0"/>
        </c:dLbls>
        <c:marker val="1"/>
        <c:smooth val="0"/>
        <c:axId val="484866296"/>
        <c:axId val="484862376"/>
      </c:lineChart>
      <c:catAx>
        <c:axId val="48486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2376"/>
        <c:crosses val="autoZero"/>
        <c:auto val="1"/>
        <c:lblAlgn val="ctr"/>
        <c:lblOffset val="100"/>
        <c:noMultiLvlLbl val="0"/>
      </c:catAx>
      <c:valAx>
        <c:axId val="4848623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629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1A-4D54-8A69-B7F89D8BDAED}"/>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31A-4D54-8A69-B7F89D8BDAED}"/>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31A-4D54-8A69-B7F89D8BDAED}"/>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F31A-4D54-8A69-B7F89D8BDAED}"/>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31A-4D54-8A69-B7F89D8BDAED}"/>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31A-4D54-8A69-B7F89D8BDAED}"/>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31A-4D54-8A69-B7F89D8BDAED}"/>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F31A-4D54-8A69-B7F89D8BDAED}"/>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31A-4D54-8A69-B7F89D8BDAED}"/>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31A-4D54-8A69-B7F89D8BDAED}"/>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31A-4D54-8A69-B7F89D8BDAED}"/>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31A-4D54-8A69-B7F89D8BDAED}"/>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31A-4D54-8A69-B7F89D8BDAED}"/>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31A-4D54-8A69-B7F89D8BDAED}"/>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31A-4D54-8A69-B7F89D8BDAED}"/>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31A-4D54-8A69-B7F89D8BDAED}"/>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31A-4D54-8A69-B7F89D8BDAED}"/>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31A-4D54-8A69-B7F89D8BDAED}"/>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31A-4D54-8A69-B7F89D8BDAED}"/>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31A-4D54-8A69-B7F89D8BDAED}"/>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F31A-4D54-8A69-B7F89D8BDAED}"/>
            </c:ext>
          </c:extLst>
        </c:ser>
        <c:dLbls>
          <c:showLegendKey val="0"/>
          <c:showVal val="0"/>
          <c:showCatName val="0"/>
          <c:showSerName val="0"/>
          <c:showPercent val="0"/>
          <c:showBubbleSize val="0"/>
        </c:dLbls>
        <c:marker val="1"/>
        <c:smooth val="0"/>
        <c:axId val="484867080"/>
        <c:axId val="484863160"/>
      </c:lineChart>
      <c:catAx>
        <c:axId val="48486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3160"/>
        <c:crosses val="autoZero"/>
        <c:auto val="1"/>
        <c:lblAlgn val="ctr"/>
        <c:lblOffset val="100"/>
        <c:noMultiLvlLbl val="0"/>
      </c:catAx>
      <c:valAx>
        <c:axId val="484863160"/>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708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Composição</a:t>
            </a:r>
            <a:r>
              <a:rPr lang="pt-BR" baseline="0"/>
              <a:t> da Arrecadação de Dezembro 2020</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421676273582627"/>
          <c:y val="0.17171296296296296"/>
          <c:w val="0.77744905264820352"/>
          <c:h val="0.50638159813356665"/>
        </c:manualLayout>
      </c:layout>
      <c:barChart>
        <c:barDir val="col"/>
        <c:grouping val="clustered"/>
        <c:varyColors val="0"/>
        <c:ser>
          <c:idx val="1"/>
          <c:order val="1"/>
          <c:tx>
            <c:strRef>
              <c:f>Gráficos!$AO$4</c:f>
              <c:strCache>
                <c:ptCount val="1"/>
                <c:pt idx="0">
                  <c:v>Executado</c:v>
                </c:pt>
              </c:strCache>
            </c:strRef>
          </c:tx>
          <c:spPr>
            <a:solidFill>
              <a:srgbClr val="00B050"/>
            </a:solidFill>
            <a:ln>
              <a:noFill/>
            </a:ln>
            <a:effectLst/>
          </c:spPr>
          <c:invertIfNegative val="0"/>
          <c:dLbls>
            <c:dLbl>
              <c:idx val="0"/>
              <c:layout>
                <c:manualLayout>
                  <c:x val="-1.3876535979563249E-2"/>
                  <c:y val="3.7262442169814612E-17"/>
                </c:manualLayout>
              </c:layout>
              <c:tx>
                <c:rich>
                  <a:bodyPr/>
                  <a:lstStyle/>
                  <a:p>
                    <a:fld id="{6B67D65D-7D39-4AEE-8FE8-2B4EABD90A15}"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547B-4EE2-9EBF-6BD0E458CC60}"/>
                </c:ext>
                <c:ext xmlns:c15="http://schemas.microsoft.com/office/drawing/2012/chart" uri="{CE6537A1-D6FC-4f65-9D91-7224C49458BB}">
                  <c15:dlblFieldTable/>
                  <c15:showDataLabelsRange val="1"/>
                </c:ext>
              </c:extLst>
            </c:dLbl>
            <c:dLbl>
              <c:idx val="1"/>
              <c:layout>
                <c:manualLayout>
                  <c:x val="2.4977764763213797E-2"/>
                  <c:y val="1.6260162601626091E-2"/>
                </c:manualLayout>
              </c:layout>
              <c:tx>
                <c:rich>
                  <a:bodyPr/>
                  <a:lstStyle/>
                  <a:p>
                    <a:fld id="{6378120D-912B-4968-996A-BFFEA344C1E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47B-4EE2-9EBF-6BD0E458CC60}"/>
                </c:ext>
                <c:ext xmlns:c15="http://schemas.microsoft.com/office/drawing/2012/chart" uri="{CE6537A1-D6FC-4f65-9D91-7224C49458BB}">
                  <c15:dlblFieldTable/>
                  <c15:showDataLabelsRange val="1"/>
                </c:ext>
              </c:extLst>
            </c:dLbl>
            <c:dLbl>
              <c:idx val="2"/>
              <c:tx>
                <c:rich>
                  <a:bodyPr/>
                  <a:lstStyle/>
                  <a:p>
                    <a:fld id="{C5CC91F7-D897-4599-8391-33627704C8DB}" type="CELLRANGE">
                      <a:rPr lang="pt-BR"/>
                      <a:pPr/>
                      <a:t>[CELLRANGE]</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layout>
                <c:manualLayout>
                  <c:x val="-2.497776476321395E-2"/>
                  <c:y val="-4.0650406504065045E-3"/>
                </c:manualLayout>
              </c:layout>
              <c:tx>
                <c:rich>
                  <a:bodyPr/>
                  <a:lstStyle/>
                  <a:p>
                    <a:fld id="{4937C43A-08A0-459F-B29C-C8A127BE4952}"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47B-4EE2-9EBF-6BD0E458CC60}"/>
                </c:ext>
                <c:ext xmlns:c15="http://schemas.microsoft.com/office/drawing/2012/chart" uri="{CE6537A1-D6FC-4f65-9D91-7224C49458BB}">
                  <c15:dlblFieldTable/>
                  <c15:showDataLabelsRange val="1"/>
                </c:ext>
              </c:extLst>
            </c:dLbl>
            <c:dLbl>
              <c:idx val="4"/>
              <c:layout>
                <c:manualLayout>
                  <c:x val="2.7753071959125482E-3"/>
                  <c:y val="7.3170731707317069E-2"/>
                </c:manualLayout>
              </c:layout>
              <c:tx>
                <c:rich>
                  <a:bodyPr/>
                  <a:lstStyle/>
                  <a:p>
                    <a:fld id="{32C88228-48AE-47BB-8E4B-D0905D2CF6AB}"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547B-4EE2-9EBF-6BD0E458CC60}"/>
                </c:ext>
                <c:ext xmlns:c15="http://schemas.microsoft.com/office/drawing/2012/chart" uri="{CE6537A1-D6FC-4f65-9D91-7224C49458BB}">
                  <c15:dlblFieldTable/>
                  <c15:showDataLabelsRange val="1"/>
                </c:ext>
              </c:extLst>
            </c:dLbl>
            <c:dLbl>
              <c:idx val="5"/>
              <c:layout>
                <c:manualLayout>
                  <c:x val="-5.2730836722340448E-2"/>
                  <c:y val="2.0325203252032447E-2"/>
                </c:manualLayout>
              </c:layout>
              <c:tx>
                <c:rich>
                  <a:bodyPr/>
                  <a:lstStyle/>
                  <a:p>
                    <a:fld id="{660F0848-CA89-4357-9623-47604437F143}" type="CELLRANGE">
                      <a:rPr lang="en-US"/>
                      <a:pPr/>
                      <a:t>[CELLRANGE]</a:t>
                    </a:fld>
                    <a:endParaRPr lang="pt-B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47B-4EE2-9EBF-6BD0E458CC60}"/>
                </c:ext>
                <c:ext xmlns:c15="http://schemas.microsoft.com/office/drawing/2012/chart" uri="{CE6537A1-D6FC-4f65-9D91-7224C49458BB}">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Gráficos!$AO$5:$AO$10</c:f>
              <c:numCache>
                <c:formatCode>_-* #,##0.0_-;\-* #,##0.0_-;_-* "-"??_-;_-@_-</c:formatCode>
                <c:ptCount val="6"/>
                <c:pt idx="0">
                  <c:v>54.822531619999992</c:v>
                </c:pt>
                <c:pt idx="1">
                  <c:v>16.565108540000001</c:v>
                </c:pt>
                <c:pt idx="2">
                  <c:v>6.9692923700000007</c:v>
                </c:pt>
                <c:pt idx="3">
                  <c:v>2.1360686699999998</c:v>
                </c:pt>
                <c:pt idx="4">
                  <c:v>81.413494150000005</c:v>
                </c:pt>
                <c:pt idx="5">
                  <c:v>7.5193187100000003</c:v>
                </c:pt>
              </c:numCache>
            </c:numRef>
          </c:val>
          <c:extLst xmlns:c16r2="http://schemas.microsoft.com/office/drawing/2015/06/chart">
            <c:ext xmlns:c16="http://schemas.microsoft.com/office/drawing/2014/chart" uri="{C3380CC4-5D6E-409C-BE32-E72D297353CC}">
              <c16:uniqueId val="{00000006-547B-4EE2-9EBF-6BD0E458CC60}"/>
            </c:ext>
            <c:ext xmlns:c15="http://schemas.microsoft.com/office/drawing/2012/chart" uri="{02D57815-91ED-43cb-92C2-25804820EDAC}">
              <c15:datalabelsRange>
                <c15:f>Gráficos!$AP$5:$AP$10</c15:f>
                <c15:dlblRangeCache>
                  <c:ptCount val="6"/>
                  <c:pt idx="0">
                    <c:v>108,6%</c:v>
                  </c:pt>
                  <c:pt idx="1">
                    <c:v>131,3%</c:v>
                  </c:pt>
                  <c:pt idx="2">
                    <c:v>106,2%</c:v>
                  </c:pt>
                  <c:pt idx="3">
                    <c:v>121,3%</c:v>
                  </c:pt>
                  <c:pt idx="4">
                    <c:v>109,2%</c:v>
                  </c:pt>
                  <c:pt idx="5">
                    <c:v>120,4%</c:v>
                  </c:pt>
                </c15:dlblRangeCache>
              </c15:datalabelsRange>
            </c:ext>
          </c:extLst>
        </c:ser>
        <c:dLbls>
          <c:showLegendKey val="0"/>
          <c:showVal val="1"/>
          <c:showCatName val="0"/>
          <c:showSerName val="0"/>
          <c:showPercent val="0"/>
          <c:showBubbleSize val="0"/>
        </c:dLbls>
        <c:gapWidth val="219"/>
        <c:overlap val="-27"/>
        <c:axId val="443963392"/>
        <c:axId val="443968096"/>
      </c:barChart>
      <c:lineChart>
        <c:grouping val="standard"/>
        <c:varyColors val="0"/>
        <c:ser>
          <c:idx val="0"/>
          <c:order val="0"/>
          <c:tx>
            <c:strRef>
              <c:f>Gráficos!$AN$4</c:f>
              <c:strCache>
                <c:ptCount val="1"/>
                <c:pt idx="0">
                  <c:v>Previsto</c:v>
                </c:pt>
              </c:strCache>
            </c:strRef>
          </c:tx>
          <c:spPr>
            <a:ln w="28575" cap="rnd">
              <a:solidFill>
                <a:schemeClr val="tx2">
                  <a:lumMod val="60000"/>
                  <a:lumOff val="40000"/>
                </a:schemeClr>
              </a:solidFill>
              <a:round/>
            </a:ln>
            <a:effectLst/>
          </c:spPr>
          <c:marker>
            <c:symbol val="none"/>
          </c:marker>
          <c:dLbls>
            <c:delete val="1"/>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Gráficos!$AN$5:$AN$10</c:f>
              <c:numCache>
                <c:formatCode>_-* #,##0.0_-;\-* #,##0.0_-;_-* "-"??_-;_-@_-</c:formatCode>
                <c:ptCount val="6"/>
                <c:pt idx="0">
                  <c:v>50.122525358499992</c:v>
                </c:pt>
                <c:pt idx="1">
                  <c:v>11.865014674057045</c:v>
                </c:pt>
                <c:pt idx="2">
                  <c:v>6.6404554379999974</c:v>
                </c:pt>
                <c:pt idx="3">
                  <c:v>1.744647860598104</c:v>
                </c:pt>
                <c:pt idx="4">
                  <c:v>70.227432364500004</c:v>
                </c:pt>
                <c:pt idx="5">
                  <c:v>6.197821108453816</c:v>
                </c:pt>
              </c:numCache>
            </c:numRef>
          </c:val>
          <c:smooth val="0"/>
          <c:extLst xmlns:c16r2="http://schemas.microsoft.com/office/drawing/2015/06/chart">
            <c:ext xmlns:c16="http://schemas.microsoft.com/office/drawing/2014/chart" uri="{C3380CC4-5D6E-409C-BE32-E72D297353CC}">
              <c16:uniqueId val="{00000007-547B-4EE2-9EBF-6BD0E458CC60}"/>
            </c:ext>
          </c:extLst>
        </c:ser>
        <c:dLbls>
          <c:showLegendKey val="0"/>
          <c:showVal val="1"/>
          <c:showCatName val="0"/>
          <c:showSerName val="0"/>
          <c:showPercent val="0"/>
          <c:showBubbleSize val="0"/>
        </c:dLbls>
        <c:marker val="1"/>
        <c:smooth val="0"/>
        <c:axId val="443963392"/>
        <c:axId val="443968096"/>
      </c:lineChart>
      <c:catAx>
        <c:axId val="44396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3968096"/>
        <c:crosses val="autoZero"/>
        <c:auto val="1"/>
        <c:lblAlgn val="ctr"/>
        <c:lblOffset val="100"/>
        <c:noMultiLvlLbl val="0"/>
      </c:catAx>
      <c:valAx>
        <c:axId val="443968096"/>
        <c:scaling>
          <c:orientation val="minMax"/>
        </c:scaling>
        <c:delete val="0"/>
        <c:axPos val="l"/>
        <c:majorGridlines>
          <c:spPr>
            <a:ln w="9525" cap="flat" cmpd="sng" algn="ctr">
              <a:solidFill>
                <a:schemeClr val="bg1">
                  <a:lumMod val="9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3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58865244994018E-2"/>
          <c:y val="6.4675925925925928E-2"/>
          <c:w val="0.9338497354961478"/>
          <c:h val="0.8765896500848096"/>
        </c:manualLayout>
      </c:layout>
      <c:lineChart>
        <c:grouping val="standard"/>
        <c:varyColors val="0"/>
        <c:ser>
          <c:idx val="0"/>
          <c:order val="0"/>
          <c:tx>
            <c:strRef>
              <c:f>Gráficos!$Q$36</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9525">
                <a:noFill/>
              </a:ln>
              <a:effectLst/>
            </c:spPr>
          </c:marker>
          <c:dLbls>
            <c:dLbl>
              <c:idx val="0"/>
              <c:layout>
                <c:manualLayout>
                  <c:x val="-3.9079265705575248E-3"/>
                  <c:y val="2.85256301284097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09-40E1-8FF3-DC99D4498F52}"/>
                </c:ext>
                <c:ext xmlns:c15="http://schemas.microsoft.com/office/drawing/2012/chart" uri="{CE6537A1-D6FC-4f65-9D91-7224C49458BB}"/>
              </c:extLst>
            </c:dLbl>
            <c:dLbl>
              <c:idx val="1"/>
              <c:layout>
                <c:manualLayout>
                  <c:x val="-6.251207591714286E-3"/>
                  <c:y val="2.83496627014565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09-40E1-8FF3-DC99D4498F52}"/>
                </c:ext>
                <c:ext xmlns:c15="http://schemas.microsoft.com/office/drawing/2012/chart" uri="{CE6537A1-D6FC-4f65-9D91-7224C49458BB}"/>
              </c:extLst>
            </c:dLbl>
            <c:dLbl>
              <c:idx val="2"/>
              <c:layout>
                <c:manualLayout>
                  <c:x val="-5.4670411655417112E-3"/>
                  <c:y val="3.26503331522798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09-40E1-8FF3-DC99D4498F52}"/>
                </c:ext>
                <c:ext xmlns:c15="http://schemas.microsoft.com/office/drawing/2012/chart" uri="{CE6537A1-D6FC-4f65-9D91-7224C49458BB}"/>
              </c:extLst>
            </c:dLbl>
            <c:dLbl>
              <c:idx val="3"/>
              <c:layout>
                <c:manualLayout>
                  <c:x val="-7.0316867149425328E-3"/>
                  <c:y val="2.62874770400652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D09-40E1-8FF3-DC99D4498F52}"/>
                </c:ext>
                <c:ext xmlns:c15="http://schemas.microsoft.com/office/drawing/2012/chart" uri="{CE6537A1-D6FC-4f65-9D91-7224C49458BB}"/>
              </c:extLst>
            </c:dLbl>
            <c:dLbl>
              <c:idx val="4"/>
              <c:layout>
                <c:manualLayout>
                  <c:x val="-5.4651975140695766E-3"/>
                  <c:y val="3.27382339404844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D09-40E1-8FF3-DC99D4498F52}"/>
                </c:ext>
                <c:ext xmlns:c15="http://schemas.microsoft.com/office/drawing/2012/chart" uri="{CE6537A1-D6FC-4f65-9D91-7224C49458BB}"/>
              </c:extLst>
            </c:dLbl>
            <c:dLbl>
              <c:idx val="5"/>
              <c:layout>
                <c:manualLayout>
                  <c:x val="-5.4707284684860965E-3"/>
                  <c:y val="3.05000808521400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D09-40E1-8FF3-DC99D4498F52}"/>
                </c:ext>
                <c:ext xmlns:c15="http://schemas.microsoft.com/office/drawing/2012/chart" uri="{CE6537A1-D6FC-4f65-9D91-7224C49458BB}"/>
              </c:extLst>
            </c:dLbl>
            <c:dLbl>
              <c:idx val="6"/>
              <c:layout>
                <c:manualLayout>
                  <c:x val="-5.470728468486211E-3"/>
                  <c:y val="3.07639490672980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D09-40E1-8FF3-DC99D4498F52}"/>
                </c:ext>
                <c:ext xmlns:c15="http://schemas.microsoft.com/office/drawing/2012/chart" uri="{CE6537A1-D6FC-4f65-9D91-7224C49458BB}"/>
              </c:extLst>
            </c:dLbl>
            <c:dLbl>
              <c:idx val="7"/>
              <c:layout>
                <c:manualLayout>
                  <c:x val="-6.2383020314089382E-3"/>
                  <c:y val="2.83937789461026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D09-40E1-8FF3-DC99D4498F52}"/>
                </c:ext>
                <c:ext xmlns:c15="http://schemas.microsoft.com/office/drawing/2012/chart" uri="{CE6537A1-D6FC-4f65-9D91-7224C49458BB}"/>
              </c:extLst>
            </c:dLbl>
            <c:dLbl>
              <c:idx val="8"/>
              <c:layout>
                <c:manualLayout>
                  <c:x val="-4.675500133480481E-3"/>
                  <c:y val="2.852563012840974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D09-40E1-8FF3-DC99D4498F52}"/>
                </c:ext>
                <c:ext xmlns:c15="http://schemas.microsoft.com/office/drawing/2012/chart" uri="{CE6537A1-D6FC-4f65-9D91-7224C49458BB}"/>
              </c:extLst>
            </c:dLbl>
            <c:dLbl>
              <c:idx val="9"/>
              <c:layout>
                <c:manualLayout>
                  <c:x val="-4.6828747393692517E-3"/>
                  <c:y val="3.06319320344471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D09-40E1-8FF3-DC99D4498F52}"/>
                </c:ext>
                <c:ext xmlns:c15="http://schemas.microsoft.com/office/drawing/2012/chart" uri="{CE6537A1-D6FC-4f65-9D91-7224C49458BB}"/>
              </c:extLst>
            </c:dLbl>
            <c:dLbl>
              <c:idx val="10"/>
              <c:layout>
                <c:manualLayout>
                  <c:x val="-4.6718742855851687E-3"/>
                  <c:y val="3.06342539420601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D09-40E1-8FF3-DC99D4498F52}"/>
                </c:ext>
                <c:ext xmlns:c15="http://schemas.microsoft.com/office/drawing/2012/chart" uri="{CE6537A1-D6FC-4f65-9D91-7224C49458BB}"/>
              </c:extLst>
            </c:dLbl>
            <c:dLbl>
              <c:idx val="11"/>
              <c:layout>
                <c:manualLayout>
                  <c:x val="-1.660006941795068E-2"/>
                  <c:y val="4.761569238201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D09-40E1-8FF3-DC99D4498F52}"/>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C-CD09-40E1-8FF3-DC99D4498F52}"/>
            </c:ext>
          </c:extLst>
        </c:ser>
        <c:ser>
          <c:idx val="1"/>
          <c:order val="1"/>
          <c:tx>
            <c:strRef>
              <c:f>Gráficos!$R$36</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2.5121353577699651E-2"/>
                  <c:y val="-6.98054459096988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D09-40E1-8FF3-DC99D4498F52}"/>
                </c:ext>
                <c:ext xmlns:c15="http://schemas.microsoft.com/office/drawing/2012/chart" uri="{CE6537A1-D6FC-4f65-9D91-7224C49458BB}"/>
              </c:extLst>
            </c:dLbl>
            <c:dLbl>
              <c:idx val="1"/>
              <c:layout>
                <c:manualLayout>
                  <c:x val="-2.2793869220123122E-2"/>
                  <c:y val="-5.4887493652385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D09-40E1-8FF3-DC99D4498F52}"/>
                </c:ext>
                <c:ext xmlns:c15="http://schemas.microsoft.com/office/drawing/2012/chart" uri="{CE6537A1-D6FC-4f65-9D91-7224C49458BB}"/>
              </c:extLst>
            </c:dLbl>
            <c:dLbl>
              <c:idx val="2"/>
              <c:layout>
                <c:manualLayout>
                  <c:x val="-5.3593104645165918E-3"/>
                  <c:y val="2.26309701012932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D09-40E1-8FF3-DC99D4498F52}"/>
                </c:ext>
                <c:ext xmlns:c15="http://schemas.microsoft.com/office/drawing/2012/chart" uri="{CE6537A1-D6FC-4f65-9D91-7224C49458BB}"/>
              </c:extLst>
            </c:dLbl>
            <c:dLbl>
              <c:idx val="3"/>
              <c:layout>
                <c:manualLayout>
                  <c:x val="-4.4293726619426578E-3"/>
                  <c:y val="2.54107910656312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D09-40E1-8FF3-DC99D4498F52}"/>
                </c:ext>
                <c:ext xmlns:c15="http://schemas.microsoft.com/office/drawing/2012/chart" uri="{CE6537A1-D6FC-4f65-9D91-7224C49458BB}"/>
              </c:extLst>
            </c:dLbl>
            <c:dLbl>
              <c:idx val="4"/>
              <c:layout>
                <c:manualLayout>
                  <c:x val="-3.9652641313427713E-3"/>
                  <c:y val="2.43078849494777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D09-40E1-8FF3-DC99D4498F52}"/>
                </c:ext>
                <c:ext xmlns:c15="http://schemas.microsoft.com/office/drawing/2012/chart" uri="{CE6537A1-D6FC-4f65-9D91-7224C49458BB}"/>
              </c:extLst>
            </c:dLbl>
            <c:dLbl>
              <c:idx val="5"/>
              <c:layout>
                <c:manualLayout>
                  <c:x val="-2.5451793498683997E-3"/>
                  <c:y val="1.973675157618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D09-40E1-8FF3-DC99D4498F52}"/>
                </c:ext>
                <c:ext xmlns:c15="http://schemas.microsoft.com/office/drawing/2012/chart" uri="{CE6537A1-D6FC-4f65-9D91-7224C49458BB}"/>
              </c:extLst>
            </c:dLbl>
            <c:dLbl>
              <c:idx val="6"/>
              <c:layout>
                <c:manualLayout>
                  <c:x val="-5.8375432880038028E-3"/>
                  <c:y val="3.05938880860136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D09-40E1-8FF3-DC99D4498F52}"/>
                </c:ext>
                <c:ext xmlns:c15="http://schemas.microsoft.com/office/drawing/2012/chart" uri="{CE6537A1-D6FC-4f65-9D91-7224C49458BB}"/>
              </c:extLst>
            </c:dLbl>
            <c:dLbl>
              <c:idx val="7"/>
              <c:layout>
                <c:manualLayout>
                  <c:x val="-5.9869552620889317E-3"/>
                  <c:y val="3.24168949431786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D09-40E1-8FF3-DC99D4498F52}"/>
                </c:ext>
                <c:ext xmlns:c15="http://schemas.microsoft.com/office/drawing/2012/chart" uri="{CE6537A1-D6FC-4f65-9D91-7224C49458BB}"/>
              </c:extLst>
            </c:dLbl>
            <c:dLbl>
              <c:idx val="8"/>
              <c:layout>
                <c:manualLayout>
                  <c:x val="-5.0207037852737909E-3"/>
                  <c:y val="2.84412943216055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D09-40E1-8FF3-DC99D4498F52}"/>
                </c:ext>
                <c:ext xmlns:c15="http://schemas.microsoft.com/office/drawing/2012/chart" uri="{CE6537A1-D6FC-4f65-9D91-7224C49458BB}"/>
              </c:extLst>
            </c:dLbl>
            <c:dLbl>
              <c:idx val="9"/>
              <c:layout>
                <c:manualLayout>
                  <c:x val="-3.5857235906731413E-2"/>
                  <c:y val="-4.5204408845148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D09-40E1-8FF3-DC99D4498F52}"/>
                </c:ext>
                <c:ext xmlns:c15="http://schemas.microsoft.com/office/drawing/2012/chart" uri="{CE6537A1-D6FC-4f65-9D91-7224C49458BB}"/>
              </c:extLst>
            </c:dLbl>
            <c:dLbl>
              <c:idx val="10"/>
              <c:layout>
                <c:manualLayout>
                  <c:x val="-3.4298225649917004E-2"/>
                  <c:y val="-3.87466361529844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CD09-40E1-8FF3-DC99D4498F52}"/>
                </c:ext>
                <c:ext xmlns:c15="http://schemas.microsoft.com/office/drawing/2012/chart" uri="{CE6537A1-D6FC-4f65-9D91-7224C49458BB}"/>
              </c:extLst>
            </c:dLbl>
            <c:dLbl>
              <c:idx val="11"/>
              <c:layout>
                <c:manualLayout>
                  <c:x val="-2.6134623680750261E-2"/>
                  <c:y val="-5.26377480129042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7B8-4666-A152-78C6850FC150}"/>
                </c:ext>
                <c:ext xmlns:c15="http://schemas.microsoft.com/office/drawing/2012/chart" uri="{CE6537A1-D6FC-4f65-9D91-7224C49458BB}"/>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15875" cap="flat" cmpd="sng" algn="ctr">
                      <a:solidFill>
                        <a:srgbClr val="00B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18-CD09-40E1-8FF3-DC99D4498F52}"/>
            </c:ext>
          </c:extLst>
        </c:ser>
        <c:dLbls>
          <c:showLegendKey val="0"/>
          <c:showVal val="0"/>
          <c:showCatName val="0"/>
          <c:showSerName val="0"/>
          <c:showPercent val="0"/>
          <c:showBubbleSize val="0"/>
        </c:dLbls>
        <c:marker val="1"/>
        <c:smooth val="0"/>
        <c:axId val="484868648"/>
        <c:axId val="48487178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19-CD09-40E1-8FF3-DC99D4498F52}"/>
                  </c:ext>
                </c:extLst>
              </c15:ser>
            </c15:filteredLineSeries>
          </c:ext>
        </c:extLst>
      </c:lineChart>
      <c:catAx>
        <c:axId val="48486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484871784"/>
        <c:crosses val="autoZero"/>
        <c:auto val="1"/>
        <c:lblAlgn val="ctr"/>
        <c:lblOffset val="100"/>
        <c:noMultiLvlLbl val="0"/>
      </c:catAx>
      <c:valAx>
        <c:axId val="48487178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8648"/>
        <c:crosses val="autoZero"/>
        <c:crossBetween val="between"/>
        <c:dispUnits>
          <c:builtInUnit val="millions"/>
          <c:dispUnitsLbl>
            <c:layout>
              <c:manualLayout>
                <c:xMode val="edge"/>
                <c:yMode val="edge"/>
                <c:x val="0"/>
                <c:y val="0"/>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6704035044350294"/>
          <c:y val="0.84797163104236351"/>
          <c:w val="0.21105920984506149"/>
          <c:h val="9.52249290318910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33A7-41B6-A35C-A708A6E1739C}"/>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A7-41B6-A35C-A708A6E1739C}"/>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3A7-41B6-A35C-A708A6E1739C}"/>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3A7-41B6-A35C-A708A6E1739C}"/>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33A7-41B6-A35C-A708A6E1739C}"/>
            </c:ext>
          </c:extLst>
        </c:ser>
        <c:dLbls>
          <c:showLegendKey val="0"/>
          <c:showVal val="0"/>
          <c:showCatName val="0"/>
          <c:showSerName val="0"/>
          <c:showPercent val="0"/>
          <c:showBubbleSize val="0"/>
        </c:dLbls>
        <c:marker val="1"/>
        <c:smooth val="0"/>
        <c:axId val="484863944"/>
        <c:axId val="484872568"/>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33A7-41B6-A35C-A708A6E1739C}"/>
                  </c:ext>
                </c:extLst>
              </c15:ser>
            </c15:filteredLineSeries>
          </c:ext>
        </c:extLst>
      </c:lineChart>
      <c:catAx>
        <c:axId val="48486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2568"/>
        <c:crosses val="autoZero"/>
        <c:auto val="1"/>
        <c:lblAlgn val="ctr"/>
        <c:lblOffset val="100"/>
        <c:noMultiLvlLbl val="0"/>
      </c:catAx>
      <c:valAx>
        <c:axId val="48487256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394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9-48BD-83C0-EC551DF6DFD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22B9-48BD-83C0-EC551DF6DFD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9-48BD-83C0-EC551DF6DFD2}"/>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2B9-48BD-83C0-EC551DF6DFD2}"/>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9-48BD-83C0-EC551DF6DFD2}"/>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9-48BD-83C0-EC551DF6DFD2}"/>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9-48BD-83C0-EC551DF6DFD2}"/>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9-48BD-83C0-EC551DF6DFD2}"/>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9-48BD-83C0-EC551DF6DFD2}"/>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9-48BD-83C0-EC551DF6DFD2}"/>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9-48BD-83C0-EC551DF6DFD2}"/>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2B9-48BD-83C0-EC551DF6DFD2}"/>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2B9-48BD-83C0-EC551DF6DFD2}"/>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2B9-48BD-83C0-EC551DF6DFD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22B9-48BD-83C0-EC551DF6DFD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2B9-48BD-83C0-EC551DF6DFD2}"/>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2B9-48BD-83C0-EC551DF6DFD2}"/>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2B9-48BD-83C0-EC551DF6DFD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22B9-48BD-83C0-EC551DF6DFD2}"/>
            </c:ext>
          </c:extLst>
        </c:ser>
        <c:dLbls>
          <c:showLegendKey val="0"/>
          <c:showVal val="0"/>
          <c:showCatName val="0"/>
          <c:showSerName val="0"/>
          <c:showPercent val="0"/>
          <c:showBubbleSize val="0"/>
        </c:dLbls>
        <c:marker val="1"/>
        <c:smooth val="0"/>
        <c:axId val="484864336"/>
        <c:axId val="484872176"/>
      </c:lineChart>
      <c:catAx>
        <c:axId val="48486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2176"/>
        <c:crosses val="autoZero"/>
        <c:auto val="1"/>
        <c:lblAlgn val="ctr"/>
        <c:lblOffset val="100"/>
        <c:noMultiLvlLbl val="0"/>
      </c:catAx>
      <c:valAx>
        <c:axId val="4848721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433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653-46FE-A581-3D88CAE71620}"/>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653-46FE-A581-3D88CAE71620}"/>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653-46FE-A581-3D88CAE71620}"/>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653-46FE-A581-3D88CAE71620}"/>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653-46FE-A581-3D88CAE71620}"/>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653-46FE-A581-3D88CAE71620}"/>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653-46FE-A581-3D88CAE71620}"/>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653-46FE-A581-3D88CAE71620}"/>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653-46FE-A581-3D88CAE71620}"/>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653-46FE-A581-3D88CAE71620}"/>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653-46FE-A581-3D88CAE71620}"/>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653-46FE-A581-3D88CAE71620}"/>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7653-46FE-A581-3D88CAE71620}"/>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653-46FE-A581-3D88CAE71620}"/>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653-46FE-A581-3D88CAE71620}"/>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653-46FE-A581-3D88CAE71620}"/>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7653-46FE-A581-3D88CAE71620}"/>
            </c:ext>
          </c:extLst>
        </c:ser>
        <c:dLbls>
          <c:showLegendKey val="0"/>
          <c:showVal val="0"/>
          <c:showCatName val="0"/>
          <c:showSerName val="0"/>
          <c:showPercent val="0"/>
          <c:showBubbleSize val="0"/>
        </c:dLbls>
        <c:marker val="1"/>
        <c:smooth val="0"/>
        <c:axId val="484860808"/>
        <c:axId val="484869824"/>
      </c:lineChart>
      <c:catAx>
        <c:axId val="484860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69824"/>
        <c:crosses val="autoZero"/>
        <c:auto val="1"/>
        <c:lblAlgn val="ctr"/>
        <c:lblOffset val="100"/>
        <c:noMultiLvlLbl val="0"/>
      </c:catAx>
      <c:valAx>
        <c:axId val="4848698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6080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242-42D4-9B03-311CF43B6C32}"/>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242-42D4-9B03-311CF43B6C32}"/>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242-42D4-9B03-311CF43B6C32}"/>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6242-42D4-9B03-311CF43B6C32}"/>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242-42D4-9B03-311CF43B6C32}"/>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242-42D4-9B03-311CF43B6C32}"/>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242-42D4-9B03-311CF43B6C3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6242-42D4-9B03-311CF43B6C3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6242-42D4-9B03-311CF43B6C32}"/>
            </c:ext>
          </c:extLst>
        </c:ser>
        <c:dLbls>
          <c:showLegendKey val="0"/>
          <c:showVal val="0"/>
          <c:showCatName val="0"/>
          <c:showSerName val="0"/>
          <c:showPercent val="0"/>
          <c:showBubbleSize val="0"/>
        </c:dLbls>
        <c:marker val="1"/>
        <c:smooth val="0"/>
        <c:axId val="484871000"/>
        <c:axId val="484880016"/>
      </c:lineChart>
      <c:catAx>
        <c:axId val="48487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80016"/>
        <c:crosses val="autoZero"/>
        <c:auto val="1"/>
        <c:lblAlgn val="ctr"/>
        <c:lblOffset val="100"/>
        <c:noMultiLvlLbl val="0"/>
      </c:catAx>
      <c:valAx>
        <c:axId val="48488001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100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2F-4E7F-B9A5-18680DC5607A}"/>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C2F-4E7F-B9A5-18680DC5607A}"/>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2F-4E7F-B9A5-18680DC5607A}"/>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CC2F-4E7F-B9A5-18680DC5607A}"/>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C2F-4E7F-B9A5-18680DC5607A}"/>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C2F-4E7F-B9A5-18680DC5607A}"/>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C2F-4E7F-B9A5-18680DC5607A}"/>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CC2F-4E7F-B9A5-18680DC5607A}"/>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C2F-4E7F-B9A5-18680DC5607A}"/>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C2F-4E7F-B9A5-18680DC5607A}"/>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C2F-4E7F-B9A5-18680DC5607A}"/>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C2F-4E7F-B9A5-18680DC5607A}"/>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C2F-4E7F-B9A5-18680DC5607A}"/>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C2F-4E7F-B9A5-18680DC5607A}"/>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C2F-4E7F-B9A5-18680DC5607A}"/>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C2F-4E7F-B9A5-18680DC5607A}"/>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C2F-4E7F-B9A5-18680DC5607A}"/>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C2F-4E7F-B9A5-18680DC5607A}"/>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C2F-4E7F-B9A5-18680DC5607A}"/>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C2F-4E7F-B9A5-18680DC5607A}"/>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CC2F-4E7F-B9A5-18680DC5607A}"/>
            </c:ext>
          </c:extLst>
        </c:ser>
        <c:dLbls>
          <c:showLegendKey val="0"/>
          <c:showVal val="0"/>
          <c:showCatName val="0"/>
          <c:showSerName val="0"/>
          <c:showPercent val="0"/>
          <c:showBubbleSize val="0"/>
        </c:dLbls>
        <c:marker val="1"/>
        <c:smooth val="0"/>
        <c:axId val="484872960"/>
        <c:axId val="484879624"/>
      </c:lineChart>
      <c:catAx>
        <c:axId val="4848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9624"/>
        <c:crosses val="autoZero"/>
        <c:auto val="1"/>
        <c:lblAlgn val="ctr"/>
        <c:lblOffset val="100"/>
        <c:noMultiLvlLbl val="0"/>
      </c:catAx>
      <c:valAx>
        <c:axId val="484879624"/>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296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87570333249233E-2"/>
          <c:y val="6.4675925925925928E-2"/>
          <c:w val="0.93376345666917737"/>
          <c:h val="0.88172143565828098"/>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9"/>
            <c:spPr>
              <a:solidFill>
                <a:schemeClr val="tx1"/>
              </a:solidFill>
              <a:ln w="3175">
                <a:noFill/>
              </a:ln>
              <a:effectLst/>
            </c:spPr>
          </c:marker>
          <c:dLbls>
            <c:dLbl>
              <c:idx val="0"/>
              <c:layout>
                <c:manualLayout>
                  <c:x val="-4.2828195185396323E-2"/>
                  <c:y val="-3.4232023209170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C88-492D-A3DB-0413124864D3}"/>
                </c:ext>
                <c:ext xmlns:c15="http://schemas.microsoft.com/office/drawing/2012/chart" uri="{CE6537A1-D6FC-4f65-9D91-7224C49458BB}"/>
              </c:extLst>
            </c:dLbl>
            <c:dLbl>
              <c:idx val="1"/>
              <c:layout>
                <c:manualLayout>
                  <c:x val="-4.3210181960303802E-2"/>
                  <c:y val="-3.17264953266735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C88-492D-A3DB-0413124864D3}"/>
                </c:ext>
                <c:ext xmlns:c15="http://schemas.microsoft.com/office/drawing/2012/chart" uri="{CE6537A1-D6FC-4f65-9D91-7224C49458BB}"/>
              </c:extLst>
            </c:dLbl>
            <c:dLbl>
              <c:idx val="2"/>
              <c:layout>
                <c:manualLayout>
                  <c:x val="-3.8549694049157021E-2"/>
                  <c:y val="-3.59651929266493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C88-492D-A3DB-0413124864D3}"/>
                </c:ext>
                <c:ext xmlns:c15="http://schemas.microsoft.com/office/drawing/2012/chart" uri="{CE6537A1-D6FC-4f65-9D91-7224C49458BB}"/>
              </c:extLst>
            </c:dLbl>
            <c:dLbl>
              <c:idx val="3"/>
              <c:layout>
                <c:manualLayout>
                  <c:x val="-4.0949916984864408E-2"/>
                  <c:y val="-3.24943426393331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C88-492D-A3DB-0413124864D3}"/>
                </c:ext>
                <c:ext xmlns:c15="http://schemas.microsoft.com/office/drawing/2012/chart" uri="{CE6537A1-D6FC-4f65-9D91-7224C49458BB}"/>
              </c:extLst>
            </c:dLbl>
            <c:dLbl>
              <c:idx val="4"/>
              <c:layout>
                <c:manualLayout>
                  <c:x val="-4.0963439192067436E-2"/>
                  <c:y val="-2.74284883716074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C88-492D-A3DB-0413124864D3}"/>
                </c:ext>
                <c:ext xmlns:c15="http://schemas.microsoft.com/office/drawing/2012/chart" uri="{CE6537A1-D6FC-4f65-9D91-7224C49458BB}"/>
              </c:extLst>
            </c:dLbl>
            <c:dLbl>
              <c:idx val="5"/>
              <c:layout>
                <c:manualLayout>
                  <c:x val="-3.5854724385013755E-2"/>
                  <c:y val="-2.95485889803218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C88-492D-A3DB-0413124864D3}"/>
                </c:ext>
                <c:ext xmlns:c15="http://schemas.microsoft.com/office/drawing/2012/chart" uri="{CE6537A1-D6FC-4f65-9D91-7224C49458BB}"/>
              </c:extLst>
            </c:dLbl>
            <c:dLbl>
              <c:idx val="6"/>
              <c:layout>
                <c:manualLayout>
                  <c:x val="-3.9755787691625938E-2"/>
                  <c:y val="-2.74268176855484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C88-492D-A3DB-0413124864D3}"/>
                </c:ext>
                <c:ext xmlns:c15="http://schemas.microsoft.com/office/drawing/2012/chart" uri="{CE6537A1-D6FC-4f65-9D91-7224C49458BB}"/>
              </c:extLst>
            </c:dLbl>
            <c:dLbl>
              <c:idx val="7"/>
              <c:layout>
                <c:manualLayout>
                  <c:x val="-3.9388008581429601E-2"/>
                  <c:y val="-2.86686386331114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C88-492D-A3DB-0413124864D3}"/>
                </c:ext>
                <c:ext xmlns:c15="http://schemas.microsoft.com/office/drawing/2012/chart" uri="{CE6537A1-D6FC-4f65-9D91-7224C49458BB}"/>
              </c:extLst>
            </c:dLbl>
            <c:dLbl>
              <c:idx val="8"/>
              <c:layout>
                <c:manualLayout>
                  <c:x val="-3.2265481930218429E-2"/>
                  <c:y val="-2.65468673383381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C88-492D-A3DB-0413124864D3}"/>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C88-492D-A3DB-0413124864D3}"/>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C88-492D-A3DB-0413124864D3}"/>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C88-492D-A3DB-0413124864D3}"/>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DC88-492D-A3DB-0413124864D3}"/>
            </c:ext>
          </c:extLst>
        </c:ser>
        <c:ser>
          <c:idx val="0"/>
          <c:order val="1"/>
          <c:tx>
            <c:strRef>
              <c:f>Gráficos!$Q$52</c:f>
              <c:strCache>
                <c:ptCount val="1"/>
                <c:pt idx="0">
                  <c:v>Meta</c:v>
                </c:pt>
              </c:strCache>
            </c:strRef>
          </c:tx>
          <c:spPr>
            <a:ln w="50800" cap="rnd">
              <a:solidFill>
                <a:schemeClr val="tx2">
                  <a:lumMod val="60000"/>
                  <a:lumOff val="40000"/>
                </a:schemeClr>
              </a:solidFill>
              <a:round/>
            </a:ln>
            <a:effectLst/>
          </c:spPr>
          <c:marker>
            <c:symbol val="circle"/>
            <c:size val="6"/>
            <c:spPr>
              <a:solidFill>
                <a:schemeClr val="tx2">
                  <a:lumMod val="60000"/>
                  <a:lumOff val="40000"/>
                </a:schemeClr>
              </a:solidFill>
              <a:ln w="3175">
                <a:noFill/>
              </a:ln>
              <a:effectLst/>
            </c:spPr>
          </c:marker>
          <c:dLbls>
            <c:dLbl>
              <c:idx val="0"/>
              <c:layout>
                <c:manualLayout>
                  <c:x val="-4.2067150408570059E-3"/>
                  <c:y val="2.02806251373093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C88-492D-A3DB-0413124864D3}"/>
                </c:ext>
                <c:ext xmlns:c15="http://schemas.microsoft.com/office/drawing/2012/chart" uri="{CE6537A1-D6FC-4f65-9D91-7224C49458BB}"/>
              </c:extLst>
            </c:dLbl>
            <c:dLbl>
              <c:idx val="1"/>
              <c:layout>
                <c:manualLayout>
                  <c:x val="-6.0124593741797874E-3"/>
                  <c:y val="1.69561269487508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D33-42DE-BC80-E30B34791E1C}"/>
                </c:ext>
                <c:ext xmlns:c15="http://schemas.microsoft.com/office/drawing/2012/chart" uri="{CE6537A1-D6FC-4f65-9D91-7224C49458BB}"/>
              </c:extLst>
            </c:dLbl>
            <c:dLbl>
              <c:idx val="2"/>
              <c:layout>
                <c:manualLayout>
                  <c:x val="-3.6341087644092807E-3"/>
                  <c:y val="1.27127514278101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6-4EDC-80BF-72137A08F2CE}"/>
                </c:ext>
                <c:ext xmlns:c15="http://schemas.microsoft.com/office/drawing/2012/chart" uri="{CE6537A1-D6FC-4f65-9D91-7224C49458BB}"/>
              </c:extLst>
            </c:dLbl>
            <c:dLbl>
              <c:idx val="3"/>
              <c:layout>
                <c:manualLayout>
                  <c:x val="-2.1730452943111689E-3"/>
                  <c:y val="1.27339491922262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241-4BFB-81AD-FFB8FF0485F5}"/>
                </c:ext>
                <c:ext xmlns:c15="http://schemas.microsoft.com/office/drawing/2012/chart" uri="{CE6537A1-D6FC-4f65-9D91-7224C49458BB}"/>
              </c:extLst>
            </c:dLbl>
            <c:dLbl>
              <c:idx val="4"/>
              <c:layout>
                <c:manualLayout>
                  <c:x val="-4.0814383341238943E-2"/>
                  <c:y val="-2.54275076788908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46B-4C35-BAC5-56E760E28A4F}"/>
                </c:ext>
                <c:ext xmlns:c15="http://schemas.microsoft.com/office/drawing/2012/chart" uri="{CE6537A1-D6FC-4f65-9D91-7224C49458BB}"/>
              </c:extLst>
            </c:dLbl>
            <c:dLbl>
              <c:idx val="5"/>
              <c:layout>
                <c:manualLayout>
                  <c:x val="-3.2720563401205258E-2"/>
                  <c:y val="-2.54226626893201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303-4F08-9E8D-B5A439C23C9D}"/>
                </c:ext>
                <c:ext xmlns:c15="http://schemas.microsoft.com/office/drawing/2012/chart" uri="{CE6537A1-D6FC-4f65-9D91-7224C49458BB}"/>
              </c:extLst>
            </c:dLbl>
            <c:dLbl>
              <c:idx val="6"/>
              <c:layout>
                <c:manualLayout>
                  <c:x val="-3.5773653456114142E-2"/>
                  <c:y val="-3.17879765736400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03-4F08-9E8D-B5A439C23C9D}"/>
                </c:ext>
                <c:ext xmlns:c15="http://schemas.microsoft.com/office/drawing/2012/chart" uri="{CE6537A1-D6FC-4f65-9D91-7224C49458BB}"/>
              </c:extLst>
            </c:dLbl>
            <c:dLbl>
              <c:idx val="7"/>
              <c:layout>
                <c:manualLayout>
                  <c:x val="-2.1539839245634275E-2"/>
                  <c:y val="2.97426318633355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303-4F08-9E8D-B5A439C23C9D}"/>
                </c:ext>
                <c:ext xmlns:c15="http://schemas.microsoft.com/office/drawing/2012/chart" uri="{CE6537A1-D6FC-4f65-9D91-7224C49458BB}"/>
              </c:extLst>
            </c:dLbl>
            <c:dLbl>
              <c:idx val="8"/>
              <c:layout>
                <c:manualLayout>
                  <c:x val="-2.388027813505475E-2"/>
                  <c:y val="3.39877829898799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303-4F08-9E8D-B5A439C23C9D}"/>
                </c:ext>
                <c:ext xmlns:c15="http://schemas.microsoft.com/office/drawing/2012/chart" uri="{CE6537A1-D6FC-4f65-9D91-7224C49458BB}"/>
              </c:extLst>
            </c:dLbl>
            <c:dLbl>
              <c:idx val="9"/>
              <c:layout>
                <c:manualLayout>
                  <c:x val="-2.388027813505475E-2"/>
                  <c:y val="2.97426318633355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303-4F08-9E8D-B5A439C23C9D}"/>
                </c:ext>
                <c:ext xmlns:c15="http://schemas.microsoft.com/office/drawing/2012/chart" uri="{CE6537A1-D6FC-4f65-9D91-7224C49458BB}"/>
              </c:extLst>
            </c:dLbl>
            <c:dLbl>
              <c:idx val="10"/>
              <c:layout>
                <c:manualLayout>
                  <c:x val="-1.7639107763266625E-2"/>
                  <c:y val="2.97426318633355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303-4F08-9E8D-B5A439C23C9D}"/>
                </c:ext>
                <c:ext xmlns:c15="http://schemas.microsoft.com/office/drawing/2012/chart" uri="{CE6537A1-D6FC-4f65-9D91-7224C49458BB}"/>
              </c:extLst>
            </c:dLbl>
            <c:dLbl>
              <c:idx val="11"/>
              <c:layout>
                <c:manualLayout>
                  <c:x val="-2.0759692949160746E-2"/>
                  <c:y val="3.39877829898799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303-4F08-9E8D-B5A439C23C9D}"/>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DC88-492D-A3DB-0413124864D3}"/>
            </c:ext>
          </c:extLst>
        </c:ser>
        <c:ser>
          <c:idx val="2"/>
          <c:order val="2"/>
          <c:tx>
            <c:strRef>
              <c:f>Gráficos!$R$52</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5.6263286970649209E-2"/>
                  <c:y val="-8.20323561769022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C88-492D-A3DB-0413124864D3}"/>
                </c:ext>
                <c:ext xmlns:c15="http://schemas.microsoft.com/office/drawing/2012/chart" uri="{CE6537A1-D6FC-4f65-9D91-7224C49458BB}"/>
              </c:extLst>
            </c:dLbl>
            <c:dLbl>
              <c:idx val="1"/>
              <c:layout>
                <c:manualLayout>
                  <c:x val="-2.9839710123758731E-2"/>
                  <c:y val="-3.03040732161458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C88-492D-A3DB-0413124864D3}"/>
                </c:ext>
                <c:ext xmlns:c15="http://schemas.microsoft.com/office/drawing/2012/chart" uri="{CE6537A1-D6FC-4f65-9D91-7224C49458BB}"/>
              </c:extLst>
            </c:dLbl>
            <c:dLbl>
              <c:idx val="2"/>
              <c:layout>
                <c:manualLayout>
                  <c:x val="-3.7318425421849273E-2"/>
                  <c:y val="-2.39387593318258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C88-492D-A3DB-0413124864D3}"/>
                </c:ext>
                <c:ext xmlns:c15="http://schemas.microsoft.com/office/drawing/2012/chart" uri="{CE6537A1-D6FC-4f65-9D91-7224C49458BB}"/>
              </c:extLst>
            </c:dLbl>
            <c:dLbl>
              <c:idx val="3"/>
              <c:layout>
                <c:manualLayout>
                  <c:x val="-2.9763063511501604E-2"/>
                  <c:y val="-2.88430582576582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C88-492D-A3DB-0413124864D3}"/>
                </c:ext>
                <c:ext xmlns:c15="http://schemas.microsoft.com/office/drawing/2012/chart" uri="{CE6537A1-D6FC-4f65-9D91-7224C49458BB}"/>
              </c:extLst>
            </c:dLbl>
            <c:dLbl>
              <c:idx val="4"/>
              <c:layout>
                <c:manualLayout>
                  <c:x val="-1.0787917203712239E-2"/>
                  <c:y val="2.45133082674734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C88-492D-A3DB-0413124864D3}"/>
                </c:ext>
                <c:ext xmlns:c15="http://schemas.microsoft.com/office/drawing/2012/chart" uri="{CE6537A1-D6FC-4f65-9D91-7224C49458BB}"/>
              </c:extLst>
            </c:dLbl>
            <c:dLbl>
              <c:idx val="5"/>
              <c:layout>
                <c:manualLayout>
                  <c:x val="-1.0652570503043557E-2"/>
                  <c:y val="3.18791960324547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C88-492D-A3DB-0413124864D3}"/>
                </c:ext>
                <c:ext xmlns:c15="http://schemas.microsoft.com/office/drawing/2012/chart" uri="{CE6537A1-D6FC-4f65-9D91-7224C49458BB}"/>
              </c:extLst>
            </c:dLbl>
            <c:dLbl>
              <c:idx val="6"/>
              <c:layout>
                <c:manualLayout>
                  <c:x val="-2.1718721140681057E-2"/>
                  <c:y val="3.18735156998546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C88-492D-A3DB-0413124864D3}"/>
                </c:ext>
                <c:ext xmlns:c15="http://schemas.microsoft.com/office/drawing/2012/chart" uri="{CE6537A1-D6FC-4f65-9D91-7224C49458BB}"/>
              </c:extLst>
            </c:dLbl>
            <c:dLbl>
              <c:idx val="7"/>
              <c:layout>
                <c:manualLayout>
                  <c:x val="-3.1095343649759629E-2"/>
                  <c:y val="-3.81355811857360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C88-492D-A3DB-0413124864D3}"/>
                </c:ext>
                <c:ext xmlns:c15="http://schemas.microsoft.com/office/drawing/2012/chart" uri="{CE6537A1-D6FC-4f65-9D91-7224C49458BB}"/>
              </c:extLst>
            </c:dLbl>
            <c:dLbl>
              <c:idx val="8"/>
              <c:layout>
                <c:manualLayout>
                  <c:x val="-3.1255429135034998E-2"/>
                  <c:y val="-4.02685460771038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C88-492D-A3DB-0413124864D3}"/>
                </c:ext>
                <c:ext xmlns:c15="http://schemas.microsoft.com/office/drawing/2012/chart" uri="{CE6537A1-D6FC-4f65-9D91-7224C49458BB}"/>
              </c:extLst>
            </c:dLbl>
            <c:dLbl>
              <c:idx val="9"/>
              <c:layout>
                <c:manualLayout>
                  <c:x val="-2.7271799355869465E-2"/>
                  <c:y val="-4.02685460771039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C88-492D-A3DB-0413124864D3}"/>
                </c:ext>
                <c:ext xmlns:c15="http://schemas.microsoft.com/office/drawing/2012/chart" uri="{CE6537A1-D6FC-4f65-9D91-7224C49458BB}"/>
              </c:extLst>
            </c:dLbl>
            <c:dLbl>
              <c:idx val="10"/>
              <c:layout>
                <c:manualLayout>
                  <c:x val="-2.8801241999153022E-2"/>
                  <c:y val="-4.87537935015325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C88-492D-A3DB-0413124864D3}"/>
                </c:ext>
                <c:ext xmlns:c15="http://schemas.microsoft.com/office/drawing/2012/chart" uri="{CE6537A1-D6FC-4f65-9D91-7224C49458BB}"/>
              </c:extLst>
            </c:dLbl>
            <c:dLbl>
              <c:idx val="11"/>
              <c:layout>
                <c:manualLayout>
                  <c:x val="-2.1367579953633278E-2"/>
                  <c:y val="-5.51660536641068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618-4B47-A692-BE52ED238125}"/>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A-DC88-492D-A3DB-0413124864D3}"/>
            </c:ext>
          </c:extLst>
        </c:ser>
        <c:dLbls>
          <c:showLegendKey val="0"/>
          <c:showVal val="0"/>
          <c:showCatName val="0"/>
          <c:showSerName val="0"/>
          <c:showPercent val="0"/>
          <c:showBubbleSize val="0"/>
        </c:dLbls>
        <c:marker val="1"/>
        <c:smooth val="0"/>
        <c:axId val="484876096"/>
        <c:axId val="484878840"/>
      </c:lineChart>
      <c:catAx>
        <c:axId val="484876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484878840"/>
        <c:crosses val="autoZero"/>
        <c:auto val="1"/>
        <c:lblAlgn val="ctr"/>
        <c:lblOffset val="50"/>
        <c:noMultiLvlLbl val="0"/>
      </c:catAx>
      <c:valAx>
        <c:axId val="48487884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6096"/>
        <c:crosses val="autoZero"/>
        <c:crossBetween val="between"/>
        <c:dispUnits>
          <c:builtInUnit val="millions"/>
          <c:dispUnitsLbl>
            <c:layout>
              <c:manualLayout>
                <c:xMode val="edge"/>
                <c:yMode val="edge"/>
                <c:x val="0"/>
                <c:y val="1.219253390643273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8982863160295227"/>
          <c:y val="0.83159759492664265"/>
          <c:w val="0.2775570707070707"/>
          <c:h val="0.1134416597013009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C214-4272-A7B0-1B08BB41E888}"/>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214-4272-A7B0-1B08BB41E888}"/>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214-4272-A7B0-1B08BB41E888}"/>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214-4272-A7B0-1B08BB41E888}"/>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C214-4272-A7B0-1B08BB41E888}"/>
            </c:ext>
          </c:extLst>
        </c:ser>
        <c:dLbls>
          <c:showLegendKey val="0"/>
          <c:showVal val="0"/>
          <c:showCatName val="0"/>
          <c:showSerName val="0"/>
          <c:showPercent val="0"/>
          <c:showBubbleSize val="0"/>
        </c:dLbls>
        <c:marker val="1"/>
        <c:smooth val="0"/>
        <c:axId val="484874920"/>
        <c:axId val="48487766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C214-4272-A7B0-1B08BB41E888}"/>
                  </c:ext>
                </c:extLst>
              </c15:ser>
            </c15:filteredLineSeries>
          </c:ext>
        </c:extLst>
      </c:lineChart>
      <c:catAx>
        <c:axId val="484874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7664"/>
        <c:crosses val="autoZero"/>
        <c:auto val="1"/>
        <c:lblAlgn val="ctr"/>
        <c:lblOffset val="100"/>
        <c:noMultiLvlLbl val="0"/>
      </c:catAx>
      <c:valAx>
        <c:axId val="4848776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492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D91-49EA-AE32-68B0E676865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9D91-49EA-AE32-68B0E676865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91-49EA-AE32-68B0E6768652}"/>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D91-49EA-AE32-68B0E6768652}"/>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91-49EA-AE32-68B0E6768652}"/>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91-49EA-AE32-68B0E6768652}"/>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D91-49EA-AE32-68B0E6768652}"/>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D91-49EA-AE32-68B0E6768652}"/>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D91-49EA-AE32-68B0E6768652}"/>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D91-49EA-AE32-68B0E6768652}"/>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D91-49EA-AE32-68B0E6768652}"/>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D91-49EA-AE32-68B0E6768652}"/>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D91-49EA-AE32-68B0E6768652}"/>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D91-49EA-AE32-68B0E676865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9D91-49EA-AE32-68B0E676865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D91-49EA-AE32-68B0E6768652}"/>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D91-49EA-AE32-68B0E6768652}"/>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D91-49EA-AE32-68B0E6768652}"/>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9D91-49EA-AE32-68B0E6768652}"/>
            </c:ext>
          </c:extLst>
        </c:ser>
        <c:dLbls>
          <c:showLegendKey val="0"/>
          <c:showVal val="0"/>
          <c:showCatName val="0"/>
          <c:showSerName val="0"/>
          <c:showPercent val="0"/>
          <c:showBubbleSize val="0"/>
        </c:dLbls>
        <c:marker val="1"/>
        <c:smooth val="0"/>
        <c:axId val="484879232"/>
        <c:axId val="484874136"/>
      </c:lineChart>
      <c:catAx>
        <c:axId val="48487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4136"/>
        <c:crosses val="autoZero"/>
        <c:auto val="1"/>
        <c:lblAlgn val="ctr"/>
        <c:lblOffset val="100"/>
        <c:noMultiLvlLbl val="0"/>
      </c:catAx>
      <c:valAx>
        <c:axId val="48487413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923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354-47B4-9B48-A5DAB482DD75}"/>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354-47B4-9B48-A5DAB482DD75}"/>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354-47B4-9B48-A5DAB482DD75}"/>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54-47B4-9B48-A5DAB482DD75}"/>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54-47B4-9B48-A5DAB482DD75}"/>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54-47B4-9B48-A5DAB482DD75}"/>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54-47B4-9B48-A5DAB482DD75}"/>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54-47B4-9B48-A5DAB482DD75}"/>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354-47B4-9B48-A5DAB482DD75}"/>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354-47B4-9B48-A5DAB482DD75}"/>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54-47B4-9B48-A5DAB482DD75}"/>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54-47B4-9B48-A5DAB482DD75}"/>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9354-47B4-9B48-A5DAB482DD75}"/>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54-47B4-9B48-A5DAB482DD75}"/>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54-47B4-9B48-A5DAB482DD75}"/>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54-47B4-9B48-A5DAB482DD75}"/>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9354-47B4-9B48-A5DAB482DD75}"/>
            </c:ext>
          </c:extLst>
        </c:ser>
        <c:dLbls>
          <c:showLegendKey val="0"/>
          <c:showVal val="0"/>
          <c:showCatName val="0"/>
          <c:showSerName val="0"/>
          <c:showPercent val="0"/>
          <c:showBubbleSize val="0"/>
        </c:dLbls>
        <c:marker val="1"/>
        <c:smooth val="0"/>
        <c:axId val="484878448"/>
        <c:axId val="484875312"/>
      </c:lineChart>
      <c:catAx>
        <c:axId val="48487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5312"/>
        <c:crosses val="autoZero"/>
        <c:auto val="1"/>
        <c:lblAlgn val="ctr"/>
        <c:lblOffset val="100"/>
        <c:noMultiLvlLbl val="0"/>
      </c:catAx>
      <c:valAx>
        <c:axId val="48487531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844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2460111445679"/>
          <c:y val="4.1377010317003582E-2"/>
          <c:w val="0.85847167903029165"/>
          <c:h val="0.87136162944266027"/>
        </c:manualLayout>
      </c:layout>
      <c:lineChart>
        <c:grouping val="standard"/>
        <c:varyColors val="0"/>
        <c:ser>
          <c:idx val="2"/>
          <c:order val="0"/>
          <c:tx>
            <c:strRef>
              <c:f>Gráficos!$S$4</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6.1345365285415461E-2"/>
                  <c:y val="-4.82430308076399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145-412A-B3DA-AFC8B19F36E6}"/>
                </c:ext>
                <c:ext xmlns:c15="http://schemas.microsoft.com/office/drawing/2012/chart" uri="{CE6537A1-D6FC-4f65-9D91-7224C49458BB}"/>
              </c:extLst>
            </c:dLbl>
            <c:dLbl>
              <c:idx val="1"/>
              <c:layout>
                <c:manualLayout>
                  <c:x val="-5.6129462393896802E-2"/>
                  <c:y val="-4.4928747320829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145-412A-B3DA-AFC8B19F36E6}"/>
                </c:ext>
                <c:ext xmlns:c15="http://schemas.microsoft.com/office/drawing/2012/chart" uri="{CE6537A1-D6FC-4f65-9D91-7224C49458BB}"/>
              </c:extLst>
            </c:dLbl>
            <c:dLbl>
              <c:idx val="2"/>
              <c:layout>
                <c:manualLayout>
                  <c:x val="-5.3539039776910324E-2"/>
                  <c:y val="-4.48952481768852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145-412A-B3DA-AFC8B19F36E6}"/>
                </c:ext>
                <c:ext xmlns:c15="http://schemas.microsoft.com/office/drawing/2012/chart" uri="{CE6537A1-D6FC-4f65-9D91-7224C49458BB}"/>
              </c:extLst>
            </c:dLbl>
            <c:dLbl>
              <c:idx val="3"/>
              <c:layout>
                <c:manualLayout>
                  <c:x val="-6.689154821381238E-2"/>
                  <c:y val="-3.31087266488126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145-412A-B3DA-AFC8B19F36E6}"/>
                </c:ext>
                <c:ext xmlns:c15="http://schemas.microsoft.com/office/drawing/2012/chart" uri="{CE6537A1-D6FC-4f65-9D91-7224C49458BB}"/>
              </c:extLst>
            </c:dLbl>
            <c:dLbl>
              <c:idx val="4"/>
              <c:layout>
                <c:manualLayout>
                  <c:x val="-6.3994371093300723E-2"/>
                  <c:y val="-4.0993511520355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145-412A-B3DA-AFC8B19F36E6}"/>
                </c:ext>
                <c:ext xmlns:c15="http://schemas.microsoft.com/office/drawing/2012/chart" uri="{CE6537A1-D6FC-4f65-9D91-7224C49458BB}"/>
              </c:extLst>
            </c:dLbl>
            <c:dLbl>
              <c:idx val="5"/>
              <c:layout>
                <c:manualLayout>
                  <c:x val="-5.4858468546208149E-2"/>
                  <c:y val="-4.12039470518621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145-412A-B3DA-AFC8B19F36E6}"/>
                </c:ext>
                <c:ext xmlns:c15="http://schemas.microsoft.com/office/drawing/2012/chart" uri="{CE6537A1-D6FC-4f65-9D91-7224C49458BB}"/>
              </c:extLst>
            </c:dLbl>
            <c:dLbl>
              <c:idx val="6"/>
              <c:layout>
                <c:manualLayout>
                  <c:x val="-5.387116495365931E-2"/>
                  <c:y val="-3.712496947009839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145-412A-B3DA-AFC8B19F36E6}"/>
                </c:ext>
                <c:ext xmlns:c15="http://schemas.microsoft.com/office/drawing/2012/chart" uri="{CE6537A1-D6FC-4f65-9D91-7224C49458BB}"/>
              </c:extLst>
            </c:dLbl>
            <c:dLbl>
              <c:idx val="7"/>
              <c:layout>
                <c:manualLayout>
                  <c:x val="-5.4544333483199765E-2"/>
                  <c:y val="-3.69181883906585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145-412A-B3DA-AFC8B19F36E6}"/>
                </c:ext>
                <c:ext xmlns:c15="http://schemas.microsoft.com/office/drawing/2012/chart" uri="{CE6537A1-D6FC-4f65-9D91-7224C49458BB}"/>
              </c:extLst>
            </c:dLbl>
            <c:dLbl>
              <c:idx val="8"/>
              <c:layout>
                <c:manualLayout>
                  <c:x val="-5.1278589673490339E-2"/>
                  <c:y val="-3.32573410328577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145-412A-B3DA-AFC8B19F36E6}"/>
                </c:ext>
                <c:ext xmlns:c15="http://schemas.microsoft.com/office/drawing/2012/chart" uri="{CE6537A1-D6FC-4f65-9D91-7224C49458BB}"/>
              </c:extLst>
            </c:dLbl>
            <c:dLbl>
              <c:idx val="9"/>
              <c:layout>
                <c:manualLayout>
                  <c:x val="-5.6817032869593179E-2"/>
                  <c:y val="-4.51704249902708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145-412A-B3DA-AFC8B19F36E6}"/>
                </c:ext>
                <c:ext xmlns:c15="http://schemas.microsoft.com/office/drawing/2012/chart" uri="{CE6537A1-D6FC-4f65-9D91-7224C49458BB}"/>
              </c:extLst>
            </c:dLbl>
            <c:dLbl>
              <c:idx val="10"/>
              <c:layout>
                <c:manualLayout>
                  <c:x val="-5.6817032869593012E-2"/>
                  <c:y val="-3.7642020825225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145-412A-B3DA-AFC8B19F36E6}"/>
                </c:ext>
                <c:ext xmlns:c15="http://schemas.microsoft.com/office/drawing/2012/chart" uri="{CE6537A1-D6FC-4f65-9D91-7224C49458BB}"/>
              </c:extLst>
            </c:dLbl>
            <c:dLbl>
              <c:idx val="11"/>
              <c:layout>
                <c:manualLayout>
                  <c:x val="-2.0454131833053484E-2"/>
                  <c:y val="-3.76420208252257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145-412A-B3DA-AFC8B19F36E6}"/>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30184239.498371247</c:v>
                </c:pt>
                <c:pt idx="1">
                  <c:v>56927031.176796898</c:v>
                </c:pt>
                <c:pt idx="2">
                  <c:v>74074346.245687261</c:v>
                </c:pt>
                <c:pt idx="3">
                  <c:v>89762305.828869447</c:v>
                </c:pt>
                <c:pt idx="4">
                  <c:v>109135045.40767497</c:v>
                </c:pt>
                <c:pt idx="5">
                  <c:v>125438557.78640747</c:v>
                </c:pt>
                <c:pt idx="6">
                  <c:v>136801856.5243001</c:v>
                </c:pt>
                <c:pt idx="7">
                  <c:v>148498354.47810993</c:v>
                </c:pt>
                <c:pt idx="8">
                  <c:v>158386068.53800189</c:v>
                </c:pt>
                <c:pt idx="9">
                  <c:v>169500886.80442035</c:v>
                </c:pt>
                <c:pt idx="10">
                  <c:v>179138911.01441649</c:v>
                </c:pt>
                <c:pt idx="11">
                  <c:v>188503736.13176399</c:v>
                </c:pt>
              </c:numCache>
            </c:numRef>
          </c:val>
          <c:smooth val="0"/>
          <c:extLst xmlns:c16r2="http://schemas.microsoft.com/office/drawing/2015/06/chart">
            <c:ext xmlns:c16="http://schemas.microsoft.com/office/drawing/2014/chart" uri="{C3380CC4-5D6E-409C-BE32-E72D297353CC}">
              <c16:uniqueId val="{00000013-E145-412A-B3DA-AFC8B19F36E6}"/>
            </c:ext>
          </c:extLst>
        </c:ser>
        <c:ser>
          <c:idx val="0"/>
          <c:order val="1"/>
          <c:tx>
            <c:strRef>
              <c:f>Gráficos!$Q$4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8.9822792766805687E-2"/>
                  <c:y val="-3.0530815253439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145-412A-B3DA-AFC8B19F36E6}"/>
                </c:ext>
                <c:ext xmlns:c15="http://schemas.microsoft.com/office/drawing/2012/chart" uri="{CE6537A1-D6FC-4f65-9D91-7224C49458BB}"/>
              </c:extLst>
            </c:dLbl>
            <c:dLbl>
              <c:idx val="1"/>
              <c:layout>
                <c:manualLayout>
                  <c:x val="-1.3989542977305395E-2"/>
                  <c:y val="2.32359198529935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145-412A-B3DA-AFC8B19F36E6}"/>
                </c:ext>
                <c:ext xmlns:c15="http://schemas.microsoft.com/office/drawing/2012/chart" uri="{CE6537A1-D6FC-4f65-9D91-7224C49458BB}"/>
              </c:extLst>
            </c:dLbl>
            <c:dLbl>
              <c:idx val="2"/>
              <c:layout>
                <c:manualLayout>
                  <c:x val="-1.498530346092882E-2"/>
                  <c:y val="1.96810516051267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6FA-4494-8D25-F17BF1395968}"/>
                </c:ext>
                <c:ext xmlns:c15="http://schemas.microsoft.com/office/drawing/2012/chart" uri="{CE6537A1-D6FC-4f65-9D91-7224C49458BB}"/>
              </c:extLst>
            </c:dLbl>
            <c:dLbl>
              <c:idx val="3"/>
              <c:layout>
                <c:manualLayout>
                  <c:x val="-1.1070070416687937E-2"/>
                  <c:y val="2.37773878342071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6FA-4494-8D25-F17BF1395968}"/>
                </c:ext>
                <c:ext xmlns:c15="http://schemas.microsoft.com/office/drawing/2012/chart" uri="{CE6537A1-D6FC-4f65-9D91-7224C49458BB}"/>
              </c:extLst>
            </c:dLbl>
            <c:dLbl>
              <c:idx val="4"/>
              <c:layout>
                <c:manualLayout>
                  <c:x val="-8.1054534338975637E-2"/>
                  <c:y val="-2.64332608736699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6FA-4494-8D25-F17BF1395968}"/>
                </c:ext>
                <c:ext xmlns:c15="http://schemas.microsoft.com/office/drawing/2012/chart" uri="{CE6537A1-D6FC-4f65-9D91-7224C49458BB}"/>
              </c:extLst>
            </c:dLbl>
            <c:dLbl>
              <c:idx val="5"/>
              <c:layout>
                <c:manualLayout>
                  <c:x val="-7.8068329219696572E-2"/>
                  <c:y val="-3.4349413125451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6FA-4494-8D25-F17BF1395968}"/>
                </c:ext>
                <c:ext xmlns:c15="http://schemas.microsoft.com/office/drawing/2012/chart" uri="{CE6537A1-D6FC-4f65-9D91-7224C49458BB}"/>
              </c:extLst>
            </c:dLbl>
            <c:dLbl>
              <c:idx val="6"/>
              <c:layout>
                <c:manualLayout>
                  <c:x val="-1.5641250685008247E-2"/>
                  <c:y val="2.7773531169126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6FA-4494-8D25-F17BF1395968}"/>
                </c:ext>
                <c:ext xmlns:c15="http://schemas.microsoft.com/office/drawing/2012/chart" uri="{CE6537A1-D6FC-4f65-9D91-7224C49458BB}"/>
              </c:extLst>
            </c:dLbl>
            <c:dLbl>
              <c:idx val="7"/>
              <c:layout>
                <c:manualLayout>
                  <c:x val="-6.2015151058525996E-3"/>
                  <c:y val="1.99554400478001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6FA-4494-8D25-F17BF1395968}"/>
                </c:ext>
                <c:ext xmlns:c15="http://schemas.microsoft.com/office/drawing/2012/chart" uri="{CE6537A1-D6FC-4f65-9D91-7224C49458BB}"/>
              </c:extLst>
            </c:dLbl>
            <c:dLbl>
              <c:idx val="8"/>
              <c:layout>
                <c:manualLayout>
                  <c:x val="-1.2389652947641695E-2"/>
                  <c:y val="2.37542429711182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6FA-4494-8D25-F17BF1395968}"/>
                </c:ext>
                <c:ext xmlns:c15="http://schemas.microsoft.com/office/drawing/2012/chart" uri="{CE6537A1-D6FC-4f65-9D91-7224C49458BB}"/>
              </c:extLst>
            </c:dLbl>
            <c:dLbl>
              <c:idx val="9"/>
              <c:layout>
                <c:manualLayout>
                  <c:x val="-1.4657791133856903E-2"/>
                  <c:y val="2.38690536735465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6FA-4494-8D25-F17BF1395968}"/>
                </c:ext>
                <c:ext xmlns:c15="http://schemas.microsoft.com/office/drawing/2012/chart" uri="{CE6537A1-D6FC-4f65-9D91-7224C49458BB}"/>
              </c:extLst>
            </c:dLbl>
            <c:dLbl>
              <c:idx val="10"/>
              <c:layout>
                <c:manualLayout>
                  <c:x val="-1.2709938476886241E-2"/>
                  <c:y val="2.00245700993950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6FA-4494-8D25-F17BF1395968}"/>
                </c:ext>
                <c:ext xmlns:c15="http://schemas.microsoft.com/office/drawing/2012/chart" uri="{CE6537A1-D6FC-4f65-9D91-7224C49458BB}"/>
              </c:extLst>
            </c:dLbl>
            <c:dLbl>
              <c:idx val="11"/>
              <c:layout>
                <c:manualLayout>
                  <c:x val="-1.2536187805716613E-3"/>
                  <c:y val="-4.17831777044316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6FA-4494-8D25-F17BF1395968}"/>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20405585.018427227</c:v>
                </c:pt>
                <c:pt idx="1">
                  <c:v>38780890.492701955</c:v>
                </c:pt>
                <c:pt idx="2">
                  <c:v>51848991.224650159</c:v>
                </c:pt>
                <c:pt idx="3">
                  <c:v>64000775.320602335</c:v>
                </c:pt>
                <c:pt idx="4">
                  <c:v>78616211.464894429</c:v>
                </c:pt>
                <c:pt idx="5">
                  <c:v>91111288.721067593</c:v>
                </c:pt>
                <c:pt idx="6">
                  <c:v>100982553.92475586</c:v>
                </c:pt>
                <c:pt idx="7">
                  <c:v>111300916.6960756</c:v>
                </c:pt>
                <c:pt idx="8">
                  <c:v>120106175.49778946</c:v>
                </c:pt>
                <c:pt idx="9">
                  <c:v>129961338.64602092</c:v>
                </c:pt>
                <c:pt idx="10">
                  <c:v>138509298.93698749</c:v>
                </c:pt>
                <c:pt idx="11">
                  <c:v>146797896.80410895</c:v>
                </c:pt>
              </c:numCache>
            </c:numRef>
          </c:val>
          <c:smooth val="1"/>
          <c:extLst xmlns:c16r2="http://schemas.microsoft.com/office/drawing/2015/06/chart">
            <c:ext xmlns:c16="http://schemas.microsoft.com/office/drawing/2014/chart" uri="{C3380CC4-5D6E-409C-BE32-E72D297353CC}">
              <c16:uniqueId val="{00000002-E145-412A-B3DA-AFC8B19F36E6}"/>
            </c:ext>
          </c:extLst>
        </c:ser>
        <c:ser>
          <c:idx val="1"/>
          <c:order val="2"/>
          <c:tx>
            <c:strRef>
              <c:f>Gráficos!$R$4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6.8526802475890108E-3"/>
                  <c:y val="1.46733422416780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145-412A-B3DA-AFC8B19F36E6}"/>
                </c:ext>
                <c:ext xmlns:c15="http://schemas.microsoft.com/office/drawing/2012/chart" uri="{CE6537A1-D6FC-4f65-9D91-7224C49458BB}"/>
              </c:extLst>
            </c:dLbl>
            <c:dLbl>
              <c:idx val="1"/>
              <c:layout>
                <c:manualLayout>
                  <c:x val="-0.10511684963278642"/>
                  <c:y val="-4.41077137565148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145-412A-B3DA-AFC8B19F36E6}"/>
                </c:ext>
                <c:ext xmlns:c15="http://schemas.microsoft.com/office/drawing/2012/chart" uri="{CE6537A1-D6FC-4f65-9D91-7224C49458BB}"/>
              </c:extLst>
            </c:dLbl>
            <c:dLbl>
              <c:idx val="2"/>
              <c:layout>
                <c:manualLayout>
                  <c:x val="-0.12332561244805167"/>
                  <c:y val="-8.29900178641799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145-412A-B3DA-AFC8B19F36E6}"/>
                </c:ext>
                <c:ext xmlns:c15="http://schemas.microsoft.com/office/drawing/2012/chart" uri="{CE6537A1-D6FC-4f65-9D91-7224C49458BB}">
                  <c15:layout>
                    <c:manualLayout>
                      <c:w val="6.7224134675529082E-2"/>
                      <c:h val="4.9370429270212006E-2"/>
                    </c:manualLayout>
                  </c15:layout>
                </c:ext>
              </c:extLst>
            </c:dLbl>
            <c:dLbl>
              <c:idx val="3"/>
              <c:layout>
                <c:manualLayout>
                  <c:x val="-7.1571284211199626E-2"/>
                  <c:y val="-2.35486800423673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6FA-4494-8D25-F17BF1395968}"/>
                </c:ext>
                <c:ext xmlns:c15="http://schemas.microsoft.com/office/drawing/2012/chart" uri="{CE6537A1-D6FC-4f65-9D91-7224C49458BB}"/>
              </c:extLst>
            </c:dLbl>
            <c:dLbl>
              <c:idx val="4"/>
              <c:layout>
                <c:manualLayout>
                  <c:x val="-1.0717494939703904E-2"/>
                  <c:y val="1.50749193127438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6FA-4494-8D25-F17BF1395968}"/>
                </c:ext>
                <c:ext xmlns:c15="http://schemas.microsoft.com/office/drawing/2012/chart" uri="{CE6537A1-D6FC-4f65-9D91-7224C49458BB}"/>
              </c:extLst>
            </c:dLbl>
            <c:dLbl>
              <c:idx val="5"/>
              <c:layout>
                <c:manualLayout>
                  <c:x val="-9.3811523882567915E-3"/>
                  <c:y val="2.3205770623443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6E-46DB-B0F0-6823C8D72766}"/>
                </c:ext>
                <c:ext xmlns:c15="http://schemas.microsoft.com/office/drawing/2012/chart" uri="{CE6537A1-D6FC-4f65-9D91-7224C49458BB}"/>
              </c:extLst>
            </c:dLbl>
            <c:dLbl>
              <c:idx val="6"/>
              <c:layout>
                <c:manualLayout>
                  <c:x val="-6.4441509988664686E-2"/>
                  <c:y val="-3.86762843724057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D37-42C3-BB5F-AC50F75D9E6A}"/>
                </c:ext>
                <c:ext xmlns:c15="http://schemas.microsoft.com/office/drawing/2012/chart" uri="{CE6537A1-D6FC-4f65-9D91-7224C49458BB}"/>
              </c:extLst>
            </c:dLbl>
            <c:dLbl>
              <c:idx val="7"/>
              <c:layout>
                <c:manualLayout>
                  <c:x val="-5.6630417868826617E-2"/>
                  <c:y val="-3.86762843724057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D37-42C3-BB5F-AC50F75D9E6A}"/>
                </c:ext>
                <c:ext xmlns:c15="http://schemas.microsoft.com/office/drawing/2012/chart" uri="{CE6537A1-D6FC-4f65-9D91-7224C49458BB}"/>
              </c:extLst>
            </c:dLbl>
            <c:dLbl>
              <c:idx val="8"/>
              <c:layout>
                <c:manualLayout>
                  <c:x val="-1.3669411209716752E-2"/>
                  <c:y val="-3.48086559351651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37-42C3-BB5F-AC50F75D9E6A}"/>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133340030.06999999</c:v>
                </c:pt>
                <c:pt idx="9">
                  <c:v>146431794.62999997</c:v>
                </c:pt>
                <c:pt idx="10">
                  <c:v>157922348.10999998</c:v>
                </c:pt>
                <c:pt idx="11">
                  <c:v>169425814.06000003</c:v>
                </c:pt>
              </c:numCache>
            </c:numRef>
          </c:val>
          <c:smooth val="0"/>
          <c:extLst xmlns:c16r2="http://schemas.microsoft.com/office/drawing/2015/06/chart">
            <c:ext xmlns:c16="http://schemas.microsoft.com/office/drawing/2014/chart" uri="{C3380CC4-5D6E-409C-BE32-E72D297353CC}">
              <c16:uniqueId val="{00000006-E145-412A-B3DA-AFC8B19F36E6}"/>
            </c:ext>
          </c:extLst>
        </c:ser>
        <c:dLbls>
          <c:showLegendKey val="0"/>
          <c:showVal val="0"/>
          <c:showCatName val="0"/>
          <c:showSerName val="0"/>
          <c:showPercent val="0"/>
          <c:showBubbleSize val="0"/>
        </c:dLbls>
        <c:marker val="1"/>
        <c:smooth val="0"/>
        <c:axId val="443965744"/>
        <c:axId val="443963784"/>
      </c:lineChart>
      <c:catAx>
        <c:axId val="44396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3963784"/>
        <c:crosses val="autoZero"/>
        <c:auto val="1"/>
        <c:lblAlgn val="ctr"/>
        <c:lblOffset val="100"/>
        <c:noMultiLvlLbl val="0"/>
      </c:catAx>
      <c:valAx>
        <c:axId val="44396378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5744"/>
        <c:crosses val="autoZero"/>
        <c:crossBetween val="between"/>
        <c:dispUnits>
          <c:builtInUnit val="millions"/>
          <c:dispUnitsLbl>
            <c:layout>
              <c:manualLayout>
                <c:xMode val="edge"/>
                <c:yMode val="edge"/>
                <c:x val="7.9830178013128913E-3"/>
                <c:y val="1.1929729574432855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5447523633842111"/>
          <c:y val="0.83736287756521932"/>
          <c:w val="0.42059020127028834"/>
          <c:h val="6.2537041605961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B77-4E86-B874-84AF798982CD}"/>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B77-4E86-B874-84AF798982CD}"/>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B77-4E86-B874-84AF798982CD}"/>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DB77-4E86-B874-84AF798982C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B77-4E86-B874-84AF798982CD}"/>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B77-4E86-B874-84AF798982CD}"/>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B77-4E86-B874-84AF798982CD}"/>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DB77-4E86-B874-84AF798982C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DB77-4E86-B874-84AF798982CD}"/>
            </c:ext>
          </c:extLst>
        </c:ser>
        <c:dLbls>
          <c:showLegendKey val="0"/>
          <c:showVal val="0"/>
          <c:showCatName val="0"/>
          <c:showSerName val="0"/>
          <c:showPercent val="0"/>
          <c:showBubbleSize val="0"/>
        </c:dLbls>
        <c:marker val="1"/>
        <c:smooth val="0"/>
        <c:axId val="484876880"/>
        <c:axId val="484877272"/>
      </c:lineChart>
      <c:catAx>
        <c:axId val="48487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4877272"/>
        <c:crosses val="autoZero"/>
        <c:auto val="1"/>
        <c:lblAlgn val="ctr"/>
        <c:lblOffset val="100"/>
        <c:noMultiLvlLbl val="0"/>
      </c:catAx>
      <c:valAx>
        <c:axId val="48487727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487688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04D-4E10-B4CE-B33C500E343B}"/>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04D-4E10-B4CE-B33C500E343B}"/>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04D-4E10-B4CE-B33C500E343B}"/>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C04D-4E10-B4CE-B33C500E343B}"/>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04D-4E10-B4CE-B33C500E343B}"/>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04D-4E10-B4CE-B33C500E343B}"/>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04D-4E10-B4CE-B33C500E343B}"/>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C04D-4E10-B4CE-B33C500E343B}"/>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04D-4E10-B4CE-B33C500E343B}"/>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04D-4E10-B4CE-B33C500E343B}"/>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04D-4E10-B4CE-B33C500E343B}"/>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04D-4E10-B4CE-B33C500E343B}"/>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04D-4E10-B4CE-B33C500E343B}"/>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04D-4E10-B4CE-B33C500E343B}"/>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04D-4E10-B4CE-B33C500E343B}"/>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04D-4E10-B4CE-B33C500E343B}"/>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04D-4E10-B4CE-B33C500E343B}"/>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04D-4E10-B4CE-B33C500E343B}"/>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04D-4E10-B4CE-B33C500E343B}"/>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04D-4E10-B4CE-B33C500E343B}"/>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C04D-4E10-B4CE-B33C500E343B}"/>
            </c:ext>
          </c:extLst>
        </c:ser>
        <c:dLbls>
          <c:showLegendKey val="0"/>
          <c:showVal val="0"/>
          <c:showCatName val="0"/>
          <c:showSerName val="0"/>
          <c:showPercent val="0"/>
          <c:showBubbleSize val="0"/>
        </c:dLbls>
        <c:marker val="1"/>
        <c:smooth val="0"/>
        <c:axId val="489652976"/>
        <c:axId val="489655328"/>
      </c:lineChart>
      <c:catAx>
        <c:axId val="48965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5328"/>
        <c:crosses val="autoZero"/>
        <c:auto val="1"/>
        <c:lblAlgn val="ctr"/>
        <c:lblOffset val="100"/>
        <c:noMultiLvlLbl val="0"/>
      </c:catAx>
      <c:valAx>
        <c:axId val="48965532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297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45063040729852E-2"/>
          <c:y val="6.4675925925925928E-2"/>
          <c:w val="0.93847755600358718"/>
          <c:h val="0.87929718147758573"/>
        </c:manualLayout>
      </c:layout>
      <c:lineChart>
        <c:grouping val="standard"/>
        <c:varyColors val="0"/>
        <c:ser>
          <c:idx val="0"/>
          <c:order val="0"/>
          <c:tx>
            <c:strRef>
              <c:f>Gráficos!$Q$68</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3620656088477249E-3"/>
                  <c:y val="3.27467749906132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A06-4EA6-A591-A5AC26BD42D9}"/>
                </c:ext>
                <c:ext xmlns:c15="http://schemas.microsoft.com/office/drawing/2012/chart" uri="{CE6537A1-D6FC-4f65-9D91-7224C49458BB}"/>
              </c:extLst>
            </c:dLbl>
            <c:dLbl>
              <c:idx val="1"/>
              <c:layout>
                <c:manualLayout>
                  <c:x val="-5.581104529857126E-3"/>
                  <c:y val="2.9330029017248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A06-4EA6-A591-A5AC26BD42D9}"/>
                </c:ext>
                <c:ext xmlns:c15="http://schemas.microsoft.com/office/drawing/2012/chart" uri="{CE6537A1-D6FC-4f65-9D91-7224C49458BB}"/>
              </c:extLst>
            </c:dLbl>
            <c:dLbl>
              <c:idx val="2"/>
              <c:layout>
                <c:manualLayout>
                  <c:x val="-6.6398294823753357E-3"/>
                  <c:y val="2.7164405953370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A06-4EA6-A591-A5AC26BD42D9}"/>
                </c:ext>
                <c:ext xmlns:c15="http://schemas.microsoft.com/office/drawing/2012/chart" uri="{CE6537A1-D6FC-4f65-9D91-7224C49458BB}"/>
              </c:extLst>
            </c:dLbl>
            <c:dLbl>
              <c:idx val="3"/>
              <c:layout>
                <c:manualLayout>
                  <c:x val="-6.8652628143107E-3"/>
                  <c:y val="2.63462742746854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A06-4EA6-A591-A5AC26BD42D9}"/>
                </c:ext>
                <c:ext xmlns:c15="http://schemas.microsoft.com/office/drawing/2012/chart" uri="{CE6537A1-D6FC-4f65-9D91-7224C49458BB}"/>
              </c:extLst>
            </c:dLbl>
            <c:dLbl>
              <c:idx val="4"/>
              <c:layout>
                <c:manualLayout>
                  <c:x val="-4.0191823718759559E-3"/>
                  <c:y val="2.76455814220251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A06-4EA6-A591-A5AC26BD42D9}"/>
                </c:ext>
                <c:ext xmlns:c15="http://schemas.microsoft.com/office/drawing/2012/chart" uri="{CE6537A1-D6FC-4f65-9D91-7224C49458BB}"/>
              </c:extLst>
            </c:dLbl>
            <c:dLbl>
              <c:idx val="5"/>
              <c:layout>
                <c:manualLayout>
                  <c:x val="-4.8001434508665982E-3"/>
                  <c:y val="3.101430988500473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A06-4EA6-A591-A5AC26BD42D9}"/>
                </c:ext>
                <c:ext xmlns:c15="http://schemas.microsoft.com/office/drawing/2012/chart" uri="{CE6537A1-D6FC-4f65-9D91-7224C49458BB}"/>
              </c:extLst>
            </c:dLbl>
            <c:dLbl>
              <c:idx val="6"/>
              <c:layout>
                <c:manualLayout>
                  <c:x val="-5.568252493202871E-3"/>
                  <c:y val="2.42800207809114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A06-4EA6-A591-A5AC26BD42D9}"/>
                </c:ext>
                <c:ext xmlns:c15="http://schemas.microsoft.com/office/drawing/2012/chart" uri="{CE6537A1-D6FC-4f65-9D91-7224C49458BB}"/>
              </c:extLst>
            </c:dLbl>
            <c:dLbl>
              <c:idx val="7"/>
              <c:layout>
                <c:manualLayout>
                  <c:x val="-4.8001434508666554E-3"/>
                  <c:y val="2.97630202480504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A06-4EA6-A591-A5AC26BD42D9}"/>
                </c:ext>
                <c:ext xmlns:c15="http://schemas.microsoft.com/office/drawing/2012/chart" uri="{CE6537A1-D6FC-4f65-9D91-7224C49458BB}"/>
              </c:extLst>
            </c:dLbl>
            <c:dLbl>
              <c:idx val="8"/>
              <c:layout>
                <c:manualLayout>
                  <c:x val="-7.4207905613658922E-3"/>
                  <c:y val="2.46619934069290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A06-4EA6-A591-A5AC26BD42D9}"/>
                </c:ext>
                <c:ext xmlns:c15="http://schemas.microsoft.com/office/drawing/2012/chart" uri="{CE6537A1-D6FC-4f65-9D91-7224C49458BB}"/>
              </c:extLst>
            </c:dLbl>
            <c:dLbl>
              <c:idx val="9"/>
              <c:layout>
                <c:manualLayout>
                  <c:x val="-6.3620656088478255E-3"/>
                  <c:y val="2.807873938029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A06-4EA6-A591-A5AC26BD42D9}"/>
                </c:ext>
                <c:ext xmlns:c15="http://schemas.microsoft.com/office/drawing/2012/chart" uri="{CE6537A1-D6FC-4f65-9D91-7224C49458BB}"/>
              </c:extLst>
            </c:dLbl>
            <c:dLbl>
              <c:idx val="10"/>
              <c:layout>
                <c:manualLayout>
                  <c:x val="-4.2969462454036664E-3"/>
                  <c:y val="3.14474678432735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A06-4EA6-A591-A5AC26BD42D9}"/>
                </c:ext>
                <c:ext xmlns:c15="http://schemas.microsoft.com/office/drawing/2012/chart" uri="{CE6537A1-D6FC-4f65-9D91-7224C49458BB}"/>
              </c:extLst>
            </c:dLbl>
            <c:dLbl>
              <c:idx val="11"/>
              <c:layout>
                <c:manualLayout>
                  <c:x val="-6.63189688558871E-3"/>
                  <c:y val="2.8463713100710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A06-4EA6-A591-A5AC26BD42D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5A06-4EA6-A591-A5AC26BD42D9}"/>
            </c:ext>
          </c:extLst>
        </c:ser>
        <c:ser>
          <c:idx val="1"/>
          <c:order val="1"/>
          <c:tx>
            <c:strRef>
              <c:f>Gráficos!$R$68</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2.9866613054309474E-2"/>
                  <c:y val="-5.74332342235436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A06-4EA6-A591-A5AC26BD42D9}"/>
                </c:ext>
                <c:ext xmlns:c15="http://schemas.microsoft.com/office/drawing/2012/chart" uri="{CE6537A1-D6FC-4f65-9D91-7224C49458BB}"/>
              </c:extLst>
            </c:dLbl>
            <c:dLbl>
              <c:idx val="1"/>
              <c:layout>
                <c:manualLayout>
                  <c:x val="-2.4837636961818179E-3"/>
                  <c:y val="1.9586309140733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A06-4EA6-A591-A5AC26BD42D9}"/>
                </c:ext>
                <c:ext xmlns:c15="http://schemas.microsoft.com/office/drawing/2012/chart" uri="{CE6537A1-D6FC-4f65-9D91-7224C49458BB}"/>
              </c:extLst>
            </c:dLbl>
            <c:dLbl>
              <c:idx val="2"/>
              <c:layout>
                <c:manualLayout>
                  <c:x val="-4.6968967066441138E-3"/>
                  <c:y val="2.28489989349449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A06-4EA6-A591-A5AC26BD42D9}"/>
                </c:ext>
                <c:ext xmlns:c15="http://schemas.microsoft.com/office/drawing/2012/chart" uri="{CE6537A1-D6FC-4f65-9D91-7224C49458BB}"/>
              </c:extLst>
            </c:dLbl>
            <c:dLbl>
              <c:idx val="3"/>
              <c:layout>
                <c:manualLayout>
                  <c:x val="-4.5879311135754771E-3"/>
                  <c:y val="2.82454668469101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A06-4EA6-A591-A5AC26BD42D9}"/>
                </c:ext>
                <c:ext xmlns:c15="http://schemas.microsoft.com/office/drawing/2012/chart" uri="{CE6537A1-D6FC-4f65-9D91-7224C49458BB}"/>
              </c:extLst>
            </c:dLbl>
            <c:dLbl>
              <c:idx val="4"/>
              <c:layout>
                <c:manualLayout>
                  <c:x val="-3.9843773348123383E-3"/>
                  <c:y val="2.65930309252774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A06-4EA6-A591-A5AC26BD42D9}"/>
                </c:ext>
                <c:ext xmlns:c15="http://schemas.microsoft.com/office/drawing/2012/chart" uri="{CE6537A1-D6FC-4f65-9D91-7224C49458BB}"/>
              </c:extLst>
            </c:dLbl>
            <c:dLbl>
              <c:idx val="5"/>
              <c:layout>
                <c:manualLayout>
                  <c:x val="-3.039106964241887E-3"/>
                  <c:y val="1.90312734043681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A06-4EA6-A591-A5AC26BD42D9}"/>
                </c:ext>
                <c:ext xmlns:c15="http://schemas.microsoft.com/office/drawing/2012/chart" uri="{CE6537A1-D6FC-4f65-9D91-7224C49458BB}"/>
              </c:extLst>
            </c:dLbl>
            <c:dLbl>
              <c:idx val="6"/>
              <c:layout>
                <c:manualLayout>
                  <c:x val="-7.3493606327056848E-3"/>
                  <c:y val="2.95844388741483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5A06-4EA6-A591-A5AC26BD42D9}"/>
                </c:ext>
                <c:ext xmlns:c15="http://schemas.microsoft.com/office/drawing/2012/chart" uri="{CE6537A1-D6FC-4f65-9D91-7224C49458BB}"/>
              </c:extLst>
            </c:dLbl>
            <c:dLbl>
              <c:idx val="7"/>
              <c:layout>
                <c:manualLayout>
                  <c:x val="-5.6574390015921476E-3"/>
                  <c:y val="2.32456900574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5A06-4EA6-A591-A5AC26BD42D9}"/>
                </c:ext>
                <c:ext xmlns:c15="http://schemas.microsoft.com/office/drawing/2012/chart" uri="{CE6537A1-D6FC-4f65-9D91-7224C49458BB}"/>
              </c:extLst>
            </c:dLbl>
            <c:dLbl>
              <c:idx val="8"/>
              <c:layout>
                <c:manualLayout>
                  <c:x val="-7.2824699821966042E-3"/>
                  <c:y val="2.32475233663551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5A06-4EA6-A591-A5AC26BD42D9}"/>
                </c:ext>
                <c:ext xmlns:c15="http://schemas.microsoft.com/office/drawing/2012/chart" uri="{CE6537A1-D6FC-4f65-9D91-7224C49458BB}"/>
              </c:extLst>
            </c:dLbl>
            <c:dLbl>
              <c:idx val="9"/>
              <c:layout>
                <c:manualLayout>
                  <c:x val="-3.5058504147178732E-2"/>
                  <c:y val="-3.81331249745612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5A06-4EA6-A591-A5AC26BD42D9}"/>
                </c:ext>
                <c:ext xmlns:c15="http://schemas.microsoft.com/office/drawing/2012/chart" uri="{CE6537A1-D6FC-4f65-9D91-7224C49458BB}"/>
              </c:extLst>
            </c:dLbl>
            <c:dLbl>
              <c:idx val="10"/>
              <c:layout>
                <c:manualLayout>
                  <c:x val="-3.2721270537366814E-2"/>
                  <c:y val="-4.44886458036547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5A06-4EA6-A591-A5AC26BD42D9}"/>
                </c:ext>
                <c:ext xmlns:c15="http://schemas.microsoft.com/office/drawing/2012/chart" uri="{CE6537A1-D6FC-4f65-9D91-7224C49458BB}"/>
              </c:extLst>
            </c:dLbl>
            <c:dLbl>
              <c:idx val="11"/>
              <c:layout>
                <c:manualLayout>
                  <c:x val="-2.3773636048469882E-2"/>
                  <c:y val="-6.56157917894427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D0F-4BFA-B9AA-730EE7777846}"/>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8-5A06-4EA6-A591-A5AC26BD42D9}"/>
            </c:ext>
          </c:extLst>
        </c:ser>
        <c:dLbls>
          <c:showLegendKey val="0"/>
          <c:showVal val="0"/>
          <c:showCatName val="0"/>
          <c:showSerName val="0"/>
          <c:showPercent val="0"/>
          <c:showBubbleSize val="0"/>
        </c:dLbls>
        <c:marker val="1"/>
        <c:smooth val="0"/>
        <c:axId val="489653760"/>
        <c:axId val="489659248"/>
      </c:lineChart>
      <c:catAx>
        <c:axId val="48965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489659248"/>
        <c:crosses val="autoZero"/>
        <c:auto val="1"/>
        <c:lblAlgn val="ctr"/>
        <c:lblOffset val="100"/>
        <c:noMultiLvlLbl val="0"/>
      </c:catAx>
      <c:valAx>
        <c:axId val="48965924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3760"/>
        <c:crosses val="autoZero"/>
        <c:crossBetween val="between"/>
        <c:dispUnits>
          <c:builtInUnit val="millions"/>
          <c:dispUnitsLbl>
            <c:layout>
              <c:manualLayout>
                <c:xMode val="edge"/>
                <c:yMode val="edge"/>
                <c:x val="3.6509239371505537E-3"/>
                <c:y val="2.1682483649196511E-2"/>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5847685455454006"/>
          <c:y val="0.8508624025250997"/>
          <c:w val="0.19614463139684701"/>
          <c:h val="7.737254532798838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B706-48FA-A7EE-DA2FA74974A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706-48FA-A7EE-DA2FA74974A6}"/>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706-48FA-A7EE-DA2FA74974A6}"/>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706-48FA-A7EE-DA2FA74974A6}"/>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B706-48FA-A7EE-DA2FA74974A6}"/>
            </c:ext>
          </c:extLst>
        </c:ser>
        <c:dLbls>
          <c:showLegendKey val="0"/>
          <c:showVal val="0"/>
          <c:showCatName val="0"/>
          <c:showSerName val="0"/>
          <c:showPercent val="0"/>
          <c:showBubbleSize val="0"/>
        </c:dLbls>
        <c:marker val="1"/>
        <c:smooth val="0"/>
        <c:axId val="489659640"/>
        <c:axId val="48966042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B706-48FA-A7EE-DA2FA74974A6}"/>
                  </c:ext>
                </c:extLst>
              </c15:ser>
            </c15:filteredLineSeries>
          </c:ext>
        </c:extLst>
      </c:lineChart>
      <c:catAx>
        <c:axId val="48965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60424"/>
        <c:crosses val="autoZero"/>
        <c:auto val="1"/>
        <c:lblAlgn val="ctr"/>
        <c:lblOffset val="100"/>
        <c:noMultiLvlLbl val="0"/>
      </c:catAx>
      <c:valAx>
        <c:axId val="4896604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964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D27-4618-8583-34072110AEEF}"/>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BD27-4618-8583-34072110AEEF}"/>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D27-4618-8583-34072110AEEF}"/>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D27-4618-8583-34072110AEEF}"/>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D27-4618-8583-34072110AEEF}"/>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D27-4618-8583-34072110AEEF}"/>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D27-4618-8583-34072110AEEF}"/>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D27-4618-8583-34072110AEEF}"/>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D27-4618-8583-34072110AEEF}"/>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D27-4618-8583-34072110AEEF}"/>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D27-4618-8583-34072110AEEF}"/>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D27-4618-8583-34072110AEEF}"/>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D27-4618-8583-34072110AEEF}"/>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D27-4618-8583-34072110AEEF}"/>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BD27-4618-8583-34072110AEEF}"/>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D27-4618-8583-34072110AEEF}"/>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D27-4618-8583-34072110AEEF}"/>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D27-4618-8583-34072110AEEF}"/>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BD27-4618-8583-34072110AEEF}"/>
            </c:ext>
          </c:extLst>
        </c:ser>
        <c:dLbls>
          <c:showLegendKey val="0"/>
          <c:showVal val="0"/>
          <c:showCatName val="0"/>
          <c:showSerName val="0"/>
          <c:showPercent val="0"/>
          <c:showBubbleSize val="0"/>
        </c:dLbls>
        <c:marker val="1"/>
        <c:smooth val="0"/>
        <c:axId val="489662384"/>
        <c:axId val="489655720"/>
      </c:lineChart>
      <c:catAx>
        <c:axId val="48966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5720"/>
        <c:crosses val="autoZero"/>
        <c:auto val="1"/>
        <c:lblAlgn val="ctr"/>
        <c:lblOffset val="100"/>
        <c:noMultiLvlLbl val="0"/>
      </c:catAx>
      <c:valAx>
        <c:axId val="48965572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23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14-473E-98D5-136B734A35B7}"/>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14-473E-98D5-136B734A35B7}"/>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A14-473E-98D5-136B734A35B7}"/>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A14-473E-98D5-136B734A35B7}"/>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A14-473E-98D5-136B734A35B7}"/>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A14-473E-98D5-136B734A35B7}"/>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A14-473E-98D5-136B734A35B7}"/>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A14-473E-98D5-136B734A35B7}"/>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A14-473E-98D5-136B734A35B7}"/>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A14-473E-98D5-136B734A35B7}"/>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A14-473E-98D5-136B734A35B7}"/>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A14-473E-98D5-136B734A35B7}"/>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EA14-473E-98D5-136B734A35B7}"/>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A14-473E-98D5-136B734A35B7}"/>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A14-473E-98D5-136B734A35B7}"/>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A14-473E-98D5-136B734A35B7}"/>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EA14-473E-98D5-136B734A35B7}"/>
            </c:ext>
          </c:extLst>
        </c:ser>
        <c:dLbls>
          <c:showLegendKey val="0"/>
          <c:showVal val="0"/>
          <c:showCatName val="0"/>
          <c:showSerName val="0"/>
          <c:showPercent val="0"/>
          <c:showBubbleSize val="0"/>
        </c:dLbls>
        <c:marker val="1"/>
        <c:smooth val="0"/>
        <c:axId val="489654544"/>
        <c:axId val="489656112"/>
      </c:lineChart>
      <c:catAx>
        <c:axId val="48965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6112"/>
        <c:crosses val="autoZero"/>
        <c:auto val="1"/>
        <c:lblAlgn val="ctr"/>
        <c:lblOffset val="100"/>
        <c:noMultiLvlLbl val="0"/>
      </c:catAx>
      <c:valAx>
        <c:axId val="48965611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454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E51-429B-A8BE-2F88F3CE0F0E}"/>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E51-429B-A8BE-2F88F3CE0F0E}"/>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E51-429B-A8BE-2F88F3CE0F0E}"/>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CE51-429B-A8BE-2F88F3CE0F0E}"/>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E51-429B-A8BE-2F88F3CE0F0E}"/>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E51-429B-A8BE-2F88F3CE0F0E}"/>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E51-429B-A8BE-2F88F3CE0F0E}"/>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CE51-429B-A8BE-2F88F3CE0F0E}"/>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CE51-429B-A8BE-2F88F3CE0F0E}"/>
            </c:ext>
          </c:extLst>
        </c:ser>
        <c:dLbls>
          <c:showLegendKey val="0"/>
          <c:showVal val="0"/>
          <c:showCatName val="0"/>
          <c:showSerName val="0"/>
          <c:showPercent val="0"/>
          <c:showBubbleSize val="0"/>
        </c:dLbls>
        <c:marker val="1"/>
        <c:smooth val="0"/>
        <c:axId val="489658856"/>
        <c:axId val="489652584"/>
      </c:lineChart>
      <c:catAx>
        <c:axId val="48965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2584"/>
        <c:crosses val="autoZero"/>
        <c:auto val="1"/>
        <c:lblAlgn val="ctr"/>
        <c:lblOffset val="100"/>
        <c:noMultiLvlLbl val="0"/>
      </c:catAx>
      <c:valAx>
        <c:axId val="48965258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885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5B7-416A-9971-273800139CA8}"/>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5B7-416A-9971-273800139CA8}"/>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5B7-416A-9971-273800139CA8}"/>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F5B7-416A-9971-273800139CA8}"/>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5B7-416A-9971-273800139CA8}"/>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5B7-416A-9971-273800139CA8}"/>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5B7-416A-9971-273800139CA8}"/>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F5B7-416A-9971-273800139CA8}"/>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5B7-416A-9971-273800139CA8}"/>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5B7-416A-9971-273800139CA8}"/>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5B7-416A-9971-273800139CA8}"/>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5B7-416A-9971-273800139CA8}"/>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5B7-416A-9971-273800139CA8}"/>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5B7-416A-9971-273800139CA8}"/>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5B7-416A-9971-273800139CA8}"/>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5B7-416A-9971-273800139CA8}"/>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5B7-416A-9971-273800139CA8}"/>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5B7-416A-9971-273800139CA8}"/>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5B7-416A-9971-273800139CA8}"/>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5B7-416A-9971-273800139CA8}"/>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F5B7-416A-9971-273800139CA8}"/>
            </c:ext>
          </c:extLst>
        </c:ser>
        <c:dLbls>
          <c:showLegendKey val="0"/>
          <c:showVal val="0"/>
          <c:showCatName val="0"/>
          <c:showSerName val="0"/>
          <c:showPercent val="0"/>
          <c:showBubbleSize val="0"/>
        </c:dLbls>
        <c:marker val="1"/>
        <c:smooth val="0"/>
        <c:axId val="489660032"/>
        <c:axId val="489654936"/>
      </c:lineChart>
      <c:catAx>
        <c:axId val="48966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4936"/>
        <c:crosses val="autoZero"/>
        <c:auto val="1"/>
        <c:lblAlgn val="ctr"/>
        <c:lblOffset val="100"/>
        <c:noMultiLvlLbl val="0"/>
      </c:catAx>
      <c:valAx>
        <c:axId val="48965493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003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0161975917964E-2"/>
          <c:y val="6.4675925925925928E-2"/>
          <c:w val="0.92529762682798022"/>
          <c:h val="0.87567785129212627"/>
        </c:manualLayout>
      </c:layout>
      <c:lineChart>
        <c:grouping val="standard"/>
        <c:varyColors val="0"/>
        <c:ser>
          <c:idx val="0"/>
          <c:order val="0"/>
          <c:tx>
            <c:strRef>
              <c:f>Gráficos!$Q$84</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2.1578755661197487E-2"/>
                  <c:y val="3.20277242915371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03D-42C7-9CB2-38C9A9B12F25}"/>
                </c:ext>
                <c:ext xmlns:c15="http://schemas.microsoft.com/office/drawing/2012/chart" uri="{CE6537A1-D6FC-4f65-9D91-7224C49458BB}"/>
              </c:extLst>
            </c:dLbl>
            <c:dLbl>
              <c:idx val="1"/>
              <c:layout>
                <c:manualLayout>
                  <c:x val="-2.3739078199305434E-2"/>
                  <c:y val="2.69303394697485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3D-42C7-9CB2-38C9A9B12F25}"/>
                </c:ext>
                <c:ext xmlns:c15="http://schemas.microsoft.com/office/drawing/2012/chart" uri="{CE6537A1-D6FC-4f65-9D91-7224C49458BB}"/>
              </c:extLst>
            </c:dLbl>
            <c:dLbl>
              <c:idx val="2"/>
              <c:layout>
                <c:manualLayout>
                  <c:x val="-1.9224087487586992E-2"/>
                  <c:y val="3.5912978037650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03D-42C7-9CB2-38C9A9B12F25}"/>
                </c:ext>
                <c:ext xmlns:c15="http://schemas.microsoft.com/office/drawing/2012/chart" uri="{CE6537A1-D6FC-4f65-9D91-7224C49458BB}"/>
              </c:extLst>
            </c:dLbl>
            <c:dLbl>
              <c:idx val="3"/>
              <c:layout>
                <c:manualLayout>
                  <c:x val="-2.5200288394619266E-2"/>
                  <c:y val="3.40402641099554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03D-42C7-9CB2-38C9A9B12F25}"/>
                </c:ext>
                <c:ext xmlns:c15="http://schemas.microsoft.com/office/drawing/2012/chart" uri="{CE6537A1-D6FC-4f65-9D91-7224C49458BB}"/>
              </c:extLst>
            </c:dLbl>
            <c:dLbl>
              <c:idx val="4"/>
              <c:layout>
                <c:manualLayout>
                  <c:x val="-2.3237108202082673E-2"/>
                  <c:y val="3.5361523697241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03D-42C7-9CB2-38C9A9B12F25}"/>
                </c:ext>
                <c:ext xmlns:c15="http://schemas.microsoft.com/office/drawing/2012/chart" uri="{CE6537A1-D6FC-4f65-9D91-7224C49458BB}"/>
              </c:extLst>
            </c:dLbl>
            <c:dLbl>
              <c:idx val="5"/>
              <c:layout>
                <c:manualLayout>
                  <c:x val="-1.368193529947276E-2"/>
                  <c:y val="2.67339588557263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03D-42C7-9CB2-38C9A9B12F25}"/>
                </c:ext>
                <c:ext xmlns:c15="http://schemas.microsoft.com/office/drawing/2012/chart" uri="{CE6537A1-D6FC-4f65-9D91-7224C49458BB}"/>
              </c:extLst>
            </c:dLbl>
            <c:dLbl>
              <c:idx val="6"/>
              <c:layout>
                <c:manualLayout>
                  <c:x val="-1.5207891717918502E-2"/>
                  <c:y val="3.53821419716917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03D-42C7-9CB2-38C9A9B12F25}"/>
                </c:ext>
                <c:ext xmlns:c15="http://schemas.microsoft.com/office/drawing/2012/chart" uri="{CE6537A1-D6FC-4f65-9D91-7224C49458BB}"/>
              </c:extLst>
            </c:dLbl>
            <c:dLbl>
              <c:idx val="7"/>
              <c:layout>
                <c:manualLayout>
                  <c:x val="-2.0759880351469893E-2"/>
                  <c:y val="3.53184281235967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03D-42C7-9CB2-38C9A9B12F25}"/>
                </c:ext>
                <c:ext xmlns:c15="http://schemas.microsoft.com/office/drawing/2012/chart" uri="{CE6537A1-D6FC-4f65-9D91-7224C49458BB}"/>
              </c:extLst>
            </c:dLbl>
            <c:dLbl>
              <c:idx val="8"/>
              <c:layout>
                <c:manualLayout>
                  <c:x val="-6.5394307922951745E-3"/>
                  <c:y val="2.89700276200376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03D-42C7-9CB2-38C9A9B12F25}"/>
                </c:ext>
                <c:ext xmlns:c15="http://schemas.microsoft.com/office/drawing/2012/chart" uri="{CE6537A1-D6FC-4f65-9D91-7224C49458BB}"/>
              </c:extLst>
            </c:dLbl>
            <c:dLbl>
              <c:idx val="9"/>
              <c:layout>
                <c:manualLayout>
                  <c:x val="-7.3767115181601018E-3"/>
                  <c:y val="3.08420655387343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03D-42C7-9CB2-38C9A9B12F25}"/>
                </c:ext>
                <c:ext xmlns:c15="http://schemas.microsoft.com/office/drawing/2012/chart" uri="{CE6537A1-D6FC-4f65-9D91-7224C49458BB}"/>
              </c:extLst>
            </c:dLbl>
            <c:dLbl>
              <c:idx val="10"/>
              <c:layout>
                <c:manualLayout>
                  <c:x val="-4.9735060322624201E-3"/>
                  <c:y val="2.65644495993886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03D-42C7-9CB2-38C9A9B12F25}"/>
                </c:ext>
                <c:ext xmlns:c15="http://schemas.microsoft.com/office/drawing/2012/chart" uri="{CE6537A1-D6FC-4f65-9D91-7224C49458BB}"/>
              </c:extLst>
            </c:dLbl>
            <c:dLbl>
              <c:idx val="11"/>
              <c:layout>
                <c:manualLayout>
                  <c:x val="-1.2901058494913149E-2"/>
                  <c:y val="3.51528059189995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03D-42C7-9CB2-38C9A9B12F25}"/>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C-F03D-42C7-9CB2-38C9A9B12F25}"/>
            </c:ext>
          </c:extLst>
        </c:ser>
        <c:ser>
          <c:idx val="1"/>
          <c:order val="1"/>
          <c:tx>
            <c:strRef>
              <c:f>Gráficos!$T$84</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2.687891611869006E-2"/>
                  <c:y val="-3.29153263171633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03D-42C7-9CB2-38C9A9B12F25}"/>
                </c:ext>
                <c:ext xmlns:c15="http://schemas.microsoft.com/office/drawing/2012/chart" uri="{CE6537A1-D6FC-4f65-9D91-7224C49458BB}"/>
              </c:extLst>
            </c:dLbl>
            <c:dLbl>
              <c:idx val="1"/>
              <c:layout>
                <c:manualLayout>
                  <c:x val="-3.88511501294799E-2"/>
                  <c:y val="-3.29153263171633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03D-42C7-9CB2-38C9A9B12F25}"/>
                </c:ext>
                <c:ext xmlns:c15="http://schemas.microsoft.com/office/drawing/2012/chart" uri="{CE6537A1-D6FC-4f65-9D91-7224C49458BB}"/>
              </c:extLst>
            </c:dLbl>
            <c:dLbl>
              <c:idx val="2"/>
              <c:layout>
                <c:manualLayout>
                  <c:x val="-3.6769940420400993E-2"/>
                  <c:y val="-4.02558288453377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03D-42C7-9CB2-38C9A9B12F25}"/>
                </c:ext>
                <c:ext xmlns:c15="http://schemas.microsoft.com/office/drawing/2012/chart" uri="{CE6537A1-D6FC-4f65-9D91-7224C49458BB}"/>
              </c:extLst>
            </c:dLbl>
            <c:dLbl>
              <c:idx val="3"/>
              <c:layout>
                <c:manualLayout>
                  <c:x val="-3.4965139450602208E-2"/>
                  <c:y val="-3.4430997311005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03D-42C7-9CB2-38C9A9B12F25}"/>
                </c:ext>
                <c:ext xmlns:c15="http://schemas.microsoft.com/office/drawing/2012/chart" uri="{CE6537A1-D6FC-4f65-9D91-7224C49458BB}"/>
              </c:extLst>
            </c:dLbl>
            <c:dLbl>
              <c:idx val="4"/>
              <c:layout>
                <c:manualLayout>
                  <c:x val="-3.7679562599418917E-2"/>
                  <c:y val="-3.3278570971058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03D-42C7-9CB2-38C9A9B12F25}"/>
                </c:ext>
                <c:ext xmlns:c15="http://schemas.microsoft.com/office/drawing/2012/chart" uri="{CE6537A1-D6FC-4f65-9D91-7224C49458BB}"/>
              </c:extLst>
            </c:dLbl>
            <c:dLbl>
              <c:idx val="5"/>
              <c:layout>
                <c:manualLayout>
                  <c:x val="-3.9850055217944817E-2"/>
                  <c:y val="-3.6505330922459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03D-42C7-9CB2-38C9A9B12F25}"/>
                </c:ext>
                <c:ext xmlns:c15="http://schemas.microsoft.com/office/drawing/2012/chart" uri="{CE6537A1-D6FC-4f65-9D91-7224C49458BB}"/>
              </c:extLst>
            </c:dLbl>
            <c:dLbl>
              <c:idx val="6"/>
              <c:layout>
                <c:manualLayout>
                  <c:x val="-3.5823960746855156E-2"/>
                  <c:y val="-4.94250458967859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03D-42C7-9CB2-38C9A9B12F25}"/>
                </c:ext>
                <c:ext xmlns:c15="http://schemas.microsoft.com/office/drawing/2012/chart" uri="{CE6537A1-D6FC-4f65-9D91-7224C49458BB}"/>
              </c:extLst>
            </c:dLbl>
            <c:dLbl>
              <c:idx val="7"/>
              <c:layout>
                <c:manualLayout>
                  <c:x val="-4.2348948150913238E-2"/>
                  <c:y val="-3.43988868835833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F03D-42C7-9CB2-38C9A9B12F25}"/>
                </c:ext>
                <c:ext xmlns:c15="http://schemas.microsoft.com/office/drawing/2012/chart" uri="{CE6537A1-D6FC-4f65-9D91-7224C49458BB}"/>
              </c:extLst>
            </c:dLbl>
            <c:dLbl>
              <c:idx val="8"/>
              <c:layout>
                <c:manualLayout>
                  <c:x val="-4.0607835052522065E-2"/>
                  <c:y val="-6.01451965927118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03D-42C7-9CB2-38C9A9B12F25}"/>
                </c:ext>
                <c:ext xmlns:c15="http://schemas.microsoft.com/office/drawing/2012/chart" uri="{CE6537A1-D6FC-4f65-9D91-7224C49458BB}"/>
              </c:extLst>
            </c:dLbl>
            <c:dLbl>
              <c:idx val="9"/>
              <c:layout>
                <c:manualLayout>
                  <c:x val="-2.8761381525632571E-2"/>
                  <c:y val="-6.4447496350089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F03D-42C7-9CB2-38C9A9B12F25}"/>
                </c:ext>
                <c:ext xmlns:c15="http://schemas.microsoft.com/office/drawing/2012/chart" uri="{CE6537A1-D6FC-4f65-9D91-7224C49458BB}"/>
              </c:extLst>
            </c:dLbl>
            <c:dLbl>
              <c:idx val="10"/>
              <c:layout>
                <c:manualLayout>
                  <c:x val="-3.2648054704772091E-2"/>
                  <c:y val="-4.51132474450627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F03D-42C7-9CB2-38C9A9B12F25}"/>
                </c:ext>
                <c:ext xmlns:c15="http://schemas.microsoft.com/office/drawing/2012/chart" uri="{CE6537A1-D6FC-4f65-9D91-7224C49458BB}"/>
              </c:extLst>
            </c:dLbl>
            <c:dLbl>
              <c:idx val="11"/>
              <c:layout>
                <c:manualLayout>
                  <c:x val="-2.7206712253976761E-2"/>
                  <c:y val="-4.94097472017353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F03D-42C7-9CB2-38C9A9B12F25}"/>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19-F03D-42C7-9CB2-38C9A9B12F25}"/>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1A-F03D-42C7-9CB2-38C9A9B12F25}"/>
            </c:ext>
          </c:extLst>
        </c:ser>
        <c:dLbls>
          <c:showLegendKey val="0"/>
          <c:showVal val="0"/>
          <c:showCatName val="0"/>
          <c:showSerName val="0"/>
          <c:showPercent val="0"/>
          <c:showBubbleSize val="0"/>
        </c:dLbls>
        <c:marker val="1"/>
        <c:smooth val="0"/>
        <c:axId val="489661992"/>
        <c:axId val="489656504"/>
      </c:lineChart>
      <c:catAx>
        <c:axId val="48966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489656504"/>
        <c:crosses val="autoZero"/>
        <c:auto val="1"/>
        <c:lblAlgn val="ctr"/>
        <c:lblOffset val="100"/>
        <c:noMultiLvlLbl val="0"/>
      </c:catAx>
      <c:valAx>
        <c:axId val="48965650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1992"/>
        <c:crosses val="autoZero"/>
        <c:crossBetween val="between"/>
        <c:dispUnits>
          <c:builtInUnit val="millions"/>
          <c:dispUnitsLbl>
            <c:layout>
              <c:manualLayout>
                <c:xMode val="edge"/>
                <c:yMode val="edge"/>
                <c:x val="1.4475248001682836E-3"/>
                <c:y val="1.6788382974667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73599506192735531"/>
          <c:y val="0.8406029427457179"/>
          <c:w val="0.20693630667473273"/>
          <c:h val="7.563737791942690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EDB6-476C-9169-B054054A30D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DB6-476C-9169-B054054A30D6}"/>
                </c:ext>
                <c:ext xmlns:c15="http://schemas.microsoft.com/office/drawing/2012/chart" uri="{CE6537A1-D6FC-4f65-9D91-7224C49458BB}"/>
              </c:extLst>
            </c:dLbl>
            <c:dLbl>
              <c:idx val="1"/>
              <c:layout>
                <c:manualLayout>
                  <c:x val="-3.5798003423516848E-2"/>
                  <c:y val="-6.12356768938081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DB6-476C-9169-B054054A30D6}"/>
                </c:ext>
                <c:ext xmlns:c15="http://schemas.microsoft.com/office/drawing/2012/chart" uri="{CE6537A1-D6FC-4f65-9D91-7224C49458BB}"/>
              </c:extLst>
            </c:dLbl>
            <c:dLbl>
              <c:idx val="2"/>
              <c:layout>
                <c:manualLayout>
                  <c:x val="-3.5798003423516883E-2"/>
                  <c:y val="-5.74084470879452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DB6-476C-9169-B054054A30D6}"/>
                </c:ext>
                <c:ext xmlns:c15="http://schemas.microsoft.com/office/drawing/2012/chart" uri="{CE6537A1-D6FC-4f65-9D91-7224C49458BB}"/>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EDB6-476C-9169-B054054A30D6}"/>
            </c:ext>
          </c:extLst>
        </c:ser>
        <c:dLbls>
          <c:showLegendKey val="0"/>
          <c:showVal val="0"/>
          <c:showCatName val="0"/>
          <c:showSerName val="0"/>
          <c:showPercent val="0"/>
          <c:showBubbleSize val="0"/>
        </c:dLbls>
        <c:marker val="1"/>
        <c:smooth val="0"/>
        <c:axId val="489656896"/>
        <c:axId val="489657288"/>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EDB6-476C-9169-B054054A30D6}"/>
                  </c:ext>
                </c:extLst>
              </c15:ser>
            </c15:filteredLineSeries>
          </c:ext>
        </c:extLst>
      </c:lineChart>
      <c:catAx>
        <c:axId val="48965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57288"/>
        <c:crosses val="autoZero"/>
        <c:auto val="1"/>
        <c:lblAlgn val="ctr"/>
        <c:lblOffset val="100"/>
        <c:noMultiLvlLbl val="0"/>
      </c:catAx>
      <c:valAx>
        <c:axId val="48965728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689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7978573645861"/>
          <c:y val="4.1894331520011513E-2"/>
          <c:w val="0.85781922540765909"/>
          <c:h val="0.86975331226121433"/>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80A-B7E8-CA79929D1FDC}"/>
                </c:ext>
                <c:ext xmlns:c15="http://schemas.microsoft.com/office/drawing/2012/chart" uri="{CE6537A1-D6FC-4f65-9D91-7224C49458BB}"/>
              </c:extLst>
            </c:dLbl>
            <c:dLbl>
              <c:idx val="1"/>
              <c:layout>
                <c:manualLayout>
                  <c:x val="-8.129870353431462E-2"/>
                  <c:y val="-2.69983351717907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80A-B7E8-CA79929D1FDC}"/>
                </c:ext>
                <c:ext xmlns:c15="http://schemas.microsoft.com/office/drawing/2012/chart" uri="{CE6537A1-D6FC-4f65-9D91-7224C49458BB}"/>
              </c:extLst>
            </c:dLbl>
            <c:dLbl>
              <c:idx val="2"/>
              <c:layout>
                <c:manualLayout>
                  <c:x val="-6.3471185347879877E-2"/>
                  <c:y val="-4.21418980139474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DE-480A-B7E8-CA79929D1FDC}"/>
                </c:ext>
                <c:ext xmlns:c15="http://schemas.microsoft.com/office/drawing/2012/chart" uri="{CE6537A1-D6FC-4f65-9D91-7224C49458BB}"/>
              </c:extLst>
            </c:dLbl>
            <c:dLbl>
              <c:idx val="3"/>
              <c:layout>
                <c:manualLayout>
                  <c:x val="-6.3444631392323911E-2"/>
                  <c:y val="-3.79953460482125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DE-480A-B7E8-CA79929D1FDC}"/>
                </c:ext>
                <c:ext xmlns:c15="http://schemas.microsoft.com/office/drawing/2012/chart" uri="{CE6537A1-D6FC-4f65-9D91-7224C49458BB}"/>
              </c:extLst>
            </c:dLbl>
            <c:dLbl>
              <c:idx val="4"/>
              <c:layout>
                <c:manualLayout>
                  <c:x val="-7.7311017616391683E-2"/>
                  <c:y val="-1.8546096578136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8DE-480A-B7E8-CA79929D1FDC}"/>
                </c:ext>
                <c:ext xmlns:c15="http://schemas.microsoft.com/office/drawing/2012/chart" uri="{CE6537A1-D6FC-4f65-9D91-7224C49458BB}"/>
              </c:extLst>
            </c:dLbl>
            <c:dLbl>
              <c:idx val="5"/>
              <c:layout>
                <c:manualLayout>
                  <c:x val="-5.554252999972701E-2"/>
                  <c:y val="-6.17322200504912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8DE-480A-B7E8-CA79929D1FDC}"/>
                </c:ext>
                <c:ext xmlns:c15="http://schemas.microsoft.com/office/drawing/2012/chart" uri="{CE6537A1-D6FC-4f65-9D91-7224C49458BB}"/>
              </c:extLst>
            </c:dLbl>
            <c:dLbl>
              <c:idx val="6"/>
              <c:layout>
                <c:manualLayout>
                  <c:x val="-3.7705540511189073E-2"/>
                  <c:y val="-4.23174066003037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8DE-480A-B7E8-CA79929D1FDC}"/>
                </c:ext>
                <c:ext xmlns:c15="http://schemas.microsoft.com/office/drawing/2012/chart" uri="{CE6537A1-D6FC-4f65-9D91-7224C49458BB}"/>
              </c:extLst>
            </c:dLbl>
            <c:dLbl>
              <c:idx val="7"/>
              <c:layout>
                <c:manualLayout>
                  <c:x val="-3.9690042643356765E-2"/>
                  <c:y val="-4.6164443563967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8DE-480A-B7E8-CA79929D1FDC}"/>
                </c:ext>
                <c:ext xmlns:c15="http://schemas.microsoft.com/office/drawing/2012/chart" uri="{CE6537A1-D6FC-4f65-9D91-7224C49458BB}"/>
              </c:extLst>
            </c:dLbl>
            <c:dLbl>
              <c:idx val="8"/>
              <c:layout>
                <c:manualLayout>
                  <c:x val="-3.9690042643356842E-2"/>
                  <c:y val="-4.6164443563967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8DE-480A-B7E8-CA79929D1FDC}"/>
                </c:ext>
                <c:ext xmlns:c15="http://schemas.microsoft.com/office/drawing/2012/chart" uri="{CE6537A1-D6FC-4f65-9D91-7224C49458BB}"/>
              </c:extLst>
            </c:dLbl>
            <c:dLbl>
              <c:idx val="9"/>
              <c:layout>
                <c:manualLayout>
                  <c:x val="-3.9690042643356842E-2"/>
                  <c:y val="-4.23174066003037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8DE-480A-B7E8-CA79929D1FDC}"/>
                </c:ext>
                <c:ext xmlns:c15="http://schemas.microsoft.com/office/drawing/2012/chart" uri="{CE6537A1-D6FC-4f65-9D91-7224C49458BB}"/>
              </c:extLst>
            </c:dLbl>
            <c:dLbl>
              <c:idx val="10"/>
              <c:layout>
                <c:manualLayout>
                  <c:x val="-4.5643549039860509E-2"/>
                  <c:y val="-3.46233326729758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8DE-480A-B7E8-CA79929D1FDC}"/>
                </c:ext>
                <c:ext xmlns:c15="http://schemas.microsoft.com/office/drawing/2012/chart" uri="{CE6537A1-D6FC-4f65-9D91-7224C49458BB}"/>
              </c:extLst>
            </c:dLbl>
            <c:dLbl>
              <c:idx val="11"/>
              <c:layout>
                <c:manualLayout>
                  <c:x val="-3.3736536246853313E-2"/>
                  <c:y val="-3.46233326729758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8DE-480A-B7E8-CA79929D1FDC}"/>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pt idx="8">
                  <c:v>80151499.455211177</c:v>
                </c:pt>
                <c:pt idx="9">
                  <c:v>82442099.720452353</c:v>
                </c:pt>
                <c:pt idx="10">
                  <c:v>84435264.545906633</c:v>
                </c:pt>
                <c:pt idx="11">
                  <c:v>86382588.019999966</c:v>
                </c:pt>
              </c:numCache>
            </c:numRef>
          </c:val>
          <c:smooth val="0"/>
          <c:extLst xmlns:c16r2="http://schemas.microsoft.com/office/drawing/2015/06/chart">
            <c:ext xmlns:c16="http://schemas.microsoft.com/office/drawing/2014/chart" uri="{C3380CC4-5D6E-409C-BE32-E72D297353CC}">
              <c16:uniqueId val="{0000000D-F8DE-480A-B7E8-CA79929D1FD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594076250604749E-2"/>
                  <c:y val="2.7109261136334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38-42D5-ACCA-94B26E88CD6D}"/>
                </c:ext>
                <c:ext xmlns:c15="http://schemas.microsoft.com/office/drawing/2012/chart" uri="{CE6537A1-D6FC-4f65-9D91-7224C49458BB}"/>
              </c:extLst>
            </c:dLbl>
            <c:dLbl>
              <c:idx val="1"/>
              <c:layout>
                <c:manualLayout>
                  <c:x val="-6.6791459051660992E-2"/>
                  <c:y val="-3.08898030090290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838-42D5-ACCA-94B26E88CD6D}"/>
                </c:ext>
                <c:ext xmlns:c15="http://schemas.microsoft.com/office/drawing/2012/chart" uri="{CE6537A1-D6FC-4f65-9D91-7224C49458BB}"/>
              </c:extLst>
            </c:dLbl>
            <c:dLbl>
              <c:idx val="2"/>
              <c:layout>
                <c:manualLayout>
                  <c:x val="-9.2521901266168452E-2"/>
                  <c:y val="-1.8949554222486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838-42D5-ACCA-94B26E88CD6D}"/>
                </c:ext>
                <c:ext xmlns:c15="http://schemas.microsoft.com/office/drawing/2012/chart" uri="{CE6537A1-D6FC-4f65-9D91-7224C49458BB}"/>
              </c:extLst>
            </c:dLbl>
            <c:dLbl>
              <c:idx val="3"/>
              <c:layout>
                <c:manualLayout>
                  <c:x val="-8.0641325427910818E-2"/>
                  <c:y val="-2.24906044955298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838-42D5-ACCA-94B26E88CD6D}"/>
                </c:ext>
                <c:ext xmlns:c15="http://schemas.microsoft.com/office/drawing/2012/chart" uri="{CE6537A1-D6FC-4f65-9D91-7224C49458BB}"/>
              </c:extLst>
            </c:dLbl>
            <c:dLbl>
              <c:idx val="4"/>
              <c:layout>
                <c:manualLayout>
                  <c:x val="-8.6574101454298225E-2"/>
                  <c:y val="-2.63137851444280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838-42D5-ACCA-94B26E88CD6D}"/>
                </c:ext>
                <c:ext xmlns:c15="http://schemas.microsoft.com/office/drawing/2012/chart" uri="{CE6537A1-D6FC-4f65-9D91-7224C49458BB}"/>
              </c:extLst>
            </c:dLbl>
            <c:dLbl>
              <c:idx val="5"/>
              <c:layout>
                <c:manualLayout>
                  <c:x val="-8.4794496507669084E-2"/>
                  <c:y val="-3.4399667559671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838-42D5-ACCA-94B26E88CD6D}"/>
                </c:ext>
                <c:ext xmlns:c15="http://schemas.microsoft.com/office/drawing/2012/chart" uri="{CE6537A1-D6FC-4f65-9D91-7224C49458BB}"/>
              </c:extLst>
            </c:dLbl>
            <c:dLbl>
              <c:idx val="6"/>
              <c:layout>
                <c:manualLayout>
                  <c:x val="-6.2978179462899228E-2"/>
                  <c:y val="-3.83435904522427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838-42D5-ACCA-94B26E88CD6D}"/>
                </c:ext>
                <c:ext xmlns:c15="http://schemas.microsoft.com/office/drawing/2012/chart" uri="{CE6537A1-D6FC-4f65-9D91-7224C49458BB}"/>
              </c:extLst>
            </c:dLbl>
            <c:dLbl>
              <c:idx val="7"/>
              <c:layout>
                <c:manualLayout>
                  <c:x val="-1.5475824605347141E-2"/>
                  <c:y val="3.22210898538422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838-42D5-ACCA-94B26E88CD6D}"/>
                </c:ext>
                <c:ext xmlns:c15="http://schemas.microsoft.com/office/drawing/2012/chart" uri="{CE6537A1-D6FC-4f65-9D91-7224C49458BB}"/>
              </c:extLst>
            </c:dLbl>
            <c:dLbl>
              <c:idx val="8"/>
              <c:layout>
                <c:manualLayout>
                  <c:x val="-4.5164017153212548E-2"/>
                  <c:y val="-3.4381809118883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838-42D5-ACCA-94B26E88CD6D}"/>
                </c:ext>
                <c:ext xmlns:c15="http://schemas.microsoft.com/office/drawing/2012/chart" uri="{CE6537A1-D6FC-4f65-9D91-7224C49458BB}"/>
              </c:extLst>
            </c:dLbl>
            <c:dLbl>
              <c:idx val="9"/>
              <c:layout>
                <c:manualLayout>
                  <c:x val="-4.9115216868302884E-2"/>
                  <c:y val="-3.82991726813803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838-42D5-ACCA-94B26E88CD6D}"/>
                </c:ext>
                <c:ext xmlns:c15="http://schemas.microsoft.com/office/drawing/2012/chart" uri="{CE6537A1-D6FC-4f65-9D91-7224C49458BB}"/>
              </c:extLst>
            </c:dLbl>
            <c:dLbl>
              <c:idx val="10"/>
              <c:layout>
                <c:manualLayout>
                  <c:x val="-4.3154510042913458E-2"/>
                  <c:y val="-3.82991726813803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838-42D5-ACCA-94B26E88CD6D}"/>
                </c:ext>
                <c:ext xmlns:c15="http://schemas.microsoft.com/office/drawing/2012/chart" uri="{CE6537A1-D6FC-4f65-9D91-7224C49458BB}"/>
              </c:extLst>
            </c:dLbl>
            <c:dLbl>
              <c:idx val="11"/>
              <c:layout>
                <c:manualLayout>
                  <c:x val="-2.7313900781072042E-2"/>
                  <c:y val="-3.82992760707495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3838-42D5-ACCA-94B26E88CD6D}"/>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12256316.138870252</c:v>
                </c:pt>
                <c:pt idx="1">
                  <c:v>22568935.309975661</c:v>
                </c:pt>
                <c:pt idx="2">
                  <c:v>27552536.369640775</c:v>
                </c:pt>
                <c:pt idx="3">
                  <c:v>31838963.139759414</c:v>
                </c:pt>
                <c:pt idx="4">
                  <c:v>37654806.651967429</c:v>
                </c:pt>
                <c:pt idx="5">
                  <c:v>42210541.653344139</c:v>
                </c:pt>
                <c:pt idx="6">
                  <c:v>43844268.750863038</c:v>
                </c:pt>
                <c:pt idx="7">
                  <c:v>45340823.704320706</c:v>
                </c:pt>
                <c:pt idx="8">
                  <c:v>46507006.285056904</c:v>
                </c:pt>
                <c:pt idx="9">
                  <c:v>47836101.33201424</c:v>
                </c:pt>
                <c:pt idx="10">
                  <c:v>48992612.809586227</c:v>
                </c:pt>
                <c:pt idx="11">
                  <c:v>50122525.358499989</c:v>
                </c:pt>
              </c:numCache>
            </c:numRef>
          </c:val>
          <c:smooth val="1"/>
          <c:extLst xmlns:c16r2="http://schemas.microsoft.com/office/drawing/2015/06/chart">
            <c:ext xmlns:c16="http://schemas.microsoft.com/office/drawing/2014/chart" uri="{C3380CC4-5D6E-409C-BE32-E72D297353CC}">
              <c16:uniqueId val="{00000000-F8DE-480A-B7E8-CA79929D1FD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7.5394336374083881E-3"/>
                  <c:y val="2.1077616971252751E-3"/>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838-42D5-ACCA-94B26E88CD6D}"/>
                </c:ext>
                <c:ext xmlns:c15="http://schemas.microsoft.com/office/drawing/2012/chart" uri="{CE6537A1-D6FC-4f65-9D91-7224C49458BB}">
                  <c15:layout>
                    <c:manualLayout>
                      <c:w val="7.6571834558803398E-2"/>
                      <c:h val="6.1314717185058813E-2"/>
                    </c:manualLayout>
                  </c15:layout>
                </c:ext>
              </c:extLst>
            </c:dLbl>
            <c:dLbl>
              <c:idx val="1"/>
              <c:layout>
                <c:manualLayout>
                  <c:x val="-1.2807286955227239E-2"/>
                  <c:y val="2.48799054235453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8DE-480A-B7E8-CA79929D1FDC}"/>
                </c:ext>
                <c:ext xmlns:c15="http://schemas.microsoft.com/office/drawing/2012/chart" uri="{CE6537A1-D6FC-4f65-9D91-7224C49458BB}"/>
              </c:extLst>
            </c:dLbl>
            <c:dLbl>
              <c:idx val="2"/>
              <c:layout>
                <c:manualLayout>
                  <c:x val="-1.2292024368705839E-2"/>
                  <c:y val="2.8703183285231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8DE-480A-B7E8-CA79929D1FDC}"/>
                </c:ext>
                <c:ext xmlns:c15="http://schemas.microsoft.com/office/drawing/2012/chart" uri="{CE6537A1-D6FC-4f65-9D91-7224C49458BB}"/>
              </c:extLst>
            </c:dLbl>
            <c:dLbl>
              <c:idx val="3"/>
              <c:layout>
                <c:manualLayout>
                  <c:x val="-8.3284660108486029E-3"/>
                  <c:y val="2.487990542354543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8DE-480A-B7E8-CA79929D1FDC}"/>
                </c:ext>
                <c:ext xmlns:c15="http://schemas.microsoft.com/office/drawing/2012/chart" uri="{CE6537A1-D6FC-4f65-9D91-7224C49458BB}"/>
              </c:extLst>
            </c:dLbl>
            <c:dLbl>
              <c:idx val="4"/>
              <c:layout>
                <c:manualLayout>
                  <c:x val="-6.3466868319200023E-3"/>
                  <c:y val="1.34100718384878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8DE-480A-B7E8-CA79929D1FDC}"/>
                </c:ext>
                <c:ext xmlns:c15="http://schemas.microsoft.com/office/drawing/2012/chart" uri="{CE6537A1-D6FC-4f65-9D91-7224C49458BB}"/>
              </c:extLst>
            </c:dLbl>
            <c:dLbl>
              <c:idx val="5"/>
              <c:layout>
                <c:manualLayout>
                  <c:x val="-8.8804651761374941E-3"/>
                  <c:y val="1.97509026576219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509-4162-AD37-D1F90ABE3D5C}"/>
                </c:ext>
                <c:ext xmlns:c15="http://schemas.microsoft.com/office/drawing/2012/chart" uri="{CE6537A1-D6FC-4f65-9D91-7224C49458BB}"/>
              </c:extLst>
            </c:dLbl>
            <c:dLbl>
              <c:idx val="6"/>
              <c:layout>
                <c:manualLayout>
                  <c:x val="-6.8928285782146222E-3"/>
                  <c:y val="2.15748049954718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A6D-499C-8116-73E79950AA67}"/>
                </c:ext>
                <c:ext xmlns:c15="http://schemas.microsoft.com/office/drawing/2012/chart" uri="{CE6537A1-D6FC-4f65-9D91-7224C49458BB}"/>
              </c:extLst>
            </c:dLbl>
            <c:dLbl>
              <c:idx val="7"/>
              <c:layout>
                <c:manualLayout>
                  <c:x val="-5.8353713007229462E-2"/>
                  <c:y val="-3.326829069678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A6D-499C-8116-73E79950AA67}"/>
                </c:ext>
                <c:ext xmlns:c15="http://schemas.microsoft.com/office/drawing/2012/chart" uri="{CE6537A1-D6FC-4f65-9D91-7224C49458BB}"/>
              </c:extLst>
            </c:dLbl>
            <c:dLbl>
              <c:idx val="8"/>
              <c:layout>
                <c:manualLayout>
                  <c:x val="-5.6374448221498119E-2"/>
                  <c:y val="-4.11030186528216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A6D-499C-8116-73E79950AA67}"/>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pt idx="8">
                  <c:v>50490102.899999991</c:v>
                </c:pt>
                <c:pt idx="9">
                  <c:v>51451272.719999991</c:v>
                </c:pt>
                <c:pt idx="10">
                  <c:v>53100695.819999993</c:v>
                </c:pt>
                <c:pt idx="11">
                  <c:v>54822531.61999999</c:v>
                </c:pt>
              </c:numCache>
            </c:numRef>
          </c:val>
          <c:smooth val="0"/>
          <c:extLst xmlns:c16r2="http://schemas.microsoft.com/office/drawing/2015/06/chart">
            <c:ext xmlns:c16="http://schemas.microsoft.com/office/drawing/2014/chart" uri="{C3380CC4-5D6E-409C-BE32-E72D297353CC}">
              <c16:uniqueId val="{00000019-F8DE-480A-B7E8-CA79929D1FDC}"/>
            </c:ext>
          </c:extLst>
        </c:ser>
        <c:dLbls>
          <c:showLegendKey val="0"/>
          <c:showVal val="0"/>
          <c:showCatName val="0"/>
          <c:showSerName val="0"/>
          <c:showPercent val="0"/>
          <c:showBubbleSize val="0"/>
        </c:dLbls>
        <c:marker val="1"/>
        <c:smooth val="0"/>
        <c:axId val="443961040"/>
        <c:axId val="443962216"/>
      </c:lineChart>
      <c:catAx>
        <c:axId val="44396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3962216"/>
        <c:crosses val="autoZero"/>
        <c:auto val="1"/>
        <c:lblAlgn val="ctr"/>
        <c:lblOffset val="100"/>
        <c:noMultiLvlLbl val="0"/>
      </c:catAx>
      <c:valAx>
        <c:axId val="44396221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1040"/>
        <c:crosses val="autoZero"/>
        <c:crossBetween val="between"/>
        <c:dispUnits>
          <c:builtInUnit val="millions"/>
          <c:dispUnitsLbl>
            <c:layout>
              <c:manualLayout>
                <c:xMode val="edge"/>
                <c:yMode val="edge"/>
                <c:x val="4.3095619077197769E-3"/>
                <c:y val="2.194459272232185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0290382868271397"/>
          <c:y val="0.82253807076153518"/>
          <c:w val="0.36343478367296411"/>
          <c:h val="6.71274943171253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E-4E17-A689-0696FF3C3159}"/>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B4BE-4E17-A689-0696FF3C3159}"/>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E-4E17-A689-0696FF3C3159}"/>
                </c:ext>
                <c:ext xmlns:c15="http://schemas.microsoft.com/office/drawing/2012/chart" uri="{CE6537A1-D6FC-4f65-9D91-7224C49458BB}"/>
              </c:extLst>
            </c:dLbl>
            <c:dLbl>
              <c:idx val="1"/>
              <c:layout>
                <c:manualLayout>
                  <c:x val="-3.776800334825170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E-4E17-A689-0696FF3C3159}"/>
                </c:ext>
                <c:ext xmlns:c15="http://schemas.microsoft.com/office/drawing/2012/chart" uri="{CE6537A1-D6FC-4f65-9D91-7224C49458BB}"/>
              </c:extLst>
            </c:dLbl>
            <c:dLbl>
              <c:idx val="2"/>
              <c:layout>
                <c:manualLayout>
                  <c:x val="-4.174358264806767E-2"/>
                  <c:y val="-3.80357386196022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E-4E17-A689-0696FF3C3159}"/>
                </c:ext>
                <c:ext xmlns:c15="http://schemas.microsoft.com/office/drawing/2012/chart" uri="{CE6537A1-D6FC-4f65-9D91-7224C49458BB}"/>
              </c:extLst>
            </c:dLbl>
            <c:dLbl>
              <c:idx val="3"/>
              <c:layout>
                <c:manualLayout>
                  <c:x val="-3.7768003348251672E-2"/>
                  <c:y val="-4.94464602054828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4BE-4E17-A689-0696FF3C3159}"/>
                </c:ext>
                <c:ext xmlns:c15="http://schemas.microsoft.com/office/drawing/2012/chart" uri="{CE6537A1-D6FC-4f65-9D91-7224C49458BB}"/>
              </c:extLst>
            </c:dLbl>
            <c:dLbl>
              <c:idx val="4"/>
              <c:layout>
                <c:manualLayout>
                  <c:x val="-4.1743582648067705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4BE-4E17-A689-0696FF3C3159}"/>
                </c:ext>
                <c:ext xmlns:c15="http://schemas.microsoft.com/office/drawing/2012/chart" uri="{CE6537A1-D6FC-4f65-9D91-7224C49458BB}"/>
              </c:extLst>
            </c:dLbl>
            <c:dLbl>
              <c:idx val="5"/>
              <c:layout>
                <c:manualLayout>
                  <c:x val="-5.1682530897607548E-2"/>
                  <c:y val="-3.80357386196022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4BE-4E17-A689-0696FF3C3159}"/>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4BE-4E17-A689-0696FF3C3159}"/>
                </c:ext>
                <c:ext xmlns:c15="http://schemas.microsoft.com/office/drawing/2012/chart" uri="{CE6537A1-D6FC-4f65-9D91-7224C49458BB}"/>
              </c:extLst>
            </c:dLbl>
            <c:dLbl>
              <c:idx val="7"/>
              <c:layout>
                <c:manualLayout>
                  <c:x val="-4.571916194788366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4BE-4E17-A689-0696FF3C3159}"/>
                </c:ext>
                <c:ext xmlns:c15="http://schemas.microsoft.com/office/drawing/2012/chart" uri="{CE6537A1-D6FC-4f65-9D91-7224C49458BB}"/>
              </c:extLst>
            </c:dLbl>
            <c:dLbl>
              <c:idx val="8"/>
              <c:layout>
                <c:manualLayout>
                  <c:x val="-4.5719161947883599E-2"/>
                  <c:y val="-4.56428863435226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4BE-4E17-A689-0696FF3C3159}"/>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4BE-4E17-A689-0696FF3C3159}"/>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4BE-4E17-A689-0696FF3C3159}"/>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4BE-4E17-A689-0696FF3C3159}"/>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B4BE-4E17-A689-0696FF3C3159}"/>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4BE-4E17-A689-0696FF3C3159}"/>
                </c:ext>
                <c:ext xmlns:c15="http://schemas.microsoft.com/office/drawing/2012/chart" uri="{CE6537A1-D6FC-4f65-9D91-7224C49458BB}"/>
              </c:extLst>
            </c:dLbl>
            <c:dLbl>
              <c:idx val="1"/>
              <c:layout>
                <c:manualLayout>
                  <c:x val="-1.7890106849171878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4BE-4E17-A689-0696FF3C3159}"/>
                </c:ext>
                <c:ext xmlns:c15="http://schemas.microsoft.com/office/drawing/2012/chart" uri="{CE6537A1-D6FC-4f65-9D91-7224C49458BB}"/>
              </c:extLst>
            </c:dLbl>
            <c:dLbl>
              <c:idx val="2"/>
              <c:layout>
                <c:manualLayout>
                  <c:x val="-2.3853475798895827E-2"/>
                  <c:y val="4.18393124815622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4BE-4E17-A689-0696FF3C3159}"/>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B4BE-4E17-A689-0696FF3C3159}"/>
            </c:ext>
          </c:extLst>
        </c:ser>
        <c:dLbls>
          <c:showLegendKey val="0"/>
          <c:showVal val="0"/>
          <c:showCatName val="0"/>
          <c:showSerName val="0"/>
          <c:showPercent val="0"/>
          <c:showBubbleSize val="0"/>
        </c:dLbls>
        <c:marker val="1"/>
        <c:smooth val="0"/>
        <c:axId val="489658072"/>
        <c:axId val="489664344"/>
      </c:lineChart>
      <c:catAx>
        <c:axId val="48965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64344"/>
        <c:crosses val="autoZero"/>
        <c:auto val="1"/>
        <c:lblAlgn val="ctr"/>
        <c:lblOffset val="100"/>
        <c:noMultiLvlLbl val="0"/>
      </c:catAx>
      <c:valAx>
        <c:axId val="4896643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580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241-4786-9206-202B17814614}"/>
                </c:ext>
                <c:ext xmlns:c15="http://schemas.microsoft.com/office/drawing/2012/chart" uri="{CE6537A1-D6FC-4f65-9D91-7224C49458BB}"/>
              </c:extLst>
            </c:dLbl>
            <c:dLbl>
              <c:idx val="1"/>
              <c:layout>
                <c:manualLayout>
                  <c:x val="-3.5257634113031434E-2"/>
                  <c:y val="4.8386913300556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41-4786-9206-202B17814614}"/>
                </c:ext>
                <c:ext xmlns:c15="http://schemas.microsoft.com/office/drawing/2012/chart" uri="{CE6537A1-D6FC-4f65-9D91-7224C49458BB}"/>
              </c:extLst>
            </c:dLbl>
            <c:dLbl>
              <c:idx val="2"/>
              <c:layout>
                <c:manualLayout>
                  <c:x val="-3.7097319043085747E-2"/>
                  <c:y val="6.73957477686322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241-4786-9206-202B17814614}"/>
                </c:ext>
                <c:ext xmlns:c15="http://schemas.microsoft.com/office/drawing/2012/chart" uri="{CE6537A1-D6FC-4f65-9D91-7224C49458BB}"/>
              </c:extLst>
            </c:dLbl>
            <c:dLbl>
              <c:idx val="3"/>
              <c:layout>
                <c:manualLayout>
                  <c:x val="-3.3417949182977094E-2"/>
                  <c:y val="5.5990447087786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41-4786-9206-202B17814614}"/>
                </c:ext>
                <c:ext xmlns:c15="http://schemas.microsoft.com/office/drawing/2012/chart" uri="{CE6537A1-D6FC-4f65-9D91-7224C49458BB}"/>
              </c:extLst>
            </c:dLbl>
            <c:dLbl>
              <c:idx val="4"/>
              <c:layout>
                <c:manualLayout>
                  <c:x val="-3.52576341130314E-2"/>
                  <c:y val="4.45851464069410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241-4786-9206-202B17814614}"/>
                </c:ext>
                <c:ext xmlns:c15="http://schemas.microsoft.com/office/drawing/2012/chart" uri="{CE6537A1-D6FC-4f65-9D91-7224C49458BB}"/>
              </c:extLst>
            </c:dLbl>
            <c:dLbl>
              <c:idx val="5"/>
              <c:layout>
                <c:manualLayout>
                  <c:x val="-3.52576341130314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241-4786-9206-202B17814614}"/>
                </c:ext>
                <c:ext xmlns:c15="http://schemas.microsoft.com/office/drawing/2012/chart" uri="{CE6537A1-D6FC-4f65-9D91-7224C49458BB}"/>
              </c:extLst>
            </c:dLbl>
            <c:dLbl>
              <c:idx val="6"/>
              <c:layout>
                <c:manualLayout>
                  <c:x val="-3.52576341130314E-2"/>
                  <c:y val="3.69816126197107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241-4786-9206-202B17814614}"/>
                </c:ext>
                <c:ext xmlns:c15="http://schemas.microsoft.com/office/drawing/2012/chart" uri="{CE6537A1-D6FC-4f65-9D91-7224C49458BB}"/>
              </c:extLst>
            </c:dLbl>
            <c:dLbl>
              <c:idx val="7"/>
              <c:layout>
                <c:manualLayout>
                  <c:x val="-3.5257634113031268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241-4786-9206-202B17814614}"/>
                </c:ext>
                <c:ext xmlns:c15="http://schemas.microsoft.com/office/drawing/2012/chart" uri="{CE6537A1-D6FC-4f65-9D91-7224C49458BB}"/>
              </c:extLst>
            </c:dLbl>
            <c:dLbl>
              <c:idx val="8"/>
              <c:layout>
                <c:manualLayout>
                  <c:x val="-3.7097319043085712E-2"/>
                  <c:y val="5.218868019417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241-4786-9206-202B17814614}"/>
                </c:ext>
                <c:ext xmlns:c15="http://schemas.microsoft.com/office/drawing/2012/chart" uri="{CE6537A1-D6FC-4f65-9D91-7224C49458BB}"/>
              </c:extLst>
            </c:dLbl>
            <c:dLbl>
              <c:idx val="9"/>
              <c:layout>
                <c:manualLayout>
                  <c:x val="-3.5257634113031538E-2"/>
                  <c:y val="4.0783379513325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241-4786-9206-202B17814614}"/>
                </c:ext>
                <c:ext xmlns:c15="http://schemas.microsoft.com/office/drawing/2012/chart" uri="{CE6537A1-D6FC-4f65-9D91-7224C49458BB}"/>
              </c:extLst>
            </c:dLbl>
            <c:dLbl>
              <c:idx val="10"/>
              <c:layout>
                <c:manualLayout>
                  <c:x val="-3.7097319043085844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241-4786-9206-202B17814614}"/>
                </c:ext>
                <c:ext xmlns:c15="http://schemas.microsoft.com/office/drawing/2012/chart" uri="{CE6537A1-D6FC-4f65-9D91-7224C49458BB}"/>
              </c:extLst>
            </c:dLbl>
            <c:dLbl>
              <c:idx val="11"/>
              <c:layout>
                <c:manualLayout>
                  <c:x val="-3.0841665995495524E-2"/>
                  <c:y val="5.5990447087786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241-4786-9206-202B17814614}"/>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217752.12995252226</c:v>
                </c:pt>
                <c:pt idx="1">
                  <c:v>388539.41750197596</c:v>
                </c:pt>
                <c:pt idx="2">
                  <c:v>535435.45418204111</c:v>
                </c:pt>
                <c:pt idx="3">
                  <c:v>672479.00000376033</c:v>
                </c:pt>
                <c:pt idx="4">
                  <c:v>807785.55003516539</c:v>
                </c:pt>
                <c:pt idx="5">
                  <c:v>935532.22031509038</c:v>
                </c:pt>
                <c:pt idx="6">
                  <c:v>1080192.4183031777</c:v>
                </c:pt>
                <c:pt idx="7">
                  <c:v>1234104.1651959268</c:v>
                </c:pt>
                <c:pt idx="8">
                  <c:v>1350755.7936711241</c:v>
                </c:pt>
                <c:pt idx="9">
                  <c:v>1491833.0129095844</c:v>
                </c:pt>
                <c:pt idx="10">
                  <c:v>1610059.1397355548</c:v>
                </c:pt>
                <c:pt idx="11">
                  <c:v>1744647.8605981038</c:v>
                </c:pt>
              </c:numCache>
            </c:numRef>
          </c:val>
          <c:smooth val="1"/>
          <c:extLst xmlns:c16r2="http://schemas.microsoft.com/office/drawing/2015/06/chart">
            <c:ext xmlns:c16="http://schemas.microsoft.com/office/drawing/2014/chart" uri="{C3380CC4-5D6E-409C-BE32-E72D297353CC}">
              <c16:uniqueId val="{0000000C-B241-4786-9206-202B17814614}"/>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241-4786-9206-202B17814614}"/>
                </c:ext>
                <c:ext xmlns:c15="http://schemas.microsoft.com/office/drawing/2012/chart" uri="{CE6537A1-D6FC-4f65-9D91-7224C49458BB}"/>
              </c:extLst>
            </c:dLbl>
            <c:dLbl>
              <c:idx val="1"/>
              <c:layout>
                <c:manualLayout>
                  <c:x val="-4.231275339124916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241-4786-9206-202B17814614}"/>
                </c:ext>
                <c:ext xmlns:c15="http://schemas.microsoft.com/office/drawing/2012/chart" uri="{CE6537A1-D6FC-4f65-9D91-7224C49458BB}"/>
              </c:extLst>
            </c:dLbl>
            <c:dLbl>
              <c:idx val="2"/>
              <c:layout>
                <c:manualLayout>
                  <c:x val="-4.599212325135777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241-4786-9206-202B17814614}"/>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pt idx="8">
                  <c:v>1638201.51</c:v>
                </c:pt>
                <c:pt idx="9">
                  <c:v>1845393.05</c:v>
                </c:pt>
                <c:pt idx="10">
                  <c:v>1973825.92</c:v>
                </c:pt>
                <c:pt idx="11">
                  <c:v>2136068.67</c:v>
                </c:pt>
              </c:numCache>
            </c:numRef>
          </c:val>
          <c:smooth val="0"/>
          <c:extLst xmlns:c16r2="http://schemas.microsoft.com/office/drawing/2015/06/chart">
            <c:ext xmlns:c16="http://schemas.microsoft.com/office/drawing/2014/chart" uri="{C3380CC4-5D6E-409C-BE32-E72D297353CC}">
              <c16:uniqueId val="{00000010-B241-4786-9206-202B17814614}"/>
            </c:ext>
          </c:extLst>
        </c:ser>
        <c:dLbls>
          <c:showLegendKey val="0"/>
          <c:showVal val="0"/>
          <c:showCatName val="0"/>
          <c:showSerName val="0"/>
          <c:showPercent val="0"/>
          <c:showBubbleSize val="0"/>
        </c:dLbls>
        <c:marker val="1"/>
        <c:smooth val="0"/>
        <c:axId val="489663952"/>
        <c:axId val="489665128"/>
      </c:lineChart>
      <c:catAx>
        <c:axId val="48966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65128"/>
        <c:crosses val="autoZero"/>
        <c:auto val="1"/>
        <c:lblAlgn val="ctr"/>
        <c:lblOffset val="100"/>
        <c:noMultiLvlLbl val="0"/>
      </c:catAx>
      <c:valAx>
        <c:axId val="4896651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395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2A0-4324-BEF6-8603872B69FD}"/>
                </c:ext>
                <c:ext xmlns:c15="http://schemas.microsoft.com/office/drawing/2012/chart" uri="{CE6537A1-D6FC-4f65-9D91-7224C49458BB}"/>
              </c:extLst>
            </c:dLbl>
            <c:dLbl>
              <c:idx val="1"/>
              <c:layout>
                <c:manualLayout>
                  <c:x val="-3.1578264252922782E-2"/>
                  <c:y val="4.83869133005563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2A0-4324-BEF6-8603872B69FD}"/>
                </c:ext>
                <c:ext xmlns:c15="http://schemas.microsoft.com/office/drawing/2012/chart" uri="{CE6537A1-D6FC-4f65-9D91-7224C49458BB}"/>
              </c:extLst>
            </c:dLbl>
            <c:dLbl>
              <c:idx val="2"/>
              <c:layout>
                <c:manualLayout>
                  <c:x val="-3.5257634113031434E-2"/>
                  <c:y val="4.4585146406941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2A0-4324-BEF6-8603872B69FD}"/>
                </c:ext>
                <c:ext xmlns:c15="http://schemas.microsoft.com/office/drawing/2012/chart" uri="{CE6537A1-D6FC-4f65-9D91-7224C49458BB}"/>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4360896.3398541976</c:v>
                </c:pt>
                <c:pt idx="1">
                  <c:v>9262643.1181037668</c:v>
                </c:pt>
                <c:pt idx="2">
                  <c:v>15175128.294068078</c:v>
                </c:pt>
                <c:pt idx="3">
                  <c:v>21038086.194907062</c:v>
                </c:pt>
                <c:pt idx="4">
                  <c:v>27571721.465995748</c:v>
                </c:pt>
                <c:pt idx="5">
                  <c:v>33468552.324798964</c:v>
                </c:pt>
                <c:pt idx="6">
                  <c:v>39746513.536818929</c:v>
                </c:pt>
                <c:pt idx="7">
                  <c:v>46587060.219900794</c:v>
                </c:pt>
                <c:pt idx="8">
                  <c:v>52648520.966934644</c:v>
                </c:pt>
                <c:pt idx="9">
                  <c:v>59178804.121601611</c:v>
                </c:pt>
                <c:pt idx="10">
                  <c:v>64893370.123346224</c:v>
                </c:pt>
                <c:pt idx="11">
                  <c:v>70227432.364500001</c:v>
                </c:pt>
              </c:numCache>
            </c:numRef>
          </c:val>
          <c:smooth val="1"/>
          <c:extLst xmlns:c16r2="http://schemas.microsoft.com/office/drawing/2015/06/chart">
            <c:ext xmlns:c16="http://schemas.microsoft.com/office/drawing/2014/chart" uri="{C3380CC4-5D6E-409C-BE32-E72D297353CC}">
              <c16:uniqueId val="{00000003-82A0-4324-BEF6-8603872B69F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2A0-4324-BEF6-8603872B69FD}"/>
                </c:ext>
                <c:ext xmlns:c15="http://schemas.microsoft.com/office/drawing/2012/chart" uri="{CE6537A1-D6FC-4f65-9D91-7224C49458BB}"/>
              </c:extLst>
            </c:dLbl>
            <c:dLbl>
              <c:idx val="1"/>
              <c:layout>
                <c:manualLayout>
                  <c:x val="-3.4954013671031924E-2"/>
                  <c:y val="-6.0828270297843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2A0-4324-BEF6-8603872B69FD}"/>
                </c:ext>
                <c:ext xmlns:c15="http://schemas.microsoft.com/office/drawing/2012/chart" uri="{CE6537A1-D6FC-4f65-9D91-7224C49458BB}"/>
              </c:extLst>
            </c:dLbl>
            <c:dLbl>
              <c:idx val="2"/>
              <c:layout>
                <c:manualLayout>
                  <c:x val="-4.0473068461194847E-2"/>
                  <c:y val="-5.32247365106126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2A0-4324-BEF6-8603872B69FD}"/>
                </c:ext>
                <c:ext xmlns:c15="http://schemas.microsoft.com/office/drawing/2012/chart" uri="{CE6537A1-D6FC-4f65-9D91-7224C49458BB}"/>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57476947.979999997</c:v>
                </c:pt>
                <c:pt idx="9">
                  <c:v>66244746.329999998</c:v>
                </c:pt>
                <c:pt idx="10">
                  <c:v>73970567.5</c:v>
                </c:pt>
                <c:pt idx="11">
                  <c:v>81413494.150000006</c:v>
                </c:pt>
              </c:numCache>
            </c:numRef>
          </c:val>
          <c:smooth val="0"/>
          <c:extLst xmlns:c16r2="http://schemas.microsoft.com/office/drawing/2015/06/chart">
            <c:ext xmlns:c16="http://schemas.microsoft.com/office/drawing/2014/chart" uri="{C3380CC4-5D6E-409C-BE32-E72D297353CC}">
              <c16:uniqueId val="{00000007-82A0-4324-BEF6-8603872B69F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xmlns:c16r2="http://schemas.microsoft.com/office/drawing/2015/06/chart">
            <c:ext xmlns:c16="http://schemas.microsoft.com/office/drawing/2014/chart" uri="{C3380CC4-5D6E-409C-BE32-E72D297353CC}">
              <c16:uniqueId val="{00000008-82A0-4324-BEF6-8603872B69FD}"/>
            </c:ext>
          </c:extLst>
        </c:ser>
        <c:dLbls>
          <c:showLegendKey val="0"/>
          <c:showVal val="0"/>
          <c:showCatName val="0"/>
          <c:showSerName val="0"/>
          <c:showPercent val="0"/>
          <c:showBubbleSize val="0"/>
        </c:dLbls>
        <c:marker val="1"/>
        <c:smooth val="0"/>
        <c:axId val="489666696"/>
        <c:axId val="489668264"/>
      </c:lineChart>
      <c:catAx>
        <c:axId val="489666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68264"/>
        <c:crosses val="autoZero"/>
        <c:auto val="1"/>
        <c:lblAlgn val="ctr"/>
        <c:lblOffset val="100"/>
        <c:noMultiLvlLbl val="0"/>
      </c:catAx>
      <c:valAx>
        <c:axId val="4896682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669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7FF-4759-BC42-C52D0D752E0C}"/>
                </c:ext>
                <c:ext xmlns:c15="http://schemas.microsoft.com/office/drawing/2012/chart" uri="{CE6537A1-D6FC-4f65-9D91-7224C49458BB}"/>
              </c:extLst>
            </c:dLbl>
            <c:dLbl>
              <c:idx val="1"/>
              <c:layout>
                <c:manualLayout>
                  <c:x val="1.8752998151535772E-3"/>
                  <c:y val="-3.41979557771129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7FF-4759-BC42-C52D0D752E0C}"/>
                </c:ext>
                <c:ext xmlns:c15="http://schemas.microsoft.com/office/drawing/2012/chart" uri="{CE6537A1-D6FC-4f65-9D91-7224C49458BB}"/>
              </c:extLst>
            </c:dLbl>
            <c:dLbl>
              <c:idx val="2"/>
              <c:layout>
                <c:manualLayout>
                  <c:x val="9.2442068858374967E-3"/>
                  <c:y val="1.194005292425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7FF-4759-BC42-C52D0D752E0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3-27FF-4759-BC42-C52D0D752E0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7FF-4759-BC42-C52D0D752E0C}"/>
                </c:ext>
                <c:ext xmlns:c15="http://schemas.microsoft.com/office/drawing/2012/chart" uri="{CE6537A1-D6FC-4f65-9D91-7224C49458BB}"/>
              </c:extLst>
            </c:dLbl>
            <c:dLbl>
              <c:idx val="1"/>
              <c:layout>
                <c:manualLayout>
                  <c:x val="-2.7595273950814646E-2"/>
                  <c:y val="6.082827029784285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7FF-4759-BC42-C52D0D752E0C}"/>
                </c:ext>
                <c:ext xmlns:c15="http://schemas.microsoft.com/office/drawing/2012/chart" uri="{CE6537A1-D6FC-4f65-9D91-7224C49458BB}"/>
              </c:extLst>
            </c:dLbl>
            <c:dLbl>
              <c:idx val="2"/>
              <c:layout>
                <c:manualLayout>
                  <c:x val="-3.1274643810923264E-2"/>
                  <c:y val="8.74406385531493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7FF-4759-BC42-C52D0D752E0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07-27FF-4759-BC42-C52D0D752E0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7FF-4759-BC42-C52D0D752E0C}"/>
                </c:ext>
                <c:ext xmlns:c15="http://schemas.microsoft.com/office/drawing/2012/chart" uri="{CE6537A1-D6FC-4f65-9D91-7224C49458BB}"/>
              </c:extLst>
            </c:dLbl>
            <c:dLbl>
              <c:idx val="1"/>
              <c:layout>
                <c:manualLayout>
                  <c:x val="-5.1511178041520708E-2"/>
                  <c:y val="-9.8845939233994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7FF-4759-BC42-C52D0D752E0C}"/>
                </c:ext>
                <c:ext xmlns:c15="http://schemas.microsoft.com/office/drawing/2012/chart" uri="{CE6537A1-D6FC-4f65-9D91-7224C49458BB}"/>
              </c:extLst>
            </c:dLbl>
            <c:dLbl>
              <c:idx val="2"/>
              <c:layout>
                <c:manualLayout>
                  <c:x val="-5.3350862971575021E-2"/>
                  <c:y val="-9.1242405446764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7FF-4759-BC42-C52D0D752E0C}"/>
                </c:ext>
                <c:ext xmlns:c15="http://schemas.microsoft.com/office/drawing/2012/chart" uri="{CE6537A1-D6FC-4f65-9D91-7224C49458BB}"/>
              </c:extLst>
            </c:dLbl>
            <c:dLbl>
              <c:idx val="3"/>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7FF-4759-BC42-C52D0D752E0C}"/>
                </c:ext>
                <c:ext xmlns:c15="http://schemas.microsoft.com/office/drawing/2012/chart" uri="{CE6537A1-D6FC-4f65-9D91-7224C49458BB}"/>
              </c:extLst>
            </c:dLbl>
            <c:dLbl>
              <c:idx val="4"/>
              <c:layout>
                <c:manualLayout>
                  <c:x val="-2.7595273950814646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7FF-4759-BC42-C52D0D752E0C}"/>
                </c:ext>
                <c:ext xmlns:c15="http://schemas.microsoft.com/office/drawing/2012/chart" uri="{CE6537A1-D6FC-4f65-9D91-7224C49458BB}"/>
              </c:extLst>
            </c:dLbl>
            <c:dLbl>
              <c:idx val="5"/>
              <c:layout>
                <c:manualLayout>
                  <c:x val="-3.1274643810923333E-2"/>
                  <c:y val="-3.8017668936151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7FF-4759-BC42-C52D0D752E0C}"/>
                </c:ext>
                <c:ext xmlns:c15="http://schemas.microsoft.com/office/drawing/2012/chart" uri="{CE6537A1-D6FC-4f65-9D91-7224C49458BB}"/>
              </c:extLst>
            </c:dLbl>
            <c:dLbl>
              <c:idx val="6"/>
              <c:layout>
                <c:manualLayout>
                  <c:x val="-2.7595273950814715E-2"/>
                  <c:y val="-4.181943582976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7FF-4759-BC42-C52D0D752E0C}"/>
                </c:ext>
                <c:ext xmlns:c15="http://schemas.microsoft.com/office/drawing/2012/chart" uri="{CE6537A1-D6FC-4f65-9D91-7224C49458BB}"/>
              </c:extLst>
            </c:dLbl>
            <c:dLbl>
              <c:idx val="7"/>
              <c:layout>
                <c:manualLayout>
                  <c:x val="-2.9434958880868958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7FF-4759-BC42-C52D0D752E0C}"/>
                </c:ext>
                <c:ext xmlns:c15="http://schemas.microsoft.com/office/drawing/2012/chart" uri="{CE6537A1-D6FC-4f65-9D91-7224C49458BB}"/>
              </c:extLst>
            </c:dLbl>
            <c:dLbl>
              <c:idx val="8"/>
              <c:layout>
                <c:manualLayout>
                  <c:x val="-2.7595273950814646E-2"/>
                  <c:y val="-4.94229696169974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7FF-4759-BC42-C52D0D752E0C}"/>
                </c:ext>
                <c:ext xmlns:c15="http://schemas.microsoft.com/office/drawing/2012/chart" uri="{CE6537A1-D6FC-4f65-9D91-7224C49458BB}"/>
              </c:extLst>
            </c:dLbl>
            <c:dLbl>
              <c:idx val="9"/>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7FF-4759-BC42-C52D0D752E0C}"/>
                </c:ext>
                <c:ext xmlns:c15="http://schemas.microsoft.com/office/drawing/2012/chart" uri="{CE6537A1-D6FC-4f65-9D91-7224C49458BB}"/>
              </c:extLst>
            </c:dLbl>
            <c:dLbl>
              <c:idx val="10"/>
              <c:layout>
                <c:manualLayout>
                  <c:x val="-3.3114328740977576E-2"/>
                  <c:y val="-3.80176689361518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7FF-4759-BC42-C52D0D752E0C}"/>
                </c:ext>
                <c:ext xmlns:c15="http://schemas.microsoft.com/office/drawing/2012/chart" uri="{CE6537A1-D6FC-4f65-9D91-7224C49458BB}"/>
              </c:extLst>
            </c:dLbl>
            <c:dLbl>
              <c:idx val="11"/>
              <c:layout>
                <c:manualLayout>
                  <c:x val="-2.5755589020760337E-2"/>
                  <c:y val="-4.18194358297670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7FF-4759-BC42-C52D0D752E0C}"/>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14-27FF-4759-BC42-C52D0D752E0C}"/>
            </c:ext>
          </c:extLst>
        </c:ser>
        <c:dLbls>
          <c:showLegendKey val="0"/>
          <c:showVal val="0"/>
          <c:showCatName val="0"/>
          <c:showSerName val="0"/>
          <c:showPercent val="0"/>
          <c:showBubbleSize val="0"/>
        </c:dLbls>
        <c:marker val="1"/>
        <c:smooth val="0"/>
        <c:axId val="489667088"/>
        <c:axId val="489665520"/>
      </c:lineChart>
      <c:catAx>
        <c:axId val="4896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89665520"/>
        <c:crosses val="autoZero"/>
        <c:auto val="1"/>
        <c:lblAlgn val="ctr"/>
        <c:lblOffset val="100"/>
        <c:noMultiLvlLbl val="0"/>
      </c:catAx>
      <c:valAx>
        <c:axId val="489665520"/>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708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47720365996071E-2"/>
          <c:y val="1.1113336247294282E-2"/>
          <c:w val="0.92424169299593517"/>
          <c:h val="0.84187361884345935"/>
        </c:manualLayout>
      </c:layout>
      <c:lineChart>
        <c:grouping val="standard"/>
        <c:varyColors val="0"/>
        <c:ser>
          <c:idx val="2"/>
          <c:order val="0"/>
          <c:tx>
            <c:strRef>
              <c:f>Gráficos!$S$100</c:f>
              <c:strCache>
                <c:ptCount val="1"/>
                <c:pt idx="0">
                  <c:v>Potencial</c:v>
                </c:pt>
              </c:strCache>
            </c:strRef>
          </c:tx>
          <c:spPr>
            <a:ln w="76200" cap="rnd">
              <a:solidFill>
                <a:schemeClr val="tx1"/>
              </a:solidFill>
              <a:round/>
            </a:ln>
            <a:effectLst/>
          </c:spPr>
          <c:marker>
            <c:symbol val="circle"/>
            <c:size val="7"/>
            <c:spPr>
              <a:solidFill>
                <a:schemeClr val="tx1"/>
              </a:solidFill>
              <a:ln w="3175">
                <a:noFill/>
              </a:ln>
              <a:effectLst/>
            </c:spPr>
          </c:marker>
          <c:dLbls>
            <c:dLbl>
              <c:idx val="0"/>
              <c:layout>
                <c:manualLayout>
                  <c:x val="-4.4158982106028373E-2"/>
                  <c:y val="-6.34533418858778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28AB-49CC-931F-8796A05C9965}"/>
                </c:ext>
                <c:ext xmlns:c15="http://schemas.microsoft.com/office/drawing/2012/chart" uri="{CE6537A1-D6FC-4f65-9D91-7224C49458BB}"/>
              </c:extLst>
            </c:dLbl>
            <c:dLbl>
              <c:idx val="1"/>
              <c:layout>
                <c:manualLayout>
                  <c:x val="-4.9926552876558797E-2"/>
                  <c:y val="-8.61417420501927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28AB-49CC-931F-8796A05C9965}"/>
                </c:ext>
                <c:ext xmlns:c15="http://schemas.microsoft.com/office/drawing/2012/chart" uri="{CE6537A1-D6FC-4f65-9D91-7224C49458BB}"/>
              </c:extLst>
            </c:dLbl>
            <c:dLbl>
              <c:idx val="2"/>
              <c:layout>
                <c:manualLayout>
                  <c:x val="-4.5664563749863066E-2"/>
                  <c:y val="-6.38672646014896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28AB-49CC-931F-8796A05C9965}"/>
                </c:ext>
                <c:ext xmlns:c15="http://schemas.microsoft.com/office/drawing/2012/chart" uri="{CE6537A1-D6FC-4f65-9D91-7224C49458BB}"/>
              </c:extLst>
            </c:dLbl>
            <c:dLbl>
              <c:idx val="3"/>
              <c:layout>
                <c:manualLayout>
                  <c:x val="-3.99461162009183E-2"/>
                  <c:y val="-5.142612847781529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28AB-49CC-931F-8796A05C9965}"/>
                </c:ext>
                <c:ext xmlns:c15="http://schemas.microsoft.com/office/drawing/2012/chart" uri="{CE6537A1-D6FC-4f65-9D91-7224C49458BB}"/>
              </c:extLst>
            </c:dLbl>
            <c:dLbl>
              <c:idx val="4"/>
              <c:layout>
                <c:manualLayout>
                  <c:x val="-4.6854258057153854E-2"/>
                  <c:y val="-6.8200182151582855E-2"/>
                </c:manualLayout>
              </c:layout>
              <c:numFmt formatCode="&quot;R$&quot;\ 0.00;;_(@_)"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28AB-49CC-931F-8796A05C9965}"/>
                </c:ext>
                <c:ext xmlns:c15="http://schemas.microsoft.com/office/drawing/2012/chart" uri="{CE6537A1-D6FC-4f65-9D91-7224C49458BB}">
                  <c15:layout>
                    <c:manualLayout>
                      <c:w val="5.1767157889205884E-2"/>
                      <c:h val="4.4198402429616514E-2"/>
                    </c:manualLayout>
                  </c15:layout>
                </c:ext>
              </c:extLst>
            </c:dLbl>
            <c:dLbl>
              <c:idx val="5"/>
              <c:layout>
                <c:manualLayout>
                  <c:x val="-8.9069635994865875E-3"/>
                  <c:y val="-0.1464167858081975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28AB-49CC-931F-8796A05C9965}"/>
                </c:ext>
                <c:ext xmlns:c15="http://schemas.microsoft.com/office/drawing/2012/chart" uri="{CE6537A1-D6FC-4f65-9D91-7224C49458BB}"/>
              </c:extLst>
            </c:dLbl>
            <c:dLbl>
              <c:idx val="6"/>
              <c:layout>
                <c:manualLayout>
                  <c:x val="-2.2100625218168312E-2"/>
                  <c:y val="-9.48243525869529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28AB-49CC-931F-8796A05C9965}"/>
                </c:ext>
                <c:ext xmlns:c15="http://schemas.microsoft.com/office/drawing/2012/chart" uri="{CE6537A1-D6FC-4f65-9D91-7224C49458BB}"/>
              </c:extLst>
            </c:dLbl>
            <c:dLbl>
              <c:idx val="7"/>
              <c:layout>
                <c:manualLayout>
                  <c:x val="-1.8405794836775083E-2"/>
                  <c:y val="-8.43875544843943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28AB-49CC-931F-8796A05C9965}"/>
                </c:ext>
                <c:ext xmlns:c15="http://schemas.microsoft.com/office/drawing/2012/chart" uri="{CE6537A1-D6FC-4f65-9D91-7224C49458BB}"/>
              </c:extLst>
            </c:dLbl>
            <c:dLbl>
              <c:idx val="8"/>
              <c:layout>
                <c:manualLayout>
                  <c:x val="-2.0466094364009368E-2"/>
                  <c:y val="-7.8083821073510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28AB-49CC-931F-8796A05C9965}"/>
                </c:ext>
                <c:ext xmlns:c15="http://schemas.microsoft.com/office/drawing/2012/chart" uri="{CE6537A1-D6FC-4f65-9D91-7224C49458BB}"/>
              </c:extLst>
            </c:dLbl>
            <c:dLbl>
              <c:idx val="9"/>
              <c:layout>
                <c:manualLayout>
                  <c:x val="-1.9739878313208982E-2"/>
                  <c:y val="-7.55350920422744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28AB-49CC-931F-8796A05C9965}"/>
                </c:ext>
                <c:ext xmlns:c15="http://schemas.microsoft.com/office/drawing/2012/chart" uri="{CE6537A1-D6FC-4f65-9D91-7224C49458BB}"/>
              </c:extLst>
            </c:dLbl>
            <c:dLbl>
              <c:idx val="10"/>
              <c:layout>
                <c:manualLayout>
                  <c:x val="-2.367981050274633E-2"/>
                  <c:y val="-8.21679521181652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28AB-49CC-931F-8796A05C9965}"/>
                </c:ext>
                <c:ext xmlns:c15="http://schemas.microsoft.com/office/drawing/2012/chart" uri="{CE6537A1-D6FC-4f65-9D91-7224C49458BB}"/>
              </c:extLst>
            </c:dLbl>
            <c:dLbl>
              <c:idx val="11"/>
              <c:layout>
                <c:manualLayout>
                  <c:x val="-2.8087596410394565E-2"/>
                  <c:y val="-4.8364553928884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28AB-49CC-931F-8796A05C9965}"/>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22225" cap="flat" cmpd="sng" algn="ctr">
                      <a:solidFill>
                        <a:schemeClr val="tx1"/>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pt idx="8">
                  <c:v>5442465.6999851614</c:v>
                </c:pt>
                <c:pt idx="9">
                  <c:v>6271274.1879854966</c:v>
                </c:pt>
                <c:pt idx="10">
                  <c:v>7019821.9230493736</c:v>
                </c:pt>
                <c:pt idx="11">
                  <c:v>7815552.4720629985</c:v>
                </c:pt>
              </c:numCache>
            </c:numRef>
          </c:val>
          <c:smooth val="0"/>
          <c:extLst xmlns:c16r2="http://schemas.microsoft.com/office/drawing/2015/06/chart">
            <c:ext xmlns:c16="http://schemas.microsoft.com/office/drawing/2014/chart" uri="{C3380CC4-5D6E-409C-BE32-E72D297353CC}">
              <c16:uniqueId val="{00000024-28AB-49CC-931F-8796A05C9965}"/>
            </c:ext>
          </c:extLst>
        </c:ser>
        <c:ser>
          <c:idx val="0"/>
          <c:order val="1"/>
          <c:tx>
            <c:strRef>
              <c:f>Gráficos!$Q$100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1.723759645784485E-2"/>
                  <c:y val="3.2604427509693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8AB-49CC-931F-8796A05C9965}"/>
                </c:ext>
                <c:ext xmlns:c15="http://schemas.microsoft.com/office/drawing/2012/chart" uri="{CE6537A1-D6FC-4f65-9D91-7224C49458BB}"/>
              </c:extLst>
            </c:dLbl>
            <c:dLbl>
              <c:idx val="1"/>
              <c:layout>
                <c:manualLayout>
                  <c:x val="-2.3178420814733765E-2"/>
                  <c:y val="4.61772948060015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8AB-49CC-931F-8796A05C9965}"/>
                </c:ext>
                <c:ext xmlns:c15="http://schemas.microsoft.com/office/drawing/2012/chart" uri="{CE6537A1-D6FC-4f65-9D91-7224C49458BB}"/>
              </c:extLst>
            </c:dLbl>
            <c:dLbl>
              <c:idx val="2"/>
              <c:layout>
                <c:manualLayout>
                  <c:x val="-2.6664665934496918E-2"/>
                  <c:y val="4.3021830939050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8AB-49CC-931F-8796A05C9965}"/>
                </c:ext>
                <c:ext xmlns:c15="http://schemas.microsoft.com/office/drawing/2012/chart" uri="{CE6537A1-D6FC-4f65-9D91-7224C49458BB}"/>
              </c:extLst>
            </c:dLbl>
            <c:dLbl>
              <c:idx val="3"/>
              <c:layout>
                <c:manualLayout>
                  <c:x val="-2.6569416353898836E-2"/>
                  <c:y val="3.99752482578139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8AB-49CC-931F-8796A05C9965}"/>
                </c:ext>
                <c:ext xmlns:c15="http://schemas.microsoft.com/office/drawing/2012/chart" uri="{CE6537A1-D6FC-4f65-9D91-7224C49458BB}"/>
              </c:extLst>
            </c:dLbl>
            <c:dLbl>
              <c:idx val="4"/>
              <c:layout>
                <c:manualLayout>
                  <c:x val="-2.8084203820600607E-2"/>
                  <c:y val="3.913485971399604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8AB-49CC-931F-8796A05C9965}"/>
                </c:ext>
                <c:ext xmlns:c15="http://schemas.microsoft.com/office/drawing/2012/chart" uri="{CE6537A1-D6FC-4f65-9D91-7224C49458BB}"/>
              </c:extLst>
            </c:dLbl>
            <c:dLbl>
              <c:idx val="5"/>
              <c:layout>
                <c:manualLayout>
                  <c:x val="-2.57626794099804E-2"/>
                  <c:y val="3.78821163436408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8AB-49CC-931F-8796A05C9965}"/>
                </c:ext>
                <c:ext xmlns:c15="http://schemas.microsoft.com/office/drawing/2012/chart" uri="{CE6537A1-D6FC-4f65-9D91-7224C49458BB}"/>
              </c:extLst>
            </c:dLbl>
            <c:dLbl>
              <c:idx val="6"/>
              <c:layout>
                <c:manualLayout>
                  <c:x val="-1.5491343212071452E-2"/>
                  <c:y val="3.57501214634120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8AB-49CC-931F-8796A05C9965}"/>
                </c:ext>
                <c:ext xmlns:c15="http://schemas.microsoft.com/office/drawing/2012/chart" uri="{CE6537A1-D6FC-4f65-9D91-7224C49458BB}"/>
              </c:extLst>
            </c:dLbl>
            <c:dLbl>
              <c:idx val="7"/>
              <c:layout>
                <c:manualLayout>
                  <c:x val="-1.7926805729826897E-2"/>
                  <c:y val="3.15375660995902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8AB-49CC-931F-8796A05C9965}"/>
                </c:ext>
                <c:ext xmlns:c15="http://schemas.microsoft.com/office/drawing/2012/chart" uri="{CE6537A1-D6FC-4f65-9D91-7224C49458BB}"/>
              </c:extLst>
            </c:dLbl>
            <c:dLbl>
              <c:idx val="8"/>
              <c:layout>
                <c:manualLayout>
                  <c:x val="-2.650577343181109E-2"/>
                  <c:y val="4.05750529336772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8AB-49CC-931F-8796A05C9965}"/>
                </c:ext>
                <c:ext xmlns:c15="http://schemas.microsoft.com/office/drawing/2012/chart" uri="{CE6537A1-D6FC-4f65-9D91-7224C49458BB}"/>
              </c:extLst>
            </c:dLbl>
            <c:dLbl>
              <c:idx val="9"/>
              <c:layout>
                <c:manualLayout>
                  <c:x val="-2.4158718205772964E-2"/>
                  <c:y val="3.5821735890130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8AB-49CC-931F-8796A05C9965}"/>
                </c:ext>
                <c:ext xmlns:c15="http://schemas.microsoft.com/office/drawing/2012/chart" uri="{CE6537A1-D6FC-4f65-9D91-7224C49458BB}"/>
              </c:extLst>
            </c:dLbl>
            <c:dLbl>
              <c:idx val="10"/>
              <c:layout>
                <c:manualLayout>
                  <c:x val="-2.2603363746303479E-2"/>
                  <c:y val="3.38907933901977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8AB-49CC-931F-8796A05C9965}"/>
                </c:ext>
                <c:ext xmlns:c15="http://schemas.microsoft.com/office/drawing/2012/chart" uri="{CE6537A1-D6FC-4f65-9D91-7224C49458BB}"/>
              </c:extLst>
            </c:dLbl>
            <c:dLbl>
              <c:idx val="11"/>
              <c:layout>
                <c:manualLayout>
                  <c:x val="-1.7147379393747466E-2"/>
                  <c:y val="3.53994510994560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DA3-4EDF-8844-512E5DB2E1E2}"/>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598442.7722158992</c:v>
                </c:pt>
                <c:pt idx="1">
                  <c:v>1067078.5674560755</c:v>
                </c:pt>
                <c:pt idx="2">
                  <c:v>1484225.9737110594</c:v>
                </c:pt>
                <c:pt idx="3">
                  <c:v>1890863.854512722</c:v>
                </c:pt>
                <c:pt idx="4">
                  <c:v>2312349.0419847975</c:v>
                </c:pt>
                <c:pt idx="5">
                  <c:v>2722507.5134500135</c:v>
                </c:pt>
                <c:pt idx="6">
                  <c:v>3258873.4989471263</c:v>
                </c:pt>
                <c:pt idx="7">
                  <c:v>3833659.7628543256</c:v>
                </c:pt>
                <c:pt idx="8">
                  <c:v>4315936.5787611604</c:v>
                </c:pt>
                <c:pt idx="9">
                  <c:v>4973191.0415973943</c:v>
                </c:pt>
                <c:pt idx="10">
                  <c:v>5566797.8236704189</c:v>
                </c:pt>
                <c:pt idx="11">
                  <c:v>6197821.1084538158</c:v>
                </c:pt>
              </c:numCache>
            </c:numRef>
          </c:val>
          <c:smooth val="1"/>
          <c:extLst xmlns:c16r2="http://schemas.microsoft.com/office/drawing/2015/06/chart">
            <c:ext xmlns:c16="http://schemas.microsoft.com/office/drawing/2014/chart" uri="{C3380CC4-5D6E-409C-BE32-E72D297353CC}">
              <c16:uniqueId val="{0000000B-28AB-49CC-931F-8796A05C9965}"/>
            </c:ext>
          </c:extLst>
        </c:ser>
        <c:ser>
          <c:idx val="1"/>
          <c:order val="2"/>
          <c:tx>
            <c:strRef>
              <c:f>Gráficos!$R$100</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1.2817389922140232E-2"/>
                  <c:y val="-8.87858998690290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8AB-49CC-931F-8796A05C9965}"/>
                </c:ext>
                <c:ext xmlns:c15="http://schemas.microsoft.com/office/drawing/2012/chart" uri="{CE6537A1-D6FC-4f65-9D91-7224C49458BB}"/>
              </c:extLst>
            </c:dLbl>
            <c:dLbl>
              <c:idx val="1"/>
              <c:layout>
                <c:manualLayout>
                  <c:x val="-1.5939207200671931E-2"/>
                  <c:y val="-0.108412561091055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8AB-49CC-931F-8796A05C9965}"/>
                </c:ext>
                <c:ext xmlns:c15="http://schemas.microsoft.com/office/drawing/2012/chart" uri="{CE6537A1-D6FC-4f65-9D91-7224C49458BB}"/>
              </c:extLst>
            </c:dLbl>
            <c:dLbl>
              <c:idx val="2"/>
              <c:layout>
                <c:manualLayout>
                  <c:x val="-9.1479489273221769E-3"/>
                  <c:y val="-8.1631447813160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8AB-49CC-931F-8796A05C9965}"/>
                </c:ext>
                <c:ext xmlns:c15="http://schemas.microsoft.com/office/drawing/2012/chart" uri="{CE6537A1-D6FC-4f65-9D91-7224C49458BB}"/>
              </c:extLst>
            </c:dLbl>
            <c:dLbl>
              <c:idx val="3"/>
              <c:layout>
                <c:manualLayout>
                  <c:x val="-2.2909610787015004E-3"/>
                  <c:y val="-7.17445135206044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8AB-49CC-931F-8796A05C9965}"/>
                </c:ext>
                <c:ext xmlns:c15="http://schemas.microsoft.com/office/drawing/2012/chart" uri="{CE6537A1-D6FC-4f65-9D91-7224C49458BB}"/>
              </c:extLst>
            </c:dLbl>
            <c:dLbl>
              <c:idx val="4"/>
              <c:layout>
                <c:manualLayout>
                  <c:x val="-4.5983698942588499E-3"/>
                  <c:y val="-0.103591824817314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8AB-49CC-931F-8796A05C9965}"/>
                </c:ext>
                <c:ext xmlns:c15="http://schemas.microsoft.com/office/drawing/2012/chart" uri="{CE6537A1-D6FC-4f65-9D91-7224C49458BB}"/>
              </c:extLst>
            </c:dLbl>
            <c:dLbl>
              <c:idx val="5"/>
              <c:layout>
                <c:manualLayout>
                  <c:x val="-4.5498416114388707E-2"/>
                  <c:y val="-0.1128580558540140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8AB-49CC-931F-8796A05C9965}"/>
                </c:ext>
                <c:ext xmlns:c15="http://schemas.microsoft.com/office/drawing/2012/chart" uri="{CE6537A1-D6FC-4f65-9D91-7224C49458BB}"/>
              </c:extLst>
            </c:dLbl>
            <c:dLbl>
              <c:idx val="6"/>
              <c:layout>
                <c:manualLayout>
                  <c:x val="-4.9331641547726034E-2"/>
                  <c:y val="-6.20266192074143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8AB-49CC-931F-8796A05C9965}"/>
                </c:ext>
                <c:ext xmlns:c15="http://schemas.microsoft.com/office/drawing/2012/chart" uri="{CE6537A1-D6FC-4f65-9D91-7224C49458BB}"/>
              </c:extLst>
            </c:dLbl>
            <c:dLbl>
              <c:idx val="7"/>
              <c:layout>
                <c:manualLayout>
                  <c:x val="-5.0766455205916959E-2"/>
                  <c:y val="-6.6419154127056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8AB-49CC-931F-8796A05C9965}"/>
                </c:ext>
                <c:ext xmlns:c15="http://schemas.microsoft.com/office/drawing/2012/chart" uri="{CE6537A1-D6FC-4f65-9D91-7224C49458BB}"/>
              </c:extLst>
            </c:dLbl>
            <c:dLbl>
              <c:idx val="8"/>
              <c:layout>
                <c:manualLayout>
                  <c:x val="-4.9358287108784295E-2"/>
                  <c:y val="-4.87264191192988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8AB-49CC-931F-8796A05C9965}"/>
                </c:ext>
                <c:ext xmlns:c15="http://schemas.microsoft.com/office/drawing/2012/chart" uri="{CE6537A1-D6FC-4f65-9D91-7224C49458BB}"/>
              </c:extLst>
            </c:dLbl>
            <c:dLbl>
              <c:idx val="9"/>
              <c:layout>
                <c:manualLayout>
                  <c:x val="-5.3298219298321639E-2"/>
                  <c:y val="-5.53408202393743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28AB-49CC-931F-8796A05C9965}"/>
                </c:ext>
                <c:ext xmlns:c15="http://schemas.microsoft.com/office/drawing/2012/chart" uri="{CE6537A1-D6FC-4f65-9D91-7224C49458BB}"/>
              </c:extLst>
            </c:dLbl>
            <c:dLbl>
              <c:idx val="10"/>
              <c:layout>
                <c:manualLayout>
                  <c:x val="-5.3231605395676423E-2"/>
                  <c:y val="-4.8699949673224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28AB-49CC-931F-8796A05C9965}"/>
                </c:ext>
                <c:ext xmlns:c15="http://schemas.microsoft.com/office/drawing/2012/chart" uri="{CE6537A1-D6FC-4f65-9D91-7224C49458BB}"/>
              </c:extLst>
            </c:dLbl>
            <c:dLbl>
              <c:idx val="11"/>
              <c:layout>
                <c:manualLayout>
                  <c:x val="-3.2416690754544508E-2"/>
                  <c:y val="5.75013887752134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13-403D-B4C0-8F1D68D77189}"/>
                </c:ext>
                <c:ext xmlns:c15="http://schemas.microsoft.com/office/drawing/2012/chart" uri="{CE6537A1-D6FC-4f65-9D91-7224C49458BB}"/>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19050" cap="flat" cmpd="sng" algn="ctr">
                      <a:solidFill>
                        <a:srgbClr val="00B050"/>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pt idx="8">
                  <c:v>5195320.91</c:v>
                </c:pt>
                <c:pt idx="9">
                  <c:v>5965709.7200000007</c:v>
                </c:pt>
                <c:pt idx="10">
                  <c:v>6737294.4000000004</c:v>
                </c:pt>
                <c:pt idx="11">
                  <c:v>7519318.71</c:v>
                </c:pt>
              </c:numCache>
            </c:numRef>
          </c:val>
          <c:smooth val="0"/>
          <c:extLst xmlns:c16r2="http://schemas.microsoft.com/office/drawing/2015/06/chart">
            <c:ext xmlns:c16="http://schemas.microsoft.com/office/drawing/2014/chart" uri="{C3380CC4-5D6E-409C-BE32-E72D297353CC}">
              <c16:uniqueId val="{00000017-28AB-49CC-931F-8796A05C9965}"/>
            </c:ext>
          </c:extLst>
        </c:ser>
        <c:dLbls>
          <c:showLegendKey val="0"/>
          <c:showVal val="0"/>
          <c:showCatName val="0"/>
          <c:showSerName val="0"/>
          <c:showPercent val="0"/>
          <c:showBubbleSize val="0"/>
        </c:dLbls>
        <c:marker val="1"/>
        <c:smooth val="0"/>
        <c:axId val="489667480"/>
        <c:axId val="489665912"/>
      </c:lineChart>
      <c:catAx>
        <c:axId val="48966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crossAx val="489665912"/>
        <c:crosses val="autoZero"/>
        <c:auto val="1"/>
        <c:lblAlgn val="ctr"/>
        <c:lblOffset val="100"/>
        <c:noMultiLvlLbl val="0"/>
      </c:catAx>
      <c:valAx>
        <c:axId val="489665912"/>
        <c:scaling>
          <c:orientation val="minMax"/>
          <c:max val="9000000"/>
          <c:min val="0.5"/>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89667480"/>
        <c:crosses val="autoZero"/>
        <c:crossBetween val="between"/>
        <c:dispUnits>
          <c:builtInUnit val="millions"/>
          <c:dispUnitsLbl>
            <c:layout>
              <c:manualLayout>
                <c:xMode val="edge"/>
                <c:yMode val="edge"/>
                <c:x val="1.4475248001682836E-3"/>
                <c:y val="1.271782100815748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26703888888888888"/>
          <c:y val="0.90973564814814811"/>
          <c:w val="0.50846616161616154"/>
          <c:h val="8.5991666666666647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0787523208636"/>
          <c:y val="4.1406210635201501E-2"/>
          <c:w val="0.83865057677063992"/>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E47-421B-8994-EE79201ACFFB}"/>
                </c:ext>
                <c:ext xmlns:c15="http://schemas.microsoft.com/office/drawing/2012/chart" uri="{CE6537A1-D6FC-4f65-9D91-7224C49458BB}"/>
              </c:extLst>
            </c:dLbl>
            <c:dLbl>
              <c:idx val="11"/>
              <c:layout>
                <c:manualLayout>
                  <c:x val="-3.876372411338664E-3"/>
                  <c:y val="-1.725238846360355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E47-421B-8994-EE79201ACFFB}"/>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1660958.1722686691</c:v>
                </c:pt>
                <c:pt idx="1">
                  <c:v>2821228.2075793813</c:v>
                </c:pt>
                <c:pt idx="2">
                  <c:v>3795946.7694131993</c:v>
                </c:pt>
                <c:pt idx="3">
                  <c:v>4683756.7982944483</c:v>
                </c:pt>
                <c:pt idx="4">
                  <c:v>5629761.1071623079</c:v>
                </c:pt>
                <c:pt idx="5">
                  <c:v>6430729.1209309585</c:v>
                </c:pt>
                <c:pt idx="6">
                  <c:v>7414125.4337861119</c:v>
                </c:pt>
                <c:pt idx="7">
                  <c:v>8414367.7617339753</c:v>
                </c:pt>
                <c:pt idx="8">
                  <c:v>9197167.968886327</c:v>
                </c:pt>
                <c:pt idx="9">
                  <c:v>10175017.180070689</c:v>
                </c:pt>
                <c:pt idx="10">
                  <c:v>10969253.244508484</c:v>
                </c:pt>
                <c:pt idx="11">
                  <c:v>11865014.674057046</c:v>
                </c:pt>
              </c:numCache>
            </c:numRef>
          </c:val>
          <c:smooth val="1"/>
          <c:extLst xmlns:c16r2="http://schemas.microsoft.com/office/drawing/2015/06/chart">
            <c:ext xmlns:c16="http://schemas.microsoft.com/office/drawing/2014/chart" uri="{C3380CC4-5D6E-409C-BE32-E72D297353CC}">
              <c16:uniqueId val="{00000000-C542-4D42-8999-AFB6E4B1FB27}"/>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542-4D42-8999-AFB6E4B1FB27}"/>
                </c:ext>
                <c:ext xmlns:c15="http://schemas.microsoft.com/office/drawing/2012/chart" uri="{CE6537A1-D6FC-4f65-9D91-7224C49458BB}"/>
              </c:extLst>
            </c:dLbl>
            <c:dLbl>
              <c:idx val="1"/>
              <c:layout>
                <c:manualLayout>
                  <c:x val="-6.0249283325688229E-3"/>
                  <c:y val="7.04330826949845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542-4D42-8999-AFB6E4B1FB27}"/>
                </c:ext>
                <c:ext xmlns:c15="http://schemas.microsoft.com/office/drawing/2012/chart" uri="{CE6537A1-D6FC-4f65-9D91-7224C49458BB}"/>
              </c:extLst>
            </c:dLbl>
            <c:dLbl>
              <c:idx val="2"/>
              <c:layout>
                <c:manualLayout>
                  <c:x val="-6.0269615621083589E-3"/>
                  <c:y val="1.47486971597434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542-4D42-8999-AFB6E4B1FB27}"/>
                </c:ext>
                <c:ext xmlns:c15="http://schemas.microsoft.com/office/drawing/2012/chart" uri="{CE6537A1-D6FC-4f65-9D91-7224C49458BB}"/>
              </c:extLst>
            </c:dLbl>
            <c:dLbl>
              <c:idx val="3"/>
              <c:layout>
                <c:manualLayout>
                  <c:x val="-7.9314720315982641E-3"/>
                  <c:y val="1.8932431915239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98D-4B1C-83E8-67F3A93030DD}"/>
                </c:ext>
                <c:ext xmlns:c15="http://schemas.microsoft.com/office/drawing/2012/chart" uri="{CE6537A1-D6FC-4f65-9D91-7224C49458BB}"/>
              </c:extLst>
            </c:dLbl>
            <c:dLbl>
              <c:idx val="4"/>
              <c:layout>
                <c:manualLayout>
                  <c:x val="-3.9598143048194256E-3"/>
                  <c:y val="3.692710749467365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98D-4B1C-83E8-67F3A93030DD}"/>
                </c:ext>
                <c:ext xmlns:c15="http://schemas.microsoft.com/office/drawing/2012/chart" uri="{CE6537A1-D6FC-4f65-9D91-7224C49458BB}"/>
              </c:extLst>
            </c:dLbl>
            <c:dLbl>
              <c:idx val="5"/>
              <c:layout>
                <c:manualLayout>
                  <c:x val="-7.9255571760303688E-3"/>
                  <c:y val="7.691254861539244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73E-4B23-8165-0BD88110BF67}"/>
                </c:ext>
                <c:ext xmlns:c15="http://schemas.microsoft.com/office/drawing/2012/chart" uri="{CE6537A1-D6FC-4f65-9D91-7224C49458BB}"/>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pt idx="8">
                  <c:v>12072932.68</c:v>
                </c:pt>
                <c:pt idx="9">
                  <c:v>14347933.539999999</c:v>
                </c:pt>
                <c:pt idx="10">
                  <c:v>15372878.59</c:v>
                </c:pt>
                <c:pt idx="11">
                  <c:v>16565108.539999999</c:v>
                </c:pt>
              </c:numCache>
            </c:numRef>
          </c:val>
          <c:smooth val="0"/>
          <c:extLst xmlns:c16r2="http://schemas.microsoft.com/office/drawing/2015/06/chart">
            <c:ext xmlns:c16="http://schemas.microsoft.com/office/drawing/2014/chart" uri="{C3380CC4-5D6E-409C-BE32-E72D297353CC}">
              <c16:uniqueId val="{00000004-C542-4D42-8999-AFB6E4B1FB27}"/>
            </c:ext>
          </c:extLst>
        </c:ser>
        <c:dLbls>
          <c:showLegendKey val="0"/>
          <c:showVal val="0"/>
          <c:showCatName val="0"/>
          <c:showSerName val="0"/>
          <c:showPercent val="0"/>
          <c:showBubbleSize val="0"/>
        </c:dLbls>
        <c:marker val="1"/>
        <c:smooth val="0"/>
        <c:axId val="443964568"/>
        <c:axId val="443964960"/>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xmlns:c16r2="http://schemas.microsoft.com/office/drawing/2015/06/char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5-C542-4D42-8999-AFB6E4B1FB27}"/>
                  </c:ext>
                </c:extLst>
              </c15:ser>
            </c15:filteredLineSeries>
          </c:ext>
        </c:extLst>
      </c:lineChart>
      <c:catAx>
        <c:axId val="443964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3964960"/>
        <c:crosses val="autoZero"/>
        <c:auto val="1"/>
        <c:lblAlgn val="ctr"/>
        <c:lblOffset val="100"/>
        <c:noMultiLvlLbl val="0"/>
      </c:catAx>
      <c:valAx>
        <c:axId val="44396496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4568"/>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5.971036256973998E-2"/>
                  <c:y val="-4.55919887770187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516-435D-8F46-7D82D91F3D82}"/>
                </c:ext>
                <c:ext xmlns:c15="http://schemas.microsoft.com/office/drawing/2012/chart" uri="{CE6537A1-D6FC-4f65-9D91-7224C49458BB}"/>
              </c:extLst>
            </c:dLbl>
            <c:dLbl>
              <c:idx val="1"/>
              <c:layout>
                <c:manualLayout>
                  <c:x val="-6.1657053293206768E-2"/>
                  <c:y val="-4.18649034895710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516-435D-8F46-7D82D91F3D82}"/>
                </c:ext>
                <c:ext xmlns:c15="http://schemas.microsoft.com/office/drawing/2012/chart" uri="{CE6537A1-D6FC-4f65-9D91-7224C49458BB}"/>
              </c:extLst>
            </c:dLbl>
            <c:dLbl>
              <c:idx val="2"/>
              <c:layout>
                <c:manualLayout>
                  <c:x val="-5.1697330914744787E-2"/>
                  <c:y val="-4.54776490159615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516-435D-8F46-7D82D91F3D82}"/>
                </c:ext>
                <c:ext xmlns:c15="http://schemas.microsoft.com/office/drawing/2012/chart" uri="{CE6537A1-D6FC-4f65-9D91-7224C49458BB}"/>
              </c:extLst>
            </c:dLbl>
            <c:dLbl>
              <c:idx val="3"/>
              <c:layout>
                <c:manualLayout>
                  <c:x val="-4.9671398733050889E-2"/>
                  <c:y val="-5.30161456889793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516-435D-8F46-7D82D91F3D82}"/>
                </c:ext>
                <c:ext xmlns:c15="http://schemas.microsoft.com/office/drawing/2012/chart" uri="{CE6537A1-D6FC-4f65-9D91-7224C49458BB}"/>
              </c:extLst>
            </c:dLbl>
            <c:dLbl>
              <c:idx val="4"/>
              <c:layout>
                <c:manualLayout>
                  <c:x val="-5.3646927695232861E-2"/>
                  <c:y val="-4.93066589342497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516-435D-8F46-7D82D91F3D82}"/>
                </c:ext>
                <c:ext xmlns:c15="http://schemas.microsoft.com/office/drawing/2012/chart" uri="{CE6537A1-D6FC-4f65-9D91-7224C49458BB}"/>
              </c:extLst>
            </c:dLbl>
            <c:dLbl>
              <c:idx val="5"/>
              <c:layout>
                <c:manualLayout>
                  <c:x val="-4.5729432370581129E-2"/>
                  <c:y val="-3.79364081886783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516-435D-8F46-7D82D91F3D82}"/>
                </c:ext>
                <c:ext xmlns:c15="http://schemas.microsoft.com/office/drawing/2012/chart" uri="{CE6537A1-D6FC-4f65-9D91-7224C49458BB}"/>
              </c:extLst>
            </c:dLbl>
            <c:dLbl>
              <c:idx val="6"/>
              <c:layout>
                <c:manualLayout>
                  <c:x val="-3.9755792998159727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516-435D-8F46-7D82D91F3D82}"/>
                </c:ext>
                <c:ext xmlns:c15="http://schemas.microsoft.com/office/drawing/2012/chart" uri="{CE6537A1-D6FC-4f65-9D91-7224C49458BB}"/>
              </c:extLst>
            </c:dLbl>
            <c:dLbl>
              <c:idx val="7"/>
              <c:layout>
                <c:manualLayout>
                  <c:x val="-4.1754059513514095E-2"/>
                  <c:y val="-3.7898294934992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516-435D-8F46-7D82D91F3D82}"/>
                </c:ext>
                <c:ext xmlns:c15="http://schemas.microsoft.com/office/drawing/2012/chart" uri="{CE6537A1-D6FC-4f65-9D91-7224C49458BB}"/>
              </c:extLst>
            </c:dLbl>
            <c:dLbl>
              <c:idx val="8"/>
              <c:layout>
                <c:manualLayout>
                  <c:x val="-4.1754059513514019E-2"/>
                  <c:y val="-3.7898294934992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516-435D-8F46-7D82D91F3D82}"/>
                </c:ext>
                <c:ext xmlns:c15="http://schemas.microsoft.com/office/drawing/2012/chart" uri="{CE6537A1-D6FC-4f65-9D91-7224C49458BB}"/>
              </c:extLst>
            </c:dLbl>
            <c:dLbl>
              <c:idx val="9"/>
              <c:layout>
                <c:manualLayout>
                  <c:x val="-4.373137229797576E-2"/>
                  <c:y val="-4.1839312481562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516-435D-8F46-7D82D91F3D82}"/>
                </c:ext>
                <c:ext xmlns:c15="http://schemas.microsoft.com/office/drawing/2012/chart" uri="{CE6537A1-D6FC-4f65-9D91-7224C49458BB}"/>
              </c:extLst>
            </c:dLbl>
            <c:dLbl>
              <c:idx val="10"/>
              <c:layout>
                <c:manualLayout>
                  <c:x val="-3.9755792998159796E-2"/>
                  <c:y val="-3.8035738619602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516-435D-8F46-7D82D91F3D82}"/>
                </c:ext>
                <c:ext xmlns:c15="http://schemas.microsoft.com/office/drawing/2012/chart" uri="{CE6537A1-D6FC-4f65-9D91-7224C49458BB}"/>
              </c:extLst>
            </c:dLbl>
            <c:dLbl>
              <c:idx val="11"/>
              <c:layout>
                <c:manualLayout>
                  <c:x val="-3.1804634398527723E-2"/>
                  <c:y val="-3.4232164757641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516-435D-8F46-7D82D91F3D82}"/>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pt idx="8">
                  <c:v>9595658.653313458</c:v>
                </c:pt>
                <c:pt idx="9">
                  <c:v>9941858.5814006049</c:v>
                </c:pt>
                <c:pt idx="10">
                  <c:v>10211142.037870217</c:v>
                </c:pt>
                <c:pt idx="11">
                  <c:v>10468500.740545867</c:v>
                </c:pt>
              </c:numCache>
            </c:numRef>
          </c:val>
          <c:smooth val="0"/>
          <c:extLst xmlns:c16r2="http://schemas.microsoft.com/office/drawing/2015/06/chart">
            <c:ext xmlns:c16="http://schemas.microsoft.com/office/drawing/2014/chart" uri="{C3380CC4-5D6E-409C-BE32-E72D297353CC}">
              <c16:uniqueId val="{0000000E-5516-435D-8F46-7D82D91F3D82}"/>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8.5217782245853059E-3"/>
                  <c:y val="3.38960983919560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16-435D-8F46-7D82D91F3D82}"/>
                </c:ext>
                <c:ext xmlns:c15="http://schemas.microsoft.com/office/drawing/2012/chart" uri="{CE6537A1-D6FC-4f65-9D91-7224C49458BB}"/>
              </c:extLst>
            </c:dLbl>
            <c:dLbl>
              <c:idx val="1"/>
              <c:layout>
                <c:manualLayout>
                  <c:x val="-9.5787659578453754E-3"/>
                  <c:y val="1.60319590303866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EC1-4D56-BE9A-E0E82120B057}"/>
                </c:ext>
                <c:ext xmlns:c15="http://schemas.microsoft.com/office/drawing/2012/chart" uri="{CE6537A1-D6FC-4f65-9D91-7224C49458BB}"/>
              </c:extLst>
            </c:dLbl>
            <c:dLbl>
              <c:idx val="2"/>
              <c:layout>
                <c:manualLayout>
                  <c:x val="-1.5524497575687529E-2"/>
                  <c:y val="3.177425733276133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EC1-4D56-BE9A-E0E82120B057}"/>
                </c:ext>
                <c:ext xmlns:c15="http://schemas.microsoft.com/office/drawing/2012/chart" uri="{CE6537A1-D6FC-4f65-9D91-7224C49458BB}"/>
              </c:extLst>
            </c:dLbl>
            <c:dLbl>
              <c:idx val="3"/>
              <c:layout>
                <c:manualLayout>
                  <c:x val="-9.5350565256621198E-3"/>
                  <c:y val="3.19471390514798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EC1-4D56-BE9A-E0E82120B057}"/>
                </c:ext>
                <c:ext xmlns:c15="http://schemas.microsoft.com/office/drawing/2012/chart" uri="{CE6537A1-D6FC-4f65-9D91-7224C49458BB}"/>
              </c:extLst>
            </c:dLbl>
            <c:dLbl>
              <c:idx val="4"/>
              <c:layout>
                <c:manualLayout>
                  <c:x val="-6.702857035813635E-2"/>
                  <c:y val="-3.78406676954195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EC1-4D56-BE9A-E0E82120B057}"/>
                </c:ext>
                <c:ext xmlns:c15="http://schemas.microsoft.com/office/drawing/2012/chart" uri="{CE6537A1-D6FC-4f65-9D91-7224C49458BB}"/>
              </c:extLst>
            </c:dLbl>
            <c:dLbl>
              <c:idx val="5"/>
              <c:layout>
                <c:manualLayout>
                  <c:x val="-5.8920314583027628E-2"/>
                  <c:y val="-3.0228383763266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AA6-4046-83FF-896846DEAE42}"/>
                </c:ext>
                <c:ext xmlns:c15="http://schemas.microsoft.com/office/drawing/2012/chart" uri="{CE6537A1-D6FC-4f65-9D91-7224C49458BB}"/>
              </c:extLst>
            </c:dLbl>
            <c:dLbl>
              <c:idx val="6"/>
              <c:layout>
                <c:manualLayout>
                  <c:x val="-4.1008813694789599E-2"/>
                  <c:y val="-3.82681459487593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83-45C1-B838-36727DA63CA9}"/>
                </c:ext>
                <c:ext xmlns:c15="http://schemas.microsoft.com/office/drawing/2012/chart" uri="{CE6537A1-D6FC-4f65-9D91-7224C49458BB}"/>
              </c:extLst>
            </c:dLbl>
            <c:dLbl>
              <c:idx val="7"/>
              <c:layout>
                <c:manualLayout>
                  <c:x val="-1.721839417790378E-2"/>
                  <c:y val="3.14333723917957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83-45C1-B838-36727DA63CA9}"/>
                </c:ext>
                <c:ext xmlns:c15="http://schemas.microsoft.com/office/drawing/2012/chart" uri="{CE6537A1-D6FC-4f65-9D91-7224C49458BB}"/>
              </c:extLst>
            </c:dLbl>
            <c:dLbl>
              <c:idx val="8"/>
              <c:layout>
                <c:manualLayout>
                  <c:x val="-1.5235859218163143E-2"/>
                  <c:y val="2.75610658173204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83-45C1-B838-36727DA63CA9}"/>
                </c:ext>
                <c:ext xmlns:c15="http://schemas.microsoft.com/office/drawing/2012/chart" uri="{CE6537A1-D6FC-4f65-9D91-7224C49458BB}"/>
              </c:extLst>
            </c:dLbl>
            <c:dLbl>
              <c:idx val="9"/>
              <c:layout>
                <c:manualLayout>
                  <c:x val="-1.3253324258422652E-2"/>
                  <c:y val="2.75610658173204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083-45C1-B838-36727DA63CA9}"/>
                </c:ext>
                <c:ext xmlns:c15="http://schemas.microsoft.com/office/drawing/2012/chart" uri="{CE6537A1-D6FC-4f65-9D91-7224C49458BB}"/>
              </c:extLst>
            </c:dLbl>
            <c:dLbl>
              <c:idx val="10"/>
              <c:layout>
                <c:manualLayout>
                  <c:x val="-1.9200929137644124E-2"/>
                  <c:y val="3.14333723917957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083-45C1-B838-36727DA63CA9}"/>
                </c:ext>
                <c:ext xmlns:c15="http://schemas.microsoft.com/office/drawing/2012/chart" uri="{CE6537A1-D6FC-4f65-9D91-7224C49458BB}"/>
              </c:extLst>
            </c:dLbl>
            <c:dLbl>
              <c:idx val="11"/>
              <c:layout>
                <c:manualLayout>
                  <c:x val="-6.717359200991725E-3"/>
                  <c:y val="2.3688759242845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083-45C1-B838-36727DA63CA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1311219.4652656892</c:v>
                </c:pt>
                <c:pt idx="1">
                  <c:v>2672465.8720850996</c:v>
                </c:pt>
                <c:pt idx="2">
                  <c:v>3305718.3636350054</c:v>
                </c:pt>
                <c:pt idx="3">
                  <c:v>3876626.3331249282</c:v>
                </c:pt>
                <c:pt idx="4">
                  <c:v>4639787.6477489918</c:v>
                </c:pt>
                <c:pt idx="5">
                  <c:v>5343425.8882284258</c:v>
                </c:pt>
                <c:pt idx="6">
                  <c:v>5638580.286037486</c:v>
                </c:pt>
                <c:pt idx="7">
                  <c:v>5890901.0820698831</c:v>
                </c:pt>
                <c:pt idx="8">
                  <c:v>6086787.9044792922</c:v>
                </c:pt>
                <c:pt idx="9">
                  <c:v>6306391.9578273958</c:v>
                </c:pt>
                <c:pt idx="10">
                  <c:v>6477205.7961405823</c:v>
                </c:pt>
                <c:pt idx="11">
                  <c:v>6640455.4379999973</c:v>
                </c:pt>
              </c:numCache>
            </c:numRef>
          </c:val>
          <c:smooth val="1"/>
          <c:extLst xmlns:c16r2="http://schemas.microsoft.com/office/drawing/2015/06/chart">
            <c:ext xmlns:c16="http://schemas.microsoft.com/office/drawing/2014/chart" uri="{C3380CC4-5D6E-409C-BE32-E72D297353CC}">
              <c16:uniqueId val="{00000001-5516-435D-8F46-7D82D91F3D82}"/>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1408099357783555E-2"/>
                  <c:y val="-8.157151006845445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516-435D-8F46-7D82D91F3D82}"/>
                </c:ext>
                <c:ext xmlns:c15="http://schemas.microsoft.com/office/drawing/2012/chart" uri="{CE6537A1-D6FC-4f65-9D91-7224C49458BB}"/>
              </c:extLst>
            </c:dLbl>
            <c:dLbl>
              <c:idx val="1"/>
              <c:layout>
                <c:manualLayout>
                  <c:x val="-2.9797032129554757E-2"/>
                  <c:y val="-5.0601899747507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516-435D-8F46-7D82D91F3D82}"/>
                </c:ext>
                <c:ext xmlns:c15="http://schemas.microsoft.com/office/drawing/2012/chart" uri="{CE6537A1-D6FC-4f65-9D91-7224C49458BB}"/>
              </c:extLst>
            </c:dLbl>
            <c:dLbl>
              <c:idx val="2"/>
              <c:layout>
                <c:manualLayout>
                  <c:x val="-5.5580523701439635E-2"/>
                  <c:y val="-2.9426175999687776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516-435D-8F46-7D82D91F3D82}"/>
                </c:ext>
                <c:ext xmlns:c15="http://schemas.microsoft.com/office/drawing/2012/chart" uri="{CE6537A1-D6FC-4f65-9D91-7224C49458BB}">
                  <c15:layout>
                    <c:manualLayout>
                      <c:w val="7.2134603242425419E-2"/>
                      <c:h val="5.9370720653132487E-2"/>
                    </c:manualLayout>
                  </c15:layout>
                </c:ext>
              </c:extLst>
            </c:dLbl>
            <c:dLbl>
              <c:idx val="3"/>
              <c:layout>
                <c:manualLayout>
                  <c:x val="-5.159960911279219E-2"/>
                  <c:y val="-3.51504817972624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EC1-4D56-BE9A-E0E82120B057}"/>
                </c:ext>
                <c:ext xmlns:c15="http://schemas.microsoft.com/office/drawing/2012/chart" uri="{CE6537A1-D6FC-4f65-9D91-7224C49458BB}"/>
              </c:extLst>
            </c:dLbl>
            <c:dLbl>
              <c:idx val="4"/>
              <c:layout>
                <c:manualLayout>
                  <c:x val="-1.5886505337233878E-2"/>
                  <c:y val="2.3034125997538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C1-4D56-BE9A-E0E82120B057}"/>
                </c:ext>
                <c:ext xmlns:c15="http://schemas.microsoft.com/office/drawing/2012/chart" uri="{CE6537A1-D6FC-4f65-9D91-7224C49458BB}"/>
              </c:extLst>
            </c:dLbl>
            <c:dLbl>
              <c:idx val="5"/>
              <c:layout>
                <c:manualLayout>
                  <c:x val="-1.7848434421802336E-2"/>
                  <c:y val="2.3258536835239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A6-4046-83FF-896846DEAE42}"/>
                </c:ext>
                <c:ext xmlns:c15="http://schemas.microsoft.com/office/drawing/2012/chart" uri="{CE6537A1-D6FC-4f65-9D91-7224C49458BB}"/>
              </c:extLst>
            </c:dLbl>
            <c:dLbl>
              <c:idx val="6"/>
              <c:layout>
                <c:manualLayout>
                  <c:x val="-5.947604879221545E-3"/>
                  <c:y val="2.32338394468516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83-45C1-B838-36727DA63CA9}"/>
                </c:ext>
                <c:ext xmlns:c15="http://schemas.microsoft.com/office/drawing/2012/chart" uri="{CE6537A1-D6FC-4f65-9D91-7224C49458BB}"/>
              </c:extLst>
            </c:dLbl>
            <c:dLbl>
              <c:idx val="7"/>
              <c:layout>
                <c:manualLayout>
                  <c:x val="-4.3615769114290874E-2"/>
                  <c:y val="-3.87230657447527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83-45C1-B838-36727DA63CA9}"/>
                </c:ext>
                <c:ext xmlns:c15="http://schemas.microsoft.com/office/drawing/2012/chart" uri="{CE6537A1-D6FC-4f65-9D91-7224C49458BB}"/>
              </c:extLst>
            </c:dLbl>
            <c:dLbl>
              <c:idx val="8"/>
              <c:layout>
                <c:manualLayout>
                  <c:x val="-4.1633234154550308E-2"/>
                  <c:y val="-3.87230657447527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83-45C1-B838-36727DA63CA9}"/>
                </c:ext>
                <c:ext xmlns:c15="http://schemas.microsoft.com/office/drawing/2012/chart" uri="{CE6537A1-D6FC-4f65-9D91-7224C49458BB}"/>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pt idx="8">
                  <c:v>6466524.0900000008</c:v>
                </c:pt>
                <c:pt idx="9">
                  <c:v>6576739.2700000005</c:v>
                </c:pt>
                <c:pt idx="10">
                  <c:v>6767085.8800000008</c:v>
                </c:pt>
                <c:pt idx="11">
                  <c:v>6969292.370000001</c:v>
                </c:pt>
              </c:numCache>
            </c:numRef>
          </c:val>
          <c:smooth val="0"/>
          <c:extLst xmlns:c16r2="http://schemas.microsoft.com/office/drawing/2015/06/chart">
            <c:ext xmlns:c16="http://schemas.microsoft.com/office/drawing/2014/chart" uri="{C3380CC4-5D6E-409C-BE32-E72D297353CC}">
              <c16:uniqueId val="{00000012-5516-435D-8F46-7D82D91F3D82}"/>
            </c:ext>
          </c:extLst>
        </c:ser>
        <c:dLbls>
          <c:showLegendKey val="0"/>
          <c:showVal val="0"/>
          <c:showCatName val="0"/>
          <c:showSerName val="0"/>
          <c:showPercent val="0"/>
          <c:showBubbleSize val="0"/>
        </c:dLbls>
        <c:marker val="1"/>
        <c:smooth val="0"/>
        <c:axId val="443966136"/>
        <c:axId val="443966528"/>
      </c:lineChart>
      <c:catAx>
        <c:axId val="443966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443966528"/>
        <c:crosses val="autoZero"/>
        <c:auto val="1"/>
        <c:lblAlgn val="ctr"/>
        <c:lblOffset val="100"/>
        <c:noMultiLvlLbl val="0"/>
      </c:catAx>
      <c:valAx>
        <c:axId val="4439665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43966136"/>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7646386007949357"/>
          <c:y val="0.83399410847545685"/>
          <c:w val="0.39973588589496056"/>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400">
              <a:effectLst>
                <a:outerShdw blurRad="127000" algn="ctr" rotWithShape="0">
                  <a:prstClr val="black">
                    <a:alpha val="85000"/>
                  </a:prstClr>
                </a:outerShdw>
              </a:effectLst>
            </a:rPr>
            <a:t>Ativos Previstos</a:t>
          </a:r>
          <a:r>
            <a:rPr lang="pt-BR" sz="2800">
              <a:effectLst>
                <a:outerShdw blurRad="127000" algn="ctr" rotWithShape="0">
                  <a:prstClr val="black">
                    <a:alpha val="85000"/>
                  </a:prstClr>
                </a:outerShdw>
              </a:effectLst>
            </a:rPr>
            <a:t/>
          </a:r>
          <a:br>
            <a:rPr lang="pt-BR" sz="28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Execução</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prstClr val="black">
                    <a:alpha val="85000"/>
                  </a:prstClr>
                </a:outerShdw>
              </a:effectLst>
            </a:rPr>
            <a:t>Ativos Atuais</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400">
              <a:effectLst>
                <a:outerShdw blurRad="127000" algn="ctr" rotWithShape="0">
                  <a:prstClr val="black">
                    <a:alpha val="85000"/>
                  </a:prstClr>
                </a:outerShdw>
              </a:effectLst>
            </a:rPr>
            <a:t>Variação frente a 2019</a:t>
          </a:r>
          <a:endParaRPr lang="pt-BR" sz="11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t>
        <a:bodyPr/>
        <a:lstStyle/>
        <a:p>
          <a:endParaRPr lang="pt-BR"/>
        </a:p>
      </dgm:t>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t>
        <a:bodyPr/>
        <a:lstStyle/>
        <a:p>
          <a:endParaRPr lang="pt-BR"/>
        </a:p>
      </dgm:t>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86CACC77-E4DD-43C9-80C8-674B434F3D1A}" type="presOf" srcId="{4DF42217-B85D-4249-A568-5B509C0F84B5}" destId="{19166087-240F-4205-829D-E61CAF74B1F0}"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44AFCC30-9746-482B-8B49-313B6FA3FD00}" type="presOf" srcId="{5F2F899A-5BAA-4B36-B786-C4FA5DB84DE2}" destId="{2069F93F-EC36-45CA-81FA-E28CCFC4EDD2}" srcOrd="0" destOrd="0" presId="urn:microsoft.com/office/officeart/2005/8/layout/default"/>
    <dgm:cxn modelId="{5F83D5CF-F57E-4181-91AD-D37C4E65BDEB}" type="presOf" srcId="{F28F4473-498E-415A-A16F-A60D42C55427}" destId="{CB133F5D-DBBA-4B12-9FEC-4E54C8197093}" srcOrd="0" destOrd="0" presId="urn:microsoft.com/office/officeart/2005/8/layout/default"/>
    <dgm:cxn modelId="{5AF8B8F5-7DA9-4338-8D23-947C6DAD4882}" type="presOf" srcId="{40E3A9A0-3796-4A48-B2F5-5C63BFC42AC1}" destId="{5800D369-D655-450A-A267-583A2F68A6F1}" srcOrd="0" destOrd="0" presId="urn:microsoft.com/office/officeart/2005/8/layout/default"/>
    <dgm:cxn modelId="{09448A38-1D91-4729-8F90-E74F9D309355}" type="presOf" srcId="{F0D8276B-5F8E-47CD-83BA-660329F4549E}" destId="{BA9D2ED0-16C9-44FB-8D9E-22F9C339ED18}"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022E92EC-7B19-4657-8958-9EEC35322049}" type="presOf" srcId="{5AF3E079-3959-4CCD-A44E-0F873ADAD033}" destId="{81E86E99-3676-4A87-9CCC-09470BFADE6D}"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62C7D93-8E45-4294-B6A9-B10A452FEE8A}" type="presOf" srcId="{77745E09-BC33-4467-A7D0-00D63E26BF57}" destId="{0E296175-191A-4DDD-9AFD-C58180D0C5B1}"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B2C4913D-F15A-4667-9CD7-BDEC860A3945}" type="presOf" srcId="{F6B446C0-6E43-4493-B573-1F94BA4F7210}" destId="{C221B9C3-A015-449B-9E50-6721626A9470}" srcOrd="0" destOrd="0" presId="urn:microsoft.com/office/officeart/2005/8/layout/default"/>
    <dgm:cxn modelId="{B158E183-C506-4C34-BE65-E1F127A560D3}" srcId="{0C5AA470-A2FC-4675-BBC5-FC07F000DB8B}" destId="{40E3A9A0-3796-4A48-B2F5-5C63BFC42AC1}" srcOrd="6" destOrd="0" parTransId="{6F0AB90E-55A6-42AC-8FFD-DFE7D5C5A47D}" sibTransId="{DD04B6C1-B38B-4696-9D68-BC369D6BA502}"/>
    <dgm:cxn modelId="{8CC35CB0-A234-4247-A746-9F1FDD0500DE}" srcId="{0C5AA470-A2FC-4675-BBC5-FC07F000DB8B}" destId="{77745E09-BC33-4467-A7D0-00D63E26BF57}" srcOrd="5" destOrd="0" parTransId="{05C29930-DCA4-47D2-8F9D-D1F8B73BDC24}" sibTransId="{5B9CC1F3-60FF-4ABF-8213-2DA0778BB206}"/>
    <dgm:cxn modelId="{4D010009-DE04-4888-AAAC-E00401B63806}" type="presOf" srcId="{0C5AA470-A2FC-4675-BBC5-FC07F000DB8B}" destId="{F3AB4A35-E2EB-4DBF-86FB-E54EE2B1FE62}" srcOrd="0" destOrd="0" presId="urn:microsoft.com/office/officeart/2005/8/layout/default"/>
    <dgm:cxn modelId="{CA1FF329-F4FF-4D58-9F81-BF1AF73D5F1F}" type="presParOf" srcId="{F3AB4A35-E2EB-4DBF-86FB-E54EE2B1FE62}" destId="{BA9D2ED0-16C9-44FB-8D9E-22F9C339ED18}" srcOrd="0" destOrd="0" presId="urn:microsoft.com/office/officeart/2005/8/layout/default"/>
    <dgm:cxn modelId="{56895EC4-43EA-47CF-9D9F-C7C173857D02}" type="presParOf" srcId="{F3AB4A35-E2EB-4DBF-86FB-E54EE2B1FE62}" destId="{8745EF1C-A4C9-4E6A-99FD-78BF7B12622C}" srcOrd="1" destOrd="0" presId="urn:microsoft.com/office/officeart/2005/8/layout/default"/>
    <dgm:cxn modelId="{27F92C92-9077-489B-BA62-35FE4C1833FD}" type="presParOf" srcId="{F3AB4A35-E2EB-4DBF-86FB-E54EE2B1FE62}" destId="{CB133F5D-DBBA-4B12-9FEC-4E54C8197093}" srcOrd="2" destOrd="0" presId="urn:microsoft.com/office/officeart/2005/8/layout/default"/>
    <dgm:cxn modelId="{0AFBFD24-208A-40E3-A0EF-558B3AD05A0D}" type="presParOf" srcId="{F3AB4A35-E2EB-4DBF-86FB-E54EE2B1FE62}" destId="{701E9B6D-506A-4B8B-B1E6-AB2D8DB9BB03}" srcOrd="3" destOrd="0" presId="urn:microsoft.com/office/officeart/2005/8/layout/default"/>
    <dgm:cxn modelId="{0629A7EC-5773-4416-A49A-0B6E368F8BFA}" type="presParOf" srcId="{F3AB4A35-E2EB-4DBF-86FB-E54EE2B1FE62}" destId="{C221B9C3-A015-449B-9E50-6721626A9470}" srcOrd="4" destOrd="0" presId="urn:microsoft.com/office/officeart/2005/8/layout/default"/>
    <dgm:cxn modelId="{DB38815D-965F-44DE-925F-2471F9D6F050}" type="presParOf" srcId="{F3AB4A35-E2EB-4DBF-86FB-E54EE2B1FE62}" destId="{4A1C71E8-C584-4258-87C4-328020FE1131}" srcOrd="5" destOrd="0" presId="urn:microsoft.com/office/officeart/2005/8/layout/default"/>
    <dgm:cxn modelId="{7902C95D-48A6-4419-A80A-B4C4641C4AB1}" type="presParOf" srcId="{F3AB4A35-E2EB-4DBF-86FB-E54EE2B1FE62}" destId="{19166087-240F-4205-829D-E61CAF74B1F0}" srcOrd="6" destOrd="0" presId="urn:microsoft.com/office/officeart/2005/8/layout/default"/>
    <dgm:cxn modelId="{CAFEEE37-C3D1-45D5-9890-E1E503620FC8}" type="presParOf" srcId="{F3AB4A35-E2EB-4DBF-86FB-E54EE2B1FE62}" destId="{C6553CB9-846E-4509-B6CB-620C145D0E09}" srcOrd="7" destOrd="0" presId="urn:microsoft.com/office/officeart/2005/8/layout/default"/>
    <dgm:cxn modelId="{E0F3F218-08AE-49F3-954F-4374D2C008D9}" type="presParOf" srcId="{F3AB4A35-E2EB-4DBF-86FB-E54EE2B1FE62}" destId="{81E86E99-3676-4A87-9CCC-09470BFADE6D}" srcOrd="8" destOrd="0" presId="urn:microsoft.com/office/officeart/2005/8/layout/default"/>
    <dgm:cxn modelId="{72CEDC70-8D58-4D85-80B9-FD7D9F3C0B41}" type="presParOf" srcId="{F3AB4A35-E2EB-4DBF-86FB-E54EE2B1FE62}" destId="{377F2A98-069B-4BD1-8E80-CF862BE0BD68}" srcOrd="9" destOrd="0" presId="urn:microsoft.com/office/officeart/2005/8/layout/default"/>
    <dgm:cxn modelId="{FBC04C14-0C73-4307-B143-CD9063748038}" type="presParOf" srcId="{F3AB4A35-E2EB-4DBF-86FB-E54EE2B1FE62}" destId="{0E296175-191A-4DDD-9AFD-C58180D0C5B1}" srcOrd="10" destOrd="0" presId="urn:microsoft.com/office/officeart/2005/8/layout/default"/>
    <dgm:cxn modelId="{29AD41A5-A36D-4453-80CC-8A040DEFD6AC}" type="presParOf" srcId="{F3AB4A35-E2EB-4DBF-86FB-E54EE2B1FE62}" destId="{7714FE89-4579-418B-8464-0F4B85BAC6A5}" srcOrd="11" destOrd="0" presId="urn:microsoft.com/office/officeart/2005/8/layout/default"/>
    <dgm:cxn modelId="{1D4A64B0-EA1A-4E38-87F3-59E028E5122F}" type="presParOf" srcId="{F3AB4A35-E2EB-4DBF-86FB-E54EE2B1FE62}" destId="{5800D369-D655-450A-A267-583A2F68A6F1}" srcOrd="12" destOrd="0" presId="urn:microsoft.com/office/officeart/2005/8/layout/default"/>
    <dgm:cxn modelId="{7D0AF314-EC25-40B7-ABFE-6849EB411379}" type="presParOf" srcId="{F3AB4A35-E2EB-4DBF-86FB-E54EE2B1FE62}" destId="{A3120A94-973F-4B44-8A46-565AD59DED29}" srcOrd="13" destOrd="0" presId="urn:microsoft.com/office/officeart/2005/8/layout/default"/>
    <dgm:cxn modelId="{75458766-D054-43D6-B7DA-A19130A8EDDB}"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7" minVer="http://schemas.openxmlformats.org/drawingml/2006/diagram"/>
    </a:ext>
    <a:ext uri="{C62137D5-CB1D-491B-B009-E17868A290BF}">
      <dgm14:recolorImg xmlns:dgm14="http://schemas.microsoft.com/office/drawing/2010/diagram" val="1"/>
    </a:ext>
  </dgm:extLst>
</dgm:dataModel>
</file>

<file path=xl/diagrams/data10.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500">
              <a:effectLst>
                <a:outerShdw blurRad="127000" algn="ctr" rotWithShape="0">
                  <a:prstClr val="black">
                    <a:alpha val="85000"/>
                  </a:prstClr>
                </a:outerShdw>
              </a:effectLst>
            </a:rPr>
            <a:t>Previsto </a:t>
          </a:r>
          <a:r>
            <a:rPr lang="pt-BR" sz="2800">
              <a:effectLst>
                <a:outerShdw blurRad="127000" algn="ctr" rotWithShape="0">
                  <a:prstClr val="black">
                    <a:alpha val="85000"/>
                  </a:prstClr>
                </a:outerShdw>
              </a:effectLst>
            </a:rPr>
            <a:t>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5AF3E079-3959-4CCD-A44E-0F873ADAD033}">
      <dgm:prSet phldrT="[Texto]" custT="1"/>
      <dgm:spPr>
        <a:solidFill>
          <a:srgbClr val="5E9AA6"/>
        </a:solidFill>
      </dgm:spPr>
      <dgm:t>
        <a:bodyPr/>
        <a:lstStyle/>
        <a:p>
          <a:r>
            <a:rPr lang="pt-BR" sz="4300">
              <a:effectLst>
                <a:outerShdw blurRad="127000" algn="ctr" rotWithShape="0">
                  <a:prstClr val="black">
                    <a:alpha val="85000"/>
                  </a:prstClr>
                </a:outerShdw>
              </a:effectLst>
            </a:rPr>
            <a:t>Executado</a:t>
          </a:r>
          <a:br>
            <a:rPr lang="pt-BR" sz="4300">
              <a:effectLst>
                <a:outerShdw blurRad="127000" algn="ctr" rotWithShape="0">
                  <a:prstClr val="black">
                    <a:alpha val="85000"/>
                  </a:prstClr>
                </a:outerShdw>
              </a:effectLst>
            </a:rPr>
          </a:br>
          <a:r>
            <a:rPr lang="pt-BR" sz="2800">
              <a:effectLst>
                <a:outerShdw blurRad="127000" algn="ctr" rotWithShape="0">
                  <a:prstClr val="black">
                    <a:alpha val="85000"/>
                  </a:prstClr>
                </a:outerShdw>
              </a:effectLst>
            </a:rPr>
            <a:t>Jan. a Dez.</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6">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81E86E99-3676-4A87-9CCC-09470BFADE6D}" type="pres">
      <dgm:prSet presAssocID="{5AF3E079-3959-4CCD-A44E-0F873ADAD033}" presName="node" presStyleLbl="node1" presStyleIdx="2" presStyleCnt="6">
        <dgm:presLayoutVars>
          <dgm:bulletEnabled val="1"/>
        </dgm:presLayoutVars>
      </dgm:prSet>
      <dgm:spPr/>
      <dgm:t>
        <a:bodyPr/>
        <a:lstStyle/>
        <a:p>
          <a:endParaRPr lang="pt-BR"/>
        </a:p>
      </dgm:t>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3" presStyleCnt="6">
        <dgm:presLayoutVars>
          <dgm:bulletEnabled val="1"/>
        </dgm:presLayoutVars>
      </dgm:prSet>
      <dgm:spPr/>
      <dgm:t>
        <a:bodyPr/>
        <a:lstStyle/>
        <a:p>
          <a:endParaRPr lang="pt-BR"/>
        </a:p>
      </dgm:t>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t>
        <a:bodyPr/>
        <a:lstStyle/>
        <a:p>
          <a:endParaRPr lang="pt-BR"/>
        </a:p>
      </dgm:t>
    </dgm:pt>
  </dgm:ptLst>
  <dgm:cxnLst>
    <dgm:cxn modelId="{0CB1CFE8-CBAF-4F5C-ACA7-753C38D8282E}" type="presOf" srcId="{5F2F899A-5BAA-4B36-B786-C4FA5DB84DE2}" destId="{2069F93F-EC36-45CA-81FA-E28CCFC4EDD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182B08D0-A97C-4250-8DAD-B00E765D6E30}" type="presOf" srcId="{77745E09-BC33-4467-A7D0-00D63E26BF57}" destId="{0E296175-191A-4DDD-9AFD-C58180D0C5B1}" srcOrd="0" destOrd="0" presId="urn:microsoft.com/office/officeart/2005/8/layout/default"/>
    <dgm:cxn modelId="{EC223AEE-B23F-4144-BB4B-F401C5F480CD}"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5" destOrd="0" parTransId="{08AE95AC-558E-438C-A19E-A0A388B3DCB6}" sibTransId="{9C525CED-778E-45D1-BAA1-570F41FFF524}"/>
    <dgm:cxn modelId="{019E0504-79F7-4E40-ABE1-A66005ACDC2C}" type="presOf" srcId="{0C5AA470-A2FC-4675-BBC5-FC07F000DB8B}" destId="{F3AB4A35-E2EB-4DBF-86FB-E54EE2B1FE62}" srcOrd="0" destOrd="0" presId="urn:microsoft.com/office/officeart/2005/8/layout/default"/>
    <dgm:cxn modelId="{E679FD9E-05BC-4444-99AD-86D6E31A2F18}" type="presOf" srcId="{F0D8276B-5F8E-47CD-83BA-660329F4549E}" destId="{BA9D2ED0-16C9-44FB-8D9E-22F9C339ED18}" srcOrd="0" destOrd="0" presId="urn:microsoft.com/office/officeart/2005/8/layout/default"/>
    <dgm:cxn modelId="{5474F03F-B840-4C5D-9B63-9F90F3C1DBB5}" type="presOf" srcId="{40E3A9A0-3796-4A48-B2F5-5C63BFC42AC1}" destId="{5800D369-D655-450A-A267-583A2F68A6F1}" srcOrd="0" destOrd="0" presId="urn:microsoft.com/office/officeart/2005/8/layout/default"/>
    <dgm:cxn modelId="{4DE81664-7605-4BC9-A127-C349A95161E8}" srcId="{0C5AA470-A2FC-4675-BBC5-FC07F000DB8B}" destId="{5AF3E079-3959-4CCD-A44E-0F873ADAD033}" srcOrd="2" destOrd="0" parTransId="{9FE727F0-10CB-477E-8549-5F86749F9D9D}" sibTransId="{384263FE-58EC-4D88-939D-1CB43D223098}"/>
    <dgm:cxn modelId="{074F77B2-94D5-4ED9-8418-FB2262F6ABFC}" type="presOf" srcId="{5AF3E079-3959-4CCD-A44E-0F873ADAD033}" destId="{81E86E99-3676-4A87-9CCC-09470BFADE6D}"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B158E183-C506-4C34-BE65-E1F127A560D3}" srcId="{0C5AA470-A2FC-4675-BBC5-FC07F000DB8B}" destId="{40E3A9A0-3796-4A48-B2F5-5C63BFC42AC1}" srcOrd="4" destOrd="0" parTransId="{6F0AB90E-55A6-42AC-8FFD-DFE7D5C5A47D}" sibTransId="{DD04B6C1-B38B-4696-9D68-BC369D6BA502}"/>
    <dgm:cxn modelId="{8CC35CB0-A234-4247-A746-9F1FDD0500DE}" srcId="{0C5AA470-A2FC-4675-BBC5-FC07F000DB8B}" destId="{77745E09-BC33-4467-A7D0-00D63E26BF57}" srcOrd="3" destOrd="0" parTransId="{05C29930-DCA4-47D2-8F9D-D1F8B73BDC24}" sibTransId="{5B9CC1F3-60FF-4ABF-8213-2DA0778BB206}"/>
    <dgm:cxn modelId="{0F98BD31-681A-4072-AC72-00D42CFC2AF4}" type="presParOf" srcId="{F3AB4A35-E2EB-4DBF-86FB-E54EE2B1FE62}" destId="{BA9D2ED0-16C9-44FB-8D9E-22F9C339ED18}" srcOrd="0" destOrd="0" presId="urn:microsoft.com/office/officeart/2005/8/layout/default"/>
    <dgm:cxn modelId="{8073183B-D84B-4A7D-A996-827A337ADE31}" type="presParOf" srcId="{F3AB4A35-E2EB-4DBF-86FB-E54EE2B1FE62}" destId="{8745EF1C-A4C9-4E6A-99FD-78BF7B12622C}" srcOrd="1" destOrd="0" presId="urn:microsoft.com/office/officeart/2005/8/layout/default"/>
    <dgm:cxn modelId="{3779AA9A-FEC6-4A03-A1DD-E83FD1DBE4C1}" type="presParOf" srcId="{F3AB4A35-E2EB-4DBF-86FB-E54EE2B1FE62}" destId="{CB133F5D-DBBA-4B12-9FEC-4E54C8197093}" srcOrd="2" destOrd="0" presId="urn:microsoft.com/office/officeart/2005/8/layout/default"/>
    <dgm:cxn modelId="{181D50F4-EE79-4AC1-9E70-AE776058FDB1}" type="presParOf" srcId="{F3AB4A35-E2EB-4DBF-86FB-E54EE2B1FE62}" destId="{701E9B6D-506A-4B8B-B1E6-AB2D8DB9BB03}" srcOrd="3" destOrd="0" presId="urn:microsoft.com/office/officeart/2005/8/layout/default"/>
    <dgm:cxn modelId="{5B3267E7-DE56-491D-AED4-74D666D93E43}" type="presParOf" srcId="{F3AB4A35-E2EB-4DBF-86FB-E54EE2B1FE62}" destId="{81E86E99-3676-4A87-9CCC-09470BFADE6D}" srcOrd="4" destOrd="0" presId="urn:microsoft.com/office/officeart/2005/8/layout/default"/>
    <dgm:cxn modelId="{D67F0DE4-8AC1-4116-BED0-8D1EB24DAFE2}" type="presParOf" srcId="{F3AB4A35-E2EB-4DBF-86FB-E54EE2B1FE62}" destId="{377F2A98-069B-4BD1-8E80-CF862BE0BD68}" srcOrd="5" destOrd="0" presId="urn:microsoft.com/office/officeart/2005/8/layout/default"/>
    <dgm:cxn modelId="{C4B0A691-1EF8-4CEC-9DBE-1EFB7B58ACBE}" type="presParOf" srcId="{F3AB4A35-E2EB-4DBF-86FB-E54EE2B1FE62}" destId="{0E296175-191A-4DDD-9AFD-C58180D0C5B1}" srcOrd="6" destOrd="0" presId="urn:microsoft.com/office/officeart/2005/8/layout/default"/>
    <dgm:cxn modelId="{403EE696-1918-4E75-A05D-8429B2624C1F}" type="presParOf" srcId="{F3AB4A35-E2EB-4DBF-86FB-E54EE2B1FE62}" destId="{7714FE89-4579-418B-8464-0F4B85BAC6A5}" srcOrd="7" destOrd="0" presId="urn:microsoft.com/office/officeart/2005/8/layout/default"/>
    <dgm:cxn modelId="{204854F1-2EDE-471E-B4A2-EEE8F9E0C698}" type="presParOf" srcId="{F3AB4A35-E2EB-4DBF-86FB-E54EE2B1FE62}" destId="{5800D369-D655-450A-A267-583A2F68A6F1}" srcOrd="8" destOrd="0" presId="urn:microsoft.com/office/officeart/2005/8/layout/default"/>
    <dgm:cxn modelId="{B91576EA-E935-4CAB-843A-8D103B0C26D9}" type="presParOf" srcId="{F3AB4A35-E2EB-4DBF-86FB-E54EE2B1FE62}" destId="{A3120A94-973F-4B44-8A46-565AD59DED29}" srcOrd="9" destOrd="0" presId="urn:microsoft.com/office/officeart/2005/8/layout/default"/>
    <dgm:cxn modelId="{860A1A55-1AAD-41CA-92EB-6A2AA0ACA39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r>
            <a:rPr lang="pt-BR" sz="4000">
              <a:effectLst>
                <a:outerShdw blurRad="127000" algn="ctr" rotWithShape="0">
                  <a:prstClr val="black">
                    <a:alpha val="85000"/>
                  </a:prstClr>
                </a:outerShdw>
              </a:effectLst>
            </a:rPr>
            <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t>
        <a:bodyPr/>
        <a:lstStyle/>
        <a:p>
          <a:endParaRPr lang="pt-BR"/>
        </a:p>
      </dgm:t>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t>
        <a:bodyPr/>
        <a:lstStyle/>
        <a:p>
          <a:endParaRPr lang="pt-BR"/>
        </a:p>
      </dgm:t>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t>
        <a:bodyPr/>
        <a:lstStyle/>
        <a:p>
          <a:endParaRPr lang="pt-BR"/>
        </a:p>
      </dgm:t>
    </dgm:pt>
  </dgm:ptLst>
  <dgm:cxnLst>
    <dgm:cxn modelId="{F7855746-58CA-4C8E-BC19-074E7157DBFB}" type="presOf" srcId="{3E55D787-E1C1-4C6C-B682-2F823A606E13}" destId="{D29654AC-8B1F-4715-B3EF-5B9D45DA3F9C}"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EA0EB1C3-4874-43B4-AE12-2D0A77BF34DB}" type="presOf" srcId="{0C5AA470-A2FC-4675-BBC5-FC07F000DB8B}" destId="{F3AB4A35-E2EB-4DBF-86FB-E54EE2B1FE62}" srcOrd="0" destOrd="0" presId="urn:microsoft.com/office/officeart/2005/8/layout/default"/>
    <dgm:cxn modelId="{78C6713A-9645-48FA-98ED-D403DF6858B3}" type="presOf" srcId="{0010CF23-9DED-47EC-8758-73066583FA44}" destId="{1B25165C-4C00-4CD9-B7B8-A4C893AC4E13}"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E1D1AF4D-4462-4EE6-BDFC-58CAAEC5E840}" type="presOf" srcId="{F0D8276B-5F8E-47CD-83BA-660329F4549E}" destId="{BA9D2ED0-16C9-44FB-8D9E-22F9C339ED18}" srcOrd="0" destOrd="0" presId="urn:microsoft.com/office/officeart/2005/8/layout/default"/>
    <dgm:cxn modelId="{5D601D03-B160-495D-B4E6-8AD926B76EB8}" type="presOf" srcId="{F28F4473-498E-415A-A16F-A60D42C55427}" destId="{CB133F5D-DBBA-4B12-9FEC-4E54C8197093}" srcOrd="0" destOrd="0" presId="urn:microsoft.com/office/officeart/2005/8/layout/default"/>
    <dgm:cxn modelId="{D1531F2C-FC04-494A-A4C8-646D76B90795}" type="presOf" srcId="{40E3A9A0-3796-4A48-B2F5-5C63BFC42AC1}" destId="{5800D369-D655-450A-A267-583A2F68A6F1}" srcOrd="0" destOrd="0" presId="urn:microsoft.com/office/officeart/2005/8/layout/default"/>
    <dgm:cxn modelId="{9CAEA127-056A-4B16-9BAA-4464558D23B2}" type="presOf" srcId="{5F2F899A-5BAA-4B36-B786-C4FA5DB84DE2}" destId="{2069F93F-EC36-45CA-81FA-E28CCFC4EDD2}" srcOrd="0" destOrd="0" presId="urn:microsoft.com/office/officeart/2005/8/layout/default"/>
    <dgm:cxn modelId="{80E3E2D1-65AC-4E3A-B9FC-1F49412D538D}" type="presOf" srcId="{F6B446C0-6E43-4493-B573-1F94BA4F7210}" destId="{C221B9C3-A015-449B-9E50-6721626A9470}"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34267945-0F78-4333-98AE-60DB24C40794}" srcId="{0C5AA470-A2FC-4675-BBC5-FC07F000DB8B}" destId="{3E55D787-E1C1-4C6C-B682-2F823A606E13}" srcOrd="5" destOrd="0" parTransId="{5ED97904-22DF-4E36-A28B-F687A4D3A61E}" sibTransId="{6EF4A891-3DAD-4342-843F-55EE09B3921F}"/>
    <dgm:cxn modelId="{B158E183-C506-4C34-BE65-E1F127A560D3}" srcId="{0C5AA470-A2FC-4675-BBC5-FC07F000DB8B}" destId="{40E3A9A0-3796-4A48-B2F5-5C63BFC42AC1}" srcOrd="4" destOrd="0" parTransId="{6F0AB90E-55A6-42AC-8FFD-DFE7D5C5A47D}" sibTransId="{DD04B6C1-B38B-4696-9D68-BC369D6BA502}"/>
    <dgm:cxn modelId="{288B58C0-21F5-440F-A128-271B41EC5FAC}" type="presOf" srcId="{4DF42217-B85D-4249-A568-5B509C0F84B5}" destId="{19166087-240F-4205-829D-E61CAF74B1F0}" srcOrd="0" destOrd="0" presId="urn:microsoft.com/office/officeart/2005/8/layout/default"/>
    <dgm:cxn modelId="{26493244-215C-41D5-9A46-2C0917755620}" type="presParOf" srcId="{F3AB4A35-E2EB-4DBF-86FB-E54EE2B1FE62}" destId="{BA9D2ED0-16C9-44FB-8D9E-22F9C339ED18}" srcOrd="0" destOrd="0" presId="urn:microsoft.com/office/officeart/2005/8/layout/default"/>
    <dgm:cxn modelId="{29CC074D-BAFB-4C00-B285-83BA68445BEE}" type="presParOf" srcId="{F3AB4A35-E2EB-4DBF-86FB-E54EE2B1FE62}" destId="{8745EF1C-A4C9-4E6A-99FD-78BF7B12622C}" srcOrd="1" destOrd="0" presId="urn:microsoft.com/office/officeart/2005/8/layout/default"/>
    <dgm:cxn modelId="{F6A702F3-356D-42D3-B01E-F133CCB04F64}" type="presParOf" srcId="{F3AB4A35-E2EB-4DBF-86FB-E54EE2B1FE62}" destId="{CB133F5D-DBBA-4B12-9FEC-4E54C8197093}" srcOrd="2" destOrd="0" presId="urn:microsoft.com/office/officeart/2005/8/layout/default"/>
    <dgm:cxn modelId="{94427DBA-3312-47B7-A9D2-CA40BE602B61}" type="presParOf" srcId="{F3AB4A35-E2EB-4DBF-86FB-E54EE2B1FE62}" destId="{701E9B6D-506A-4B8B-B1E6-AB2D8DB9BB03}" srcOrd="3" destOrd="0" presId="urn:microsoft.com/office/officeart/2005/8/layout/default"/>
    <dgm:cxn modelId="{4D5BD7C1-F8BE-45DD-AD42-43087C0EA11E}" type="presParOf" srcId="{F3AB4A35-E2EB-4DBF-86FB-E54EE2B1FE62}" destId="{C221B9C3-A015-449B-9E50-6721626A9470}" srcOrd="4" destOrd="0" presId="urn:microsoft.com/office/officeart/2005/8/layout/default"/>
    <dgm:cxn modelId="{5E14139F-FF0C-412B-8818-FE2BB4BA0C1D}" type="presParOf" srcId="{F3AB4A35-E2EB-4DBF-86FB-E54EE2B1FE62}" destId="{4A1C71E8-C584-4258-87C4-328020FE1131}" srcOrd="5" destOrd="0" presId="urn:microsoft.com/office/officeart/2005/8/layout/default"/>
    <dgm:cxn modelId="{C13863F2-46A0-4A82-A2BE-3B23C9C237B6}" type="presParOf" srcId="{F3AB4A35-E2EB-4DBF-86FB-E54EE2B1FE62}" destId="{19166087-240F-4205-829D-E61CAF74B1F0}" srcOrd="6" destOrd="0" presId="urn:microsoft.com/office/officeart/2005/8/layout/default"/>
    <dgm:cxn modelId="{CE677DEF-4803-4AF1-BC84-BA8CD6A0D5DD}" type="presParOf" srcId="{F3AB4A35-E2EB-4DBF-86FB-E54EE2B1FE62}" destId="{C6553CB9-846E-4509-B6CB-620C145D0E09}" srcOrd="7" destOrd="0" presId="urn:microsoft.com/office/officeart/2005/8/layout/default"/>
    <dgm:cxn modelId="{72DC0D4D-C070-4B9D-9272-D72B774EE431}" type="presParOf" srcId="{F3AB4A35-E2EB-4DBF-86FB-E54EE2B1FE62}" destId="{5800D369-D655-450A-A267-583A2F68A6F1}" srcOrd="8" destOrd="0" presId="urn:microsoft.com/office/officeart/2005/8/layout/default"/>
    <dgm:cxn modelId="{D16D05DD-EF3E-41FD-822F-9D56D4CF6ACD}" type="presParOf" srcId="{F3AB4A35-E2EB-4DBF-86FB-E54EE2B1FE62}" destId="{A3120A94-973F-4B44-8A46-565AD59DED29}" srcOrd="9" destOrd="0" presId="urn:microsoft.com/office/officeart/2005/8/layout/default"/>
    <dgm:cxn modelId="{66A5BD23-BB56-4D1D-A104-F93B503D93AB}" type="presParOf" srcId="{F3AB4A35-E2EB-4DBF-86FB-E54EE2B1FE62}" destId="{D29654AC-8B1F-4715-B3EF-5B9D45DA3F9C}" srcOrd="10" destOrd="0" presId="urn:microsoft.com/office/officeart/2005/8/layout/default"/>
    <dgm:cxn modelId="{D3B9E886-4426-4EEC-950C-CFE237A1D126}" type="presParOf" srcId="{F3AB4A35-E2EB-4DBF-86FB-E54EE2B1FE62}" destId="{4C58FA96-E7B3-4893-BCF3-456F445E7712}" srcOrd="11" destOrd="0" presId="urn:microsoft.com/office/officeart/2005/8/layout/default"/>
    <dgm:cxn modelId="{6B591C9B-DA3C-473F-9C7B-7DA13AFEE309}" type="presParOf" srcId="{F3AB4A35-E2EB-4DBF-86FB-E54EE2B1FE62}" destId="{2069F93F-EC36-45CA-81FA-E28CCFC4EDD2}" srcOrd="12" destOrd="0" presId="urn:microsoft.com/office/officeart/2005/8/layout/default"/>
    <dgm:cxn modelId="{A6197406-B080-4D52-904B-4CCF34A60B9B}" type="presParOf" srcId="{F3AB4A35-E2EB-4DBF-86FB-E54EE2B1FE62}" destId="{04622D16-B8C1-47F2-8A8D-189F57CC602A}" srcOrd="13" destOrd="0" presId="urn:microsoft.com/office/officeart/2005/8/layout/default"/>
    <dgm:cxn modelId="{6EBAEA5E-B7F1-4543-91A3-E810B2111F51}"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7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t>
        <a:bodyPr/>
        <a:lstStyle/>
        <a:p>
          <a:endParaRPr lang="pt-BR"/>
        </a:p>
      </dgm:t>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t>
        <a:bodyPr/>
        <a:lstStyle/>
        <a:p>
          <a:endParaRPr lang="pt-BR"/>
        </a:p>
      </dgm:t>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t>
        <a:bodyPr/>
        <a:lstStyle/>
        <a:p>
          <a:endParaRPr lang="pt-BR"/>
        </a:p>
      </dgm:t>
    </dgm:pt>
  </dgm:ptLst>
  <dgm:cxnLst>
    <dgm:cxn modelId="{B377983D-FA6C-461D-8EA4-A01DB7FC2596}" type="presOf" srcId="{4DF42217-B85D-4249-A568-5B509C0F84B5}" destId="{19166087-240F-4205-829D-E61CAF74B1F0}" srcOrd="0" destOrd="0" presId="urn:microsoft.com/office/officeart/2005/8/layout/default"/>
    <dgm:cxn modelId="{F712862C-18C4-453C-83BE-641207708B5F}" type="presOf" srcId="{0C5AA470-A2FC-4675-BBC5-FC07F000DB8B}" destId="{F3AB4A35-E2EB-4DBF-86FB-E54EE2B1FE62}" srcOrd="0" destOrd="0" presId="urn:microsoft.com/office/officeart/2005/8/layout/default"/>
    <dgm:cxn modelId="{B158E183-C506-4C34-BE65-E1F127A560D3}" srcId="{0C5AA470-A2FC-4675-BBC5-FC07F000DB8B}" destId="{40E3A9A0-3796-4A48-B2F5-5C63BFC42AC1}" srcOrd="4" destOrd="0" parTransId="{6F0AB90E-55A6-42AC-8FFD-DFE7D5C5A47D}" sibTransId="{DD04B6C1-B38B-4696-9D68-BC369D6BA502}"/>
    <dgm:cxn modelId="{8487ABF3-A7FB-49B4-84D5-1FE04CD4383E}" type="presOf" srcId="{40E3A9A0-3796-4A48-B2F5-5C63BFC42AC1}" destId="{5800D369-D655-450A-A267-583A2F68A6F1}" srcOrd="0" destOrd="0" presId="urn:microsoft.com/office/officeart/2005/8/layout/default"/>
    <dgm:cxn modelId="{5BC1D00F-F600-4FC5-BFD5-67493B960C73}" type="presOf" srcId="{3E55D787-E1C1-4C6C-B682-2F823A606E13}" destId="{D29654AC-8B1F-4715-B3EF-5B9D45DA3F9C}"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79C41277-7F51-4EC5-ACB4-4126B0BEC41E}" srcId="{0C5AA470-A2FC-4675-BBC5-FC07F000DB8B}" destId="{F6B446C0-6E43-4493-B573-1F94BA4F7210}" srcOrd="2" destOrd="0" parTransId="{A5B8B45E-BFBE-4027-8547-12672DBE4560}" sibTransId="{7066175E-01F0-4FAF-BDE1-888990D25D74}"/>
    <dgm:cxn modelId="{7704F592-3202-4006-8CAB-5C864EBD3C3D}" srcId="{0C5AA470-A2FC-4675-BBC5-FC07F000DB8B}" destId="{5F2F899A-5BAA-4B36-B786-C4FA5DB84DE2}" srcOrd="6" destOrd="0" parTransId="{08AE95AC-558E-438C-A19E-A0A388B3DCB6}" sibTransId="{9C525CED-778E-45D1-BAA1-570F41FFF524}"/>
    <dgm:cxn modelId="{8625360C-0543-4E1D-86EB-7D6038753269}" type="presOf" srcId="{F0D8276B-5F8E-47CD-83BA-660329F4549E}" destId="{BA9D2ED0-16C9-44FB-8D9E-22F9C339ED18}" srcOrd="0" destOrd="0" presId="urn:microsoft.com/office/officeart/2005/8/layout/default"/>
    <dgm:cxn modelId="{108070A0-B749-4EAD-A74B-1FF7911548E6}" type="presOf" srcId="{5F2F899A-5BAA-4B36-B786-C4FA5DB84DE2}" destId="{2069F93F-EC36-45CA-81FA-E28CCFC4EDD2}" srcOrd="0" destOrd="0" presId="urn:microsoft.com/office/officeart/2005/8/layout/default"/>
    <dgm:cxn modelId="{84EA351D-8284-43DA-9AD8-443EEE76276B}" type="presOf" srcId="{F6B446C0-6E43-4493-B573-1F94BA4F7210}" destId="{C221B9C3-A015-449B-9E50-6721626A9470}"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7516ACED-4755-413E-B340-979CD643B5B2}" srcId="{0C5AA470-A2FC-4675-BBC5-FC07F000DB8B}" destId="{F28F4473-498E-415A-A16F-A60D42C55427}" srcOrd="1" destOrd="0" parTransId="{EFF14DEE-81FD-46C3-8621-993FA69A8BA3}" sibTransId="{1022C6E1-7F5E-4A04-9CD4-F8CDCBFA9BE3}"/>
    <dgm:cxn modelId="{906734FC-ADF5-4790-A663-AF0924144225}" type="presOf" srcId="{0010CF23-9DED-47EC-8758-73066583FA44}" destId="{1B25165C-4C00-4CD9-B7B8-A4C893AC4E13}"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8F5351C9-3C9C-460A-BE4B-C0107FAF2BB1}" type="presOf" srcId="{F28F4473-498E-415A-A16F-A60D42C55427}" destId="{CB133F5D-DBBA-4B12-9FEC-4E54C8197093}" srcOrd="0" destOrd="0" presId="urn:microsoft.com/office/officeart/2005/8/layout/default"/>
    <dgm:cxn modelId="{4118BC1B-ED98-48CE-92F6-2AA0DBF3481B}" type="presParOf" srcId="{F3AB4A35-E2EB-4DBF-86FB-E54EE2B1FE62}" destId="{BA9D2ED0-16C9-44FB-8D9E-22F9C339ED18}" srcOrd="0" destOrd="0" presId="urn:microsoft.com/office/officeart/2005/8/layout/default"/>
    <dgm:cxn modelId="{CC2F6213-38DE-4DDC-B55C-4E013E0AA094}" type="presParOf" srcId="{F3AB4A35-E2EB-4DBF-86FB-E54EE2B1FE62}" destId="{8745EF1C-A4C9-4E6A-99FD-78BF7B12622C}" srcOrd="1" destOrd="0" presId="urn:microsoft.com/office/officeart/2005/8/layout/default"/>
    <dgm:cxn modelId="{D5931CEF-07A3-4EA0-97EF-4A44BD0E21CF}" type="presParOf" srcId="{F3AB4A35-E2EB-4DBF-86FB-E54EE2B1FE62}" destId="{CB133F5D-DBBA-4B12-9FEC-4E54C8197093}" srcOrd="2" destOrd="0" presId="urn:microsoft.com/office/officeart/2005/8/layout/default"/>
    <dgm:cxn modelId="{A064A051-8272-4858-936E-00B3DC1034DC}" type="presParOf" srcId="{F3AB4A35-E2EB-4DBF-86FB-E54EE2B1FE62}" destId="{701E9B6D-506A-4B8B-B1E6-AB2D8DB9BB03}" srcOrd="3" destOrd="0" presId="urn:microsoft.com/office/officeart/2005/8/layout/default"/>
    <dgm:cxn modelId="{CC0DDAD4-686B-46B6-B531-70AF4B2B2E5B}" type="presParOf" srcId="{F3AB4A35-E2EB-4DBF-86FB-E54EE2B1FE62}" destId="{C221B9C3-A015-449B-9E50-6721626A9470}" srcOrd="4" destOrd="0" presId="urn:microsoft.com/office/officeart/2005/8/layout/default"/>
    <dgm:cxn modelId="{E70DD8D7-715A-4BE9-9E27-50EC68093CB1}" type="presParOf" srcId="{F3AB4A35-E2EB-4DBF-86FB-E54EE2B1FE62}" destId="{4A1C71E8-C584-4258-87C4-328020FE1131}" srcOrd="5" destOrd="0" presId="urn:microsoft.com/office/officeart/2005/8/layout/default"/>
    <dgm:cxn modelId="{39FD1F9B-D24E-47EF-86C6-E1260BCB921B}" type="presParOf" srcId="{F3AB4A35-E2EB-4DBF-86FB-E54EE2B1FE62}" destId="{19166087-240F-4205-829D-E61CAF74B1F0}" srcOrd="6" destOrd="0" presId="urn:microsoft.com/office/officeart/2005/8/layout/default"/>
    <dgm:cxn modelId="{D6E932DC-22BE-46A8-88B8-26155F87491E}" type="presParOf" srcId="{F3AB4A35-E2EB-4DBF-86FB-E54EE2B1FE62}" destId="{C6553CB9-846E-4509-B6CB-620C145D0E09}" srcOrd="7" destOrd="0" presId="urn:microsoft.com/office/officeart/2005/8/layout/default"/>
    <dgm:cxn modelId="{33B37167-9514-41A6-9686-D3A3AAC22894}" type="presParOf" srcId="{F3AB4A35-E2EB-4DBF-86FB-E54EE2B1FE62}" destId="{5800D369-D655-450A-A267-583A2F68A6F1}" srcOrd="8" destOrd="0" presId="urn:microsoft.com/office/officeart/2005/8/layout/default"/>
    <dgm:cxn modelId="{4584C609-988A-46E9-BF98-9A225B03E709}" type="presParOf" srcId="{F3AB4A35-E2EB-4DBF-86FB-E54EE2B1FE62}" destId="{A3120A94-973F-4B44-8A46-565AD59DED29}" srcOrd="9" destOrd="0" presId="urn:microsoft.com/office/officeart/2005/8/layout/default"/>
    <dgm:cxn modelId="{10F1D85E-4202-4591-A4E1-C689B9CB9FD4}" type="presParOf" srcId="{F3AB4A35-E2EB-4DBF-86FB-E54EE2B1FE62}" destId="{D29654AC-8B1F-4715-B3EF-5B9D45DA3F9C}" srcOrd="10" destOrd="0" presId="urn:microsoft.com/office/officeart/2005/8/layout/default"/>
    <dgm:cxn modelId="{19091682-9A23-4C21-AD50-ECCD9DAAA452}" type="presParOf" srcId="{F3AB4A35-E2EB-4DBF-86FB-E54EE2B1FE62}" destId="{4C58FA96-E7B3-4893-BCF3-456F445E7712}" srcOrd="11" destOrd="0" presId="urn:microsoft.com/office/officeart/2005/8/layout/default"/>
    <dgm:cxn modelId="{3103D22D-448B-4B19-89EF-25A21BEAD960}" type="presParOf" srcId="{F3AB4A35-E2EB-4DBF-86FB-E54EE2B1FE62}" destId="{2069F93F-EC36-45CA-81FA-E28CCFC4EDD2}" srcOrd="12" destOrd="0" presId="urn:microsoft.com/office/officeart/2005/8/layout/default"/>
    <dgm:cxn modelId="{F95EF2DF-ECA8-4940-96E2-9ED1AFF2F5D3}" type="presParOf" srcId="{F3AB4A35-E2EB-4DBF-86FB-E54EE2B1FE62}" destId="{04622D16-B8C1-47F2-8A8D-189F57CC602A}" srcOrd="13" destOrd="0" presId="urn:microsoft.com/office/officeart/2005/8/layout/default"/>
    <dgm:cxn modelId="{BFAA2C2A-DA12-4F23-9095-157257EA6097}"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4DF42217-B85D-4249-A568-5B509C0F84B5}">
      <dgm:prSet phldrT="[Texto]"/>
      <dgm:spPr/>
      <dgm:t>
        <a:bodyPr/>
        <a:lstStyle/>
        <a:p>
          <a:endParaRPr lang="pt-BR"/>
        </a:p>
      </dgm:t>
    </dgm:pt>
    <dgm:pt modelId="{8484CB90-3EDF-4254-AC0E-CDBC59EB95EF}" type="sibTrans" cxnId="{4C293A83-50D5-4569-80F3-2177D656CD85}">
      <dgm:prSet/>
      <dgm:spPr/>
      <dgm:t>
        <a:bodyPr/>
        <a:lstStyle/>
        <a:p>
          <a:endParaRPr lang="pt-BR"/>
        </a:p>
      </dgm:t>
    </dgm:pt>
    <dgm:pt modelId="{F03263C3-845B-4682-A445-4708B9F52BA9}" type="parTrans" cxnId="{4C293A83-50D5-4569-80F3-2177D656CD85}">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t>
        <a:bodyPr/>
        <a:lstStyle/>
        <a:p>
          <a:endParaRPr lang="pt-BR"/>
        </a:p>
      </dgm:t>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t>
        <a:bodyPr/>
        <a:lstStyle/>
        <a:p>
          <a:endParaRPr lang="pt-BR"/>
        </a:p>
      </dgm:t>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7704F592-3202-4006-8CAB-5C864EBD3C3D}" srcId="{0C5AA470-A2FC-4675-BBC5-FC07F000DB8B}" destId="{5F2F899A-5BAA-4B36-B786-C4FA5DB84DE2}" srcOrd="6" destOrd="0" parTransId="{08AE95AC-558E-438C-A19E-A0A388B3DCB6}" sibTransId="{9C525CED-778E-45D1-BAA1-570F41FFF524}"/>
    <dgm:cxn modelId="{E78C438F-F233-43E8-8D47-0F361EAE9B53}" type="presOf" srcId="{F28F4473-498E-415A-A16F-A60D42C55427}" destId="{CB133F5D-DBBA-4B12-9FEC-4E54C8197093}" srcOrd="0" destOrd="0" presId="urn:microsoft.com/office/officeart/2005/8/layout/default"/>
    <dgm:cxn modelId="{22D6D8A7-62AF-463F-B6AD-54DD415AF0FB}" type="presOf" srcId="{4DF42217-B85D-4249-A568-5B509C0F84B5}" destId="{19166087-240F-4205-829D-E61CAF74B1F0}" srcOrd="0" destOrd="0" presId="urn:microsoft.com/office/officeart/2005/8/layout/default"/>
    <dgm:cxn modelId="{1C5F5A85-A04B-4C77-87CD-2F342CFF985E}" type="presOf" srcId="{0C5AA470-A2FC-4675-BBC5-FC07F000DB8B}" destId="{F3AB4A35-E2EB-4DBF-86FB-E54EE2B1FE62}" srcOrd="0" destOrd="0" presId="urn:microsoft.com/office/officeart/2005/8/layout/default"/>
    <dgm:cxn modelId="{18E0336D-A7C4-44FB-99C7-4907DE38AAC9}" type="presOf" srcId="{5F2F899A-5BAA-4B36-B786-C4FA5DB84DE2}" destId="{2069F93F-EC36-45CA-81FA-E28CCFC4EDD2}" srcOrd="0" destOrd="0" presId="urn:microsoft.com/office/officeart/2005/8/layout/default"/>
    <dgm:cxn modelId="{A57B090C-D4C5-4AAE-AD94-EA4EEAAD6982}" type="presOf" srcId="{0010CF23-9DED-47EC-8758-73066583FA44}" destId="{1B25165C-4C00-4CD9-B7B8-A4C893AC4E13}"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EDCA57AC-8806-44AA-B074-C25819EF868A}" srcId="{0C5AA470-A2FC-4675-BBC5-FC07F000DB8B}" destId="{0010CF23-9DED-47EC-8758-73066583FA44}" srcOrd="7" destOrd="0" parTransId="{D82E22A4-5CEB-4667-AEC2-F3C85942AEAD}" sibTransId="{64477A07-5F83-429E-AA8B-488C68653312}"/>
    <dgm:cxn modelId="{46038BD3-07B5-420B-BD64-AAC20A6DA530}" type="presOf" srcId="{F6B446C0-6E43-4493-B573-1F94BA4F7210}" destId="{C221B9C3-A015-449B-9E50-6721626A9470}" srcOrd="0" destOrd="0" presId="urn:microsoft.com/office/officeart/2005/8/layout/default"/>
    <dgm:cxn modelId="{D9E5D51E-56E6-4889-B57A-CC6DEE11D9DB}" type="presOf" srcId="{3E55D787-E1C1-4C6C-B682-2F823A606E13}" destId="{D29654AC-8B1F-4715-B3EF-5B9D45DA3F9C}" srcOrd="0" destOrd="0" presId="urn:microsoft.com/office/officeart/2005/8/layout/default"/>
    <dgm:cxn modelId="{ACBEDEBD-EEAF-49AF-98B4-31B91D64DBB0}" type="presOf" srcId="{40E3A9A0-3796-4A48-B2F5-5C63BFC42AC1}" destId="{5800D369-D655-450A-A267-583A2F68A6F1}"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34267945-0F78-4333-98AE-60DB24C40794}" srcId="{0C5AA470-A2FC-4675-BBC5-FC07F000DB8B}" destId="{3E55D787-E1C1-4C6C-B682-2F823A606E13}" srcOrd="5" destOrd="0" parTransId="{5ED97904-22DF-4E36-A28B-F687A4D3A61E}" sibTransId="{6EF4A891-3DAD-4342-843F-55EE09B3921F}"/>
    <dgm:cxn modelId="{B158E183-C506-4C34-BE65-E1F127A560D3}" srcId="{0C5AA470-A2FC-4675-BBC5-FC07F000DB8B}" destId="{40E3A9A0-3796-4A48-B2F5-5C63BFC42AC1}" srcOrd="4" destOrd="0" parTransId="{6F0AB90E-55A6-42AC-8FFD-DFE7D5C5A47D}" sibTransId="{DD04B6C1-B38B-4696-9D68-BC369D6BA502}"/>
    <dgm:cxn modelId="{0985FC56-E195-4F98-BF8A-A3333FA44498}" type="presOf" srcId="{F0D8276B-5F8E-47CD-83BA-660329F4549E}" destId="{BA9D2ED0-16C9-44FB-8D9E-22F9C339ED18}" srcOrd="0" destOrd="0" presId="urn:microsoft.com/office/officeart/2005/8/layout/default"/>
    <dgm:cxn modelId="{71C7B3C5-26B5-4023-AC13-5DE3476DA360}" type="presParOf" srcId="{F3AB4A35-E2EB-4DBF-86FB-E54EE2B1FE62}" destId="{BA9D2ED0-16C9-44FB-8D9E-22F9C339ED18}" srcOrd="0" destOrd="0" presId="urn:microsoft.com/office/officeart/2005/8/layout/default"/>
    <dgm:cxn modelId="{9100E879-9EE5-4FCE-B020-65F9E2D145C9}" type="presParOf" srcId="{F3AB4A35-E2EB-4DBF-86FB-E54EE2B1FE62}" destId="{8745EF1C-A4C9-4E6A-99FD-78BF7B12622C}" srcOrd="1" destOrd="0" presId="urn:microsoft.com/office/officeart/2005/8/layout/default"/>
    <dgm:cxn modelId="{D0440629-B907-40E5-BE65-5BA49F0D8D54}" type="presParOf" srcId="{F3AB4A35-E2EB-4DBF-86FB-E54EE2B1FE62}" destId="{CB133F5D-DBBA-4B12-9FEC-4E54C8197093}" srcOrd="2" destOrd="0" presId="urn:microsoft.com/office/officeart/2005/8/layout/default"/>
    <dgm:cxn modelId="{7C5DF7DB-E302-4C5C-BE6D-C8A2F5B28CE7}" type="presParOf" srcId="{F3AB4A35-E2EB-4DBF-86FB-E54EE2B1FE62}" destId="{701E9B6D-506A-4B8B-B1E6-AB2D8DB9BB03}" srcOrd="3" destOrd="0" presId="urn:microsoft.com/office/officeart/2005/8/layout/default"/>
    <dgm:cxn modelId="{DD605D09-9FE0-496E-B6BA-F5A99DD418D1}" type="presParOf" srcId="{F3AB4A35-E2EB-4DBF-86FB-E54EE2B1FE62}" destId="{C221B9C3-A015-449B-9E50-6721626A9470}" srcOrd="4" destOrd="0" presId="urn:microsoft.com/office/officeart/2005/8/layout/default"/>
    <dgm:cxn modelId="{FE8C08EB-D5FF-4D50-AE72-1298C3E7B8F1}" type="presParOf" srcId="{F3AB4A35-E2EB-4DBF-86FB-E54EE2B1FE62}" destId="{4A1C71E8-C584-4258-87C4-328020FE1131}" srcOrd="5" destOrd="0" presId="urn:microsoft.com/office/officeart/2005/8/layout/default"/>
    <dgm:cxn modelId="{B1ABF57C-8465-4459-B480-6ACFF57A3372}" type="presParOf" srcId="{F3AB4A35-E2EB-4DBF-86FB-E54EE2B1FE62}" destId="{19166087-240F-4205-829D-E61CAF74B1F0}" srcOrd="6" destOrd="0" presId="urn:microsoft.com/office/officeart/2005/8/layout/default"/>
    <dgm:cxn modelId="{5214ADE7-1AD4-4AC0-B6CF-DFA9DF2A2EBE}" type="presParOf" srcId="{F3AB4A35-E2EB-4DBF-86FB-E54EE2B1FE62}" destId="{C6553CB9-846E-4509-B6CB-620C145D0E09}" srcOrd="7" destOrd="0" presId="urn:microsoft.com/office/officeart/2005/8/layout/default"/>
    <dgm:cxn modelId="{52D616E2-08D7-4794-8236-A4D6051331C5}" type="presParOf" srcId="{F3AB4A35-E2EB-4DBF-86FB-E54EE2B1FE62}" destId="{5800D369-D655-450A-A267-583A2F68A6F1}" srcOrd="8" destOrd="0" presId="urn:microsoft.com/office/officeart/2005/8/layout/default"/>
    <dgm:cxn modelId="{EE6E876E-8BC0-4C0E-A742-AC0495F60717}" type="presParOf" srcId="{F3AB4A35-E2EB-4DBF-86FB-E54EE2B1FE62}" destId="{A3120A94-973F-4B44-8A46-565AD59DED29}" srcOrd="9" destOrd="0" presId="urn:microsoft.com/office/officeart/2005/8/layout/default"/>
    <dgm:cxn modelId="{57AE735F-B3FD-4029-92D4-3779D5B573B6}" type="presParOf" srcId="{F3AB4A35-E2EB-4DBF-86FB-E54EE2B1FE62}" destId="{D29654AC-8B1F-4715-B3EF-5B9D45DA3F9C}" srcOrd="10" destOrd="0" presId="urn:microsoft.com/office/officeart/2005/8/layout/default"/>
    <dgm:cxn modelId="{ECD7BE58-3BB5-4D03-85F7-45338F548C2A}" type="presParOf" srcId="{F3AB4A35-E2EB-4DBF-86FB-E54EE2B1FE62}" destId="{4C58FA96-E7B3-4893-BCF3-456F445E7712}" srcOrd="11" destOrd="0" presId="urn:microsoft.com/office/officeart/2005/8/layout/default"/>
    <dgm:cxn modelId="{AED14E55-5F6E-423F-AC00-996991BFE439}" type="presParOf" srcId="{F3AB4A35-E2EB-4DBF-86FB-E54EE2B1FE62}" destId="{2069F93F-EC36-45CA-81FA-E28CCFC4EDD2}" srcOrd="12" destOrd="0" presId="urn:microsoft.com/office/officeart/2005/8/layout/default"/>
    <dgm:cxn modelId="{C402541C-85BA-43FD-9459-EB8D2F63E8C2}" type="presParOf" srcId="{F3AB4A35-E2EB-4DBF-86FB-E54EE2B1FE62}" destId="{04622D16-B8C1-47F2-8A8D-189F57CC602A}" srcOrd="13" destOrd="0" presId="urn:microsoft.com/office/officeart/2005/8/layout/default"/>
    <dgm:cxn modelId="{AA326E06-C3EC-46A6-A53B-4EE7B6972EEB}"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r>
            <a:rPr lang="pt-BR" sz="4000">
              <a:effectLst>
                <a:outerShdw blurRad="127000" algn="ctr" rotWithShape="0">
                  <a:prstClr val="black">
                    <a:alpha val="85000"/>
                  </a:prstClr>
                </a:outerShdw>
              </a:effectLst>
            </a:rPr>
            <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t>
        <a:bodyPr/>
        <a:lstStyle/>
        <a:p>
          <a:endParaRPr lang="pt-BR"/>
        </a:p>
      </dgm:t>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t>
        <a:bodyPr/>
        <a:lstStyle/>
        <a:p>
          <a:endParaRPr lang="pt-BR"/>
        </a:p>
      </dgm:t>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4A45D20E-8B42-4E00-B9C9-ADE0BD840AFE}" type="presOf" srcId="{3E55D787-E1C1-4C6C-B682-2F823A606E13}" destId="{D29654AC-8B1F-4715-B3EF-5B9D45DA3F9C}" srcOrd="0" destOrd="0" presId="urn:microsoft.com/office/officeart/2005/8/layout/default"/>
    <dgm:cxn modelId="{E99213A6-22CE-42F4-A68E-183CEA736DBE}" type="presOf" srcId="{F6B446C0-6E43-4493-B573-1F94BA4F7210}" destId="{C221B9C3-A015-449B-9E50-6721626A9470}"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7057616E-71C3-40D2-B8A2-5DDD45A21DEB}" type="presOf" srcId="{5F2F899A-5BAA-4B36-B786-C4FA5DB84DE2}" destId="{2069F93F-EC36-45CA-81FA-E28CCFC4EDD2}" srcOrd="0" destOrd="0" presId="urn:microsoft.com/office/officeart/2005/8/layout/default"/>
    <dgm:cxn modelId="{C2E1F885-B9CF-4055-B4A6-0BC391270092}" type="presOf" srcId="{F28F4473-498E-415A-A16F-A60D42C55427}" destId="{CB133F5D-DBBA-4B12-9FEC-4E54C8197093}" srcOrd="0" destOrd="0" presId="urn:microsoft.com/office/officeart/2005/8/layout/default"/>
    <dgm:cxn modelId="{E9A49397-B6F4-484B-B285-2CABE4096043}" type="presOf" srcId="{F0D8276B-5F8E-47CD-83BA-660329F4549E}" destId="{BA9D2ED0-16C9-44FB-8D9E-22F9C339ED18}" srcOrd="0" destOrd="0" presId="urn:microsoft.com/office/officeart/2005/8/layout/default"/>
    <dgm:cxn modelId="{6C0EE229-57AD-40D7-814A-77B432C71724}" type="presOf" srcId="{40E3A9A0-3796-4A48-B2F5-5C63BFC42AC1}" destId="{5800D369-D655-450A-A267-583A2F68A6F1}"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79C41277-7F51-4EC5-ACB4-4126B0BEC41E}" srcId="{0C5AA470-A2FC-4675-BBC5-FC07F000DB8B}" destId="{F6B446C0-6E43-4493-B573-1F94BA4F7210}" srcOrd="2" destOrd="0" parTransId="{A5B8B45E-BFBE-4027-8547-12672DBE4560}" sibTransId="{7066175E-01F0-4FAF-BDE1-888990D25D74}"/>
    <dgm:cxn modelId="{13E8EAC3-6A52-4FC3-9744-2DFA140EA384}" type="presOf" srcId="{0C5AA470-A2FC-4675-BBC5-FC07F000DB8B}" destId="{F3AB4A35-E2EB-4DBF-86FB-E54EE2B1FE62}" srcOrd="0" destOrd="0" presId="urn:microsoft.com/office/officeart/2005/8/layout/default"/>
    <dgm:cxn modelId="{6D5B4980-5989-4868-8025-D7231638B337}" type="presOf" srcId="{4DF42217-B85D-4249-A568-5B509C0F84B5}" destId="{19166087-240F-4205-829D-E61CAF74B1F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34267945-0F78-4333-98AE-60DB24C40794}" srcId="{0C5AA470-A2FC-4675-BBC5-FC07F000DB8B}" destId="{3E55D787-E1C1-4C6C-B682-2F823A606E13}" srcOrd="5" destOrd="0" parTransId="{5ED97904-22DF-4E36-A28B-F687A4D3A61E}" sibTransId="{6EF4A891-3DAD-4342-843F-55EE09B3921F}"/>
    <dgm:cxn modelId="{B158E183-C506-4C34-BE65-E1F127A560D3}" srcId="{0C5AA470-A2FC-4675-BBC5-FC07F000DB8B}" destId="{40E3A9A0-3796-4A48-B2F5-5C63BFC42AC1}" srcOrd="4" destOrd="0" parTransId="{6F0AB90E-55A6-42AC-8FFD-DFE7D5C5A47D}" sibTransId="{DD04B6C1-B38B-4696-9D68-BC369D6BA502}"/>
    <dgm:cxn modelId="{0620483D-B546-4DF3-88EC-5D6D6F0CFEC4}" type="presOf" srcId="{0010CF23-9DED-47EC-8758-73066583FA44}" destId="{1B25165C-4C00-4CD9-B7B8-A4C893AC4E13}" srcOrd="0" destOrd="0" presId="urn:microsoft.com/office/officeart/2005/8/layout/default"/>
    <dgm:cxn modelId="{F0313DD4-4350-478D-BB9F-D8CA9E909242}" type="presParOf" srcId="{F3AB4A35-E2EB-4DBF-86FB-E54EE2B1FE62}" destId="{BA9D2ED0-16C9-44FB-8D9E-22F9C339ED18}" srcOrd="0" destOrd="0" presId="urn:microsoft.com/office/officeart/2005/8/layout/default"/>
    <dgm:cxn modelId="{B2229C1C-58AD-49BE-88C5-709736E967D1}" type="presParOf" srcId="{F3AB4A35-E2EB-4DBF-86FB-E54EE2B1FE62}" destId="{8745EF1C-A4C9-4E6A-99FD-78BF7B12622C}" srcOrd="1" destOrd="0" presId="urn:microsoft.com/office/officeart/2005/8/layout/default"/>
    <dgm:cxn modelId="{B646ED19-0A6A-4955-B042-F8414E57B93D}" type="presParOf" srcId="{F3AB4A35-E2EB-4DBF-86FB-E54EE2B1FE62}" destId="{CB133F5D-DBBA-4B12-9FEC-4E54C8197093}" srcOrd="2" destOrd="0" presId="urn:microsoft.com/office/officeart/2005/8/layout/default"/>
    <dgm:cxn modelId="{57899711-D2F1-412C-AEF0-39065E1C6903}" type="presParOf" srcId="{F3AB4A35-E2EB-4DBF-86FB-E54EE2B1FE62}" destId="{701E9B6D-506A-4B8B-B1E6-AB2D8DB9BB03}" srcOrd="3" destOrd="0" presId="urn:microsoft.com/office/officeart/2005/8/layout/default"/>
    <dgm:cxn modelId="{69BC8FF8-0638-4E14-A457-432F7DBA9C77}" type="presParOf" srcId="{F3AB4A35-E2EB-4DBF-86FB-E54EE2B1FE62}" destId="{C221B9C3-A015-449B-9E50-6721626A9470}" srcOrd="4" destOrd="0" presId="urn:microsoft.com/office/officeart/2005/8/layout/default"/>
    <dgm:cxn modelId="{9385531C-D213-4B18-903F-43067217B9B1}" type="presParOf" srcId="{F3AB4A35-E2EB-4DBF-86FB-E54EE2B1FE62}" destId="{4A1C71E8-C584-4258-87C4-328020FE1131}" srcOrd="5" destOrd="0" presId="urn:microsoft.com/office/officeart/2005/8/layout/default"/>
    <dgm:cxn modelId="{3D770F36-3B37-48DF-97C8-4D49B4812E1E}" type="presParOf" srcId="{F3AB4A35-E2EB-4DBF-86FB-E54EE2B1FE62}" destId="{19166087-240F-4205-829D-E61CAF74B1F0}" srcOrd="6" destOrd="0" presId="urn:microsoft.com/office/officeart/2005/8/layout/default"/>
    <dgm:cxn modelId="{E11CE26D-DB62-447B-81E3-D8321A27B7A0}" type="presParOf" srcId="{F3AB4A35-E2EB-4DBF-86FB-E54EE2B1FE62}" destId="{C6553CB9-846E-4509-B6CB-620C145D0E09}" srcOrd="7" destOrd="0" presId="urn:microsoft.com/office/officeart/2005/8/layout/default"/>
    <dgm:cxn modelId="{B24A1ABD-102C-4BD8-95FA-B703DA074C1E}" type="presParOf" srcId="{F3AB4A35-E2EB-4DBF-86FB-E54EE2B1FE62}" destId="{5800D369-D655-450A-A267-583A2F68A6F1}" srcOrd="8" destOrd="0" presId="urn:microsoft.com/office/officeart/2005/8/layout/default"/>
    <dgm:cxn modelId="{CFD58FC5-1A48-455D-9795-68A4919C620E}" type="presParOf" srcId="{F3AB4A35-E2EB-4DBF-86FB-E54EE2B1FE62}" destId="{A3120A94-973F-4B44-8A46-565AD59DED29}" srcOrd="9" destOrd="0" presId="urn:microsoft.com/office/officeart/2005/8/layout/default"/>
    <dgm:cxn modelId="{5106C220-6ECA-4C18-9B20-D62A07FC1D66}" type="presParOf" srcId="{F3AB4A35-E2EB-4DBF-86FB-E54EE2B1FE62}" destId="{D29654AC-8B1F-4715-B3EF-5B9D45DA3F9C}" srcOrd="10" destOrd="0" presId="urn:microsoft.com/office/officeart/2005/8/layout/default"/>
    <dgm:cxn modelId="{8D7B326C-EB70-4B05-A714-8AC3377F44D3}" type="presParOf" srcId="{F3AB4A35-E2EB-4DBF-86FB-E54EE2B1FE62}" destId="{4C58FA96-E7B3-4893-BCF3-456F445E7712}" srcOrd="11" destOrd="0" presId="urn:microsoft.com/office/officeart/2005/8/layout/default"/>
    <dgm:cxn modelId="{D038620E-C509-4C27-A8B2-EABEC206246A}" type="presParOf" srcId="{F3AB4A35-E2EB-4DBF-86FB-E54EE2B1FE62}" destId="{2069F93F-EC36-45CA-81FA-E28CCFC4EDD2}" srcOrd="12" destOrd="0" presId="urn:microsoft.com/office/officeart/2005/8/layout/default"/>
    <dgm:cxn modelId="{414B2148-4B66-4493-9B3A-937F622C8EF0}" type="presParOf" srcId="{F3AB4A35-E2EB-4DBF-86FB-E54EE2B1FE62}" destId="{04622D16-B8C1-47F2-8A8D-189F57CC602A}" srcOrd="13" destOrd="0" presId="urn:microsoft.com/office/officeart/2005/8/layout/default"/>
    <dgm:cxn modelId="{7DEFA2CC-91F3-4C2A-8491-04637932CAC9}"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1800">
              <a:effectLst>
                <a:outerShdw blurRad="127000" algn="ctr" rotWithShape="0">
                  <a:prstClr val="black">
                    <a:alpha val="85000"/>
                  </a:prstClr>
                </a:outerShdw>
              </a:effectLst>
            </a:rPr>
            <a:t>Previsto - 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600">
              <a:effectLst>
                <a:outerShdw blurRad="127000" algn="ctr" rotWithShape="0">
                  <a:prstClr val="black">
                    <a:alpha val="85000"/>
                  </a:prstClr>
                </a:outerShdw>
              </a:effectLst>
            </a:rPr>
            <a:t>Entrantes</a:t>
          </a:r>
          <a:br>
            <a:rPr lang="pt-BR" sz="36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Dez.</a:t>
          </a:r>
          <a:endParaRPr lang="pt-BR" sz="1800">
            <a:effectLst>
              <a:outerShdw blurRad="127000" algn="ctr" rotWithShape="0">
                <a:srgbClr val="000000">
                  <a:alpha val="85000"/>
                </a:srgb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F2F899A-5BAA-4B36-B786-C4FA5DB84DE2}">
      <dgm:prSet/>
      <dgm:spPr/>
      <dgm:t>
        <a:bodyPr/>
        <a:lstStyle/>
        <a:p>
          <a:endParaRPr lang="pt-BR"/>
        </a:p>
      </dgm:t>
    </dgm:pt>
    <dgm:pt modelId="{9C525CED-778E-45D1-BAA1-570F41FFF524}" type="sibTrans" cxnId="{7704F592-3202-4006-8CAB-5C864EBD3C3D}">
      <dgm:prSet/>
      <dgm:spPr/>
      <dgm:t>
        <a:bodyPr/>
        <a:lstStyle/>
        <a:p>
          <a:endParaRPr lang="pt-BR"/>
        </a:p>
      </dgm:t>
    </dgm:pt>
    <dgm:pt modelId="{08AE95AC-558E-438C-A19E-A0A388B3DCB6}" type="parTrans" cxnId="{7704F592-3202-4006-8CAB-5C864EBD3C3D}">
      <dgm:prSet/>
      <dgm:spPr/>
      <dgm:t>
        <a:bodyPr/>
        <a:lstStyle/>
        <a:p>
          <a:endParaRPr lang="pt-BR"/>
        </a:p>
      </dgm:t>
    </dgm:pt>
    <dgm:pt modelId="{77745E09-BC33-4467-A7D0-00D63E26BF57}">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2800">
              <a:effectLst>
                <a:outerShdw blurRad="127000" algn="ctr" rotWithShape="0">
                  <a:prstClr val="black">
                    <a:alpha val="85000"/>
                  </a:prstClr>
                </a:outerShdw>
              </a:effectLst>
            </a:rPr>
            <a:t>% de execução</a:t>
          </a:r>
        </a:p>
      </dgm:t>
    </dgm:pt>
    <dgm:pt modelId="{5B9CC1F3-60FF-4ABF-8213-2DA0778BB206}" type="sibTrans" cxnId="{8CC35CB0-A234-4247-A746-9F1FDD0500DE}">
      <dgm:prSet/>
      <dgm:spPr/>
      <dgm:t>
        <a:bodyPr/>
        <a:lstStyle/>
        <a:p>
          <a:endParaRPr lang="pt-BR"/>
        </a:p>
      </dgm:t>
    </dgm:pt>
    <dgm:pt modelId="{05C29930-DCA4-47D2-8F9D-D1F8B73BDC24}" type="parTrans" cxnId="{8CC35CB0-A234-4247-A746-9F1FDD0500D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6">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0E296175-191A-4DDD-9AFD-C58180D0C5B1}" type="pres">
      <dgm:prSet presAssocID="{77745E09-BC33-4467-A7D0-00D63E26BF57}" presName="node" presStyleLbl="node1" presStyleIdx="4" presStyleCnt="6">
        <dgm:presLayoutVars>
          <dgm:bulletEnabled val="1"/>
        </dgm:presLayoutVars>
      </dgm:prSet>
      <dgm:spPr/>
      <dgm:t>
        <a:bodyPr/>
        <a:lstStyle/>
        <a:p>
          <a:endParaRPr lang="pt-BR"/>
        </a:p>
      </dgm:t>
    </dgm:pt>
    <dgm:pt modelId="{7714FE89-4579-418B-8464-0F4B85BAC6A5}" type="pres">
      <dgm:prSet presAssocID="{5B9CC1F3-60FF-4ABF-8213-2DA0778BB206}"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t>
        <a:bodyPr/>
        <a:lstStyle/>
        <a:p>
          <a:endParaRPr lang="pt-BR"/>
        </a:p>
      </dgm:t>
    </dgm:pt>
  </dgm:ptLst>
  <dgm:cxnLst>
    <dgm:cxn modelId="{6AEC959F-16F9-4981-B68C-2B59DF02B3C3}" type="presOf" srcId="{4DF42217-B85D-4249-A568-5B509C0F84B5}" destId="{19166087-240F-4205-829D-E61CAF74B1F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BAF52E82-A928-4736-B889-6FBBACEF0B7B}" type="presOf" srcId="{F6B446C0-6E43-4493-B573-1F94BA4F7210}" destId="{C221B9C3-A015-449B-9E50-6721626A9470}" srcOrd="0" destOrd="0" presId="urn:microsoft.com/office/officeart/2005/8/layout/default"/>
    <dgm:cxn modelId="{7704F592-3202-4006-8CAB-5C864EBD3C3D}" srcId="{0C5AA470-A2FC-4675-BBC5-FC07F000DB8B}" destId="{5F2F899A-5BAA-4B36-B786-C4FA5DB84DE2}" srcOrd="5" destOrd="0" parTransId="{08AE95AC-558E-438C-A19E-A0A388B3DCB6}" sibTransId="{9C525CED-778E-45D1-BAA1-570F41FFF524}"/>
    <dgm:cxn modelId="{E82BCD02-E51F-48D4-92CF-33290A4C95F6}" type="presOf" srcId="{5F2F899A-5BAA-4B36-B786-C4FA5DB84DE2}" destId="{2069F93F-EC36-45CA-81FA-E28CCFC4EDD2}"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C0DC2E08-ED6D-484E-A148-3C84D9F7127C}" type="presOf" srcId="{77745E09-BC33-4467-A7D0-00D63E26BF57}" destId="{0E296175-191A-4DDD-9AFD-C58180D0C5B1}" srcOrd="0" destOrd="0" presId="urn:microsoft.com/office/officeart/2005/8/layout/default"/>
    <dgm:cxn modelId="{EAA801D0-559D-48B4-AC07-68DFB8803FEB}" type="presOf" srcId="{F0D8276B-5F8E-47CD-83BA-660329F4549E}" destId="{BA9D2ED0-16C9-44FB-8D9E-22F9C339ED18}" srcOrd="0" destOrd="0" presId="urn:microsoft.com/office/officeart/2005/8/layout/default"/>
    <dgm:cxn modelId="{435EE50C-B354-4B98-9610-284C03A27DB4}" type="presOf" srcId="{0C5AA470-A2FC-4675-BBC5-FC07F000DB8B}" destId="{F3AB4A35-E2EB-4DBF-86FB-E54EE2B1FE62}" srcOrd="0" destOrd="0" presId="urn:microsoft.com/office/officeart/2005/8/layout/default"/>
    <dgm:cxn modelId="{8CC35CB0-A234-4247-A746-9F1FDD0500DE}" srcId="{0C5AA470-A2FC-4675-BBC5-FC07F000DB8B}" destId="{77745E09-BC33-4467-A7D0-00D63E26BF57}" srcOrd="4" destOrd="0" parTransId="{05C29930-DCA4-47D2-8F9D-D1F8B73BDC24}" sibTransId="{5B9CC1F3-60FF-4ABF-8213-2DA0778BB206}"/>
    <dgm:cxn modelId="{C0833EE6-06BE-4ADB-8DA3-DF70F6A431A9}" type="presOf" srcId="{F28F4473-498E-415A-A16F-A60D42C55427}" destId="{CB133F5D-DBBA-4B12-9FEC-4E54C8197093}" srcOrd="0" destOrd="0" presId="urn:microsoft.com/office/officeart/2005/8/layout/default"/>
    <dgm:cxn modelId="{816050EC-B6A5-41E2-8315-CF8E7407D6D7}" type="presParOf" srcId="{F3AB4A35-E2EB-4DBF-86FB-E54EE2B1FE62}" destId="{BA9D2ED0-16C9-44FB-8D9E-22F9C339ED18}" srcOrd="0" destOrd="0" presId="urn:microsoft.com/office/officeart/2005/8/layout/default"/>
    <dgm:cxn modelId="{874634D9-0C62-4110-873D-FC329BD6CA8E}" type="presParOf" srcId="{F3AB4A35-E2EB-4DBF-86FB-E54EE2B1FE62}" destId="{8745EF1C-A4C9-4E6A-99FD-78BF7B12622C}" srcOrd="1" destOrd="0" presId="urn:microsoft.com/office/officeart/2005/8/layout/default"/>
    <dgm:cxn modelId="{60541ABE-581B-475A-A209-8FB18CF57AA2}" type="presParOf" srcId="{F3AB4A35-E2EB-4DBF-86FB-E54EE2B1FE62}" destId="{CB133F5D-DBBA-4B12-9FEC-4E54C8197093}" srcOrd="2" destOrd="0" presId="urn:microsoft.com/office/officeart/2005/8/layout/default"/>
    <dgm:cxn modelId="{B495DDE4-C93F-46D4-B47E-310DBA111B30}" type="presParOf" srcId="{F3AB4A35-E2EB-4DBF-86FB-E54EE2B1FE62}" destId="{701E9B6D-506A-4B8B-B1E6-AB2D8DB9BB03}" srcOrd="3" destOrd="0" presId="urn:microsoft.com/office/officeart/2005/8/layout/default"/>
    <dgm:cxn modelId="{F20AC542-842E-40D6-ACE8-EFC33EBB261D}" type="presParOf" srcId="{F3AB4A35-E2EB-4DBF-86FB-E54EE2B1FE62}" destId="{C221B9C3-A015-449B-9E50-6721626A9470}" srcOrd="4" destOrd="0" presId="urn:microsoft.com/office/officeart/2005/8/layout/default"/>
    <dgm:cxn modelId="{4280EDCC-6EED-43DE-A9DC-314B8743F1EA}" type="presParOf" srcId="{F3AB4A35-E2EB-4DBF-86FB-E54EE2B1FE62}" destId="{4A1C71E8-C584-4258-87C4-328020FE1131}" srcOrd="5" destOrd="0" presId="urn:microsoft.com/office/officeart/2005/8/layout/default"/>
    <dgm:cxn modelId="{93EB338F-9E04-4EBD-B8E5-654454F9CEAE}" type="presParOf" srcId="{F3AB4A35-E2EB-4DBF-86FB-E54EE2B1FE62}" destId="{19166087-240F-4205-829D-E61CAF74B1F0}" srcOrd="6" destOrd="0" presId="urn:microsoft.com/office/officeart/2005/8/layout/default"/>
    <dgm:cxn modelId="{4D35265B-2AC9-4303-BB16-BEEBB5C1F9B2}" type="presParOf" srcId="{F3AB4A35-E2EB-4DBF-86FB-E54EE2B1FE62}" destId="{C6553CB9-846E-4509-B6CB-620C145D0E09}" srcOrd="7" destOrd="0" presId="urn:microsoft.com/office/officeart/2005/8/layout/default"/>
    <dgm:cxn modelId="{E0C9DEEE-1950-4091-8162-C86DFD5E76CF}" type="presParOf" srcId="{F3AB4A35-E2EB-4DBF-86FB-E54EE2B1FE62}" destId="{0E296175-191A-4DDD-9AFD-C58180D0C5B1}" srcOrd="8" destOrd="0" presId="urn:microsoft.com/office/officeart/2005/8/layout/default"/>
    <dgm:cxn modelId="{FCFD739D-516F-4437-9B97-44D072D21A90}" type="presParOf" srcId="{F3AB4A35-E2EB-4DBF-86FB-E54EE2B1FE62}" destId="{7714FE89-4579-418B-8464-0F4B85BAC6A5}" srcOrd="9" destOrd="0" presId="urn:microsoft.com/office/officeart/2005/8/layout/default"/>
    <dgm:cxn modelId="{32308AB5-CBB2-493F-A865-3DA245979D00}"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8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2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dgm:presLayoutVars>
          <dgm:bulletEnabled val="1"/>
        </dgm:presLayoutVars>
      </dgm:prSet>
      <dgm:spPr/>
      <dgm:t>
        <a:bodyPr/>
        <a:lstStyle/>
        <a:p>
          <a:endParaRPr lang="pt-BR"/>
        </a:p>
      </dgm:t>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dgm:presLayoutVars>
          <dgm:bulletEnabled val="1"/>
        </dgm:presLayoutVars>
      </dgm:prSet>
      <dgm:spPr/>
      <dgm:t>
        <a:bodyPr/>
        <a:lstStyle/>
        <a:p>
          <a:endParaRPr lang="pt-BR"/>
        </a:p>
      </dgm:t>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7704F592-3202-4006-8CAB-5C864EBD3C3D}" srcId="{0C5AA470-A2FC-4675-BBC5-FC07F000DB8B}" destId="{5F2F899A-5BAA-4B36-B786-C4FA5DB84DE2}" srcOrd="6" destOrd="0" parTransId="{08AE95AC-558E-438C-A19E-A0A388B3DCB6}" sibTransId="{9C525CED-778E-45D1-BAA1-570F41FFF524}"/>
    <dgm:cxn modelId="{F2CD2C8D-CCF3-4CB9-83D4-9CE45BC6298B}" type="presOf" srcId="{F6B446C0-6E43-4493-B573-1F94BA4F7210}" destId="{C221B9C3-A015-449B-9E50-6721626A9470}" srcOrd="0" destOrd="0" presId="urn:microsoft.com/office/officeart/2005/8/layout/default"/>
    <dgm:cxn modelId="{D8F0C99D-C0E3-4546-8ADC-1F5C5B008297}" type="presOf" srcId="{5F2F899A-5BAA-4B36-B786-C4FA5DB84DE2}" destId="{2069F93F-EC36-45CA-81FA-E28CCFC4EDD2}" srcOrd="0" destOrd="0" presId="urn:microsoft.com/office/officeart/2005/8/layout/default"/>
    <dgm:cxn modelId="{9FEFCE11-D0F8-4B21-A65B-08F6A6B295C8}" type="presOf" srcId="{F28F4473-498E-415A-A16F-A60D42C55427}" destId="{CB133F5D-DBBA-4B12-9FEC-4E54C8197093}" srcOrd="0" destOrd="0" presId="urn:microsoft.com/office/officeart/2005/8/layout/default"/>
    <dgm:cxn modelId="{97BE898E-B3E7-48CE-A220-6DDD4EECB485}" type="presOf" srcId="{40E3A9A0-3796-4A48-B2F5-5C63BFC42AC1}" destId="{5800D369-D655-450A-A267-583A2F68A6F1}" srcOrd="0" destOrd="0" presId="urn:microsoft.com/office/officeart/2005/8/layout/default"/>
    <dgm:cxn modelId="{C6281F2E-D503-4263-9EA3-BF55D2F1144C}" type="presOf" srcId="{0010CF23-9DED-47EC-8758-73066583FA44}" destId="{1B25165C-4C00-4CD9-B7B8-A4C893AC4E13}"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EDCA57AC-8806-44AA-B074-C25819EF868A}" srcId="{0C5AA470-A2FC-4675-BBC5-FC07F000DB8B}" destId="{0010CF23-9DED-47EC-8758-73066583FA44}" srcOrd="7" destOrd="0" parTransId="{D82E22A4-5CEB-4667-AEC2-F3C85942AEAD}" sibTransId="{64477A07-5F83-429E-AA8B-488C68653312}"/>
    <dgm:cxn modelId="{7516ACED-4755-413E-B340-979CD643B5B2}" srcId="{0C5AA470-A2FC-4675-BBC5-FC07F000DB8B}" destId="{F28F4473-498E-415A-A16F-A60D42C55427}" srcOrd="1" destOrd="0" parTransId="{EFF14DEE-81FD-46C3-8621-993FA69A8BA3}" sibTransId="{1022C6E1-7F5E-4A04-9CD4-F8CDCBFA9BE3}"/>
    <dgm:cxn modelId="{34267945-0F78-4333-98AE-60DB24C40794}" srcId="{0C5AA470-A2FC-4675-BBC5-FC07F000DB8B}" destId="{3E55D787-E1C1-4C6C-B682-2F823A606E13}" srcOrd="5" destOrd="0" parTransId="{5ED97904-22DF-4E36-A28B-F687A4D3A61E}" sibTransId="{6EF4A891-3DAD-4342-843F-55EE09B3921F}"/>
    <dgm:cxn modelId="{B158E183-C506-4C34-BE65-E1F127A560D3}" srcId="{0C5AA470-A2FC-4675-BBC5-FC07F000DB8B}" destId="{40E3A9A0-3796-4A48-B2F5-5C63BFC42AC1}" srcOrd="4" destOrd="0" parTransId="{6F0AB90E-55A6-42AC-8FFD-DFE7D5C5A47D}" sibTransId="{DD04B6C1-B38B-4696-9D68-BC369D6BA502}"/>
    <dgm:cxn modelId="{38A51FBD-D46F-4452-B137-6B81BCE17042}" type="presOf" srcId="{4DF42217-B85D-4249-A568-5B509C0F84B5}" destId="{19166087-240F-4205-829D-E61CAF74B1F0}" srcOrd="0" destOrd="0" presId="urn:microsoft.com/office/officeart/2005/8/layout/default"/>
    <dgm:cxn modelId="{20EF0525-215F-42AD-B6B4-897503D3AD89}" type="presOf" srcId="{F0D8276B-5F8E-47CD-83BA-660329F4549E}" destId="{BA9D2ED0-16C9-44FB-8D9E-22F9C339ED18}" srcOrd="0" destOrd="0" presId="urn:microsoft.com/office/officeart/2005/8/layout/default"/>
    <dgm:cxn modelId="{E091A1C5-8EF7-4CD9-8244-8646C007A3EB}" type="presOf" srcId="{0C5AA470-A2FC-4675-BBC5-FC07F000DB8B}" destId="{F3AB4A35-E2EB-4DBF-86FB-E54EE2B1FE62}" srcOrd="0" destOrd="0" presId="urn:microsoft.com/office/officeart/2005/8/layout/default"/>
    <dgm:cxn modelId="{4EC60FCD-F086-4A60-9029-9630C92B633D}" type="presOf" srcId="{3E55D787-E1C1-4C6C-B682-2F823A606E13}" destId="{D29654AC-8B1F-4715-B3EF-5B9D45DA3F9C}" srcOrd="0" destOrd="0" presId="urn:microsoft.com/office/officeart/2005/8/layout/default"/>
    <dgm:cxn modelId="{67B581B9-E89D-4E54-88E1-C9F1DD96DF26}" type="presParOf" srcId="{F3AB4A35-E2EB-4DBF-86FB-E54EE2B1FE62}" destId="{BA9D2ED0-16C9-44FB-8D9E-22F9C339ED18}" srcOrd="0" destOrd="0" presId="urn:microsoft.com/office/officeart/2005/8/layout/default"/>
    <dgm:cxn modelId="{7816058E-9A69-4820-9D27-D4C7795826B0}" type="presParOf" srcId="{F3AB4A35-E2EB-4DBF-86FB-E54EE2B1FE62}" destId="{8745EF1C-A4C9-4E6A-99FD-78BF7B12622C}" srcOrd="1" destOrd="0" presId="urn:microsoft.com/office/officeart/2005/8/layout/default"/>
    <dgm:cxn modelId="{F4B23E88-7C9C-4B24-98D4-AB43A5E7F429}" type="presParOf" srcId="{F3AB4A35-E2EB-4DBF-86FB-E54EE2B1FE62}" destId="{CB133F5D-DBBA-4B12-9FEC-4E54C8197093}" srcOrd="2" destOrd="0" presId="urn:microsoft.com/office/officeart/2005/8/layout/default"/>
    <dgm:cxn modelId="{2EAF7DD7-083C-4B5C-A5E4-AF4947BA6DDD}" type="presParOf" srcId="{F3AB4A35-E2EB-4DBF-86FB-E54EE2B1FE62}" destId="{701E9B6D-506A-4B8B-B1E6-AB2D8DB9BB03}" srcOrd="3" destOrd="0" presId="urn:microsoft.com/office/officeart/2005/8/layout/default"/>
    <dgm:cxn modelId="{176CB5E9-1579-4D7D-9C41-12BDB3BEE895}" type="presParOf" srcId="{F3AB4A35-E2EB-4DBF-86FB-E54EE2B1FE62}" destId="{C221B9C3-A015-449B-9E50-6721626A9470}" srcOrd="4" destOrd="0" presId="urn:microsoft.com/office/officeart/2005/8/layout/default"/>
    <dgm:cxn modelId="{46A6FADA-F949-48BD-B58C-555BD5614398}" type="presParOf" srcId="{F3AB4A35-E2EB-4DBF-86FB-E54EE2B1FE62}" destId="{4A1C71E8-C584-4258-87C4-328020FE1131}" srcOrd="5" destOrd="0" presId="urn:microsoft.com/office/officeart/2005/8/layout/default"/>
    <dgm:cxn modelId="{08738F7C-E69D-42CF-A4E6-BE2920EA9F00}" type="presParOf" srcId="{F3AB4A35-E2EB-4DBF-86FB-E54EE2B1FE62}" destId="{19166087-240F-4205-829D-E61CAF74B1F0}" srcOrd="6" destOrd="0" presId="urn:microsoft.com/office/officeart/2005/8/layout/default"/>
    <dgm:cxn modelId="{6522B54D-5F88-4DB3-B265-9953086DB2CC}" type="presParOf" srcId="{F3AB4A35-E2EB-4DBF-86FB-E54EE2B1FE62}" destId="{C6553CB9-846E-4509-B6CB-620C145D0E09}" srcOrd="7" destOrd="0" presId="urn:microsoft.com/office/officeart/2005/8/layout/default"/>
    <dgm:cxn modelId="{0E7E296B-25B4-412B-9F41-A7965EAE6456}" type="presParOf" srcId="{F3AB4A35-E2EB-4DBF-86FB-E54EE2B1FE62}" destId="{5800D369-D655-450A-A267-583A2F68A6F1}" srcOrd="8" destOrd="0" presId="urn:microsoft.com/office/officeart/2005/8/layout/default"/>
    <dgm:cxn modelId="{99CECE8A-6130-4326-9447-E77A48A66670}" type="presParOf" srcId="{F3AB4A35-E2EB-4DBF-86FB-E54EE2B1FE62}" destId="{A3120A94-973F-4B44-8A46-565AD59DED29}" srcOrd="9" destOrd="0" presId="urn:microsoft.com/office/officeart/2005/8/layout/default"/>
    <dgm:cxn modelId="{25441AC1-326A-4270-9606-F2E464BC424C}" type="presParOf" srcId="{F3AB4A35-E2EB-4DBF-86FB-E54EE2B1FE62}" destId="{D29654AC-8B1F-4715-B3EF-5B9D45DA3F9C}" srcOrd="10" destOrd="0" presId="urn:microsoft.com/office/officeart/2005/8/layout/default"/>
    <dgm:cxn modelId="{3CDD6882-3468-440A-B168-19B6B6447180}" type="presParOf" srcId="{F3AB4A35-E2EB-4DBF-86FB-E54EE2B1FE62}" destId="{4C58FA96-E7B3-4893-BCF3-456F445E7712}" srcOrd="11" destOrd="0" presId="urn:microsoft.com/office/officeart/2005/8/layout/default"/>
    <dgm:cxn modelId="{E0381379-D4F2-49E0-979C-2A9E07AA2875}" type="presParOf" srcId="{F3AB4A35-E2EB-4DBF-86FB-E54EE2B1FE62}" destId="{2069F93F-EC36-45CA-81FA-E28CCFC4EDD2}" srcOrd="12" destOrd="0" presId="urn:microsoft.com/office/officeart/2005/8/layout/default"/>
    <dgm:cxn modelId="{96B912FE-3B1F-4059-ABA3-7743060C147D}" type="presParOf" srcId="{F3AB4A35-E2EB-4DBF-86FB-E54EE2B1FE62}" destId="{04622D16-B8C1-47F2-8A8D-189F57CC602A}" srcOrd="13" destOrd="0" presId="urn:microsoft.com/office/officeart/2005/8/layout/default"/>
    <dgm:cxn modelId="{AE698D54-FBBD-4452-985B-B2C3BA114BB2}"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800">
              <a:effectLst>
                <a:outerShdw blurRad="127000" algn="ctr" rotWithShape="0">
                  <a:prstClr val="black">
                    <a:alpha val="85000"/>
                  </a:prstClr>
                </a:outerShdw>
              </a:effectLst>
            </a:rPr>
            <a:t>Previsto</a:t>
          </a:r>
          <a:r>
            <a:rPr lang="pt-BR" sz="2800">
              <a:effectLst>
                <a:outerShdw blurRad="127000" algn="ctr" rotWithShape="0">
                  <a:prstClr val="black">
                    <a:alpha val="85000"/>
                  </a:prstClr>
                </a:outerShdw>
              </a:effectLst>
            </a:rPr>
            <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800">
              <a:effectLst>
                <a:outerShdw blurRad="127000" algn="ctr" rotWithShape="0">
                  <a:prstClr val="black">
                    <a:alpha val="85000"/>
                  </a:prstClr>
                </a:outerShdw>
              </a:effectLst>
            </a:rPr>
            <a:t>Executado</a:t>
          </a:r>
          <a:br>
            <a:rPr lang="pt-BR" sz="3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6">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5C278EB3-0489-4867-8635-14E9B333B62F}"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5" destOrd="0" parTransId="{08AE95AC-558E-438C-A19E-A0A388B3DCB6}" sibTransId="{9C525CED-778E-45D1-BAA1-570F41FFF524}"/>
    <dgm:cxn modelId="{68504846-FD64-4929-BF38-7CEA0D0E1903}" type="presOf" srcId="{0C5AA470-A2FC-4675-BBC5-FC07F000DB8B}" destId="{F3AB4A35-E2EB-4DBF-86FB-E54EE2B1FE62}" srcOrd="0" destOrd="0" presId="urn:microsoft.com/office/officeart/2005/8/layout/default"/>
    <dgm:cxn modelId="{E8CC2B1B-20F3-4618-A293-258495A21FFC}" type="presOf" srcId="{F6B446C0-6E43-4493-B573-1F94BA4F7210}" destId="{C221B9C3-A015-449B-9E50-6721626A9470}" srcOrd="0" destOrd="0" presId="urn:microsoft.com/office/officeart/2005/8/layout/default"/>
    <dgm:cxn modelId="{8A6ECAE9-161D-4247-B4EC-C97F5E5F0124}" type="presOf" srcId="{4DF42217-B85D-4249-A568-5B509C0F84B5}" destId="{19166087-240F-4205-829D-E61CAF74B1F0}"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B67D0E49-D196-48A4-8171-10001333B283}" type="presOf" srcId="{40E3A9A0-3796-4A48-B2F5-5C63BFC42AC1}" destId="{5800D369-D655-450A-A267-583A2F68A6F1}" srcOrd="0" destOrd="0" presId="urn:microsoft.com/office/officeart/2005/8/layout/default"/>
    <dgm:cxn modelId="{B158E183-C506-4C34-BE65-E1F127A560D3}" srcId="{0C5AA470-A2FC-4675-BBC5-FC07F000DB8B}" destId="{40E3A9A0-3796-4A48-B2F5-5C63BFC42AC1}" srcOrd="4" destOrd="0" parTransId="{6F0AB90E-55A6-42AC-8FFD-DFE7D5C5A47D}" sibTransId="{DD04B6C1-B38B-4696-9D68-BC369D6BA502}"/>
    <dgm:cxn modelId="{26972ED7-CC0A-45FF-8CB0-23CDE345512F}" type="presOf" srcId="{F0D8276B-5F8E-47CD-83BA-660329F4549E}" destId="{BA9D2ED0-16C9-44FB-8D9E-22F9C339ED18}" srcOrd="0" destOrd="0" presId="urn:microsoft.com/office/officeart/2005/8/layout/default"/>
    <dgm:cxn modelId="{9E430EF6-B4E7-4DDB-A4B7-B0DDD2076496}" type="presOf" srcId="{5F2F899A-5BAA-4B36-B786-C4FA5DB84DE2}" destId="{2069F93F-EC36-45CA-81FA-E28CCFC4EDD2}" srcOrd="0" destOrd="0" presId="urn:microsoft.com/office/officeart/2005/8/layout/default"/>
    <dgm:cxn modelId="{306FDC14-2420-45B0-A666-6197FDC00421}" type="presParOf" srcId="{F3AB4A35-E2EB-4DBF-86FB-E54EE2B1FE62}" destId="{BA9D2ED0-16C9-44FB-8D9E-22F9C339ED18}" srcOrd="0" destOrd="0" presId="urn:microsoft.com/office/officeart/2005/8/layout/default"/>
    <dgm:cxn modelId="{C480E9E5-5920-4484-B3C2-F0F22A5B9724}" type="presParOf" srcId="{F3AB4A35-E2EB-4DBF-86FB-E54EE2B1FE62}" destId="{8745EF1C-A4C9-4E6A-99FD-78BF7B12622C}" srcOrd="1" destOrd="0" presId="urn:microsoft.com/office/officeart/2005/8/layout/default"/>
    <dgm:cxn modelId="{C8D12C41-CF0D-4432-BC4C-B48282A24A11}" type="presParOf" srcId="{F3AB4A35-E2EB-4DBF-86FB-E54EE2B1FE62}" destId="{CB133F5D-DBBA-4B12-9FEC-4E54C8197093}" srcOrd="2" destOrd="0" presId="urn:microsoft.com/office/officeart/2005/8/layout/default"/>
    <dgm:cxn modelId="{9E6574C8-D832-4D2B-ADD2-B8466334A4C8}" type="presParOf" srcId="{F3AB4A35-E2EB-4DBF-86FB-E54EE2B1FE62}" destId="{701E9B6D-506A-4B8B-B1E6-AB2D8DB9BB03}" srcOrd="3" destOrd="0" presId="urn:microsoft.com/office/officeart/2005/8/layout/default"/>
    <dgm:cxn modelId="{99179E8B-7257-4187-BBBA-5D6C4BDDE568}" type="presParOf" srcId="{F3AB4A35-E2EB-4DBF-86FB-E54EE2B1FE62}" destId="{C221B9C3-A015-449B-9E50-6721626A9470}" srcOrd="4" destOrd="0" presId="urn:microsoft.com/office/officeart/2005/8/layout/default"/>
    <dgm:cxn modelId="{B89730F0-07E2-4831-96ED-96237A9D7059}" type="presParOf" srcId="{F3AB4A35-E2EB-4DBF-86FB-E54EE2B1FE62}" destId="{4A1C71E8-C584-4258-87C4-328020FE1131}" srcOrd="5" destOrd="0" presId="urn:microsoft.com/office/officeart/2005/8/layout/default"/>
    <dgm:cxn modelId="{0CB3ED00-11D5-49DE-8886-73EB98678E2B}" type="presParOf" srcId="{F3AB4A35-E2EB-4DBF-86FB-E54EE2B1FE62}" destId="{19166087-240F-4205-829D-E61CAF74B1F0}" srcOrd="6" destOrd="0" presId="urn:microsoft.com/office/officeart/2005/8/layout/default"/>
    <dgm:cxn modelId="{88A82CDD-D2AB-4807-9B5C-8841A345371F}" type="presParOf" srcId="{F3AB4A35-E2EB-4DBF-86FB-E54EE2B1FE62}" destId="{C6553CB9-846E-4509-B6CB-620C145D0E09}" srcOrd="7" destOrd="0" presId="urn:microsoft.com/office/officeart/2005/8/layout/default"/>
    <dgm:cxn modelId="{6C9BD60C-246D-474E-9CAF-3039EF2CFF29}" type="presParOf" srcId="{F3AB4A35-E2EB-4DBF-86FB-E54EE2B1FE62}" destId="{5800D369-D655-450A-A267-583A2F68A6F1}" srcOrd="8" destOrd="0" presId="urn:microsoft.com/office/officeart/2005/8/layout/default"/>
    <dgm:cxn modelId="{AA4DAFF4-32BE-40C8-9A89-A3CD59457983}" type="presParOf" srcId="{F3AB4A35-E2EB-4DBF-86FB-E54EE2B1FE62}" destId="{A3120A94-973F-4B44-8A46-565AD59DED29}" srcOrd="9" destOrd="0" presId="urn:microsoft.com/office/officeart/2005/8/layout/default"/>
    <dgm:cxn modelId="{DE2FD039-E4AF-47FA-98E2-CC92056CD87D}"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400">
              <a:effectLst>
                <a:outerShdw blurRad="127000" algn="ctr" rotWithShape="0">
                  <a:prstClr val="black">
                    <a:alpha val="85000"/>
                  </a:prstClr>
                </a:outerShdw>
              </a:effectLst>
            </a:rPr>
            <a:t>Empresas Previstas</a:t>
          </a:r>
          <a:r>
            <a:rPr lang="pt-BR" sz="5400">
              <a:effectLst>
                <a:outerShdw blurRad="127000" algn="ctr" rotWithShape="0">
                  <a:prstClr val="black">
                    <a:alpha val="85000"/>
                  </a:prstClr>
                </a:outerShdw>
              </a:effectLst>
            </a:rPr>
            <a:t/>
          </a:r>
          <a:br>
            <a:rPr lang="pt-BR" sz="54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4000">
              <a:effectLst>
                <a:outerShdw blurRad="127000" algn="ctr" rotWithShape="0">
                  <a:prstClr val="black">
                    <a:alpha val="85000"/>
                  </a:prstClr>
                </a:outerShdw>
              </a:effectLst>
            </a:rPr>
            <a:t>Execução</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Dez.</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Empresa Atuais</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Dez.</a:t>
          </a:r>
          <a:endParaRPr lang="pt-BR" sz="2400">
            <a:solidFill>
              <a:srgbClr val="FFFF00"/>
            </a:solidFill>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4000">
              <a:effectLst>
                <a:outerShdw blurRad="127000" algn="ctr" rotWithShape="0">
                  <a:prstClr val="black">
                    <a:alpha val="85000"/>
                  </a:prstClr>
                </a:outerShdw>
              </a:effectLst>
            </a:rPr>
            <a:t>Variação frente a 2019</a:t>
          </a:r>
          <a:endParaRPr lang="pt-BR" sz="18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t>
        <a:bodyPr/>
        <a:lstStyle/>
        <a:p>
          <a:endParaRPr lang="pt-BR"/>
        </a:p>
      </dgm:t>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t>
        <a:bodyPr/>
        <a:lstStyle/>
        <a:p>
          <a:endParaRPr lang="pt-BR"/>
        </a:p>
      </dgm:t>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27565891-AF0E-4831-8C62-71D90D1EFAE2}" type="presOf" srcId="{F0D8276B-5F8E-47CD-83BA-660329F4549E}" destId="{BA9D2ED0-16C9-44FB-8D9E-22F9C339ED18}" srcOrd="0" destOrd="0" presId="urn:microsoft.com/office/officeart/2005/8/layout/default"/>
    <dgm:cxn modelId="{105BEFF4-D8AD-47C8-81DC-5325D2B5C1CD}" type="presOf" srcId="{F6B446C0-6E43-4493-B573-1F94BA4F7210}" destId="{C221B9C3-A015-449B-9E50-6721626A9470}"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2773B993-FBBD-4D05-BA87-03BA1E91E338}" type="presOf" srcId="{5F2F899A-5BAA-4B36-B786-C4FA5DB84DE2}" destId="{2069F93F-EC36-45CA-81FA-E28CCFC4EDD2}" srcOrd="0" destOrd="0" presId="urn:microsoft.com/office/officeart/2005/8/layout/default"/>
    <dgm:cxn modelId="{81F633F9-17F2-41A0-A87C-DECC4856664C}" type="presOf" srcId="{40E3A9A0-3796-4A48-B2F5-5C63BFC42AC1}" destId="{5800D369-D655-450A-A267-583A2F68A6F1}" srcOrd="0" destOrd="0" presId="urn:microsoft.com/office/officeart/2005/8/layout/default"/>
    <dgm:cxn modelId="{5925E93D-C964-48E1-8A33-5C269FA84C86}" type="presOf" srcId="{F28F4473-498E-415A-A16F-A60D42C55427}" destId="{CB133F5D-DBBA-4B12-9FEC-4E54C8197093}" srcOrd="0" destOrd="0" presId="urn:microsoft.com/office/officeart/2005/8/layout/default"/>
    <dgm:cxn modelId="{19631FBD-CB59-4BA7-9A5C-56694A288106}" type="presOf" srcId="{4DF42217-B85D-4249-A568-5B509C0F84B5}" destId="{19166087-240F-4205-829D-E61CAF74B1F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79C41277-7F51-4EC5-ACB4-4126B0BEC41E}" srcId="{0C5AA470-A2FC-4675-BBC5-FC07F000DB8B}" destId="{F6B446C0-6E43-4493-B573-1F94BA4F7210}" srcOrd="2" destOrd="0" parTransId="{A5B8B45E-BFBE-4027-8547-12672DBE4560}" sibTransId="{7066175E-01F0-4FAF-BDE1-888990D25D74}"/>
    <dgm:cxn modelId="{D2384901-56BD-4D12-B13F-CFCA82E1F3D9}" type="presOf" srcId="{0C5AA470-A2FC-4675-BBC5-FC07F000DB8B}" destId="{F3AB4A35-E2EB-4DBF-86FB-E54EE2B1FE6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B958BD50-1BB3-45A9-A210-7DACD9CFC501}" type="presOf" srcId="{5AF3E079-3959-4CCD-A44E-0F873ADAD033}" destId="{81E86E99-3676-4A87-9CCC-09470BFADE6D}" srcOrd="0" destOrd="0" presId="urn:microsoft.com/office/officeart/2005/8/layout/default"/>
    <dgm:cxn modelId="{B158E183-C506-4C34-BE65-E1F127A560D3}" srcId="{0C5AA470-A2FC-4675-BBC5-FC07F000DB8B}" destId="{40E3A9A0-3796-4A48-B2F5-5C63BFC42AC1}" srcOrd="6" destOrd="0" parTransId="{6F0AB90E-55A6-42AC-8FFD-DFE7D5C5A47D}" sibTransId="{DD04B6C1-B38B-4696-9D68-BC369D6BA502}"/>
    <dgm:cxn modelId="{8CC35CB0-A234-4247-A746-9F1FDD0500DE}" srcId="{0C5AA470-A2FC-4675-BBC5-FC07F000DB8B}" destId="{77745E09-BC33-4467-A7D0-00D63E26BF57}" srcOrd="5" destOrd="0" parTransId="{05C29930-DCA4-47D2-8F9D-D1F8B73BDC24}" sibTransId="{5B9CC1F3-60FF-4ABF-8213-2DA0778BB206}"/>
    <dgm:cxn modelId="{F1E949C3-E926-4C58-8F6B-90B4B6228FF4}" type="presOf" srcId="{77745E09-BC33-4467-A7D0-00D63E26BF57}" destId="{0E296175-191A-4DDD-9AFD-C58180D0C5B1}" srcOrd="0" destOrd="0" presId="urn:microsoft.com/office/officeart/2005/8/layout/default"/>
    <dgm:cxn modelId="{A65BD774-4BD3-4F37-B62E-A55372A7E176}" type="presParOf" srcId="{F3AB4A35-E2EB-4DBF-86FB-E54EE2B1FE62}" destId="{BA9D2ED0-16C9-44FB-8D9E-22F9C339ED18}" srcOrd="0" destOrd="0" presId="urn:microsoft.com/office/officeart/2005/8/layout/default"/>
    <dgm:cxn modelId="{0AE27649-0D32-42F1-B5BD-7BB2CE6C00CC}" type="presParOf" srcId="{F3AB4A35-E2EB-4DBF-86FB-E54EE2B1FE62}" destId="{8745EF1C-A4C9-4E6A-99FD-78BF7B12622C}" srcOrd="1" destOrd="0" presId="urn:microsoft.com/office/officeart/2005/8/layout/default"/>
    <dgm:cxn modelId="{054C645C-0A53-477E-B4E8-A1021C32B889}" type="presParOf" srcId="{F3AB4A35-E2EB-4DBF-86FB-E54EE2B1FE62}" destId="{CB133F5D-DBBA-4B12-9FEC-4E54C8197093}" srcOrd="2" destOrd="0" presId="urn:microsoft.com/office/officeart/2005/8/layout/default"/>
    <dgm:cxn modelId="{9BF8BFB5-4070-49C8-BF13-B5AA4E4E7634}" type="presParOf" srcId="{F3AB4A35-E2EB-4DBF-86FB-E54EE2B1FE62}" destId="{701E9B6D-506A-4B8B-B1E6-AB2D8DB9BB03}" srcOrd="3" destOrd="0" presId="urn:microsoft.com/office/officeart/2005/8/layout/default"/>
    <dgm:cxn modelId="{3852FEDC-ED42-4E29-90CF-8FDE22E90523}" type="presParOf" srcId="{F3AB4A35-E2EB-4DBF-86FB-E54EE2B1FE62}" destId="{C221B9C3-A015-449B-9E50-6721626A9470}" srcOrd="4" destOrd="0" presId="urn:microsoft.com/office/officeart/2005/8/layout/default"/>
    <dgm:cxn modelId="{329ABD8B-01D4-48D7-B630-6F441EAA6E2E}" type="presParOf" srcId="{F3AB4A35-E2EB-4DBF-86FB-E54EE2B1FE62}" destId="{4A1C71E8-C584-4258-87C4-328020FE1131}" srcOrd="5" destOrd="0" presId="urn:microsoft.com/office/officeart/2005/8/layout/default"/>
    <dgm:cxn modelId="{888F186B-8BE9-4642-BE51-B941CD5B9C77}" type="presParOf" srcId="{F3AB4A35-E2EB-4DBF-86FB-E54EE2B1FE62}" destId="{19166087-240F-4205-829D-E61CAF74B1F0}" srcOrd="6" destOrd="0" presId="urn:microsoft.com/office/officeart/2005/8/layout/default"/>
    <dgm:cxn modelId="{29856311-D990-4E04-9281-40EF47ABA5FE}" type="presParOf" srcId="{F3AB4A35-E2EB-4DBF-86FB-E54EE2B1FE62}" destId="{C6553CB9-846E-4509-B6CB-620C145D0E09}" srcOrd="7" destOrd="0" presId="urn:microsoft.com/office/officeart/2005/8/layout/default"/>
    <dgm:cxn modelId="{7CC83601-3969-49AB-8892-BA14D4E75FD1}" type="presParOf" srcId="{F3AB4A35-E2EB-4DBF-86FB-E54EE2B1FE62}" destId="{81E86E99-3676-4A87-9CCC-09470BFADE6D}" srcOrd="8" destOrd="0" presId="urn:microsoft.com/office/officeart/2005/8/layout/default"/>
    <dgm:cxn modelId="{3B8A4EF8-2A4B-41CE-8E65-ECCBE379E32C}" type="presParOf" srcId="{F3AB4A35-E2EB-4DBF-86FB-E54EE2B1FE62}" destId="{377F2A98-069B-4BD1-8E80-CF862BE0BD68}" srcOrd="9" destOrd="0" presId="urn:microsoft.com/office/officeart/2005/8/layout/default"/>
    <dgm:cxn modelId="{AA95724F-A622-4AB7-87B1-4A4234867CA1}" type="presParOf" srcId="{F3AB4A35-E2EB-4DBF-86FB-E54EE2B1FE62}" destId="{0E296175-191A-4DDD-9AFD-C58180D0C5B1}" srcOrd="10" destOrd="0" presId="urn:microsoft.com/office/officeart/2005/8/layout/default"/>
    <dgm:cxn modelId="{E9CC0166-0692-4925-A0FD-D71CC9158648}" type="presParOf" srcId="{F3AB4A35-E2EB-4DBF-86FB-E54EE2B1FE62}" destId="{7714FE89-4579-418B-8464-0F4B85BAC6A5}" srcOrd="11" destOrd="0" presId="urn:microsoft.com/office/officeart/2005/8/layout/default"/>
    <dgm:cxn modelId="{83468CBB-D031-42CB-9160-003138C1BE17}" type="presParOf" srcId="{F3AB4A35-E2EB-4DBF-86FB-E54EE2B1FE62}" destId="{5800D369-D655-450A-A267-583A2F68A6F1}" srcOrd="12" destOrd="0" presId="urn:microsoft.com/office/officeart/2005/8/layout/default"/>
    <dgm:cxn modelId="{E8C199CC-10F8-49C0-A567-915C5618EBAF}" type="presParOf" srcId="{F3AB4A35-E2EB-4DBF-86FB-E54EE2B1FE62}" destId="{A3120A94-973F-4B44-8A46-565AD59DED29}" srcOrd="13" destOrd="0" presId="urn:microsoft.com/office/officeart/2005/8/layout/default"/>
    <dgm:cxn modelId="{A25B98B6-D2C2-4BCE-9E82-92D5243A22C2}"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 </a:t>
          </a: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000">
              <a:effectLst>
                <a:outerShdw blurRad="127000" algn="ctr" rotWithShape="0">
                  <a:prstClr val="black">
                    <a:alpha val="85000"/>
                  </a:prstClr>
                </a:outerShdw>
              </a:effectLst>
            </a:rPr>
            <a:t>% de Execução</a:t>
          </a:r>
          <a:r>
            <a:rPr lang="pt-BR" sz="2400">
              <a:effectLst>
                <a:outerShdw blurRad="127000" algn="ctr" rotWithShape="0">
                  <a:prstClr val="black">
                    <a:alpha val="85000"/>
                  </a:prstClr>
                </a:outerShdw>
              </a:effectLst>
            </a:rPr>
            <a:t/>
          </a:r>
          <a:br>
            <a:rPr lang="pt-BR" sz="24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Dez.</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8918B4A0-50B2-4C12-A35A-46BE8128BF63}">
      <dgm:prSet/>
      <dgm:spPr/>
      <dgm:t>
        <a:bodyPr/>
        <a:lstStyle/>
        <a:p>
          <a:endParaRPr lang="pt-BR"/>
        </a:p>
      </dgm:t>
    </dgm:pt>
    <dgm:pt modelId="{D8527542-C4AC-4B35-9671-87EA07F3C5A2}" type="parTrans" cxnId="{9F8A78CE-143B-488A-9BB5-D7B280BDDB71}">
      <dgm:prSet/>
      <dgm:spPr/>
      <dgm:t>
        <a:bodyPr/>
        <a:lstStyle/>
        <a:p>
          <a:endParaRPr lang="pt-BR"/>
        </a:p>
      </dgm:t>
    </dgm:pt>
    <dgm:pt modelId="{F244435A-76BC-45B1-B7ED-7C9FE8513941}" type="sibTrans" cxnId="{9F8A78CE-143B-488A-9BB5-D7B280BDDB71}">
      <dgm:prSet/>
      <dgm:spPr/>
      <dgm:t>
        <a:bodyPr/>
        <a:lstStyle/>
        <a:p>
          <a:endParaRPr lang="pt-BR"/>
        </a:p>
      </dgm:t>
    </dgm:pt>
    <dgm:pt modelId="{BE1EA09F-8CE9-49DC-92EE-F540C65010BB}">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352ECD4B-5EC6-4813-AA4F-1652AD5245A8}" type="parTrans" cxnId="{FA1C97D6-7BAF-4165-8AF0-3DF2CD2D8CAA}">
      <dgm:prSet/>
      <dgm:spPr/>
      <dgm:t>
        <a:bodyPr/>
        <a:lstStyle/>
        <a:p>
          <a:endParaRPr lang="pt-BR"/>
        </a:p>
      </dgm:t>
    </dgm:pt>
    <dgm:pt modelId="{F0EDC0F1-F5A6-4B37-A5D1-B8D255617E13}" type="sibTrans" cxnId="{FA1C97D6-7BAF-4165-8AF0-3DF2CD2D8CA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1EDBA391-CE45-4122-A2BD-AC939FFB038A}" type="pres">
      <dgm:prSet presAssocID="{8918B4A0-50B2-4C12-A35A-46BE8128BF63}" presName="node" presStyleLbl="node1" presStyleIdx="5" presStyleCnt="8">
        <dgm:presLayoutVars>
          <dgm:bulletEnabled val="1"/>
        </dgm:presLayoutVars>
      </dgm:prSet>
      <dgm:spPr/>
      <dgm:t>
        <a:bodyPr/>
        <a:lstStyle/>
        <a:p>
          <a:endParaRPr lang="pt-BR"/>
        </a:p>
      </dgm:t>
    </dgm:pt>
    <dgm:pt modelId="{6A03171D-3477-4618-BB50-EC04C09AFDAA}" type="pres">
      <dgm:prSet presAssocID="{F244435A-76BC-45B1-B7ED-7C9FE8513941}" presName="sibTrans" presStyleCnt="0"/>
      <dgm:spPr/>
    </dgm:pt>
    <dgm:pt modelId="{26C29F5A-5C9B-4D16-A9F5-DF7736AB47DF}" type="pres">
      <dgm:prSet presAssocID="{BE1EA09F-8CE9-49DC-92EE-F540C65010BB}" presName="node" presStyleLbl="node1" presStyleIdx="6" presStyleCnt="8">
        <dgm:presLayoutVars>
          <dgm:bulletEnabled val="1"/>
        </dgm:presLayoutVars>
      </dgm:prSet>
      <dgm:spPr/>
      <dgm:t>
        <a:bodyPr/>
        <a:lstStyle/>
        <a:p>
          <a:endParaRPr lang="pt-BR"/>
        </a:p>
      </dgm:t>
    </dgm:pt>
    <dgm:pt modelId="{46E90995-A60B-4608-A51C-6EF572F91007}" type="pres">
      <dgm:prSet presAssocID="{F0EDC0F1-F5A6-4B37-A5D1-B8D255617E13}"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FA1C97D6-7BAF-4165-8AF0-3DF2CD2D8CAA}" srcId="{0C5AA470-A2FC-4675-BBC5-FC07F000DB8B}" destId="{BE1EA09F-8CE9-49DC-92EE-F540C65010BB}" srcOrd="6" destOrd="0" parTransId="{352ECD4B-5EC6-4813-AA4F-1652AD5245A8}" sibTransId="{F0EDC0F1-F5A6-4B37-A5D1-B8D255617E13}"/>
    <dgm:cxn modelId="{9379BA54-7299-494B-9653-5AEDE786002F}" type="presOf" srcId="{40E3A9A0-3796-4A48-B2F5-5C63BFC42AC1}" destId="{5800D369-D655-450A-A267-583A2F68A6F1}"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9F8A78CE-143B-488A-9BB5-D7B280BDDB71}" srcId="{0C5AA470-A2FC-4675-BBC5-FC07F000DB8B}" destId="{8918B4A0-50B2-4C12-A35A-46BE8128BF63}" srcOrd="5" destOrd="0" parTransId="{D8527542-C4AC-4B35-9671-87EA07F3C5A2}" sibTransId="{F244435A-76BC-45B1-B7ED-7C9FE8513941}"/>
    <dgm:cxn modelId="{FBEC7CAC-94AC-46B1-B569-FEAE10C7471D}" type="presOf" srcId="{F28F4473-498E-415A-A16F-A60D42C55427}" destId="{CB133F5D-DBBA-4B12-9FEC-4E54C8197093}" srcOrd="0" destOrd="0" presId="urn:microsoft.com/office/officeart/2005/8/layout/default"/>
    <dgm:cxn modelId="{39692E14-1646-4D8C-B789-AE85F3001E1A}" type="presOf" srcId="{4DF42217-B85D-4249-A568-5B509C0F84B5}" destId="{19166087-240F-4205-829D-E61CAF74B1F0}" srcOrd="0" destOrd="0" presId="urn:microsoft.com/office/officeart/2005/8/layout/default"/>
    <dgm:cxn modelId="{C40D7991-49B4-4608-AC07-0AEE9CB3097B}" type="presOf" srcId="{BE1EA09F-8CE9-49DC-92EE-F540C65010BB}" destId="{26C29F5A-5C9B-4D16-A9F5-DF7736AB47DF}"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0EB3B403-BEB6-4BAF-A064-33A66C428A1E}" type="presOf" srcId="{8918B4A0-50B2-4C12-A35A-46BE8128BF63}" destId="{1EDBA391-CE45-4122-A2BD-AC939FFB038A}" srcOrd="0" destOrd="0" presId="urn:microsoft.com/office/officeart/2005/8/layout/default"/>
    <dgm:cxn modelId="{B8BEE3D1-2141-492B-A18B-AB5041A33F3D}" type="presOf" srcId="{F0D8276B-5F8E-47CD-83BA-660329F4549E}" destId="{BA9D2ED0-16C9-44FB-8D9E-22F9C339ED18}" srcOrd="0" destOrd="0" presId="urn:microsoft.com/office/officeart/2005/8/layout/default"/>
    <dgm:cxn modelId="{E07379E7-29EE-4949-973B-25ED921B8470}"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2C239D01-11AC-425D-AD4F-152DD124D937}" type="presOf" srcId="{F6B446C0-6E43-4493-B573-1F94BA4F7210}" destId="{C221B9C3-A015-449B-9E50-6721626A9470}" srcOrd="0" destOrd="0" presId="urn:microsoft.com/office/officeart/2005/8/layout/default"/>
    <dgm:cxn modelId="{B158E183-C506-4C34-BE65-E1F127A560D3}" srcId="{0C5AA470-A2FC-4675-BBC5-FC07F000DB8B}" destId="{40E3A9A0-3796-4A48-B2F5-5C63BFC42AC1}" srcOrd="4" destOrd="0" parTransId="{6F0AB90E-55A6-42AC-8FFD-DFE7D5C5A47D}" sibTransId="{DD04B6C1-B38B-4696-9D68-BC369D6BA502}"/>
    <dgm:cxn modelId="{640EFFD9-24EA-4FA5-A8A9-4F33512D6049}" type="presOf" srcId="{0C5AA470-A2FC-4675-BBC5-FC07F000DB8B}" destId="{F3AB4A35-E2EB-4DBF-86FB-E54EE2B1FE62}" srcOrd="0" destOrd="0" presId="urn:microsoft.com/office/officeart/2005/8/layout/default"/>
    <dgm:cxn modelId="{7A367255-4619-4F00-9EDB-843201FB097D}" type="presParOf" srcId="{F3AB4A35-E2EB-4DBF-86FB-E54EE2B1FE62}" destId="{BA9D2ED0-16C9-44FB-8D9E-22F9C339ED18}" srcOrd="0" destOrd="0" presId="urn:microsoft.com/office/officeart/2005/8/layout/default"/>
    <dgm:cxn modelId="{C17E9ACD-E960-4291-BF09-DD872BF6227C}" type="presParOf" srcId="{F3AB4A35-E2EB-4DBF-86FB-E54EE2B1FE62}" destId="{8745EF1C-A4C9-4E6A-99FD-78BF7B12622C}" srcOrd="1" destOrd="0" presId="urn:microsoft.com/office/officeart/2005/8/layout/default"/>
    <dgm:cxn modelId="{CFE84F36-630D-49FD-A349-709F75208F51}" type="presParOf" srcId="{F3AB4A35-E2EB-4DBF-86FB-E54EE2B1FE62}" destId="{CB133F5D-DBBA-4B12-9FEC-4E54C8197093}" srcOrd="2" destOrd="0" presId="urn:microsoft.com/office/officeart/2005/8/layout/default"/>
    <dgm:cxn modelId="{1648A257-CA35-407F-951D-64F1629E55DB}" type="presParOf" srcId="{F3AB4A35-E2EB-4DBF-86FB-E54EE2B1FE62}" destId="{701E9B6D-506A-4B8B-B1E6-AB2D8DB9BB03}" srcOrd="3" destOrd="0" presId="urn:microsoft.com/office/officeart/2005/8/layout/default"/>
    <dgm:cxn modelId="{434E1B12-E5C9-4733-B9CC-E41A23440012}" type="presParOf" srcId="{F3AB4A35-E2EB-4DBF-86FB-E54EE2B1FE62}" destId="{C221B9C3-A015-449B-9E50-6721626A9470}" srcOrd="4" destOrd="0" presId="urn:microsoft.com/office/officeart/2005/8/layout/default"/>
    <dgm:cxn modelId="{4FE5C63A-DE38-4094-A88C-78848F541C28}" type="presParOf" srcId="{F3AB4A35-E2EB-4DBF-86FB-E54EE2B1FE62}" destId="{4A1C71E8-C584-4258-87C4-328020FE1131}" srcOrd="5" destOrd="0" presId="urn:microsoft.com/office/officeart/2005/8/layout/default"/>
    <dgm:cxn modelId="{23DF6BF9-DA91-4C7F-B724-B666FD50A33C}" type="presParOf" srcId="{F3AB4A35-E2EB-4DBF-86FB-E54EE2B1FE62}" destId="{19166087-240F-4205-829D-E61CAF74B1F0}" srcOrd="6" destOrd="0" presId="urn:microsoft.com/office/officeart/2005/8/layout/default"/>
    <dgm:cxn modelId="{5190B2E5-5087-4432-9330-4F72BA8BF902}" type="presParOf" srcId="{F3AB4A35-E2EB-4DBF-86FB-E54EE2B1FE62}" destId="{C6553CB9-846E-4509-B6CB-620C145D0E09}" srcOrd="7" destOrd="0" presId="urn:microsoft.com/office/officeart/2005/8/layout/default"/>
    <dgm:cxn modelId="{5B455501-9129-445E-8CD5-BB9CF09F1840}" type="presParOf" srcId="{F3AB4A35-E2EB-4DBF-86FB-E54EE2B1FE62}" destId="{5800D369-D655-450A-A267-583A2F68A6F1}" srcOrd="8" destOrd="0" presId="urn:microsoft.com/office/officeart/2005/8/layout/default"/>
    <dgm:cxn modelId="{5C5D220C-9C47-48A1-B28E-C2FF2844D0FC}" type="presParOf" srcId="{F3AB4A35-E2EB-4DBF-86FB-E54EE2B1FE62}" destId="{A3120A94-973F-4B44-8A46-565AD59DED29}" srcOrd="9" destOrd="0" presId="urn:microsoft.com/office/officeart/2005/8/layout/default"/>
    <dgm:cxn modelId="{480F1418-697A-44E4-8BA0-9C94D685B5F2}" type="presParOf" srcId="{F3AB4A35-E2EB-4DBF-86FB-E54EE2B1FE62}" destId="{1EDBA391-CE45-4122-A2BD-AC939FFB038A}" srcOrd="10" destOrd="0" presId="urn:microsoft.com/office/officeart/2005/8/layout/default"/>
    <dgm:cxn modelId="{ECC65808-1785-4D42-8F1F-B2DB3262A22D}" type="presParOf" srcId="{F3AB4A35-E2EB-4DBF-86FB-E54EE2B1FE62}" destId="{6A03171D-3477-4618-BB50-EC04C09AFDAA}" srcOrd="11" destOrd="0" presId="urn:microsoft.com/office/officeart/2005/8/layout/default"/>
    <dgm:cxn modelId="{4A3F6191-7525-4E14-9E3F-CB24D8D39340}" type="presParOf" srcId="{F3AB4A35-E2EB-4DBF-86FB-E54EE2B1FE62}" destId="{26C29F5A-5C9B-4D16-A9F5-DF7736AB47DF}" srcOrd="12" destOrd="0" presId="urn:microsoft.com/office/officeart/2005/8/layout/default"/>
    <dgm:cxn modelId="{14ECAA9D-5B99-4380-BE7B-C3413FEA9C63}" type="presParOf" srcId="{F3AB4A35-E2EB-4DBF-86FB-E54EE2B1FE62}" destId="{46E90995-A60B-4608-A51C-6EF572F91007}" srcOrd="13" destOrd="0" presId="urn:microsoft.com/office/officeart/2005/8/layout/default"/>
    <dgm:cxn modelId="{90933398-AA07-4311-9020-D951592FF2DF}"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0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Dez.</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700">
              <a:effectLst>
                <a:outerShdw blurRad="127000" algn="ctr" rotWithShape="0">
                  <a:prstClr val="black">
                    <a:alpha val="85000"/>
                  </a:prstClr>
                </a:outerShdw>
              </a:effectLst>
            </a:rPr>
            <a:t>Executado</a:t>
          </a:r>
          <a:br>
            <a:rPr lang="pt-BR" sz="37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endParaRPr lang="pt-BR" sz="28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6">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D6FC395E-5F76-4A4C-BA4E-B3EC5E0A46DC}" type="presOf" srcId="{F0D8276B-5F8E-47CD-83BA-660329F4549E}" destId="{BA9D2ED0-16C9-44FB-8D9E-22F9C339ED18}" srcOrd="0" destOrd="0" presId="urn:microsoft.com/office/officeart/2005/8/layout/default"/>
    <dgm:cxn modelId="{7704F592-3202-4006-8CAB-5C864EBD3C3D}" srcId="{0C5AA470-A2FC-4675-BBC5-FC07F000DB8B}" destId="{5F2F899A-5BAA-4B36-B786-C4FA5DB84DE2}" srcOrd="5" destOrd="0" parTransId="{08AE95AC-558E-438C-A19E-A0A388B3DCB6}" sibTransId="{9C525CED-778E-45D1-BAA1-570F41FFF524}"/>
    <dgm:cxn modelId="{EC9FEECC-1AC0-4E79-9BC2-0602A1BA9E3E}" type="presOf" srcId="{40E3A9A0-3796-4A48-B2F5-5C63BFC42AC1}" destId="{5800D369-D655-450A-A267-583A2F68A6F1}" srcOrd="0" destOrd="0" presId="urn:microsoft.com/office/officeart/2005/8/layout/default"/>
    <dgm:cxn modelId="{CE7362F7-ABB2-44F3-9CA0-AE2F8715AC38}" type="presOf" srcId="{5F2F899A-5BAA-4B36-B786-C4FA5DB84DE2}" destId="{2069F93F-EC36-45CA-81FA-E28CCFC4EDD2}" srcOrd="0" destOrd="0" presId="urn:microsoft.com/office/officeart/2005/8/layout/default"/>
    <dgm:cxn modelId="{BD412009-F02E-4655-A6CD-75ACD689F94F}" type="presOf" srcId="{0C5AA470-A2FC-4675-BBC5-FC07F000DB8B}" destId="{F3AB4A35-E2EB-4DBF-86FB-E54EE2B1FE62}"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2347FC3E-3097-4632-83FD-A59185131CAD}" type="presOf" srcId="{F28F4473-498E-415A-A16F-A60D42C55427}" destId="{CB133F5D-DBBA-4B12-9FEC-4E54C8197093}" srcOrd="0" destOrd="0" presId="urn:microsoft.com/office/officeart/2005/8/layout/default"/>
    <dgm:cxn modelId="{D36747CF-CF06-4AE2-8EA4-5A7A008DD5F8}" type="presOf" srcId="{F6B446C0-6E43-4493-B573-1F94BA4F7210}" destId="{C221B9C3-A015-449B-9E50-6721626A9470}" srcOrd="0" destOrd="0" presId="urn:microsoft.com/office/officeart/2005/8/layout/default"/>
    <dgm:cxn modelId="{B158E183-C506-4C34-BE65-E1F127A560D3}" srcId="{0C5AA470-A2FC-4675-BBC5-FC07F000DB8B}" destId="{40E3A9A0-3796-4A48-B2F5-5C63BFC42AC1}" srcOrd="4" destOrd="0" parTransId="{6F0AB90E-55A6-42AC-8FFD-DFE7D5C5A47D}" sibTransId="{DD04B6C1-B38B-4696-9D68-BC369D6BA502}"/>
    <dgm:cxn modelId="{EA3E4274-F9B0-49FE-B3CD-7D8E6CD8CEB1}" type="presOf" srcId="{4DF42217-B85D-4249-A568-5B509C0F84B5}" destId="{19166087-240F-4205-829D-E61CAF74B1F0}" srcOrd="0" destOrd="0" presId="urn:microsoft.com/office/officeart/2005/8/layout/default"/>
    <dgm:cxn modelId="{14FDECBC-C2C6-4FF3-AADC-02DF29FE0298}" type="presParOf" srcId="{F3AB4A35-E2EB-4DBF-86FB-E54EE2B1FE62}" destId="{BA9D2ED0-16C9-44FB-8D9E-22F9C339ED18}" srcOrd="0" destOrd="0" presId="urn:microsoft.com/office/officeart/2005/8/layout/default"/>
    <dgm:cxn modelId="{FC4ECCB6-CAFB-4223-B10A-2E61274BB45B}" type="presParOf" srcId="{F3AB4A35-E2EB-4DBF-86FB-E54EE2B1FE62}" destId="{8745EF1C-A4C9-4E6A-99FD-78BF7B12622C}" srcOrd="1" destOrd="0" presId="urn:microsoft.com/office/officeart/2005/8/layout/default"/>
    <dgm:cxn modelId="{1B867E5D-CF3D-41E1-8B9B-BFCA406CC744}" type="presParOf" srcId="{F3AB4A35-E2EB-4DBF-86FB-E54EE2B1FE62}" destId="{CB133F5D-DBBA-4B12-9FEC-4E54C8197093}" srcOrd="2" destOrd="0" presId="urn:microsoft.com/office/officeart/2005/8/layout/default"/>
    <dgm:cxn modelId="{17F81A08-B61D-44EA-80DC-2F874A779803}" type="presParOf" srcId="{F3AB4A35-E2EB-4DBF-86FB-E54EE2B1FE62}" destId="{701E9B6D-506A-4B8B-B1E6-AB2D8DB9BB03}" srcOrd="3" destOrd="0" presId="urn:microsoft.com/office/officeart/2005/8/layout/default"/>
    <dgm:cxn modelId="{BD682C1A-733B-450A-823E-E6794B2818E1}" type="presParOf" srcId="{F3AB4A35-E2EB-4DBF-86FB-E54EE2B1FE62}" destId="{C221B9C3-A015-449B-9E50-6721626A9470}" srcOrd="4" destOrd="0" presId="urn:microsoft.com/office/officeart/2005/8/layout/default"/>
    <dgm:cxn modelId="{DB6D00E6-DE3F-431F-B22D-C16E225678A7}" type="presParOf" srcId="{F3AB4A35-E2EB-4DBF-86FB-E54EE2B1FE62}" destId="{4A1C71E8-C584-4258-87C4-328020FE1131}" srcOrd="5" destOrd="0" presId="urn:microsoft.com/office/officeart/2005/8/layout/default"/>
    <dgm:cxn modelId="{C735B666-9298-4207-A11D-6243B5E0E5AA}" type="presParOf" srcId="{F3AB4A35-E2EB-4DBF-86FB-E54EE2B1FE62}" destId="{19166087-240F-4205-829D-E61CAF74B1F0}" srcOrd="6" destOrd="0" presId="urn:microsoft.com/office/officeart/2005/8/layout/default"/>
    <dgm:cxn modelId="{07E00938-9D97-4C7E-BB15-0FA410B10972}" type="presParOf" srcId="{F3AB4A35-E2EB-4DBF-86FB-E54EE2B1FE62}" destId="{C6553CB9-846E-4509-B6CB-620C145D0E09}" srcOrd="7" destOrd="0" presId="urn:microsoft.com/office/officeart/2005/8/layout/default"/>
    <dgm:cxn modelId="{4B7B18F4-66CC-4BA1-A4A3-0543C01F8ADA}" type="presParOf" srcId="{F3AB4A35-E2EB-4DBF-86FB-E54EE2B1FE62}" destId="{5800D369-D655-450A-A267-583A2F68A6F1}" srcOrd="8" destOrd="0" presId="urn:microsoft.com/office/officeart/2005/8/layout/default"/>
    <dgm:cxn modelId="{742378F9-4E4B-4740-BCD7-1DDF0C5772B0}" type="presParOf" srcId="{F3AB4A35-E2EB-4DBF-86FB-E54EE2B1FE62}" destId="{A3120A94-973F-4B44-8A46-565AD59DED29}" srcOrd="9" destOrd="0" presId="urn:microsoft.com/office/officeart/2005/8/layout/default"/>
    <dgm:cxn modelId="{B1EC330A-74EA-424E-8BD2-839CDDAF1AF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dgm:spPr>
        <a:solidFill>
          <a:srgbClr val="5E9AA6"/>
        </a:solidFill>
      </dgm:spPr>
      <dgm:t>
        <a:bodyPr/>
        <a:lstStyle/>
        <a:p>
          <a:r>
            <a:rPr lang="pt-BR">
              <a:effectLst>
                <a:outerShdw blurRad="127000" algn="ctr" rotWithShape="0">
                  <a:srgbClr val="000000">
                    <a:alpha val="85000"/>
                  </a:srgbClr>
                </a:outerShdw>
              </a:effectLst>
            </a:rPr>
            <a:t>Média RRT/PF Executado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dgm:spPr>
        <a:solidFill>
          <a:srgbClr val="5E9AA6"/>
        </a:solidFill>
      </dgm:spPr>
      <dgm:t>
        <a:bodyPr/>
        <a:lstStyle/>
        <a:p>
          <a:r>
            <a:rPr lang="pt-BR">
              <a:effectLst>
                <a:outerShdw blurRad="127000" algn="ctr" rotWithShape="0">
                  <a:srgbClr val="000000">
                    <a:alpha val="85000"/>
                  </a:srgbClr>
                </a:outerShdw>
              </a:effectLst>
            </a:rPr>
            <a:t>Média RRT/PF Previsto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t>
        <a:bodyPr/>
        <a:lstStyle/>
        <a:p>
          <a:endParaRPr lang="pt-BR"/>
        </a:p>
      </dgm:t>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t>
        <a:bodyPr/>
        <a:lstStyle/>
        <a:p>
          <a:endParaRPr lang="pt-BR"/>
        </a:p>
      </dgm:t>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t>
        <a:bodyPr/>
        <a:lstStyle/>
        <a:p>
          <a:endParaRPr lang="pt-BR"/>
        </a:p>
      </dgm:t>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t>
        <a:bodyPr/>
        <a:lstStyle/>
        <a:p>
          <a:endParaRPr lang="pt-BR"/>
        </a:p>
      </dgm:t>
    </dgm:pt>
  </dgm:ptLst>
  <dgm:cxnLs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A556B304-B724-4FED-A2AD-0EC9D184BB57}" type="presOf" srcId="{F28F4473-498E-415A-A16F-A60D42C55427}" destId="{CB133F5D-DBBA-4B12-9FEC-4E54C8197093}" srcOrd="0" destOrd="0" presId="urn:microsoft.com/office/officeart/2005/8/layout/default"/>
    <dgm:cxn modelId="{1377B27A-D04F-4115-85A4-0B37682FA0BA}" type="presOf" srcId="{F0D8276B-5F8E-47CD-83BA-660329F4549E}" destId="{BA9D2ED0-16C9-44FB-8D9E-22F9C339ED18}" srcOrd="0" destOrd="0" presId="urn:microsoft.com/office/officeart/2005/8/layout/default"/>
    <dgm:cxn modelId="{F0C7970F-76D5-4400-8808-B675D10BF367}" type="presOf" srcId="{5AF3E079-3959-4CCD-A44E-0F873ADAD033}" destId="{81E86E99-3676-4A87-9CCC-09470BFADE6D}"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F16C7EB0-8756-4567-93A9-FBB77CCD5337}" type="presOf" srcId="{5F2F899A-5BAA-4B36-B786-C4FA5DB84DE2}" destId="{2069F93F-EC36-45CA-81FA-E28CCFC4EDD2}" srcOrd="0" destOrd="0" presId="urn:microsoft.com/office/officeart/2005/8/layout/default"/>
    <dgm:cxn modelId="{80C80326-96C1-4231-BF0E-FFE56435FADE}" type="presOf" srcId="{F6B446C0-6E43-4493-B573-1F94BA4F7210}" destId="{C221B9C3-A015-449B-9E50-6721626A947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8380A8FC-46D5-4F90-9494-84CC433A47CF}" type="presOf" srcId="{77745E09-BC33-4467-A7D0-00D63E26BF57}" destId="{0E296175-191A-4DDD-9AFD-C58180D0C5B1}"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B158E183-C506-4C34-BE65-E1F127A560D3}" srcId="{0C5AA470-A2FC-4675-BBC5-FC07F000DB8B}" destId="{40E3A9A0-3796-4A48-B2F5-5C63BFC42AC1}" srcOrd="6" destOrd="0" parTransId="{6F0AB90E-55A6-42AC-8FFD-DFE7D5C5A47D}" sibTransId="{DD04B6C1-B38B-4696-9D68-BC369D6BA502}"/>
    <dgm:cxn modelId="{2C709978-1F9E-406C-A810-6F339D9FF16F}" type="presOf" srcId="{4DF42217-B85D-4249-A568-5B509C0F84B5}" destId="{19166087-240F-4205-829D-E61CAF74B1F0}" srcOrd="0" destOrd="0" presId="urn:microsoft.com/office/officeart/2005/8/layout/default"/>
    <dgm:cxn modelId="{75EF2DEE-D84D-4951-B15C-CC6B3E453F8A}" type="presOf" srcId="{0C5AA470-A2FC-4675-BBC5-FC07F000DB8B}" destId="{F3AB4A35-E2EB-4DBF-86FB-E54EE2B1FE62}" srcOrd="0" destOrd="0" presId="urn:microsoft.com/office/officeart/2005/8/layout/default"/>
    <dgm:cxn modelId="{8CC35CB0-A234-4247-A746-9F1FDD0500DE}" srcId="{0C5AA470-A2FC-4675-BBC5-FC07F000DB8B}" destId="{77745E09-BC33-4467-A7D0-00D63E26BF57}" srcOrd="5" destOrd="0" parTransId="{05C29930-DCA4-47D2-8F9D-D1F8B73BDC24}" sibTransId="{5B9CC1F3-60FF-4ABF-8213-2DA0778BB206}"/>
    <dgm:cxn modelId="{3F31C003-FD31-49B8-AEBB-3A8AAACB57D1}" type="presOf" srcId="{40E3A9A0-3796-4A48-B2F5-5C63BFC42AC1}" destId="{5800D369-D655-450A-A267-583A2F68A6F1}" srcOrd="0" destOrd="0" presId="urn:microsoft.com/office/officeart/2005/8/layout/default"/>
    <dgm:cxn modelId="{BAF3C633-EA03-4A8A-967C-CC83DEB93FAF}" type="presParOf" srcId="{F3AB4A35-E2EB-4DBF-86FB-E54EE2B1FE62}" destId="{BA9D2ED0-16C9-44FB-8D9E-22F9C339ED18}" srcOrd="0" destOrd="0" presId="urn:microsoft.com/office/officeart/2005/8/layout/default"/>
    <dgm:cxn modelId="{107BF67D-6F7A-4243-AFA1-DCCA4066CDF5}" type="presParOf" srcId="{F3AB4A35-E2EB-4DBF-86FB-E54EE2B1FE62}" destId="{8745EF1C-A4C9-4E6A-99FD-78BF7B12622C}" srcOrd="1" destOrd="0" presId="urn:microsoft.com/office/officeart/2005/8/layout/default"/>
    <dgm:cxn modelId="{82E4C046-A5A9-4775-B0E2-9C0B9224ED21}" type="presParOf" srcId="{F3AB4A35-E2EB-4DBF-86FB-E54EE2B1FE62}" destId="{CB133F5D-DBBA-4B12-9FEC-4E54C8197093}" srcOrd="2" destOrd="0" presId="urn:microsoft.com/office/officeart/2005/8/layout/default"/>
    <dgm:cxn modelId="{6525A5F0-8452-44A3-8AB8-E3063740BB6B}" type="presParOf" srcId="{F3AB4A35-E2EB-4DBF-86FB-E54EE2B1FE62}" destId="{701E9B6D-506A-4B8B-B1E6-AB2D8DB9BB03}" srcOrd="3" destOrd="0" presId="urn:microsoft.com/office/officeart/2005/8/layout/default"/>
    <dgm:cxn modelId="{0ED7858F-543C-4CDA-BA71-57E2BFA5A557}" type="presParOf" srcId="{F3AB4A35-E2EB-4DBF-86FB-E54EE2B1FE62}" destId="{C221B9C3-A015-449B-9E50-6721626A9470}" srcOrd="4" destOrd="0" presId="urn:microsoft.com/office/officeart/2005/8/layout/default"/>
    <dgm:cxn modelId="{220B833F-71FF-4CA6-B260-7209EBADDF97}" type="presParOf" srcId="{F3AB4A35-E2EB-4DBF-86FB-E54EE2B1FE62}" destId="{4A1C71E8-C584-4258-87C4-328020FE1131}" srcOrd="5" destOrd="0" presId="urn:microsoft.com/office/officeart/2005/8/layout/default"/>
    <dgm:cxn modelId="{79EF6EBC-4A41-4795-839A-2A9C29C700D2}" type="presParOf" srcId="{F3AB4A35-E2EB-4DBF-86FB-E54EE2B1FE62}" destId="{19166087-240F-4205-829D-E61CAF74B1F0}" srcOrd="6" destOrd="0" presId="urn:microsoft.com/office/officeart/2005/8/layout/default"/>
    <dgm:cxn modelId="{65A999FF-2FDF-487B-8B22-B38A40564565}" type="presParOf" srcId="{F3AB4A35-E2EB-4DBF-86FB-E54EE2B1FE62}" destId="{C6553CB9-846E-4509-B6CB-620C145D0E09}" srcOrd="7" destOrd="0" presId="urn:microsoft.com/office/officeart/2005/8/layout/default"/>
    <dgm:cxn modelId="{DC008AEC-7129-4171-9FD6-F837723F2A4F}" type="presParOf" srcId="{F3AB4A35-E2EB-4DBF-86FB-E54EE2B1FE62}" destId="{81E86E99-3676-4A87-9CCC-09470BFADE6D}" srcOrd="8" destOrd="0" presId="urn:microsoft.com/office/officeart/2005/8/layout/default"/>
    <dgm:cxn modelId="{44D572E8-F6B2-4071-9963-ED93080CA332}" type="presParOf" srcId="{F3AB4A35-E2EB-4DBF-86FB-E54EE2B1FE62}" destId="{377F2A98-069B-4BD1-8E80-CF862BE0BD68}" srcOrd="9" destOrd="0" presId="urn:microsoft.com/office/officeart/2005/8/layout/default"/>
    <dgm:cxn modelId="{5E8B86CC-2793-4CDC-A053-8137AEF4DB22}" type="presParOf" srcId="{F3AB4A35-E2EB-4DBF-86FB-E54EE2B1FE62}" destId="{0E296175-191A-4DDD-9AFD-C58180D0C5B1}" srcOrd="10" destOrd="0" presId="urn:microsoft.com/office/officeart/2005/8/layout/default"/>
    <dgm:cxn modelId="{A474C56A-0CB4-4C32-8592-804B4B15B3FF}" type="presParOf" srcId="{F3AB4A35-E2EB-4DBF-86FB-E54EE2B1FE62}" destId="{7714FE89-4579-418B-8464-0F4B85BAC6A5}" srcOrd="11" destOrd="0" presId="urn:microsoft.com/office/officeart/2005/8/layout/default"/>
    <dgm:cxn modelId="{948870FD-E8AB-44DF-97A0-D4F8BE80EA64}" type="presParOf" srcId="{F3AB4A35-E2EB-4DBF-86FB-E54EE2B1FE62}" destId="{5800D369-D655-450A-A267-583A2F68A6F1}" srcOrd="12" destOrd="0" presId="urn:microsoft.com/office/officeart/2005/8/layout/default"/>
    <dgm:cxn modelId="{4ED5ED8E-31CE-4551-AE86-91886080CB16}" type="presParOf" srcId="{F3AB4A35-E2EB-4DBF-86FB-E54EE2B1FE62}" destId="{A3120A94-973F-4B44-8A46-565AD59DED29}" srcOrd="13" destOrd="0" presId="urn:microsoft.com/office/officeart/2005/8/layout/default"/>
    <dgm:cxn modelId="{E721C9EC-D980-40F7-B60F-2B2D944A37B0}"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Dez.</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800">
              <a:effectLst>
                <a:outerShdw blurRad="127000" algn="ctr" rotWithShape="0">
                  <a:srgbClr val="000000">
                    <a:alpha val="85000"/>
                  </a:srgbClr>
                </a:outerShdw>
              </a:effectLst>
            </a:rPr>
            <a:t>% de execução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9A2334C4-128B-4C98-ADA8-49B55349EE0B}">
      <dgm:prSet phldrT="[Texto]"/>
      <dgm:spPr/>
      <dgm:t>
        <a:bodyPr/>
        <a:lstStyle/>
        <a:p>
          <a:endParaRPr lang="pt-BR"/>
        </a:p>
      </dgm:t>
    </dgm:pt>
    <dgm:pt modelId="{514E1EC6-8943-4832-A2C1-D6061AF68745}" type="parTrans" cxnId="{3AAA40B2-5CBC-4F70-ADA3-17A45CB14BCE}">
      <dgm:prSet/>
      <dgm:spPr/>
      <dgm:t>
        <a:bodyPr/>
        <a:lstStyle/>
        <a:p>
          <a:endParaRPr lang="pt-BR"/>
        </a:p>
      </dgm:t>
    </dgm:pt>
    <dgm:pt modelId="{DEC4D9E2-18A4-4835-8B3F-10BAB802717C}" type="sibTrans" cxnId="{3AAA40B2-5CBC-4F70-ADA3-17A45CB14BCE}">
      <dgm:prSet/>
      <dgm:spPr/>
      <dgm:t>
        <a:bodyPr/>
        <a:lstStyle/>
        <a:p>
          <a:endParaRPr lang="pt-BR"/>
        </a:p>
      </dgm:t>
    </dgm:pt>
    <dgm:pt modelId="{56F00E95-B3D7-4D69-8DD9-A6EBB79B7719}">
      <dgm:prSet phldrT="[Texto]"/>
      <dgm:spPr>
        <a:solidFill>
          <a:srgbClr val="5E9AA6"/>
        </a:solidFill>
      </dgm:spPr>
      <dgm:t>
        <a:bodyPr/>
        <a:lstStyle/>
        <a:p>
          <a:r>
            <a:rPr lang="pt-BR">
              <a:effectLst>
                <a:outerShdw blurRad="50800" algn="ctr" rotWithShape="0">
                  <a:srgbClr val="000000">
                    <a:alpha val="85000"/>
                  </a:srgbClr>
                </a:outerShdw>
              </a:effectLst>
            </a:rPr>
            <a:t>Comparativo</a:t>
          </a:r>
          <a:r>
            <a:rPr lang="pt-BR"/>
            <a:t/>
          </a:r>
          <a:br>
            <a:rPr lang="pt-BR"/>
          </a:br>
          <a:r>
            <a:rPr lang="pt-BR">
              <a:effectLst>
                <a:outerShdw blurRad="50800" algn="ctr" rotWithShape="0">
                  <a:srgbClr val="000000">
                    <a:alpha val="85000"/>
                  </a:srgbClr>
                </a:outerShdw>
              </a:effectLst>
            </a:rPr>
            <a:t>YoY</a:t>
          </a:r>
        </a:p>
      </dgm:t>
    </dgm:pt>
    <dgm:pt modelId="{1663B67B-51B5-4C0D-9626-DF178BA32AFD}" type="parTrans" cxnId="{198D3C4A-A060-44AF-BE5D-472832E5BC9E}">
      <dgm:prSet/>
      <dgm:spPr/>
      <dgm:t>
        <a:bodyPr/>
        <a:lstStyle/>
        <a:p>
          <a:endParaRPr lang="pt-BR"/>
        </a:p>
      </dgm:t>
    </dgm:pt>
    <dgm:pt modelId="{F9AD5069-04EE-49D3-90EB-A006F3ACE639}" type="sibTrans" cxnId="{198D3C4A-A060-44AF-BE5D-472832E5BC9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t>
        <a:bodyPr/>
        <a:lstStyle/>
        <a:p>
          <a:endParaRPr lang="pt-BR"/>
        </a:p>
      </dgm:t>
    </dgm:pt>
    <dgm:pt modelId="{BA9D2ED0-16C9-44FB-8D9E-22F9C339ED18}" type="pres">
      <dgm:prSet presAssocID="{F0D8276B-5F8E-47CD-83BA-660329F4549E}" presName="node" presStyleLbl="node1" presStyleIdx="0" presStyleCnt="8">
        <dgm:presLayoutVars>
          <dgm:bulletEnabled val="1"/>
        </dgm:presLayoutVars>
      </dgm:prSet>
      <dgm:spPr/>
      <dgm:t>
        <a:bodyPr/>
        <a:lstStyle/>
        <a:p>
          <a:endParaRPr lang="pt-BR"/>
        </a:p>
      </dgm:t>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t>
        <a:bodyPr/>
        <a:lstStyle/>
        <a:p>
          <a:endParaRPr lang="pt-BR"/>
        </a:p>
      </dgm:t>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t>
        <a:bodyPr/>
        <a:lstStyle/>
        <a:p>
          <a:endParaRPr lang="pt-BR"/>
        </a:p>
      </dgm:t>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t>
        <a:bodyPr/>
        <a:lstStyle/>
        <a:p>
          <a:endParaRPr lang="pt-BR"/>
        </a:p>
      </dgm:t>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t>
        <a:bodyPr/>
        <a:lstStyle/>
        <a:p>
          <a:endParaRPr lang="pt-BR"/>
        </a:p>
      </dgm:t>
    </dgm:pt>
    <dgm:pt modelId="{377F2A98-069B-4BD1-8E80-CF862BE0BD68}" type="pres">
      <dgm:prSet presAssocID="{384263FE-58EC-4D88-939D-1CB43D223098}" presName="sibTrans" presStyleCnt="0"/>
      <dgm:spPr/>
    </dgm:pt>
    <dgm:pt modelId="{DD02BDCA-9C99-421B-93CF-F0735B3A7AE9}" type="pres">
      <dgm:prSet presAssocID="{9A2334C4-128B-4C98-ADA8-49B55349EE0B}" presName="node" presStyleLbl="node1" presStyleIdx="5" presStyleCnt="8">
        <dgm:presLayoutVars>
          <dgm:bulletEnabled val="1"/>
        </dgm:presLayoutVars>
      </dgm:prSet>
      <dgm:spPr/>
      <dgm:t>
        <a:bodyPr/>
        <a:lstStyle/>
        <a:p>
          <a:endParaRPr lang="pt-BR"/>
        </a:p>
      </dgm:t>
    </dgm:pt>
    <dgm:pt modelId="{6D491A6B-D019-4A3E-85FA-A450912A03DA}" type="pres">
      <dgm:prSet presAssocID="{DEC4D9E2-18A4-4835-8B3F-10BAB802717C}" presName="sibTrans" presStyleCnt="0"/>
      <dgm:spPr/>
    </dgm:pt>
    <dgm:pt modelId="{1D6DFA5F-5421-43B3-A4F2-75C1834B1DE2}" type="pres">
      <dgm:prSet presAssocID="{56F00E95-B3D7-4D69-8DD9-A6EBB79B7719}" presName="node" presStyleLbl="node1" presStyleIdx="6" presStyleCnt="8">
        <dgm:presLayoutVars>
          <dgm:bulletEnabled val="1"/>
        </dgm:presLayoutVars>
      </dgm:prSet>
      <dgm:spPr/>
      <dgm:t>
        <a:bodyPr/>
        <a:lstStyle/>
        <a:p>
          <a:endParaRPr lang="pt-BR"/>
        </a:p>
      </dgm:t>
    </dgm:pt>
    <dgm:pt modelId="{702F483C-D466-443B-A7D7-E2319B207716}" type="pres">
      <dgm:prSet presAssocID="{F9AD5069-04EE-49D3-90EB-A006F3ACE639}" presName="sibTrans" presStyleCnt="0"/>
      <dgm:spPr/>
    </dgm:pt>
    <dgm:pt modelId="{0E296175-191A-4DDD-9AFD-C58180D0C5B1}" type="pres">
      <dgm:prSet presAssocID="{77745E09-BC33-4467-A7D0-00D63E26BF57}" presName="node" presStyleLbl="node1" presStyleIdx="7" presStyleCnt="8">
        <dgm:presLayoutVars>
          <dgm:bulletEnabled val="1"/>
        </dgm:presLayoutVars>
      </dgm:prSet>
      <dgm:spPr/>
      <dgm:t>
        <a:bodyPr/>
        <a:lstStyle/>
        <a:p>
          <a:endParaRPr lang="pt-BR"/>
        </a:p>
      </dgm:t>
    </dgm:pt>
  </dgm:ptLst>
  <dgm:cxnLst>
    <dgm:cxn modelId="{4936B453-EE39-43C4-8A9B-1D18BA003399}" type="presOf" srcId="{F6B446C0-6E43-4493-B573-1F94BA4F7210}" destId="{C221B9C3-A015-449B-9E50-6721626A947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C293A83-50D5-4569-80F3-2177D656CD85}" srcId="{0C5AA470-A2FC-4675-BBC5-FC07F000DB8B}" destId="{4DF42217-B85D-4249-A568-5B509C0F84B5}" srcOrd="3" destOrd="0" parTransId="{F03263C3-845B-4682-A445-4708B9F52BA9}" sibTransId="{8484CB90-3EDF-4254-AC0E-CDBC59EB95EF}"/>
    <dgm:cxn modelId="{D6D65655-C711-4A17-9E12-72F3EA9E3C97}" type="presOf" srcId="{5AF3E079-3959-4CCD-A44E-0F873ADAD033}" destId="{81E86E99-3676-4A87-9CCC-09470BFADE6D}" srcOrd="0" destOrd="0" presId="urn:microsoft.com/office/officeart/2005/8/layout/default"/>
    <dgm:cxn modelId="{6E5755E9-40EF-45D8-B2B0-582F4AB9697E}" type="presOf" srcId="{56F00E95-B3D7-4D69-8DD9-A6EBB79B7719}" destId="{1D6DFA5F-5421-43B3-A4F2-75C1834B1DE2}" srcOrd="0" destOrd="0" presId="urn:microsoft.com/office/officeart/2005/8/layout/default"/>
    <dgm:cxn modelId="{1A4006E3-D438-4C0C-9A57-D1E015AD1517}" type="presOf" srcId="{F0D8276B-5F8E-47CD-83BA-660329F4549E}" destId="{BA9D2ED0-16C9-44FB-8D9E-22F9C339ED18}" srcOrd="0" destOrd="0" presId="urn:microsoft.com/office/officeart/2005/8/layout/default"/>
    <dgm:cxn modelId="{B9860792-71E8-423A-A319-C3100A9142A2}" type="presOf" srcId="{77745E09-BC33-4467-A7D0-00D63E26BF57}" destId="{0E296175-191A-4DDD-9AFD-C58180D0C5B1}" srcOrd="0" destOrd="0" presId="urn:microsoft.com/office/officeart/2005/8/layout/default"/>
    <dgm:cxn modelId="{3AAA40B2-5CBC-4F70-ADA3-17A45CB14BCE}" srcId="{0C5AA470-A2FC-4675-BBC5-FC07F000DB8B}" destId="{9A2334C4-128B-4C98-ADA8-49B55349EE0B}" srcOrd="5" destOrd="0" parTransId="{514E1EC6-8943-4832-A2C1-D6061AF68745}" sibTransId="{DEC4D9E2-18A4-4835-8B3F-10BAB802717C}"/>
    <dgm:cxn modelId="{D558D9FE-43D2-41D8-B092-FF9114DE344C}" type="presOf" srcId="{9A2334C4-128B-4C98-ADA8-49B55349EE0B}" destId="{DD02BDCA-9C99-421B-93CF-F0735B3A7AE9}" srcOrd="0" destOrd="0" presId="urn:microsoft.com/office/officeart/2005/8/layout/default"/>
    <dgm:cxn modelId="{198D3C4A-A060-44AF-BE5D-472832E5BC9E}" srcId="{0C5AA470-A2FC-4675-BBC5-FC07F000DB8B}" destId="{56F00E95-B3D7-4D69-8DD9-A6EBB79B7719}" srcOrd="6" destOrd="0" parTransId="{1663B67B-51B5-4C0D-9626-DF178BA32AFD}" sibTransId="{F9AD5069-04EE-49D3-90EB-A006F3ACE639}"/>
    <dgm:cxn modelId="{4DE81664-7605-4BC9-A127-C349A95161E8}" srcId="{0C5AA470-A2FC-4675-BBC5-FC07F000DB8B}" destId="{5AF3E079-3959-4CCD-A44E-0F873ADAD033}" srcOrd="4" destOrd="0" parTransId="{9FE727F0-10CB-477E-8549-5F86749F9D9D}" sibTransId="{384263FE-58EC-4D88-939D-1CB43D223098}"/>
    <dgm:cxn modelId="{C6841E43-99EA-4972-968E-92639E00E678}" type="presOf" srcId="{4DF42217-B85D-4249-A568-5B509C0F84B5}" destId="{19166087-240F-4205-829D-E61CAF74B1F0}"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7516ACED-4755-413E-B340-979CD643B5B2}" srcId="{0C5AA470-A2FC-4675-BBC5-FC07F000DB8B}" destId="{F28F4473-498E-415A-A16F-A60D42C55427}" srcOrd="1" destOrd="0" parTransId="{EFF14DEE-81FD-46C3-8621-993FA69A8BA3}" sibTransId="{1022C6E1-7F5E-4A04-9CD4-F8CDCBFA9BE3}"/>
    <dgm:cxn modelId="{75410ADB-D435-4387-AFED-6682EE3E154D}" type="presOf" srcId="{0C5AA470-A2FC-4675-BBC5-FC07F000DB8B}" destId="{F3AB4A35-E2EB-4DBF-86FB-E54EE2B1FE62}" srcOrd="0" destOrd="0" presId="urn:microsoft.com/office/officeart/2005/8/layout/default"/>
    <dgm:cxn modelId="{8CC35CB0-A234-4247-A746-9F1FDD0500DE}" srcId="{0C5AA470-A2FC-4675-BBC5-FC07F000DB8B}" destId="{77745E09-BC33-4467-A7D0-00D63E26BF57}" srcOrd="7" destOrd="0" parTransId="{05C29930-DCA4-47D2-8F9D-D1F8B73BDC24}" sibTransId="{5B9CC1F3-60FF-4ABF-8213-2DA0778BB206}"/>
    <dgm:cxn modelId="{983E24B2-7614-4696-AEA3-6772DFCD2139}" type="presOf" srcId="{F28F4473-498E-415A-A16F-A60D42C55427}" destId="{CB133F5D-DBBA-4B12-9FEC-4E54C8197093}" srcOrd="0" destOrd="0" presId="urn:microsoft.com/office/officeart/2005/8/layout/default"/>
    <dgm:cxn modelId="{7DC8E4A0-11ED-467D-88BF-D780BEF91D6C}" type="presParOf" srcId="{F3AB4A35-E2EB-4DBF-86FB-E54EE2B1FE62}" destId="{BA9D2ED0-16C9-44FB-8D9E-22F9C339ED18}" srcOrd="0" destOrd="0" presId="urn:microsoft.com/office/officeart/2005/8/layout/default"/>
    <dgm:cxn modelId="{B363A936-79F7-4CFE-A654-7C5FE6D5F8AE}" type="presParOf" srcId="{F3AB4A35-E2EB-4DBF-86FB-E54EE2B1FE62}" destId="{8745EF1C-A4C9-4E6A-99FD-78BF7B12622C}" srcOrd="1" destOrd="0" presId="urn:microsoft.com/office/officeart/2005/8/layout/default"/>
    <dgm:cxn modelId="{475EAB06-4C41-4F8D-A21B-546E6699F582}" type="presParOf" srcId="{F3AB4A35-E2EB-4DBF-86FB-E54EE2B1FE62}" destId="{CB133F5D-DBBA-4B12-9FEC-4E54C8197093}" srcOrd="2" destOrd="0" presId="urn:microsoft.com/office/officeart/2005/8/layout/default"/>
    <dgm:cxn modelId="{677FA779-C037-4030-A690-9436316E5645}" type="presParOf" srcId="{F3AB4A35-E2EB-4DBF-86FB-E54EE2B1FE62}" destId="{701E9B6D-506A-4B8B-B1E6-AB2D8DB9BB03}" srcOrd="3" destOrd="0" presId="urn:microsoft.com/office/officeart/2005/8/layout/default"/>
    <dgm:cxn modelId="{866A075F-B9D2-461E-B970-D28E28EE2BC8}" type="presParOf" srcId="{F3AB4A35-E2EB-4DBF-86FB-E54EE2B1FE62}" destId="{C221B9C3-A015-449B-9E50-6721626A9470}" srcOrd="4" destOrd="0" presId="urn:microsoft.com/office/officeart/2005/8/layout/default"/>
    <dgm:cxn modelId="{1A92B194-552A-4E99-85BF-14FB8D393B1C}" type="presParOf" srcId="{F3AB4A35-E2EB-4DBF-86FB-E54EE2B1FE62}" destId="{4A1C71E8-C584-4258-87C4-328020FE1131}" srcOrd="5" destOrd="0" presId="urn:microsoft.com/office/officeart/2005/8/layout/default"/>
    <dgm:cxn modelId="{78C033DB-E4D5-46C8-B129-DEB8D8155733}" type="presParOf" srcId="{F3AB4A35-E2EB-4DBF-86FB-E54EE2B1FE62}" destId="{19166087-240F-4205-829D-E61CAF74B1F0}" srcOrd="6" destOrd="0" presId="urn:microsoft.com/office/officeart/2005/8/layout/default"/>
    <dgm:cxn modelId="{A6C1FBE8-AE61-41CD-B13D-E202B36AC934}" type="presParOf" srcId="{F3AB4A35-E2EB-4DBF-86FB-E54EE2B1FE62}" destId="{C6553CB9-846E-4509-B6CB-620C145D0E09}" srcOrd="7" destOrd="0" presId="urn:microsoft.com/office/officeart/2005/8/layout/default"/>
    <dgm:cxn modelId="{B945E107-C622-4848-805F-F7F9E6D38F2B}" type="presParOf" srcId="{F3AB4A35-E2EB-4DBF-86FB-E54EE2B1FE62}" destId="{81E86E99-3676-4A87-9CCC-09470BFADE6D}" srcOrd="8" destOrd="0" presId="urn:microsoft.com/office/officeart/2005/8/layout/default"/>
    <dgm:cxn modelId="{4958F82E-8F61-4400-B61B-ED1AB074B8FC}" type="presParOf" srcId="{F3AB4A35-E2EB-4DBF-86FB-E54EE2B1FE62}" destId="{377F2A98-069B-4BD1-8E80-CF862BE0BD68}" srcOrd="9" destOrd="0" presId="urn:microsoft.com/office/officeart/2005/8/layout/default"/>
    <dgm:cxn modelId="{F1CB853F-67B2-452D-949D-28E0825F2C17}" type="presParOf" srcId="{F3AB4A35-E2EB-4DBF-86FB-E54EE2B1FE62}" destId="{DD02BDCA-9C99-421B-93CF-F0735B3A7AE9}" srcOrd="10" destOrd="0" presId="urn:microsoft.com/office/officeart/2005/8/layout/default"/>
    <dgm:cxn modelId="{2FD79DF5-6889-4871-A191-A9EE3D2A9393}" type="presParOf" srcId="{F3AB4A35-E2EB-4DBF-86FB-E54EE2B1FE62}" destId="{6D491A6B-D019-4A3E-85FA-A450912A03DA}" srcOrd="11" destOrd="0" presId="urn:microsoft.com/office/officeart/2005/8/layout/default"/>
    <dgm:cxn modelId="{7AA836FB-4987-444E-A106-4DDAE8275A0C}" type="presParOf" srcId="{F3AB4A35-E2EB-4DBF-86FB-E54EE2B1FE62}" destId="{1D6DFA5F-5421-43B3-A4F2-75C1834B1DE2}" srcOrd="12" destOrd="0" presId="urn:microsoft.com/office/officeart/2005/8/layout/default"/>
    <dgm:cxn modelId="{1FCC7DEF-9889-4150-A6BF-B831C9EB6F80}" type="presParOf" srcId="{F3AB4A35-E2EB-4DBF-86FB-E54EE2B1FE62}" destId="{702F483C-D466-443B-A7D7-E2319B207716}" srcOrd="13" destOrd="0" presId="urn:microsoft.com/office/officeart/2005/8/layout/default"/>
    <dgm:cxn modelId="{6A03AC42-7F9C-4C78-985A-D80E9847075C}" type="presParOf" srcId="{F3AB4A35-E2EB-4DBF-86FB-E54EE2B1FE62}" destId="{0E296175-191A-4DDD-9AFD-C58180D0C5B1}"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037158" y="189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Ativos Previstos</a:t>
          </a:r>
          <a:r>
            <a:rPr lang="pt-BR" sz="2800" kern="1200">
              <a:effectLst>
                <a:outerShdw blurRad="127000" algn="ctr" rotWithShape="0">
                  <a:prstClr val="black">
                    <a:alpha val="85000"/>
                  </a:prstClr>
                </a:outerShdw>
              </a:effectLst>
            </a:rPr>
            <a:t/>
          </a:r>
          <a:br>
            <a:rPr lang="pt-BR" sz="28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Dez.</a:t>
          </a:r>
        </a:p>
      </dsp:txBody>
      <dsp:txXfrm>
        <a:off x="1037158" y="1897"/>
        <a:ext cx="1983228" cy="1189937"/>
      </dsp:txXfrm>
    </dsp:sp>
    <dsp:sp modelId="{CB133F5D-DBBA-4B12-9FEC-4E54C8197093}">
      <dsp:nvSpPr>
        <dsp:cNvPr id="0" name=""/>
        <dsp:cNvSpPr/>
      </dsp:nvSpPr>
      <dsp:spPr>
        <a:xfrm>
          <a:off x="3218710" y="189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lvl="0" algn="ctr" defTabSz="2444750">
            <a:lnSpc>
              <a:spcPct val="90000"/>
            </a:lnSpc>
            <a:spcBef>
              <a:spcPct val="0"/>
            </a:spcBef>
            <a:spcAft>
              <a:spcPct val="35000"/>
            </a:spcAft>
          </a:pPr>
          <a:endParaRPr lang="pt-BR" sz="5500" kern="1200"/>
        </a:p>
      </dsp:txBody>
      <dsp:txXfrm>
        <a:off x="3218710" y="1897"/>
        <a:ext cx="1983228" cy="1189937"/>
      </dsp:txXfrm>
    </dsp:sp>
    <dsp:sp modelId="{C221B9C3-A015-449B-9E50-6721626A9470}">
      <dsp:nvSpPr>
        <dsp:cNvPr id="0" name=""/>
        <dsp:cNvSpPr/>
      </dsp:nvSpPr>
      <dsp:spPr>
        <a:xfrm>
          <a:off x="1037158" y="139015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Ativos Atuais</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Dez.</a:t>
          </a:r>
        </a:p>
      </dsp:txBody>
      <dsp:txXfrm>
        <a:off x="1037158" y="1390157"/>
        <a:ext cx="1983228" cy="1189937"/>
      </dsp:txXfrm>
    </dsp:sp>
    <dsp:sp modelId="{19166087-240F-4205-829D-E61CAF74B1F0}">
      <dsp:nvSpPr>
        <dsp:cNvPr id="0" name=""/>
        <dsp:cNvSpPr/>
      </dsp:nvSpPr>
      <dsp:spPr>
        <a:xfrm>
          <a:off x="3218710" y="139015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lvl="0" algn="ctr" defTabSz="2444750">
            <a:lnSpc>
              <a:spcPct val="90000"/>
            </a:lnSpc>
            <a:spcBef>
              <a:spcPct val="0"/>
            </a:spcBef>
            <a:spcAft>
              <a:spcPct val="35000"/>
            </a:spcAft>
          </a:pPr>
          <a:endParaRPr lang="pt-BR" sz="5500" kern="1200"/>
        </a:p>
      </dsp:txBody>
      <dsp:txXfrm>
        <a:off x="3218710" y="1390157"/>
        <a:ext cx="1983228" cy="1189937"/>
      </dsp:txXfrm>
    </dsp:sp>
    <dsp:sp modelId="{81E86E99-3676-4A87-9CCC-09470BFADE6D}">
      <dsp:nvSpPr>
        <dsp:cNvPr id="0" name=""/>
        <dsp:cNvSpPr/>
      </dsp:nvSpPr>
      <dsp:spPr>
        <a:xfrm>
          <a:off x="1037158" y="2778417"/>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Variação frente a 2019</a:t>
          </a:r>
          <a:endParaRPr lang="pt-BR" sz="1100" kern="1200">
            <a:effectLst>
              <a:outerShdw blurRad="127000" algn="ctr" rotWithShape="0">
                <a:prstClr val="black">
                  <a:alpha val="85000"/>
                </a:prstClr>
              </a:outerShdw>
            </a:effectLst>
          </a:endParaRPr>
        </a:p>
      </dsp:txBody>
      <dsp:txXfrm>
        <a:off x="1037158" y="2778417"/>
        <a:ext cx="1983228" cy="1189937"/>
      </dsp:txXfrm>
    </dsp:sp>
    <dsp:sp modelId="{0E296175-191A-4DDD-9AFD-C58180D0C5B1}">
      <dsp:nvSpPr>
        <dsp:cNvPr id="0" name=""/>
        <dsp:cNvSpPr/>
      </dsp:nvSpPr>
      <dsp:spPr>
        <a:xfrm>
          <a:off x="3218710" y="2778417"/>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lvl="0" algn="ctr" defTabSz="2444750">
            <a:lnSpc>
              <a:spcPct val="90000"/>
            </a:lnSpc>
            <a:spcBef>
              <a:spcPct val="0"/>
            </a:spcBef>
            <a:spcAft>
              <a:spcPct val="35000"/>
            </a:spcAft>
          </a:pPr>
          <a:endParaRPr lang="pt-BR" sz="5500" kern="1200"/>
        </a:p>
      </dsp:txBody>
      <dsp:txXfrm>
        <a:off x="3218710" y="2778417"/>
        <a:ext cx="1983228" cy="1189937"/>
      </dsp:txXfrm>
    </dsp:sp>
    <dsp:sp modelId="{5800D369-D655-450A-A267-583A2F68A6F1}">
      <dsp:nvSpPr>
        <dsp:cNvPr id="0" name=""/>
        <dsp:cNvSpPr/>
      </dsp:nvSpPr>
      <dsp:spPr>
        <a:xfrm>
          <a:off x="1037158" y="4166678"/>
          <a:ext cx="1983228" cy="1189937"/>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Execução</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Dez.</a:t>
          </a:r>
        </a:p>
      </dsp:txBody>
      <dsp:txXfrm>
        <a:off x="1037158" y="4166678"/>
        <a:ext cx="1983228" cy="1189937"/>
      </dsp:txXfrm>
    </dsp:sp>
    <dsp:sp modelId="{2069F93F-EC36-45CA-81FA-E28CCFC4EDD2}">
      <dsp:nvSpPr>
        <dsp:cNvPr id="0" name=""/>
        <dsp:cNvSpPr/>
      </dsp:nvSpPr>
      <dsp:spPr>
        <a:xfrm>
          <a:off x="3218710" y="4166678"/>
          <a:ext cx="1983228" cy="1189937"/>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09550" tIns="209550" rIns="209550" bIns="209550" numCol="1" spcCol="1270" anchor="ctr" anchorCtr="0">
          <a:noAutofit/>
        </a:bodyPr>
        <a:lstStyle/>
        <a:p>
          <a:pPr lvl="0" algn="ctr" defTabSz="2444750">
            <a:lnSpc>
              <a:spcPct val="90000"/>
            </a:lnSpc>
            <a:spcBef>
              <a:spcPct val="0"/>
            </a:spcBef>
            <a:spcAft>
              <a:spcPct val="35000"/>
            </a:spcAft>
          </a:pPr>
          <a:endParaRPr lang="pt-BR" sz="5500" kern="1200"/>
        </a:p>
      </dsp:txBody>
      <dsp:txXfrm>
        <a:off x="3218710" y="4166678"/>
        <a:ext cx="1983228" cy="1189937"/>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54556" y="353"/>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71450" tIns="171450" rIns="171450" bIns="171450" numCol="1" spcCol="1270" anchor="ctr" anchorCtr="0">
          <a:noAutofit/>
        </a:bodyPr>
        <a:lstStyle/>
        <a:p>
          <a:pPr lvl="0" algn="ctr" defTabSz="2000250">
            <a:lnSpc>
              <a:spcPct val="90000"/>
            </a:lnSpc>
            <a:spcBef>
              <a:spcPct val="0"/>
            </a:spcBef>
            <a:spcAft>
              <a:spcPct val="35000"/>
            </a:spcAft>
          </a:pPr>
          <a:r>
            <a:rPr lang="pt-BR" sz="4500" kern="1200">
              <a:effectLst>
                <a:outerShdw blurRad="127000" algn="ctr" rotWithShape="0">
                  <a:prstClr val="black">
                    <a:alpha val="85000"/>
                  </a:prstClr>
                </a:outerShdw>
              </a:effectLst>
            </a:rPr>
            <a:t>Previsto </a:t>
          </a:r>
          <a:r>
            <a:rPr lang="pt-BR" sz="2800" kern="1200">
              <a:effectLst>
                <a:outerShdw blurRad="127000" algn="ctr" rotWithShape="0">
                  <a:prstClr val="black">
                    <a:alpha val="85000"/>
                  </a:prstClr>
                </a:outerShdw>
              </a:effectLst>
            </a:rPr>
            <a:t>2020</a:t>
          </a:r>
        </a:p>
      </dsp:txBody>
      <dsp:txXfrm>
        <a:off x="154556" y="353"/>
        <a:ext cx="2768263" cy="1660958"/>
      </dsp:txXfrm>
    </dsp:sp>
    <dsp:sp modelId="{CB133F5D-DBBA-4B12-9FEC-4E54C8197093}">
      <dsp:nvSpPr>
        <dsp:cNvPr id="0" name=""/>
        <dsp:cNvSpPr/>
      </dsp:nvSpPr>
      <dsp:spPr>
        <a:xfrm>
          <a:off x="3199646" y="353"/>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199646" y="353"/>
        <a:ext cx="2768263" cy="1660958"/>
      </dsp:txXfrm>
    </dsp:sp>
    <dsp:sp modelId="{81E86E99-3676-4A87-9CCC-09470BFADE6D}">
      <dsp:nvSpPr>
        <dsp:cNvPr id="0" name=""/>
        <dsp:cNvSpPr/>
      </dsp:nvSpPr>
      <dsp:spPr>
        <a:xfrm>
          <a:off x="154556" y="1938137"/>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r>
            <a:rPr lang="pt-BR" sz="4300" kern="1200">
              <a:effectLst>
                <a:outerShdw blurRad="127000" algn="ctr" rotWithShape="0">
                  <a:prstClr val="black">
                    <a:alpha val="85000"/>
                  </a:prstClr>
                </a:outerShdw>
              </a:effectLst>
            </a:rPr>
            <a:t>Executado</a:t>
          </a:r>
          <a:br>
            <a:rPr lang="pt-BR" sz="4300" kern="1200">
              <a:effectLst>
                <a:outerShdw blurRad="127000" algn="ctr" rotWithShape="0">
                  <a:prstClr val="black">
                    <a:alpha val="85000"/>
                  </a:prstClr>
                </a:outerShdw>
              </a:effectLst>
            </a:rPr>
          </a:br>
          <a:r>
            <a:rPr lang="pt-BR" sz="2800" kern="1200">
              <a:effectLst>
                <a:outerShdw blurRad="127000" algn="ctr" rotWithShape="0">
                  <a:prstClr val="black">
                    <a:alpha val="85000"/>
                  </a:prstClr>
                </a:outerShdw>
              </a:effectLst>
            </a:rPr>
            <a:t>Jan. a Dez.</a:t>
          </a:r>
        </a:p>
      </dsp:txBody>
      <dsp:txXfrm>
        <a:off x="154556" y="1938137"/>
        <a:ext cx="2768263" cy="1660958"/>
      </dsp:txXfrm>
    </dsp:sp>
    <dsp:sp modelId="{0E296175-191A-4DDD-9AFD-C58180D0C5B1}">
      <dsp:nvSpPr>
        <dsp:cNvPr id="0" name=""/>
        <dsp:cNvSpPr/>
      </dsp:nvSpPr>
      <dsp:spPr>
        <a:xfrm>
          <a:off x="3199646" y="1938137"/>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199646" y="1938137"/>
        <a:ext cx="2768263" cy="1660958"/>
      </dsp:txXfrm>
    </dsp:sp>
    <dsp:sp modelId="{5800D369-D655-450A-A267-583A2F68A6F1}">
      <dsp:nvSpPr>
        <dsp:cNvPr id="0" name=""/>
        <dsp:cNvSpPr/>
      </dsp:nvSpPr>
      <dsp:spPr>
        <a:xfrm>
          <a:off x="154556" y="3875922"/>
          <a:ext cx="2768263" cy="16609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 de execução</a:t>
          </a:r>
        </a:p>
      </dsp:txBody>
      <dsp:txXfrm>
        <a:off x="154556" y="3875922"/>
        <a:ext cx="2768263" cy="1660958"/>
      </dsp:txXfrm>
    </dsp:sp>
    <dsp:sp modelId="{2069F93F-EC36-45CA-81FA-E28CCFC4EDD2}">
      <dsp:nvSpPr>
        <dsp:cNvPr id="0" name=""/>
        <dsp:cNvSpPr/>
      </dsp:nvSpPr>
      <dsp:spPr>
        <a:xfrm>
          <a:off x="3199646" y="3875922"/>
          <a:ext cx="2768263" cy="16609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199646" y="3875922"/>
        <a:ext cx="2768263" cy="1660958"/>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920" y="608480"/>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lvl="0" algn="ctr" defTabSz="2133600">
            <a:lnSpc>
              <a:spcPct val="90000"/>
            </a:lnSpc>
            <a:spcBef>
              <a:spcPct val="0"/>
            </a:spcBef>
            <a:spcAft>
              <a:spcPct val="35000"/>
            </a:spcAft>
          </a:pPr>
          <a:r>
            <a:rPr lang="pt-BR" sz="4800" kern="1200">
              <a:effectLst>
                <a:outerShdw blurRad="127000" algn="ctr" rotWithShape="0">
                  <a:prstClr val="black">
                    <a:alpha val="85000"/>
                  </a:prstClr>
                </a:outerShdw>
              </a:effectLst>
            </a:rPr>
            <a:t>Previsto</a:t>
          </a:r>
          <a:r>
            <a:rPr lang="pt-BR" sz="4000" kern="1200">
              <a:effectLst>
                <a:outerShdw blurRad="127000" algn="ctr" rotWithShape="0">
                  <a:prstClr val="black">
                    <a:alpha val="85000"/>
                  </a:prstClr>
                </a:outerShdw>
              </a:effectLst>
            </a:rPr>
            <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1920" y="608480"/>
        <a:ext cx="3563663" cy="1347480"/>
      </dsp:txXfrm>
    </dsp:sp>
    <dsp:sp modelId="{CB133F5D-DBBA-4B12-9FEC-4E54C8197093}">
      <dsp:nvSpPr>
        <dsp:cNvPr id="0" name=""/>
        <dsp:cNvSpPr/>
      </dsp:nvSpPr>
      <dsp:spPr>
        <a:xfrm>
          <a:off x="3774546" y="608480"/>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endParaRPr lang="pt-BR" sz="3700" kern="1200"/>
        </a:p>
      </dsp:txBody>
      <dsp:txXfrm>
        <a:off x="3774546" y="608480"/>
        <a:ext cx="3563663" cy="1347480"/>
      </dsp:txXfrm>
    </dsp:sp>
    <dsp:sp modelId="{C221B9C3-A015-449B-9E50-6721626A9470}">
      <dsp:nvSpPr>
        <dsp:cNvPr id="0" name=""/>
        <dsp:cNvSpPr/>
      </dsp:nvSpPr>
      <dsp:spPr>
        <a:xfrm>
          <a:off x="7547172" y="608480"/>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7547172" y="608480"/>
        <a:ext cx="3563663" cy="1347480"/>
      </dsp:txXfrm>
    </dsp:sp>
    <dsp:sp modelId="{19166087-240F-4205-829D-E61CAF74B1F0}">
      <dsp:nvSpPr>
        <dsp:cNvPr id="0" name=""/>
        <dsp:cNvSpPr/>
      </dsp:nvSpPr>
      <dsp:spPr>
        <a:xfrm>
          <a:off x="11319798" y="608480"/>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endParaRPr lang="pt-BR" sz="3700" kern="1200"/>
        </a:p>
      </dsp:txBody>
      <dsp:txXfrm>
        <a:off x="11319798" y="608480"/>
        <a:ext cx="3563663" cy="1347480"/>
      </dsp:txXfrm>
    </dsp:sp>
    <dsp:sp modelId="{5800D369-D655-450A-A267-583A2F68A6F1}">
      <dsp:nvSpPr>
        <dsp:cNvPr id="0" name=""/>
        <dsp:cNvSpPr/>
      </dsp:nvSpPr>
      <dsp:spPr>
        <a:xfrm>
          <a:off x="1920" y="2164923"/>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1920" y="2164923"/>
        <a:ext cx="3563663" cy="1347480"/>
      </dsp:txXfrm>
    </dsp:sp>
    <dsp:sp modelId="{D29654AC-8B1F-4715-B3EF-5B9D45DA3F9C}">
      <dsp:nvSpPr>
        <dsp:cNvPr id="0" name=""/>
        <dsp:cNvSpPr/>
      </dsp:nvSpPr>
      <dsp:spPr>
        <a:xfrm>
          <a:off x="3774546" y="2164923"/>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endParaRPr lang="pt-BR" sz="3700" kern="1200"/>
        </a:p>
      </dsp:txBody>
      <dsp:txXfrm>
        <a:off x="3774546" y="2164923"/>
        <a:ext cx="3563663" cy="1347480"/>
      </dsp:txXfrm>
    </dsp:sp>
    <dsp:sp modelId="{2069F93F-EC36-45CA-81FA-E28CCFC4EDD2}">
      <dsp:nvSpPr>
        <dsp:cNvPr id="0" name=""/>
        <dsp:cNvSpPr/>
      </dsp:nvSpPr>
      <dsp:spPr>
        <a:xfrm>
          <a:off x="7547172" y="2164923"/>
          <a:ext cx="3563663" cy="134748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r>
            <a:rPr lang="pt-BR" sz="3700" kern="1200">
              <a:effectLst>
                <a:outerShdw blurRad="127000" algn="ctr" rotWithShape="0">
                  <a:srgbClr val="000000">
                    <a:alpha val="85000"/>
                  </a:srgbClr>
                </a:outerShdw>
              </a:effectLst>
            </a:rPr>
            <a:t>Comparativo</a:t>
          </a:r>
          <a:br>
            <a:rPr lang="pt-BR" sz="3700" kern="1200">
              <a:effectLst>
                <a:outerShdw blurRad="127000" algn="ctr" rotWithShape="0">
                  <a:srgbClr val="000000">
                    <a:alpha val="85000"/>
                  </a:srgbClr>
                </a:outerShdw>
              </a:effectLst>
            </a:rPr>
          </a:br>
          <a:r>
            <a:rPr lang="pt-BR" sz="3700" kern="1200">
              <a:effectLst>
                <a:outerShdw blurRad="127000" algn="ctr" rotWithShape="0">
                  <a:srgbClr val="000000">
                    <a:alpha val="85000"/>
                  </a:srgbClr>
                </a:outerShdw>
              </a:effectLst>
            </a:rPr>
            <a:t>YoY</a:t>
          </a:r>
        </a:p>
      </dsp:txBody>
      <dsp:txXfrm>
        <a:off x="7547172" y="2164923"/>
        <a:ext cx="3563663" cy="1347480"/>
      </dsp:txXfrm>
    </dsp:sp>
    <dsp:sp modelId="{1B25165C-4C00-4CD9-B7B8-A4C893AC4E13}">
      <dsp:nvSpPr>
        <dsp:cNvPr id="0" name=""/>
        <dsp:cNvSpPr/>
      </dsp:nvSpPr>
      <dsp:spPr>
        <a:xfrm>
          <a:off x="11319798" y="2164923"/>
          <a:ext cx="3563663" cy="134748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endParaRPr lang="pt-BR" sz="3700" kern="1200"/>
        </a:p>
      </dsp:txBody>
      <dsp:txXfrm>
        <a:off x="11319798" y="2164923"/>
        <a:ext cx="3563663" cy="134748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7"/>
          <a:ext cx="2245063"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lvl="0" algn="ctr" defTabSz="1600200">
            <a:lnSpc>
              <a:spcPct val="90000"/>
            </a:lnSpc>
            <a:spcBef>
              <a:spcPct val="0"/>
            </a:spcBef>
            <a:spcAft>
              <a:spcPct val="35000"/>
            </a:spcAft>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7"/>
        <a:ext cx="2245063" cy="1067060"/>
      </dsp:txXfrm>
    </dsp:sp>
    <dsp:sp modelId="{CB133F5D-DBBA-4B12-9FEC-4E54C8197093}">
      <dsp:nvSpPr>
        <dsp:cNvPr id="0" name=""/>
        <dsp:cNvSpPr/>
      </dsp:nvSpPr>
      <dsp:spPr>
        <a:xfrm>
          <a:off x="2423789" y="6398"/>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6398"/>
        <a:ext cx="2245063" cy="1056558"/>
      </dsp:txXfrm>
    </dsp:sp>
    <dsp:sp modelId="{C221B9C3-A015-449B-9E50-6721626A9470}">
      <dsp:nvSpPr>
        <dsp:cNvPr id="0" name=""/>
        <dsp:cNvSpPr/>
      </dsp:nvSpPr>
      <dsp:spPr>
        <a:xfrm>
          <a:off x="2632" y="1244301"/>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700" kern="1200">
            <a:effectLst>
              <a:outerShdw blurRad="127000" algn="ctr" rotWithShape="0">
                <a:prstClr val="black">
                  <a:alpha val="85000"/>
                </a:prstClr>
              </a:outerShdw>
            </a:effectLst>
          </a:endParaRPr>
        </a:p>
      </dsp:txBody>
      <dsp:txXfrm>
        <a:off x="2632" y="1244301"/>
        <a:ext cx="2245063" cy="1056558"/>
      </dsp:txXfrm>
    </dsp:sp>
    <dsp:sp modelId="{19166087-240F-4205-829D-E61CAF74B1F0}">
      <dsp:nvSpPr>
        <dsp:cNvPr id="0" name=""/>
        <dsp:cNvSpPr/>
      </dsp:nvSpPr>
      <dsp:spPr>
        <a:xfrm>
          <a:off x="2423789" y="1244301"/>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1244301"/>
        <a:ext cx="2245063" cy="1056558"/>
      </dsp:txXfrm>
    </dsp:sp>
    <dsp:sp modelId="{5800D369-D655-450A-A267-583A2F68A6F1}">
      <dsp:nvSpPr>
        <dsp:cNvPr id="0" name=""/>
        <dsp:cNvSpPr/>
      </dsp:nvSpPr>
      <dsp:spPr>
        <a:xfrm>
          <a:off x="2632" y="2476952"/>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2476952"/>
        <a:ext cx="2245063" cy="1056558"/>
      </dsp:txXfrm>
    </dsp:sp>
    <dsp:sp modelId="{D29654AC-8B1F-4715-B3EF-5B9D45DA3F9C}">
      <dsp:nvSpPr>
        <dsp:cNvPr id="0" name=""/>
        <dsp:cNvSpPr/>
      </dsp:nvSpPr>
      <dsp:spPr>
        <a:xfrm>
          <a:off x="2423789" y="2476952"/>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2476952"/>
        <a:ext cx="2245063" cy="1056558"/>
      </dsp:txXfrm>
    </dsp:sp>
    <dsp:sp modelId="{2069F93F-EC36-45CA-81FA-E28CCFC4EDD2}">
      <dsp:nvSpPr>
        <dsp:cNvPr id="0" name=""/>
        <dsp:cNvSpPr/>
      </dsp:nvSpPr>
      <dsp:spPr>
        <a:xfrm>
          <a:off x="2632" y="3709604"/>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3" cy="1056558"/>
      </dsp:txXfrm>
    </dsp:sp>
    <dsp:sp modelId="{1B25165C-4C00-4CD9-B7B8-A4C893AC4E13}">
      <dsp:nvSpPr>
        <dsp:cNvPr id="0" name=""/>
        <dsp:cNvSpPr/>
      </dsp:nvSpPr>
      <dsp:spPr>
        <a:xfrm>
          <a:off x="2423789" y="3709604"/>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3709604"/>
        <a:ext cx="2245063" cy="1056558"/>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6"/>
          <a:ext cx="2245064"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lvl="0" algn="ctr" defTabSz="1600200">
            <a:lnSpc>
              <a:spcPct val="90000"/>
            </a:lnSpc>
            <a:spcBef>
              <a:spcPct val="0"/>
            </a:spcBef>
            <a:spcAft>
              <a:spcPct val="35000"/>
            </a:spcAft>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6"/>
        <a:ext cx="2245064" cy="1067060"/>
      </dsp:txXfrm>
    </dsp:sp>
    <dsp:sp modelId="{CB133F5D-DBBA-4B12-9FEC-4E54C8197093}">
      <dsp:nvSpPr>
        <dsp:cNvPr id="0" name=""/>
        <dsp:cNvSpPr/>
      </dsp:nvSpPr>
      <dsp:spPr>
        <a:xfrm>
          <a:off x="2423789" y="6397"/>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6397"/>
        <a:ext cx="2245064" cy="1056558"/>
      </dsp:txXfrm>
    </dsp:sp>
    <dsp:sp modelId="{C221B9C3-A015-449B-9E50-6721626A9470}">
      <dsp:nvSpPr>
        <dsp:cNvPr id="0" name=""/>
        <dsp:cNvSpPr/>
      </dsp:nvSpPr>
      <dsp:spPr>
        <a:xfrm>
          <a:off x="2632" y="1244300"/>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244300"/>
        <a:ext cx="2245064" cy="1056558"/>
      </dsp:txXfrm>
    </dsp:sp>
    <dsp:sp modelId="{19166087-240F-4205-829D-E61CAF74B1F0}">
      <dsp:nvSpPr>
        <dsp:cNvPr id="0" name=""/>
        <dsp:cNvSpPr/>
      </dsp:nvSpPr>
      <dsp:spPr>
        <a:xfrm>
          <a:off x="2423789" y="1244300"/>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1244300"/>
        <a:ext cx="2245064" cy="1056558"/>
      </dsp:txXfrm>
    </dsp:sp>
    <dsp:sp modelId="{5800D369-D655-450A-A267-583A2F68A6F1}">
      <dsp:nvSpPr>
        <dsp:cNvPr id="0" name=""/>
        <dsp:cNvSpPr/>
      </dsp:nvSpPr>
      <dsp:spPr>
        <a:xfrm>
          <a:off x="2632" y="2476952"/>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2476952"/>
        <a:ext cx="2245064" cy="1056558"/>
      </dsp:txXfrm>
    </dsp:sp>
    <dsp:sp modelId="{D29654AC-8B1F-4715-B3EF-5B9D45DA3F9C}">
      <dsp:nvSpPr>
        <dsp:cNvPr id="0" name=""/>
        <dsp:cNvSpPr/>
      </dsp:nvSpPr>
      <dsp:spPr>
        <a:xfrm>
          <a:off x="2423789" y="2476952"/>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2476952"/>
        <a:ext cx="2245064" cy="1056558"/>
      </dsp:txXfrm>
    </dsp:sp>
    <dsp:sp modelId="{2069F93F-EC36-45CA-81FA-E28CCFC4EDD2}">
      <dsp:nvSpPr>
        <dsp:cNvPr id="0" name=""/>
        <dsp:cNvSpPr/>
      </dsp:nvSpPr>
      <dsp:spPr>
        <a:xfrm>
          <a:off x="2632" y="3709604"/>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4" cy="1056558"/>
      </dsp:txXfrm>
    </dsp:sp>
    <dsp:sp modelId="{1B25165C-4C00-4CD9-B7B8-A4C893AC4E13}">
      <dsp:nvSpPr>
        <dsp:cNvPr id="0" name=""/>
        <dsp:cNvSpPr/>
      </dsp:nvSpPr>
      <dsp:spPr>
        <a:xfrm>
          <a:off x="2423789" y="3709604"/>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lvl="0" algn="ctr" defTabSz="1289050">
            <a:lnSpc>
              <a:spcPct val="90000"/>
            </a:lnSpc>
            <a:spcBef>
              <a:spcPct val="0"/>
            </a:spcBef>
            <a:spcAft>
              <a:spcPct val="35000"/>
            </a:spcAft>
          </a:pPr>
          <a:endParaRPr lang="pt-BR" sz="2900" kern="1200"/>
        </a:p>
      </dsp:txBody>
      <dsp:txXfrm>
        <a:off x="2423789" y="3709604"/>
        <a:ext cx="2245064" cy="1056558"/>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210" y="695780"/>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lvl="0" algn="ctr" defTabSz="2133600">
            <a:lnSpc>
              <a:spcPct val="90000"/>
            </a:lnSpc>
            <a:spcBef>
              <a:spcPct val="0"/>
            </a:spcBef>
            <a:spcAft>
              <a:spcPct val="35000"/>
            </a:spcAft>
          </a:pPr>
          <a:r>
            <a:rPr lang="pt-BR" sz="4800" kern="1200">
              <a:effectLst>
                <a:outerShdw blurRad="127000" algn="ctr" rotWithShape="0">
                  <a:prstClr val="black">
                    <a:alpha val="85000"/>
                  </a:prstClr>
                </a:outerShdw>
              </a:effectLst>
            </a:rPr>
            <a:t>Previsto</a:t>
          </a:r>
          <a:r>
            <a:rPr lang="pt-BR" sz="4000" kern="1200">
              <a:effectLst>
                <a:outerShdw blurRad="127000" algn="ctr" rotWithShape="0">
                  <a:prstClr val="black">
                    <a:alpha val="85000"/>
                  </a:prstClr>
                </a:outerShdw>
              </a:effectLst>
            </a:rPr>
            <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2210" y="695780"/>
        <a:ext cx="4100829" cy="1550592"/>
      </dsp:txXfrm>
    </dsp:sp>
    <dsp:sp modelId="{CB133F5D-DBBA-4B12-9FEC-4E54C8197093}">
      <dsp:nvSpPr>
        <dsp:cNvPr id="0" name=""/>
        <dsp:cNvSpPr/>
      </dsp:nvSpPr>
      <dsp:spPr>
        <a:xfrm>
          <a:off x="4343499" y="695780"/>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endParaRPr lang="pt-BR" sz="4300" kern="1200"/>
        </a:p>
      </dsp:txBody>
      <dsp:txXfrm>
        <a:off x="4343499" y="695780"/>
        <a:ext cx="4100829" cy="1550592"/>
      </dsp:txXfrm>
    </dsp:sp>
    <dsp:sp modelId="{C221B9C3-A015-449B-9E50-6721626A9470}">
      <dsp:nvSpPr>
        <dsp:cNvPr id="0" name=""/>
        <dsp:cNvSpPr/>
      </dsp:nvSpPr>
      <dsp:spPr>
        <a:xfrm>
          <a:off x="8684789" y="695780"/>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8684789" y="695780"/>
        <a:ext cx="4100829" cy="1550592"/>
      </dsp:txXfrm>
    </dsp:sp>
    <dsp:sp modelId="{19166087-240F-4205-829D-E61CAF74B1F0}">
      <dsp:nvSpPr>
        <dsp:cNvPr id="0" name=""/>
        <dsp:cNvSpPr/>
      </dsp:nvSpPr>
      <dsp:spPr>
        <a:xfrm>
          <a:off x="13026078" y="695780"/>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endParaRPr lang="pt-BR" sz="4300" kern="1200"/>
        </a:p>
      </dsp:txBody>
      <dsp:txXfrm>
        <a:off x="13026078" y="695780"/>
        <a:ext cx="4100829" cy="1550592"/>
      </dsp:txXfrm>
    </dsp:sp>
    <dsp:sp modelId="{5800D369-D655-450A-A267-583A2F68A6F1}">
      <dsp:nvSpPr>
        <dsp:cNvPr id="0" name=""/>
        <dsp:cNvSpPr/>
      </dsp:nvSpPr>
      <dsp:spPr>
        <a:xfrm>
          <a:off x="2210" y="2486833"/>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2210" y="2486833"/>
        <a:ext cx="4100829" cy="1550592"/>
      </dsp:txXfrm>
    </dsp:sp>
    <dsp:sp modelId="{D29654AC-8B1F-4715-B3EF-5B9D45DA3F9C}">
      <dsp:nvSpPr>
        <dsp:cNvPr id="0" name=""/>
        <dsp:cNvSpPr/>
      </dsp:nvSpPr>
      <dsp:spPr>
        <a:xfrm>
          <a:off x="4343499" y="2486833"/>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endParaRPr lang="pt-BR" sz="4300" kern="1200"/>
        </a:p>
      </dsp:txBody>
      <dsp:txXfrm>
        <a:off x="4343499" y="2486833"/>
        <a:ext cx="4100829" cy="1550592"/>
      </dsp:txXfrm>
    </dsp:sp>
    <dsp:sp modelId="{2069F93F-EC36-45CA-81FA-E28CCFC4EDD2}">
      <dsp:nvSpPr>
        <dsp:cNvPr id="0" name=""/>
        <dsp:cNvSpPr/>
      </dsp:nvSpPr>
      <dsp:spPr>
        <a:xfrm>
          <a:off x="8684789" y="2486833"/>
          <a:ext cx="4100829" cy="155059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r>
            <a:rPr lang="pt-BR" sz="4300" kern="1200">
              <a:effectLst>
                <a:outerShdw blurRad="127000" algn="ctr" rotWithShape="0">
                  <a:srgbClr val="000000">
                    <a:alpha val="85000"/>
                  </a:srgbClr>
                </a:outerShdw>
              </a:effectLst>
            </a:rPr>
            <a:t>Comparativo</a:t>
          </a:r>
          <a:br>
            <a:rPr lang="pt-BR" sz="4300" kern="1200">
              <a:effectLst>
                <a:outerShdw blurRad="127000" algn="ctr" rotWithShape="0">
                  <a:srgbClr val="000000">
                    <a:alpha val="85000"/>
                  </a:srgbClr>
                </a:outerShdw>
              </a:effectLst>
            </a:rPr>
          </a:br>
          <a:r>
            <a:rPr lang="pt-BR" sz="4300" kern="1200">
              <a:effectLst>
                <a:outerShdw blurRad="127000" algn="ctr" rotWithShape="0">
                  <a:srgbClr val="000000">
                    <a:alpha val="85000"/>
                  </a:srgbClr>
                </a:outerShdw>
              </a:effectLst>
            </a:rPr>
            <a:t>YoY</a:t>
          </a:r>
        </a:p>
      </dsp:txBody>
      <dsp:txXfrm>
        <a:off x="8684789" y="2486833"/>
        <a:ext cx="4100829" cy="1550592"/>
      </dsp:txXfrm>
    </dsp:sp>
    <dsp:sp modelId="{1B25165C-4C00-4CD9-B7B8-A4C893AC4E13}">
      <dsp:nvSpPr>
        <dsp:cNvPr id="0" name=""/>
        <dsp:cNvSpPr/>
      </dsp:nvSpPr>
      <dsp:spPr>
        <a:xfrm>
          <a:off x="13026078" y="2486833"/>
          <a:ext cx="4100829" cy="155059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lvl="0" algn="ctr" defTabSz="1911350">
            <a:lnSpc>
              <a:spcPct val="90000"/>
            </a:lnSpc>
            <a:spcBef>
              <a:spcPct val="0"/>
            </a:spcBef>
            <a:spcAft>
              <a:spcPct val="35000"/>
            </a:spcAft>
          </a:pPr>
          <a:endParaRPr lang="pt-BR" sz="4300" kern="1200"/>
        </a:p>
      </dsp:txBody>
      <dsp:txXfrm>
        <a:off x="13026078" y="2486833"/>
        <a:ext cx="4100829" cy="155059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76" y="40458"/>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lvl="0" algn="ctr" defTabSz="1600200">
            <a:lnSpc>
              <a:spcPct val="90000"/>
            </a:lnSpc>
            <a:spcBef>
              <a:spcPct val="0"/>
            </a:spcBef>
            <a:spcAft>
              <a:spcPct val="35000"/>
            </a:spcAft>
          </a:pPr>
          <a:r>
            <a:rPr lang="pt-BR" sz="3600" kern="1200">
              <a:effectLst>
                <a:outerShdw blurRad="127000" algn="ctr" rotWithShape="0">
                  <a:prstClr val="black">
                    <a:alpha val="85000"/>
                  </a:prstClr>
                </a:outerShdw>
              </a:effectLst>
            </a:rPr>
            <a:t>Entrantes</a:t>
          </a:r>
        </a:p>
        <a:p>
          <a:pPr lvl="0" algn="ctr" defTabSz="1600200">
            <a:lnSpc>
              <a:spcPct val="90000"/>
            </a:lnSpc>
            <a:spcBef>
              <a:spcPct val="0"/>
            </a:spcBef>
            <a:spcAft>
              <a:spcPct val="35000"/>
            </a:spcAft>
          </a:pPr>
          <a:r>
            <a:rPr lang="pt-BR" sz="1800" kern="1200">
              <a:effectLst>
                <a:outerShdw blurRad="127000" algn="ctr" rotWithShape="0">
                  <a:prstClr val="black">
                    <a:alpha val="85000"/>
                  </a:prstClr>
                </a:outerShdw>
              </a:effectLst>
            </a:rPr>
            <a:t>Previsto - Jan. a Dez.</a:t>
          </a:r>
        </a:p>
      </dsp:txBody>
      <dsp:txXfrm>
        <a:off x="676" y="40458"/>
        <a:ext cx="2638234" cy="1582940"/>
      </dsp:txXfrm>
    </dsp:sp>
    <dsp:sp modelId="{CB133F5D-DBBA-4B12-9FEC-4E54C8197093}">
      <dsp:nvSpPr>
        <dsp:cNvPr id="0" name=""/>
        <dsp:cNvSpPr/>
      </dsp:nvSpPr>
      <dsp:spPr>
        <a:xfrm>
          <a:off x="2902734" y="40458"/>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2902734" y="40458"/>
        <a:ext cx="2638234" cy="1582940"/>
      </dsp:txXfrm>
    </dsp:sp>
    <dsp:sp modelId="{C221B9C3-A015-449B-9E50-6721626A9470}">
      <dsp:nvSpPr>
        <dsp:cNvPr id="0" name=""/>
        <dsp:cNvSpPr/>
      </dsp:nvSpPr>
      <dsp:spPr>
        <a:xfrm>
          <a:off x="676" y="1887222"/>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lvl="0" algn="ctr" defTabSz="1600200">
            <a:lnSpc>
              <a:spcPct val="90000"/>
            </a:lnSpc>
            <a:spcBef>
              <a:spcPct val="0"/>
            </a:spcBef>
            <a:spcAft>
              <a:spcPct val="35000"/>
            </a:spcAft>
          </a:pPr>
          <a:r>
            <a:rPr lang="pt-BR" sz="3600" kern="1200">
              <a:effectLst>
                <a:outerShdw blurRad="127000" algn="ctr" rotWithShape="0">
                  <a:prstClr val="black">
                    <a:alpha val="85000"/>
                  </a:prstClr>
                </a:outerShdw>
              </a:effectLst>
            </a:rPr>
            <a:t>Entrantes</a:t>
          </a:r>
          <a:br>
            <a:rPr lang="pt-BR" sz="36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Dez.</a:t>
          </a:r>
          <a:endParaRPr lang="pt-BR" sz="1800" kern="1200">
            <a:effectLst>
              <a:outerShdw blurRad="127000" algn="ctr" rotWithShape="0">
                <a:srgbClr val="000000">
                  <a:alpha val="85000"/>
                </a:srgbClr>
              </a:outerShdw>
            </a:effectLst>
          </a:endParaRPr>
        </a:p>
      </dsp:txBody>
      <dsp:txXfrm>
        <a:off x="676" y="1887222"/>
        <a:ext cx="2638234" cy="1582940"/>
      </dsp:txXfrm>
    </dsp:sp>
    <dsp:sp modelId="{19166087-240F-4205-829D-E61CAF74B1F0}">
      <dsp:nvSpPr>
        <dsp:cNvPr id="0" name=""/>
        <dsp:cNvSpPr/>
      </dsp:nvSpPr>
      <dsp:spPr>
        <a:xfrm>
          <a:off x="2902734" y="1887222"/>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2902734" y="1887222"/>
        <a:ext cx="2638234" cy="1582940"/>
      </dsp:txXfrm>
    </dsp:sp>
    <dsp:sp modelId="{0E296175-191A-4DDD-9AFD-C58180D0C5B1}">
      <dsp:nvSpPr>
        <dsp:cNvPr id="0" name=""/>
        <dsp:cNvSpPr/>
      </dsp:nvSpPr>
      <dsp:spPr>
        <a:xfrm>
          <a:off x="676" y="3733986"/>
          <a:ext cx="2638234" cy="158294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lvl="0" algn="ctr" defTabSz="1600200">
            <a:lnSpc>
              <a:spcPct val="90000"/>
            </a:lnSpc>
            <a:spcBef>
              <a:spcPct val="0"/>
            </a:spcBef>
            <a:spcAft>
              <a:spcPct val="35000"/>
            </a:spcAft>
          </a:pPr>
          <a:r>
            <a:rPr lang="pt-BR" sz="3600" kern="1200">
              <a:effectLst>
                <a:outerShdw blurRad="127000" algn="ctr" rotWithShape="0">
                  <a:prstClr val="black">
                    <a:alpha val="85000"/>
                  </a:prstClr>
                </a:outerShdw>
              </a:effectLst>
            </a:rPr>
            <a:t>Entrantes</a:t>
          </a:r>
        </a:p>
        <a:p>
          <a:pPr lvl="0" algn="ctr" defTabSz="1600200">
            <a:lnSpc>
              <a:spcPct val="90000"/>
            </a:lnSpc>
            <a:spcBef>
              <a:spcPct val="0"/>
            </a:spcBef>
            <a:spcAft>
              <a:spcPct val="35000"/>
            </a:spcAft>
          </a:pPr>
          <a:r>
            <a:rPr lang="pt-BR" sz="2800" kern="1200">
              <a:effectLst>
                <a:outerShdw blurRad="127000" algn="ctr" rotWithShape="0">
                  <a:prstClr val="black">
                    <a:alpha val="85000"/>
                  </a:prstClr>
                </a:outerShdw>
              </a:effectLst>
            </a:rPr>
            <a:t>% de execução</a:t>
          </a:r>
        </a:p>
      </dsp:txBody>
      <dsp:txXfrm>
        <a:off x="676" y="3733986"/>
        <a:ext cx="2638234" cy="1582940"/>
      </dsp:txXfrm>
    </dsp:sp>
    <dsp:sp modelId="{2069F93F-EC36-45CA-81FA-E28CCFC4EDD2}">
      <dsp:nvSpPr>
        <dsp:cNvPr id="0" name=""/>
        <dsp:cNvSpPr/>
      </dsp:nvSpPr>
      <dsp:spPr>
        <a:xfrm>
          <a:off x="2902734" y="3733986"/>
          <a:ext cx="2638234" cy="158294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2902734" y="3733986"/>
        <a:ext cx="2638234" cy="1582940"/>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98159" y="2720"/>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Previsto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98159" y="2720"/>
        <a:ext cx="1926415" cy="1155849"/>
      </dsp:txXfrm>
    </dsp:sp>
    <dsp:sp modelId="{CB133F5D-DBBA-4B12-9FEC-4E54C8197093}">
      <dsp:nvSpPr>
        <dsp:cNvPr id="0" name=""/>
        <dsp:cNvSpPr/>
      </dsp:nvSpPr>
      <dsp:spPr>
        <a:xfrm>
          <a:off x="2817217" y="2720"/>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817217" y="2720"/>
        <a:ext cx="1926415" cy="1155849"/>
      </dsp:txXfrm>
    </dsp:sp>
    <dsp:sp modelId="{C221B9C3-A015-449B-9E50-6721626A9470}">
      <dsp:nvSpPr>
        <dsp:cNvPr id="0" name=""/>
        <dsp:cNvSpPr/>
      </dsp:nvSpPr>
      <dsp:spPr>
        <a:xfrm>
          <a:off x="698159" y="1351211"/>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200" kern="1200">
            <a:effectLst>
              <a:outerShdw blurRad="127000" algn="ctr" rotWithShape="0">
                <a:prstClr val="black">
                  <a:alpha val="85000"/>
                </a:prstClr>
              </a:outerShdw>
            </a:effectLst>
          </a:endParaRPr>
        </a:p>
      </dsp:txBody>
      <dsp:txXfrm>
        <a:off x="698159" y="1351211"/>
        <a:ext cx="1926415" cy="1155849"/>
      </dsp:txXfrm>
    </dsp:sp>
    <dsp:sp modelId="{19166087-240F-4205-829D-E61CAF74B1F0}">
      <dsp:nvSpPr>
        <dsp:cNvPr id="0" name=""/>
        <dsp:cNvSpPr/>
      </dsp:nvSpPr>
      <dsp:spPr>
        <a:xfrm>
          <a:off x="2817217" y="1351211"/>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817217" y="1351211"/>
        <a:ext cx="1926415" cy="1155849"/>
      </dsp:txXfrm>
    </dsp:sp>
    <dsp:sp modelId="{5800D369-D655-450A-A267-583A2F68A6F1}">
      <dsp:nvSpPr>
        <dsp:cNvPr id="0" name=""/>
        <dsp:cNvSpPr/>
      </dsp:nvSpPr>
      <dsp:spPr>
        <a:xfrm>
          <a:off x="698159" y="2699702"/>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800" kern="1200">
            <a:effectLst>
              <a:outerShdw blurRad="127000" algn="ctr" rotWithShape="0">
                <a:prstClr val="black">
                  <a:alpha val="85000"/>
                </a:prstClr>
              </a:outerShdw>
            </a:effectLst>
          </a:endParaRPr>
        </a:p>
      </dsp:txBody>
      <dsp:txXfrm>
        <a:off x="698159" y="2699702"/>
        <a:ext cx="1926415" cy="1155849"/>
      </dsp:txXfrm>
    </dsp:sp>
    <dsp:sp modelId="{D29654AC-8B1F-4715-B3EF-5B9D45DA3F9C}">
      <dsp:nvSpPr>
        <dsp:cNvPr id="0" name=""/>
        <dsp:cNvSpPr/>
      </dsp:nvSpPr>
      <dsp:spPr>
        <a:xfrm>
          <a:off x="2817217" y="2699702"/>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817217" y="2699702"/>
        <a:ext cx="1926415" cy="1155849"/>
      </dsp:txXfrm>
    </dsp:sp>
    <dsp:sp modelId="{2069F93F-EC36-45CA-81FA-E28CCFC4EDD2}">
      <dsp:nvSpPr>
        <dsp:cNvPr id="0" name=""/>
        <dsp:cNvSpPr/>
      </dsp:nvSpPr>
      <dsp:spPr>
        <a:xfrm>
          <a:off x="698159" y="4048193"/>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698159" y="4048193"/>
        <a:ext cx="1926415" cy="1155849"/>
      </dsp:txXfrm>
    </dsp:sp>
    <dsp:sp modelId="{1B25165C-4C00-4CD9-B7B8-A4C893AC4E13}">
      <dsp:nvSpPr>
        <dsp:cNvPr id="0" name=""/>
        <dsp:cNvSpPr/>
      </dsp:nvSpPr>
      <dsp:spPr>
        <a:xfrm>
          <a:off x="2817217" y="4048193"/>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817217" y="4048193"/>
        <a:ext cx="1926415" cy="1155849"/>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36487" y="56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lvl="0" algn="ctr" defTabSz="1689100">
            <a:lnSpc>
              <a:spcPct val="90000"/>
            </a:lnSpc>
            <a:spcBef>
              <a:spcPct val="0"/>
            </a:spcBef>
            <a:spcAft>
              <a:spcPct val="35000"/>
            </a:spcAft>
          </a:pPr>
          <a:r>
            <a:rPr lang="pt-BR" sz="3800" kern="1200">
              <a:effectLst>
                <a:outerShdw blurRad="127000" algn="ctr" rotWithShape="0">
                  <a:prstClr val="black">
                    <a:alpha val="85000"/>
                  </a:prstClr>
                </a:outerShdw>
              </a:effectLst>
            </a:rPr>
            <a:t>Previsto</a:t>
          </a:r>
          <a:r>
            <a:rPr lang="pt-BR" sz="2800" kern="1200">
              <a:effectLst>
                <a:outerShdw blurRad="127000" algn="ctr" rotWithShape="0">
                  <a:prstClr val="black">
                    <a:alpha val="85000"/>
                  </a:prstClr>
                </a:outerShdw>
              </a:effectLst>
            </a:rPr>
            <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36487" y="567"/>
        <a:ext cx="2602542" cy="1561525"/>
      </dsp:txXfrm>
    </dsp:sp>
    <dsp:sp modelId="{CB133F5D-DBBA-4B12-9FEC-4E54C8197093}">
      <dsp:nvSpPr>
        <dsp:cNvPr id="0" name=""/>
        <dsp:cNvSpPr/>
      </dsp:nvSpPr>
      <dsp:spPr>
        <a:xfrm>
          <a:off x="3499285" y="56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499285" y="567"/>
        <a:ext cx="2602542" cy="1561525"/>
      </dsp:txXfrm>
    </dsp:sp>
    <dsp:sp modelId="{C221B9C3-A015-449B-9E50-6721626A9470}">
      <dsp:nvSpPr>
        <dsp:cNvPr id="0" name=""/>
        <dsp:cNvSpPr/>
      </dsp:nvSpPr>
      <dsp:spPr>
        <a:xfrm>
          <a:off x="636487" y="182234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lvl="0" algn="ctr" defTabSz="1689100">
            <a:lnSpc>
              <a:spcPct val="90000"/>
            </a:lnSpc>
            <a:spcBef>
              <a:spcPct val="0"/>
            </a:spcBef>
            <a:spcAft>
              <a:spcPct val="35000"/>
            </a:spcAft>
          </a:pPr>
          <a:r>
            <a:rPr lang="pt-BR" sz="3800" kern="1200">
              <a:effectLst>
                <a:outerShdw blurRad="127000" algn="ctr" rotWithShape="0">
                  <a:prstClr val="black">
                    <a:alpha val="85000"/>
                  </a:prstClr>
                </a:outerShdw>
              </a:effectLst>
            </a:rPr>
            <a:t>Executado</a:t>
          </a:r>
          <a:br>
            <a:rPr lang="pt-BR" sz="3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36487" y="1822347"/>
        <a:ext cx="2602542" cy="1561525"/>
      </dsp:txXfrm>
    </dsp:sp>
    <dsp:sp modelId="{19166087-240F-4205-829D-E61CAF74B1F0}">
      <dsp:nvSpPr>
        <dsp:cNvPr id="0" name=""/>
        <dsp:cNvSpPr/>
      </dsp:nvSpPr>
      <dsp:spPr>
        <a:xfrm>
          <a:off x="3499285" y="182234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499285" y="1822347"/>
        <a:ext cx="2602542" cy="1561525"/>
      </dsp:txXfrm>
    </dsp:sp>
    <dsp:sp modelId="{5800D369-D655-450A-A267-583A2F68A6F1}">
      <dsp:nvSpPr>
        <dsp:cNvPr id="0" name=""/>
        <dsp:cNvSpPr/>
      </dsp:nvSpPr>
      <dsp:spPr>
        <a:xfrm>
          <a:off x="636487" y="364412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36487" y="3644127"/>
        <a:ext cx="2602542" cy="1561525"/>
      </dsp:txXfrm>
    </dsp:sp>
    <dsp:sp modelId="{2069F93F-EC36-45CA-81FA-E28CCFC4EDD2}">
      <dsp:nvSpPr>
        <dsp:cNvPr id="0" name=""/>
        <dsp:cNvSpPr/>
      </dsp:nvSpPr>
      <dsp:spPr>
        <a:xfrm>
          <a:off x="3499285" y="364412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499285" y="3644127"/>
        <a:ext cx="2602542" cy="156152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236" y="941099"/>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lvl="0" algn="ctr" defTabSz="1955800">
            <a:lnSpc>
              <a:spcPct val="90000"/>
            </a:lnSpc>
            <a:spcBef>
              <a:spcPct val="0"/>
            </a:spcBef>
            <a:spcAft>
              <a:spcPct val="35000"/>
            </a:spcAft>
          </a:pPr>
          <a:r>
            <a:rPr lang="pt-BR" sz="4400" kern="1200">
              <a:effectLst>
                <a:outerShdw blurRad="127000" algn="ctr" rotWithShape="0">
                  <a:prstClr val="black">
                    <a:alpha val="85000"/>
                  </a:prstClr>
                </a:outerShdw>
              </a:effectLst>
            </a:rPr>
            <a:t>Empresas Previstas</a:t>
          </a:r>
          <a:r>
            <a:rPr lang="pt-BR" sz="5400" kern="1200">
              <a:effectLst>
                <a:outerShdw blurRad="127000" algn="ctr" rotWithShape="0">
                  <a:prstClr val="black">
                    <a:alpha val="85000"/>
                  </a:prstClr>
                </a:outerShdw>
              </a:effectLst>
            </a:rPr>
            <a:t/>
          </a:r>
          <a:br>
            <a:rPr lang="pt-BR" sz="54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Dez.</a:t>
          </a:r>
        </a:p>
      </dsp:txBody>
      <dsp:txXfrm>
        <a:off x="4236" y="941099"/>
        <a:ext cx="3361126" cy="2016675"/>
      </dsp:txXfrm>
    </dsp:sp>
    <dsp:sp modelId="{CB133F5D-DBBA-4B12-9FEC-4E54C8197093}">
      <dsp:nvSpPr>
        <dsp:cNvPr id="0" name=""/>
        <dsp:cNvSpPr/>
      </dsp:nvSpPr>
      <dsp:spPr>
        <a:xfrm>
          <a:off x="3701476" y="941099"/>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701476" y="941099"/>
        <a:ext cx="3361126" cy="2016675"/>
      </dsp:txXfrm>
    </dsp:sp>
    <dsp:sp modelId="{C221B9C3-A015-449B-9E50-6721626A9470}">
      <dsp:nvSpPr>
        <dsp:cNvPr id="0" name=""/>
        <dsp:cNvSpPr/>
      </dsp:nvSpPr>
      <dsp:spPr>
        <a:xfrm>
          <a:off x="7398715" y="941099"/>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Empresa Atuais</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Dez.</a:t>
          </a:r>
          <a:endParaRPr lang="pt-BR" sz="2400" kern="1200">
            <a:solidFill>
              <a:srgbClr val="FFFF00"/>
            </a:solidFill>
            <a:effectLst>
              <a:outerShdw blurRad="127000" algn="ctr" rotWithShape="0">
                <a:prstClr val="black">
                  <a:alpha val="85000"/>
                </a:prstClr>
              </a:outerShdw>
            </a:effectLst>
          </a:endParaRPr>
        </a:p>
      </dsp:txBody>
      <dsp:txXfrm>
        <a:off x="7398715" y="941099"/>
        <a:ext cx="3361126" cy="2016675"/>
      </dsp:txXfrm>
    </dsp:sp>
    <dsp:sp modelId="{19166087-240F-4205-829D-E61CAF74B1F0}">
      <dsp:nvSpPr>
        <dsp:cNvPr id="0" name=""/>
        <dsp:cNvSpPr/>
      </dsp:nvSpPr>
      <dsp:spPr>
        <a:xfrm>
          <a:off x="11095954" y="941099"/>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11095954" y="941099"/>
        <a:ext cx="3361126" cy="2016675"/>
      </dsp:txXfrm>
    </dsp:sp>
    <dsp:sp modelId="{81E86E99-3676-4A87-9CCC-09470BFADE6D}">
      <dsp:nvSpPr>
        <dsp:cNvPr id="0" name=""/>
        <dsp:cNvSpPr/>
      </dsp:nvSpPr>
      <dsp:spPr>
        <a:xfrm>
          <a:off x="4236" y="3293888"/>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Variação frente a 2019</a:t>
          </a:r>
          <a:endParaRPr lang="pt-BR" sz="1800" kern="1200">
            <a:effectLst>
              <a:outerShdw blurRad="127000" algn="ctr" rotWithShape="0">
                <a:prstClr val="black">
                  <a:alpha val="85000"/>
                </a:prstClr>
              </a:outerShdw>
            </a:effectLst>
          </a:endParaRPr>
        </a:p>
      </dsp:txBody>
      <dsp:txXfrm>
        <a:off x="4236" y="3293888"/>
        <a:ext cx="3361126" cy="2016675"/>
      </dsp:txXfrm>
    </dsp:sp>
    <dsp:sp modelId="{0E296175-191A-4DDD-9AFD-C58180D0C5B1}">
      <dsp:nvSpPr>
        <dsp:cNvPr id="0" name=""/>
        <dsp:cNvSpPr/>
      </dsp:nvSpPr>
      <dsp:spPr>
        <a:xfrm>
          <a:off x="3701476" y="3293888"/>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701476" y="3293888"/>
        <a:ext cx="3361126" cy="2016675"/>
      </dsp:txXfrm>
    </dsp:sp>
    <dsp:sp modelId="{5800D369-D655-450A-A267-583A2F68A6F1}">
      <dsp:nvSpPr>
        <dsp:cNvPr id="0" name=""/>
        <dsp:cNvSpPr/>
      </dsp:nvSpPr>
      <dsp:spPr>
        <a:xfrm>
          <a:off x="7398715" y="3293888"/>
          <a:ext cx="3361126" cy="2016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Execução</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Dez.</a:t>
          </a:r>
        </a:p>
      </dsp:txBody>
      <dsp:txXfrm>
        <a:off x="7398715" y="3293888"/>
        <a:ext cx="3361126" cy="2016675"/>
      </dsp:txXfrm>
    </dsp:sp>
    <dsp:sp modelId="{2069F93F-EC36-45CA-81FA-E28CCFC4EDD2}">
      <dsp:nvSpPr>
        <dsp:cNvPr id="0" name=""/>
        <dsp:cNvSpPr/>
      </dsp:nvSpPr>
      <dsp:spPr>
        <a:xfrm>
          <a:off x="11095954" y="3293888"/>
          <a:ext cx="3361126" cy="2016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11095954" y="3293888"/>
        <a:ext cx="3361126" cy="201667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47193" y="2834"/>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lvl="0" algn="ctr" defTabSz="1422400">
            <a:lnSpc>
              <a:spcPct val="90000"/>
            </a:lnSpc>
            <a:spcBef>
              <a:spcPct val="0"/>
            </a:spcBef>
            <a:spcAft>
              <a:spcPct val="35000"/>
            </a:spcAft>
          </a:pPr>
          <a:r>
            <a:rPr lang="pt-BR" sz="3200" kern="1200">
              <a:effectLst>
                <a:outerShdw blurRad="127000" algn="ctr" rotWithShape="0">
                  <a:prstClr val="black">
                    <a:alpha val="85000"/>
                  </a:prstClr>
                </a:outerShdw>
              </a:effectLst>
            </a:rPr>
            <a:t>Previsto </a:t>
          </a:r>
          <a:r>
            <a:rPr lang="pt-BR" sz="2000" kern="1200">
              <a:effectLst>
                <a:outerShdw blurRad="127000" algn="ctr" rotWithShape="0">
                  <a:prstClr val="black">
                    <a:alpha val="85000"/>
                  </a:prstClr>
                </a:outerShdw>
              </a:effectLst>
            </a:rPr>
            <a:t>Jan. a Dez.</a:t>
          </a:r>
        </a:p>
      </dsp:txBody>
      <dsp:txXfrm>
        <a:off x="447193" y="2834"/>
        <a:ext cx="1971684" cy="1183010"/>
      </dsp:txXfrm>
    </dsp:sp>
    <dsp:sp modelId="{CB133F5D-DBBA-4B12-9FEC-4E54C8197093}">
      <dsp:nvSpPr>
        <dsp:cNvPr id="0" name=""/>
        <dsp:cNvSpPr/>
      </dsp:nvSpPr>
      <dsp:spPr>
        <a:xfrm>
          <a:off x="2616046" y="2834"/>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616046" y="2834"/>
        <a:ext cx="1971684" cy="1183010"/>
      </dsp:txXfrm>
    </dsp:sp>
    <dsp:sp modelId="{C221B9C3-A015-449B-9E50-6721626A9470}">
      <dsp:nvSpPr>
        <dsp:cNvPr id="0" name=""/>
        <dsp:cNvSpPr/>
      </dsp:nvSpPr>
      <dsp:spPr>
        <a:xfrm>
          <a:off x="447193" y="1383013"/>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Dez.</a:t>
          </a:r>
        </a:p>
      </dsp:txBody>
      <dsp:txXfrm>
        <a:off x="447193" y="1383013"/>
        <a:ext cx="1971684" cy="1183010"/>
      </dsp:txXfrm>
    </dsp:sp>
    <dsp:sp modelId="{19166087-240F-4205-829D-E61CAF74B1F0}">
      <dsp:nvSpPr>
        <dsp:cNvPr id="0" name=""/>
        <dsp:cNvSpPr/>
      </dsp:nvSpPr>
      <dsp:spPr>
        <a:xfrm>
          <a:off x="2616046" y="1383013"/>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616046" y="1383013"/>
        <a:ext cx="1971684" cy="1183010"/>
      </dsp:txXfrm>
    </dsp:sp>
    <dsp:sp modelId="{5800D369-D655-450A-A267-583A2F68A6F1}">
      <dsp:nvSpPr>
        <dsp:cNvPr id="0" name=""/>
        <dsp:cNvSpPr/>
      </dsp:nvSpPr>
      <dsp:spPr>
        <a:xfrm>
          <a:off x="447193" y="2763192"/>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pt-BR" sz="2000" kern="1200">
              <a:effectLst>
                <a:outerShdw blurRad="127000" algn="ctr" rotWithShape="0">
                  <a:prstClr val="black">
                    <a:alpha val="85000"/>
                  </a:prstClr>
                </a:outerShdw>
              </a:effectLst>
            </a:rPr>
            <a:t>% de Execução</a:t>
          </a:r>
          <a:r>
            <a:rPr lang="pt-BR" sz="2400" kern="1200">
              <a:effectLst>
                <a:outerShdw blurRad="127000" algn="ctr" rotWithShape="0">
                  <a:prstClr val="black">
                    <a:alpha val="85000"/>
                  </a:prstClr>
                </a:outerShdw>
              </a:effectLst>
            </a:rPr>
            <a:t/>
          </a:r>
          <a:br>
            <a:rPr lang="pt-BR" sz="24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Dez.</a:t>
          </a:r>
          <a:endParaRPr lang="pt-BR" sz="2400" kern="1200">
            <a:effectLst>
              <a:outerShdw blurRad="127000" algn="ctr" rotWithShape="0">
                <a:prstClr val="black">
                  <a:alpha val="85000"/>
                </a:prstClr>
              </a:outerShdw>
            </a:effectLst>
          </a:endParaRPr>
        </a:p>
      </dsp:txBody>
      <dsp:txXfrm>
        <a:off x="447193" y="2763192"/>
        <a:ext cx="1971684" cy="1183010"/>
      </dsp:txXfrm>
    </dsp:sp>
    <dsp:sp modelId="{1EDBA391-CE45-4122-A2BD-AC939FFB038A}">
      <dsp:nvSpPr>
        <dsp:cNvPr id="0" name=""/>
        <dsp:cNvSpPr/>
      </dsp:nvSpPr>
      <dsp:spPr>
        <a:xfrm>
          <a:off x="2616046" y="2763192"/>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616046" y="2763192"/>
        <a:ext cx="1971684" cy="1183010"/>
      </dsp:txXfrm>
    </dsp:sp>
    <dsp:sp modelId="{26C29F5A-5C9B-4D16-A9F5-DF7736AB47DF}">
      <dsp:nvSpPr>
        <dsp:cNvPr id="0" name=""/>
        <dsp:cNvSpPr/>
      </dsp:nvSpPr>
      <dsp:spPr>
        <a:xfrm>
          <a:off x="447193" y="4143371"/>
          <a:ext cx="1971684" cy="118301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447193" y="4143371"/>
        <a:ext cx="1971684" cy="1183010"/>
      </dsp:txXfrm>
    </dsp:sp>
    <dsp:sp modelId="{2069F93F-EC36-45CA-81FA-E28CCFC4EDD2}">
      <dsp:nvSpPr>
        <dsp:cNvPr id="0" name=""/>
        <dsp:cNvSpPr/>
      </dsp:nvSpPr>
      <dsp:spPr>
        <a:xfrm>
          <a:off x="2616046" y="4143371"/>
          <a:ext cx="1971684" cy="1183010"/>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lvl="0" algn="ctr" defTabSz="1155700">
            <a:lnSpc>
              <a:spcPct val="90000"/>
            </a:lnSpc>
            <a:spcBef>
              <a:spcPct val="0"/>
            </a:spcBef>
            <a:spcAft>
              <a:spcPct val="35000"/>
            </a:spcAft>
          </a:pPr>
          <a:endParaRPr lang="pt-BR" sz="2600" kern="1200"/>
        </a:p>
      </dsp:txBody>
      <dsp:txXfrm>
        <a:off x="2616046" y="4143371"/>
        <a:ext cx="1971684" cy="1183010"/>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316908" y="2586"/>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lvl="0" algn="ctr" defTabSz="1778000">
            <a:lnSpc>
              <a:spcPct val="90000"/>
            </a:lnSpc>
            <a:spcBef>
              <a:spcPct val="0"/>
            </a:spcBef>
            <a:spcAft>
              <a:spcPct val="35000"/>
            </a:spcAft>
          </a:pPr>
          <a:r>
            <a:rPr lang="pt-BR" sz="40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316908" y="2586"/>
        <a:ext cx="2664221" cy="1598532"/>
      </dsp:txXfrm>
    </dsp:sp>
    <dsp:sp modelId="{CB133F5D-DBBA-4B12-9FEC-4E54C8197093}">
      <dsp:nvSpPr>
        <dsp:cNvPr id="0" name=""/>
        <dsp:cNvSpPr/>
      </dsp:nvSpPr>
      <dsp:spPr>
        <a:xfrm>
          <a:off x="3247552" y="2586"/>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247552" y="2586"/>
        <a:ext cx="2664221" cy="1598532"/>
      </dsp:txXfrm>
    </dsp:sp>
    <dsp:sp modelId="{C221B9C3-A015-449B-9E50-6721626A9470}">
      <dsp:nvSpPr>
        <dsp:cNvPr id="0" name=""/>
        <dsp:cNvSpPr/>
      </dsp:nvSpPr>
      <dsp:spPr>
        <a:xfrm>
          <a:off x="316908" y="1867541"/>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lvl="0" algn="ctr" defTabSz="1644650">
            <a:lnSpc>
              <a:spcPct val="90000"/>
            </a:lnSpc>
            <a:spcBef>
              <a:spcPct val="0"/>
            </a:spcBef>
            <a:spcAft>
              <a:spcPct val="35000"/>
            </a:spcAft>
          </a:pPr>
          <a:r>
            <a:rPr lang="pt-BR" sz="3700" kern="1200">
              <a:effectLst>
                <a:outerShdw blurRad="127000" algn="ctr" rotWithShape="0">
                  <a:prstClr val="black">
                    <a:alpha val="85000"/>
                  </a:prstClr>
                </a:outerShdw>
              </a:effectLst>
            </a:rPr>
            <a:t>Executado</a:t>
          </a:r>
          <a:br>
            <a:rPr lang="pt-BR" sz="37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endParaRPr lang="pt-BR" sz="2800" kern="1200">
            <a:effectLst>
              <a:outerShdw blurRad="127000" algn="ctr" rotWithShape="0">
                <a:prstClr val="black">
                  <a:alpha val="85000"/>
                </a:prstClr>
              </a:outerShdw>
            </a:effectLst>
          </a:endParaRPr>
        </a:p>
      </dsp:txBody>
      <dsp:txXfrm>
        <a:off x="316908" y="1867541"/>
        <a:ext cx="2664221" cy="1598532"/>
      </dsp:txXfrm>
    </dsp:sp>
    <dsp:sp modelId="{19166087-240F-4205-829D-E61CAF74B1F0}">
      <dsp:nvSpPr>
        <dsp:cNvPr id="0" name=""/>
        <dsp:cNvSpPr/>
      </dsp:nvSpPr>
      <dsp:spPr>
        <a:xfrm>
          <a:off x="3247552" y="1867541"/>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247552" y="1867541"/>
        <a:ext cx="2664221" cy="1598532"/>
      </dsp:txXfrm>
    </dsp:sp>
    <dsp:sp modelId="{5800D369-D655-450A-A267-583A2F68A6F1}">
      <dsp:nvSpPr>
        <dsp:cNvPr id="0" name=""/>
        <dsp:cNvSpPr/>
      </dsp:nvSpPr>
      <dsp:spPr>
        <a:xfrm>
          <a:off x="316908" y="3732496"/>
          <a:ext cx="2664221" cy="1598532"/>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Dez.</a:t>
          </a:r>
          <a:endParaRPr lang="pt-BR" sz="2400" kern="1200">
            <a:effectLst>
              <a:outerShdw blurRad="127000" algn="ctr" rotWithShape="0">
                <a:prstClr val="black">
                  <a:alpha val="85000"/>
                </a:prstClr>
              </a:outerShdw>
            </a:effectLst>
          </a:endParaRPr>
        </a:p>
      </dsp:txBody>
      <dsp:txXfrm>
        <a:off x="316908" y="3732496"/>
        <a:ext cx="2664221" cy="1598532"/>
      </dsp:txXfrm>
    </dsp:sp>
    <dsp:sp modelId="{2069F93F-EC36-45CA-81FA-E28CCFC4EDD2}">
      <dsp:nvSpPr>
        <dsp:cNvPr id="0" name=""/>
        <dsp:cNvSpPr/>
      </dsp:nvSpPr>
      <dsp:spPr>
        <a:xfrm>
          <a:off x="3247552" y="3732496"/>
          <a:ext cx="2664221" cy="1598532"/>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lvl="0" algn="ctr" defTabSz="2889250">
            <a:lnSpc>
              <a:spcPct val="90000"/>
            </a:lnSpc>
            <a:spcBef>
              <a:spcPct val="0"/>
            </a:spcBef>
            <a:spcAft>
              <a:spcPct val="35000"/>
            </a:spcAft>
          </a:pPr>
          <a:endParaRPr lang="pt-BR" sz="6500" kern="1200"/>
        </a:p>
      </dsp:txBody>
      <dsp:txXfrm>
        <a:off x="3247552" y="3732496"/>
        <a:ext cx="2664221" cy="1598532"/>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516" y="376637"/>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Previsto 2020</a:t>
          </a:r>
        </a:p>
      </dsp:txBody>
      <dsp:txXfrm>
        <a:off x="516" y="376637"/>
        <a:ext cx="2012793" cy="1207675"/>
      </dsp:txXfrm>
    </dsp:sp>
    <dsp:sp modelId="{CB133F5D-DBBA-4B12-9FEC-4E54C8197093}">
      <dsp:nvSpPr>
        <dsp:cNvPr id="0" name=""/>
        <dsp:cNvSpPr/>
      </dsp:nvSpPr>
      <dsp:spPr>
        <a:xfrm>
          <a:off x="2214588" y="376637"/>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endParaRPr lang="pt-BR" sz="2500" kern="1200"/>
        </a:p>
      </dsp:txBody>
      <dsp:txXfrm>
        <a:off x="2214588" y="376637"/>
        <a:ext cx="2012793" cy="1207675"/>
      </dsp:txXfrm>
    </dsp:sp>
    <dsp:sp modelId="{C221B9C3-A015-449B-9E50-6721626A9470}">
      <dsp:nvSpPr>
        <dsp:cNvPr id="0" name=""/>
        <dsp:cNvSpPr/>
      </dsp:nvSpPr>
      <dsp:spPr>
        <a:xfrm>
          <a:off x="516" y="1785592"/>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Dez.</a:t>
          </a:r>
        </a:p>
      </dsp:txBody>
      <dsp:txXfrm>
        <a:off x="516" y="1785592"/>
        <a:ext cx="2012793" cy="1207675"/>
      </dsp:txXfrm>
    </dsp:sp>
    <dsp:sp modelId="{19166087-240F-4205-829D-E61CAF74B1F0}">
      <dsp:nvSpPr>
        <dsp:cNvPr id="0" name=""/>
        <dsp:cNvSpPr/>
      </dsp:nvSpPr>
      <dsp:spPr>
        <a:xfrm>
          <a:off x="2214588" y="1785592"/>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endParaRPr lang="pt-BR" sz="2500" kern="1200"/>
        </a:p>
      </dsp:txBody>
      <dsp:txXfrm>
        <a:off x="2214588" y="1785592"/>
        <a:ext cx="2012793" cy="1207675"/>
      </dsp:txXfrm>
    </dsp:sp>
    <dsp:sp modelId="{81E86E99-3676-4A87-9CCC-09470BFADE6D}">
      <dsp:nvSpPr>
        <dsp:cNvPr id="0" name=""/>
        <dsp:cNvSpPr/>
      </dsp:nvSpPr>
      <dsp:spPr>
        <a:xfrm>
          <a:off x="516" y="3194548"/>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r>
            <a:rPr lang="pt-BR" sz="2500" kern="1200">
              <a:effectLst>
                <a:outerShdw blurRad="127000" algn="ctr" rotWithShape="0">
                  <a:srgbClr val="000000">
                    <a:alpha val="85000"/>
                  </a:srgbClr>
                </a:outerShdw>
              </a:effectLst>
            </a:rPr>
            <a:t>Média RRT/PF Previsto</a:t>
          </a:r>
        </a:p>
      </dsp:txBody>
      <dsp:txXfrm>
        <a:off x="516" y="3194548"/>
        <a:ext cx="2012793" cy="1207675"/>
      </dsp:txXfrm>
    </dsp:sp>
    <dsp:sp modelId="{0E296175-191A-4DDD-9AFD-C58180D0C5B1}">
      <dsp:nvSpPr>
        <dsp:cNvPr id="0" name=""/>
        <dsp:cNvSpPr/>
      </dsp:nvSpPr>
      <dsp:spPr>
        <a:xfrm>
          <a:off x="2214588" y="3194548"/>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endParaRPr lang="pt-BR" sz="2500" kern="1200"/>
        </a:p>
      </dsp:txBody>
      <dsp:txXfrm>
        <a:off x="2214588" y="3194548"/>
        <a:ext cx="2012793" cy="1207675"/>
      </dsp:txXfrm>
    </dsp:sp>
    <dsp:sp modelId="{5800D369-D655-450A-A267-583A2F68A6F1}">
      <dsp:nvSpPr>
        <dsp:cNvPr id="0" name=""/>
        <dsp:cNvSpPr/>
      </dsp:nvSpPr>
      <dsp:spPr>
        <a:xfrm>
          <a:off x="516" y="4603503"/>
          <a:ext cx="2012793" cy="120767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r>
            <a:rPr lang="pt-BR" sz="2500" kern="1200">
              <a:effectLst>
                <a:outerShdw blurRad="127000" algn="ctr" rotWithShape="0">
                  <a:srgbClr val="000000">
                    <a:alpha val="85000"/>
                  </a:srgbClr>
                </a:outerShdw>
              </a:effectLst>
            </a:rPr>
            <a:t>Média RRT/PF Executado</a:t>
          </a:r>
        </a:p>
      </dsp:txBody>
      <dsp:txXfrm>
        <a:off x="516" y="4603503"/>
        <a:ext cx="2012793" cy="1207675"/>
      </dsp:txXfrm>
    </dsp:sp>
    <dsp:sp modelId="{2069F93F-EC36-45CA-81FA-E28CCFC4EDD2}">
      <dsp:nvSpPr>
        <dsp:cNvPr id="0" name=""/>
        <dsp:cNvSpPr/>
      </dsp:nvSpPr>
      <dsp:spPr>
        <a:xfrm>
          <a:off x="2214588" y="4603503"/>
          <a:ext cx="2012793" cy="120767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5250" tIns="95250" rIns="95250" bIns="95250" numCol="1" spcCol="1270" anchor="ctr" anchorCtr="0">
          <a:noAutofit/>
        </a:bodyPr>
        <a:lstStyle/>
        <a:p>
          <a:pPr lvl="0" algn="ctr" defTabSz="1111250">
            <a:lnSpc>
              <a:spcPct val="90000"/>
            </a:lnSpc>
            <a:spcBef>
              <a:spcPct val="0"/>
            </a:spcBef>
            <a:spcAft>
              <a:spcPct val="35000"/>
            </a:spcAft>
          </a:pPr>
          <a:endParaRPr lang="pt-BR" sz="2500" kern="1200"/>
        </a:p>
      </dsp:txBody>
      <dsp:txXfrm>
        <a:off x="2214588" y="4603503"/>
        <a:ext cx="2012793" cy="120767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3585" y="1299"/>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prstClr val="black">
                    <a:alpha val="85000"/>
                  </a:prstClr>
                </a:outerShdw>
              </a:effectLst>
            </a:rPr>
            <a:t>Previsto 2020</a:t>
          </a:r>
        </a:p>
      </dsp:txBody>
      <dsp:txXfrm>
        <a:off x="43585" y="1299"/>
        <a:ext cx="2062743" cy="1237645"/>
      </dsp:txXfrm>
    </dsp:sp>
    <dsp:sp modelId="{CB133F5D-DBBA-4B12-9FEC-4E54C8197093}">
      <dsp:nvSpPr>
        <dsp:cNvPr id="0" name=""/>
        <dsp:cNvSpPr/>
      </dsp:nvSpPr>
      <dsp:spPr>
        <a:xfrm>
          <a:off x="2312602" y="1299"/>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endParaRPr lang="pt-BR" sz="2800" kern="1200"/>
        </a:p>
      </dsp:txBody>
      <dsp:txXfrm>
        <a:off x="2312602" y="1299"/>
        <a:ext cx="2062743" cy="1237645"/>
      </dsp:txXfrm>
    </dsp:sp>
    <dsp:sp modelId="{C221B9C3-A015-449B-9E50-6721626A9470}">
      <dsp:nvSpPr>
        <dsp:cNvPr id="0" name=""/>
        <dsp:cNvSpPr/>
      </dsp:nvSpPr>
      <dsp:spPr>
        <a:xfrm>
          <a:off x="43585" y="1445219"/>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Dez.</a:t>
          </a:r>
        </a:p>
      </dsp:txBody>
      <dsp:txXfrm>
        <a:off x="43585" y="1445219"/>
        <a:ext cx="2062743" cy="1237645"/>
      </dsp:txXfrm>
    </dsp:sp>
    <dsp:sp modelId="{19166087-240F-4205-829D-E61CAF74B1F0}">
      <dsp:nvSpPr>
        <dsp:cNvPr id="0" name=""/>
        <dsp:cNvSpPr/>
      </dsp:nvSpPr>
      <dsp:spPr>
        <a:xfrm>
          <a:off x="2312602" y="1445219"/>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endParaRPr lang="pt-BR" sz="2800" kern="1200"/>
        </a:p>
      </dsp:txBody>
      <dsp:txXfrm>
        <a:off x="2312602" y="1445219"/>
        <a:ext cx="2062743" cy="1237645"/>
      </dsp:txXfrm>
    </dsp:sp>
    <dsp:sp modelId="{81E86E99-3676-4A87-9CCC-09470BFADE6D}">
      <dsp:nvSpPr>
        <dsp:cNvPr id="0" name=""/>
        <dsp:cNvSpPr/>
      </dsp:nvSpPr>
      <dsp:spPr>
        <a:xfrm>
          <a:off x="43585" y="2889140"/>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127000" algn="ctr" rotWithShape="0">
                  <a:srgbClr val="000000">
                    <a:alpha val="85000"/>
                  </a:srgbClr>
                </a:outerShdw>
              </a:effectLst>
            </a:rPr>
            <a:t>% de execução</a:t>
          </a:r>
        </a:p>
      </dsp:txBody>
      <dsp:txXfrm>
        <a:off x="43585" y="2889140"/>
        <a:ext cx="2062743" cy="1237645"/>
      </dsp:txXfrm>
    </dsp:sp>
    <dsp:sp modelId="{DD02BDCA-9C99-421B-93CF-F0735B3A7AE9}">
      <dsp:nvSpPr>
        <dsp:cNvPr id="0" name=""/>
        <dsp:cNvSpPr/>
      </dsp:nvSpPr>
      <dsp:spPr>
        <a:xfrm>
          <a:off x="2312602" y="2889140"/>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endParaRPr lang="pt-BR" sz="2800" kern="1200"/>
        </a:p>
      </dsp:txBody>
      <dsp:txXfrm>
        <a:off x="2312602" y="2889140"/>
        <a:ext cx="2062743" cy="1237645"/>
      </dsp:txXfrm>
    </dsp:sp>
    <dsp:sp modelId="{1D6DFA5F-5421-43B3-A4F2-75C1834B1DE2}">
      <dsp:nvSpPr>
        <dsp:cNvPr id="0" name=""/>
        <dsp:cNvSpPr/>
      </dsp:nvSpPr>
      <dsp:spPr>
        <a:xfrm>
          <a:off x="43585" y="4333060"/>
          <a:ext cx="2062743" cy="123764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r>
            <a:rPr lang="pt-BR" sz="2800" kern="1200">
              <a:effectLst>
                <a:outerShdw blurRad="50800" algn="ctr" rotWithShape="0">
                  <a:srgbClr val="000000">
                    <a:alpha val="85000"/>
                  </a:srgbClr>
                </a:outerShdw>
              </a:effectLst>
            </a:rPr>
            <a:t>Comparativo</a:t>
          </a:r>
          <a:r>
            <a:rPr lang="pt-BR" sz="2800" kern="1200"/>
            <a:t/>
          </a:r>
          <a:br>
            <a:rPr lang="pt-BR" sz="2800" kern="1200"/>
          </a:br>
          <a:r>
            <a:rPr lang="pt-BR" sz="2800" kern="1200">
              <a:effectLst>
                <a:outerShdw blurRad="50800" algn="ctr" rotWithShape="0">
                  <a:srgbClr val="000000">
                    <a:alpha val="85000"/>
                  </a:srgbClr>
                </a:outerShdw>
              </a:effectLst>
            </a:rPr>
            <a:t>YoY</a:t>
          </a:r>
        </a:p>
      </dsp:txBody>
      <dsp:txXfrm>
        <a:off x="43585" y="4333060"/>
        <a:ext cx="2062743" cy="1237645"/>
      </dsp:txXfrm>
    </dsp:sp>
    <dsp:sp modelId="{0E296175-191A-4DDD-9AFD-C58180D0C5B1}">
      <dsp:nvSpPr>
        <dsp:cNvPr id="0" name=""/>
        <dsp:cNvSpPr/>
      </dsp:nvSpPr>
      <dsp:spPr>
        <a:xfrm>
          <a:off x="2312602" y="4333060"/>
          <a:ext cx="2062743" cy="123764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lvl="0" algn="ctr" defTabSz="1244600">
            <a:lnSpc>
              <a:spcPct val="90000"/>
            </a:lnSpc>
            <a:spcBef>
              <a:spcPct val="0"/>
            </a:spcBef>
            <a:spcAft>
              <a:spcPct val="35000"/>
            </a:spcAft>
          </a:pPr>
          <a:endParaRPr lang="pt-BR" sz="2800" kern="1200"/>
        </a:p>
      </dsp:txBody>
      <dsp:txXfrm>
        <a:off x="2312602" y="4333060"/>
        <a:ext cx="2062743" cy="1237645"/>
      </dsp:txXfrm>
    </dsp:sp>
  </dsp:spTree>
</dsp:drawing>
</file>

<file path=xl/diagrams/layout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8" Type="http://schemas.openxmlformats.org/officeDocument/2006/relationships/hyperlink" Target="#'CAU BR - Receita Total 20%'!A1"/><Relationship Id="rId13" Type="http://schemas.openxmlformats.org/officeDocument/2006/relationships/hyperlink" Target="#'CAU UF - Receita Total 80%'!A1"/><Relationship Id="rId3" Type="http://schemas.openxmlformats.org/officeDocument/2006/relationships/hyperlink" Target="#'PJ - Qntd'!A1"/><Relationship Id="rId7" Type="http://schemas.openxmlformats.org/officeDocument/2006/relationships/hyperlink" Target="#'PJ - Receita'!A1"/><Relationship Id="rId12" Type="http://schemas.openxmlformats.org/officeDocument/2006/relationships/hyperlink" Target="#'Gr&#225;ficos - 100%'!A1"/><Relationship Id="rId2" Type="http://schemas.openxmlformats.org/officeDocument/2006/relationships/hyperlink" Target="#'PF - Qntd'!A1"/><Relationship Id="rId1" Type="http://schemas.openxmlformats.org/officeDocument/2006/relationships/image" Target="../media/image1.png"/><Relationship Id="rId6" Type="http://schemas.openxmlformats.org/officeDocument/2006/relationships/hyperlink" Target="#'PF - Receita'!A1"/><Relationship Id="rId11" Type="http://schemas.openxmlformats.org/officeDocument/2006/relationships/hyperlink" Target="#'Gr&#225;ficos - Arrec. Total'!A1"/><Relationship Id="rId5" Type="http://schemas.openxmlformats.org/officeDocument/2006/relationships/hyperlink" Target="#'Taxas e Multas'!A1"/><Relationship Id="rId10" Type="http://schemas.openxmlformats.org/officeDocument/2006/relationships/hyperlink" Target="#'CAU BR - PF e PJ'!A1"/><Relationship Id="rId4" Type="http://schemas.openxmlformats.org/officeDocument/2006/relationships/hyperlink" Target="#'RRT - Qntd e Receita'!A1"/><Relationship Id="rId9" Type="http://schemas.openxmlformats.org/officeDocument/2006/relationships/hyperlink" Target="#'CAU BR - RRT e Taxas'!A1"/></Relationships>
</file>

<file path=xl/drawings/_rels/drawing24.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hyperlink" Target="#&#205;ndice!A1"/><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chart" Target="../charts/chart29.xml"/><Relationship Id="rId1" Type="http://schemas.openxmlformats.org/officeDocument/2006/relationships/image" Target="../media/image1.pn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s>
</file>

<file path=xl/drawings/_rels/drawing25.xml.rels><?xml version="1.0" encoding="UTF-8" standalone="yes"?>
<Relationships xmlns="http://schemas.openxmlformats.org/package/2006/relationships"><Relationship Id="rId8" Type="http://schemas.openxmlformats.org/officeDocument/2006/relationships/diagramData" Target="../diagrams/data4.xml"/><Relationship Id="rId13" Type="http://schemas.openxmlformats.org/officeDocument/2006/relationships/image" Target="../media/image2.emf"/><Relationship Id="rId3" Type="http://schemas.openxmlformats.org/officeDocument/2006/relationships/diagramLayout" Target="../diagrams/layout3.xml"/><Relationship Id="rId7" Type="http://schemas.openxmlformats.org/officeDocument/2006/relationships/hyperlink" Target="#&#205;ndice!A1"/><Relationship Id="rId12" Type="http://schemas.microsoft.com/office/2007/relationships/diagramDrawing" Target="../diagrams/drawing4.xml"/><Relationship Id="rId2" Type="http://schemas.openxmlformats.org/officeDocument/2006/relationships/diagramData" Target="../diagrams/data3.xml"/><Relationship Id="rId1" Type="http://schemas.openxmlformats.org/officeDocument/2006/relationships/image" Target="../media/image1.png"/><Relationship Id="rId6" Type="http://schemas.microsoft.com/office/2007/relationships/diagramDrawing" Target="../diagrams/drawing3.xml"/><Relationship Id="rId11" Type="http://schemas.openxmlformats.org/officeDocument/2006/relationships/diagramColors" Target="../diagrams/colors4.xml"/><Relationship Id="rId5" Type="http://schemas.openxmlformats.org/officeDocument/2006/relationships/diagramColors" Target="../diagrams/colors3.xml"/><Relationship Id="rId10" Type="http://schemas.openxmlformats.org/officeDocument/2006/relationships/diagramQuickStyle" Target="../diagrams/quickStyle4.xml"/><Relationship Id="rId4" Type="http://schemas.openxmlformats.org/officeDocument/2006/relationships/diagramQuickStyle" Target="../diagrams/quickStyle3.xml"/><Relationship Id="rId9" Type="http://schemas.openxmlformats.org/officeDocument/2006/relationships/diagramLayout" Target="../diagrams/layout4.xml"/></Relationships>
</file>

<file path=xl/drawings/_rels/drawing26.xml.rels><?xml version="1.0" encoding="UTF-8" standalone="yes"?>
<Relationships xmlns="http://schemas.openxmlformats.org/package/2006/relationships"><Relationship Id="rId3" Type="http://schemas.openxmlformats.org/officeDocument/2006/relationships/diagramLayout" Target="../diagrams/layout5.xml"/><Relationship Id="rId7" Type="http://schemas.openxmlformats.org/officeDocument/2006/relationships/hyperlink" Target="#&#205;ndice!A1"/><Relationship Id="rId2" Type="http://schemas.openxmlformats.org/officeDocument/2006/relationships/diagramData" Target="../diagrams/data5.xml"/><Relationship Id="rId1" Type="http://schemas.openxmlformats.org/officeDocument/2006/relationships/image" Target="../media/image1.png"/><Relationship Id="rId6" Type="http://schemas.microsoft.com/office/2007/relationships/diagramDrawing" Target="../diagrams/drawing5.xml"/><Relationship Id="rId5" Type="http://schemas.openxmlformats.org/officeDocument/2006/relationships/diagramColors" Target="../diagrams/colors5.xml"/><Relationship Id="rId4" Type="http://schemas.openxmlformats.org/officeDocument/2006/relationships/diagramQuickStyle" Target="../diagrams/quickStyle5.xml"/></Relationships>
</file>

<file path=xl/drawings/_rels/drawing27.xml.rels><?xml version="1.0" encoding="UTF-8" standalone="yes"?>
<Relationships xmlns="http://schemas.openxmlformats.org/package/2006/relationships"><Relationship Id="rId8" Type="http://schemas.openxmlformats.org/officeDocument/2006/relationships/diagramLayout" Target="../diagrams/layout7.xml"/><Relationship Id="rId13" Type="http://schemas.openxmlformats.org/officeDocument/2006/relationships/image" Target="../media/image4.emf"/><Relationship Id="rId3" Type="http://schemas.openxmlformats.org/officeDocument/2006/relationships/diagramLayout" Target="../diagrams/layout6.xml"/><Relationship Id="rId7" Type="http://schemas.openxmlformats.org/officeDocument/2006/relationships/diagramData" Target="../diagrams/data7.xml"/><Relationship Id="rId12" Type="http://schemas.openxmlformats.org/officeDocument/2006/relationships/hyperlink" Target="#&#205;ndice!A1"/><Relationship Id="rId2" Type="http://schemas.openxmlformats.org/officeDocument/2006/relationships/diagramData" Target="../diagrams/data6.xml"/><Relationship Id="rId1" Type="http://schemas.openxmlformats.org/officeDocument/2006/relationships/image" Target="../media/image1.png"/><Relationship Id="rId6" Type="http://schemas.microsoft.com/office/2007/relationships/diagramDrawing" Target="../diagrams/drawing6.xml"/><Relationship Id="rId11" Type="http://schemas.microsoft.com/office/2007/relationships/diagramDrawing" Target="../diagrams/drawing7.xml"/><Relationship Id="rId5" Type="http://schemas.openxmlformats.org/officeDocument/2006/relationships/diagramColors" Target="../diagrams/colors6.xml"/><Relationship Id="rId10" Type="http://schemas.openxmlformats.org/officeDocument/2006/relationships/diagramColors" Target="../diagrams/colors7.xml"/><Relationship Id="rId4" Type="http://schemas.openxmlformats.org/officeDocument/2006/relationships/diagramQuickStyle" Target="../diagrams/quickStyle6.xml"/><Relationship Id="rId9" Type="http://schemas.openxmlformats.org/officeDocument/2006/relationships/diagramQuickStyle" Target="../diagrams/quickStyle7.xml"/></Relationships>
</file>

<file path=xl/drawings/_rels/drawing28.xml.rels><?xml version="1.0" encoding="UTF-8" standalone="yes"?>
<Relationships xmlns="http://schemas.openxmlformats.org/package/2006/relationships"><Relationship Id="rId8" Type="http://schemas.openxmlformats.org/officeDocument/2006/relationships/diagramLayout" Target="../diagrams/layout9.xml"/><Relationship Id="rId3" Type="http://schemas.openxmlformats.org/officeDocument/2006/relationships/diagramLayout" Target="../diagrams/layout8.xml"/><Relationship Id="rId7" Type="http://schemas.openxmlformats.org/officeDocument/2006/relationships/diagramData" Target="../diagrams/data9.xml"/><Relationship Id="rId12" Type="http://schemas.openxmlformats.org/officeDocument/2006/relationships/hyperlink" Target="#&#205;ndice!A1"/><Relationship Id="rId2" Type="http://schemas.openxmlformats.org/officeDocument/2006/relationships/diagramData" Target="../diagrams/data8.xml"/><Relationship Id="rId1" Type="http://schemas.openxmlformats.org/officeDocument/2006/relationships/image" Target="../media/image1.png"/><Relationship Id="rId6" Type="http://schemas.microsoft.com/office/2007/relationships/diagramDrawing" Target="../diagrams/drawing8.xml"/><Relationship Id="rId11" Type="http://schemas.microsoft.com/office/2007/relationships/diagramDrawing" Target="../diagrams/drawing9.xml"/><Relationship Id="rId5" Type="http://schemas.openxmlformats.org/officeDocument/2006/relationships/diagramColors" Target="../diagrams/colors8.xml"/><Relationship Id="rId10" Type="http://schemas.openxmlformats.org/officeDocument/2006/relationships/diagramColors" Target="../diagrams/colors9.xml"/><Relationship Id="rId4" Type="http://schemas.openxmlformats.org/officeDocument/2006/relationships/diagramQuickStyle" Target="../diagrams/quickStyle8.xml"/><Relationship Id="rId9" Type="http://schemas.openxmlformats.org/officeDocument/2006/relationships/diagramQuickStyle" Target="../diagrams/quickStyle9.xml"/></Relationships>
</file>

<file path=xl/drawings/_rels/drawing29.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chart" Target="../charts/chart30.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CAPA!A1"/></Relationships>
</file>

<file path=xl/drawings/_rels/drawing30.xml.rels><?xml version="1.0" encoding="UTF-8" standalone="yes"?>
<Relationships xmlns="http://schemas.openxmlformats.org/package/2006/relationships"><Relationship Id="rId3" Type="http://schemas.openxmlformats.org/officeDocument/2006/relationships/diagramLayout" Target="../diagrams/layout10.xml"/><Relationship Id="rId7" Type="http://schemas.openxmlformats.org/officeDocument/2006/relationships/hyperlink" Target="#&#205;ndice!A1"/><Relationship Id="rId2" Type="http://schemas.openxmlformats.org/officeDocument/2006/relationships/diagramData" Target="../diagrams/data10.xml"/><Relationship Id="rId1" Type="http://schemas.openxmlformats.org/officeDocument/2006/relationships/image" Target="../media/image1.png"/><Relationship Id="rId6" Type="http://schemas.microsoft.com/office/2007/relationships/diagramDrawing" Target="../diagrams/drawing10.xml"/><Relationship Id="rId5" Type="http://schemas.openxmlformats.org/officeDocument/2006/relationships/diagramColors" Target="../diagrams/colors10.xml"/><Relationship Id="rId4" Type="http://schemas.openxmlformats.org/officeDocument/2006/relationships/diagramQuickStyle" Target="../diagrams/quickStyle10.xml"/></Relationships>
</file>

<file path=xl/drawings/_rels/drawing31.xml.rels><?xml version="1.0" encoding="UTF-8" standalone="yes"?>
<Relationships xmlns="http://schemas.openxmlformats.org/package/2006/relationships"><Relationship Id="rId3" Type="http://schemas.openxmlformats.org/officeDocument/2006/relationships/diagramLayout" Target="../diagrams/layout11.xml"/><Relationship Id="rId7" Type="http://schemas.openxmlformats.org/officeDocument/2006/relationships/hyperlink" Target="#&#205;ndice!A1"/><Relationship Id="rId2" Type="http://schemas.openxmlformats.org/officeDocument/2006/relationships/diagramData" Target="../diagrams/data11.xml"/><Relationship Id="rId1" Type="http://schemas.openxmlformats.org/officeDocument/2006/relationships/image" Target="../media/image1.png"/><Relationship Id="rId6" Type="http://schemas.microsoft.com/office/2007/relationships/diagramDrawing" Target="../diagrams/drawing11.xml"/><Relationship Id="rId5" Type="http://schemas.openxmlformats.org/officeDocument/2006/relationships/diagramColors" Target="../diagrams/colors11.xml"/><Relationship Id="rId4" Type="http://schemas.openxmlformats.org/officeDocument/2006/relationships/diagramQuickStyle" Target="../diagrams/quickStyle11.xml"/></Relationships>
</file>

<file path=xl/drawings/_rels/drawing3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diagramLayout" Target="../diagrams/layout13.xml"/><Relationship Id="rId3" Type="http://schemas.openxmlformats.org/officeDocument/2006/relationships/diagramLayout" Target="../diagrams/layout12.xml"/><Relationship Id="rId7" Type="http://schemas.openxmlformats.org/officeDocument/2006/relationships/diagramData" Target="../diagrams/data13.xml"/><Relationship Id="rId12" Type="http://schemas.openxmlformats.org/officeDocument/2006/relationships/hyperlink" Target="#&#205;ndice!A1"/><Relationship Id="rId2" Type="http://schemas.openxmlformats.org/officeDocument/2006/relationships/diagramData" Target="../diagrams/data12.xml"/><Relationship Id="rId1" Type="http://schemas.openxmlformats.org/officeDocument/2006/relationships/image" Target="../media/image1.png"/><Relationship Id="rId6" Type="http://schemas.microsoft.com/office/2007/relationships/diagramDrawing" Target="../diagrams/drawing12.xml"/><Relationship Id="rId11" Type="http://schemas.microsoft.com/office/2007/relationships/diagramDrawing" Target="../diagrams/drawing13.xml"/><Relationship Id="rId5" Type="http://schemas.openxmlformats.org/officeDocument/2006/relationships/diagramColors" Target="../diagrams/colors12.xml"/><Relationship Id="rId10" Type="http://schemas.openxmlformats.org/officeDocument/2006/relationships/diagramColors" Target="../diagrams/colors13.xml"/><Relationship Id="rId4" Type="http://schemas.openxmlformats.org/officeDocument/2006/relationships/diagramQuickStyle" Target="../diagrams/quickStyle12.xml"/><Relationship Id="rId9" Type="http://schemas.openxmlformats.org/officeDocument/2006/relationships/diagramQuickStyle" Target="../diagrams/quickStyle13.xml"/></Relationships>
</file>

<file path=xl/drawings/_rels/drawing34.xml.rels><?xml version="1.0" encoding="UTF-8" standalone="yes"?>
<Relationships xmlns="http://schemas.openxmlformats.org/package/2006/relationships"><Relationship Id="rId3" Type="http://schemas.openxmlformats.org/officeDocument/2006/relationships/diagramLayout" Target="../diagrams/layout14.xml"/><Relationship Id="rId7" Type="http://schemas.openxmlformats.org/officeDocument/2006/relationships/hyperlink" Target="#&#205;ndice!A1"/><Relationship Id="rId2" Type="http://schemas.openxmlformats.org/officeDocument/2006/relationships/diagramData" Target="../diagrams/data14.xml"/><Relationship Id="rId1" Type="http://schemas.openxmlformats.org/officeDocument/2006/relationships/image" Target="../media/image1.png"/><Relationship Id="rId6" Type="http://schemas.microsoft.com/office/2007/relationships/diagramDrawing" Target="../diagrams/drawing14.xml"/><Relationship Id="rId5" Type="http://schemas.openxmlformats.org/officeDocument/2006/relationships/diagramColors" Target="../diagrams/colors14.xml"/><Relationship Id="rId4" Type="http://schemas.openxmlformats.org/officeDocument/2006/relationships/diagramQuickStyle" Target="../diagrams/quickStyle1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png"/><Relationship Id="rId4" Type="http://schemas.openxmlformats.org/officeDocument/2006/relationships/hyperlink" Target="#&#205;ndice!A1"/></Relationships>
</file>

<file path=xl/drawings/_rels/drawing38.xml.rels><?xml version="1.0" encoding="UTF-8" standalone="yes"?>
<Relationships xmlns="http://schemas.openxmlformats.org/package/2006/relationships"><Relationship Id="rId8" Type="http://schemas.openxmlformats.org/officeDocument/2006/relationships/hyperlink" Target="#'Gr&#225;ficos - Taxas'!A1"/><Relationship Id="rId13" Type="http://schemas.openxmlformats.org/officeDocument/2006/relationships/hyperlink" Target="#'Gr&#225;ficos - PF'!A1"/><Relationship Id="rId3" Type="http://schemas.openxmlformats.org/officeDocument/2006/relationships/chart" Target="../charts/chart35.xml"/><Relationship Id="rId7" Type="http://schemas.openxmlformats.org/officeDocument/2006/relationships/hyperlink" Target="#&#205;ndice!A1"/><Relationship Id="rId12"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png"/><Relationship Id="rId11" Type="http://schemas.openxmlformats.org/officeDocument/2006/relationships/hyperlink" Target="#'Gr&#225;ficos - PF - Ex. Ant.'!A1"/><Relationship Id="rId5" Type="http://schemas.openxmlformats.org/officeDocument/2006/relationships/chart" Target="../charts/chart37.xml"/><Relationship Id="rId10" Type="http://schemas.openxmlformats.org/officeDocument/2006/relationships/hyperlink" Target="#'Gr&#225;ficos - PJ'!A1"/><Relationship Id="rId4" Type="http://schemas.openxmlformats.org/officeDocument/2006/relationships/chart" Target="../charts/chart36.xml"/><Relationship Id="rId9" Type="http://schemas.openxmlformats.org/officeDocument/2006/relationships/hyperlink" Target="#'Gr&#225;ficos - RRT'!A1"/><Relationship Id="rId14" Type="http://schemas.openxmlformats.org/officeDocument/2006/relationships/hyperlink" Target="#'Gr&#225;ficos - PJ - Ex. Ant.'!A1"/></Relationships>
</file>

<file path=xl/drawings/_rels/drawing39.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hyperlink" Target="#CAPA!A1"/></Relationships>
</file>

<file path=xl/drawings/_rels/drawing40.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5.xml.rels><?xml version="1.0" encoding="UTF-8" standalone="yes"?>
<Relationships xmlns="http://schemas.openxmlformats.org/package/2006/relationships"><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1" Type="http://schemas.openxmlformats.org/officeDocument/2006/relationships/hyperlink" Target="#CAPA!A1"/></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36</xdr:col>
      <xdr:colOff>500060</xdr:colOff>
      <xdr:row>2</xdr:row>
      <xdr:rowOff>75009</xdr:rowOff>
    </xdr:from>
    <xdr:to>
      <xdr:col>57</xdr:col>
      <xdr:colOff>284428</xdr:colOff>
      <xdr:row>27</xdr:row>
      <xdr:rowOff>127397</xdr:rowOff>
    </xdr:to>
    <xdr:graphicFrame macro="">
      <xdr:nvGraphicFramePr>
        <xdr:cNvPr id="2" name="Gráfico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470958</xdr:colOff>
      <xdr:row>28</xdr:row>
      <xdr:rowOff>189177</xdr:rowOff>
    </xdr:from>
    <xdr:to>
      <xdr:col>57</xdr:col>
      <xdr:colOff>255326</xdr:colOff>
      <xdr:row>34</xdr:row>
      <xdr:rowOff>0</xdr:rowOff>
    </xdr:to>
    <xdr:graphicFrame macro="">
      <xdr:nvGraphicFramePr>
        <xdr:cNvPr id="3" name="Gráfico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9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42</xdr:row>
      <xdr:rowOff>158750</xdr:rowOff>
    </xdr:from>
    <xdr:to>
      <xdr:col>1</xdr:col>
      <xdr:colOff>873125</xdr:colOff>
      <xdr:row>45</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0" y="9255125"/>
          <a:ext cx="1968500" cy="101600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62252</xdr:colOff>
      <xdr:row>15</xdr:row>
      <xdr:rowOff>138392</xdr:rowOff>
    </xdr:from>
    <xdr:to>
      <xdr:col>38</xdr:col>
      <xdr:colOff>336708</xdr:colOff>
      <xdr:row>28</xdr:row>
      <xdr:rowOff>132535</xdr:rowOff>
    </xdr:to>
    <xdr:graphicFrame macro="">
      <xdr:nvGraphicFramePr>
        <xdr:cNvPr id="9" name="Gráfico 8">
          <a:extLst>
            <a:ext uri="{FF2B5EF4-FFF2-40B4-BE49-F238E27FC236}">
              <a16:creationId xmlns:a16="http://schemas.microsoft.com/office/drawing/2014/main" xmlns="" id="{00000000-0008-0000-1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289484</xdr:colOff>
      <xdr:row>1</xdr:row>
      <xdr:rowOff>73024</xdr:rowOff>
    </xdr:from>
    <xdr:to>
      <xdr:col>37</xdr:col>
      <xdr:colOff>587241</xdr:colOff>
      <xdr:row>13</xdr:row>
      <xdr:rowOff>244474</xdr:rowOff>
    </xdr:to>
    <xdr:graphicFrame macro="">
      <xdr:nvGraphicFramePr>
        <xdr:cNvPr id="10" name="Gráfico 9">
          <a:extLst>
            <a:ext uri="{FF2B5EF4-FFF2-40B4-BE49-F238E27FC236}">
              <a16:creationId xmlns:a16="http://schemas.microsoft.com/office/drawing/2014/main" xmlns=""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35606</xdr:colOff>
      <xdr:row>2</xdr:row>
      <xdr:rowOff>240506</xdr:rowOff>
    </xdr:from>
    <xdr:to>
      <xdr:col>25</xdr:col>
      <xdr:colOff>464344</xdr:colOff>
      <xdr:row>16</xdr:row>
      <xdr:rowOff>116339</xdr:rowOff>
    </xdr:to>
    <xdr:graphicFrame macro="">
      <xdr:nvGraphicFramePr>
        <xdr:cNvPr id="11" name="Gráfico 10">
          <a:extLst>
            <a:ext uri="{FF2B5EF4-FFF2-40B4-BE49-F238E27FC236}">
              <a16:creationId xmlns:a16="http://schemas.microsoft.com/office/drawing/2014/main" xmlns=""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129493</xdr:colOff>
      <xdr:row>18</xdr:row>
      <xdr:rowOff>243795</xdr:rowOff>
    </xdr:from>
    <xdr:to>
      <xdr:col>25</xdr:col>
      <xdr:colOff>471183</xdr:colOff>
      <xdr:row>32</xdr:row>
      <xdr:rowOff>77937</xdr:rowOff>
    </xdr:to>
    <xdr:graphicFrame macro="">
      <xdr:nvGraphicFramePr>
        <xdr:cNvPr id="12" name="Gráfico 11">
          <a:extLst>
            <a:ext uri="{FF2B5EF4-FFF2-40B4-BE49-F238E27FC236}">
              <a16:creationId xmlns:a16="http://schemas.microsoft.com/office/drawing/2014/main" xmlns=""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79263</xdr:colOff>
      <xdr:row>34</xdr:row>
      <xdr:rowOff>184944</xdr:rowOff>
    </xdr:from>
    <xdr:to>
      <xdr:col>25</xdr:col>
      <xdr:colOff>559594</xdr:colOff>
      <xdr:row>48</xdr:row>
      <xdr:rowOff>58396</xdr:rowOff>
    </xdr:to>
    <xdr:graphicFrame macro="">
      <xdr:nvGraphicFramePr>
        <xdr:cNvPr id="13" name="Gráfico 12">
          <a:extLst>
            <a:ext uri="{FF2B5EF4-FFF2-40B4-BE49-F238E27FC236}">
              <a16:creationId xmlns:a16="http://schemas.microsoft.com/office/drawing/2014/main" xmlns=""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92757</xdr:colOff>
      <xdr:row>50</xdr:row>
      <xdr:rowOff>234949</xdr:rowOff>
    </xdr:from>
    <xdr:to>
      <xdr:col>25</xdr:col>
      <xdr:colOff>423863</xdr:colOff>
      <xdr:row>64</xdr:row>
      <xdr:rowOff>106814</xdr:rowOff>
    </xdr:to>
    <xdr:graphicFrame macro="">
      <xdr:nvGraphicFramePr>
        <xdr:cNvPr id="14" name="Gráfico 13">
          <a:extLst>
            <a:ext uri="{FF2B5EF4-FFF2-40B4-BE49-F238E27FC236}">
              <a16:creationId xmlns:a16="http://schemas.microsoft.com/office/drawing/2014/main" xmlns=""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75294</xdr:colOff>
      <xdr:row>66</xdr:row>
      <xdr:rowOff>109537</xdr:rowOff>
    </xdr:from>
    <xdr:to>
      <xdr:col>25</xdr:col>
      <xdr:colOff>440531</xdr:colOff>
      <xdr:row>79</xdr:row>
      <xdr:rowOff>233020</xdr:rowOff>
    </xdr:to>
    <xdr:graphicFrame macro="">
      <xdr:nvGraphicFramePr>
        <xdr:cNvPr id="15" name="Gráfico 14">
          <a:extLst>
            <a:ext uri="{FF2B5EF4-FFF2-40B4-BE49-F238E27FC236}">
              <a16:creationId xmlns:a16="http://schemas.microsoft.com/office/drawing/2014/main" xmlns=""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1299029</xdr:colOff>
      <xdr:row>82</xdr:row>
      <xdr:rowOff>182222</xdr:rowOff>
    </xdr:from>
    <xdr:to>
      <xdr:col>25</xdr:col>
      <xdr:colOff>476250</xdr:colOff>
      <xdr:row>96</xdr:row>
      <xdr:rowOff>57260</xdr:rowOff>
    </xdr:to>
    <xdr:graphicFrame macro="">
      <xdr:nvGraphicFramePr>
        <xdr:cNvPr id="16" name="Gráfico 15">
          <a:extLst>
            <a:ext uri="{FF2B5EF4-FFF2-40B4-BE49-F238E27FC236}">
              <a16:creationId xmlns:a16="http://schemas.microsoft.com/office/drawing/2014/main" xmlns=""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30845</xdr:colOff>
      <xdr:row>98</xdr:row>
      <xdr:rowOff>231773</xdr:rowOff>
    </xdr:from>
    <xdr:to>
      <xdr:col>25</xdr:col>
      <xdr:colOff>535782</xdr:colOff>
      <xdr:row>112</xdr:row>
      <xdr:rowOff>97288</xdr:rowOff>
    </xdr:to>
    <xdr:graphicFrame macro="">
      <xdr:nvGraphicFramePr>
        <xdr:cNvPr id="17" name="Gráfico 16">
          <a:extLst>
            <a:ext uri="{FF2B5EF4-FFF2-40B4-BE49-F238E27FC236}">
              <a16:creationId xmlns:a16="http://schemas.microsoft.com/office/drawing/2014/main" xmlns=""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30843</xdr:colOff>
      <xdr:row>114</xdr:row>
      <xdr:rowOff>90487</xdr:rowOff>
    </xdr:from>
    <xdr:to>
      <xdr:col>27</xdr:col>
      <xdr:colOff>403224</xdr:colOff>
      <xdr:row>131</xdr:row>
      <xdr:rowOff>11564</xdr:rowOff>
    </xdr:to>
    <xdr:graphicFrame macro="">
      <xdr:nvGraphicFramePr>
        <xdr:cNvPr id="18" name="Gráfico 17">
          <a:extLst>
            <a:ext uri="{FF2B5EF4-FFF2-40B4-BE49-F238E27FC236}">
              <a16:creationId xmlns:a16="http://schemas.microsoft.com/office/drawing/2014/main" xmlns=""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0.06863</cdr:x>
      <cdr:y>0.28009</cdr:y>
    </cdr:from>
    <cdr:to>
      <cdr:x>0.15198</cdr:x>
      <cdr:y>0.54051</cdr:y>
    </cdr:to>
    <cdr:sp macro="" textlink="">
      <cdr:nvSpPr>
        <cdr:cNvPr id="2" name="CaixaDeTexto 1"/>
        <cdr:cNvSpPr txBox="1"/>
      </cdr:nvSpPr>
      <cdr:spPr>
        <a:xfrm xmlns:a="http://schemas.openxmlformats.org/drawingml/2006/main" rot="16200000">
          <a:off x="147078" y="935039"/>
          <a:ext cx="714375" cy="3810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pt-BR" sz="900" b="1">
              <a:solidFill>
                <a:schemeClr val="tx1">
                  <a:lumMod val="65000"/>
                  <a:lumOff val="35000"/>
                </a:schemeClr>
              </a:solidFill>
              <a:latin typeface="Arial" panose="020B0604020202020204" pitchFamily="34" charset="0"/>
              <a:cs typeface="Arial" panose="020B0604020202020204" pitchFamily="34" charset="0"/>
            </a:rPr>
            <a:t>Milhões</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21697</xdr:colOff>
      <xdr:row>33</xdr:row>
      <xdr:rowOff>22225</xdr:rowOff>
    </xdr:from>
    <xdr:to>
      <xdr:col>17</xdr:col>
      <xdr:colOff>472238</xdr:colOff>
      <xdr:row>44</xdr:row>
      <xdr:rowOff>222251</xdr:rowOff>
    </xdr:to>
    <xdr:graphicFrame macro="">
      <xdr:nvGraphicFramePr>
        <xdr:cNvPr id="2" name="Gráfico 1">
          <a:extLst>
            <a:ext uri="{FF2B5EF4-FFF2-40B4-BE49-F238E27FC236}">
              <a16:creationId xmlns:a16="http://schemas.microsoft.com/office/drawing/2014/main" xmlns=""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31750</xdr:colOff>
      <xdr:row>44</xdr:row>
      <xdr:rowOff>317500</xdr:rowOff>
    </xdr:from>
    <xdr:to>
      <xdr:col>17</xdr:col>
      <xdr:colOff>482291</xdr:colOff>
      <xdr:row>54</xdr:row>
      <xdr:rowOff>73601</xdr:rowOff>
    </xdr:to>
    <xdr:graphicFrame macro="">
      <xdr:nvGraphicFramePr>
        <xdr:cNvPr id="3" name="Gráfico 2">
          <a:extLst>
            <a:ext uri="{FF2B5EF4-FFF2-40B4-BE49-F238E27FC236}">
              <a16:creationId xmlns:a16="http://schemas.microsoft.com/office/drawing/2014/main" xmlns=""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33</xdr:row>
      <xdr:rowOff>1</xdr:rowOff>
    </xdr:from>
    <xdr:to>
      <xdr:col>28</xdr:col>
      <xdr:colOff>450541</xdr:colOff>
      <xdr:row>44</xdr:row>
      <xdr:rowOff>200027</xdr:rowOff>
    </xdr:to>
    <xdr:graphicFrame macro="">
      <xdr:nvGraphicFramePr>
        <xdr:cNvPr id="4" name="Gráfico 3">
          <a:extLst>
            <a:ext uri="{FF2B5EF4-FFF2-40B4-BE49-F238E27FC236}">
              <a16:creationId xmlns:a16="http://schemas.microsoft.com/office/drawing/2014/main" xmlns=""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31750</xdr:colOff>
      <xdr:row>44</xdr:row>
      <xdr:rowOff>317500</xdr:rowOff>
    </xdr:from>
    <xdr:to>
      <xdr:col>28</xdr:col>
      <xdr:colOff>482291</xdr:colOff>
      <xdr:row>54</xdr:row>
      <xdr:rowOff>73601</xdr:rowOff>
    </xdr:to>
    <xdr:graphicFrame macro="">
      <xdr:nvGraphicFramePr>
        <xdr:cNvPr id="5" name="Gráfico 4">
          <a:extLst>
            <a:ext uri="{FF2B5EF4-FFF2-40B4-BE49-F238E27FC236}">
              <a16:creationId xmlns:a16="http://schemas.microsoft.com/office/drawing/2014/main" xmlns=""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63500</xdr:colOff>
      <xdr:row>54</xdr:row>
      <xdr:rowOff>222251</xdr:rowOff>
    </xdr:from>
    <xdr:to>
      <xdr:col>17</xdr:col>
      <xdr:colOff>450541</xdr:colOff>
      <xdr:row>66</xdr:row>
      <xdr:rowOff>168277</xdr:rowOff>
    </xdr:to>
    <xdr:graphicFrame macro="">
      <xdr:nvGraphicFramePr>
        <xdr:cNvPr id="6" name="Gráfico 5">
          <a:extLst>
            <a:ext uri="{FF2B5EF4-FFF2-40B4-BE49-F238E27FC236}">
              <a16:creationId xmlns:a16="http://schemas.microsoft.com/office/drawing/2014/main" xmlns=""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95250</xdr:colOff>
      <xdr:row>66</xdr:row>
      <xdr:rowOff>285750</xdr:rowOff>
    </xdr:from>
    <xdr:to>
      <xdr:col>17</xdr:col>
      <xdr:colOff>482291</xdr:colOff>
      <xdr:row>82</xdr:row>
      <xdr:rowOff>41851</xdr:rowOff>
    </xdr:to>
    <xdr:graphicFrame macro="">
      <xdr:nvGraphicFramePr>
        <xdr:cNvPr id="7" name="Gráfico 6">
          <a:extLst>
            <a:ext uri="{FF2B5EF4-FFF2-40B4-BE49-F238E27FC236}">
              <a16:creationId xmlns:a16="http://schemas.microsoft.com/office/drawing/2014/main" xmlns=""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54</xdr:row>
      <xdr:rowOff>222251</xdr:rowOff>
    </xdr:from>
    <xdr:to>
      <xdr:col>28</xdr:col>
      <xdr:colOff>450541</xdr:colOff>
      <xdr:row>66</xdr:row>
      <xdr:rowOff>168277</xdr:rowOff>
    </xdr:to>
    <xdr:graphicFrame macro="">
      <xdr:nvGraphicFramePr>
        <xdr:cNvPr id="8" name="Gráfico 7">
          <a:extLst>
            <a:ext uri="{FF2B5EF4-FFF2-40B4-BE49-F238E27FC236}">
              <a16:creationId xmlns:a16="http://schemas.microsoft.com/office/drawing/2014/main" xmlns=""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34</xdr:col>
      <xdr:colOff>190498</xdr:colOff>
      <xdr:row>0</xdr:row>
      <xdr:rowOff>31750</xdr:rowOff>
    </xdr:from>
    <xdr:to>
      <xdr:col>60</xdr:col>
      <xdr:colOff>412750</xdr:colOff>
      <xdr:row>23</xdr:row>
      <xdr:rowOff>134947</xdr:rowOff>
    </xdr:to>
    <xdr:graphicFrame macro="">
      <xdr:nvGraphicFramePr>
        <xdr:cNvPr id="2" name="Gráfico 1">
          <a:extLst>
            <a:ext uri="{FF2B5EF4-FFF2-40B4-BE49-F238E27FC236}">
              <a16:creationId xmlns:a16="http://schemas.microsoft.com/office/drawing/2014/main" xmlns=""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130175</xdr:rowOff>
    </xdr:from>
    <xdr:to>
      <xdr:col>1</xdr:col>
      <xdr:colOff>1057275</xdr:colOff>
      <xdr:row>40</xdr:row>
      <xdr:rowOff>35719</xdr:rowOff>
    </xdr:to>
    <xdr:sp macro="" textlink="">
      <xdr:nvSpPr>
        <xdr:cNvPr id="3" name="Seta para a esquerda 8">
          <a:hlinkClick xmlns:r="http://schemas.openxmlformats.org/officeDocument/2006/relationships" r:id="rId2"/>
          <a:extLst>
            <a:ext uri="{FF2B5EF4-FFF2-40B4-BE49-F238E27FC236}">
              <a16:creationId xmlns:a16="http://schemas.microsoft.com/office/drawing/2014/main" xmlns="" id="{00000000-0008-0000-2000-000003000000}"/>
            </a:ext>
          </a:extLst>
        </xdr:cNvPr>
        <xdr:cNvSpPr/>
      </xdr:nvSpPr>
      <xdr:spPr>
        <a:xfrm>
          <a:off x="0" y="10306050"/>
          <a:ext cx="742950" cy="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300" b="1" i="1">
              <a:solidFill>
                <a:schemeClr val="bg1">
                  <a:lumMod val="95000"/>
                </a:schemeClr>
              </a:solidFill>
            </a:rPr>
            <a:t>Voltar para CAPA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53</xdr:col>
      <xdr:colOff>0</xdr:colOff>
      <xdr:row>0</xdr:row>
      <xdr:rowOff>95250</xdr:rowOff>
    </xdr:from>
    <xdr:to>
      <xdr:col>98</xdr:col>
      <xdr:colOff>452437</xdr:colOff>
      <xdr:row>76</xdr:row>
      <xdr:rowOff>158750</xdr:rowOff>
    </xdr:to>
    <xdr:graphicFrame macro="">
      <xdr:nvGraphicFramePr>
        <xdr:cNvPr id="2" name="Gráfico 1">
          <a:extLst>
            <a:ext uri="{FF2B5EF4-FFF2-40B4-BE49-F238E27FC236}">
              <a16:creationId xmlns:a16="http://schemas.microsoft.com/office/drawing/2014/main" xmlns=""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92073</xdr:colOff>
      <xdr:row>0</xdr:row>
      <xdr:rowOff>142874</xdr:rowOff>
    </xdr:from>
    <xdr:to>
      <xdr:col>71</xdr:col>
      <xdr:colOff>444500</xdr:colOff>
      <xdr:row>29</xdr:row>
      <xdr:rowOff>182959</xdr:rowOff>
    </xdr:to>
    <xdr:graphicFrame macro="">
      <xdr:nvGraphicFramePr>
        <xdr:cNvPr id="2" name="Gráfico 1">
          <a:extLst>
            <a:ext uri="{FF2B5EF4-FFF2-40B4-BE49-F238E27FC236}">
              <a16:creationId xmlns:a16="http://schemas.microsoft.com/office/drawing/2014/main" xmlns=""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37</xdr:col>
      <xdr:colOff>95250</xdr:colOff>
      <xdr:row>0</xdr:row>
      <xdr:rowOff>78241</xdr:rowOff>
    </xdr:from>
    <xdr:to>
      <xdr:col>65</xdr:col>
      <xdr:colOff>323850</xdr:colOff>
      <xdr:row>30</xdr:row>
      <xdr:rowOff>111126</xdr:rowOff>
    </xdr:to>
    <xdr:graphicFrame macro="">
      <xdr:nvGraphicFramePr>
        <xdr:cNvPr id="2" name="Gráfico 1">
          <a:extLst>
            <a:ext uri="{FF2B5EF4-FFF2-40B4-BE49-F238E27FC236}">
              <a16:creationId xmlns:a16="http://schemas.microsoft.com/office/drawing/2014/main" xmlns=""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23813</xdr:colOff>
      <xdr:row>1</xdr:row>
      <xdr:rowOff>322487</xdr:rowOff>
    </xdr:from>
    <xdr:to>
      <xdr:col>42</xdr:col>
      <xdr:colOff>571502</xdr:colOff>
      <xdr:row>28</xdr:row>
      <xdr:rowOff>102052</xdr:rowOff>
    </xdr:to>
    <xdr:graphicFrame macro="">
      <xdr:nvGraphicFramePr>
        <xdr:cNvPr id="2" name="Gráfico 1">
          <a:extLst>
            <a:ext uri="{FF2B5EF4-FFF2-40B4-BE49-F238E27FC236}">
              <a16:creationId xmlns:a16="http://schemas.microsoft.com/office/drawing/2014/main" xmlns=""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36632</xdr:colOff>
      <xdr:row>0</xdr:row>
      <xdr:rowOff>166577</xdr:rowOff>
    </xdr:from>
    <xdr:to>
      <xdr:col>15</xdr:col>
      <xdr:colOff>277090</xdr:colOff>
      <xdr:row>18</xdr:row>
      <xdr:rowOff>64611</xdr:rowOff>
    </xdr:to>
    <xdr:graphicFrame macro="">
      <xdr:nvGraphicFramePr>
        <xdr:cNvPr id="2" name="Gráfico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54</xdr:col>
      <xdr:colOff>190500</xdr:colOff>
      <xdr:row>0</xdr:row>
      <xdr:rowOff>39686</xdr:rowOff>
    </xdr:from>
    <xdr:to>
      <xdr:col>85</xdr:col>
      <xdr:colOff>495300</xdr:colOff>
      <xdr:row>32</xdr:row>
      <xdr:rowOff>47625</xdr:rowOff>
    </xdr:to>
    <xdr:graphicFrame macro="">
      <xdr:nvGraphicFramePr>
        <xdr:cNvPr id="2" name="Gráfico 1">
          <a:extLst>
            <a:ext uri="{FF2B5EF4-FFF2-40B4-BE49-F238E27FC236}">
              <a16:creationId xmlns:a16="http://schemas.microsoft.com/office/drawing/2014/main" xmlns=""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71437</xdr:colOff>
      <xdr:row>1</xdr:row>
      <xdr:rowOff>542468</xdr:rowOff>
    </xdr:from>
    <xdr:to>
      <xdr:col>37</xdr:col>
      <xdr:colOff>119062</xdr:colOff>
      <xdr:row>23</xdr:row>
      <xdr:rowOff>71438</xdr:rowOff>
    </xdr:to>
    <xdr:graphicFrame macro="">
      <xdr:nvGraphicFramePr>
        <xdr:cNvPr id="2" name="Gráfico 1">
          <a:extLst>
            <a:ext uri="{FF2B5EF4-FFF2-40B4-BE49-F238E27FC236}">
              <a16:creationId xmlns:a16="http://schemas.microsoft.com/office/drawing/2014/main" xmlns=""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41</xdr:col>
      <xdr:colOff>47625</xdr:colOff>
      <xdr:row>0</xdr:row>
      <xdr:rowOff>142875</xdr:rowOff>
    </xdr:from>
    <xdr:to>
      <xdr:col>73</xdr:col>
      <xdr:colOff>381000</xdr:colOff>
      <xdr:row>29</xdr:row>
      <xdr:rowOff>47625</xdr:rowOff>
    </xdr:to>
    <xdr:graphicFrame macro="">
      <xdr:nvGraphicFramePr>
        <xdr:cNvPr id="2" name="Gráfico 1">
          <a:extLst>
            <a:ext uri="{FF2B5EF4-FFF2-40B4-BE49-F238E27FC236}">
              <a16:creationId xmlns:a16="http://schemas.microsoft.com/office/drawing/2014/main" xmlns=""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428625</xdr:colOff>
      <xdr:row>0</xdr:row>
      <xdr:rowOff>0</xdr:rowOff>
    </xdr:from>
    <xdr:ext cx="5903282" cy="746125"/>
    <xdr:pic>
      <xdr:nvPicPr>
        <xdr:cNvPr id="2" name="Imagem 1">
          <a:extLst>
            <a:ext uri="{FF2B5EF4-FFF2-40B4-BE49-F238E27FC236}">
              <a16:creationId xmlns:a16="http://schemas.microsoft.com/office/drawing/2014/main" xmlns="" id="{00000000-0008-0000-2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17" b="20588"/>
        <a:stretch/>
      </xdr:blipFill>
      <xdr:spPr>
        <a:xfrm>
          <a:off x="428625" y="0"/>
          <a:ext cx="5903282" cy="746125"/>
        </a:xfrm>
        <a:prstGeom prst="rect">
          <a:avLst/>
        </a:prstGeom>
      </xdr:spPr>
    </xdr:pic>
    <xdr:clientData/>
  </xdr:oneCellAnchor>
  <xdr:twoCellAnchor>
    <xdr:from>
      <xdr:col>10</xdr:col>
      <xdr:colOff>222250</xdr:colOff>
      <xdr:row>0</xdr:row>
      <xdr:rowOff>0</xdr:rowOff>
    </xdr:from>
    <xdr:to>
      <xdr:col>29</xdr:col>
      <xdr:colOff>0</xdr:colOff>
      <xdr:row>0</xdr:row>
      <xdr:rowOff>752476</xdr:rowOff>
    </xdr:to>
    <xdr:sp macro="" textlink="">
      <xdr:nvSpPr>
        <xdr:cNvPr id="3" name="CaixaDeTexto 2">
          <a:extLst>
            <a:ext uri="{FF2B5EF4-FFF2-40B4-BE49-F238E27FC236}">
              <a16:creationId xmlns:a16="http://schemas.microsoft.com/office/drawing/2014/main" xmlns="" id="{00000000-0008-0000-2A00-000003000000}"/>
            </a:ext>
          </a:extLst>
        </xdr:cNvPr>
        <xdr:cNvSpPr txBox="1"/>
      </xdr:nvSpPr>
      <xdr:spPr>
        <a:xfrm>
          <a:off x="6254750" y="0"/>
          <a:ext cx="11985625"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oneCellAnchor>
    <xdr:from>
      <xdr:col>0</xdr:col>
      <xdr:colOff>0</xdr:colOff>
      <xdr:row>17</xdr:row>
      <xdr:rowOff>94269</xdr:rowOff>
    </xdr:from>
    <xdr:ext cx="0" cy="648092"/>
    <xdr:sp macro="" textlink="">
      <xdr:nvSpPr>
        <xdr:cNvPr id="60" name="CaixaDeTexto 59">
          <a:extLst>
            <a:ext uri="{FF2B5EF4-FFF2-40B4-BE49-F238E27FC236}">
              <a16:creationId xmlns:a16="http://schemas.microsoft.com/office/drawing/2014/main" xmlns="" id="{00000000-0008-0000-2A00-00003C000000}"/>
            </a:ext>
          </a:extLst>
        </xdr:cNvPr>
        <xdr:cNvSpPr txBox="1"/>
      </xdr:nvSpPr>
      <xdr:spPr>
        <a:xfrm>
          <a:off x="0" y="3845351"/>
          <a:ext cx="0" cy="64809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clientData/>
  </xdr:oneCellAnchor>
  <xdr:twoCellAnchor>
    <xdr:from>
      <xdr:col>0</xdr:col>
      <xdr:colOff>389754</xdr:colOff>
      <xdr:row>5</xdr:row>
      <xdr:rowOff>29139</xdr:rowOff>
    </xdr:from>
    <xdr:to>
      <xdr:col>25</xdr:col>
      <xdr:colOff>207062</xdr:colOff>
      <xdr:row>18</xdr:row>
      <xdr:rowOff>96956</xdr:rowOff>
    </xdr:to>
    <xdr:grpSp>
      <xdr:nvGrpSpPr>
        <xdr:cNvPr id="5" name="Grupo 4">
          <a:extLst>
            <a:ext uri="{FF2B5EF4-FFF2-40B4-BE49-F238E27FC236}">
              <a16:creationId xmlns:a16="http://schemas.microsoft.com/office/drawing/2014/main" xmlns="" id="{00000000-0008-0000-2A00-000005000000}"/>
            </a:ext>
          </a:extLst>
        </xdr:cNvPr>
        <xdr:cNvGrpSpPr/>
      </xdr:nvGrpSpPr>
      <xdr:grpSpPr>
        <a:xfrm>
          <a:off x="389754" y="1561422"/>
          <a:ext cx="15002091" cy="2580208"/>
          <a:chOff x="388867" y="1078852"/>
          <a:chExt cx="15127038" cy="2946918"/>
        </a:xfrm>
      </xdr:grpSpPr>
      <xdr:grpSp>
        <xdr:nvGrpSpPr>
          <xdr:cNvPr id="69" name="Grupo 68">
            <a:extLst>
              <a:ext uri="{FF2B5EF4-FFF2-40B4-BE49-F238E27FC236}">
                <a16:creationId xmlns:a16="http://schemas.microsoft.com/office/drawing/2014/main" xmlns="" id="{00000000-0008-0000-2A00-000045000000}"/>
              </a:ext>
            </a:extLst>
          </xdr:cNvPr>
          <xdr:cNvGrpSpPr/>
        </xdr:nvGrpSpPr>
        <xdr:grpSpPr>
          <a:xfrm>
            <a:off x="388867" y="1760906"/>
            <a:ext cx="15127038" cy="2264864"/>
            <a:chOff x="691044" y="1271833"/>
            <a:chExt cx="15039829" cy="2391658"/>
          </a:xfrm>
        </xdr:grpSpPr>
        <xdr:sp macro="" textlink="">
          <xdr:nvSpPr>
            <xdr:cNvPr id="42" name="CaixaDeTexto 41">
              <a:hlinkClick xmlns:r="http://schemas.openxmlformats.org/officeDocument/2006/relationships" r:id="rId2" tooltip="Quantitativo de Pessoa Física"/>
              <a:extLst>
                <a:ext uri="{FF2B5EF4-FFF2-40B4-BE49-F238E27FC236}">
                  <a16:creationId xmlns:a16="http://schemas.microsoft.com/office/drawing/2014/main" xmlns="" id="{00000000-0008-0000-2A00-00002A000000}"/>
                </a:ext>
              </a:extLst>
            </xdr:cNvPr>
            <xdr:cNvSpPr txBox="1"/>
          </xdr:nvSpPr>
          <xdr:spPr>
            <a:xfrm>
              <a:off x="753113" y="205229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grpSp>
          <xdr:nvGrpSpPr>
            <xdr:cNvPr id="44" name="Grupo 43">
              <a:extLst>
                <a:ext uri="{FF2B5EF4-FFF2-40B4-BE49-F238E27FC236}">
                  <a16:creationId xmlns:a16="http://schemas.microsoft.com/office/drawing/2014/main" xmlns="" id="{00000000-0008-0000-2A00-00002C000000}"/>
                </a:ext>
              </a:extLst>
            </xdr:cNvPr>
            <xdr:cNvGrpSpPr/>
          </xdr:nvGrpSpPr>
          <xdr:grpSpPr>
            <a:xfrm>
              <a:off x="691044" y="1271833"/>
              <a:ext cx="3520127" cy="529891"/>
              <a:chOff x="7122285" y="1026747"/>
              <a:chExt cx="3174401" cy="539586"/>
            </a:xfrm>
          </xdr:grpSpPr>
          <xdr:sp macro="" textlink="">
            <xdr:nvSpPr>
              <xdr:cNvPr id="45" name="CaixaDeTexto 44">
                <a:extLst>
                  <a:ext uri="{FF2B5EF4-FFF2-40B4-BE49-F238E27FC236}">
                    <a16:creationId xmlns:a16="http://schemas.microsoft.com/office/drawing/2014/main" xmlns="" id="{00000000-0008-0000-2A00-00002D000000}"/>
                  </a:ext>
                </a:extLst>
              </xdr:cNvPr>
              <xdr:cNvSpPr txBox="1"/>
            </xdr:nvSpPr>
            <xdr:spPr>
              <a:xfrm>
                <a:off x="7245026"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Física</a:t>
                </a:r>
              </a:p>
            </xdr:txBody>
          </xdr:sp>
          <xdr:cxnSp macro="">
            <xdr:nvCxnSpPr>
              <xdr:cNvPr id="46" name="Conector reto 45">
                <a:extLst>
                  <a:ext uri="{FF2B5EF4-FFF2-40B4-BE49-F238E27FC236}">
                    <a16:creationId xmlns:a16="http://schemas.microsoft.com/office/drawing/2014/main" xmlns="" id="{00000000-0008-0000-2A00-00002E000000}"/>
                  </a:ext>
                </a:extLst>
              </xdr:cNvPr>
              <xdr:cNvCxnSpPr/>
            </xdr:nvCxnSpPr>
            <xdr:spPr>
              <a:xfrm>
                <a:off x="712228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upo 46">
              <a:extLst>
                <a:ext uri="{FF2B5EF4-FFF2-40B4-BE49-F238E27FC236}">
                  <a16:creationId xmlns:a16="http://schemas.microsoft.com/office/drawing/2014/main" xmlns="" id="{00000000-0008-0000-2A00-00002F000000}"/>
                </a:ext>
              </a:extLst>
            </xdr:cNvPr>
            <xdr:cNvGrpSpPr/>
          </xdr:nvGrpSpPr>
          <xdr:grpSpPr>
            <a:xfrm>
              <a:off x="4586927" y="1271833"/>
              <a:ext cx="3520127" cy="529891"/>
              <a:chOff x="6961352" y="1026747"/>
              <a:chExt cx="3174401" cy="539586"/>
            </a:xfrm>
          </xdr:grpSpPr>
          <xdr:sp macro="" textlink="">
            <xdr:nvSpPr>
              <xdr:cNvPr id="48" name="CaixaDeTexto 47">
                <a:extLst>
                  <a:ext uri="{FF2B5EF4-FFF2-40B4-BE49-F238E27FC236}">
                    <a16:creationId xmlns:a16="http://schemas.microsoft.com/office/drawing/2014/main" xmlns="" id="{00000000-0008-0000-2A00-000030000000}"/>
                  </a:ext>
                </a:extLst>
              </xdr:cNvPr>
              <xdr:cNvSpPr txBox="1"/>
            </xdr:nvSpPr>
            <xdr:spPr>
              <a:xfrm>
                <a:off x="708409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Jurídica</a:t>
                </a:r>
              </a:p>
            </xdr:txBody>
          </xdr:sp>
          <xdr:cxnSp macro="">
            <xdr:nvCxnSpPr>
              <xdr:cNvPr id="49" name="Conector reto 48">
                <a:extLst>
                  <a:ext uri="{FF2B5EF4-FFF2-40B4-BE49-F238E27FC236}">
                    <a16:creationId xmlns:a16="http://schemas.microsoft.com/office/drawing/2014/main" xmlns="" id="{00000000-0008-0000-2A00-000031000000}"/>
                  </a:ext>
                </a:extLst>
              </xdr:cNvPr>
              <xdr:cNvCxnSpPr/>
            </xdr:nvCxnSpPr>
            <xdr:spPr>
              <a:xfrm>
                <a:off x="6961352"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upo 49">
              <a:extLst>
                <a:ext uri="{FF2B5EF4-FFF2-40B4-BE49-F238E27FC236}">
                  <a16:creationId xmlns:a16="http://schemas.microsoft.com/office/drawing/2014/main" xmlns="" id="{00000000-0008-0000-2A00-000032000000}"/>
                </a:ext>
              </a:extLst>
            </xdr:cNvPr>
            <xdr:cNvGrpSpPr/>
          </xdr:nvGrpSpPr>
          <xdr:grpSpPr>
            <a:xfrm>
              <a:off x="8451324" y="1271833"/>
              <a:ext cx="3520127" cy="529891"/>
              <a:chOff x="6772026" y="1026747"/>
              <a:chExt cx="3174401" cy="539586"/>
            </a:xfrm>
          </xdr:grpSpPr>
          <xdr:sp macro="" textlink="">
            <xdr:nvSpPr>
              <xdr:cNvPr id="51" name="CaixaDeTexto 50">
                <a:extLst>
                  <a:ext uri="{FF2B5EF4-FFF2-40B4-BE49-F238E27FC236}">
                    <a16:creationId xmlns:a16="http://schemas.microsoft.com/office/drawing/2014/main" xmlns="" id="{00000000-0008-0000-2A00-000033000000}"/>
                  </a:ext>
                </a:extLst>
              </xdr:cNvPr>
              <xdr:cNvSpPr txBox="1"/>
            </xdr:nvSpPr>
            <xdr:spPr>
              <a:xfrm>
                <a:off x="6894769"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52" name="Conector reto 51">
                <a:extLst>
                  <a:ext uri="{FF2B5EF4-FFF2-40B4-BE49-F238E27FC236}">
                    <a16:creationId xmlns:a16="http://schemas.microsoft.com/office/drawing/2014/main" xmlns="" id="{00000000-0008-0000-2A00-000034000000}"/>
                  </a:ext>
                </a:extLst>
              </xdr:cNvPr>
              <xdr:cNvCxnSpPr/>
            </xdr:nvCxnSpPr>
            <xdr:spPr>
              <a:xfrm>
                <a:off x="6772026"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3" name="Grupo 52">
              <a:extLst>
                <a:ext uri="{FF2B5EF4-FFF2-40B4-BE49-F238E27FC236}">
                  <a16:creationId xmlns:a16="http://schemas.microsoft.com/office/drawing/2014/main" xmlns="" id="{00000000-0008-0000-2A00-000035000000}"/>
                </a:ext>
              </a:extLst>
            </xdr:cNvPr>
            <xdr:cNvGrpSpPr/>
          </xdr:nvGrpSpPr>
          <xdr:grpSpPr>
            <a:xfrm>
              <a:off x="12210746" y="1271833"/>
              <a:ext cx="3520127" cy="529891"/>
              <a:chOff x="6488034" y="1026747"/>
              <a:chExt cx="3174401" cy="539586"/>
            </a:xfrm>
          </xdr:grpSpPr>
          <xdr:sp macro="" textlink="">
            <xdr:nvSpPr>
              <xdr:cNvPr id="54" name="CaixaDeTexto 53">
                <a:extLst>
                  <a:ext uri="{FF2B5EF4-FFF2-40B4-BE49-F238E27FC236}">
                    <a16:creationId xmlns:a16="http://schemas.microsoft.com/office/drawing/2014/main" xmlns="" id="{00000000-0008-0000-2A00-000036000000}"/>
                  </a:ext>
                </a:extLst>
              </xdr:cNvPr>
              <xdr:cNvSpPr txBox="1"/>
            </xdr:nvSpPr>
            <xdr:spPr>
              <a:xfrm>
                <a:off x="6610777"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Taxas e Multas</a:t>
                </a:r>
              </a:p>
            </xdr:txBody>
          </xdr:sp>
          <xdr:cxnSp macro="">
            <xdr:nvCxnSpPr>
              <xdr:cNvPr id="55" name="Conector reto 54">
                <a:extLst>
                  <a:ext uri="{FF2B5EF4-FFF2-40B4-BE49-F238E27FC236}">
                    <a16:creationId xmlns:a16="http://schemas.microsoft.com/office/drawing/2014/main" xmlns="" id="{00000000-0008-0000-2A00-000037000000}"/>
                  </a:ext>
                </a:extLst>
              </xdr:cNvPr>
              <xdr:cNvCxnSpPr/>
            </xdr:nvCxnSpPr>
            <xdr:spPr>
              <a:xfrm>
                <a:off x="6488034"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6" name="CaixaDeTexto 55">
              <a:hlinkClick xmlns:r="http://schemas.openxmlformats.org/officeDocument/2006/relationships" r:id="rId3" tooltip="Quantitativo de Pessoa Jurídica"/>
              <a:extLst>
                <a:ext uri="{FF2B5EF4-FFF2-40B4-BE49-F238E27FC236}">
                  <a16:creationId xmlns:a16="http://schemas.microsoft.com/office/drawing/2014/main" xmlns="" id="{00000000-0008-0000-2A00-000038000000}"/>
                </a:ext>
              </a:extLst>
            </xdr:cNvPr>
            <xdr:cNvSpPr txBox="1"/>
          </xdr:nvSpPr>
          <xdr:spPr>
            <a:xfrm>
              <a:off x="4649002" y="2116319"/>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sp macro="" textlink="">
          <xdr:nvSpPr>
            <xdr:cNvPr id="57" name="CaixaDeTexto 56">
              <a:hlinkClick xmlns:r="http://schemas.openxmlformats.org/officeDocument/2006/relationships" r:id="rId4" tooltip="Quantitativo e Receita de RRT"/>
              <a:extLst>
                <a:ext uri="{FF2B5EF4-FFF2-40B4-BE49-F238E27FC236}">
                  <a16:creationId xmlns:a16="http://schemas.microsoft.com/office/drawing/2014/main" xmlns="" id="{00000000-0008-0000-2A00-000039000000}"/>
                </a:ext>
              </a:extLst>
            </xdr:cNvPr>
            <xdr:cNvSpPr txBox="1"/>
          </xdr:nvSpPr>
          <xdr:spPr>
            <a:xfrm>
              <a:off x="8513401" y="212142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 e Receita</a:t>
              </a:r>
            </a:p>
          </xdr:txBody>
        </xdr:sp>
        <xdr:sp macro="" textlink="">
          <xdr:nvSpPr>
            <xdr:cNvPr id="58" name="CaixaDeTexto 57">
              <a:hlinkClick xmlns:r="http://schemas.openxmlformats.org/officeDocument/2006/relationships" r:id="rId5" tooltip="Receita de Arrecadação de Taxas e Multas"/>
              <a:extLst>
                <a:ext uri="{FF2B5EF4-FFF2-40B4-BE49-F238E27FC236}">
                  <a16:creationId xmlns:a16="http://schemas.microsoft.com/office/drawing/2014/main" xmlns="" id="{00000000-0008-0000-2A00-00003A000000}"/>
                </a:ext>
              </a:extLst>
            </xdr:cNvPr>
            <xdr:cNvSpPr txBox="1"/>
          </xdr:nvSpPr>
          <xdr:spPr>
            <a:xfrm>
              <a:off x="12272833" y="212653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59" name="CaixaDeTexto 58">
              <a:hlinkClick xmlns:r="http://schemas.openxmlformats.org/officeDocument/2006/relationships" r:id="rId6" tooltip="Receita de Arrecadação de Pessoa Física"/>
              <a:extLst>
                <a:ext uri="{FF2B5EF4-FFF2-40B4-BE49-F238E27FC236}">
                  <a16:creationId xmlns:a16="http://schemas.microsoft.com/office/drawing/2014/main" xmlns="" id="{00000000-0008-0000-2A00-00003B000000}"/>
                </a:ext>
              </a:extLst>
            </xdr:cNvPr>
            <xdr:cNvSpPr txBox="1"/>
          </xdr:nvSpPr>
          <xdr:spPr>
            <a:xfrm>
              <a:off x="753113" y="301540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61" name="CaixaDeTexto 60">
              <a:hlinkClick xmlns:r="http://schemas.openxmlformats.org/officeDocument/2006/relationships" r:id="rId7" tooltip="Receita de Arrecadação de Pessoa Jurídica"/>
              <a:extLst>
                <a:ext uri="{FF2B5EF4-FFF2-40B4-BE49-F238E27FC236}">
                  <a16:creationId xmlns:a16="http://schemas.microsoft.com/office/drawing/2014/main" xmlns="" id="{00000000-0008-0000-2A00-00003D000000}"/>
                </a:ext>
              </a:extLst>
            </xdr:cNvPr>
            <xdr:cNvSpPr txBox="1"/>
          </xdr:nvSpPr>
          <xdr:spPr>
            <a:xfrm>
              <a:off x="4649002" y="3010688"/>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grpSp>
      <xdr:grpSp>
        <xdr:nvGrpSpPr>
          <xdr:cNvPr id="74" name="Grupo 73">
            <a:extLst>
              <a:ext uri="{FF2B5EF4-FFF2-40B4-BE49-F238E27FC236}">
                <a16:creationId xmlns:a16="http://schemas.microsoft.com/office/drawing/2014/main" xmlns="" id="{00000000-0008-0000-2A00-00004A000000}"/>
              </a:ext>
            </a:extLst>
          </xdr:cNvPr>
          <xdr:cNvGrpSpPr/>
        </xdr:nvGrpSpPr>
        <xdr:grpSpPr>
          <a:xfrm>
            <a:off x="7433268" y="1078852"/>
            <a:ext cx="3540536" cy="501799"/>
            <a:chOff x="0" y="765928"/>
            <a:chExt cx="3520126" cy="481719"/>
          </a:xfrm>
        </xdr:grpSpPr>
        <xdr:sp macro="" textlink="">
          <xdr:nvSpPr>
            <xdr:cNvPr id="72" name="CaixaDeTexto 71">
              <a:extLst>
                <a:ext uri="{FF2B5EF4-FFF2-40B4-BE49-F238E27FC236}">
                  <a16:creationId xmlns:a16="http://schemas.microsoft.com/office/drawing/2014/main" xmlns="" id="{00000000-0008-0000-2A00-000048000000}"/>
                </a:ext>
              </a:extLst>
            </xdr:cNvPr>
            <xdr:cNvSpPr txBox="1"/>
          </xdr:nvSpPr>
          <xdr:spPr>
            <a:xfrm>
              <a:off x="136109" y="765928"/>
              <a:ext cx="3254845" cy="43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UF</a:t>
              </a:r>
            </a:p>
          </xdr:txBody>
        </xdr:sp>
        <xdr:cxnSp macro="">
          <xdr:nvCxnSpPr>
            <xdr:cNvPr id="73" name="Conector reto 72">
              <a:extLst>
                <a:ext uri="{FF2B5EF4-FFF2-40B4-BE49-F238E27FC236}">
                  <a16:creationId xmlns:a16="http://schemas.microsoft.com/office/drawing/2014/main" xmlns="" id="{00000000-0008-0000-2A00-000049000000}"/>
                </a:ext>
              </a:extLst>
            </xdr:cNvPr>
            <xdr:cNvCxnSpPr/>
          </xdr:nvCxnSpPr>
          <xdr:spPr>
            <a:xfrm>
              <a:off x="0" y="1247647"/>
              <a:ext cx="352012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417875</xdr:colOff>
      <xdr:row>23</xdr:row>
      <xdr:rowOff>10794</xdr:rowOff>
    </xdr:from>
    <xdr:to>
      <xdr:col>16</xdr:col>
      <xdr:colOff>148167</xdr:colOff>
      <xdr:row>36</xdr:row>
      <xdr:rowOff>447507</xdr:rowOff>
    </xdr:to>
    <xdr:grpSp>
      <xdr:nvGrpSpPr>
        <xdr:cNvPr id="6" name="CAU/BR">
          <a:extLst>
            <a:ext uri="{FF2B5EF4-FFF2-40B4-BE49-F238E27FC236}">
              <a16:creationId xmlns:a16="http://schemas.microsoft.com/office/drawing/2014/main" xmlns="" id="{7A6CCD79-36F8-4728-9037-F28AA6553968}"/>
            </a:ext>
          </a:extLst>
        </xdr:cNvPr>
        <xdr:cNvGrpSpPr/>
      </xdr:nvGrpSpPr>
      <xdr:grpSpPr>
        <a:xfrm>
          <a:off x="3454832" y="5021772"/>
          <a:ext cx="6411596" cy="2949105"/>
          <a:chOff x="3434125" y="4979669"/>
          <a:chExt cx="6366042" cy="2913213"/>
        </a:xfrm>
      </xdr:grpSpPr>
      <xdr:sp macro="" textlink="">
        <xdr:nvSpPr>
          <xdr:cNvPr id="71" name="Receita Total">
            <a:hlinkClick xmlns:r="http://schemas.openxmlformats.org/officeDocument/2006/relationships" r:id="rId8" tooltip="Receita Total de Arrecadação - CAU/BR"/>
            <a:extLst>
              <a:ext uri="{FF2B5EF4-FFF2-40B4-BE49-F238E27FC236}">
                <a16:creationId xmlns:a16="http://schemas.microsoft.com/office/drawing/2014/main" xmlns="" id="{00000000-0008-0000-2A00-000047000000}"/>
              </a:ext>
            </a:extLst>
          </xdr:cNvPr>
          <xdr:cNvSpPr txBox="1"/>
        </xdr:nvSpPr>
        <xdr:spPr>
          <a:xfrm>
            <a:off x="7000708" y="5804960"/>
            <a:ext cx="2799459" cy="188383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Total - BR</a:t>
            </a:r>
          </a:p>
          <a:p>
            <a:pPr algn="ctr"/>
            <a:r>
              <a:rPr lang="pt-BR" sz="1800" b="1"/>
              <a:t>Anuidades PF e PJ,</a:t>
            </a:r>
          </a:p>
          <a:p>
            <a:pPr algn="ctr"/>
            <a:r>
              <a:rPr lang="pt-BR" sz="1800" b="1"/>
              <a:t>RRT e</a:t>
            </a:r>
            <a:r>
              <a:rPr lang="pt-BR" sz="1800" b="1" baseline="0"/>
              <a:t> Taxas</a:t>
            </a:r>
            <a:endParaRPr lang="pt-BR" sz="1800" b="1"/>
          </a:p>
        </xdr:txBody>
      </xdr:sp>
      <xdr:sp macro="" textlink="">
        <xdr:nvSpPr>
          <xdr:cNvPr id="67" name="Receitas de RRT e Taxas">
            <a:hlinkClick xmlns:r="http://schemas.openxmlformats.org/officeDocument/2006/relationships" r:id="rId9" tooltip="Receita de Arrecadação - RRT, Taxas e Multas - CAU/BR"/>
            <a:extLst>
              <a:ext uri="{FF2B5EF4-FFF2-40B4-BE49-F238E27FC236}">
                <a16:creationId xmlns:a16="http://schemas.microsoft.com/office/drawing/2014/main" xmlns="" id="{00000000-0008-0000-2A00-000043000000}"/>
              </a:ext>
            </a:extLst>
          </xdr:cNvPr>
          <xdr:cNvSpPr txBox="1"/>
        </xdr:nvSpPr>
        <xdr:spPr>
          <a:xfrm>
            <a:off x="3434126" y="6845967"/>
            <a:ext cx="3365724" cy="104691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RRT e Taxas e Multas</a:t>
            </a:r>
          </a:p>
        </xdr:txBody>
      </xdr:sp>
      <xdr:sp macro="" textlink="">
        <xdr:nvSpPr>
          <xdr:cNvPr id="66" name="Receitas de Anuidades">
            <a:hlinkClick xmlns:r="http://schemas.openxmlformats.org/officeDocument/2006/relationships" r:id="rId10" tooltip="Receita de Arrecadação - Anuidade PF e PJ - CAU/BR"/>
            <a:extLst>
              <a:ext uri="{FF2B5EF4-FFF2-40B4-BE49-F238E27FC236}">
                <a16:creationId xmlns:a16="http://schemas.microsoft.com/office/drawing/2014/main" xmlns="" id="{00000000-0008-0000-2A00-000042000000}"/>
              </a:ext>
            </a:extLst>
          </xdr:cNvPr>
          <xdr:cNvSpPr txBox="1"/>
        </xdr:nvSpPr>
        <xdr:spPr>
          <a:xfrm>
            <a:off x="3434125" y="5639467"/>
            <a:ext cx="3365724" cy="104691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Anuidades PF e PJ</a:t>
            </a:r>
          </a:p>
        </xdr:txBody>
      </xdr:sp>
      <xdr:grpSp>
        <xdr:nvGrpSpPr>
          <xdr:cNvPr id="63" name="CAU/BR">
            <a:extLst>
              <a:ext uri="{FF2B5EF4-FFF2-40B4-BE49-F238E27FC236}">
                <a16:creationId xmlns:a16="http://schemas.microsoft.com/office/drawing/2014/main" xmlns="" id="{00000000-0008-0000-2A00-00003F000000}"/>
              </a:ext>
            </a:extLst>
          </xdr:cNvPr>
          <xdr:cNvGrpSpPr/>
        </xdr:nvGrpSpPr>
        <xdr:grpSpPr>
          <a:xfrm>
            <a:off x="5175251" y="4979669"/>
            <a:ext cx="3488756" cy="491767"/>
            <a:chOff x="8837458" y="1009332"/>
            <a:chExt cx="3174401" cy="539585"/>
          </a:xfrm>
        </xdr:grpSpPr>
        <xdr:cxnSp macro="">
          <xdr:nvCxnSpPr>
            <xdr:cNvPr id="65" name="Conector reto 64">
              <a:extLst>
                <a:ext uri="{FF2B5EF4-FFF2-40B4-BE49-F238E27FC236}">
                  <a16:creationId xmlns:a16="http://schemas.microsoft.com/office/drawing/2014/main" xmlns="" id="{00000000-0008-0000-2A00-000041000000}"/>
                </a:ext>
              </a:extLst>
            </xdr:cNvPr>
            <xdr:cNvCxnSpPr/>
          </xdr:nvCxnSpPr>
          <xdr:spPr>
            <a:xfrm>
              <a:off x="8837458" y="1548917"/>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4" name="CAU/BR">
              <a:extLst>
                <a:ext uri="{FF2B5EF4-FFF2-40B4-BE49-F238E27FC236}">
                  <a16:creationId xmlns:a16="http://schemas.microsoft.com/office/drawing/2014/main" xmlns="" id="{00000000-0008-0000-2A00-000040000000}"/>
                </a:ext>
              </a:extLst>
            </xdr:cNvPr>
            <xdr:cNvSpPr txBox="1"/>
          </xdr:nvSpPr>
          <xdr:spPr>
            <a:xfrm>
              <a:off x="8957076" y="1009332"/>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BR</a:t>
              </a:r>
            </a:p>
          </xdr:txBody>
        </xdr:sp>
      </xdr:grpSp>
    </xdr:grpSp>
    <xdr:clientData/>
  </xdr:twoCellAnchor>
  <xdr:twoCellAnchor>
    <xdr:from>
      <xdr:col>18</xdr:col>
      <xdr:colOff>225427</xdr:colOff>
      <xdr:row>23</xdr:row>
      <xdr:rowOff>26665</xdr:rowOff>
    </xdr:from>
    <xdr:to>
      <xdr:col>26</xdr:col>
      <xdr:colOff>415710</xdr:colOff>
      <xdr:row>36</xdr:row>
      <xdr:rowOff>433684</xdr:rowOff>
    </xdr:to>
    <xdr:grpSp>
      <xdr:nvGrpSpPr>
        <xdr:cNvPr id="4" name="CAU">
          <a:extLst>
            <a:ext uri="{FF2B5EF4-FFF2-40B4-BE49-F238E27FC236}">
              <a16:creationId xmlns:a16="http://schemas.microsoft.com/office/drawing/2014/main" xmlns="" id="{00000000-0008-0000-2A00-000004000000}"/>
            </a:ext>
          </a:extLst>
        </xdr:cNvPr>
        <xdr:cNvGrpSpPr/>
      </xdr:nvGrpSpPr>
      <xdr:grpSpPr>
        <a:xfrm>
          <a:off x="11158470" y="5037643"/>
          <a:ext cx="5049414" cy="2919411"/>
          <a:chOff x="11219009" y="5068694"/>
          <a:chExt cx="5078601" cy="2829678"/>
        </a:xfrm>
      </xdr:grpSpPr>
      <xdr:grpSp>
        <xdr:nvGrpSpPr>
          <xdr:cNvPr id="39" name="Grupo 38">
            <a:extLst>
              <a:ext uri="{FF2B5EF4-FFF2-40B4-BE49-F238E27FC236}">
                <a16:creationId xmlns:a16="http://schemas.microsoft.com/office/drawing/2014/main" xmlns="" id="{00000000-0008-0000-2A00-000027000000}"/>
              </a:ext>
            </a:extLst>
          </xdr:cNvPr>
          <xdr:cNvGrpSpPr/>
        </xdr:nvGrpSpPr>
        <xdr:grpSpPr>
          <a:xfrm>
            <a:off x="11219009" y="5068694"/>
            <a:ext cx="5078601" cy="482586"/>
            <a:chOff x="6957545" y="1026747"/>
            <a:chExt cx="3174401" cy="539586"/>
          </a:xfrm>
        </xdr:grpSpPr>
        <xdr:cxnSp macro="">
          <xdr:nvCxnSpPr>
            <xdr:cNvPr id="70" name="Conector reto 69">
              <a:extLst>
                <a:ext uri="{FF2B5EF4-FFF2-40B4-BE49-F238E27FC236}">
                  <a16:creationId xmlns:a16="http://schemas.microsoft.com/office/drawing/2014/main" xmlns="" id="{00000000-0008-0000-2A00-000046000000}"/>
                </a:ext>
              </a:extLst>
            </xdr:cNvPr>
            <xdr:cNvCxnSpPr/>
          </xdr:nvCxnSpPr>
          <xdr:spPr>
            <a:xfrm>
              <a:off x="695754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CAU">
              <a:extLst>
                <a:ext uri="{FF2B5EF4-FFF2-40B4-BE49-F238E27FC236}">
                  <a16:creationId xmlns:a16="http://schemas.microsoft.com/office/drawing/2014/main" xmlns="" id="{00000000-0008-0000-2A00-00002B000000}"/>
                </a:ext>
              </a:extLst>
            </xdr:cNvPr>
            <xdr:cNvSpPr txBox="1"/>
          </xdr:nvSpPr>
          <xdr:spPr>
            <a:xfrm>
              <a:off x="7077160"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a:t>
              </a:r>
            </a:p>
          </xdr:txBody>
        </xdr:sp>
      </xdr:grpSp>
      <xdr:sp macro="" textlink="">
        <xdr:nvSpPr>
          <xdr:cNvPr id="40" name="Gráficos de Arrecadação P x P x R">
            <a:hlinkClick xmlns:r="http://schemas.openxmlformats.org/officeDocument/2006/relationships" r:id="rId11" tooltip="Gráfico Comparativo de Arrecadação - Potencial x Previsto x Realizado - CAU"/>
            <a:extLst>
              <a:ext uri="{FF2B5EF4-FFF2-40B4-BE49-F238E27FC236}">
                <a16:creationId xmlns:a16="http://schemas.microsoft.com/office/drawing/2014/main" xmlns="" id="{00000000-0008-0000-2A00-000028000000}"/>
              </a:ext>
            </a:extLst>
          </xdr:cNvPr>
          <xdr:cNvSpPr txBox="1"/>
        </xdr:nvSpPr>
        <xdr:spPr>
          <a:xfrm>
            <a:off x="11308558" y="6871004"/>
            <a:ext cx="4899503" cy="1027368"/>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Potencial</a:t>
            </a:r>
            <a:r>
              <a:rPr lang="pt-BR" sz="2000" b="1" baseline="0"/>
              <a:t> x Previsto x Realizado</a:t>
            </a:r>
            <a:endParaRPr lang="pt-BR" sz="2000" b="1"/>
          </a:p>
        </xdr:txBody>
      </xdr:sp>
      <xdr:sp macro="" textlink="">
        <xdr:nvSpPr>
          <xdr:cNvPr id="41" name="Gráficos de Arrecadação YoY">
            <a:hlinkClick xmlns:r="http://schemas.openxmlformats.org/officeDocument/2006/relationships" r:id="rId12" tooltip="Gráfico Comparativo de Arrecadação - CAU"/>
            <a:extLst>
              <a:ext uri="{FF2B5EF4-FFF2-40B4-BE49-F238E27FC236}">
                <a16:creationId xmlns:a16="http://schemas.microsoft.com/office/drawing/2014/main" xmlns="" id="{00000000-0008-0000-2A00-000029000000}"/>
              </a:ext>
            </a:extLst>
          </xdr:cNvPr>
          <xdr:cNvSpPr txBox="1"/>
        </xdr:nvSpPr>
        <xdr:spPr>
          <a:xfrm>
            <a:off x="11305659" y="5729247"/>
            <a:ext cx="4899503" cy="969313"/>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Comparativo YoY - Jan.</a:t>
            </a:r>
            <a:r>
              <a:rPr lang="pt-BR" sz="2000" b="1" baseline="0"/>
              <a:t> a Dez.</a:t>
            </a:r>
            <a:endParaRPr lang="pt-BR" sz="2000" b="1"/>
          </a:p>
        </xdr:txBody>
      </xdr:sp>
    </xdr:grpSp>
    <xdr:clientData/>
  </xdr:twoCellAnchor>
  <xdr:twoCellAnchor>
    <xdr:from>
      <xdr:col>25</xdr:col>
      <xdr:colOff>497417</xdr:colOff>
      <xdr:row>12</xdr:row>
      <xdr:rowOff>4445</xdr:rowOff>
    </xdr:from>
    <xdr:to>
      <xdr:col>28</xdr:col>
      <xdr:colOff>1190476</xdr:colOff>
      <xdr:row>18</xdr:row>
      <xdr:rowOff>169334</xdr:rowOff>
    </xdr:to>
    <xdr:sp macro="" textlink="">
      <xdr:nvSpPr>
        <xdr:cNvPr id="75" name="CaixaDeTexto 74">
          <a:hlinkClick xmlns:r="http://schemas.openxmlformats.org/officeDocument/2006/relationships" r:id="rId13" tooltip="Receita Total de Arrecadação - CAU/UF"/>
          <a:extLst>
            <a:ext uri="{FF2B5EF4-FFF2-40B4-BE49-F238E27FC236}">
              <a16:creationId xmlns:a16="http://schemas.microsoft.com/office/drawing/2014/main" xmlns="" id="{00000000-0008-0000-2A00-00004B000000}"/>
            </a:ext>
          </a:extLst>
        </xdr:cNvPr>
        <xdr:cNvSpPr txBox="1"/>
      </xdr:nvSpPr>
      <xdr:spPr>
        <a:xfrm>
          <a:off x="15843250" y="2861945"/>
          <a:ext cx="2523976" cy="131847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400" b="1"/>
            <a:t>Receita Total - UF</a:t>
          </a:r>
        </a:p>
        <a:p>
          <a:pPr algn="ctr"/>
          <a:r>
            <a:rPr lang="pt-BR" sz="1800" b="1"/>
            <a:t>Anuidades PF e PJ,</a:t>
          </a:r>
        </a:p>
        <a:p>
          <a:pPr algn="ctr"/>
          <a:r>
            <a:rPr lang="pt-BR" sz="1800" b="1"/>
            <a:t>RRT e</a:t>
          </a:r>
          <a:r>
            <a:rPr lang="pt-BR" sz="1800" b="1" baseline="0"/>
            <a:t> Taxas</a:t>
          </a:r>
          <a:endParaRPr lang="pt-BR" sz="1800" b="1"/>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530258</xdr:colOff>
      <xdr:row>0</xdr:row>
      <xdr:rowOff>0</xdr:rowOff>
    </xdr:from>
    <xdr:to>
      <xdr:col>21</xdr:col>
      <xdr:colOff>579356</xdr:colOff>
      <xdr:row>0</xdr:row>
      <xdr:rowOff>752476</xdr:rowOff>
    </xdr:to>
    <xdr:sp macro="" textlink="">
      <xdr:nvSpPr>
        <xdr:cNvPr id="3" name="CaixaDeTexto 2">
          <a:extLst>
            <a:ext uri="{FF2B5EF4-FFF2-40B4-BE49-F238E27FC236}">
              <a16:creationId xmlns:a16="http://schemas.microsoft.com/office/drawing/2014/main" xmlns="" id="{00000000-0008-0000-2B00-000003000000}"/>
            </a:ext>
          </a:extLst>
        </xdr:cNvPr>
        <xdr:cNvSpPr txBox="1"/>
      </xdr:nvSpPr>
      <xdr:spPr>
        <a:xfrm>
          <a:off x="3574330" y="0"/>
          <a:ext cx="979012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6</xdr:col>
      <xdr:colOff>137472</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xmlns="" id="{00000000-0008-0000-2B00-000004000000}"/>
            </a:ext>
          </a:extLst>
        </xdr:cNvPr>
        <xdr:cNvGrpSpPr/>
      </xdr:nvGrpSpPr>
      <xdr:grpSpPr>
        <a:xfrm>
          <a:off x="3824569" y="968427"/>
          <a:ext cx="14711802" cy="481198"/>
          <a:chOff x="9043426" y="1068917"/>
          <a:chExt cx="4298272" cy="497416"/>
        </a:xfrm>
      </xdr:grpSpPr>
      <xdr:sp macro="" textlink="">
        <xdr:nvSpPr>
          <xdr:cNvPr id="5" name="CaixaDeTexto 4">
            <a:extLst>
              <a:ext uri="{FF2B5EF4-FFF2-40B4-BE49-F238E27FC236}">
                <a16:creationId xmlns:a16="http://schemas.microsoft.com/office/drawing/2014/main" xmlns="" id="{00000000-0008-0000-2B00-000005000000}"/>
              </a:ext>
            </a:extLst>
          </xdr:cNvPr>
          <xdr:cNvSpPr txBox="1"/>
        </xdr:nvSpPr>
        <xdr:spPr>
          <a:xfrm>
            <a:off x="9043426" y="1068917"/>
            <a:ext cx="429827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Física</a:t>
            </a:r>
          </a:p>
        </xdr:txBody>
      </xdr:sp>
      <xdr:cxnSp macro="">
        <xdr:nvCxnSpPr>
          <xdr:cNvPr id="6" name="Conector reto 5">
            <a:extLst>
              <a:ext uri="{FF2B5EF4-FFF2-40B4-BE49-F238E27FC236}">
                <a16:creationId xmlns:a16="http://schemas.microsoft.com/office/drawing/2014/main" xmlns="" id="{00000000-0008-0000-2B00-000006000000}"/>
              </a:ext>
            </a:extLst>
          </xdr:cNvPr>
          <xdr:cNvCxnSpPr/>
        </xdr:nvCxnSpPr>
        <xdr:spPr>
          <a:xfrm>
            <a:off x="9046319" y="1566333"/>
            <a:ext cx="428868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xmlns="" id="{00000000-0008-0000-2B00-000007000000}"/>
            </a:ext>
          </a:extLst>
        </xdr:cNvPr>
        <xdr:cNvGrpSpPr/>
      </xdr:nvGrpSpPr>
      <xdr:grpSpPr>
        <a:xfrm>
          <a:off x="223599" y="1586907"/>
          <a:ext cx="2446133" cy="523238"/>
          <a:chOff x="7926917" y="1026747"/>
          <a:chExt cx="3174401" cy="539586"/>
        </a:xfrm>
      </xdr:grpSpPr>
      <xdr:sp macro="" textlink="">
        <xdr:nvSpPr>
          <xdr:cNvPr id="8" name="CaixaDeTexto 7">
            <a:extLst>
              <a:ext uri="{FF2B5EF4-FFF2-40B4-BE49-F238E27FC236}">
                <a16:creationId xmlns:a16="http://schemas.microsoft.com/office/drawing/2014/main" xmlns="" id="{00000000-0008-0000-2B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2B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368710</xdr:colOff>
      <xdr:row>8</xdr:row>
      <xdr:rowOff>68738</xdr:rowOff>
    </xdr:from>
    <xdr:to>
      <xdr:col>28</xdr:col>
      <xdr:colOff>707010</xdr:colOff>
      <xdr:row>33</xdr:row>
      <xdr:rowOff>15363</xdr:rowOff>
    </xdr:to>
    <xdr:grpSp>
      <xdr:nvGrpSpPr>
        <xdr:cNvPr id="50" name="Grupo 49">
          <a:extLst>
            <a:ext uri="{FF2B5EF4-FFF2-40B4-BE49-F238E27FC236}">
              <a16:creationId xmlns:a16="http://schemas.microsoft.com/office/drawing/2014/main" xmlns="" id="{00000000-0008-0000-2B00-000032000000}"/>
            </a:ext>
          </a:extLst>
        </xdr:cNvPr>
        <xdr:cNvGrpSpPr/>
      </xdr:nvGrpSpPr>
      <xdr:grpSpPr>
        <a:xfrm>
          <a:off x="14502581" y="2127367"/>
          <a:ext cx="3395518" cy="4570859"/>
          <a:chOff x="14483890" y="3223651"/>
          <a:chExt cx="3049142" cy="2754416"/>
        </a:xfrm>
      </xdr:grpSpPr>
      <xdr:graphicFrame macro="">
        <xdr:nvGraphicFramePr>
          <xdr:cNvPr id="51" name="Gráfico 50">
            <a:extLst>
              <a:ext uri="{FF2B5EF4-FFF2-40B4-BE49-F238E27FC236}">
                <a16:creationId xmlns:a16="http://schemas.microsoft.com/office/drawing/2014/main" xmlns="" id="{00000000-0008-0000-2B00-000033000000}"/>
              </a:ext>
            </a:extLst>
          </xdr:cNvPr>
          <xdr:cNvGraphicFramePr>
            <a:graphicFrameLocks/>
          </xdr:cNvGraphicFramePr>
        </xdr:nvGraphicFramePr>
        <xdr:xfrm>
          <a:off x="14483890" y="3223651"/>
          <a:ext cx="3049142" cy="2754416"/>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2" name="Grupo 51">
            <a:extLst>
              <a:ext uri="{FF2B5EF4-FFF2-40B4-BE49-F238E27FC236}">
                <a16:creationId xmlns:a16="http://schemas.microsoft.com/office/drawing/2014/main" xmlns="" id="{00000000-0008-0000-2B00-000034000000}"/>
              </a:ext>
            </a:extLst>
          </xdr:cNvPr>
          <xdr:cNvGrpSpPr/>
        </xdr:nvGrpSpPr>
        <xdr:grpSpPr>
          <a:xfrm>
            <a:off x="15046543" y="4131278"/>
            <a:ext cx="2012977" cy="797715"/>
            <a:chOff x="6406969" y="5676190"/>
            <a:chExt cx="1517009" cy="623283"/>
          </a:xfrm>
        </xdr:grpSpPr>
        <xdr:grpSp>
          <xdr:nvGrpSpPr>
            <xdr:cNvPr id="53" name="Grupo 52">
              <a:extLst>
                <a:ext uri="{FF2B5EF4-FFF2-40B4-BE49-F238E27FC236}">
                  <a16:creationId xmlns:a16="http://schemas.microsoft.com/office/drawing/2014/main" xmlns="" id="{00000000-0008-0000-2B00-000035000000}"/>
                </a:ext>
              </a:extLst>
            </xdr:cNvPr>
            <xdr:cNvGrpSpPr/>
          </xdr:nvGrpSpPr>
          <xdr:grpSpPr>
            <a:xfrm>
              <a:off x="6406969" y="5691904"/>
              <a:ext cx="699233" cy="607569"/>
              <a:chOff x="9883594" y="6013713"/>
              <a:chExt cx="699233" cy="607569"/>
            </a:xfrm>
          </xdr:grpSpPr>
          <xdr:sp macro="" textlink="'Dados - Receita e Qntd'!AZ69">
            <xdr:nvSpPr>
              <xdr:cNvPr id="57" name="CaixaDeTexto 56">
                <a:extLst>
                  <a:ext uri="{FF2B5EF4-FFF2-40B4-BE49-F238E27FC236}">
                    <a16:creationId xmlns:a16="http://schemas.microsoft.com/office/drawing/2014/main" xmlns="" id="{00000000-0008-0000-2B00-000039000000}"/>
                  </a:ext>
                </a:extLst>
              </xdr:cNvPr>
              <xdr:cNvSpPr txBox="1"/>
            </xdr:nvSpPr>
            <xdr:spPr>
              <a:xfrm>
                <a:off x="9883594" y="633485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A19EAE22-EF23-43C4-B4B8-AA0D7217EABE}" type="TxLink">
                  <a:rPr lang="en-US" sz="2000" b="1" i="0" u="none" strike="noStrike">
                    <a:solidFill>
                      <a:schemeClr val="bg1"/>
                    </a:solidFill>
                    <a:latin typeface="Calibri"/>
                    <a:ea typeface="+mn-ea"/>
                    <a:cs typeface="Calibri"/>
                  </a:rPr>
                  <a:pPr marL="0" indent="0" algn="ctr"/>
                  <a:t> 8.457 </a:t>
                </a:fld>
                <a:endParaRPr lang="pt-BR" sz="3200" b="1" i="0" u="none" strike="noStrike">
                  <a:solidFill>
                    <a:schemeClr val="bg1"/>
                  </a:solidFill>
                  <a:latin typeface="Calibri"/>
                  <a:ea typeface="+mn-ea"/>
                  <a:cs typeface="Calibri"/>
                </a:endParaRPr>
              </a:p>
            </xdr:txBody>
          </xdr:sp>
          <xdr:sp macro="" textlink="">
            <xdr:nvSpPr>
              <xdr:cNvPr id="58" name="CaixaDeTexto 57">
                <a:extLst>
                  <a:ext uri="{FF2B5EF4-FFF2-40B4-BE49-F238E27FC236}">
                    <a16:creationId xmlns:a16="http://schemas.microsoft.com/office/drawing/2014/main" xmlns="" id="{00000000-0008-0000-2B00-00003A000000}"/>
                  </a:ext>
                </a:extLst>
              </xdr:cNvPr>
              <xdr:cNvSpPr txBox="1"/>
            </xdr:nvSpPr>
            <xdr:spPr>
              <a:xfrm>
                <a:off x="10086726" y="6013713"/>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5400">
                    <a:solidFill>
                      <a:schemeClr val="bg1"/>
                    </a:solidFill>
                    <a:sym typeface="Webdings" panose="05030102010509060703" pitchFamily="18" charset="2"/>
                  </a:rPr>
                  <a:t></a:t>
                </a:r>
                <a:endParaRPr lang="pt-BR" sz="5400">
                  <a:solidFill>
                    <a:schemeClr val="bg1"/>
                  </a:solidFill>
                </a:endParaRPr>
              </a:p>
            </xdr:txBody>
          </xdr:sp>
        </xdr:grpSp>
        <xdr:grpSp>
          <xdr:nvGrpSpPr>
            <xdr:cNvPr id="54" name="Grupo 53">
              <a:extLst>
                <a:ext uri="{FF2B5EF4-FFF2-40B4-BE49-F238E27FC236}">
                  <a16:creationId xmlns:a16="http://schemas.microsoft.com/office/drawing/2014/main" xmlns="" id="{00000000-0008-0000-2B00-000036000000}"/>
                </a:ext>
              </a:extLst>
            </xdr:cNvPr>
            <xdr:cNvGrpSpPr/>
          </xdr:nvGrpSpPr>
          <xdr:grpSpPr>
            <a:xfrm>
              <a:off x="7224745" y="5676190"/>
              <a:ext cx="699233" cy="623283"/>
              <a:chOff x="9170567" y="5999359"/>
              <a:chExt cx="699233" cy="623283"/>
            </a:xfrm>
          </xdr:grpSpPr>
          <xdr:sp macro="" textlink="'Dados - Receita e Qntd'!AZ68">
            <xdr:nvSpPr>
              <xdr:cNvPr id="55" name="CaixaDeTexto 54">
                <a:extLst>
                  <a:ext uri="{FF2B5EF4-FFF2-40B4-BE49-F238E27FC236}">
                    <a16:creationId xmlns:a16="http://schemas.microsoft.com/office/drawing/2014/main" xmlns="" id="{00000000-0008-0000-2B00-000037000000}"/>
                  </a:ext>
                </a:extLst>
              </xdr:cNvPr>
              <xdr:cNvSpPr txBox="1"/>
            </xdr:nvSpPr>
            <xdr:spPr>
              <a:xfrm>
                <a:off x="9170567" y="633621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AD35CE2-B1D4-4474-A75A-F6CF4709478C}" type="TxLink">
                  <a:rPr lang="en-US" sz="2000" b="1" i="0" u="none" strike="noStrike">
                    <a:solidFill>
                      <a:schemeClr val="bg1"/>
                    </a:solidFill>
                    <a:latin typeface="Calibri"/>
                    <a:ea typeface="+mn-ea"/>
                    <a:cs typeface="Calibri"/>
                  </a:rPr>
                  <a:pPr marL="0" indent="0" algn="ctr"/>
                  <a:t> 4.331 </a:t>
                </a:fld>
                <a:endParaRPr lang="pt-BR" sz="3200" b="1" i="0" u="none" strike="noStrike">
                  <a:solidFill>
                    <a:schemeClr val="bg1"/>
                  </a:solidFill>
                  <a:latin typeface="Calibri"/>
                  <a:ea typeface="+mn-ea"/>
                  <a:cs typeface="Calibri"/>
                </a:endParaRPr>
              </a:p>
            </xdr:txBody>
          </xdr:sp>
          <xdr:sp macro="" textlink="">
            <xdr:nvSpPr>
              <xdr:cNvPr id="56" name="CaixaDeTexto 55">
                <a:extLst>
                  <a:ext uri="{FF2B5EF4-FFF2-40B4-BE49-F238E27FC236}">
                    <a16:creationId xmlns:a16="http://schemas.microsoft.com/office/drawing/2014/main" xmlns="" id="{00000000-0008-0000-2B00-000038000000}"/>
                  </a:ext>
                </a:extLst>
              </xdr:cNvPr>
              <xdr:cNvSpPr txBox="1"/>
            </xdr:nvSpPr>
            <xdr:spPr>
              <a:xfrm>
                <a:off x="9362515" y="5999359"/>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5400">
                    <a:solidFill>
                      <a:schemeClr val="bg1"/>
                    </a:solidFill>
                    <a:sym typeface="Webdings" panose="05030102010509060703" pitchFamily="18" charset="2"/>
                  </a:rPr>
                  <a:t></a:t>
                </a:r>
                <a:endParaRPr lang="pt-BR" sz="5400">
                  <a:solidFill>
                    <a:schemeClr val="bg1"/>
                  </a:solidFill>
                </a:endParaRPr>
              </a:p>
            </xdr:txBody>
          </xdr:sp>
        </xdr:grpSp>
      </xdr:grp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67" name="UF">
              <a:extLst>
                <a:ext uri="{FF2B5EF4-FFF2-40B4-BE49-F238E27FC236}">
                  <a16:creationId xmlns:a16="http://schemas.microsoft.com/office/drawing/2014/main" xmlns="" id="{00000000-0008-0000-2B00-000043000000}"/>
                </a:ext>
              </a:extLst>
            </xdr:cNvPr>
            <xdr:cNvGraphicFramePr/>
          </xdr:nvGraphicFramePr>
          <xdr:xfrm>
            <a:off x="0" y="0"/>
            <a:ext cx="0" cy="0"/>
          </xdr:xfrm>
          <a:graphic>
            <a:graphicData uri="http://schemas.microsoft.com/office/drawing/2010/slicer">
              <sle:slicer xmlns:sle="http://schemas.microsoft.com/office/drawing/2010/slicer" name="UF"/>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4</xdr:col>
      <xdr:colOff>394753</xdr:colOff>
      <xdr:row>5</xdr:row>
      <xdr:rowOff>130154</xdr:rowOff>
    </xdr:from>
    <xdr:to>
      <xdr:col>23</xdr:col>
      <xdr:colOff>169750</xdr:colOff>
      <xdr:row>35</xdr:row>
      <xdr:rowOff>68737</xdr:rowOff>
    </xdr:to>
    <xdr:grpSp>
      <xdr:nvGrpSpPr>
        <xdr:cNvPr id="14" name="Agrupar 13">
          <a:extLst>
            <a:ext uri="{FF2B5EF4-FFF2-40B4-BE49-F238E27FC236}">
              <a16:creationId xmlns:a16="http://schemas.microsoft.com/office/drawing/2014/main" xmlns="" id="{72EF4C98-BAAD-4D63-B714-1E38952405C1}"/>
            </a:ext>
          </a:extLst>
        </xdr:cNvPr>
        <xdr:cNvGrpSpPr/>
      </xdr:nvGrpSpPr>
      <xdr:grpSpPr>
        <a:xfrm>
          <a:off x="2852818" y="1635719"/>
          <a:ext cx="11450803" cy="5484591"/>
          <a:chOff x="2852818" y="1635719"/>
          <a:chExt cx="11450803" cy="5484591"/>
        </a:xfrm>
      </xdr:grpSpPr>
      <xdr:grpSp>
        <xdr:nvGrpSpPr>
          <xdr:cNvPr id="11" name="Agrupar 10">
            <a:extLst>
              <a:ext uri="{FF2B5EF4-FFF2-40B4-BE49-F238E27FC236}">
                <a16:creationId xmlns:a16="http://schemas.microsoft.com/office/drawing/2014/main" xmlns="" id="{14F6910F-15CC-41BD-AC62-2140EB686CCD}"/>
              </a:ext>
            </a:extLst>
          </xdr:cNvPr>
          <xdr:cNvGrpSpPr/>
        </xdr:nvGrpSpPr>
        <xdr:grpSpPr>
          <a:xfrm>
            <a:off x="2852818" y="1761797"/>
            <a:ext cx="6239098" cy="5358513"/>
            <a:chOff x="2852818" y="1761797"/>
            <a:chExt cx="6239098" cy="5358513"/>
          </a:xfrm>
        </xdr:grpSpPr>
        <xdr:graphicFrame macro="">
          <xdr:nvGraphicFramePr>
            <xdr:cNvPr id="68" name="Diagrama 67">
              <a:extLst>
                <a:ext uri="{FF2B5EF4-FFF2-40B4-BE49-F238E27FC236}">
                  <a16:creationId xmlns:a16="http://schemas.microsoft.com/office/drawing/2014/main" xmlns="" id="{00000000-0008-0000-2B00-000044000000}"/>
                </a:ext>
              </a:extLst>
            </xdr:cNvPr>
            <xdr:cNvGraphicFramePr/>
          </xdr:nvGraphicFramePr>
          <xdr:xfrm>
            <a:off x="2852818" y="1761797"/>
            <a:ext cx="6239098" cy="5358513"/>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grpSp>
          <xdr:nvGrpSpPr>
            <xdr:cNvPr id="10" name="Agrupar 9">
              <a:extLst>
                <a:ext uri="{FF2B5EF4-FFF2-40B4-BE49-F238E27FC236}">
                  <a16:creationId xmlns:a16="http://schemas.microsoft.com/office/drawing/2014/main" xmlns="" id="{C9484A34-0B4A-4F26-BA20-1313E3CFA0A6}"/>
                </a:ext>
              </a:extLst>
            </xdr:cNvPr>
            <xdr:cNvGrpSpPr/>
          </xdr:nvGrpSpPr>
          <xdr:grpSpPr>
            <a:xfrm>
              <a:off x="6151554" y="1822379"/>
              <a:ext cx="1839633" cy="5228082"/>
              <a:chOff x="6151554" y="1822379"/>
              <a:chExt cx="1839633" cy="5228082"/>
            </a:xfrm>
          </xdr:grpSpPr>
          <xdr:sp macro="" textlink="'Dados - Receita e Qntd'!AZ54">
            <xdr:nvSpPr>
              <xdr:cNvPr id="69" name="CaixaDeTexto 68">
                <a:extLst>
                  <a:ext uri="{FF2B5EF4-FFF2-40B4-BE49-F238E27FC236}">
                    <a16:creationId xmlns:a16="http://schemas.microsoft.com/office/drawing/2014/main" xmlns="" id="{00000000-0008-0000-2B00-000045000000}"/>
                  </a:ext>
                </a:extLst>
              </xdr:cNvPr>
              <xdr:cNvSpPr txBox="1"/>
            </xdr:nvSpPr>
            <xdr:spPr>
              <a:xfrm>
                <a:off x="6151554" y="1822379"/>
                <a:ext cx="1839633" cy="10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353535-2226-4669-BAEF-1D0D91F5A7C0}"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12.494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3">
            <xdr:nvSpPr>
              <xdr:cNvPr id="70" name="CaixaDeTexto 69">
                <a:extLst>
                  <a:ext uri="{FF2B5EF4-FFF2-40B4-BE49-F238E27FC236}">
                    <a16:creationId xmlns:a16="http://schemas.microsoft.com/office/drawing/2014/main" xmlns="" id="{00000000-0008-0000-2B00-000046000000}"/>
                  </a:ext>
                </a:extLst>
              </xdr:cNvPr>
              <xdr:cNvSpPr txBox="1"/>
            </xdr:nvSpPr>
            <xdr:spPr>
              <a:xfrm>
                <a:off x="6151554" y="4604450"/>
                <a:ext cx="1839633" cy="10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71B1CAC-FAE1-40D3-826D-961FDD43D4C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982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2">
            <xdr:nvSpPr>
              <xdr:cNvPr id="71" name="CaixaDeTexto 70">
                <a:extLst>
                  <a:ext uri="{FF2B5EF4-FFF2-40B4-BE49-F238E27FC236}">
                    <a16:creationId xmlns:a16="http://schemas.microsoft.com/office/drawing/2014/main" xmlns="" id="{00000000-0008-0000-2B00-000047000000}"/>
                  </a:ext>
                </a:extLst>
              </xdr:cNvPr>
              <xdr:cNvSpPr txBox="1"/>
            </xdr:nvSpPr>
            <xdr:spPr>
              <a:xfrm>
                <a:off x="6151554" y="3213414"/>
                <a:ext cx="1839633" cy="10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D5AB5CA-A73A-47D3-950A-4FE0D08D4102}"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12.788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5">
            <xdr:nvSpPr>
              <xdr:cNvPr id="72" name="CaixaDeTexto 71">
                <a:extLst>
                  <a:ext uri="{FF2B5EF4-FFF2-40B4-BE49-F238E27FC236}">
                    <a16:creationId xmlns:a16="http://schemas.microsoft.com/office/drawing/2014/main" xmlns="" id="{00000000-0008-0000-2B00-000048000000}"/>
                  </a:ext>
                </a:extLst>
              </xdr:cNvPr>
              <xdr:cNvSpPr txBox="1"/>
            </xdr:nvSpPr>
            <xdr:spPr>
              <a:xfrm>
                <a:off x="6151554" y="5995485"/>
                <a:ext cx="1839633" cy="10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E4A5B8-F1D0-45DD-80D5-2625A386BF3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102,4%</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grpSp>
        <xdr:nvGrpSpPr>
          <xdr:cNvPr id="13" name="Agrupar 12">
            <a:extLst>
              <a:ext uri="{FF2B5EF4-FFF2-40B4-BE49-F238E27FC236}">
                <a16:creationId xmlns:a16="http://schemas.microsoft.com/office/drawing/2014/main" xmlns="" id="{C582C474-1EDF-42CA-9B87-AD6447DF6B8D}"/>
              </a:ext>
            </a:extLst>
          </xdr:cNvPr>
          <xdr:cNvGrpSpPr/>
        </xdr:nvGrpSpPr>
        <xdr:grpSpPr>
          <a:xfrm>
            <a:off x="8761976" y="1635719"/>
            <a:ext cx="5541645" cy="5357385"/>
            <a:chOff x="8761976" y="1635719"/>
            <a:chExt cx="5541645" cy="5357385"/>
          </a:xfrm>
        </xdr:grpSpPr>
        <xdr:graphicFrame macro="">
          <xdr:nvGraphicFramePr>
            <xdr:cNvPr id="75" name="Diagrama 74">
              <a:extLst>
                <a:ext uri="{FF2B5EF4-FFF2-40B4-BE49-F238E27FC236}">
                  <a16:creationId xmlns:a16="http://schemas.microsoft.com/office/drawing/2014/main" xmlns="" id="{00000000-0008-0000-2B00-00004B000000}"/>
                </a:ext>
              </a:extLst>
            </xdr:cNvPr>
            <xdr:cNvGraphicFramePr/>
          </xdr:nvGraphicFramePr>
          <xdr:xfrm>
            <a:off x="8761976" y="1635719"/>
            <a:ext cx="5541645" cy="5357385"/>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72">
          <xdr:nvSpPr>
            <xdr:cNvPr id="80" name="CaixaDeTexto 79">
              <a:extLst>
                <a:ext uri="{FF2B5EF4-FFF2-40B4-BE49-F238E27FC236}">
                  <a16:creationId xmlns:a16="http://schemas.microsoft.com/office/drawing/2014/main" xmlns="" id="{00000000-0008-0000-2B00-000050000000}"/>
                </a:ext>
              </a:extLst>
            </xdr:cNvPr>
            <xdr:cNvSpPr txBox="1"/>
          </xdr:nvSpPr>
          <xdr:spPr>
            <a:xfrm>
              <a:off x="12166426" y="5819102"/>
              <a:ext cx="1633985" cy="547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CEDF8F-6415-43F7-A38A-9BB87F7A96F0}" type="TxLink">
                <a:rPr lang="en-US" sz="3600" b="1" i="0" u="none" strike="noStrike">
                  <a:solidFill>
                    <a:schemeClr val="bg1"/>
                  </a:solidFill>
                  <a:effectLst>
                    <a:outerShdw blurRad="203200" sx="95000" sy="95000" algn="ctr" rotWithShape="0">
                      <a:srgbClr val="000000"/>
                    </a:outerShdw>
                  </a:effectLst>
                  <a:latin typeface="Calibri"/>
                  <a:cs typeface="Calibri"/>
                </a:rPr>
                <a:pPr algn="ctr"/>
                <a:t>122,8%</a:t>
              </a:fld>
              <a:endParaRPr lang="pt-BR" sz="59500" b="1">
                <a:solidFill>
                  <a:schemeClr val="bg1"/>
                </a:solidFill>
                <a:effectLst>
                  <a:outerShdw blurRad="203200" sx="95000" sy="95000" algn="ctr" rotWithShape="0">
                    <a:srgbClr val="000000"/>
                  </a:outerShdw>
                </a:effectLst>
              </a:endParaRPr>
            </a:p>
          </xdr:txBody>
        </xdr:sp>
        <xdr:sp macro="" textlink="'Dados - Receita e Qntd'!AZ71">
          <xdr:nvSpPr>
            <xdr:cNvPr id="77" name="CaixaDeTexto 76">
              <a:extLst>
                <a:ext uri="{FF2B5EF4-FFF2-40B4-BE49-F238E27FC236}">
                  <a16:creationId xmlns:a16="http://schemas.microsoft.com/office/drawing/2014/main" xmlns="" id="{00000000-0008-0000-2B00-00004D000000}"/>
                </a:ext>
              </a:extLst>
            </xdr:cNvPr>
            <xdr:cNvSpPr txBox="1"/>
          </xdr:nvSpPr>
          <xdr:spPr>
            <a:xfrm>
              <a:off x="11627014" y="1727512"/>
              <a:ext cx="2668283" cy="144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E749746-BD07-43D3-9D41-27D97FBB78E9}" type="TxLink">
                <a:rPr lang="en-US" sz="4000" b="1" i="0" u="none" strike="noStrike">
                  <a:solidFill>
                    <a:schemeClr val="bg1"/>
                  </a:solidFill>
                  <a:effectLst>
                    <a:outerShdw blurRad="203200" sx="95000" sy="95000" algn="ctr" rotWithShape="0">
                      <a:srgbClr val="000000"/>
                    </a:outerShdw>
                  </a:effectLst>
                  <a:latin typeface="Calibri"/>
                  <a:cs typeface="Calibri"/>
                </a:rPr>
                <a:pPr algn="ctr"/>
                <a:t> 810 </a:t>
              </a:fld>
              <a:endParaRPr lang="pt-BR" sz="19900" b="1">
                <a:solidFill>
                  <a:schemeClr val="bg1"/>
                </a:solidFill>
                <a:effectLst>
                  <a:outerShdw blurRad="203200" sx="95000" sy="95000" algn="ctr" rotWithShape="0">
                    <a:srgbClr val="000000"/>
                  </a:outerShdw>
                </a:effectLst>
              </a:endParaRPr>
            </a:p>
          </xdr:txBody>
        </xdr:sp>
        <xdr:sp macro="" textlink="'Dados - Receita e Qntd'!AZ70">
          <xdr:nvSpPr>
            <xdr:cNvPr id="32" name="CaixaDeTexto 31">
              <a:extLst>
                <a:ext uri="{FF2B5EF4-FFF2-40B4-BE49-F238E27FC236}">
                  <a16:creationId xmlns:a16="http://schemas.microsoft.com/office/drawing/2014/main" xmlns="" id="{00000000-0008-0000-2B00-000020000000}"/>
                </a:ext>
              </a:extLst>
            </xdr:cNvPr>
            <xdr:cNvSpPr txBox="1"/>
          </xdr:nvSpPr>
          <xdr:spPr>
            <a:xfrm>
              <a:off x="12037661" y="3725972"/>
              <a:ext cx="1866654" cy="1145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23CE91D-8C5B-4879-B01A-C13CBCD2976A}"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995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clientData/>
  </xdr:twoCellAnchor>
  <xdr:oneCellAnchor>
    <xdr:from>
      <xdr:col>28</xdr:col>
      <xdr:colOff>284768</xdr:colOff>
      <xdr:row>0</xdr:row>
      <xdr:rowOff>73452</xdr:rowOff>
    </xdr:from>
    <xdr:ext cx="1001595" cy="638510"/>
    <xdr:sp macro="" textlink="">
      <xdr:nvSpPr>
        <xdr:cNvPr id="86" name="CaixaDeTexto 85">
          <a:hlinkClick xmlns:r="http://schemas.openxmlformats.org/officeDocument/2006/relationships" r:id="rId13" tooltip="Voltar para a tela principal"/>
          <a:extLst>
            <a:ext uri="{FF2B5EF4-FFF2-40B4-BE49-F238E27FC236}">
              <a16:creationId xmlns:a16="http://schemas.microsoft.com/office/drawing/2014/main" xmlns="" id="{00000000-0008-0000-2B00-000056000000}"/>
            </a:ext>
          </a:extLst>
        </xdr:cNvPr>
        <xdr:cNvSpPr txBox="1"/>
      </xdr:nvSpPr>
      <xdr:spPr>
        <a:xfrm>
          <a:off x="17321753" y="73452"/>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2C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292880</xdr:colOff>
      <xdr:row>2</xdr:row>
      <xdr:rowOff>15927</xdr:rowOff>
    </xdr:from>
    <xdr:to>
      <xdr:col>28</xdr:col>
      <xdr:colOff>618632</xdr:colOff>
      <xdr:row>4</xdr:row>
      <xdr:rowOff>128415</xdr:rowOff>
    </xdr:to>
    <xdr:grpSp>
      <xdr:nvGrpSpPr>
        <xdr:cNvPr id="4" name="Grupo 3">
          <a:extLst>
            <a:ext uri="{FF2B5EF4-FFF2-40B4-BE49-F238E27FC236}">
              <a16:creationId xmlns:a16="http://schemas.microsoft.com/office/drawing/2014/main" xmlns="" id="{00000000-0008-0000-2C00-000004000000}"/>
            </a:ext>
          </a:extLst>
        </xdr:cNvPr>
        <xdr:cNvGrpSpPr/>
      </xdr:nvGrpSpPr>
      <xdr:grpSpPr>
        <a:xfrm>
          <a:off x="3309130" y="968427"/>
          <a:ext cx="14200502" cy="493488"/>
          <a:chOff x="9123914" y="1068917"/>
          <a:chExt cx="4217784" cy="497416"/>
        </a:xfrm>
      </xdr:grpSpPr>
      <xdr:sp macro="" textlink="">
        <xdr:nvSpPr>
          <xdr:cNvPr id="5" name="CaixaDeTexto 4">
            <a:extLst>
              <a:ext uri="{FF2B5EF4-FFF2-40B4-BE49-F238E27FC236}">
                <a16:creationId xmlns:a16="http://schemas.microsoft.com/office/drawing/2014/main" xmlns="" id="{00000000-0008-0000-2C00-000005000000}"/>
              </a:ext>
            </a:extLst>
          </xdr:cNvPr>
          <xdr:cNvSpPr txBox="1"/>
        </xdr:nvSpPr>
        <xdr:spPr>
          <a:xfrm>
            <a:off x="9127309" y="1068917"/>
            <a:ext cx="421438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Física</a:t>
            </a:r>
          </a:p>
        </xdr:txBody>
      </xdr:sp>
      <xdr:cxnSp macro="">
        <xdr:nvCxnSpPr>
          <xdr:cNvPr id="6" name="Conector reto 5">
            <a:extLst>
              <a:ext uri="{FF2B5EF4-FFF2-40B4-BE49-F238E27FC236}">
                <a16:creationId xmlns:a16="http://schemas.microsoft.com/office/drawing/2014/main" xmlns="" id="{00000000-0008-0000-2C00-000006000000}"/>
              </a:ext>
            </a:extLst>
          </xdr:cNvPr>
          <xdr:cNvCxnSpPr/>
        </xdr:nvCxnSpPr>
        <xdr:spPr>
          <a:xfrm>
            <a:off x="9123914" y="1566333"/>
            <a:ext cx="421108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xmlns="" id="{00000000-0008-0000-2C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xmlns="" id="{00000000-0008-0000-2C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2C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2">
              <a:extLst>
                <a:ext uri="{FF2B5EF4-FFF2-40B4-BE49-F238E27FC236}">
                  <a16:creationId xmlns:a16="http://schemas.microsoft.com/office/drawing/2014/main" xmlns="" id="{00000000-0008-0000-2C00-00001E000000}"/>
                </a:ext>
              </a:extLst>
            </xdr:cNvPr>
            <xdr:cNvGraphicFramePr/>
          </xdr:nvGraphicFramePr>
          <xdr:xfrm>
            <a:off x="0" y="0"/>
            <a:ext cx="0" cy="0"/>
          </xdr:xfrm>
          <a:graphic>
            <a:graphicData uri="http://schemas.microsoft.com/office/drawing/2010/slicer">
              <sle:slicer xmlns:sle="http://schemas.microsoft.com/office/drawing/2010/slicer" name="UF 2"/>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3</xdr:col>
      <xdr:colOff>587255</xdr:colOff>
      <xdr:row>5</xdr:row>
      <xdr:rowOff>165004</xdr:rowOff>
    </xdr:from>
    <xdr:to>
      <xdr:col>12</xdr:col>
      <xdr:colOff>599798</xdr:colOff>
      <xdr:row>36</xdr:row>
      <xdr:rowOff>306917</xdr:rowOff>
    </xdr:to>
    <xdr:grpSp>
      <xdr:nvGrpSpPr>
        <xdr:cNvPr id="10" name="Grupo 9">
          <a:extLst>
            <a:ext uri="{FF2B5EF4-FFF2-40B4-BE49-F238E27FC236}">
              <a16:creationId xmlns:a16="http://schemas.microsoft.com/office/drawing/2014/main" xmlns="" id="{00000000-0008-0000-2C00-00000A000000}"/>
            </a:ext>
          </a:extLst>
        </xdr:cNvPr>
        <xdr:cNvGrpSpPr/>
      </xdr:nvGrpSpPr>
      <xdr:grpSpPr>
        <a:xfrm>
          <a:off x="2397005" y="1689004"/>
          <a:ext cx="5441793" cy="6063288"/>
          <a:chOff x="3645804" y="1689004"/>
          <a:chExt cx="5537043" cy="5546830"/>
        </a:xfrm>
      </xdr:grpSpPr>
      <xdr:grpSp>
        <xdr:nvGrpSpPr>
          <xdr:cNvPr id="24" name="Grupo 23">
            <a:extLst>
              <a:ext uri="{FF2B5EF4-FFF2-40B4-BE49-F238E27FC236}">
                <a16:creationId xmlns:a16="http://schemas.microsoft.com/office/drawing/2014/main" xmlns="" id="{00000000-0008-0000-2C00-000018000000}"/>
              </a:ext>
            </a:extLst>
          </xdr:cNvPr>
          <xdr:cNvGrpSpPr/>
        </xdr:nvGrpSpPr>
        <xdr:grpSpPr>
          <a:xfrm>
            <a:off x="3645804" y="2472571"/>
            <a:ext cx="5537043" cy="4763263"/>
            <a:chOff x="9733175" y="4412137"/>
            <a:chExt cx="3130485" cy="2743200"/>
          </a:xfrm>
        </xdr:grpSpPr>
        <xdr:graphicFrame macro="">
          <xdr:nvGraphicFramePr>
            <xdr:cNvPr id="25" name="Diagrama 24">
              <a:extLst>
                <a:ext uri="{FF2B5EF4-FFF2-40B4-BE49-F238E27FC236}">
                  <a16:creationId xmlns:a16="http://schemas.microsoft.com/office/drawing/2014/main" xmlns="" id="{00000000-0008-0000-2C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34">
          <xdr:nvSpPr>
            <xdr:cNvPr id="26" name="CaixaDeTexto 25">
              <a:extLst>
                <a:ext uri="{FF2B5EF4-FFF2-40B4-BE49-F238E27FC236}">
                  <a16:creationId xmlns:a16="http://schemas.microsoft.com/office/drawing/2014/main" xmlns="" id="{00000000-0008-0000-2C00-00001A000000}"/>
                </a:ext>
              </a:extLst>
            </xdr:cNvPr>
            <xdr:cNvSpPr txBox="1"/>
          </xdr:nvSpPr>
          <xdr:spPr>
            <a:xfrm>
              <a:off x="11413564" y="5134039"/>
              <a:ext cx="992794" cy="58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DEFB839-C594-4A8E-BF28-0B6409D979C2}"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R$ 3.094.576</a:t>
              </a:fld>
              <a:endParaRPr lang="pt-BR" sz="6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5">
          <xdr:nvSpPr>
            <xdr:cNvPr id="27" name="CaixaDeTexto 26">
              <a:extLst>
                <a:ext uri="{FF2B5EF4-FFF2-40B4-BE49-F238E27FC236}">
                  <a16:creationId xmlns:a16="http://schemas.microsoft.com/office/drawing/2014/main" xmlns="" id="{00000000-0008-0000-2C00-00001B000000}"/>
                </a:ext>
              </a:extLst>
            </xdr:cNvPr>
            <xdr:cNvSpPr txBox="1"/>
          </xdr:nvSpPr>
          <xdr:spPr>
            <a:xfrm>
              <a:off x="11410974" y="4423626"/>
              <a:ext cx="98154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09AC68-D666-4754-AC3C-B619E90B928D}"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R$ 2.702.588</a:t>
              </a:fld>
              <a:endParaRPr lang="pt-BR" sz="2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6">
          <xdr:nvSpPr>
            <xdr:cNvPr id="29" name="CaixaDeTexto 28">
              <a:extLst>
                <a:ext uri="{FF2B5EF4-FFF2-40B4-BE49-F238E27FC236}">
                  <a16:creationId xmlns:a16="http://schemas.microsoft.com/office/drawing/2014/main" xmlns="" id="{00000000-0008-0000-2C00-00001D000000}"/>
                </a:ext>
              </a:extLst>
            </xdr:cNvPr>
            <xdr:cNvSpPr txBox="1"/>
          </xdr:nvSpPr>
          <xdr:spPr>
            <a:xfrm>
              <a:off x="11422345" y="5850026"/>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3F66289-ACC3-4C28-B7ED-F2222141B8B4}"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114,5%</a:t>
              </a:fld>
              <a:endParaRPr lang="pt-BR" sz="7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3">
          <xdr:nvSpPr>
            <xdr:cNvPr id="37" name="CaixaDeTexto 36">
              <a:extLst>
                <a:ext uri="{FF2B5EF4-FFF2-40B4-BE49-F238E27FC236}">
                  <a16:creationId xmlns:a16="http://schemas.microsoft.com/office/drawing/2014/main" xmlns="" id="{00000000-0008-0000-2C00-000025000000}"/>
                </a:ext>
              </a:extLst>
            </xdr:cNvPr>
            <xdr:cNvSpPr txBox="1"/>
          </xdr:nvSpPr>
          <xdr:spPr>
            <a:xfrm>
              <a:off x="11419657" y="6557597"/>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4CBA5B3-DD29-49D6-8C12-5AA558BA98CD}"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14,6%</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42" name="Grupo 41">
            <a:extLst>
              <a:ext uri="{FF2B5EF4-FFF2-40B4-BE49-F238E27FC236}">
                <a16:creationId xmlns:a16="http://schemas.microsoft.com/office/drawing/2014/main" xmlns="" id="{00000000-0008-0000-2C00-00002A000000}"/>
              </a:ext>
            </a:extLst>
          </xdr:cNvPr>
          <xdr:cNvGrpSpPr/>
        </xdr:nvGrpSpPr>
        <xdr:grpSpPr>
          <a:xfrm>
            <a:off x="4475062" y="1689004"/>
            <a:ext cx="3842180" cy="541674"/>
            <a:chOff x="7926917" y="1026747"/>
            <a:chExt cx="3174401" cy="539586"/>
          </a:xfrm>
        </xdr:grpSpPr>
        <xdr:sp macro="" textlink="">
          <xdr:nvSpPr>
            <xdr:cNvPr id="43" name="CaixaDeTexto 42">
              <a:extLst>
                <a:ext uri="{FF2B5EF4-FFF2-40B4-BE49-F238E27FC236}">
                  <a16:creationId xmlns:a16="http://schemas.microsoft.com/office/drawing/2014/main" xmlns="" id="{00000000-0008-0000-2C00-00002B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44" name="Conector reto 43">
              <a:extLst>
                <a:ext uri="{FF2B5EF4-FFF2-40B4-BE49-F238E27FC236}">
                  <a16:creationId xmlns:a16="http://schemas.microsoft.com/office/drawing/2014/main" xmlns="" id="{00000000-0008-0000-2C00-00002C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27</xdr:col>
      <xdr:colOff>245490</xdr:colOff>
      <xdr:row>1</xdr:row>
      <xdr:rowOff>78557</xdr:rowOff>
    </xdr:from>
    <xdr:to>
      <xdr:col>28</xdr:col>
      <xdr:colOff>579356</xdr:colOff>
      <xdr:row>4</xdr:row>
      <xdr:rowOff>68737</xdr:rowOff>
    </xdr:to>
    <xdr:sp macro="" textlink="">
      <xdr:nvSpPr>
        <xdr:cNvPr id="61" name="CaixaDeTexto 60">
          <a:extLst>
            <a:ext uri="{FF2B5EF4-FFF2-40B4-BE49-F238E27FC236}">
              <a16:creationId xmlns:a16="http://schemas.microsoft.com/office/drawing/2014/main" xmlns="" id="{00000000-0008-0000-2C00-00003D000000}"/>
            </a:ext>
          </a:extLst>
        </xdr:cNvPr>
        <xdr:cNvSpPr txBox="1"/>
      </xdr:nvSpPr>
      <xdr:spPr>
        <a:xfrm>
          <a:off x="16683480" y="84448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58918</xdr:rowOff>
    </xdr:from>
    <xdr:ext cx="1001595" cy="638510"/>
    <xdr:sp macro="" textlink="">
      <xdr:nvSpPr>
        <xdr:cNvPr id="40" name="CaixaDeTexto 39">
          <a:hlinkClick xmlns:r="http://schemas.openxmlformats.org/officeDocument/2006/relationships" r:id="rId7" tooltip="Voltar para a tela principal"/>
          <a:extLst>
            <a:ext uri="{FF2B5EF4-FFF2-40B4-BE49-F238E27FC236}">
              <a16:creationId xmlns:a16="http://schemas.microsoft.com/office/drawing/2014/main" xmlns="" id="{00000000-0008-0000-2C00-000028000000}"/>
            </a:ext>
          </a:extLst>
        </xdr:cNvPr>
        <xdr:cNvSpPr txBox="1"/>
      </xdr:nvSpPr>
      <xdr:spPr>
        <a:xfrm>
          <a:off x="1731193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302494</xdr:colOff>
      <xdr:row>6</xdr:row>
      <xdr:rowOff>10579</xdr:rowOff>
    </xdr:from>
    <xdr:to>
      <xdr:col>28</xdr:col>
      <xdr:colOff>975845</xdr:colOff>
      <xdr:row>8</xdr:row>
      <xdr:rowOff>176005</xdr:rowOff>
    </xdr:to>
    <xdr:grpSp>
      <xdr:nvGrpSpPr>
        <xdr:cNvPr id="32" name="Grupo 31">
          <a:extLst>
            <a:ext uri="{FF2B5EF4-FFF2-40B4-BE49-F238E27FC236}">
              <a16:creationId xmlns:a16="http://schemas.microsoft.com/office/drawing/2014/main" xmlns="" id="{00000000-0008-0000-2C00-000020000000}"/>
            </a:ext>
          </a:extLst>
        </xdr:cNvPr>
        <xdr:cNvGrpSpPr/>
      </xdr:nvGrpSpPr>
      <xdr:grpSpPr>
        <a:xfrm>
          <a:off x="13573994" y="1725079"/>
          <a:ext cx="4292851" cy="546426"/>
          <a:chOff x="13570183" y="1693333"/>
          <a:chExt cx="4345768" cy="546426"/>
        </a:xfrm>
      </xdr:grpSpPr>
      <xdr:sp macro="" textlink="">
        <xdr:nvSpPr>
          <xdr:cNvPr id="33" name="CaixaDeTexto 32">
            <a:extLst>
              <a:ext uri="{FF2B5EF4-FFF2-40B4-BE49-F238E27FC236}">
                <a16:creationId xmlns:a16="http://schemas.microsoft.com/office/drawing/2014/main" xmlns="" id="{00000000-0008-0000-2C00-000021000000}"/>
              </a:ext>
            </a:extLst>
          </xdr:cNvPr>
          <xdr:cNvSpPr txBox="1"/>
        </xdr:nvSpPr>
        <xdr:spPr>
          <a:xfrm>
            <a:off x="13570183"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xmlns="" id="{00000000-0008-0000-2C00-000022000000}"/>
              </a:ext>
            </a:extLst>
          </xdr:cNvPr>
          <xdr:cNvCxnSpPr/>
        </xdr:nvCxnSpPr>
        <xdr:spPr>
          <a:xfrm>
            <a:off x="13907067" y="2239759"/>
            <a:ext cx="36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416380</xdr:colOff>
      <xdr:row>5</xdr:row>
      <xdr:rowOff>165004</xdr:rowOff>
    </xdr:from>
    <xdr:to>
      <xdr:col>22</xdr:col>
      <xdr:colOff>518946</xdr:colOff>
      <xdr:row>36</xdr:row>
      <xdr:rowOff>306917</xdr:rowOff>
    </xdr:to>
    <xdr:grpSp>
      <xdr:nvGrpSpPr>
        <xdr:cNvPr id="12" name="Grupo 11">
          <a:extLst>
            <a:ext uri="{FF2B5EF4-FFF2-40B4-BE49-F238E27FC236}">
              <a16:creationId xmlns:a16="http://schemas.microsoft.com/office/drawing/2014/main" xmlns="" id="{00000000-0008-0000-2C00-00000C000000}"/>
            </a:ext>
          </a:extLst>
        </xdr:cNvPr>
        <xdr:cNvGrpSpPr/>
      </xdr:nvGrpSpPr>
      <xdr:grpSpPr>
        <a:xfrm>
          <a:off x="7052130" y="1689004"/>
          <a:ext cx="6738316" cy="6063288"/>
          <a:chOff x="7168547" y="1689004"/>
          <a:chExt cx="6854732" cy="6057996"/>
        </a:xfrm>
      </xdr:grpSpPr>
      <xdr:grpSp>
        <xdr:nvGrpSpPr>
          <xdr:cNvPr id="11" name="Grupo 10">
            <a:extLst>
              <a:ext uri="{FF2B5EF4-FFF2-40B4-BE49-F238E27FC236}">
                <a16:creationId xmlns:a16="http://schemas.microsoft.com/office/drawing/2014/main" xmlns="" id="{00000000-0008-0000-2C00-00000B000000}"/>
              </a:ext>
            </a:extLst>
          </xdr:cNvPr>
          <xdr:cNvGrpSpPr/>
        </xdr:nvGrpSpPr>
        <xdr:grpSpPr>
          <a:xfrm>
            <a:off x="7168547" y="1689004"/>
            <a:ext cx="6854732" cy="6057996"/>
            <a:chOff x="10342405" y="1701965"/>
            <a:chExt cx="6800289" cy="5432160"/>
          </a:xfrm>
        </xdr:grpSpPr>
        <xdr:grpSp>
          <xdr:nvGrpSpPr>
            <xdr:cNvPr id="45" name="Grupo 44">
              <a:extLst>
                <a:ext uri="{FF2B5EF4-FFF2-40B4-BE49-F238E27FC236}">
                  <a16:creationId xmlns:a16="http://schemas.microsoft.com/office/drawing/2014/main" xmlns="" id="{00000000-0008-0000-2C00-00002D000000}"/>
                </a:ext>
              </a:extLst>
            </xdr:cNvPr>
            <xdr:cNvGrpSpPr/>
          </xdr:nvGrpSpPr>
          <xdr:grpSpPr>
            <a:xfrm>
              <a:off x="10342405" y="2469821"/>
              <a:ext cx="6800289" cy="4664304"/>
              <a:chOff x="9733175" y="4412137"/>
              <a:chExt cx="3130485" cy="2743200"/>
            </a:xfrm>
          </xdr:grpSpPr>
          <xdr:graphicFrame macro="">
            <xdr:nvGraphicFramePr>
              <xdr:cNvPr id="46" name="Diagrama 45">
                <a:extLst>
                  <a:ext uri="{FF2B5EF4-FFF2-40B4-BE49-F238E27FC236}">
                    <a16:creationId xmlns:a16="http://schemas.microsoft.com/office/drawing/2014/main" xmlns="" id="{00000000-0008-0000-2C00-00002E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38">
            <xdr:nvSpPr>
              <xdr:cNvPr id="47" name="CaixaDeTexto 46">
                <a:extLst>
                  <a:ext uri="{FF2B5EF4-FFF2-40B4-BE49-F238E27FC236}">
                    <a16:creationId xmlns:a16="http://schemas.microsoft.com/office/drawing/2014/main" xmlns="" id="{00000000-0008-0000-2C00-00002F000000}"/>
                  </a:ext>
                </a:extLst>
              </xdr:cNvPr>
              <xdr:cNvSpPr txBox="1"/>
            </xdr:nvSpPr>
            <xdr:spPr>
              <a:xfrm>
                <a:off x="11426106" y="4423688"/>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67332A-CB7C-4E40-8341-CC2633649B1A}"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R$ 704.597</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7">
            <xdr:nvSpPr>
              <xdr:cNvPr id="48" name="CaixaDeTexto 47">
                <a:extLst>
                  <a:ext uri="{FF2B5EF4-FFF2-40B4-BE49-F238E27FC236}">
                    <a16:creationId xmlns:a16="http://schemas.microsoft.com/office/drawing/2014/main" xmlns="" id="{00000000-0008-0000-2C00-000030000000}"/>
                  </a:ext>
                </a:extLst>
              </xdr:cNvPr>
              <xdr:cNvSpPr txBox="1"/>
            </xdr:nvSpPr>
            <xdr:spPr>
              <a:xfrm>
                <a:off x="11440609" y="5382302"/>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295AA25-095E-49A7-8A08-081792BF6835}"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R$ 977.570</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9">
            <xdr:nvSpPr>
              <xdr:cNvPr id="49" name="CaixaDeTexto 48">
                <a:extLst>
                  <a:ext uri="{FF2B5EF4-FFF2-40B4-BE49-F238E27FC236}">
                    <a16:creationId xmlns:a16="http://schemas.microsoft.com/office/drawing/2014/main" xmlns="" id="{00000000-0008-0000-2C00-000031000000}"/>
                  </a:ext>
                </a:extLst>
              </xdr:cNvPr>
              <xdr:cNvSpPr txBox="1"/>
            </xdr:nvSpPr>
            <xdr:spPr>
              <a:xfrm>
                <a:off x="11426106" y="6340916"/>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5846D21-B4B5-4776-B2AE-E363F4C9701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138,7%</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0" name="Grupo 49">
              <a:extLst>
                <a:ext uri="{FF2B5EF4-FFF2-40B4-BE49-F238E27FC236}">
                  <a16:creationId xmlns:a16="http://schemas.microsoft.com/office/drawing/2014/main" xmlns="" id="{00000000-0008-0000-2C00-000032000000}"/>
                </a:ext>
              </a:extLst>
            </xdr:cNvPr>
            <xdr:cNvGrpSpPr/>
          </xdr:nvGrpSpPr>
          <xdr:grpSpPr>
            <a:xfrm>
              <a:off x="11367842" y="1701965"/>
              <a:ext cx="4720276" cy="529891"/>
              <a:chOff x="7926917" y="1026747"/>
              <a:chExt cx="3174401" cy="539586"/>
            </a:xfrm>
          </xdr:grpSpPr>
          <xdr:sp macro="" textlink="">
            <xdr:nvSpPr>
              <xdr:cNvPr id="51" name="CaixaDeTexto 50">
                <a:extLst>
                  <a:ext uri="{FF2B5EF4-FFF2-40B4-BE49-F238E27FC236}">
                    <a16:creationId xmlns:a16="http://schemas.microsoft.com/office/drawing/2014/main" xmlns="" id="{00000000-0008-0000-2C00-000033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52" name="Conector reto 51">
                <a:extLst>
                  <a:ext uri="{FF2B5EF4-FFF2-40B4-BE49-F238E27FC236}">
                    <a16:creationId xmlns:a16="http://schemas.microsoft.com/office/drawing/2014/main" xmlns="" id="{00000000-0008-0000-2C00-000034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xnSp macro="">
        <xdr:nvCxnSpPr>
          <xdr:cNvPr id="53" name="Conector reto 52">
            <a:extLst>
              <a:ext uri="{FF2B5EF4-FFF2-40B4-BE49-F238E27FC236}">
                <a16:creationId xmlns:a16="http://schemas.microsoft.com/office/drawing/2014/main" xmlns="" id="{00000000-0008-0000-2C00-000035000000}"/>
              </a:ext>
            </a:extLst>
          </xdr:cNvPr>
          <xdr:cNvCxnSpPr/>
        </xdr:nvCxnSpPr>
        <xdr:spPr>
          <a:xfrm>
            <a:off x="8650207" y="2271088"/>
            <a:ext cx="384218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24</xdr:col>
          <xdr:colOff>291353</xdr:colOff>
          <xdr:row>8</xdr:row>
          <xdr:rowOff>190499</xdr:rowOff>
        </xdr:from>
        <xdr:to>
          <xdr:col>27</xdr:col>
          <xdr:colOff>415046</xdr:colOff>
          <xdr:row>37</xdr:row>
          <xdr:rowOff>0</xdr:rowOff>
        </xdr:to>
        <xdr:pic>
          <xdr:nvPicPr>
            <xdr:cNvPr id="55" name="Imagem 54">
              <a:extLst>
                <a:ext uri="{FF2B5EF4-FFF2-40B4-BE49-F238E27FC236}">
                  <a16:creationId xmlns:a16="http://schemas.microsoft.com/office/drawing/2014/main" xmlns="" id="{00000000-0008-0000-2C00-000037000000}"/>
                </a:ext>
              </a:extLst>
            </xdr:cNvPr>
            <xdr:cNvPicPr>
              <a:picLocks noChangeAspect="1" noChangeArrowheads="1"/>
              <a:extLst>
                <a:ext uri="{84589F7E-364E-4C9E-8A38-B11213B215E9}">
                  <a14:cameraTool cellRange="'ADIMPLÊNCIA PF'!$Q$4:$R$31" spid="_x0000_s207658"/>
                </a:ext>
              </a:extLst>
            </xdr:cNvPicPr>
          </xdr:nvPicPr>
          <xdr:blipFill>
            <a:blip xmlns:r="http://schemas.openxmlformats.org/officeDocument/2006/relationships" r:embed="rId13"/>
            <a:srcRect/>
            <a:stretch>
              <a:fillRect/>
            </a:stretch>
          </xdr:blipFill>
          <xdr:spPr bwMode="auto">
            <a:xfrm>
              <a:off x="14814177" y="2285999"/>
              <a:ext cx="1939045" cy="584947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295275</xdr:colOff>
          <xdr:row>8</xdr:row>
          <xdr:rowOff>190500</xdr:rowOff>
        </xdr:from>
        <xdr:to>
          <xdr:col>27</xdr:col>
          <xdr:colOff>419100</xdr:colOff>
          <xdr:row>37</xdr:row>
          <xdr:rowOff>0</xdr:rowOff>
        </xdr:to>
        <xdr:pic>
          <xdr:nvPicPr>
            <xdr:cNvPr id="167378" name="Imagem 54">
              <a:extLst>
                <a:ext uri="{FF2B5EF4-FFF2-40B4-BE49-F238E27FC236}">
                  <a16:creationId xmlns:a16="http://schemas.microsoft.com/office/drawing/2014/main" xmlns="" id="{78FF83D9-E522-466A-BBF1-6294AA05CC3C}"/>
                </a:ext>
              </a:extLst>
            </xdr:cNvPr>
            <xdr:cNvPicPr>
              <a:picLocks noChangeAspect="1" noChangeArrowheads="1"/>
              <a:extLst>
                <a:ext uri="{84589F7E-364E-4C9E-8A38-B11213B215E9}">
                  <a14:cameraTool cellRange="'ADIMPLÊNCIA PF'!$Q$4:$R$31" spid="_x0000_s207659"/>
                </a:ext>
              </a:extLst>
            </xdr:cNvPicPr>
          </xdr:nvPicPr>
          <xdr:blipFill>
            <a:blip xmlns:r="http://schemas.openxmlformats.org/officeDocument/2006/relationships" r:embed="rId13"/>
            <a:srcRect/>
            <a:stretch>
              <a:fillRect/>
            </a:stretch>
          </xdr:blipFill>
          <xdr:spPr bwMode="auto">
            <a:xfrm>
              <a:off x="14925675" y="2286000"/>
              <a:ext cx="1952625" cy="5848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22</xdr:col>
      <xdr:colOff>1</xdr:colOff>
      <xdr:row>0</xdr:row>
      <xdr:rowOff>752476</xdr:rowOff>
    </xdr:to>
    <xdr:sp macro="" textlink="">
      <xdr:nvSpPr>
        <xdr:cNvPr id="3" name="CaixaDeTexto 2">
          <a:extLst>
            <a:ext uri="{FF2B5EF4-FFF2-40B4-BE49-F238E27FC236}">
              <a16:creationId xmlns:a16="http://schemas.microsoft.com/office/drawing/2014/main" xmlns="" id="{00000000-0008-0000-2D00-000003000000}"/>
            </a:ext>
          </a:extLst>
        </xdr:cNvPr>
        <xdr:cNvSpPr txBox="1"/>
      </xdr:nvSpPr>
      <xdr:spPr>
        <a:xfrm>
          <a:off x="3574331" y="0"/>
          <a:ext cx="981958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254203</xdr:colOff>
      <xdr:row>2</xdr:row>
      <xdr:rowOff>15927</xdr:rowOff>
    </xdr:from>
    <xdr:to>
      <xdr:col>28</xdr:col>
      <xdr:colOff>707010</xdr:colOff>
      <xdr:row>4</xdr:row>
      <xdr:rowOff>128415</xdr:rowOff>
    </xdr:to>
    <xdr:grpSp>
      <xdr:nvGrpSpPr>
        <xdr:cNvPr id="4" name="Grupo 3">
          <a:extLst>
            <a:ext uri="{FF2B5EF4-FFF2-40B4-BE49-F238E27FC236}">
              <a16:creationId xmlns:a16="http://schemas.microsoft.com/office/drawing/2014/main" xmlns="" id="{00000000-0008-0000-2D00-000004000000}"/>
            </a:ext>
          </a:extLst>
        </xdr:cNvPr>
        <xdr:cNvGrpSpPr/>
      </xdr:nvGrpSpPr>
      <xdr:grpSpPr>
        <a:xfrm>
          <a:off x="3270453" y="968427"/>
          <a:ext cx="14327557" cy="493488"/>
          <a:chOff x="8898475" y="1068917"/>
          <a:chExt cx="4255210" cy="497416"/>
        </a:xfrm>
      </xdr:grpSpPr>
      <xdr:sp macro="" textlink="">
        <xdr:nvSpPr>
          <xdr:cNvPr id="5" name="CaixaDeTexto 4">
            <a:extLst>
              <a:ext uri="{FF2B5EF4-FFF2-40B4-BE49-F238E27FC236}">
                <a16:creationId xmlns:a16="http://schemas.microsoft.com/office/drawing/2014/main" xmlns="" id="{00000000-0008-0000-2D00-000005000000}"/>
              </a:ext>
            </a:extLst>
          </xdr:cNvPr>
          <xdr:cNvSpPr txBox="1"/>
        </xdr:nvSpPr>
        <xdr:spPr>
          <a:xfrm>
            <a:off x="8901693" y="1068917"/>
            <a:ext cx="425199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Jurídica</a:t>
            </a:r>
          </a:p>
        </xdr:txBody>
      </xdr:sp>
      <xdr:cxnSp macro="">
        <xdr:nvCxnSpPr>
          <xdr:cNvPr id="6" name="Conector reto 5">
            <a:extLst>
              <a:ext uri="{FF2B5EF4-FFF2-40B4-BE49-F238E27FC236}">
                <a16:creationId xmlns:a16="http://schemas.microsoft.com/office/drawing/2014/main" xmlns="" id="{00000000-0008-0000-2D00-000006000000}"/>
              </a:ext>
            </a:extLst>
          </xdr:cNvPr>
          <xdr:cNvCxnSpPr/>
        </xdr:nvCxnSpPr>
        <xdr:spPr>
          <a:xfrm>
            <a:off x="8898475" y="1566333"/>
            <a:ext cx="424866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xmlns="" id="{00000000-0008-0000-2D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xmlns="" id="{00000000-0008-0000-2D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2D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173314</xdr:colOff>
      <xdr:row>6</xdr:row>
      <xdr:rowOff>82462</xdr:rowOff>
    </xdr:from>
    <xdr:to>
      <xdr:col>28</xdr:col>
      <xdr:colOff>759882</xdr:colOff>
      <xdr:row>36</xdr:row>
      <xdr:rowOff>603251</xdr:rowOff>
    </xdr:to>
    <xdr:grpSp>
      <xdr:nvGrpSpPr>
        <xdr:cNvPr id="24" name="Grupo 23">
          <a:extLst>
            <a:ext uri="{FF2B5EF4-FFF2-40B4-BE49-F238E27FC236}">
              <a16:creationId xmlns:a16="http://schemas.microsoft.com/office/drawing/2014/main" xmlns="" id="{00000000-0008-0000-2D00-000018000000}"/>
            </a:ext>
          </a:extLst>
        </xdr:cNvPr>
        <xdr:cNvGrpSpPr/>
      </xdr:nvGrpSpPr>
      <xdr:grpSpPr>
        <a:xfrm>
          <a:off x="3189564" y="1796962"/>
          <a:ext cx="14461318" cy="6251664"/>
          <a:chOff x="9733175" y="4412137"/>
          <a:chExt cx="3130485" cy="2743200"/>
        </a:xfrm>
      </xdr:grpSpPr>
      <xdr:graphicFrame macro="">
        <xdr:nvGraphicFramePr>
          <xdr:cNvPr id="25" name="Diagrama 24">
            <a:extLst>
              <a:ext uri="{FF2B5EF4-FFF2-40B4-BE49-F238E27FC236}">
                <a16:creationId xmlns:a16="http://schemas.microsoft.com/office/drawing/2014/main" xmlns="" id="{00000000-0008-0000-2D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6">
        <xdr:nvSpPr>
          <xdr:cNvPr id="26" name="CaixaDeTexto 25">
            <a:extLst>
              <a:ext uri="{FF2B5EF4-FFF2-40B4-BE49-F238E27FC236}">
                <a16:creationId xmlns:a16="http://schemas.microsoft.com/office/drawing/2014/main" xmlns="" id="{00000000-0008-0000-2D00-00001A000000}"/>
              </a:ext>
            </a:extLst>
          </xdr:cNvPr>
          <xdr:cNvSpPr txBox="1"/>
        </xdr:nvSpPr>
        <xdr:spPr>
          <a:xfrm>
            <a:off x="12142363" y="4826764"/>
            <a:ext cx="712281"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1586E8C-312D-4969-A27A-482D94C209D4}"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2.666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7">
        <xdr:nvSpPr>
          <xdr:cNvPr id="27" name="CaixaDeTexto 26">
            <a:extLst>
              <a:ext uri="{FF2B5EF4-FFF2-40B4-BE49-F238E27FC236}">
                <a16:creationId xmlns:a16="http://schemas.microsoft.com/office/drawing/2014/main" xmlns="" id="{00000000-0008-0000-2D00-00001B000000}"/>
              </a:ext>
            </a:extLst>
          </xdr:cNvPr>
          <xdr:cNvSpPr txBox="1"/>
        </xdr:nvSpPr>
        <xdr:spPr>
          <a:xfrm>
            <a:off x="10532967" y="5867881"/>
            <a:ext cx="721298" cy="87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2D9DCE2-2054-45A9-A937-6B811B6849B5}"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73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8">
        <xdr:nvSpPr>
          <xdr:cNvPr id="28" name="CaixaDeTexto 27">
            <a:extLst>
              <a:ext uri="{FF2B5EF4-FFF2-40B4-BE49-F238E27FC236}">
                <a16:creationId xmlns:a16="http://schemas.microsoft.com/office/drawing/2014/main" xmlns="" id="{00000000-0008-0000-2D00-00001C000000}"/>
              </a:ext>
            </a:extLst>
          </xdr:cNvPr>
          <xdr:cNvSpPr txBox="1"/>
        </xdr:nvSpPr>
        <xdr:spPr>
          <a:xfrm>
            <a:off x="10537475" y="4812820"/>
            <a:ext cx="716789" cy="883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3566491-FDEB-4B72-9211-F609CC55C5A3}"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2.643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9">
        <xdr:nvSpPr>
          <xdr:cNvPr id="29" name="CaixaDeTexto 28">
            <a:extLst>
              <a:ext uri="{FF2B5EF4-FFF2-40B4-BE49-F238E27FC236}">
                <a16:creationId xmlns:a16="http://schemas.microsoft.com/office/drawing/2014/main" xmlns="" id="{00000000-0008-0000-2D00-00001D000000}"/>
              </a:ext>
            </a:extLst>
          </xdr:cNvPr>
          <xdr:cNvSpPr txBox="1"/>
        </xdr:nvSpPr>
        <xdr:spPr>
          <a:xfrm>
            <a:off x="12142363" y="5872530"/>
            <a:ext cx="710027"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5772CAB-2E58-4487-B90A-2541A9C20B3E}"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100,9%</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1">
              <a:extLst>
                <a:ext uri="{FF2B5EF4-FFF2-40B4-BE49-F238E27FC236}">
                  <a16:creationId xmlns:a16="http://schemas.microsoft.com/office/drawing/2014/main" xmlns="" id="{00000000-0008-0000-2D00-00001E000000}"/>
                </a:ext>
              </a:extLst>
            </xdr:cNvPr>
            <xdr:cNvGraphicFramePr/>
          </xdr:nvGraphicFramePr>
          <xdr:xfrm>
            <a:off x="0" y="0"/>
            <a:ext cx="0" cy="0"/>
          </xdr:xfrm>
          <a:graphic>
            <a:graphicData uri="http://schemas.microsoft.com/office/drawing/2010/slicer">
              <sle:slicer xmlns:sle="http://schemas.microsoft.com/office/drawing/2010/slicer" name="UF 1"/>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oneCellAnchor>
    <xdr:from>
      <xdr:col>28</xdr:col>
      <xdr:colOff>265128</xdr:colOff>
      <xdr:row>0</xdr:row>
      <xdr:rowOff>68738</xdr:rowOff>
    </xdr:from>
    <xdr:ext cx="1001595" cy="638510"/>
    <xdr:sp macro="" textlink="">
      <xdr:nvSpPr>
        <xdr:cNvPr id="33" name="CaixaDeTexto 32">
          <a:hlinkClick xmlns:r="http://schemas.openxmlformats.org/officeDocument/2006/relationships" r:id="rId7" tooltip="Voltar para a tela principal"/>
          <a:extLst>
            <a:ext uri="{FF2B5EF4-FFF2-40B4-BE49-F238E27FC236}">
              <a16:creationId xmlns:a16="http://schemas.microsoft.com/office/drawing/2014/main" xmlns="" id="{00000000-0008-0000-2D00-000021000000}"/>
            </a:ext>
          </a:extLst>
        </xdr:cNvPr>
        <xdr:cNvSpPr txBox="1"/>
      </xdr:nvSpPr>
      <xdr:spPr>
        <a:xfrm>
          <a:off x="17302113" y="6873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2E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165897</xdr:colOff>
      <xdr:row>2</xdr:row>
      <xdr:rowOff>15927</xdr:rowOff>
    </xdr:from>
    <xdr:to>
      <xdr:col>28</xdr:col>
      <xdr:colOff>569537</xdr:colOff>
      <xdr:row>4</xdr:row>
      <xdr:rowOff>128415</xdr:rowOff>
    </xdr:to>
    <xdr:grpSp>
      <xdr:nvGrpSpPr>
        <xdr:cNvPr id="4" name="Grupo 3">
          <a:extLst>
            <a:ext uri="{FF2B5EF4-FFF2-40B4-BE49-F238E27FC236}">
              <a16:creationId xmlns:a16="http://schemas.microsoft.com/office/drawing/2014/main" xmlns="" id="{00000000-0008-0000-2E00-000004000000}"/>
            </a:ext>
          </a:extLst>
        </xdr:cNvPr>
        <xdr:cNvGrpSpPr/>
      </xdr:nvGrpSpPr>
      <xdr:grpSpPr>
        <a:xfrm>
          <a:off x="3233270" y="968427"/>
          <a:ext cx="14497411" cy="499946"/>
          <a:chOff x="8872463" y="1068917"/>
          <a:chExt cx="4240727" cy="497416"/>
        </a:xfrm>
      </xdr:grpSpPr>
      <xdr:sp macro="" textlink="">
        <xdr:nvSpPr>
          <xdr:cNvPr id="5" name="CaixaDeTexto 4">
            <a:extLst>
              <a:ext uri="{FF2B5EF4-FFF2-40B4-BE49-F238E27FC236}">
                <a16:creationId xmlns:a16="http://schemas.microsoft.com/office/drawing/2014/main" xmlns="" id="{00000000-0008-0000-2E00-000005000000}"/>
              </a:ext>
            </a:extLst>
          </xdr:cNvPr>
          <xdr:cNvSpPr txBox="1"/>
        </xdr:nvSpPr>
        <xdr:spPr>
          <a:xfrm>
            <a:off x="8875661" y="1068917"/>
            <a:ext cx="423752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Jurídica</a:t>
            </a:r>
          </a:p>
        </xdr:txBody>
      </xdr:sp>
      <xdr:cxnSp macro="">
        <xdr:nvCxnSpPr>
          <xdr:cNvPr id="6" name="Conector reto 5">
            <a:extLst>
              <a:ext uri="{FF2B5EF4-FFF2-40B4-BE49-F238E27FC236}">
                <a16:creationId xmlns:a16="http://schemas.microsoft.com/office/drawing/2014/main" xmlns="" id="{00000000-0008-0000-2E00-000006000000}"/>
              </a:ext>
            </a:extLst>
          </xdr:cNvPr>
          <xdr:cNvCxnSpPr/>
        </xdr:nvCxnSpPr>
        <xdr:spPr>
          <a:xfrm>
            <a:off x="8872463" y="1566333"/>
            <a:ext cx="423420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xmlns="" id="{00000000-0008-0000-2E00-000007000000}"/>
            </a:ext>
          </a:extLst>
        </xdr:cNvPr>
        <xdr:cNvGrpSpPr/>
      </xdr:nvGrpSpPr>
      <xdr:grpSpPr>
        <a:xfrm>
          <a:off x="223599" y="1615028"/>
          <a:ext cx="2441966" cy="551361"/>
          <a:chOff x="7926917" y="1026747"/>
          <a:chExt cx="3174401" cy="539586"/>
        </a:xfrm>
      </xdr:grpSpPr>
      <xdr:sp macro="" textlink="">
        <xdr:nvSpPr>
          <xdr:cNvPr id="8" name="CaixaDeTexto 7">
            <a:extLst>
              <a:ext uri="{FF2B5EF4-FFF2-40B4-BE49-F238E27FC236}">
                <a16:creationId xmlns:a16="http://schemas.microsoft.com/office/drawing/2014/main" xmlns="" id="{00000000-0008-0000-2E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2E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20" name="UF 3">
              <a:extLst>
                <a:ext uri="{FF2B5EF4-FFF2-40B4-BE49-F238E27FC236}">
                  <a16:creationId xmlns:a16="http://schemas.microsoft.com/office/drawing/2014/main" xmlns="" id="{00000000-0008-0000-2E00-000014000000}"/>
                </a:ext>
              </a:extLst>
            </xdr:cNvPr>
            <xdr:cNvGraphicFramePr/>
          </xdr:nvGraphicFramePr>
          <xdr:xfrm>
            <a:off x="0" y="0"/>
            <a:ext cx="0" cy="0"/>
          </xdr:xfrm>
          <a:graphic>
            <a:graphicData uri="http://schemas.microsoft.com/office/drawing/2010/slicer">
              <sle:slicer xmlns:sle="http://schemas.microsoft.com/office/drawing/2010/slicer" name="UF 3"/>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4</xdr:col>
      <xdr:colOff>303666</xdr:colOff>
      <xdr:row>5</xdr:row>
      <xdr:rowOff>165005</xdr:rowOff>
    </xdr:from>
    <xdr:to>
      <xdr:col>12</xdr:col>
      <xdr:colOff>430794</xdr:colOff>
      <xdr:row>36</xdr:row>
      <xdr:rowOff>370417</xdr:rowOff>
    </xdr:to>
    <xdr:grpSp>
      <xdr:nvGrpSpPr>
        <xdr:cNvPr id="10" name="Grupo 9">
          <a:extLst>
            <a:ext uri="{FF2B5EF4-FFF2-40B4-BE49-F238E27FC236}">
              <a16:creationId xmlns:a16="http://schemas.microsoft.com/office/drawing/2014/main" xmlns="" id="{00000000-0008-0000-2E00-00000A000000}"/>
            </a:ext>
          </a:extLst>
        </xdr:cNvPr>
        <xdr:cNvGrpSpPr/>
      </xdr:nvGrpSpPr>
      <xdr:grpSpPr>
        <a:xfrm>
          <a:off x="2757564" y="1698691"/>
          <a:ext cx="5034925" cy="6211006"/>
          <a:chOff x="4409993" y="1689005"/>
          <a:chExt cx="5037795" cy="5546830"/>
        </a:xfrm>
      </xdr:grpSpPr>
      <xdr:grpSp>
        <xdr:nvGrpSpPr>
          <xdr:cNvPr id="15" name="Grupo 14">
            <a:extLst>
              <a:ext uri="{FF2B5EF4-FFF2-40B4-BE49-F238E27FC236}">
                <a16:creationId xmlns:a16="http://schemas.microsoft.com/office/drawing/2014/main" xmlns="" id="{00000000-0008-0000-2E00-00000F000000}"/>
              </a:ext>
            </a:extLst>
          </xdr:cNvPr>
          <xdr:cNvGrpSpPr/>
        </xdr:nvGrpSpPr>
        <xdr:grpSpPr>
          <a:xfrm>
            <a:off x="4409993" y="2476500"/>
            <a:ext cx="5037795" cy="4759335"/>
            <a:chOff x="9872403" y="4412137"/>
            <a:chExt cx="2783573" cy="2743200"/>
          </a:xfrm>
        </xdr:grpSpPr>
        <xdr:graphicFrame macro="">
          <xdr:nvGraphicFramePr>
            <xdr:cNvPr id="16" name="Diagrama 15">
              <a:extLst>
                <a:ext uri="{FF2B5EF4-FFF2-40B4-BE49-F238E27FC236}">
                  <a16:creationId xmlns:a16="http://schemas.microsoft.com/office/drawing/2014/main" xmlns="" id="{00000000-0008-0000-2E00-000010000000}"/>
                </a:ext>
              </a:extLst>
            </xdr:cNvPr>
            <xdr:cNvGraphicFramePr/>
          </xdr:nvGraphicFramePr>
          <xdr:xfrm>
            <a:off x="9872403" y="4412137"/>
            <a:ext cx="2783573"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40">
          <xdr:nvSpPr>
            <xdr:cNvPr id="17" name="CaixaDeTexto 16">
              <a:extLst>
                <a:ext uri="{FF2B5EF4-FFF2-40B4-BE49-F238E27FC236}">
                  <a16:creationId xmlns:a16="http://schemas.microsoft.com/office/drawing/2014/main" xmlns="" id="{00000000-0008-0000-2E00-000011000000}"/>
                </a:ext>
              </a:extLst>
            </xdr:cNvPr>
            <xdr:cNvSpPr txBox="1"/>
          </xdr:nvSpPr>
          <xdr:spPr>
            <a:xfrm>
              <a:off x="11323353" y="5134030"/>
              <a:ext cx="105365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67BC2AF-6FBF-45D0-B540-A8839581F9DC}"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R$ 581.653</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1">
          <xdr:nvSpPr>
            <xdr:cNvPr id="18" name="CaixaDeTexto 17">
              <a:extLst>
                <a:ext uri="{FF2B5EF4-FFF2-40B4-BE49-F238E27FC236}">
                  <a16:creationId xmlns:a16="http://schemas.microsoft.com/office/drawing/2014/main" xmlns="" id="{00000000-0008-0000-2E00-000012000000}"/>
                </a:ext>
              </a:extLst>
            </xdr:cNvPr>
            <xdr:cNvSpPr txBox="1"/>
          </xdr:nvSpPr>
          <xdr:spPr>
            <a:xfrm>
              <a:off x="11318382" y="4423625"/>
              <a:ext cx="105863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BE9143-31D9-4986-B70D-E758A08A5FC1}"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R$ 447.868</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2">
          <xdr:nvSpPr>
            <xdr:cNvPr id="19" name="CaixaDeTexto 18">
              <a:extLst>
                <a:ext uri="{FF2B5EF4-FFF2-40B4-BE49-F238E27FC236}">
                  <a16:creationId xmlns:a16="http://schemas.microsoft.com/office/drawing/2014/main" xmlns="" id="{00000000-0008-0000-2E00-000013000000}"/>
                </a:ext>
              </a:extLst>
            </xdr:cNvPr>
            <xdr:cNvSpPr txBox="1"/>
          </xdr:nvSpPr>
          <xdr:spPr>
            <a:xfrm>
              <a:off x="11318382" y="5844240"/>
              <a:ext cx="106447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90BED12-FDE7-4203-AD7D-7E3F0487FCFD}"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129,9%</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4">
          <xdr:nvSpPr>
            <xdr:cNvPr id="40" name="CaixaDeTexto 39">
              <a:extLst>
                <a:ext uri="{FF2B5EF4-FFF2-40B4-BE49-F238E27FC236}">
                  <a16:creationId xmlns:a16="http://schemas.microsoft.com/office/drawing/2014/main" xmlns="" id="{00000000-0008-0000-2E00-000028000000}"/>
                </a:ext>
              </a:extLst>
            </xdr:cNvPr>
            <xdr:cNvSpPr txBox="1"/>
          </xdr:nvSpPr>
          <xdr:spPr>
            <a:xfrm>
              <a:off x="11315988" y="6551819"/>
              <a:ext cx="1061024"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0B34DD6-EE60-4211-8FAB-1D1997A24771}"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10,3%</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1" name="Grupo 20">
            <a:extLst>
              <a:ext uri="{FF2B5EF4-FFF2-40B4-BE49-F238E27FC236}">
                <a16:creationId xmlns:a16="http://schemas.microsoft.com/office/drawing/2014/main" xmlns="" id="{00000000-0008-0000-2E00-000015000000}"/>
              </a:ext>
            </a:extLst>
          </xdr:cNvPr>
          <xdr:cNvGrpSpPr/>
        </xdr:nvGrpSpPr>
        <xdr:grpSpPr>
          <a:xfrm>
            <a:off x="4817270" y="1689005"/>
            <a:ext cx="4326293" cy="541674"/>
            <a:chOff x="7926917" y="1026747"/>
            <a:chExt cx="3174401" cy="539586"/>
          </a:xfrm>
        </xdr:grpSpPr>
        <xdr:sp macro="" textlink="">
          <xdr:nvSpPr>
            <xdr:cNvPr id="22" name="CaixaDeTexto 21">
              <a:extLst>
                <a:ext uri="{FF2B5EF4-FFF2-40B4-BE49-F238E27FC236}">
                  <a16:creationId xmlns:a16="http://schemas.microsoft.com/office/drawing/2014/main" xmlns="" id="{00000000-0008-0000-2E00-000016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23" name="Conector reto 22">
              <a:extLst>
                <a:ext uri="{FF2B5EF4-FFF2-40B4-BE49-F238E27FC236}">
                  <a16:creationId xmlns:a16="http://schemas.microsoft.com/office/drawing/2014/main" xmlns="" id="{00000000-0008-0000-2E00-000017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457419</xdr:colOff>
      <xdr:row>5</xdr:row>
      <xdr:rowOff>119595</xdr:rowOff>
    </xdr:from>
    <xdr:to>
      <xdr:col>22</xdr:col>
      <xdr:colOff>551355</xdr:colOff>
      <xdr:row>36</xdr:row>
      <xdr:rowOff>325008</xdr:rowOff>
    </xdr:to>
    <xdr:grpSp>
      <xdr:nvGrpSpPr>
        <xdr:cNvPr id="11" name="Grupo 10">
          <a:extLst>
            <a:ext uri="{FF2B5EF4-FFF2-40B4-BE49-F238E27FC236}">
              <a16:creationId xmlns:a16="http://schemas.microsoft.com/office/drawing/2014/main" xmlns="" id="{00000000-0008-0000-2E00-00000B000000}"/>
            </a:ext>
          </a:extLst>
        </xdr:cNvPr>
        <xdr:cNvGrpSpPr/>
      </xdr:nvGrpSpPr>
      <xdr:grpSpPr>
        <a:xfrm>
          <a:off x="7819114" y="1653281"/>
          <a:ext cx="6228682" cy="6211007"/>
          <a:chOff x="10707371" y="1717677"/>
          <a:chExt cx="6232269" cy="5546831"/>
        </a:xfrm>
      </xdr:grpSpPr>
      <xdr:grpSp>
        <xdr:nvGrpSpPr>
          <xdr:cNvPr id="24" name="Grupo 23">
            <a:extLst>
              <a:ext uri="{FF2B5EF4-FFF2-40B4-BE49-F238E27FC236}">
                <a16:creationId xmlns:a16="http://schemas.microsoft.com/office/drawing/2014/main" xmlns="" id="{00000000-0008-0000-2E00-000018000000}"/>
              </a:ext>
            </a:extLst>
          </xdr:cNvPr>
          <xdr:cNvGrpSpPr/>
        </xdr:nvGrpSpPr>
        <xdr:grpSpPr>
          <a:xfrm>
            <a:off x="10707371" y="2501245"/>
            <a:ext cx="6232269" cy="4763263"/>
            <a:chOff x="9733175" y="4412137"/>
            <a:chExt cx="3130485" cy="2743200"/>
          </a:xfrm>
        </xdr:grpSpPr>
        <xdr:graphicFrame macro="">
          <xdr:nvGraphicFramePr>
            <xdr:cNvPr id="25" name="Diagrama 24">
              <a:extLst>
                <a:ext uri="{FF2B5EF4-FFF2-40B4-BE49-F238E27FC236}">
                  <a16:creationId xmlns:a16="http://schemas.microsoft.com/office/drawing/2014/main" xmlns="" id="{00000000-0008-0000-2E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4">
          <xdr:nvSpPr>
            <xdr:cNvPr id="26" name="CaixaDeTexto 25">
              <a:extLst>
                <a:ext uri="{FF2B5EF4-FFF2-40B4-BE49-F238E27FC236}">
                  <a16:creationId xmlns:a16="http://schemas.microsoft.com/office/drawing/2014/main" xmlns="" id="{00000000-0008-0000-2E00-00001A000000}"/>
                </a:ext>
              </a:extLst>
            </xdr:cNvPr>
            <xdr:cNvSpPr txBox="1"/>
          </xdr:nvSpPr>
          <xdr:spPr>
            <a:xfrm>
              <a:off x="11368110" y="4423688"/>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9FFDD9-048C-4806-95A3-FE5367C2990D}" type="TxLink">
                <a:rPr lang="en-US" sz="35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R$ 187.730</a:t>
              </a:fld>
              <a:endParaRPr lang="pt-BR" sz="35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3">
          <xdr:nvSpPr>
            <xdr:cNvPr id="27" name="CaixaDeTexto 26">
              <a:extLst>
                <a:ext uri="{FF2B5EF4-FFF2-40B4-BE49-F238E27FC236}">
                  <a16:creationId xmlns:a16="http://schemas.microsoft.com/office/drawing/2014/main" xmlns="" id="{00000000-0008-0000-2E00-00001B000000}"/>
                </a:ext>
              </a:extLst>
            </xdr:cNvPr>
            <xdr:cNvSpPr txBox="1"/>
          </xdr:nvSpPr>
          <xdr:spPr>
            <a:xfrm>
              <a:off x="11368110" y="5382302"/>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1DFA504-E3CD-401F-9F78-54E33703DB2D}" type="TxLink">
                <a:rPr lang="en-US" sz="35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R$ 233.059</a:t>
              </a:fld>
              <a:endParaRPr lang="pt-BR" sz="35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5">
          <xdr:nvSpPr>
            <xdr:cNvPr id="28" name="CaixaDeTexto 27">
              <a:extLst>
                <a:ext uri="{FF2B5EF4-FFF2-40B4-BE49-F238E27FC236}">
                  <a16:creationId xmlns:a16="http://schemas.microsoft.com/office/drawing/2014/main" xmlns="" id="{00000000-0008-0000-2E00-00001C000000}"/>
                </a:ext>
              </a:extLst>
            </xdr:cNvPr>
            <xdr:cNvSpPr txBox="1"/>
          </xdr:nvSpPr>
          <xdr:spPr>
            <a:xfrm>
              <a:off x="11368110" y="6340916"/>
              <a:ext cx="1311634"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7571C6-AEE9-4931-9979-72CA646DE827}"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124,1%</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9" name="Grupo 28">
            <a:extLst>
              <a:ext uri="{FF2B5EF4-FFF2-40B4-BE49-F238E27FC236}">
                <a16:creationId xmlns:a16="http://schemas.microsoft.com/office/drawing/2014/main" xmlns="" id="{00000000-0008-0000-2E00-00001D000000}"/>
              </a:ext>
            </a:extLst>
          </xdr:cNvPr>
          <xdr:cNvGrpSpPr/>
        </xdr:nvGrpSpPr>
        <xdr:grpSpPr>
          <a:xfrm>
            <a:off x="11643280" y="1717677"/>
            <a:ext cx="4331312" cy="537747"/>
            <a:chOff x="7926917" y="1026747"/>
            <a:chExt cx="3174401" cy="539586"/>
          </a:xfrm>
        </xdr:grpSpPr>
        <xdr:sp macro="" textlink="">
          <xdr:nvSpPr>
            <xdr:cNvPr id="30" name="CaixaDeTexto 29">
              <a:extLst>
                <a:ext uri="{FF2B5EF4-FFF2-40B4-BE49-F238E27FC236}">
                  <a16:creationId xmlns:a16="http://schemas.microsoft.com/office/drawing/2014/main" xmlns="" id="{00000000-0008-0000-2E00-00001E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31" name="Conector reto 30">
              <a:extLst>
                <a:ext uri="{FF2B5EF4-FFF2-40B4-BE49-F238E27FC236}">
                  <a16:creationId xmlns:a16="http://schemas.microsoft.com/office/drawing/2014/main" xmlns="" id="{00000000-0008-0000-2E00-00001F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lientData/>
  </xdr:twoCellAnchor>
  <xdr:twoCellAnchor>
    <xdr:from>
      <xdr:col>27</xdr:col>
      <xdr:colOff>196392</xdr:colOff>
      <xdr:row>1</xdr:row>
      <xdr:rowOff>68737</xdr:rowOff>
    </xdr:from>
    <xdr:to>
      <xdr:col>28</xdr:col>
      <xdr:colOff>530258</xdr:colOff>
      <xdr:row>4</xdr:row>
      <xdr:rowOff>58917</xdr:rowOff>
    </xdr:to>
    <xdr:sp macro="" textlink="">
      <xdr:nvSpPr>
        <xdr:cNvPr id="39" name="CaixaDeTexto 38">
          <a:extLst>
            <a:ext uri="{FF2B5EF4-FFF2-40B4-BE49-F238E27FC236}">
              <a16:creationId xmlns:a16="http://schemas.microsoft.com/office/drawing/2014/main" xmlns="" id="{00000000-0008-0000-2E00-000027000000}"/>
            </a:ext>
          </a:extLst>
        </xdr:cNvPr>
        <xdr:cNvSpPr txBox="1"/>
      </xdr:nvSpPr>
      <xdr:spPr>
        <a:xfrm>
          <a:off x="16634382" y="83466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78556</xdr:rowOff>
    </xdr:from>
    <xdr:ext cx="1001595" cy="638510"/>
    <xdr:sp macro="" textlink="">
      <xdr:nvSpPr>
        <xdr:cNvPr id="41" name="CaixaDeTexto 40">
          <a:hlinkClick xmlns:r="http://schemas.openxmlformats.org/officeDocument/2006/relationships" r:id="rId12" tooltip="Voltar para a tela principal"/>
          <a:extLst>
            <a:ext uri="{FF2B5EF4-FFF2-40B4-BE49-F238E27FC236}">
              <a16:creationId xmlns:a16="http://schemas.microsoft.com/office/drawing/2014/main" xmlns="" id="{00000000-0008-0000-2E00-000029000000}"/>
            </a:ext>
          </a:extLst>
        </xdr:cNvPr>
        <xdr:cNvSpPr txBox="1"/>
      </xdr:nvSpPr>
      <xdr:spPr>
        <a:xfrm>
          <a:off x="17311933" y="78556"/>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84626</xdr:colOff>
      <xdr:row>6</xdr:row>
      <xdr:rowOff>21169</xdr:rowOff>
    </xdr:from>
    <xdr:to>
      <xdr:col>28</xdr:col>
      <xdr:colOff>1112174</xdr:colOff>
      <xdr:row>8</xdr:row>
      <xdr:rowOff>186595</xdr:rowOff>
    </xdr:to>
    <xdr:grpSp>
      <xdr:nvGrpSpPr>
        <xdr:cNvPr id="32" name="Grupo 31">
          <a:extLst>
            <a:ext uri="{FF2B5EF4-FFF2-40B4-BE49-F238E27FC236}">
              <a16:creationId xmlns:a16="http://schemas.microsoft.com/office/drawing/2014/main" xmlns="" id="{00000000-0008-0000-2E00-000020000000}"/>
            </a:ext>
          </a:extLst>
        </xdr:cNvPr>
        <xdr:cNvGrpSpPr/>
      </xdr:nvGrpSpPr>
      <xdr:grpSpPr>
        <a:xfrm>
          <a:off x="13581067" y="1748584"/>
          <a:ext cx="4692251" cy="552884"/>
          <a:chOff x="13479319" y="1693333"/>
          <a:chExt cx="4699965" cy="546426"/>
        </a:xfrm>
      </xdr:grpSpPr>
      <xdr:sp macro="" textlink="">
        <xdr:nvSpPr>
          <xdr:cNvPr id="33" name="CaixaDeTexto 32">
            <a:extLst>
              <a:ext uri="{FF2B5EF4-FFF2-40B4-BE49-F238E27FC236}">
                <a16:creationId xmlns:a16="http://schemas.microsoft.com/office/drawing/2014/main" xmlns="" id="{00000000-0008-0000-2E00-000021000000}"/>
              </a:ext>
            </a:extLst>
          </xdr:cNvPr>
          <xdr:cNvSpPr txBox="1"/>
        </xdr:nvSpPr>
        <xdr:spPr>
          <a:xfrm>
            <a:off x="13661047"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xmlns="" id="{00000000-0008-0000-2E00-000022000000}"/>
              </a:ext>
            </a:extLst>
          </xdr:cNvPr>
          <xdr:cNvCxnSpPr/>
        </xdr:nvCxnSpPr>
        <xdr:spPr>
          <a:xfrm>
            <a:off x="13479319" y="2239759"/>
            <a:ext cx="4699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28791</xdr:colOff>
      <xdr:row>9</xdr:row>
      <xdr:rowOff>3175</xdr:rowOff>
    </xdr:from>
    <xdr:to>
      <xdr:col>21</xdr:col>
      <xdr:colOff>58251</xdr:colOff>
      <xdr:row>9</xdr:row>
      <xdr:rowOff>3175</xdr:rowOff>
    </xdr:to>
    <xdr:cxnSp macro="">
      <xdr:nvCxnSpPr>
        <xdr:cNvPr id="38" name="Conector reto 37">
          <a:extLst>
            <a:ext uri="{FF2B5EF4-FFF2-40B4-BE49-F238E27FC236}">
              <a16:creationId xmlns:a16="http://schemas.microsoft.com/office/drawing/2014/main" xmlns="" id="{00000000-0008-0000-2E00-000026000000}"/>
            </a:ext>
          </a:extLst>
        </xdr:cNvPr>
        <xdr:cNvCxnSpPr/>
      </xdr:nvCxnSpPr>
      <xdr:spPr>
        <a:xfrm>
          <a:off x="8622458" y="2289175"/>
          <a:ext cx="432629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24</xdr:col>
          <xdr:colOff>257736</xdr:colOff>
          <xdr:row>9</xdr:row>
          <xdr:rowOff>33617</xdr:rowOff>
        </xdr:from>
        <xdr:to>
          <xdr:col>27</xdr:col>
          <xdr:colOff>219062</xdr:colOff>
          <xdr:row>37</xdr:row>
          <xdr:rowOff>0</xdr:rowOff>
        </xdr:to>
        <xdr:pic>
          <xdr:nvPicPr>
            <xdr:cNvPr id="44" name="Imagem 43">
              <a:extLst>
                <a:ext uri="{FF2B5EF4-FFF2-40B4-BE49-F238E27FC236}">
                  <a16:creationId xmlns:a16="http://schemas.microsoft.com/office/drawing/2014/main" xmlns="" id="{00000000-0008-0000-2E00-00002C000000}"/>
                </a:ext>
              </a:extLst>
            </xdr:cNvPr>
            <xdr:cNvPicPr>
              <a:picLocks noChangeAspect="1" noChangeArrowheads="1"/>
              <a:extLst>
                <a:ext uri="{84589F7E-364E-4C9E-8A38-B11213B215E9}">
                  <a14:cameraTool cellRange="'ADIMPLÊNCIA PJ'!$N$4:$O$31" spid="_x0000_s337008"/>
                </a:ext>
              </a:extLst>
            </xdr:cNvPicPr>
          </xdr:nvPicPr>
          <xdr:blipFill>
            <a:blip xmlns:r="http://schemas.openxmlformats.org/officeDocument/2006/relationships" r:embed="rId13"/>
            <a:srcRect/>
            <a:stretch>
              <a:fillRect/>
            </a:stretch>
          </xdr:blipFill>
          <xdr:spPr bwMode="auto">
            <a:xfrm>
              <a:off x="14780560" y="2319617"/>
              <a:ext cx="1776678" cy="581585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xmlns="" id="{00000000-0008-0000-2F00-000003000000}"/>
            </a:ext>
          </a:extLst>
        </xdr:cNvPr>
        <xdr:cNvSpPr txBox="1"/>
      </xdr:nvSpPr>
      <xdr:spPr>
        <a:xfrm>
          <a:off x="3574331" y="0"/>
          <a:ext cx="9770490"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402603</xdr:colOff>
      <xdr:row>2</xdr:row>
      <xdr:rowOff>74084</xdr:rowOff>
    </xdr:from>
    <xdr:to>
      <xdr:col>28</xdr:col>
      <xdr:colOff>451701</xdr:colOff>
      <xdr:row>5</xdr:row>
      <xdr:rowOff>0</xdr:rowOff>
    </xdr:to>
    <xdr:grpSp>
      <xdr:nvGrpSpPr>
        <xdr:cNvPr id="4" name="Grupo 3">
          <a:extLst>
            <a:ext uri="{FF2B5EF4-FFF2-40B4-BE49-F238E27FC236}">
              <a16:creationId xmlns:a16="http://schemas.microsoft.com/office/drawing/2014/main" xmlns="" id="{00000000-0008-0000-2F00-000004000000}"/>
            </a:ext>
          </a:extLst>
        </xdr:cNvPr>
        <xdr:cNvGrpSpPr/>
      </xdr:nvGrpSpPr>
      <xdr:grpSpPr>
        <a:xfrm>
          <a:off x="3484221" y="1026584"/>
          <a:ext cx="14210531" cy="514225"/>
          <a:chOff x="8832273" y="1068917"/>
          <a:chExt cx="1605344" cy="497416"/>
        </a:xfrm>
      </xdr:grpSpPr>
      <xdr:sp macro="" textlink="">
        <xdr:nvSpPr>
          <xdr:cNvPr id="5" name="CaixaDeTexto 4">
            <a:extLst>
              <a:ext uri="{FF2B5EF4-FFF2-40B4-BE49-F238E27FC236}">
                <a16:creationId xmlns:a16="http://schemas.microsoft.com/office/drawing/2014/main" xmlns="" id="{00000000-0008-0000-2F00-000005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6" name="Conector reto 5">
            <a:extLst>
              <a:ext uri="{FF2B5EF4-FFF2-40B4-BE49-F238E27FC236}">
                <a16:creationId xmlns:a16="http://schemas.microsoft.com/office/drawing/2014/main" xmlns="" id="{00000000-0008-0000-2F00-000006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95939</xdr:colOff>
      <xdr:row>5</xdr:row>
      <xdr:rowOff>81342</xdr:rowOff>
    </xdr:from>
    <xdr:to>
      <xdr:col>4</xdr:col>
      <xdr:colOff>84007</xdr:colOff>
      <xdr:row>8</xdr:row>
      <xdr:rowOff>51516</xdr:rowOff>
    </xdr:to>
    <xdr:grpSp>
      <xdr:nvGrpSpPr>
        <xdr:cNvPr id="7" name="Grupo 6">
          <a:extLst>
            <a:ext uri="{FF2B5EF4-FFF2-40B4-BE49-F238E27FC236}">
              <a16:creationId xmlns:a16="http://schemas.microsoft.com/office/drawing/2014/main" xmlns="" id="{00000000-0008-0000-2F00-000007000000}"/>
            </a:ext>
          </a:extLst>
        </xdr:cNvPr>
        <xdr:cNvGrpSpPr/>
      </xdr:nvGrpSpPr>
      <xdr:grpSpPr>
        <a:xfrm>
          <a:off x="95939" y="1622151"/>
          <a:ext cx="2453362" cy="558483"/>
          <a:chOff x="7926917" y="1026747"/>
          <a:chExt cx="3174401" cy="539586"/>
        </a:xfrm>
      </xdr:grpSpPr>
      <xdr:sp macro="" textlink="">
        <xdr:nvSpPr>
          <xdr:cNvPr id="8" name="CaixaDeTexto 7">
            <a:extLst>
              <a:ext uri="{FF2B5EF4-FFF2-40B4-BE49-F238E27FC236}">
                <a16:creationId xmlns:a16="http://schemas.microsoft.com/office/drawing/2014/main" xmlns="" id="{00000000-0008-0000-2F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2F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117829</xdr:colOff>
      <xdr:row>8</xdr:row>
      <xdr:rowOff>166931</xdr:rowOff>
    </xdr:from>
    <xdr:to>
      <xdr:col>4</xdr:col>
      <xdr:colOff>88371</xdr:colOff>
      <xdr:row>34</xdr:row>
      <xdr:rowOff>166931</xdr:rowOff>
    </xdr:to>
    <mc:AlternateContent xmlns:mc="http://schemas.openxmlformats.org/markup-compatibility/2006" xmlns:a14="http://schemas.microsoft.com/office/drawing/2010/main">
      <mc:Choice Requires="a14">
        <xdr:graphicFrame macro="">
          <xdr:nvGraphicFramePr>
            <xdr:cNvPr id="30" name="UF 4">
              <a:extLst>
                <a:ext uri="{FF2B5EF4-FFF2-40B4-BE49-F238E27FC236}">
                  <a16:creationId xmlns:a16="http://schemas.microsoft.com/office/drawing/2014/main" xmlns="" id="{00000000-0008-0000-2F00-00001E000000}"/>
                </a:ext>
              </a:extLst>
            </xdr:cNvPr>
            <xdr:cNvGraphicFramePr/>
          </xdr:nvGraphicFramePr>
          <xdr:xfrm>
            <a:off x="0" y="0"/>
            <a:ext cx="0" cy="0"/>
          </xdr:xfrm>
          <a:graphic>
            <a:graphicData uri="http://schemas.microsoft.com/office/drawing/2010/slicer">
              <sle:slicer xmlns:sle="http://schemas.microsoft.com/office/drawing/2010/slicer" name="UF 4"/>
            </a:graphicData>
          </a:graphic>
        </xdr:graphicFrame>
      </mc:Choice>
      <mc:Fallback xmlns="">
        <xdr:sp macro="" textlink="">
          <xdr:nvSpPr>
            <xdr:cNvPr id="0" name=""/>
            <xdr:cNvSpPr>
              <a:spLocks noTextEdit="1"/>
            </xdr:cNvSpPr>
          </xdr:nvSpPr>
          <xdr:spPr>
            <a:xfrm>
              <a:off x="117829" y="2262431"/>
              <a:ext cx="2403080" cy="49603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25</xdr:col>
      <xdr:colOff>373144</xdr:colOff>
      <xdr:row>1</xdr:row>
      <xdr:rowOff>127654</xdr:rowOff>
    </xdr:from>
    <xdr:to>
      <xdr:col>27</xdr:col>
      <xdr:colOff>88376</xdr:colOff>
      <xdr:row>4</xdr:row>
      <xdr:rowOff>117834</xdr:rowOff>
    </xdr:to>
    <xdr:sp macro="" textlink="">
      <xdr:nvSpPr>
        <xdr:cNvPr id="50" name="CaixaDeTexto 49">
          <a:extLst>
            <a:ext uri="{FF2B5EF4-FFF2-40B4-BE49-F238E27FC236}">
              <a16:creationId xmlns:a16="http://schemas.microsoft.com/office/drawing/2014/main" xmlns="" id="{00000000-0008-0000-2F00-000032000000}"/>
            </a:ext>
          </a:extLst>
        </xdr:cNvPr>
        <xdr:cNvSpPr txBox="1"/>
      </xdr:nvSpPr>
      <xdr:spPr>
        <a:xfrm>
          <a:off x="15593505" y="893582"/>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8</xdr:col>
      <xdr:colOff>529166</xdr:colOff>
      <xdr:row>5</xdr:row>
      <xdr:rowOff>119063</xdr:rowOff>
    </xdr:from>
    <xdr:to>
      <xdr:col>15</xdr:col>
      <xdr:colOff>481166</xdr:colOff>
      <xdr:row>37</xdr:row>
      <xdr:rowOff>0</xdr:rowOff>
    </xdr:to>
    <xdr:grpSp>
      <xdr:nvGrpSpPr>
        <xdr:cNvPr id="21" name="Grupo 20">
          <a:extLst>
            <a:ext uri="{FF2B5EF4-FFF2-40B4-BE49-F238E27FC236}">
              <a16:creationId xmlns:a16="http://schemas.microsoft.com/office/drawing/2014/main" xmlns="" id="{00000000-0008-0000-2F00-000015000000}"/>
            </a:ext>
          </a:extLst>
        </xdr:cNvPr>
        <xdr:cNvGrpSpPr/>
      </xdr:nvGrpSpPr>
      <xdr:grpSpPr>
        <a:xfrm>
          <a:off x="5459754" y="1659872"/>
          <a:ext cx="4266265" cy="6660496"/>
          <a:chOff x="5469510" y="1631798"/>
          <a:chExt cx="3554691" cy="5831089"/>
        </a:xfrm>
      </xdr:grpSpPr>
      <xdr:grpSp>
        <xdr:nvGrpSpPr>
          <xdr:cNvPr id="54" name="Grupo 53">
            <a:extLst>
              <a:ext uri="{FF2B5EF4-FFF2-40B4-BE49-F238E27FC236}">
                <a16:creationId xmlns:a16="http://schemas.microsoft.com/office/drawing/2014/main" xmlns="" id="{00000000-0008-0000-2F00-000036000000}"/>
              </a:ext>
            </a:extLst>
          </xdr:cNvPr>
          <xdr:cNvGrpSpPr/>
        </xdr:nvGrpSpPr>
        <xdr:grpSpPr>
          <a:xfrm>
            <a:off x="5469510" y="1631798"/>
            <a:ext cx="3554691" cy="617648"/>
            <a:chOff x="8832273" y="933698"/>
            <a:chExt cx="4509425" cy="632635"/>
          </a:xfrm>
        </xdr:grpSpPr>
        <xdr:sp macro="" textlink="">
          <xdr:nvSpPr>
            <xdr:cNvPr id="55" name="CaixaDeTexto 54">
              <a:extLst>
                <a:ext uri="{FF2B5EF4-FFF2-40B4-BE49-F238E27FC236}">
                  <a16:creationId xmlns:a16="http://schemas.microsoft.com/office/drawing/2014/main" xmlns="" id="{00000000-0008-0000-2F00-000037000000}"/>
                </a:ext>
              </a:extLst>
            </xdr:cNvPr>
            <xdr:cNvSpPr txBox="1"/>
          </xdr:nvSpPr>
          <xdr:spPr>
            <a:xfrm>
              <a:off x="8832273" y="933698"/>
              <a:ext cx="4509425" cy="61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Quantitativo</a:t>
              </a:r>
              <a:endParaRPr lang="pt-BR" sz="4400" cap="small" baseline="0">
                <a:solidFill>
                  <a:schemeClr val="bg1"/>
                </a:solidFill>
                <a:latin typeface="+mn-lt"/>
                <a:ea typeface="+mn-ea"/>
                <a:cs typeface="+mn-cs"/>
              </a:endParaRPr>
            </a:p>
          </xdr:txBody>
        </xdr:sp>
        <xdr:cxnSp macro="">
          <xdr:nvCxnSpPr>
            <xdr:cNvPr id="56" name="Conector reto 55">
              <a:extLst>
                <a:ext uri="{FF2B5EF4-FFF2-40B4-BE49-F238E27FC236}">
                  <a16:creationId xmlns:a16="http://schemas.microsoft.com/office/drawing/2014/main" xmlns="" id="{00000000-0008-0000-2F00-000038000000}"/>
                </a:ext>
              </a:extLst>
            </xdr:cNvPr>
            <xdr:cNvCxnSpPr/>
          </xdr:nvCxnSpPr>
          <xdr:spPr>
            <a:xfrm>
              <a:off x="8832273" y="1566333"/>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9" name="Grupo 18">
            <a:extLst>
              <a:ext uri="{FF2B5EF4-FFF2-40B4-BE49-F238E27FC236}">
                <a16:creationId xmlns:a16="http://schemas.microsoft.com/office/drawing/2014/main" xmlns="" id="{00000000-0008-0000-2F00-000013000000}"/>
              </a:ext>
            </a:extLst>
          </xdr:cNvPr>
          <xdr:cNvGrpSpPr/>
        </xdr:nvGrpSpPr>
        <xdr:grpSpPr>
          <a:xfrm>
            <a:off x="5486395" y="2045616"/>
            <a:ext cx="3522723" cy="5417271"/>
            <a:chOff x="2589617" y="1873971"/>
            <a:chExt cx="3522723" cy="5417271"/>
          </a:xfrm>
        </xdr:grpSpPr>
        <xdr:graphicFrame macro="">
          <xdr:nvGraphicFramePr>
            <xdr:cNvPr id="36" name="Diagrama 35">
              <a:extLst>
                <a:ext uri="{FF2B5EF4-FFF2-40B4-BE49-F238E27FC236}">
                  <a16:creationId xmlns:a16="http://schemas.microsoft.com/office/drawing/2014/main" xmlns="" id="{00000000-0008-0000-2F00-000024000000}"/>
                </a:ext>
              </a:extLst>
            </xdr:cNvPr>
            <xdr:cNvGraphicFramePr/>
          </xdr:nvGraphicFramePr>
          <xdr:xfrm>
            <a:off x="2589617" y="1873971"/>
            <a:ext cx="3522723" cy="5417271"/>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grpSp>
          <xdr:nvGrpSpPr>
            <xdr:cNvPr id="18" name="Grupo 17">
              <a:extLst>
                <a:ext uri="{FF2B5EF4-FFF2-40B4-BE49-F238E27FC236}">
                  <a16:creationId xmlns:a16="http://schemas.microsoft.com/office/drawing/2014/main" xmlns="" id="{00000000-0008-0000-2F00-000012000000}"/>
                </a:ext>
              </a:extLst>
            </xdr:cNvPr>
            <xdr:cNvGrpSpPr/>
          </xdr:nvGrpSpPr>
          <xdr:grpSpPr>
            <a:xfrm>
              <a:off x="4453372" y="2148733"/>
              <a:ext cx="1628616" cy="4864277"/>
              <a:chOff x="4453372" y="2148733"/>
              <a:chExt cx="1628616" cy="4864277"/>
            </a:xfrm>
          </xdr:grpSpPr>
          <xdr:sp macro="" textlink="'Dados - Receita e Qntd'!AZ61">
            <xdr:nvSpPr>
              <xdr:cNvPr id="15" name="CaixaDeTexto 14">
                <a:extLst>
                  <a:ext uri="{FF2B5EF4-FFF2-40B4-BE49-F238E27FC236}">
                    <a16:creationId xmlns:a16="http://schemas.microsoft.com/office/drawing/2014/main" xmlns="" id="{00000000-0008-0000-2F00-00000F000000}"/>
                  </a:ext>
                </a:extLst>
              </xdr:cNvPr>
              <xdr:cNvSpPr txBox="1"/>
            </xdr:nvSpPr>
            <xdr:spPr>
              <a:xfrm>
                <a:off x="4453372" y="2148733"/>
                <a:ext cx="1628616" cy="106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E57F7A4-EC57-4BB7-982B-5C36220DB629}"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69.964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0">
            <xdr:nvSpPr>
              <xdr:cNvPr id="33" name="CaixaDeTexto 32">
                <a:extLst>
                  <a:ext uri="{FF2B5EF4-FFF2-40B4-BE49-F238E27FC236}">
                    <a16:creationId xmlns:a16="http://schemas.microsoft.com/office/drawing/2014/main" xmlns="" id="{00000000-0008-0000-2F00-000021000000}"/>
                  </a:ext>
                </a:extLst>
              </xdr:cNvPr>
              <xdr:cNvSpPr txBox="1"/>
            </xdr:nvSpPr>
            <xdr:spPr>
              <a:xfrm>
                <a:off x="4453712" y="3424767"/>
                <a:ext cx="1627936" cy="1029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5FA1D2-0656-4AD3-9615-C76C9490532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74.516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3">
            <xdr:nvSpPr>
              <xdr:cNvPr id="34" name="CaixaDeTexto 33">
                <a:extLst>
                  <a:ext uri="{FF2B5EF4-FFF2-40B4-BE49-F238E27FC236}">
                    <a16:creationId xmlns:a16="http://schemas.microsoft.com/office/drawing/2014/main" xmlns="" id="{00000000-0008-0000-2F00-000022000000}"/>
                  </a:ext>
                </a:extLst>
              </xdr:cNvPr>
              <xdr:cNvSpPr txBox="1"/>
            </xdr:nvSpPr>
            <xdr:spPr>
              <a:xfrm>
                <a:off x="4453712" y="4681611"/>
                <a:ext cx="1627936" cy="1026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1C7EAFC-04E4-4AE1-A97A-0B37BB599231}"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5,6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2">
            <xdr:nvSpPr>
              <xdr:cNvPr id="35" name="CaixaDeTexto 34">
                <a:extLst>
                  <a:ext uri="{FF2B5EF4-FFF2-40B4-BE49-F238E27FC236}">
                    <a16:creationId xmlns:a16="http://schemas.microsoft.com/office/drawing/2014/main" xmlns="" id="{00000000-0008-0000-2F00-000023000000}"/>
                  </a:ext>
                </a:extLst>
              </xdr:cNvPr>
              <xdr:cNvSpPr txBox="1"/>
            </xdr:nvSpPr>
            <xdr:spPr>
              <a:xfrm>
                <a:off x="4453372" y="5976833"/>
                <a:ext cx="1628616" cy="10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4D8AF1-08DC-4B76-8FC5-704B7C387587}"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5,8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grpSp>
    <xdr:clientData/>
  </xdr:twoCellAnchor>
  <xdr:twoCellAnchor>
    <xdr:from>
      <xdr:col>18</xdr:col>
      <xdr:colOff>476454</xdr:colOff>
      <xdr:row>6</xdr:row>
      <xdr:rowOff>179918</xdr:rowOff>
    </xdr:from>
    <xdr:to>
      <xdr:col>26</xdr:col>
      <xdr:colOff>4699</xdr:colOff>
      <xdr:row>36</xdr:row>
      <xdr:rowOff>444501</xdr:rowOff>
    </xdr:to>
    <xdr:grpSp>
      <xdr:nvGrpSpPr>
        <xdr:cNvPr id="22" name="Grupo 21">
          <a:extLst>
            <a:ext uri="{FF2B5EF4-FFF2-40B4-BE49-F238E27FC236}">
              <a16:creationId xmlns:a16="http://schemas.microsoft.com/office/drawing/2014/main" xmlns="" id="{00000000-0008-0000-2F00-000016000000}"/>
            </a:ext>
          </a:extLst>
        </xdr:cNvPr>
        <xdr:cNvGrpSpPr/>
      </xdr:nvGrpSpPr>
      <xdr:grpSpPr>
        <a:xfrm>
          <a:off x="11570278" y="1916830"/>
          <a:ext cx="4458833" cy="6147671"/>
          <a:chOff x="9186423" y="1724913"/>
          <a:chExt cx="3554691" cy="5504566"/>
        </a:xfrm>
      </xdr:grpSpPr>
      <xdr:grpSp>
        <xdr:nvGrpSpPr>
          <xdr:cNvPr id="57" name="Grupo 56">
            <a:extLst>
              <a:ext uri="{FF2B5EF4-FFF2-40B4-BE49-F238E27FC236}">
                <a16:creationId xmlns:a16="http://schemas.microsoft.com/office/drawing/2014/main" xmlns="" id="{00000000-0008-0000-2F00-000039000000}"/>
              </a:ext>
            </a:extLst>
          </xdr:cNvPr>
          <xdr:cNvGrpSpPr/>
        </xdr:nvGrpSpPr>
        <xdr:grpSpPr>
          <a:xfrm>
            <a:off x="9186423" y="1724913"/>
            <a:ext cx="3554691" cy="475907"/>
            <a:chOff x="8832273" y="1029073"/>
            <a:chExt cx="4509425" cy="487455"/>
          </a:xfrm>
        </xdr:grpSpPr>
        <xdr:sp macro="" textlink="">
          <xdr:nvSpPr>
            <xdr:cNvPr id="58" name="CaixaDeTexto 57">
              <a:extLst>
                <a:ext uri="{FF2B5EF4-FFF2-40B4-BE49-F238E27FC236}">
                  <a16:creationId xmlns:a16="http://schemas.microsoft.com/office/drawing/2014/main" xmlns="" id="{00000000-0008-0000-2F00-00003A000000}"/>
                </a:ext>
              </a:extLst>
            </xdr:cNvPr>
            <xdr:cNvSpPr txBox="1"/>
          </xdr:nvSpPr>
          <xdr:spPr>
            <a:xfrm>
              <a:off x="8832273" y="1029073"/>
              <a:ext cx="45094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Receita de Arrecadação</a:t>
              </a:r>
            </a:p>
          </xdr:txBody>
        </xdr:sp>
        <xdr:cxnSp macro="">
          <xdr:nvCxnSpPr>
            <xdr:cNvPr id="59" name="Conector reto 58">
              <a:extLst>
                <a:ext uri="{FF2B5EF4-FFF2-40B4-BE49-F238E27FC236}">
                  <a16:creationId xmlns:a16="http://schemas.microsoft.com/office/drawing/2014/main" xmlns="" id="{00000000-0008-0000-2F00-00003B000000}"/>
                </a:ext>
              </a:extLst>
            </xdr:cNvPr>
            <xdr:cNvCxnSpPr/>
          </xdr:nvCxnSpPr>
          <xdr:spPr>
            <a:xfrm>
              <a:off x="8832273" y="1516528"/>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 name="Grupo 15">
            <a:extLst>
              <a:ext uri="{FF2B5EF4-FFF2-40B4-BE49-F238E27FC236}">
                <a16:creationId xmlns:a16="http://schemas.microsoft.com/office/drawing/2014/main" xmlns="" id="{00000000-0008-0000-2F00-000010000000}"/>
              </a:ext>
            </a:extLst>
          </xdr:cNvPr>
          <xdr:cNvGrpSpPr/>
        </xdr:nvGrpSpPr>
        <xdr:grpSpPr>
          <a:xfrm>
            <a:off x="9203306" y="2240358"/>
            <a:ext cx="3522880" cy="4989121"/>
            <a:chOff x="6257428" y="2107991"/>
            <a:chExt cx="3522880" cy="4989121"/>
          </a:xfrm>
        </xdr:grpSpPr>
        <xdr:graphicFrame macro="">
          <xdr:nvGraphicFramePr>
            <xdr:cNvPr id="39" name="Diagrama 38">
              <a:extLst>
                <a:ext uri="{FF2B5EF4-FFF2-40B4-BE49-F238E27FC236}">
                  <a16:creationId xmlns:a16="http://schemas.microsoft.com/office/drawing/2014/main" xmlns="" id="{00000000-0008-0000-2F00-000027000000}"/>
                </a:ext>
              </a:extLst>
            </xdr:cNvPr>
            <xdr:cNvGraphicFramePr/>
          </xdr:nvGraphicFramePr>
          <xdr:xfrm>
            <a:off x="6257428" y="2107991"/>
            <a:ext cx="3522880" cy="4989121"/>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7">
          <xdr:nvSpPr>
            <xdr:cNvPr id="37" name="CaixaDeTexto 36">
              <a:extLst>
                <a:ext uri="{FF2B5EF4-FFF2-40B4-BE49-F238E27FC236}">
                  <a16:creationId xmlns:a16="http://schemas.microsoft.com/office/drawing/2014/main" xmlns="" id="{00000000-0008-0000-2F00-000025000000}"/>
                </a:ext>
              </a:extLst>
            </xdr:cNvPr>
            <xdr:cNvSpPr txBox="1"/>
          </xdr:nvSpPr>
          <xdr:spPr>
            <a:xfrm>
              <a:off x="8107897" y="2127441"/>
              <a:ext cx="1573398" cy="1060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5298786-D170-45B4-98A8-C2F5BABBE0FD}"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R$ 5.482.379</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6">
          <xdr:nvSpPr>
            <xdr:cNvPr id="38" name="CaixaDeTexto 37">
              <a:extLst>
                <a:ext uri="{FF2B5EF4-FFF2-40B4-BE49-F238E27FC236}">
                  <a16:creationId xmlns:a16="http://schemas.microsoft.com/office/drawing/2014/main" xmlns="" id="{00000000-0008-0000-2F00-000026000000}"/>
                </a:ext>
              </a:extLst>
            </xdr:cNvPr>
            <xdr:cNvSpPr txBox="1"/>
          </xdr:nvSpPr>
          <xdr:spPr>
            <a:xfrm>
              <a:off x="8113392" y="3411192"/>
              <a:ext cx="1576380" cy="1069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232BF54-F048-4723-84CF-DCFB839C16A5}"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R$ 5.699.578</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8">
          <xdr:nvSpPr>
            <xdr:cNvPr id="40" name="CaixaDeTexto 39">
              <a:extLst>
                <a:ext uri="{FF2B5EF4-FFF2-40B4-BE49-F238E27FC236}">
                  <a16:creationId xmlns:a16="http://schemas.microsoft.com/office/drawing/2014/main" xmlns="" id="{00000000-0008-0000-2F00-000028000000}"/>
                </a:ext>
              </a:extLst>
            </xdr:cNvPr>
            <xdr:cNvSpPr txBox="1"/>
          </xdr:nvSpPr>
          <xdr:spPr>
            <a:xfrm>
              <a:off x="8121515" y="4714426"/>
              <a:ext cx="1559780" cy="1069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9539EC-4170-4A6D-AEC1-6D75CF55F735}"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104,0%</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5">
          <xdr:nvSpPr>
            <xdr:cNvPr id="41" name="CaixaDeTexto 40">
              <a:extLst>
                <a:ext uri="{FF2B5EF4-FFF2-40B4-BE49-F238E27FC236}">
                  <a16:creationId xmlns:a16="http://schemas.microsoft.com/office/drawing/2014/main" xmlns="" id="{00000000-0008-0000-2F00-000029000000}"/>
                </a:ext>
              </a:extLst>
            </xdr:cNvPr>
            <xdr:cNvSpPr txBox="1"/>
          </xdr:nvSpPr>
          <xdr:spPr>
            <a:xfrm>
              <a:off x="8113392" y="6005523"/>
              <a:ext cx="1567904" cy="1081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EBA0677-49FF-4D3A-8CA8-A4314AC06324}"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-1,6%</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clientData/>
  </xdr:twoCellAnchor>
  <xdr:oneCellAnchor>
    <xdr:from>
      <xdr:col>28</xdr:col>
      <xdr:colOff>274948</xdr:colOff>
      <xdr:row>0</xdr:row>
      <xdr:rowOff>68737</xdr:rowOff>
    </xdr:from>
    <xdr:ext cx="1001595" cy="638510"/>
    <xdr:sp macro="" textlink="">
      <xdr:nvSpPr>
        <xdr:cNvPr id="49" name="CaixaDeTexto 48">
          <a:hlinkClick xmlns:r="http://schemas.openxmlformats.org/officeDocument/2006/relationships" r:id="rId12" tooltip="Voltar para a tela principal"/>
          <a:extLst>
            <a:ext uri="{FF2B5EF4-FFF2-40B4-BE49-F238E27FC236}">
              <a16:creationId xmlns:a16="http://schemas.microsoft.com/office/drawing/2014/main" xmlns="" id="{00000000-0008-0000-2F00-000031000000}"/>
            </a:ext>
          </a:extLst>
        </xdr:cNvPr>
        <xdr:cNvSpPr txBox="1"/>
      </xdr:nvSpPr>
      <xdr:spPr>
        <a:xfrm>
          <a:off x="1731193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xmlns="" id="{00000000-0008-0000-3000-000003000000}"/>
            </a:ext>
          </a:extLst>
        </xdr:cNvPr>
        <xdr:cNvSpPr txBox="1"/>
      </xdr:nvSpPr>
      <xdr:spPr>
        <a:xfrm>
          <a:off x="3578259" y="0"/>
          <a:ext cx="978305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editAs="oneCell">
    <xdr:from>
      <xdr:col>0</xdr:col>
      <xdr:colOff>133654</xdr:colOff>
      <xdr:row>5</xdr:row>
      <xdr:rowOff>157106</xdr:rowOff>
    </xdr:from>
    <xdr:to>
      <xdr:col>28</xdr:col>
      <xdr:colOff>1217638</xdr:colOff>
      <xdr:row>9</xdr:row>
      <xdr:rowOff>98189</xdr:rowOff>
    </xdr:to>
    <mc:AlternateContent xmlns:mc="http://schemas.openxmlformats.org/markup-compatibility/2006" xmlns:a14="http://schemas.microsoft.com/office/drawing/2010/main">
      <mc:Choice Requires="a14">
        <xdr:graphicFrame macro="">
          <xdr:nvGraphicFramePr>
            <xdr:cNvPr id="16" name="Grupo 1">
              <a:extLst>
                <a:ext uri="{FF2B5EF4-FFF2-40B4-BE49-F238E27FC236}">
                  <a16:creationId xmlns:a16="http://schemas.microsoft.com/office/drawing/2014/main" xmlns="" id="{00000000-0008-0000-3000-000010000000}"/>
                </a:ext>
              </a:extLst>
            </xdr:cNvPr>
            <xdr:cNvGraphicFramePr/>
          </xdr:nvGraphicFramePr>
          <xdr:xfrm>
            <a:off x="0" y="0"/>
            <a:ext cx="0" cy="0"/>
          </xdr:xfrm>
          <a:graphic>
            <a:graphicData uri="http://schemas.microsoft.com/office/drawing/2010/slicer">
              <sle:slicer xmlns:sle="http://schemas.microsoft.com/office/drawing/2010/slicer" name="Grupo 1"/>
            </a:graphicData>
          </a:graphic>
        </xdr:graphicFrame>
      </mc:Choice>
      <mc:Fallback xmlns="">
        <xdr:sp macro="" textlink="">
          <xdr:nvSpPr>
            <xdr:cNvPr id="0" name=""/>
            <xdr:cNvSpPr>
              <a:spLocks noTextEdit="1"/>
            </xdr:cNvSpPr>
          </xdr:nvSpPr>
          <xdr:spPr>
            <a:xfrm>
              <a:off x="133654" y="1669322"/>
              <a:ext cx="18120969" cy="687372"/>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0</xdr:col>
      <xdr:colOff>95141</xdr:colOff>
      <xdr:row>9</xdr:row>
      <xdr:rowOff>62626</xdr:rowOff>
    </xdr:from>
    <xdr:to>
      <xdr:col>28</xdr:col>
      <xdr:colOff>1165485</xdr:colOff>
      <xdr:row>36</xdr:row>
      <xdr:rowOff>592666</xdr:rowOff>
    </xdr:to>
    <xdr:graphicFrame macro="">
      <xdr:nvGraphicFramePr>
        <xdr:cNvPr id="17" name="Gráfico 16">
          <a:extLst>
            <a:ext uri="{FF2B5EF4-FFF2-40B4-BE49-F238E27FC236}">
              <a16:creationId xmlns:a16="http://schemas.microsoft.com/office/drawing/2014/main" xmlns="" id="{00000000-0008-0000-3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58918</xdr:colOff>
      <xdr:row>2</xdr:row>
      <xdr:rowOff>74084</xdr:rowOff>
    </xdr:from>
    <xdr:to>
      <xdr:col>28</xdr:col>
      <xdr:colOff>667732</xdr:colOff>
      <xdr:row>5</xdr:row>
      <xdr:rowOff>0</xdr:rowOff>
    </xdr:to>
    <xdr:grpSp>
      <xdr:nvGrpSpPr>
        <xdr:cNvPr id="29" name="Grupo 28">
          <a:extLst>
            <a:ext uri="{FF2B5EF4-FFF2-40B4-BE49-F238E27FC236}">
              <a16:creationId xmlns:a16="http://schemas.microsoft.com/office/drawing/2014/main" xmlns="" id="{00000000-0008-0000-3000-00001D000000}"/>
            </a:ext>
          </a:extLst>
        </xdr:cNvPr>
        <xdr:cNvGrpSpPr/>
      </xdr:nvGrpSpPr>
      <xdr:grpSpPr>
        <a:xfrm>
          <a:off x="662168" y="1026584"/>
          <a:ext cx="16896564" cy="497416"/>
          <a:chOff x="8832273" y="1068917"/>
          <a:chExt cx="1605344" cy="497416"/>
        </a:xfrm>
      </xdr:grpSpPr>
      <xdr:sp macro="" textlink="">
        <xdr:nvSpPr>
          <xdr:cNvPr id="30" name="CaixaDeTexto 29">
            <a:extLst>
              <a:ext uri="{FF2B5EF4-FFF2-40B4-BE49-F238E27FC236}">
                <a16:creationId xmlns:a16="http://schemas.microsoft.com/office/drawing/2014/main" xmlns="" id="{00000000-0008-0000-3000-00001E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Quantitativo de RRTs Pagos - Grupo de Atividade x Gênero</a:t>
            </a:r>
          </a:p>
        </xdr:txBody>
      </xdr:sp>
      <xdr:cxnSp macro="">
        <xdr:nvCxnSpPr>
          <xdr:cNvPr id="31" name="Conector reto 30">
            <a:extLst>
              <a:ext uri="{FF2B5EF4-FFF2-40B4-BE49-F238E27FC236}">
                <a16:creationId xmlns:a16="http://schemas.microsoft.com/office/drawing/2014/main" xmlns="" id="{00000000-0008-0000-3000-00001F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39" name="CaixaDeTexto 38">
          <a:hlinkClick xmlns:r="http://schemas.openxmlformats.org/officeDocument/2006/relationships" r:id="rId3" tooltip="Voltar para a tela principal"/>
          <a:extLst>
            <a:ext uri="{FF2B5EF4-FFF2-40B4-BE49-F238E27FC236}">
              <a16:creationId xmlns:a16="http://schemas.microsoft.com/office/drawing/2014/main" xmlns="" id="{00000000-0008-0000-3000-000027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31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0</xdr:col>
      <xdr:colOff>8337</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xmlns="" id="{00000000-0008-0000-3100-000004000000}"/>
            </a:ext>
          </a:extLst>
        </xdr:cNvPr>
        <xdr:cNvGrpSpPr/>
      </xdr:nvGrpSpPr>
      <xdr:grpSpPr>
        <a:xfrm>
          <a:off x="8337" y="968427"/>
          <a:ext cx="18227945" cy="493488"/>
          <a:chOff x="7929373" y="1068917"/>
          <a:chExt cx="5412325" cy="497416"/>
        </a:xfrm>
      </xdr:grpSpPr>
      <xdr:sp macro="" textlink="">
        <xdr:nvSpPr>
          <xdr:cNvPr id="5" name="CaixaDeTexto 4">
            <a:extLst>
              <a:ext uri="{FF2B5EF4-FFF2-40B4-BE49-F238E27FC236}">
                <a16:creationId xmlns:a16="http://schemas.microsoft.com/office/drawing/2014/main" xmlns="" id="{00000000-0008-0000-3100-000005000000}"/>
              </a:ext>
            </a:extLst>
          </xdr:cNvPr>
          <xdr:cNvSpPr txBox="1"/>
        </xdr:nvSpPr>
        <xdr:spPr>
          <a:xfrm>
            <a:off x="7929373" y="1068917"/>
            <a:ext cx="54123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Taxas e Multas</a:t>
            </a:r>
          </a:p>
        </xdr:txBody>
      </xdr:sp>
      <xdr:cxnSp macro="">
        <xdr:nvCxnSpPr>
          <xdr:cNvPr id="6" name="Conector reto 5">
            <a:extLst>
              <a:ext uri="{FF2B5EF4-FFF2-40B4-BE49-F238E27FC236}">
                <a16:creationId xmlns:a16="http://schemas.microsoft.com/office/drawing/2014/main" xmlns="" id="{00000000-0008-0000-3100-000006000000}"/>
              </a:ext>
            </a:extLst>
          </xdr:cNvPr>
          <xdr:cNvCxnSpPr/>
        </xdr:nvCxnSpPr>
        <xdr:spPr>
          <a:xfrm>
            <a:off x="9098384" y="1566333"/>
            <a:ext cx="319911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xmlns="" id="{00000000-0008-0000-3100-000007000000}"/>
            </a:ext>
          </a:extLst>
        </xdr:cNvPr>
        <xdr:cNvGrpSpPr/>
      </xdr:nvGrpSpPr>
      <xdr:grpSpPr>
        <a:xfrm>
          <a:off x="223599" y="1605342"/>
          <a:ext cx="2401068" cy="541674"/>
          <a:chOff x="7926917" y="1026747"/>
          <a:chExt cx="3174401" cy="539586"/>
        </a:xfrm>
      </xdr:grpSpPr>
      <xdr:sp macro="" textlink="">
        <xdr:nvSpPr>
          <xdr:cNvPr id="8" name="CaixaDeTexto 7">
            <a:extLst>
              <a:ext uri="{FF2B5EF4-FFF2-40B4-BE49-F238E27FC236}">
                <a16:creationId xmlns:a16="http://schemas.microsoft.com/office/drawing/2014/main" xmlns="" id="{00000000-0008-0000-31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xmlns="" id="{00000000-0008-0000-31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599524</xdr:colOff>
      <xdr:row>6</xdr:row>
      <xdr:rowOff>71878</xdr:rowOff>
    </xdr:from>
    <xdr:to>
      <xdr:col>21</xdr:col>
      <xdr:colOff>86241</xdr:colOff>
      <xdr:row>35</xdr:row>
      <xdr:rowOff>68737</xdr:rowOff>
    </xdr:to>
    <xdr:grpSp>
      <xdr:nvGrpSpPr>
        <xdr:cNvPr id="24" name="Grupo 23">
          <a:extLst>
            <a:ext uri="{FF2B5EF4-FFF2-40B4-BE49-F238E27FC236}">
              <a16:creationId xmlns:a16="http://schemas.microsoft.com/office/drawing/2014/main" xmlns="" id="{00000000-0008-0000-3100-000018000000}"/>
            </a:ext>
          </a:extLst>
        </xdr:cNvPr>
        <xdr:cNvGrpSpPr/>
      </xdr:nvGrpSpPr>
      <xdr:grpSpPr>
        <a:xfrm>
          <a:off x="6632024" y="1786378"/>
          <a:ext cx="6122467" cy="5537234"/>
          <a:chOff x="9733175" y="4412137"/>
          <a:chExt cx="3130485" cy="2743200"/>
        </a:xfrm>
      </xdr:grpSpPr>
      <xdr:graphicFrame macro="">
        <xdr:nvGraphicFramePr>
          <xdr:cNvPr id="25" name="Diagrama 24">
            <a:extLst>
              <a:ext uri="{FF2B5EF4-FFF2-40B4-BE49-F238E27FC236}">
                <a16:creationId xmlns:a16="http://schemas.microsoft.com/office/drawing/2014/main" xmlns="" id="{00000000-0008-0000-31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0">
        <xdr:nvSpPr>
          <xdr:cNvPr id="26" name="CaixaDeTexto 25">
            <a:extLst>
              <a:ext uri="{FF2B5EF4-FFF2-40B4-BE49-F238E27FC236}">
                <a16:creationId xmlns:a16="http://schemas.microsoft.com/office/drawing/2014/main" xmlns="" id="{00000000-0008-0000-3100-00001A000000}"/>
              </a:ext>
            </a:extLst>
          </xdr:cNvPr>
          <xdr:cNvSpPr txBox="1"/>
        </xdr:nvSpPr>
        <xdr:spPr>
          <a:xfrm>
            <a:off x="11378059" y="4425464"/>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2390437-4CD2-4BAB-8993-06EE719FF794}"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R$ 370.039</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9">
        <xdr:nvSpPr>
          <xdr:cNvPr id="42" name="CaixaDeTexto 41">
            <a:extLst>
              <a:ext uri="{FF2B5EF4-FFF2-40B4-BE49-F238E27FC236}">
                <a16:creationId xmlns:a16="http://schemas.microsoft.com/office/drawing/2014/main" xmlns="" id="{00000000-0008-0000-3100-00002A000000}"/>
              </a:ext>
            </a:extLst>
          </xdr:cNvPr>
          <xdr:cNvSpPr txBox="1"/>
        </xdr:nvSpPr>
        <xdr:spPr>
          <a:xfrm>
            <a:off x="11375677" y="5382762"/>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AE1E611-C091-4A46-A89F-4418515D66B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R$ 461.968</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1">
        <xdr:nvSpPr>
          <xdr:cNvPr id="43" name="CaixaDeTexto 42">
            <a:extLst>
              <a:ext uri="{FF2B5EF4-FFF2-40B4-BE49-F238E27FC236}">
                <a16:creationId xmlns:a16="http://schemas.microsoft.com/office/drawing/2014/main" xmlns="" id="{00000000-0008-0000-3100-00002B000000}"/>
              </a:ext>
            </a:extLst>
          </xdr:cNvPr>
          <xdr:cNvSpPr txBox="1"/>
        </xdr:nvSpPr>
        <xdr:spPr>
          <a:xfrm>
            <a:off x="11378260" y="6345029"/>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3BC34A6-C3EE-478C-96F1-DB5AC86BBFB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124,8%</a:t>
            </a:fld>
            <a:endParaRPr lang="pt-BR" sz="9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175794</xdr:colOff>
      <xdr:row>9</xdr:row>
      <xdr:rowOff>4309</xdr:rowOff>
    </xdr:from>
    <xdr:to>
      <xdr:col>4</xdr:col>
      <xdr:colOff>146336</xdr:colOff>
      <xdr:row>35</xdr:row>
      <xdr:rowOff>4310</xdr:rowOff>
    </xdr:to>
    <mc:AlternateContent xmlns:mc="http://schemas.openxmlformats.org/markup-compatibility/2006" xmlns:a14="http://schemas.microsoft.com/office/drawing/2010/main">
      <mc:Choice Requires="a14">
        <xdr:graphicFrame macro="">
          <xdr:nvGraphicFramePr>
            <xdr:cNvPr id="30" name="UF 5">
              <a:extLst>
                <a:ext uri="{FF2B5EF4-FFF2-40B4-BE49-F238E27FC236}">
                  <a16:creationId xmlns:a16="http://schemas.microsoft.com/office/drawing/2014/main" xmlns="" id="{00000000-0008-0000-3100-00001E000000}"/>
                </a:ext>
              </a:extLst>
            </xdr:cNvPr>
            <xdr:cNvGraphicFramePr/>
          </xdr:nvGraphicFramePr>
          <xdr:xfrm>
            <a:off x="0" y="0"/>
            <a:ext cx="0" cy="0"/>
          </xdr:xfrm>
          <a:graphic>
            <a:graphicData uri="http://schemas.microsoft.com/office/drawing/2010/slicer">
              <sle:slicer xmlns:sle="http://schemas.microsoft.com/office/drawing/2010/slicer" name="UF 5"/>
            </a:graphicData>
          </a:graphic>
        </xdr:graphicFrame>
      </mc:Choice>
      <mc:Fallback xmlns="">
        <xdr:sp macro="" textlink="">
          <xdr:nvSpPr>
            <xdr:cNvPr id="0" name=""/>
            <xdr:cNvSpPr>
              <a:spLocks noTextEdit="1"/>
            </xdr:cNvSpPr>
          </xdr:nvSpPr>
          <xdr:spPr>
            <a:xfrm>
              <a:off x="175794" y="2257785"/>
              <a:ext cx="2386640" cy="48554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22</xdr:col>
      <xdr:colOff>500800</xdr:colOff>
      <xdr:row>1</xdr:row>
      <xdr:rowOff>98196</xdr:rowOff>
    </xdr:from>
    <xdr:to>
      <xdr:col>24</xdr:col>
      <xdr:colOff>216033</xdr:colOff>
      <xdr:row>4</xdr:row>
      <xdr:rowOff>88376</xdr:rowOff>
    </xdr:to>
    <xdr:sp macro="" textlink="">
      <xdr:nvSpPr>
        <xdr:cNvPr id="51" name="CaixaDeTexto 50">
          <a:extLst>
            <a:ext uri="{FF2B5EF4-FFF2-40B4-BE49-F238E27FC236}">
              <a16:creationId xmlns:a16="http://schemas.microsoft.com/office/drawing/2014/main" xmlns="" id="{00000000-0008-0000-3100-000033000000}"/>
            </a:ext>
          </a:extLst>
        </xdr:cNvPr>
        <xdr:cNvSpPr txBox="1"/>
      </xdr:nvSpPr>
      <xdr:spPr>
        <a:xfrm>
          <a:off x="13894718" y="864124"/>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284768</xdr:colOff>
      <xdr:row>0</xdr:row>
      <xdr:rowOff>58918</xdr:rowOff>
    </xdr:from>
    <xdr:ext cx="1001595" cy="638510"/>
    <xdr:sp macro="" textlink="">
      <xdr:nvSpPr>
        <xdr:cNvPr id="27" name="CaixaDeTexto 26">
          <a:hlinkClick xmlns:r="http://schemas.openxmlformats.org/officeDocument/2006/relationships" r:id="rId7" tooltip="Voltar para a tela principal"/>
          <a:extLst>
            <a:ext uri="{FF2B5EF4-FFF2-40B4-BE49-F238E27FC236}">
              <a16:creationId xmlns:a16="http://schemas.microsoft.com/office/drawing/2014/main" xmlns="" id="{00000000-0008-0000-3100-00001B000000}"/>
            </a:ext>
          </a:extLst>
        </xdr:cNvPr>
        <xdr:cNvSpPr txBox="1"/>
      </xdr:nvSpPr>
      <xdr:spPr>
        <a:xfrm>
          <a:off x="1732175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32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4</xdr:col>
      <xdr:colOff>323770</xdr:colOff>
      <xdr:row>0</xdr:row>
      <xdr:rowOff>737518</xdr:rowOff>
    </xdr:from>
    <xdr:to>
      <xdr:col>28</xdr:col>
      <xdr:colOff>298258</xdr:colOff>
      <xdr:row>8</xdr:row>
      <xdr:rowOff>48107</xdr:rowOff>
    </xdr:to>
    <xdr:grpSp>
      <xdr:nvGrpSpPr>
        <xdr:cNvPr id="4" name="Grupo 3">
          <a:extLst>
            <a:ext uri="{FF2B5EF4-FFF2-40B4-BE49-F238E27FC236}">
              <a16:creationId xmlns:a16="http://schemas.microsoft.com/office/drawing/2014/main" xmlns="" id="{00000000-0008-0000-3200-000004000000}"/>
            </a:ext>
          </a:extLst>
        </xdr:cNvPr>
        <xdr:cNvGrpSpPr/>
      </xdr:nvGrpSpPr>
      <xdr:grpSpPr>
        <a:xfrm>
          <a:off x="2789064" y="737518"/>
          <a:ext cx="14752245" cy="1439707"/>
          <a:chOff x="3059537" y="292001"/>
          <a:chExt cx="14576414" cy="1384273"/>
        </a:xfrm>
      </xdr:grpSpPr>
      <xdr:sp macro="" textlink="">
        <xdr:nvSpPr>
          <xdr:cNvPr id="5" name="CaixaDeTexto 4">
            <a:extLst>
              <a:ext uri="{FF2B5EF4-FFF2-40B4-BE49-F238E27FC236}">
                <a16:creationId xmlns:a16="http://schemas.microsoft.com/office/drawing/2014/main" xmlns="" id="{00000000-0008-0000-32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CAU/UF</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xmlns="" id="{00000000-0008-0000-32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xmlns="" id="{00000000-0008-0000-3200-000007000000}"/>
            </a:ext>
          </a:extLst>
        </xdr:cNvPr>
        <xdr:cNvSpPr txBox="1"/>
      </xdr:nvSpPr>
      <xdr:spPr>
        <a:xfrm>
          <a:off x="16201428" y="896559"/>
          <a:ext cx="927504" cy="567452"/>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4</xdr:col>
      <xdr:colOff>497249</xdr:colOff>
      <xdr:row>7</xdr:row>
      <xdr:rowOff>38485</xdr:rowOff>
    </xdr:from>
    <xdr:to>
      <xdr:col>28</xdr:col>
      <xdr:colOff>757674</xdr:colOff>
      <xdr:row>31</xdr:row>
      <xdr:rowOff>142875</xdr:rowOff>
    </xdr:to>
    <xdr:grpSp>
      <xdr:nvGrpSpPr>
        <xdr:cNvPr id="8" name="Grupo 7">
          <a:extLst>
            <a:ext uri="{FF2B5EF4-FFF2-40B4-BE49-F238E27FC236}">
              <a16:creationId xmlns:a16="http://schemas.microsoft.com/office/drawing/2014/main" xmlns="" id="{00000000-0008-0000-3200-000008000000}"/>
            </a:ext>
          </a:extLst>
        </xdr:cNvPr>
        <xdr:cNvGrpSpPr/>
      </xdr:nvGrpSpPr>
      <xdr:grpSpPr>
        <a:xfrm>
          <a:off x="2962543" y="1971500"/>
          <a:ext cx="15038182" cy="4810860"/>
          <a:chOff x="-1958677" y="2237183"/>
          <a:chExt cx="5433624" cy="5445265"/>
        </a:xfrm>
      </xdr:grpSpPr>
      <xdr:grpSp>
        <xdr:nvGrpSpPr>
          <xdr:cNvPr id="9" name="Grupo 8">
            <a:extLst>
              <a:ext uri="{FF2B5EF4-FFF2-40B4-BE49-F238E27FC236}">
                <a16:creationId xmlns:a16="http://schemas.microsoft.com/office/drawing/2014/main" xmlns="" id="{00000000-0008-0000-3200-000009000000}"/>
              </a:ext>
            </a:extLst>
          </xdr:cNvPr>
          <xdr:cNvGrpSpPr/>
        </xdr:nvGrpSpPr>
        <xdr:grpSpPr>
          <a:xfrm>
            <a:off x="-1958677" y="3018144"/>
            <a:ext cx="5433624" cy="4664304"/>
            <a:chOff x="8148335" y="4748039"/>
            <a:chExt cx="4396540" cy="2743200"/>
          </a:xfrm>
        </xdr:grpSpPr>
        <xdr:graphicFrame macro="">
          <xdr:nvGraphicFramePr>
            <xdr:cNvPr id="13" name="Diagrama 12">
              <a:extLst>
                <a:ext uri="{FF2B5EF4-FFF2-40B4-BE49-F238E27FC236}">
                  <a16:creationId xmlns:a16="http://schemas.microsoft.com/office/drawing/2014/main" xmlns="" id="{00000000-0008-0000-3200-00000D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78">
          <xdr:nvSpPr>
            <xdr:cNvPr id="14" name="CaixaDeTexto 13">
              <a:extLst>
                <a:ext uri="{FF2B5EF4-FFF2-40B4-BE49-F238E27FC236}">
                  <a16:creationId xmlns:a16="http://schemas.microsoft.com/office/drawing/2014/main" xmlns="" id="{00000000-0008-0000-3200-00000E000000}"/>
                </a:ext>
              </a:extLst>
            </xdr:cNvPr>
            <xdr:cNvSpPr txBox="1"/>
          </xdr:nvSpPr>
          <xdr:spPr>
            <a:xfrm>
              <a:off x="11445789" y="5292027"/>
              <a:ext cx="1099086"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81EDF06-69C2-4F5B-8DAE-C11A1414CE29}"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R$ 11.048.404</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7">
          <xdr:nvSpPr>
            <xdr:cNvPr id="15" name="CaixaDeTexto 14">
              <a:extLst>
                <a:ext uri="{FF2B5EF4-FFF2-40B4-BE49-F238E27FC236}">
                  <a16:creationId xmlns:a16="http://schemas.microsoft.com/office/drawing/2014/main" xmlns="" id="{00000000-0008-0000-3200-00000F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5EDF1D-DE24-4DC3-8325-76477952BAB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R$ 9.895.202</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1">
          <xdr:nvSpPr>
            <xdr:cNvPr id="16" name="CaixaDeTexto 15">
              <a:extLst>
                <a:ext uri="{FF2B5EF4-FFF2-40B4-BE49-F238E27FC236}">
                  <a16:creationId xmlns:a16="http://schemas.microsoft.com/office/drawing/2014/main" xmlns="" id="{00000000-0008-0000-3200-000010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066CCD-AE01-4DD3-909A-51590F1034BC}"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5,1%</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9">
          <xdr:nvSpPr>
            <xdr:cNvPr id="17" name="CaixaDeTexto 16">
              <a:extLst>
                <a:ext uri="{FF2B5EF4-FFF2-40B4-BE49-F238E27FC236}">
                  <a16:creationId xmlns:a16="http://schemas.microsoft.com/office/drawing/2014/main" xmlns="" id="{00000000-0008-0000-3200-000011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7A7654-4B2F-4C42-956E-E6D15AE12C5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111,7%</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2" name="Conector reto 11">
            <a:extLst>
              <a:ext uri="{FF2B5EF4-FFF2-40B4-BE49-F238E27FC236}">
                <a16:creationId xmlns:a16="http://schemas.microsoft.com/office/drawing/2014/main" xmlns="" id="{00000000-0008-0000-3200-00000C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46" name="CaixaDeTexto 45">
          <a:hlinkClick xmlns:r="http://schemas.openxmlformats.org/officeDocument/2006/relationships" r:id="rId7" tooltip="Voltar para a tela principal"/>
          <a:extLst>
            <a:ext uri="{FF2B5EF4-FFF2-40B4-BE49-F238E27FC236}">
              <a16:creationId xmlns:a16="http://schemas.microsoft.com/office/drawing/2014/main" xmlns="" id="{00000000-0008-0000-3200-00002E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192424</xdr:colOff>
      <xdr:row>5</xdr:row>
      <xdr:rowOff>153939</xdr:rowOff>
    </xdr:from>
    <xdr:to>
      <xdr:col>4</xdr:col>
      <xdr:colOff>211280</xdr:colOff>
      <xdr:row>8</xdr:row>
      <xdr:rowOff>118341</xdr:rowOff>
    </xdr:to>
    <xdr:grpSp>
      <xdr:nvGrpSpPr>
        <xdr:cNvPr id="49" name="Grupo 48">
          <a:extLst>
            <a:ext uri="{FF2B5EF4-FFF2-40B4-BE49-F238E27FC236}">
              <a16:creationId xmlns:a16="http://schemas.microsoft.com/office/drawing/2014/main" xmlns="" id="{00000000-0008-0000-3200-000031000000}"/>
            </a:ext>
          </a:extLst>
        </xdr:cNvPr>
        <xdr:cNvGrpSpPr/>
      </xdr:nvGrpSpPr>
      <xdr:grpSpPr>
        <a:xfrm>
          <a:off x="192424" y="1694748"/>
          <a:ext cx="2484150" cy="552711"/>
          <a:chOff x="7926917" y="1026747"/>
          <a:chExt cx="3174401" cy="539586"/>
        </a:xfrm>
      </xdr:grpSpPr>
      <xdr:sp macro="" textlink="">
        <xdr:nvSpPr>
          <xdr:cNvPr id="50" name="CaixaDeTexto 49">
            <a:extLst>
              <a:ext uri="{FF2B5EF4-FFF2-40B4-BE49-F238E27FC236}">
                <a16:creationId xmlns:a16="http://schemas.microsoft.com/office/drawing/2014/main" xmlns="" id="{00000000-0008-0000-3200-000032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51" name="Conector reto 50">
            <a:extLst>
              <a:ext uri="{FF2B5EF4-FFF2-40B4-BE49-F238E27FC236}">
                <a16:creationId xmlns:a16="http://schemas.microsoft.com/office/drawing/2014/main" xmlns="" id="{00000000-0008-0000-3200-000033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211667</xdr:colOff>
      <xdr:row>9</xdr:row>
      <xdr:rowOff>48106</xdr:rowOff>
    </xdr:from>
    <xdr:to>
      <xdr:col>4</xdr:col>
      <xdr:colOff>212997</xdr:colOff>
      <xdr:row>35</xdr:row>
      <xdr:rowOff>962</xdr:rowOff>
    </xdr:to>
    <mc:AlternateContent xmlns:mc="http://schemas.openxmlformats.org/markup-compatibility/2006" xmlns:a14="http://schemas.microsoft.com/office/drawing/2010/main">
      <mc:Choice Requires="a14">
        <xdr:graphicFrame macro="">
          <xdr:nvGraphicFramePr>
            <xdr:cNvPr id="55" name="UF 7">
              <a:extLst>
                <a:ext uri="{FF2B5EF4-FFF2-40B4-BE49-F238E27FC236}">
                  <a16:creationId xmlns:a16="http://schemas.microsoft.com/office/drawing/2014/main" xmlns="" id="{00000000-0008-0000-3200-000037000000}"/>
                </a:ext>
              </a:extLst>
            </xdr:cNvPr>
            <xdr:cNvGraphicFramePr/>
          </xdr:nvGraphicFramePr>
          <xdr:xfrm>
            <a:off x="0" y="0"/>
            <a:ext cx="0" cy="0"/>
          </xdr:xfrm>
          <a:graphic>
            <a:graphicData uri="http://schemas.microsoft.com/office/drawing/2010/slicer">
              <sle:slicer xmlns:sle="http://schemas.microsoft.com/office/drawing/2010/slicer" name="UF 7"/>
            </a:graphicData>
          </a:graphic>
        </xdr:graphicFrame>
      </mc:Choice>
      <mc:Fallback xmlns="">
        <xdr:sp macro="" textlink="">
          <xdr:nvSpPr>
            <xdr:cNvPr id="0" name=""/>
            <xdr:cNvSpPr>
              <a:spLocks noTextEdit="1"/>
            </xdr:cNvSpPr>
          </xdr:nvSpPr>
          <xdr:spPr>
            <a:xfrm>
              <a:off x="211667" y="2347576"/>
              <a:ext cx="2425875" cy="496358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326704</xdr:colOff>
      <xdr:row>5</xdr:row>
      <xdr:rowOff>166933</xdr:rowOff>
    </xdr:from>
    <xdr:to>
      <xdr:col>6</xdr:col>
      <xdr:colOff>268567</xdr:colOff>
      <xdr:row>8</xdr:row>
      <xdr:rowOff>79915</xdr:rowOff>
    </xdr:to>
    <xdr:sp macro="" textlink="">
      <xdr:nvSpPr>
        <xdr:cNvPr id="38" name="CaixaDeTexto 37">
          <a:extLst>
            <a:ext uri="{FF2B5EF4-FFF2-40B4-BE49-F238E27FC236}">
              <a16:creationId xmlns:a16="http://schemas.microsoft.com/office/drawing/2014/main" xmlns="" id="{00000000-0008-0000-3300-000026000000}"/>
            </a:ext>
          </a:extLst>
        </xdr:cNvPr>
        <xdr:cNvSpPr txBox="1"/>
      </xdr:nvSpPr>
      <xdr:spPr>
        <a:xfrm>
          <a:off x="937892" y="1690933"/>
          <a:ext cx="2997800" cy="484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PF</a:t>
          </a:r>
        </a:p>
      </xdr:txBody>
    </xdr:sp>
    <xdr:clientData/>
  </xdr:twoCellAnchor>
  <xdr:twoCellAnchor>
    <xdr:from>
      <xdr:col>1</xdr:col>
      <xdr:colOff>201344</xdr:colOff>
      <xdr:row>8</xdr:row>
      <xdr:rowOff>136252</xdr:rowOff>
    </xdr:from>
    <xdr:to>
      <xdr:col>6</xdr:col>
      <xdr:colOff>387539</xdr:colOff>
      <xdr:row>8</xdr:row>
      <xdr:rowOff>136252</xdr:rowOff>
    </xdr:to>
    <xdr:cxnSp macro="">
      <xdr:nvCxnSpPr>
        <xdr:cNvPr id="39" name="Conector reto 38">
          <a:extLst>
            <a:ext uri="{FF2B5EF4-FFF2-40B4-BE49-F238E27FC236}">
              <a16:creationId xmlns:a16="http://schemas.microsoft.com/office/drawing/2014/main" xmlns="" id="{00000000-0008-0000-3300-000027000000}"/>
            </a:ext>
          </a:extLst>
        </xdr:cNvPr>
        <xdr:cNvCxnSpPr/>
      </xdr:nvCxnSpPr>
      <xdr:spPr>
        <a:xfrm>
          <a:off x="812532" y="2231752"/>
          <a:ext cx="3242132"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clientData/>
  </xdr:twoCellAnchor>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33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9" name="Grupo 48">
          <a:extLst>
            <a:ext uri="{FF2B5EF4-FFF2-40B4-BE49-F238E27FC236}">
              <a16:creationId xmlns:a16="http://schemas.microsoft.com/office/drawing/2014/main" xmlns="" id="{00000000-0008-0000-3300-000031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xmlns="" id="{00000000-0008-0000-33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Anuidades PF e PJ - CAU/BR</a:t>
            </a:r>
          </a:p>
        </xdr:txBody>
      </xdr:sp>
      <xdr:cxnSp macro="">
        <xdr:nvCxnSpPr>
          <xdr:cNvPr id="6" name="Conector reto 5">
            <a:extLst>
              <a:ext uri="{FF2B5EF4-FFF2-40B4-BE49-F238E27FC236}">
                <a16:creationId xmlns:a16="http://schemas.microsoft.com/office/drawing/2014/main" xmlns="" id="{00000000-0008-0000-33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29" name="CaixaDeTexto 28">
          <a:extLst>
            <a:ext uri="{FF2B5EF4-FFF2-40B4-BE49-F238E27FC236}">
              <a16:creationId xmlns:a16="http://schemas.microsoft.com/office/drawing/2014/main" xmlns="" id="{00000000-0008-0000-3300-00001D000000}"/>
            </a:ext>
          </a:extLst>
        </xdr:cNvPr>
        <xdr:cNvSpPr txBox="1"/>
      </xdr:nvSpPr>
      <xdr:spPr>
        <a:xfrm>
          <a:off x="15053428" y="85430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7</xdr:col>
      <xdr:colOff>568443</xdr:colOff>
      <xdr:row>9</xdr:row>
      <xdr:rowOff>98192</xdr:rowOff>
    </xdr:from>
    <xdr:to>
      <xdr:col>14</xdr:col>
      <xdr:colOff>163559</xdr:colOff>
      <xdr:row>12</xdr:row>
      <xdr:rowOff>67631</xdr:rowOff>
    </xdr:to>
    <xdr:grpSp>
      <xdr:nvGrpSpPr>
        <xdr:cNvPr id="42" name="Grupo 41">
          <a:extLst>
            <a:ext uri="{FF2B5EF4-FFF2-40B4-BE49-F238E27FC236}">
              <a16:creationId xmlns:a16="http://schemas.microsoft.com/office/drawing/2014/main" xmlns="" id="{00000000-0008-0000-3300-00002A000000}"/>
            </a:ext>
          </a:extLst>
        </xdr:cNvPr>
        <xdr:cNvGrpSpPr/>
      </xdr:nvGrpSpPr>
      <xdr:grpSpPr>
        <a:xfrm>
          <a:off x="4791193" y="2384192"/>
          <a:ext cx="3817866" cy="540939"/>
          <a:chOff x="7196124" y="1026747"/>
          <a:chExt cx="4617748" cy="539586"/>
        </a:xfrm>
      </xdr:grpSpPr>
      <xdr:sp macro="" textlink="">
        <xdr:nvSpPr>
          <xdr:cNvPr id="43" name="CaixaDeTexto 42">
            <a:extLst>
              <a:ext uri="{FF2B5EF4-FFF2-40B4-BE49-F238E27FC236}">
                <a16:creationId xmlns:a16="http://schemas.microsoft.com/office/drawing/2014/main" xmlns="" id="{00000000-0008-0000-3300-00002B000000}"/>
              </a:ext>
            </a:extLst>
          </xdr:cNvPr>
          <xdr:cNvSpPr txBox="1"/>
        </xdr:nvSpPr>
        <xdr:spPr>
          <a:xfrm>
            <a:off x="7196124" y="1026747"/>
            <a:ext cx="4617748"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PF</a:t>
            </a:r>
          </a:p>
        </xdr:txBody>
      </xdr:sp>
      <xdr:cxnSp macro="">
        <xdr:nvCxnSpPr>
          <xdr:cNvPr id="44" name="Conector reto 43">
            <a:extLst>
              <a:ext uri="{FF2B5EF4-FFF2-40B4-BE49-F238E27FC236}">
                <a16:creationId xmlns:a16="http://schemas.microsoft.com/office/drawing/2014/main" xmlns="" id="{00000000-0008-0000-3300-00002C000000}"/>
              </a:ext>
            </a:extLst>
          </xdr:cNvPr>
          <xdr:cNvCxnSpPr/>
        </xdr:nvCxnSpPr>
        <xdr:spPr>
          <a:xfrm>
            <a:off x="7572662" y="1566333"/>
            <a:ext cx="3896064"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twoCellAnchor>
    <xdr:from>
      <xdr:col>17</xdr:col>
      <xdr:colOff>223465</xdr:colOff>
      <xdr:row>6</xdr:row>
      <xdr:rowOff>14925</xdr:rowOff>
    </xdr:from>
    <xdr:to>
      <xdr:col>21</xdr:col>
      <xdr:colOff>474125</xdr:colOff>
      <xdr:row>8</xdr:row>
      <xdr:rowOff>174744</xdr:rowOff>
    </xdr:to>
    <xdr:grpSp>
      <xdr:nvGrpSpPr>
        <xdr:cNvPr id="73" name="Grupo 72">
          <a:extLst>
            <a:ext uri="{FF2B5EF4-FFF2-40B4-BE49-F238E27FC236}">
              <a16:creationId xmlns:a16="http://schemas.microsoft.com/office/drawing/2014/main" xmlns="" id="{00000000-0008-0000-3300-000049000000}"/>
            </a:ext>
          </a:extLst>
        </xdr:cNvPr>
        <xdr:cNvGrpSpPr/>
      </xdr:nvGrpSpPr>
      <xdr:grpSpPr>
        <a:xfrm>
          <a:off x="10478715" y="1729425"/>
          <a:ext cx="2663660" cy="540819"/>
          <a:chOff x="7926917" y="1026747"/>
          <a:chExt cx="3174401" cy="539586"/>
        </a:xfrm>
      </xdr:grpSpPr>
      <xdr:sp macro="" textlink="">
        <xdr:nvSpPr>
          <xdr:cNvPr id="74" name="CaixaDeTexto 73">
            <a:extLst>
              <a:ext uri="{FF2B5EF4-FFF2-40B4-BE49-F238E27FC236}">
                <a16:creationId xmlns:a16="http://schemas.microsoft.com/office/drawing/2014/main" xmlns="" id="{00000000-0008-0000-3300-00004A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PJ</a:t>
            </a:r>
          </a:p>
        </xdr:txBody>
      </xdr:sp>
      <xdr:cxnSp macro="">
        <xdr:nvCxnSpPr>
          <xdr:cNvPr id="75" name="Conector reto 74">
            <a:extLst>
              <a:ext uri="{FF2B5EF4-FFF2-40B4-BE49-F238E27FC236}">
                <a16:creationId xmlns:a16="http://schemas.microsoft.com/office/drawing/2014/main" xmlns="" id="{00000000-0008-0000-3300-00004B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176754</xdr:colOff>
      <xdr:row>9</xdr:row>
      <xdr:rowOff>132757</xdr:rowOff>
    </xdr:from>
    <xdr:to>
      <xdr:col>28</xdr:col>
      <xdr:colOff>1029461</xdr:colOff>
      <xdr:row>12</xdr:row>
      <xdr:rowOff>102196</xdr:rowOff>
    </xdr:to>
    <xdr:grpSp>
      <xdr:nvGrpSpPr>
        <xdr:cNvPr id="83" name="Grupo 82">
          <a:extLst>
            <a:ext uri="{FF2B5EF4-FFF2-40B4-BE49-F238E27FC236}">
              <a16:creationId xmlns:a16="http://schemas.microsoft.com/office/drawing/2014/main" xmlns="" id="{00000000-0008-0000-3300-000053000000}"/>
            </a:ext>
          </a:extLst>
        </xdr:cNvPr>
        <xdr:cNvGrpSpPr/>
      </xdr:nvGrpSpPr>
      <xdr:grpSpPr>
        <a:xfrm>
          <a:off x="14051504" y="2418757"/>
          <a:ext cx="3868957" cy="540939"/>
          <a:chOff x="7189546" y="1026747"/>
          <a:chExt cx="4617745" cy="539586"/>
        </a:xfrm>
      </xdr:grpSpPr>
      <xdr:sp macro="" textlink="">
        <xdr:nvSpPr>
          <xdr:cNvPr id="84" name="CaixaDeTexto 83">
            <a:extLst>
              <a:ext uri="{FF2B5EF4-FFF2-40B4-BE49-F238E27FC236}">
                <a16:creationId xmlns:a16="http://schemas.microsoft.com/office/drawing/2014/main" xmlns="" id="{00000000-0008-0000-3300-000054000000}"/>
              </a:ext>
            </a:extLst>
          </xdr:cNvPr>
          <xdr:cNvSpPr txBox="1"/>
        </xdr:nvSpPr>
        <xdr:spPr>
          <a:xfrm>
            <a:off x="7189546" y="1026747"/>
            <a:ext cx="461774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PJ</a:t>
            </a:r>
          </a:p>
        </xdr:txBody>
      </xdr:sp>
      <xdr:cxnSp macro="">
        <xdr:nvCxnSpPr>
          <xdr:cNvPr id="85" name="Conector reto 84">
            <a:extLst>
              <a:ext uri="{FF2B5EF4-FFF2-40B4-BE49-F238E27FC236}">
                <a16:creationId xmlns:a16="http://schemas.microsoft.com/office/drawing/2014/main" xmlns="" id="{00000000-0008-0000-3300-000055000000}"/>
              </a:ext>
            </a:extLst>
          </xdr:cNvPr>
          <xdr:cNvCxnSpPr/>
        </xdr:nvCxnSpPr>
        <xdr:spPr>
          <a:xfrm>
            <a:off x="7572662" y="1566333"/>
            <a:ext cx="389606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90" name="CaixaDeTexto 89">
          <a:hlinkClick xmlns:r="http://schemas.openxmlformats.org/officeDocument/2006/relationships" r:id="rId2" tooltip="Voltar para a tela principal"/>
          <a:extLst>
            <a:ext uri="{FF2B5EF4-FFF2-40B4-BE49-F238E27FC236}">
              <a16:creationId xmlns:a16="http://schemas.microsoft.com/office/drawing/2014/main" xmlns="" id="{00000000-0008-0000-3300-00005A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1</xdr:col>
      <xdr:colOff>452195</xdr:colOff>
      <xdr:row>8</xdr:row>
      <xdr:rowOff>134696</xdr:rowOff>
    </xdr:from>
    <xdr:to>
      <xdr:col>6</xdr:col>
      <xdr:colOff>95886</xdr:colOff>
      <xdr:row>8</xdr:row>
      <xdr:rowOff>134696</xdr:rowOff>
    </xdr:to>
    <xdr:cxnSp macro="">
      <xdr:nvCxnSpPr>
        <xdr:cNvPr id="52" name="Conector reto 51">
          <a:extLst>
            <a:ext uri="{FF2B5EF4-FFF2-40B4-BE49-F238E27FC236}">
              <a16:creationId xmlns:a16="http://schemas.microsoft.com/office/drawing/2014/main" xmlns="" id="{00000000-0008-0000-3300-000034000000}"/>
            </a:ext>
          </a:extLst>
        </xdr:cNvPr>
        <xdr:cNvCxnSpPr/>
      </xdr:nvCxnSpPr>
      <xdr:spPr>
        <a:xfrm>
          <a:off x="1058331" y="2241741"/>
          <a:ext cx="267437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183591</xdr:colOff>
      <xdr:row>12</xdr:row>
      <xdr:rowOff>78948</xdr:rowOff>
    </xdr:from>
    <xdr:to>
      <xdr:col>14</xdr:col>
      <xdr:colOff>38773</xdr:colOff>
      <xdr:row>12</xdr:row>
      <xdr:rowOff>78948</xdr:rowOff>
    </xdr:to>
    <xdr:cxnSp macro="">
      <xdr:nvCxnSpPr>
        <xdr:cNvPr id="53" name="Conector reto 52">
          <a:extLst>
            <a:ext uri="{FF2B5EF4-FFF2-40B4-BE49-F238E27FC236}">
              <a16:creationId xmlns:a16="http://schemas.microsoft.com/office/drawing/2014/main" xmlns="" id="{00000000-0008-0000-3300-000035000000}"/>
            </a:ext>
          </a:extLst>
        </xdr:cNvPr>
        <xdr:cNvCxnSpPr/>
      </xdr:nvCxnSpPr>
      <xdr:spPr>
        <a:xfrm>
          <a:off x="5032682" y="2955690"/>
          <a:ext cx="349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81757</xdr:colOff>
      <xdr:row>10</xdr:row>
      <xdr:rowOff>67468</xdr:rowOff>
    </xdr:from>
    <xdr:to>
      <xdr:col>7</xdr:col>
      <xdr:colOff>115094</xdr:colOff>
      <xdr:row>36</xdr:row>
      <xdr:rowOff>111917</xdr:rowOff>
    </xdr:to>
    <xdr:grpSp>
      <xdr:nvGrpSpPr>
        <xdr:cNvPr id="15" name="Agrupar 14">
          <a:extLst>
            <a:ext uri="{FF2B5EF4-FFF2-40B4-BE49-F238E27FC236}">
              <a16:creationId xmlns:a16="http://schemas.microsoft.com/office/drawing/2014/main" xmlns="" id="{00000000-0008-0000-3300-00000F000000}"/>
            </a:ext>
          </a:extLst>
        </xdr:cNvPr>
        <xdr:cNvGrpSpPr/>
      </xdr:nvGrpSpPr>
      <xdr:grpSpPr>
        <a:xfrm>
          <a:off x="685007" y="2543968"/>
          <a:ext cx="3652837" cy="5013324"/>
          <a:chOff x="10083007" y="2524918"/>
          <a:chExt cx="3690937" cy="5006974"/>
        </a:xfrm>
      </xdr:grpSpPr>
      <xdr:grpSp>
        <xdr:nvGrpSpPr>
          <xdr:cNvPr id="14" name="Agrupar 13">
            <a:extLst>
              <a:ext uri="{FF2B5EF4-FFF2-40B4-BE49-F238E27FC236}">
                <a16:creationId xmlns:a16="http://schemas.microsoft.com/office/drawing/2014/main" xmlns="" id="{00000000-0008-0000-3300-00000E000000}"/>
              </a:ext>
            </a:extLst>
          </xdr:cNvPr>
          <xdr:cNvGrpSpPr/>
        </xdr:nvGrpSpPr>
        <xdr:grpSpPr>
          <a:xfrm>
            <a:off x="10083007" y="2524918"/>
            <a:ext cx="1757362" cy="5006974"/>
            <a:chOff x="10108407" y="2524125"/>
            <a:chExt cx="1762125" cy="5005387"/>
          </a:xfrm>
        </xdr:grpSpPr>
        <xdr:sp macro="" textlink="">
          <xdr:nvSpPr>
            <xdr:cNvPr id="13" name="CaixaDeTexto 12">
              <a:extLst>
                <a:ext uri="{FF2B5EF4-FFF2-40B4-BE49-F238E27FC236}">
                  <a16:creationId xmlns:a16="http://schemas.microsoft.com/office/drawing/2014/main" xmlns="" id="{00000000-0008-0000-3300-00000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16" name="CaixaDeTexto 115">
              <a:extLst>
                <a:ext uri="{FF2B5EF4-FFF2-40B4-BE49-F238E27FC236}">
                  <a16:creationId xmlns:a16="http://schemas.microsoft.com/office/drawing/2014/main" xmlns="" id="{00000000-0008-0000-3300-00007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17" name="CaixaDeTexto 116">
              <a:extLst>
                <a:ext uri="{FF2B5EF4-FFF2-40B4-BE49-F238E27FC236}">
                  <a16:creationId xmlns:a16="http://schemas.microsoft.com/office/drawing/2014/main" xmlns="" id="{00000000-0008-0000-3300-00007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18" name="CaixaDeTexto 117">
              <a:extLst>
                <a:ext uri="{FF2B5EF4-FFF2-40B4-BE49-F238E27FC236}">
                  <a16:creationId xmlns:a16="http://schemas.microsoft.com/office/drawing/2014/main" xmlns="" id="{00000000-0008-0000-3300-000076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24" name="Agrupar 123">
            <a:extLst>
              <a:ext uri="{FF2B5EF4-FFF2-40B4-BE49-F238E27FC236}">
                <a16:creationId xmlns:a16="http://schemas.microsoft.com/office/drawing/2014/main" xmlns="" id="{00000000-0008-0000-3300-00007C000000}"/>
              </a:ext>
            </a:extLst>
          </xdr:cNvPr>
          <xdr:cNvGrpSpPr/>
        </xdr:nvGrpSpPr>
        <xdr:grpSpPr>
          <a:xfrm>
            <a:off x="12016582" y="2524918"/>
            <a:ext cx="1757362" cy="5006974"/>
            <a:chOff x="12600782" y="2468562"/>
            <a:chExt cx="1762125" cy="5005387"/>
          </a:xfrm>
        </xdr:grpSpPr>
        <xdr:sp macro="" textlink="'Dados - Receita e Qntd'!BD35">
          <xdr:nvSpPr>
            <xdr:cNvPr id="125" name="CaixaDeTexto 124">
              <a:extLst>
                <a:ext uri="{FF2B5EF4-FFF2-40B4-BE49-F238E27FC236}">
                  <a16:creationId xmlns:a16="http://schemas.microsoft.com/office/drawing/2014/main" xmlns="" id="{00000000-0008-0000-3300-00007D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7A199CE-8180-44AD-A677-8D115685048F}"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R$ 9.890.495</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E31">
          <xdr:nvSpPr>
            <xdr:cNvPr id="126" name="CaixaDeTexto 125">
              <a:extLst>
                <a:ext uri="{FF2B5EF4-FFF2-40B4-BE49-F238E27FC236}">
                  <a16:creationId xmlns:a16="http://schemas.microsoft.com/office/drawing/2014/main" xmlns="" id="{00000000-0008-0000-3300-00007E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91E53A2-0590-461F-9131-911E4CEA642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R$ 10.964.506</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6">
          <xdr:nvSpPr>
            <xdr:cNvPr id="127" name="CaixaDeTexto 126">
              <a:extLst>
                <a:ext uri="{FF2B5EF4-FFF2-40B4-BE49-F238E27FC236}">
                  <a16:creationId xmlns:a16="http://schemas.microsoft.com/office/drawing/2014/main" xmlns="" id="{00000000-0008-0000-3300-00007F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4BFE60-C4C0-465A-B0C7-00D6D2852F72}"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110,9%</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R31">
          <xdr:nvSpPr>
            <xdr:cNvPr id="128" name="CaixaDeTexto 127">
              <a:extLst>
                <a:ext uri="{FF2B5EF4-FFF2-40B4-BE49-F238E27FC236}">
                  <a16:creationId xmlns:a16="http://schemas.microsoft.com/office/drawing/2014/main" xmlns="" id="{00000000-0008-0000-3300-000080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EEE97D1-5012-4965-BFA8-D6902A1DCB60}"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5,7%</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16</xdr:col>
      <xdr:colOff>481807</xdr:colOff>
      <xdr:row>10</xdr:row>
      <xdr:rowOff>67468</xdr:rowOff>
    </xdr:from>
    <xdr:to>
      <xdr:col>22</xdr:col>
      <xdr:colOff>515144</xdr:colOff>
      <xdr:row>36</xdr:row>
      <xdr:rowOff>111917</xdr:rowOff>
    </xdr:to>
    <xdr:grpSp>
      <xdr:nvGrpSpPr>
        <xdr:cNvPr id="134" name="Agrupar 133">
          <a:extLst>
            <a:ext uri="{FF2B5EF4-FFF2-40B4-BE49-F238E27FC236}">
              <a16:creationId xmlns:a16="http://schemas.microsoft.com/office/drawing/2014/main" xmlns="" id="{00000000-0008-0000-3300-000086000000}"/>
            </a:ext>
          </a:extLst>
        </xdr:cNvPr>
        <xdr:cNvGrpSpPr/>
      </xdr:nvGrpSpPr>
      <xdr:grpSpPr>
        <a:xfrm>
          <a:off x="10133807" y="2543968"/>
          <a:ext cx="3652837" cy="5013324"/>
          <a:chOff x="10083007" y="2524918"/>
          <a:chExt cx="3690937" cy="5006974"/>
        </a:xfrm>
      </xdr:grpSpPr>
      <xdr:grpSp>
        <xdr:nvGrpSpPr>
          <xdr:cNvPr id="135" name="Agrupar 134">
            <a:extLst>
              <a:ext uri="{FF2B5EF4-FFF2-40B4-BE49-F238E27FC236}">
                <a16:creationId xmlns:a16="http://schemas.microsoft.com/office/drawing/2014/main" xmlns="" id="{00000000-0008-0000-3300-000087000000}"/>
              </a:ext>
            </a:extLst>
          </xdr:cNvPr>
          <xdr:cNvGrpSpPr/>
        </xdr:nvGrpSpPr>
        <xdr:grpSpPr>
          <a:xfrm>
            <a:off x="10083007" y="2524918"/>
            <a:ext cx="1757362" cy="5006974"/>
            <a:chOff x="10108407" y="2524125"/>
            <a:chExt cx="1762125" cy="5005387"/>
          </a:xfrm>
        </xdr:grpSpPr>
        <xdr:sp macro="" textlink="">
          <xdr:nvSpPr>
            <xdr:cNvPr id="141" name="CaixaDeTexto 140">
              <a:extLst>
                <a:ext uri="{FF2B5EF4-FFF2-40B4-BE49-F238E27FC236}">
                  <a16:creationId xmlns:a16="http://schemas.microsoft.com/office/drawing/2014/main" xmlns="" id="{00000000-0008-0000-3300-00008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42" name="CaixaDeTexto 141">
              <a:extLst>
                <a:ext uri="{FF2B5EF4-FFF2-40B4-BE49-F238E27FC236}">
                  <a16:creationId xmlns:a16="http://schemas.microsoft.com/office/drawing/2014/main" xmlns="" id="{00000000-0008-0000-3300-00008E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43" name="CaixaDeTexto 142">
              <a:extLst>
                <a:ext uri="{FF2B5EF4-FFF2-40B4-BE49-F238E27FC236}">
                  <a16:creationId xmlns:a16="http://schemas.microsoft.com/office/drawing/2014/main" xmlns="" id="{00000000-0008-0000-3300-00008F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44" name="CaixaDeTexto 143">
              <a:extLst>
                <a:ext uri="{FF2B5EF4-FFF2-40B4-BE49-F238E27FC236}">
                  <a16:creationId xmlns:a16="http://schemas.microsoft.com/office/drawing/2014/main" xmlns="" id="{00000000-0008-0000-3300-000090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36" name="Agrupar 135">
            <a:extLst>
              <a:ext uri="{FF2B5EF4-FFF2-40B4-BE49-F238E27FC236}">
                <a16:creationId xmlns:a16="http://schemas.microsoft.com/office/drawing/2014/main" xmlns="" id="{00000000-0008-0000-3300-000088000000}"/>
              </a:ext>
            </a:extLst>
          </xdr:cNvPr>
          <xdr:cNvGrpSpPr/>
        </xdr:nvGrpSpPr>
        <xdr:grpSpPr>
          <a:xfrm>
            <a:off x="12016582" y="2524918"/>
            <a:ext cx="1757362" cy="5006974"/>
            <a:chOff x="12600782" y="2468562"/>
            <a:chExt cx="1762125" cy="5005387"/>
          </a:xfrm>
        </xdr:grpSpPr>
        <xdr:sp macro="" textlink="'Dados - Receita e Qntd'!BD41">
          <xdr:nvSpPr>
            <xdr:cNvPr id="137" name="CaixaDeTexto 136">
              <a:extLst>
                <a:ext uri="{FF2B5EF4-FFF2-40B4-BE49-F238E27FC236}">
                  <a16:creationId xmlns:a16="http://schemas.microsoft.com/office/drawing/2014/main" xmlns="" id="{00000000-0008-0000-3300-000089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A6247C4-AC0C-43B7-9CDF-8331C838B30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R$ 1.319.646</a:t>
              </a:fld>
              <a:endParaRPr lang="pt-BR" sz="36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K31">
          <xdr:nvSpPr>
            <xdr:cNvPr id="138" name="CaixaDeTexto 137">
              <a:extLst>
                <a:ext uri="{FF2B5EF4-FFF2-40B4-BE49-F238E27FC236}">
                  <a16:creationId xmlns:a16="http://schemas.microsoft.com/office/drawing/2014/main" xmlns="" id="{00000000-0008-0000-3300-00008A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25E19B-E361-4095-8FDF-868188974BFA}"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R$ 1.393.858</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2">
          <xdr:nvSpPr>
            <xdr:cNvPr id="139" name="CaixaDeTexto 138">
              <a:extLst>
                <a:ext uri="{FF2B5EF4-FFF2-40B4-BE49-F238E27FC236}">
                  <a16:creationId xmlns:a16="http://schemas.microsoft.com/office/drawing/2014/main" xmlns="" id="{00000000-0008-0000-3300-00008B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C1CD1B9-4B5E-4156-A58C-84D63290FB18}"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105,6%</a:t>
              </a:fld>
              <a:endParaRPr lang="pt-BR" sz="48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S31">
          <xdr:nvSpPr>
            <xdr:cNvPr id="140" name="CaixaDeTexto 139">
              <a:extLst>
                <a:ext uri="{FF2B5EF4-FFF2-40B4-BE49-F238E27FC236}">
                  <a16:creationId xmlns:a16="http://schemas.microsoft.com/office/drawing/2014/main" xmlns="" id="{00000000-0008-0000-3300-00008C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3A30E29-BA6F-43F3-9199-A5409D1C5DDB}"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-6,6%</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8</xdr:col>
      <xdr:colOff>81757</xdr:colOff>
      <xdr:row>13</xdr:row>
      <xdr:rowOff>172243</xdr:rowOff>
    </xdr:from>
    <xdr:to>
      <xdr:col>14</xdr:col>
      <xdr:colOff>115094</xdr:colOff>
      <xdr:row>33</xdr:row>
      <xdr:rowOff>40061</xdr:rowOff>
    </xdr:to>
    <xdr:grpSp>
      <xdr:nvGrpSpPr>
        <xdr:cNvPr id="145" name="Agrupar 144">
          <a:extLst>
            <a:ext uri="{FF2B5EF4-FFF2-40B4-BE49-F238E27FC236}">
              <a16:creationId xmlns:a16="http://schemas.microsoft.com/office/drawing/2014/main" xmlns="" id="{00000000-0008-0000-3300-000091000000}"/>
            </a:ext>
          </a:extLst>
        </xdr:cNvPr>
        <xdr:cNvGrpSpPr/>
      </xdr:nvGrpSpPr>
      <xdr:grpSpPr>
        <a:xfrm>
          <a:off x="4907757" y="3220243"/>
          <a:ext cx="3652837" cy="3693693"/>
          <a:chOff x="10083007" y="2524918"/>
          <a:chExt cx="3690937" cy="3687343"/>
        </a:xfrm>
      </xdr:grpSpPr>
      <xdr:grpSp>
        <xdr:nvGrpSpPr>
          <xdr:cNvPr id="146" name="Agrupar 145">
            <a:extLst>
              <a:ext uri="{FF2B5EF4-FFF2-40B4-BE49-F238E27FC236}">
                <a16:creationId xmlns:a16="http://schemas.microsoft.com/office/drawing/2014/main" xmlns="" id="{00000000-0008-0000-3300-000092000000}"/>
              </a:ext>
            </a:extLst>
          </xdr:cNvPr>
          <xdr:cNvGrpSpPr/>
        </xdr:nvGrpSpPr>
        <xdr:grpSpPr>
          <a:xfrm>
            <a:off x="10083007" y="2524918"/>
            <a:ext cx="1757362" cy="3687343"/>
            <a:chOff x="10108407" y="2524125"/>
            <a:chExt cx="1762125" cy="3686174"/>
          </a:xfrm>
        </xdr:grpSpPr>
        <xdr:sp macro="" textlink="">
          <xdr:nvSpPr>
            <xdr:cNvPr id="152" name="CaixaDeTexto 151">
              <a:extLst>
                <a:ext uri="{FF2B5EF4-FFF2-40B4-BE49-F238E27FC236}">
                  <a16:creationId xmlns:a16="http://schemas.microsoft.com/office/drawing/2014/main" xmlns="" id="{00000000-0008-0000-3300-000098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53" name="CaixaDeTexto 152">
              <a:extLst>
                <a:ext uri="{FF2B5EF4-FFF2-40B4-BE49-F238E27FC236}">
                  <a16:creationId xmlns:a16="http://schemas.microsoft.com/office/drawing/2014/main" xmlns="" id="{00000000-0008-0000-3300-000099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54" name="CaixaDeTexto 153">
              <a:extLst>
                <a:ext uri="{FF2B5EF4-FFF2-40B4-BE49-F238E27FC236}">
                  <a16:creationId xmlns:a16="http://schemas.microsoft.com/office/drawing/2014/main" xmlns="" id="{00000000-0008-0000-3300-00009A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grpSp>
      <xdr:grpSp>
        <xdr:nvGrpSpPr>
          <xdr:cNvPr id="147" name="Agrupar 146">
            <a:extLst>
              <a:ext uri="{FF2B5EF4-FFF2-40B4-BE49-F238E27FC236}">
                <a16:creationId xmlns:a16="http://schemas.microsoft.com/office/drawing/2014/main" xmlns="" id="{00000000-0008-0000-3300-000093000000}"/>
              </a:ext>
            </a:extLst>
          </xdr:cNvPr>
          <xdr:cNvGrpSpPr/>
        </xdr:nvGrpSpPr>
        <xdr:grpSpPr>
          <a:xfrm>
            <a:off x="12016582" y="2524918"/>
            <a:ext cx="1757362" cy="3687343"/>
            <a:chOff x="12600782" y="2468562"/>
            <a:chExt cx="1762125" cy="3686174"/>
          </a:xfrm>
        </xdr:grpSpPr>
        <xdr:sp macro="" textlink="'Dados - Receita e Qntd'!BD38">
          <xdr:nvSpPr>
            <xdr:cNvPr id="148" name="CaixaDeTexto 147">
              <a:extLst>
                <a:ext uri="{FF2B5EF4-FFF2-40B4-BE49-F238E27FC236}">
                  <a16:creationId xmlns:a16="http://schemas.microsoft.com/office/drawing/2014/main" xmlns="" id="{00000000-0008-0000-3300-000094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5CFFF78-C084-45EF-A6BE-D17224524103}"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R$ 2.283.777</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H31">
          <xdr:nvSpPr>
            <xdr:cNvPr id="149" name="CaixaDeTexto 148">
              <a:extLst>
                <a:ext uri="{FF2B5EF4-FFF2-40B4-BE49-F238E27FC236}">
                  <a16:creationId xmlns:a16="http://schemas.microsoft.com/office/drawing/2014/main" xmlns="" id="{00000000-0008-0000-3300-000095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8466371-B9C8-4AF3-A94B-633E8A70BA49}"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R$ 3.313.022</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9">
          <xdr:nvSpPr>
            <xdr:cNvPr id="150" name="CaixaDeTexto 149">
              <a:extLst>
                <a:ext uri="{FF2B5EF4-FFF2-40B4-BE49-F238E27FC236}">
                  <a16:creationId xmlns:a16="http://schemas.microsoft.com/office/drawing/2014/main" xmlns="" id="{00000000-0008-0000-3300-000096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19B7658-ABAD-4891-B4B2-EC4ACD9A7DA7}"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145,1%</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twoCellAnchor>
    <xdr:from>
      <xdr:col>23</xdr:col>
      <xdr:colOff>300832</xdr:colOff>
      <xdr:row>13</xdr:row>
      <xdr:rowOff>172243</xdr:rowOff>
    </xdr:from>
    <xdr:to>
      <xdr:col>28</xdr:col>
      <xdr:colOff>953294</xdr:colOff>
      <xdr:row>33</xdr:row>
      <xdr:rowOff>40061</xdr:rowOff>
    </xdr:to>
    <xdr:grpSp>
      <xdr:nvGrpSpPr>
        <xdr:cNvPr id="157" name="Agrupar 156">
          <a:extLst>
            <a:ext uri="{FF2B5EF4-FFF2-40B4-BE49-F238E27FC236}">
              <a16:creationId xmlns:a16="http://schemas.microsoft.com/office/drawing/2014/main" xmlns="" id="{00000000-0008-0000-3300-00009D000000}"/>
            </a:ext>
          </a:extLst>
        </xdr:cNvPr>
        <xdr:cNvGrpSpPr/>
      </xdr:nvGrpSpPr>
      <xdr:grpSpPr>
        <a:xfrm>
          <a:off x="14175582" y="3220243"/>
          <a:ext cx="3668712" cy="3693693"/>
          <a:chOff x="10083007" y="2524918"/>
          <a:chExt cx="3690937" cy="3687343"/>
        </a:xfrm>
      </xdr:grpSpPr>
      <xdr:grpSp>
        <xdr:nvGrpSpPr>
          <xdr:cNvPr id="158" name="Agrupar 157">
            <a:extLst>
              <a:ext uri="{FF2B5EF4-FFF2-40B4-BE49-F238E27FC236}">
                <a16:creationId xmlns:a16="http://schemas.microsoft.com/office/drawing/2014/main" xmlns="" id="{00000000-0008-0000-3300-00009E000000}"/>
              </a:ext>
            </a:extLst>
          </xdr:cNvPr>
          <xdr:cNvGrpSpPr/>
        </xdr:nvGrpSpPr>
        <xdr:grpSpPr>
          <a:xfrm>
            <a:off x="10083007" y="2524918"/>
            <a:ext cx="1757362" cy="3687343"/>
            <a:chOff x="10108407" y="2524125"/>
            <a:chExt cx="1762125" cy="3686174"/>
          </a:xfrm>
        </xdr:grpSpPr>
        <xdr:sp macro="" textlink="">
          <xdr:nvSpPr>
            <xdr:cNvPr id="163" name="CaixaDeTexto 162">
              <a:extLst>
                <a:ext uri="{FF2B5EF4-FFF2-40B4-BE49-F238E27FC236}">
                  <a16:creationId xmlns:a16="http://schemas.microsoft.com/office/drawing/2014/main" xmlns="" id="{00000000-0008-0000-3300-0000A3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64" name="CaixaDeTexto 163">
              <a:extLst>
                <a:ext uri="{FF2B5EF4-FFF2-40B4-BE49-F238E27FC236}">
                  <a16:creationId xmlns:a16="http://schemas.microsoft.com/office/drawing/2014/main" xmlns="" id="{00000000-0008-0000-3300-0000A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65" name="CaixaDeTexto 164">
              <a:extLst>
                <a:ext uri="{FF2B5EF4-FFF2-40B4-BE49-F238E27FC236}">
                  <a16:creationId xmlns:a16="http://schemas.microsoft.com/office/drawing/2014/main" xmlns="" id="{00000000-0008-0000-3300-0000A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grpSp>
      <xdr:grpSp>
        <xdr:nvGrpSpPr>
          <xdr:cNvPr id="159" name="Agrupar 158">
            <a:extLst>
              <a:ext uri="{FF2B5EF4-FFF2-40B4-BE49-F238E27FC236}">
                <a16:creationId xmlns:a16="http://schemas.microsoft.com/office/drawing/2014/main" xmlns="" id="{00000000-0008-0000-3300-00009F000000}"/>
              </a:ext>
            </a:extLst>
          </xdr:cNvPr>
          <xdr:cNvGrpSpPr/>
        </xdr:nvGrpSpPr>
        <xdr:grpSpPr>
          <a:xfrm>
            <a:off x="12016582" y="2524918"/>
            <a:ext cx="1757362" cy="3687343"/>
            <a:chOff x="12600782" y="2468562"/>
            <a:chExt cx="1762125" cy="3686174"/>
          </a:xfrm>
        </xdr:grpSpPr>
        <xdr:sp macro="" textlink="'Dados - Receita e Qntd'!BD44">
          <xdr:nvSpPr>
            <xdr:cNvPr id="160" name="CaixaDeTexto 159">
              <a:extLst>
                <a:ext uri="{FF2B5EF4-FFF2-40B4-BE49-F238E27FC236}">
                  <a16:creationId xmlns:a16="http://schemas.microsoft.com/office/drawing/2014/main" xmlns="" id="{00000000-0008-0000-3300-0000A0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7C8FA82-5FC6-4BE1-AE5B-4101A96D9CF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R$ 341.968</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N31">
          <xdr:nvSpPr>
            <xdr:cNvPr id="161" name="CaixaDeTexto 160">
              <a:extLst>
                <a:ext uri="{FF2B5EF4-FFF2-40B4-BE49-F238E27FC236}">
                  <a16:creationId xmlns:a16="http://schemas.microsoft.com/office/drawing/2014/main" xmlns="" id="{00000000-0008-0000-3300-0000A1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31CF6A-40F7-499C-BC9A-71A5161BABAD}"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R$ 427.214</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5">
          <xdr:nvSpPr>
            <xdr:cNvPr id="162" name="CaixaDeTexto 161">
              <a:extLst>
                <a:ext uri="{FF2B5EF4-FFF2-40B4-BE49-F238E27FC236}">
                  <a16:creationId xmlns:a16="http://schemas.microsoft.com/office/drawing/2014/main" xmlns="" id="{00000000-0008-0000-3300-0000A2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CC471D2-C8DF-48A1-B1C0-0FAF8123EDD4}"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124,9%</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34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 name="Grupo 3">
          <a:extLst>
            <a:ext uri="{FF2B5EF4-FFF2-40B4-BE49-F238E27FC236}">
              <a16:creationId xmlns:a16="http://schemas.microsoft.com/office/drawing/2014/main" xmlns="" id="{00000000-0008-0000-3400-000004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xmlns="" id="{00000000-0008-0000-34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RRT e Taxas e Multas - CAU/BR</a:t>
            </a:r>
          </a:p>
        </xdr:txBody>
      </xdr:sp>
      <xdr:cxnSp macro="">
        <xdr:nvCxnSpPr>
          <xdr:cNvPr id="6" name="Conector reto 5">
            <a:extLst>
              <a:ext uri="{FF2B5EF4-FFF2-40B4-BE49-F238E27FC236}">
                <a16:creationId xmlns:a16="http://schemas.microsoft.com/office/drawing/2014/main" xmlns="" id="{00000000-0008-0000-34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14" name="CaixaDeTexto 13">
          <a:extLst>
            <a:ext uri="{FF2B5EF4-FFF2-40B4-BE49-F238E27FC236}">
              <a16:creationId xmlns:a16="http://schemas.microsoft.com/office/drawing/2014/main" xmlns="" id="{00000000-0008-0000-3400-00000E000000}"/>
            </a:ext>
          </a:extLst>
        </xdr:cNvPr>
        <xdr:cNvSpPr txBox="1"/>
      </xdr:nvSpPr>
      <xdr:spPr>
        <a:xfrm>
          <a:off x="15072282" y="850377"/>
          <a:ext cx="934432"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5</xdr:col>
      <xdr:colOff>559711</xdr:colOff>
      <xdr:row>5</xdr:row>
      <xdr:rowOff>162220</xdr:rowOff>
    </xdr:from>
    <xdr:to>
      <xdr:col>13</xdr:col>
      <xdr:colOff>405196</xdr:colOff>
      <xdr:row>34</xdr:row>
      <xdr:rowOff>173970</xdr:rowOff>
    </xdr:to>
    <xdr:grpSp>
      <xdr:nvGrpSpPr>
        <xdr:cNvPr id="15" name="Grupo 14">
          <a:extLst>
            <a:ext uri="{FF2B5EF4-FFF2-40B4-BE49-F238E27FC236}">
              <a16:creationId xmlns:a16="http://schemas.microsoft.com/office/drawing/2014/main" xmlns="" id="{00000000-0008-0000-3400-00000F000000}"/>
            </a:ext>
          </a:extLst>
        </xdr:cNvPr>
        <xdr:cNvGrpSpPr/>
      </xdr:nvGrpSpPr>
      <xdr:grpSpPr>
        <a:xfrm>
          <a:off x="3575961" y="1686220"/>
          <a:ext cx="4671485" cy="5552125"/>
          <a:chOff x="-7" y="1679149"/>
          <a:chExt cx="4716001" cy="5432163"/>
        </a:xfrm>
      </xdr:grpSpPr>
      <xdr:grpSp>
        <xdr:nvGrpSpPr>
          <xdr:cNvPr id="16" name="Grupo 15">
            <a:extLst>
              <a:ext uri="{FF2B5EF4-FFF2-40B4-BE49-F238E27FC236}">
                <a16:creationId xmlns:a16="http://schemas.microsoft.com/office/drawing/2014/main" xmlns="" id="{00000000-0008-0000-3400-000010000000}"/>
              </a:ext>
            </a:extLst>
          </xdr:cNvPr>
          <xdr:cNvGrpSpPr/>
        </xdr:nvGrpSpPr>
        <xdr:grpSpPr>
          <a:xfrm>
            <a:off x="-7" y="2447007"/>
            <a:ext cx="4716001" cy="4664305"/>
            <a:chOff x="9733170" y="4412137"/>
            <a:chExt cx="3815892" cy="2743200"/>
          </a:xfrm>
        </xdr:grpSpPr>
        <xdr:graphicFrame macro="">
          <xdr:nvGraphicFramePr>
            <xdr:cNvPr id="20" name="Diagrama 19">
              <a:extLst>
                <a:ext uri="{FF2B5EF4-FFF2-40B4-BE49-F238E27FC236}">
                  <a16:creationId xmlns:a16="http://schemas.microsoft.com/office/drawing/2014/main" xmlns="" id="{00000000-0008-0000-3400-000014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Q31">
          <xdr:nvSpPr>
            <xdr:cNvPr id="21" name="CaixaDeTexto 20">
              <a:extLst>
                <a:ext uri="{FF2B5EF4-FFF2-40B4-BE49-F238E27FC236}">
                  <a16:creationId xmlns:a16="http://schemas.microsoft.com/office/drawing/2014/main" xmlns="" id="{00000000-0008-0000-3400-000015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232720F-2795-49C6-A654-7FACBE78CD1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R$ 16.282.699</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R31">
          <xdr:nvSpPr>
            <xdr:cNvPr id="22" name="CaixaDeTexto 21">
              <a:extLst>
                <a:ext uri="{FF2B5EF4-FFF2-40B4-BE49-F238E27FC236}">
                  <a16:creationId xmlns:a16="http://schemas.microsoft.com/office/drawing/2014/main" xmlns="" id="{00000000-0008-0000-3400-000016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0174AE-F5BC-45EA-ACDB-FD1C7B05A43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R$ 14.028.394</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S31">
          <xdr:nvSpPr>
            <xdr:cNvPr id="23" name="CaixaDeTexto 22">
              <a:extLst>
                <a:ext uri="{FF2B5EF4-FFF2-40B4-BE49-F238E27FC236}">
                  <a16:creationId xmlns:a16="http://schemas.microsoft.com/office/drawing/2014/main" xmlns="" id="{00000000-0008-0000-3400-000017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C5A8D-19E6-4F1B-A820-F104DBF57C78}"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116,1%</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T31">
          <xdr:nvSpPr>
            <xdr:cNvPr id="24" name="CaixaDeTexto 23">
              <a:extLst>
                <a:ext uri="{FF2B5EF4-FFF2-40B4-BE49-F238E27FC236}">
                  <a16:creationId xmlns:a16="http://schemas.microsoft.com/office/drawing/2014/main" xmlns="" id="{00000000-0008-0000-3400-000018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6A465BE-7590-436A-A920-F5A580D2A4AB}"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-7,9%</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17" name="Grupo 16">
            <a:extLst>
              <a:ext uri="{FF2B5EF4-FFF2-40B4-BE49-F238E27FC236}">
                <a16:creationId xmlns:a16="http://schemas.microsoft.com/office/drawing/2014/main" xmlns="" id="{00000000-0008-0000-3400-000011000000}"/>
              </a:ext>
            </a:extLst>
          </xdr:cNvPr>
          <xdr:cNvGrpSpPr/>
        </xdr:nvGrpSpPr>
        <xdr:grpSpPr>
          <a:xfrm>
            <a:off x="1015230" y="1679149"/>
            <a:ext cx="2685527" cy="529891"/>
            <a:chOff x="8427551" y="1026747"/>
            <a:chExt cx="3174401" cy="539586"/>
          </a:xfrm>
        </xdr:grpSpPr>
        <xdr:sp macro="" textlink="">
          <xdr:nvSpPr>
            <xdr:cNvPr id="18" name="CaixaDeTexto 17">
              <a:extLst>
                <a:ext uri="{FF2B5EF4-FFF2-40B4-BE49-F238E27FC236}">
                  <a16:creationId xmlns:a16="http://schemas.microsoft.com/office/drawing/2014/main" xmlns="" id="{00000000-0008-0000-3400-000012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19" name="Conector reto 18">
              <a:extLst>
                <a:ext uri="{FF2B5EF4-FFF2-40B4-BE49-F238E27FC236}">
                  <a16:creationId xmlns:a16="http://schemas.microsoft.com/office/drawing/2014/main" xmlns="" id="{00000000-0008-0000-3400-000013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486260</xdr:colOff>
      <xdr:row>5</xdr:row>
      <xdr:rowOff>162220</xdr:rowOff>
    </xdr:from>
    <xdr:to>
      <xdr:col>24</xdr:col>
      <xdr:colOff>331746</xdr:colOff>
      <xdr:row>34</xdr:row>
      <xdr:rowOff>173970</xdr:rowOff>
    </xdr:to>
    <xdr:grpSp>
      <xdr:nvGrpSpPr>
        <xdr:cNvPr id="54" name="Grupo 53">
          <a:extLst>
            <a:ext uri="{FF2B5EF4-FFF2-40B4-BE49-F238E27FC236}">
              <a16:creationId xmlns:a16="http://schemas.microsoft.com/office/drawing/2014/main" xmlns="" id="{00000000-0008-0000-3400-000036000000}"/>
            </a:ext>
          </a:extLst>
        </xdr:cNvPr>
        <xdr:cNvGrpSpPr/>
      </xdr:nvGrpSpPr>
      <xdr:grpSpPr>
        <a:xfrm>
          <a:off x="10138260" y="1686220"/>
          <a:ext cx="4671486" cy="5552125"/>
          <a:chOff x="-7" y="1679149"/>
          <a:chExt cx="4716001" cy="5432163"/>
        </a:xfrm>
      </xdr:grpSpPr>
      <xdr:grpSp>
        <xdr:nvGrpSpPr>
          <xdr:cNvPr id="55" name="Grupo 54">
            <a:extLst>
              <a:ext uri="{FF2B5EF4-FFF2-40B4-BE49-F238E27FC236}">
                <a16:creationId xmlns:a16="http://schemas.microsoft.com/office/drawing/2014/main" xmlns="" id="{00000000-0008-0000-3400-000037000000}"/>
              </a:ext>
            </a:extLst>
          </xdr:cNvPr>
          <xdr:cNvGrpSpPr/>
        </xdr:nvGrpSpPr>
        <xdr:grpSpPr>
          <a:xfrm>
            <a:off x="-7" y="2447007"/>
            <a:ext cx="4716001" cy="4664305"/>
            <a:chOff x="9733170" y="4412137"/>
            <a:chExt cx="3815892" cy="2743200"/>
          </a:xfrm>
        </xdr:grpSpPr>
        <xdr:graphicFrame macro="">
          <xdr:nvGraphicFramePr>
            <xdr:cNvPr id="59" name="Diagrama 58">
              <a:extLst>
                <a:ext uri="{FF2B5EF4-FFF2-40B4-BE49-F238E27FC236}">
                  <a16:creationId xmlns:a16="http://schemas.microsoft.com/office/drawing/2014/main" xmlns="" id="{00000000-0008-0000-3400-00003B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T31">
          <xdr:nvSpPr>
            <xdr:cNvPr id="60" name="CaixaDeTexto 59">
              <a:extLst>
                <a:ext uri="{FF2B5EF4-FFF2-40B4-BE49-F238E27FC236}">
                  <a16:creationId xmlns:a16="http://schemas.microsoft.com/office/drawing/2014/main" xmlns="" id="{00000000-0008-0000-3400-00003C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E922AF-4A8E-43B5-9F2F-C0D07E9D8894}"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R$ 1.483.122</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U31">
          <xdr:nvSpPr>
            <xdr:cNvPr id="61" name="CaixaDeTexto 60">
              <a:extLst>
                <a:ext uri="{FF2B5EF4-FFF2-40B4-BE49-F238E27FC236}">
                  <a16:creationId xmlns:a16="http://schemas.microsoft.com/office/drawing/2014/main" xmlns="" id="{00000000-0008-0000-3400-00003D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A01DA0-B14B-47C6-AB3B-48A45CE35D9E}"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R$ 1.235.985</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V31">
          <xdr:nvSpPr>
            <xdr:cNvPr id="62" name="CaixaDeTexto 61">
              <a:extLst>
                <a:ext uri="{FF2B5EF4-FFF2-40B4-BE49-F238E27FC236}">
                  <a16:creationId xmlns:a16="http://schemas.microsoft.com/office/drawing/2014/main" xmlns="" id="{00000000-0008-0000-3400-00003E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F2F296E-67F9-42D9-8A17-FEFC5E8F0C7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120,0%</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U31">
          <xdr:nvSpPr>
            <xdr:cNvPr id="63" name="CaixaDeTexto 62">
              <a:extLst>
                <a:ext uri="{FF2B5EF4-FFF2-40B4-BE49-F238E27FC236}">
                  <a16:creationId xmlns:a16="http://schemas.microsoft.com/office/drawing/2014/main" xmlns="" id="{00000000-0008-0000-3400-00003F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6A3273-8ECE-46CC-A25C-B608C963EE3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-13,1%</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6" name="Grupo 55">
            <a:extLst>
              <a:ext uri="{FF2B5EF4-FFF2-40B4-BE49-F238E27FC236}">
                <a16:creationId xmlns:a16="http://schemas.microsoft.com/office/drawing/2014/main" xmlns="" id="{00000000-0008-0000-3400-000038000000}"/>
              </a:ext>
            </a:extLst>
          </xdr:cNvPr>
          <xdr:cNvGrpSpPr/>
        </xdr:nvGrpSpPr>
        <xdr:grpSpPr>
          <a:xfrm>
            <a:off x="1015230" y="1679149"/>
            <a:ext cx="2685527" cy="529891"/>
            <a:chOff x="8427551" y="1026747"/>
            <a:chExt cx="3174401" cy="539586"/>
          </a:xfrm>
        </xdr:grpSpPr>
        <xdr:sp macro="" textlink="">
          <xdr:nvSpPr>
            <xdr:cNvPr id="57" name="CaixaDeTexto 56">
              <a:extLst>
                <a:ext uri="{FF2B5EF4-FFF2-40B4-BE49-F238E27FC236}">
                  <a16:creationId xmlns:a16="http://schemas.microsoft.com/office/drawing/2014/main" xmlns="" id="{00000000-0008-0000-3400-000039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58" name="Conector reto 57">
              <a:extLst>
                <a:ext uri="{FF2B5EF4-FFF2-40B4-BE49-F238E27FC236}">
                  <a16:creationId xmlns:a16="http://schemas.microsoft.com/office/drawing/2014/main" xmlns="" id="{00000000-0008-0000-3400-00003A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28</xdr:col>
      <xdr:colOff>284768</xdr:colOff>
      <xdr:row>0</xdr:row>
      <xdr:rowOff>68737</xdr:rowOff>
    </xdr:from>
    <xdr:ext cx="1001595" cy="638510"/>
    <xdr:sp macro="" textlink="">
      <xdr:nvSpPr>
        <xdr:cNvPr id="64" name="CaixaDeTexto 63">
          <a:hlinkClick xmlns:r="http://schemas.openxmlformats.org/officeDocument/2006/relationships" r:id="rId12" tooltip="Voltar para a tela principal"/>
          <a:extLst>
            <a:ext uri="{FF2B5EF4-FFF2-40B4-BE49-F238E27FC236}">
              <a16:creationId xmlns:a16="http://schemas.microsoft.com/office/drawing/2014/main" xmlns="" id="{00000000-0008-0000-3400-000040000000}"/>
            </a:ext>
          </a:extLst>
        </xdr:cNvPr>
        <xdr:cNvSpPr txBox="1"/>
      </xdr:nvSpPr>
      <xdr:spPr>
        <a:xfrm>
          <a:off x="1732175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xmlns="" id="{00000000-0008-0000-35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157087</xdr:colOff>
      <xdr:row>1</xdr:row>
      <xdr:rowOff>11237</xdr:rowOff>
    </xdr:from>
    <xdr:to>
      <xdr:col>27</xdr:col>
      <xdr:colOff>119669</xdr:colOff>
      <xdr:row>8</xdr:row>
      <xdr:rowOff>83826</xdr:rowOff>
    </xdr:to>
    <xdr:grpSp>
      <xdr:nvGrpSpPr>
        <xdr:cNvPr id="4" name="Grupo 3">
          <a:extLst>
            <a:ext uri="{FF2B5EF4-FFF2-40B4-BE49-F238E27FC236}">
              <a16:creationId xmlns:a16="http://schemas.microsoft.com/office/drawing/2014/main" xmlns="" id="{00000000-0008-0000-3500-000004000000}"/>
            </a:ext>
          </a:extLst>
        </xdr:cNvPr>
        <xdr:cNvGrpSpPr/>
      </xdr:nvGrpSpPr>
      <xdr:grpSpPr>
        <a:xfrm>
          <a:off x="1966837" y="773237"/>
          <a:ext cx="14440582" cy="1406089"/>
          <a:chOff x="3059537" y="292001"/>
          <a:chExt cx="14576414" cy="1384273"/>
        </a:xfrm>
      </xdr:grpSpPr>
      <xdr:sp macro="" textlink="">
        <xdr:nvSpPr>
          <xdr:cNvPr id="5" name="CaixaDeTexto 4">
            <a:extLst>
              <a:ext uri="{FF2B5EF4-FFF2-40B4-BE49-F238E27FC236}">
                <a16:creationId xmlns:a16="http://schemas.microsoft.com/office/drawing/2014/main" xmlns="" id="{00000000-0008-0000-35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CAU/BR</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xmlns="" id="{00000000-0008-0000-35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xmlns="" id="{00000000-0008-0000-3500-000007000000}"/>
            </a:ext>
          </a:extLst>
        </xdr:cNvPr>
        <xdr:cNvSpPr txBox="1"/>
      </xdr:nvSpPr>
      <xdr:spPr>
        <a:xfrm>
          <a:off x="16291483" y="898483"/>
          <a:ext cx="934527"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0</xdr:col>
      <xdr:colOff>547688</xdr:colOff>
      <xdr:row>6</xdr:row>
      <xdr:rowOff>133735</xdr:rowOff>
    </xdr:from>
    <xdr:to>
      <xdr:col>28</xdr:col>
      <xdr:colOff>785806</xdr:colOff>
      <xdr:row>35</xdr:row>
      <xdr:rowOff>119063</xdr:rowOff>
    </xdr:to>
    <xdr:grpSp>
      <xdr:nvGrpSpPr>
        <xdr:cNvPr id="8" name="Grupo 7">
          <a:extLst>
            <a:ext uri="{FF2B5EF4-FFF2-40B4-BE49-F238E27FC236}">
              <a16:creationId xmlns:a16="http://schemas.microsoft.com/office/drawing/2014/main" xmlns="" id="{00000000-0008-0000-3500-000008000000}"/>
            </a:ext>
          </a:extLst>
        </xdr:cNvPr>
        <xdr:cNvGrpSpPr/>
      </xdr:nvGrpSpPr>
      <xdr:grpSpPr>
        <a:xfrm>
          <a:off x="547688" y="1848235"/>
          <a:ext cx="17129118" cy="5525703"/>
          <a:chOff x="-1958678" y="2237183"/>
          <a:chExt cx="5378414" cy="5445265"/>
        </a:xfrm>
      </xdr:grpSpPr>
      <xdr:grpSp>
        <xdr:nvGrpSpPr>
          <xdr:cNvPr id="9" name="Grupo 8">
            <a:extLst>
              <a:ext uri="{FF2B5EF4-FFF2-40B4-BE49-F238E27FC236}">
                <a16:creationId xmlns:a16="http://schemas.microsoft.com/office/drawing/2014/main" xmlns="" id="{00000000-0008-0000-3500-000009000000}"/>
              </a:ext>
            </a:extLst>
          </xdr:cNvPr>
          <xdr:cNvGrpSpPr/>
        </xdr:nvGrpSpPr>
        <xdr:grpSpPr>
          <a:xfrm>
            <a:off x="-1958678" y="3018144"/>
            <a:ext cx="5378414" cy="4664304"/>
            <a:chOff x="8148335" y="4748039"/>
            <a:chExt cx="4351868" cy="2743200"/>
          </a:xfrm>
        </xdr:grpSpPr>
        <xdr:graphicFrame macro="">
          <xdr:nvGraphicFramePr>
            <xdr:cNvPr id="11" name="Diagrama 10">
              <a:extLst>
                <a:ext uri="{FF2B5EF4-FFF2-40B4-BE49-F238E27FC236}">
                  <a16:creationId xmlns:a16="http://schemas.microsoft.com/office/drawing/2014/main" xmlns="" id="{00000000-0008-0000-3500-00000B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83">
          <xdr:nvSpPr>
            <xdr:cNvPr id="12" name="CaixaDeTexto 11">
              <a:extLst>
                <a:ext uri="{FF2B5EF4-FFF2-40B4-BE49-F238E27FC236}">
                  <a16:creationId xmlns:a16="http://schemas.microsoft.com/office/drawing/2014/main" xmlns="" id="{00000000-0008-0000-3500-00000C000000}"/>
                </a:ext>
              </a:extLst>
            </xdr:cNvPr>
            <xdr:cNvSpPr txBox="1"/>
          </xdr:nvSpPr>
          <xdr:spPr>
            <a:xfrm>
              <a:off x="11477525" y="5331027"/>
              <a:ext cx="1003777"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E24919-6108-436D-B17A-23DEC1C1037F}"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R$ 33.864.421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2">
          <xdr:nvSpPr>
            <xdr:cNvPr id="13" name="CaixaDeTexto 12">
              <a:extLst>
                <a:ext uri="{FF2B5EF4-FFF2-40B4-BE49-F238E27FC236}">
                  <a16:creationId xmlns:a16="http://schemas.microsoft.com/office/drawing/2014/main" xmlns="" id="{00000000-0008-0000-3500-00000D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1241D5-85DE-44CE-BB27-F93552B40651}"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R$ 29.100.266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6">
          <xdr:nvSpPr>
            <xdr:cNvPr id="14" name="CaixaDeTexto 13">
              <a:extLst>
                <a:ext uri="{FF2B5EF4-FFF2-40B4-BE49-F238E27FC236}">
                  <a16:creationId xmlns:a16="http://schemas.microsoft.com/office/drawing/2014/main" xmlns="" id="{00000000-0008-0000-3500-00000E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4CCB0DC-1E1C-43EE-979E-55E3493B940A}"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-2,8%</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4">
          <xdr:nvSpPr>
            <xdr:cNvPr id="15" name="CaixaDeTexto 14">
              <a:extLst>
                <a:ext uri="{FF2B5EF4-FFF2-40B4-BE49-F238E27FC236}">
                  <a16:creationId xmlns:a16="http://schemas.microsoft.com/office/drawing/2014/main" xmlns="" id="{00000000-0008-0000-3500-00000F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17AFF08-0CA9-4A56-99C6-38DC36D590F5}"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116,4%</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0" name="Conector reto 9">
            <a:extLst>
              <a:ext uri="{FF2B5EF4-FFF2-40B4-BE49-F238E27FC236}">
                <a16:creationId xmlns:a16="http://schemas.microsoft.com/office/drawing/2014/main" xmlns="" id="{00000000-0008-0000-3500-00000A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16" name="CaixaDeTexto 15">
          <a:hlinkClick xmlns:r="http://schemas.openxmlformats.org/officeDocument/2006/relationships" r:id="rId7" tooltip="Voltar para a tela principal"/>
          <a:extLst>
            <a:ext uri="{FF2B5EF4-FFF2-40B4-BE49-F238E27FC236}">
              <a16:creationId xmlns:a16="http://schemas.microsoft.com/office/drawing/2014/main" xmlns="" id="{00000000-0008-0000-3500-000010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15" name="Logo">
          <a:extLst>
            <a:ext uri="{FF2B5EF4-FFF2-40B4-BE49-F238E27FC236}">
              <a16:creationId xmlns:a16="http://schemas.microsoft.com/office/drawing/2014/main" xmlns="" id="{00000000-0008-0000-3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16" name="Título">
          <a:extLst>
            <a:ext uri="{FF2B5EF4-FFF2-40B4-BE49-F238E27FC236}">
              <a16:creationId xmlns:a16="http://schemas.microsoft.com/office/drawing/2014/main" xmlns="" id="{00000000-0008-0000-3600-000010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17" name="Subtítulo">
          <a:extLst>
            <a:ext uri="{FF2B5EF4-FFF2-40B4-BE49-F238E27FC236}">
              <a16:creationId xmlns:a16="http://schemas.microsoft.com/office/drawing/2014/main" xmlns="" id="{00000000-0008-0000-3600-000011000000}"/>
            </a:ext>
          </a:extLst>
        </xdr:cNvPr>
        <xdr:cNvGrpSpPr/>
      </xdr:nvGrpSpPr>
      <xdr:grpSpPr>
        <a:xfrm>
          <a:off x="841361" y="927836"/>
          <a:ext cx="16374811" cy="506409"/>
          <a:chOff x="833715" y="968427"/>
          <a:chExt cx="16179074" cy="485632"/>
        </a:xfrm>
      </xdr:grpSpPr>
      <xdr:sp macro="" textlink="">
        <xdr:nvSpPr>
          <xdr:cNvPr id="18" name="CaixaDeTexto 17">
            <a:extLst>
              <a:ext uri="{FF2B5EF4-FFF2-40B4-BE49-F238E27FC236}">
                <a16:creationId xmlns:a16="http://schemas.microsoft.com/office/drawing/2014/main" xmlns="" id="{00000000-0008-0000-3600-000012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Total - CAU com Exercícios Anteriores</a:t>
            </a:r>
          </a:p>
        </xdr:txBody>
      </xdr:sp>
      <xdr:cxnSp macro="">
        <xdr:nvCxnSpPr>
          <xdr:cNvPr id="19" name="Conector reto 18">
            <a:extLst>
              <a:ext uri="{FF2B5EF4-FFF2-40B4-BE49-F238E27FC236}">
                <a16:creationId xmlns:a16="http://schemas.microsoft.com/office/drawing/2014/main" xmlns="" id="{00000000-0008-0000-3600-000013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205837</xdr:colOff>
      <xdr:row>9</xdr:row>
      <xdr:rowOff>26189</xdr:rowOff>
    </xdr:from>
    <xdr:to>
      <xdr:col>14</xdr:col>
      <xdr:colOff>443961</xdr:colOff>
      <xdr:row>36</xdr:row>
      <xdr:rowOff>460106</xdr:rowOff>
    </xdr:to>
    <xdr:graphicFrame macro="">
      <xdr:nvGraphicFramePr>
        <xdr:cNvPr id="82" name="Gráfico 81">
          <a:extLst>
            <a:ext uri="{FF2B5EF4-FFF2-40B4-BE49-F238E27FC236}">
              <a16:creationId xmlns:a16="http://schemas.microsoft.com/office/drawing/2014/main" xmlns="" id="{00000000-0008-0000-3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6</xdr:row>
      <xdr:rowOff>38089</xdr:rowOff>
    </xdr:from>
    <xdr:to>
      <xdr:col>14</xdr:col>
      <xdr:colOff>465666</xdr:colOff>
      <xdr:row>8</xdr:row>
      <xdr:rowOff>146689</xdr:rowOff>
    </xdr:to>
    <xdr:grpSp>
      <xdr:nvGrpSpPr>
        <xdr:cNvPr id="11" name="Subtítulo">
          <a:extLst>
            <a:ext uri="{FF2B5EF4-FFF2-40B4-BE49-F238E27FC236}">
              <a16:creationId xmlns:a16="http://schemas.microsoft.com/office/drawing/2014/main" xmlns="" id="{00000000-0008-0000-3600-00000B000000}"/>
            </a:ext>
          </a:extLst>
        </xdr:cNvPr>
        <xdr:cNvGrpSpPr/>
      </xdr:nvGrpSpPr>
      <xdr:grpSpPr>
        <a:xfrm>
          <a:off x="254000" y="1775001"/>
          <a:ext cx="8840195" cy="500806"/>
          <a:chOff x="833715" y="968427"/>
          <a:chExt cx="16179074" cy="485632"/>
        </a:xfrm>
      </xdr:grpSpPr>
      <xdr:sp macro="" textlink="">
        <xdr:nvSpPr>
          <xdr:cNvPr id="12" name="CaixaDeTexto 11">
            <a:extLst>
              <a:ext uri="{FF2B5EF4-FFF2-40B4-BE49-F238E27FC236}">
                <a16:creationId xmlns:a16="http://schemas.microsoft.com/office/drawing/2014/main" xmlns="" id="{00000000-0008-0000-3600-00000C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Potencial x Previsto x Executado 2020</a:t>
            </a:r>
          </a:p>
        </xdr:txBody>
      </xdr:sp>
      <xdr:cxnSp macro="">
        <xdr:nvCxnSpPr>
          <xdr:cNvPr id="13" name="Conector reto 12">
            <a:extLst>
              <a:ext uri="{FF2B5EF4-FFF2-40B4-BE49-F238E27FC236}">
                <a16:creationId xmlns:a16="http://schemas.microsoft.com/office/drawing/2014/main" xmlns="" id="{00000000-0008-0000-3600-00000D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603251</xdr:colOff>
      <xdr:row>9</xdr:row>
      <xdr:rowOff>31749</xdr:rowOff>
    </xdr:from>
    <xdr:to>
      <xdr:col>28</xdr:col>
      <xdr:colOff>1168806</xdr:colOff>
      <xdr:row>36</xdr:row>
      <xdr:rowOff>476250</xdr:rowOff>
    </xdr:to>
    <xdr:graphicFrame macro="">
      <xdr:nvGraphicFramePr>
        <xdr:cNvPr id="23" name="Gráfico 22">
          <a:extLst>
            <a:ext uri="{FF2B5EF4-FFF2-40B4-BE49-F238E27FC236}">
              <a16:creationId xmlns:a16="http://schemas.microsoft.com/office/drawing/2014/main" xmlns="" id="{00000000-0008-0000-3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613832</xdr:colOff>
      <xdr:row>6</xdr:row>
      <xdr:rowOff>42322</xdr:rowOff>
    </xdr:from>
    <xdr:to>
      <xdr:col>28</xdr:col>
      <xdr:colOff>1153582</xdr:colOff>
      <xdr:row>8</xdr:row>
      <xdr:rowOff>150922</xdr:rowOff>
    </xdr:to>
    <xdr:grpSp>
      <xdr:nvGrpSpPr>
        <xdr:cNvPr id="24" name="Subtítulo">
          <a:extLst>
            <a:ext uri="{FF2B5EF4-FFF2-40B4-BE49-F238E27FC236}">
              <a16:creationId xmlns:a16="http://schemas.microsoft.com/office/drawing/2014/main" xmlns="" id="{00000000-0008-0000-3600-000018000000}"/>
            </a:ext>
          </a:extLst>
        </xdr:cNvPr>
        <xdr:cNvGrpSpPr/>
      </xdr:nvGrpSpPr>
      <xdr:grpSpPr>
        <a:xfrm>
          <a:off x="9242361" y="1779234"/>
          <a:ext cx="9154272" cy="500806"/>
          <a:chOff x="833715" y="968427"/>
          <a:chExt cx="16179074" cy="485632"/>
        </a:xfrm>
      </xdr:grpSpPr>
      <xdr:sp macro="" textlink="">
        <xdr:nvSpPr>
          <xdr:cNvPr id="25" name="CaixaDeTexto 24">
            <a:extLst>
              <a:ext uri="{FF2B5EF4-FFF2-40B4-BE49-F238E27FC236}">
                <a16:creationId xmlns:a16="http://schemas.microsoft.com/office/drawing/2014/main" xmlns="" id="{00000000-0008-0000-3600-000019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Comparativo - Jan. a Dez. - 2018 x 2019 x 2020</a:t>
            </a:r>
          </a:p>
        </xdr:txBody>
      </xdr:sp>
      <xdr:cxnSp macro="">
        <xdr:nvCxnSpPr>
          <xdr:cNvPr id="26" name="Conector reto 25">
            <a:extLst>
              <a:ext uri="{FF2B5EF4-FFF2-40B4-BE49-F238E27FC236}">
                <a16:creationId xmlns:a16="http://schemas.microsoft.com/office/drawing/2014/main" xmlns="" id="{00000000-0008-0000-3600-00001A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0" name="VOLTAR">
          <a:hlinkClick xmlns:r="http://schemas.openxmlformats.org/officeDocument/2006/relationships" r:id="rId4" tooltip="Voltar para a tela principal"/>
          <a:extLst>
            <a:ext uri="{FF2B5EF4-FFF2-40B4-BE49-F238E27FC236}">
              <a16:creationId xmlns:a16="http://schemas.microsoft.com/office/drawing/2014/main" xmlns="" id="{00000000-0008-0000-3600-000014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6.xml><?xml version="1.0" encoding="utf-8"?>
<c:userShapes xmlns:c="http://schemas.openxmlformats.org/drawingml/2006/chart">
  <cdr:relSizeAnchor xmlns:cdr="http://schemas.openxmlformats.org/drawingml/2006/chartDrawing">
    <cdr:from>
      <cdr:x>0.07759</cdr:x>
      <cdr:y>0.03627</cdr:y>
    </cdr:from>
    <cdr:to>
      <cdr:x>0.32381</cdr:x>
      <cdr:y>0.30013</cdr:y>
    </cdr:to>
    <cdr:grpSp>
      <cdr:nvGrpSpPr>
        <cdr:cNvPr id="24" name="Grupo 23">
          <a:extLst xmlns:a="http://schemas.openxmlformats.org/drawingml/2006/main">
            <a:ext uri="{FF2B5EF4-FFF2-40B4-BE49-F238E27FC236}">
              <a16:creationId xmlns:a16="http://schemas.microsoft.com/office/drawing/2014/main" xmlns="" id="{B12FE963-BE8C-4103-800F-B41EBBD6864C}"/>
            </a:ext>
          </a:extLst>
        </cdr:cNvPr>
        <cdr:cNvGrpSpPr/>
      </cdr:nvGrpSpPr>
      <cdr:grpSpPr>
        <a:xfrm xmlns:a="http://schemas.openxmlformats.org/drawingml/2006/main">
          <a:off x="687964" y="207780"/>
          <a:ext cx="2183147" cy="1511574"/>
          <a:chOff x="1138737" y="1261204"/>
          <a:chExt cx="2496693" cy="1630891"/>
        </a:xfrm>
      </cdr:grpSpPr>
      <cdr:sp macro="" textlink="Lançamentos!$U$8">
        <cdr:nvSpPr>
          <cdr:cNvPr id="3" name="CaixaDeTexto 38"/>
          <cdr:cNvSpPr txBox="1"/>
        </cdr:nvSpPr>
        <cdr:spPr>
          <a:xfrm xmlns:a="http://schemas.openxmlformats.org/drawingml/2006/main">
            <a:off x="1685102" y="1612486"/>
            <a:ext cx="1403962" cy="408933"/>
          </a:xfrm>
          <a:prstGeom xmlns:a="http://schemas.openxmlformats.org/drawingml/2006/main" prst="rect">
            <a:avLst/>
          </a:prstGeom>
          <a:ln xmlns:a="http://schemas.openxmlformats.org/drawingml/2006/mai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735273D9-B007-4561-B533-ED1C864B61B1}" type="TxLink">
              <a:rPr lang="en-US" sz="2000" b="1" i="0" u="none" strike="noStrike">
                <a:solidFill>
                  <a:srgbClr val="2A5664"/>
                </a:solidFill>
                <a:latin typeface="Calibri"/>
                <a:ea typeface="+mn-ea"/>
                <a:cs typeface="Calibri"/>
              </a:rPr>
              <a:pPr marL="0" indent="0" algn="ctr"/>
              <a:t>15,4%</a:t>
            </a:fld>
            <a:endParaRPr lang="pt-BR" sz="2000" b="1" i="0" u="none" strike="noStrike">
              <a:solidFill>
                <a:srgbClr val="2A5664"/>
              </a:solidFill>
              <a:latin typeface="Calibri"/>
              <a:ea typeface="+mn-ea"/>
              <a:cs typeface="Calibri"/>
            </a:endParaRPr>
          </a:p>
        </cdr:txBody>
      </cdr:sp>
      <cdr:sp macro="" textlink="">
        <cdr:nvSpPr>
          <cdr:cNvPr id="4" name="CaixaDeTexto 39"/>
          <cdr:cNvSpPr txBox="1"/>
        </cdr:nvSpPr>
        <cdr:spPr>
          <a:xfrm xmlns:a="http://schemas.openxmlformats.org/drawingml/2006/main">
            <a:off x="1198091" y="1261204"/>
            <a:ext cx="2377984"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Previsto</a:t>
            </a:r>
          </a:p>
        </cdr:txBody>
      </cdr:sp>
      <cdr:sp macro="" textlink="Lançamentos!$W$8">
        <cdr:nvSpPr>
          <cdr:cNvPr id="5" name="CaixaDeTexto 40"/>
          <cdr:cNvSpPr txBox="1"/>
        </cdr:nvSpPr>
        <cdr:spPr>
          <a:xfrm xmlns:a="http://schemas.openxmlformats.org/drawingml/2006/main">
            <a:off x="1694375" y="2514020"/>
            <a:ext cx="1385415" cy="378075"/>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BB545F7B-CD61-4F1E-8BDD-8A72AA72448E}" type="TxLink">
              <a:rPr lang="en-US" sz="2000" b="1" i="0" u="none" strike="noStrike">
                <a:solidFill>
                  <a:srgbClr val="FF0000"/>
                </a:solidFill>
                <a:latin typeface="Calibri"/>
                <a:ea typeface="+mn-ea"/>
                <a:cs typeface="Calibri"/>
              </a:rPr>
              <a:pPr marL="0" indent="0" algn="ctr"/>
              <a:t>-10,1%</a:t>
            </a:fld>
            <a:endParaRPr lang="pt-BR" sz="2000" b="1" i="0" u="none" strike="noStrike">
              <a:solidFill>
                <a:srgbClr val="FF0000"/>
              </a:solidFill>
              <a:latin typeface="Calibri"/>
              <a:ea typeface="+mn-ea"/>
              <a:cs typeface="Calibri"/>
            </a:endParaRPr>
          </a:p>
        </cdr:txBody>
      </cdr:sp>
      <cdr:sp macro="" textlink="">
        <cdr:nvSpPr>
          <cdr:cNvPr id="6" name="CaixaDeTexto 41"/>
          <cdr:cNvSpPr txBox="1"/>
        </cdr:nvSpPr>
        <cdr:spPr>
          <a:xfrm xmlns:a="http://schemas.openxmlformats.org/drawingml/2006/main">
            <a:off x="1138737" y="2173316"/>
            <a:ext cx="2496693"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Potencial</a:t>
            </a:r>
          </a:p>
        </cdr:txBody>
      </cdr:sp>
    </cdr:grpSp>
  </cdr:relSizeAnchor>
  <cdr:relSizeAnchor xmlns:cdr="http://schemas.openxmlformats.org/drawingml/2006/chartDrawing">
    <cdr:from>
      <cdr:x>0.53341</cdr:x>
      <cdr:y>0.56784</cdr:y>
    </cdr:from>
    <cdr:to>
      <cdr:x>0.64574</cdr:x>
      <cdr:y>0.69682</cdr:y>
    </cdr:to>
    <cdr:sp macro="" textlink="">
      <cdr:nvSpPr>
        <cdr:cNvPr id="18" name="CaixaDeTexto 17"/>
        <cdr:cNvSpPr txBox="1"/>
      </cdr:nvSpPr>
      <cdr:spPr>
        <a:xfrm xmlns:a="http://schemas.openxmlformats.org/drawingml/2006/main">
          <a:off x="9587120" y="3509756"/>
          <a:ext cx="2018885" cy="797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userShapes>
</file>

<file path=xl/drawings/drawing37.xml><?xml version="1.0" encoding="utf-8"?>
<c:userShapes xmlns:c="http://schemas.openxmlformats.org/drawingml/2006/chart">
  <cdr:relSizeAnchor xmlns:cdr="http://schemas.openxmlformats.org/drawingml/2006/chartDrawing">
    <cdr:from>
      <cdr:x>0.62652</cdr:x>
      <cdr:y>0.02941</cdr:y>
    </cdr:from>
    <cdr:to>
      <cdr:x>0.98062</cdr:x>
      <cdr:y>0.2106</cdr:y>
    </cdr:to>
    <cdr:grpSp>
      <cdr:nvGrpSpPr>
        <cdr:cNvPr id="3" name="Grupo 2">
          <a:extLst xmlns:a="http://schemas.openxmlformats.org/drawingml/2006/main">
            <a:ext uri="{FF2B5EF4-FFF2-40B4-BE49-F238E27FC236}">
              <a16:creationId xmlns:a16="http://schemas.microsoft.com/office/drawing/2014/main" xmlns="" id="{C2C32DE3-8461-47AA-9607-E6091F27B944}"/>
            </a:ext>
          </a:extLst>
        </cdr:cNvPr>
        <cdr:cNvGrpSpPr/>
      </cdr:nvGrpSpPr>
      <cdr:grpSpPr>
        <a:xfrm xmlns:a="http://schemas.openxmlformats.org/drawingml/2006/main">
          <a:off x="5751502" y="168792"/>
          <a:ext cx="3250665" cy="1039900"/>
          <a:chOff x="115796" y="-46320"/>
          <a:chExt cx="2730248" cy="831722"/>
        </a:xfrm>
      </cdr:grpSpPr>
      <cdr:sp macro="" textlink="Lançamentos!$R$10">
        <cdr:nvSpPr>
          <cdr:cNvPr id="4" name="CaixaDeTexto 38"/>
          <cdr:cNvSpPr txBox="1"/>
        </cdr:nvSpPr>
        <cdr:spPr>
          <a:xfrm xmlns:a="http://schemas.openxmlformats.org/drawingml/2006/main">
            <a:off x="975005" y="443973"/>
            <a:ext cx="1011829" cy="341429"/>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BC862B7-9A7F-402B-96EE-F9B93ED8BE57}" type="TxLink">
              <a:rPr lang="en-US" sz="2000" b="1" i="0" u="none" strike="noStrike">
                <a:solidFill>
                  <a:srgbClr val="FF0000"/>
                </a:solidFill>
                <a:latin typeface="Calibri"/>
                <a:cs typeface="Calibri"/>
              </a:rPr>
              <a:pPr algn="ctr"/>
              <a:t>-2,8%</a:t>
            </a:fld>
            <a:endParaRPr lang="pt-BR" sz="9600" b="1">
              <a:solidFill>
                <a:srgbClr val="FF0000"/>
              </a:solidFill>
            </a:endParaRPr>
          </a:p>
        </cdr:txBody>
      </cdr:sp>
      <cdr:sp macro="" textlink="">
        <cdr:nvSpPr>
          <cdr:cNvPr id="5" name="CaixaDeTexto 39"/>
          <cdr:cNvSpPr txBox="1"/>
        </cdr:nvSpPr>
        <cdr:spPr>
          <a:xfrm xmlns:a="http://schemas.openxmlformats.org/drawingml/2006/main">
            <a:off x="115796" y="-46320"/>
            <a:ext cx="2730248" cy="4859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Execução Orçamentária Total </a:t>
            </a:r>
            <a:endParaRPr lang="pt-BR" sz="1600" b="1" baseline="0"/>
          </a:p>
          <a:p xmlns:a="http://schemas.openxmlformats.org/drawingml/2006/main">
            <a:pPr marL="0" indent="0" algn="ctr"/>
            <a:r>
              <a:rPr lang="pt-BR" sz="1600" b="1">
                <a:solidFill>
                  <a:schemeClr val="tx1"/>
                </a:solidFill>
                <a:latin typeface="+mn-lt"/>
                <a:ea typeface="+mn-ea"/>
                <a:cs typeface="+mn-cs"/>
              </a:rPr>
              <a:t>Variação  Jan.</a:t>
            </a:r>
            <a:r>
              <a:rPr lang="pt-BR" sz="1600" b="1" baseline="0">
                <a:solidFill>
                  <a:schemeClr val="tx1"/>
                </a:solidFill>
                <a:latin typeface="+mn-lt"/>
                <a:ea typeface="+mn-ea"/>
                <a:cs typeface="+mn-cs"/>
              </a:rPr>
              <a:t> </a:t>
            </a:r>
            <a:r>
              <a:rPr lang="pt-BR" sz="1600" b="1">
                <a:solidFill>
                  <a:schemeClr val="tx1"/>
                </a:solidFill>
                <a:latin typeface="+mn-lt"/>
                <a:ea typeface="+mn-ea"/>
                <a:cs typeface="+mn-cs"/>
              </a:rPr>
              <a:t>a Dez. - 2020 x 2019 </a:t>
            </a:r>
          </a:p>
        </cdr:txBody>
      </cdr:sp>
    </cdr:grpSp>
  </cdr:relSizeAnchor>
</c:userShapes>
</file>

<file path=xl/drawings/drawing38.xml><?xml version="1.0" encoding="utf-8"?>
<xdr:wsDr xmlns:xdr="http://schemas.openxmlformats.org/drawingml/2006/spreadsheetDrawing" xmlns:a="http://schemas.openxmlformats.org/drawingml/2006/main">
  <xdr:twoCellAnchor>
    <xdr:from>
      <xdr:col>20</xdr:col>
      <xdr:colOff>466613</xdr:colOff>
      <xdr:row>23</xdr:row>
      <xdr:rowOff>160757</xdr:rowOff>
    </xdr:from>
    <xdr:to>
      <xdr:col>28</xdr:col>
      <xdr:colOff>1091013</xdr:colOff>
      <xdr:row>36</xdr:row>
      <xdr:rowOff>503057</xdr:rowOff>
    </xdr:to>
    <xdr:graphicFrame macro="">
      <xdr:nvGraphicFramePr>
        <xdr:cNvPr id="94" name="Gráfico 93">
          <a:extLst>
            <a:ext uri="{FF2B5EF4-FFF2-40B4-BE49-F238E27FC236}">
              <a16:creationId xmlns:a16="http://schemas.microsoft.com/office/drawing/2014/main" xmlns="" id="{9B1D891B-B622-4206-9AC8-3FC51C425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365988</xdr:colOff>
      <xdr:row>23</xdr:row>
      <xdr:rowOff>162939</xdr:rowOff>
    </xdr:from>
    <xdr:to>
      <xdr:col>19</xdr:col>
      <xdr:colOff>387138</xdr:colOff>
      <xdr:row>36</xdr:row>
      <xdr:rowOff>501639</xdr:rowOff>
    </xdr:to>
    <xdr:graphicFrame macro="">
      <xdr:nvGraphicFramePr>
        <xdr:cNvPr id="87" name="Gráfico 86">
          <a:extLst>
            <a:ext uri="{FF2B5EF4-FFF2-40B4-BE49-F238E27FC236}">
              <a16:creationId xmlns:a16="http://schemas.microsoft.com/office/drawing/2014/main" xmlns="" id="{E53EDD18-F4D1-4F00-B75D-8EF6E220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392978</xdr:colOff>
      <xdr:row>23</xdr:row>
      <xdr:rowOff>182203</xdr:rowOff>
    </xdr:from>
    <xdr:to>
      <xdr:col>9</xdr:col>
      <xdr:colOff>414128</xdr:colOff>
      <xdr:row>36</xdr:row>
      <xdr:rowOff>524503</xdr:rowOff>
    </xdr:to>
    <xdr:graphicFrame macro="">
      <xdr:nvGraphicFramePr>
        <xdr:cNvPr id="86" name="Gráfico 85">
          <a:extLst>
            <a:ext uri="{FF2B5EF4-FFF2-40B4-BE49-F238E27FC236}">
              <a16:creationId xmlns:a16="http://schemas.microsoft.com/office/drawing/2014/main" xmlns="" id="{85B97D9A-BCD4-4DCD-9D60-EA493EF7E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512687</xdr:colOff>
      <xdr:row>6</xdr:row>
      <xdr:rowOff>137585</xdr:rowOff>
    </xdr:from>
    <xdr:to>
      <xdr:col>28</xdr:col>
      <xdr:colOff>1063004</xdr:colOff>
      <xdr:row>21</xdr:row>
      <xdr:rowOff>84702</xdr:rowOff>
    </xdr:to>
    <xdr:graphicFrame macro="">
      <xdr:nvGraphicFramePr>
        <xdr:cNvPr id="85" name="Gráfico 84">
          <a:extLst>
            <a:ext uri="{FF2B5EF4-FFF2-40B4-BE49-F238E27FC236}">
              <a16:creationId xmlns:a16="http://schemas.microsoft.com/office/drawing/2014/main" xmlns="" id="{BB7D4BDD-CBA0-4845-AA5E-30EB8C498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402165</xdr:colOff>
      <xdr:row>6</xdr:row>
      <xdr:rowOff>127001</xdr:rowOff>
    </xdr:from>
    <xdr:to>
      <xdr:col>19</xdr:col>
      <xdr:colOff>366165</xdr:colOff>
      <xdr:row>21</xdr:row>
      <xdr:rowOff>79300</xdr:rowOff>
    </xdr:to>
    <xdr:graphicFrame macro="">
      <xdr:nvGraphicFramePr>
        <xdr:cNvPr id="83" name="Gráfico PJ">
          <a:extLst>
            <a:ext uri="{FF2B5EF4-FFF2-40B4-BE49-F238E27FC236}">
              <a16:creationId xmlns:a16="http://schemas.microsoft.com/office/drawing/2014/main" xmlns="" id="{287C60AC-E3A6-4EA5-9AC8-945A0F6CF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1</xdr:rowOff>
    </xdr:from>
    <xdr:ext cx="3653797" cy="765928"/>
    <xdr:pic>
      <xdr:nvPicPr>
        <xdr:cNvPr id="2" name="Logo">
          <a:extLst>
            <a:ext uri="{FF2B5EF4-FFF2-40B4-BE49-F238E27FC236}">
              <a16:creationId xmlns:a16="http://schemas.microsoft.com/office/drawing/2014/main" xmlns="" id="{00000000-0008-0000-3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Título">
          <a:extLst>
            <a:ext uri="{FF2B5EF4-FFF2-40B4-BE49-F238E27FC236}">
              <a16:creationId xmlns:a16="http://schemas.microsoft.com/office/drawing/2014/main" xmlns="" id="{00000000-0008-0000-3700-000003000000}"/>
            </a:ext>
          </a:extLst>
        </xdr:cNvPr>
        <xdr:cNvSpPr txBox="1"/>
      </xdr:nvSpPr>
      <xdr:spPr>
        <a:xfrm>
          <a:off x="3591866" y="0"/>
          <a:ext cx="1380583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Subtítulo">
          <a:extLst>
            <a:ext uri="{FF2B5EF4-FFF2-40B4-BE49-F238E27FC236}">
              <a16:creationId xmlns:a16="http://schemas.microsoft.com/office/drawing/2014/main" xmlns="" id="{00000000-0008-0000-3700-000004000000}"/>
            </a:ext>
          </a:extLst>
        </xdr:cNvPr>
        <xdr:cNvGrpSpPr/>
      </xdr:nvGrpSpPr>
      <xdr:grpSpPr>
        <a:xfrm>
          <a:off x="835232" y="930462"/>
          <a:ext cx="16215478" cy="498530"/>
          <a:chOff x="833715" y="968427"/>
          <a:chExt cx="16179074" cy="485632"/>
        </a:xfrm>
      </xdr:grpSpPr>
      <xdr:sp macro="" textlink="">
        <xdr:nvSpPr>
          <xdr:cNvPr id="5" name="CaixaDeTexto 4">
            <a:extLst>
              <a:ext uri="{FF2B5EF4-FFF2-40B4-BE49-F238E27FC236}">
                <a16:creationId xmlns:a16="http://schemas.microsoft.com/office/drawing/2014/main" xmlns="" id="{00000000-0008-0000-37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7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8" name="VOLTAR">
          <a:hlinkClick xmlns:r="http://schemas.openxmlformats.org/officeDocument/2006/relationships" r:id="rId7" tooltip="Voltar para a tela principal"/>
          <a:extLst>
            <a:ext uri="{FF2B5EF4-FFF2-40B4-BE49-F238E27FC236}">
              <a16:creationId xmlns:a16="http://schemas.microsoft.com/office/drawing/2014/main" xmlns="" id="{00000000-0008-0000-3700-00001C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26</xdr:col>
      <xdr:colOff>66676</xdr:colOff>
      <xdr:row>1</xdr:row>
      <xdr:rowOff>43726</xdr:rowOff>
    </xdr:from>
    <xdr:to>
      <xdr:col>27</xdr:col>
      <xdr:colOff>576874</xdr:colOff>
      <xdr:row>4</xdr:row>
      <xdr:rowOff>22122</xdr:rowOff>
    </xdr:to>
    <xdr:sp macro="" textlink="">
      <xdr:nvSpPr>
        <xdr:cNvPr id="36" name="100%">
          <a:extLst>
            <a:ext uri="{FF2B5EF4-FFF2-40B4-BE49-F238E27FC236}">
              <a16:creationId xmlns:a16="http://schemas.microsoft.com/office/drawing/2014/main" xmlns="" id="{00000000-0008-0000-3700-000024000000}"/>
            </a:ext>
          </a:extLst>
        </xdr:cNvPr>
        <xdr:cNvSpPr txBox="1"/>
      </xdr:nvSpPr>
      <xdr:spPr>
        <a:xfrm>
          <a:off x="15987033" y="801838"/>
          <a:ext cx="1122520" cy="56156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20</xdr:col>
      <xdr:colOff>441541</xdr:colOff>
      <xdr:row>22</xdr:row>
      <xdr:rowOff>65507</xdr:rowOff>
    </xdr:from>
    <xdr:to>
      <xdr:col>28</xdr:col>
      <xdr:colOff>995742</xdr:colOff>
      <xdr:row>29</xdr:row>
      <xdr:rowOff>170453</xdr:rowOff>
    </xdr:to>
    <xdr:grpSp>
      <xdr:nvGrpSpPr>
        <xdr:cNvPr id="31" name="Taxas e Multas">
          <a:extLst>
            <a:ext uri="{FF2B5EF4-FFF2-40B4-BE49-F238E27FC236}">
              <a16:creationId xmlns:a16="http://schemas.microsoft.com/office/drawing/2014/main" xmlns="" id="{00000000-0008-0000-3700-00001F000000}"/>
            </a:ext>
          </a:extLst>
        </xdr:cNvPr>
        <xdr:cNvGrpSpPr/>
      </xdr:nvGrpSpPr>
      <xdr:grpSpPr>
        <a:xfrm>
          <a:off x="12645447" y="4887538"/>
          <a:ext cx="5420881" cy="1459282"/>
          <a:chOff x="12586450" y="4833110"/>
          <a:chExt cx="5404911" cy="1459082"/>
        </a:xfrm>
      </xdr:grpSpPr>
      <xdr:grpSp>
        <xdr:nvGrpSpPr>
          <xdr:cNvPr id="17" name="Grupo 16">
            <a:extLst>
              <a:ext uri="{FF2B5EF4-FFF2-40B4-BE49-F238E27FC236}">
                <a16:creationId xmlns:a16="http://schemas.microsoft.com/office/drawing/2014/main" xmlns="" id="{00000000-0008-0000-3700-000011000000}"/>
              </a:ext>
            </a:extLst>
          </xdr:cNvPr>
          <xdr:cNvGrpSpPr/>
        </xdr:nvGrpSpPr>
        <xdr:grpSpPr>
          <a:xfrm>
            <a:off x="12586450" y="4833110"/>
            <a:ext cx="5404911" cy="298893"/>
            <a:chOff x="12586450" y="4833109"/>
            <a:chExt cx="5404911" cy="298893"/>
          </a:xfrm>
        </xdr:grpSpPr>
        <xdr:sp macro="" textlink="">
          <xdr:nvSpPr>
            <xdr:cNvPr id="51" name="CaixaDeTexto 50">
              <a:extLst>
                <a:ext uri="{FF2B5EF4-FFF2-40B4-BE49-F238E27FC236}">
                  <a16:creationId xmlns:a16="http://schemas.microsoft.com/office/drawing/2014/main" xmlns="" id="{00000000-0008-0000-3700-000033000000}"/>
                </a:ext>
              </a:extLst>
            </xdr:cNvPr>
            <xdr:cNvSpPr txBox="1"/>
          </xdr:nvSpPr>
          <xdr:spPr>
            <a:xfrm>
              <a:off x="12854153" y="4833109"/>
              <a:ext cx="4869514" cy="290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Taxas e Multas</a:t>
              </a:r>
            </a:p>
          </xdr:txBody>
        </xdr:sp>
        <xdr:cxnSp macro="">
          <xdr:nvCxnSpPr>
            <xdr:cNvPr id="52" name="Conector reto 51">
              <a:extLst>
                <a:ext uri="{FF2B5EF4-FFF2-40B4-BE49-F238E27FC236}">
                  <a16:creationId xmlns:a16="http://schemas.microsoft.com/office/drawing/2014/main" xmlns="" id="{00000000-0008-0000-3700-000034000000}"/>
                </a:ext>
              </a:extLst>
            </xdr:cNvPr>
            <xdr:cNvCxnSpPr/>
          </xdr:nvCxnSpPr>
          <xdr:spPr>
            <a:xfrm>
              <a:off x="12586450" y="5132002"/>
              <a:ext cx="5404911" cy="0"/>
            </a:xfrm>
            <a:prstGeom prst="line">
              <a:avLst/>
            </a:prstGeom>
            <a:noFill/>
            <a:ln>
              <a:noFill/>
            </a:ln>
          </xdr:spPr>
          <xdr:style>
            <a:lnRef idx="1">
              <a:schemeClr val="accent1"/>
            </a:lnRef>
            <a:fillRef idx="0">
              <a:schemeClr val="accent1"/>
            </a:fillRef>
            <a:effectRef idx="0">
              <a:schemeClr val="accent1"/>
            </a:effectRef>
            <a:fontRef idx="minor">
              <a:schemeClr val="tx1"/>
            </a:fontRef>
          </xdr:style>
        </xdr:cxnSp>
      </xdr:grpSp>
      <xdr:grpSp>
        <xdr:nvGrpSpPr>
          <xdr:cNvPr id="110" name="Grupo 109">
            <a:extLst>
              <a:ext uri="{FF2B5EF4-FFF2-40B4-BE49-F238E27FC236}">
                <a16:creationId xmlns:a16="http://schemas.microsoft.com/office/drawing/2014/main" xmlns="" id="{00000000-0008-0000-3700-00006E000000}"/>
              </a:ext>
            </a:extLst>
          </xdr:cNvPr>
          <xdr:cNvGrpSpPr/>
        </xdr:nvGrpSpPr>
        <xdr:grpSpPr>
          <a:xfrm>
            <a:off x="13339063" y="5225605"/>
            <a:ext cx="1340755" cy="1066587"/>
            <a:chOff x="1369948" y="1810484"/>
            <a:chExt cx="1484763" cy="1239647"/>
          </a:xfrm>
          <a:noFill/>
        </xdr:grpSpPr>
        <xdr:sp macro="" textlink="Lançamentos!U7">
          <xdr:nvSpPr>
            <xdr:cNvPr id="111" name="CaixaDeTexto 110">
              <a:extLst>
                <a:ext uri="{FF2B5EF4-FFF2-40B4-BE49-F238E27FC236}">
                  <a16:creationId xmlns:a16="http://schemas.microsoft.com/office/drawing/2014/main" xmlns="" id="{00000000-0008-0000-3700-00006F000000}"/>
                </a:ext>
              </a:extLst>
            </xdr:cNvPr>
            <xdr:cNvSpPr txBox="1"/>
          </xdr:nvSpPr>
          <xdr:spPr>
            <a:xfrm>
              <a:off x="1756898" y="2099446"/>
              <a:ext cx="744187" cy="367232"/>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0DC1E22-3233-4B5C-A893-BA4B581F7860}" type="TxLink">
                <a:rPr lang="en-US" sz="1400" b="1" i="0" u="none" strike="noStrike">
                  <a:solidFill>
                    <a:schemeClr val="accent3">
                      <a:lumMod val="50000"/>
                    </a:schemeClr>
                  </a:solidFill>
                  <a:latin typeface="Calibri"/>
                  <a:cs typeface="Calibri"/>
                </a:rPr>
                <a:pPr algn="ctr"/>
                <a:t>21,3%</a:t>
              </a:fld>
              <a:endParaRPr lang="pt-BR" sz="1800" b="1">
                <a:solidFill>
                  <a:schemeClr val="accent3">
                    <a:lumMod val="50000"/>
                  </a:schemeClr>
                </a:solidFill>
              </a:endParaRPr>
            </a:p>
          </xdr:txBody>
        </xdr:sp>
        <xdr:sp macro="" textlink="">
          <xdr:nvSpPr>
            <xdr:cNvPr id="112" name="CaixaDeTexto 111">
              <a:extLst>
                <a:ext uri="{FF2B5EF4-FFF2-40B4-BE49-F238E27FC236}">
                  <a16:creationId xmlns:a16="http://schemas.microsoft.com/office/drawing/2014/main" xmlns="" id="{00000000-0008-0000-3700-000070000000}"/>
                </a:ext>
              </a:extLst>
            </xdr:cNvPr>
            <xdr:cNvSpPr txBox="1"/>
          </xdr:nvSpPr>
          <xdr:spPr>
            <a:xfrm>
              <a:off x="1369948" y="1810484"/>
              <a:ext cx="1484101"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7">
          <xdr:nvSpPr>
            <xdr:cNvPr id="113" name="CaixaDeTexto 112">
              <a:extLst>
                <a:ext uri="{FF2B5EF4-FFF2-40B4-BE49-F238E27FC236}">
                  <a16:creationId xmlns:a16="http://schemas.microsoft.com/office/drawing/2014/main" xmlns="" id="{00000000-0008-0000-3700-000071000000}"/>
                </a:ext>
              </a:extLst>
            </xdr:cNvPr>
            <xdr:cNvSpPr txBox="1"/>
          </xdr:nvSpPr>
          <xdr:spPr>
            <a:xfrm>
              <a:off x="1772088" y="2682899"/>
              <a:ext cx="743018" cy="36723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4179722B-7BB6-4467-92B0-980E0458994C}" type="TxLink">
                <a:rPr lang="en-US" sz="1400" b="1" i="0" u="none" strike="noStrike">
                  <a:solidFill>
                    <a:srgbClr val="FF0000"/>
                  </a:solidFill>
                  <a:latin typeface="Calibri"/>
                  <a:ea typeface="+mn-ea"/>
                  <a:cs typeface="Calibri"/>
                </a:rPr>
                <a:pPr marL="0" indent="0" algn="ctr"/>
                <a:t>-3,8%</a:t>
              </a:fld>
              <a:endParaRPr lang="pt-BR" sz="1800" b="1" i="0" u="none" strike="noStrike">
                <a:solidFill>
                  <a:srgbClr val="FF0000"/>
                </a:solidFill>
                <a:latin typeface="Calibri"/>
                <a:ea typeface="+mn-ea"/>
                <a:cs typeface="Calibri"/>
              </a:endParaRPr>
            </a:p>
          </xdr:txBody>
        </xdr:sp>
        <xdr:sp macro="" textlink="">
          <xdr:nvSpPr>
            <xdr:cNvPr id="114" name="CaixaDeTexto 113">
              <a:extLst>
                <a:ext uri="{FF2B5EF4-FFF2-40B4-BE49-F238E27FC236}">
                  <a16:creationId xmlns:a16="http://schemas.microsoft.com/office/drawing/2014/main" xmlns="" id="{00000000-0008-0000-3700-000072000000}"/>
                </a:ext>
              </a:extLst>
            </xdr:cNvPr>
            <xdr:cNvSpPr txBox="1"/>
          </xdr:nvSpPr>
          <xdr:spPr>
            <a:xfrm>
              <a:off x="1369948" y="2428419"/>
              <a:ext cx="1484763"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clientData/>
  </xdr:twoCellAnchor>
  <xdr:twoCellAnchor>
    <xdr:from>
      <xdr:col>20</xdr:col>
      <xdr:colOff>367297</xdr:colOff>
      <xdr:row>23</xdr:row>
      <xdr:rowOff>111817</xdr:rowOff>
    </xdr:from>
    <xdr:to>
      <xdr:col>28</xdr:col>
      <xdr:colOff>1178719</xdr:colOff>
      <xdr:row>36</xdr:row>
      <xdr:rowOff>619125</xdr:rowOff>
    </xdr:to>
    <xdr:sp macro="" textlink="">
      <xdr:nvSpPr>
        <xdr:cNvPr id="93" name="Retângulo 92">
          <a:hlinkClick xmlns:r="http://schemas.openxmlformats.org/officeDocument/2006/relationships" r:id="rId8" tooltip="Gráfico Taxas e Multas"/>
          <a:extLst>
            <a:ext uri="{FF2B5EF4-FFF2-40B4-BE49-F238E27FC236}">
              <a16:creationId xmlns:a16="http://schemas.microsoft.com/office/drawing/2014/main" xmlns="" id="{00000000-0008-0000-3700-00005D000000}"/>
            </a:ext>
          </a:extLst>
        </xdr:cNvPr>
        <xdr:cNvSpPr/>
      </xdr:nvSpPr>
      <xdr:spPr>
        <a:xfrm>
          <a:off x="12511672" y="5076723"/>
          <a:ext cx="5657266" cy="29838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314516</xdr:colOff>
      <xdr:row>5</xdr:row>
      <xdr:rowOff>13216</xdr:rowOff>
    </xdr:from>
    <xdr:to>
      <xdr:col>28</xdr:col>
      <xdr:colOff>1246309</xdr:colOff>
      <xdr:row>21</xdr:row>
      <xdr:rowOff>98568</xdr:rowOff>
    </xdr:to>
    <xdr:grpSp>
      <xdr:nvGrpSpPr>
        <xdr:cNvPr id="16" name="RRT">
          <a:extLst>
            <a:ext uri="{FF2B5EF4-FFF2-40B4-BE49-F238E27FC236}">
              <a16:creationId xmlns:a16="http://schemas.microsoft.com/office/drawing/2014/main" xmlns="" id="{00000000-0008-0000-3700-000010000000}"/>
            </a:ext>
          </a:extLst>
        </xdr:cNvPr>
        <xdr:cNvGrpSpPr/>
      </xdr:nvGrpSpPr>
      <xdr:grpSpPr>
        <a:xfrm>
          <a:off x="12518422" y="1546146"/>
          <a:ext cx="5798473" cy="3180977"/>
          <a:chOff x="12458632" y="1537216"/>
          <a:chExt cx="5777637" cy="3145246"/>
        </a:xfrm>
      </xdr:grpSpPr>
      <xdr:grpSp>
        <xdr:nvGrpSpPr>
          <xdr:cNvPr id="128" name="Grupo 127">
            <a:extLst>
              <a:ext uri="{FF2B5EF4-FFF2-40B4-BE49-F238E27FC236}">
                <a16:creationId xmlns:a16="http://schemas.microsoft.com/office/drawing/2014/main" xmlns="" id="{00000000-0008-0000-3700-000080000000}"/>
              </a:ext>
            </a:extLst>
          </xdr:cNvPr>
          <xdr:cNvGrpSpPr/>
        </xdr:nvGrpSpPr>
        <xdr:grpSpPr>
          <a:xfrm>
            <a:off x="12650586" y="1537216"/>
            <a:ext cx="5403146" cy="906860"/>
            <a:chOff x="12724134" y="1524792"/>
            <a:chExt cx="5432011" cy="887406"/>
          </a:xfrm>
        </xdr:grpSpPr>
        <xdr:grpSp>
          <xdr:nvGrpSpPr>
            <xdr:cNvPr id="47" name="Grupo 46">
              <a:extLst>
                <a:ext uri="{FF2B5EF4-FFF2-40B4-BE49-F238E27FC236}">
                  <a16:creationId xmlns:a16="http://schemas.microsoft.com/office/drawing/2014/main" xmlns="" id="{00000000-0008-0000-3700-00002F000000}"/>
                </a:ext>
              </a:extLst>
            </xdr:cNvPr>
            <xdr:cNvGrpSpPr/>
          </xdr:nvGrpSpPr>
          <xdr:grpSpPr>
            <a:xfrm>
              <a:off x="12724134" y="1524792"/>
              <a:ext cx="5432011" cy="293273"/>
              <a:chOff x="833715" y="968427"/>
              <a:chExt cx="16179074" cy="485632"/>
            </a:xfrm>
          </xdr:grpSpPr>
          <xdr:sp macro="" textlink="">
            <xdr:nvSpPr>
              <xdr:cNvPr id="48" name="CaixaDeTexto 47">
                <a:extLst>
                  <a:ext uri="{FF2B5EF4-FFF2-40B4-BE49-F238E27FC236}">
                    <a16:creationId xmlns:a16="http://schemas.microsoft.com/office/drawing/2014/main" xmlns="" id="{00000000-0008-0000-3700-000030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RRT</a:t>
                </a:r>
              </a:p>
            </xdr:txBody>
          </xdr:sp>
          <xdr:cxnSp macro="">
            <xdr:nvCxnSpPr>
              <xdr:cNvPr id="49" name="Conector reto 48">
                <a:extLst>
                  <a:ext uri="{FF2B5EF4-FFF2-40B4-BE49-F238E27FC236}">
                    <a16:creationId xmlns:a16="http://schemas.microsoft.com/office/drawing/2014/main" xmlns="" id="{00000000-0008-0000-3700-000031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5" name="Grupo 74">
              <a:extLst>
                <a:ext uri="{FF2B5EF4-FFF2-40B4-BE49-F238E27FC236}">
                  <a16:creationId xmlns:a16="http://schemas.microsoft.com/office/drawing/2014/main" xmlns="" id="{00000000-0008-0000-3700-00004B000000}"/>
                </a:ext>
              </a:extLst>
            </xdr:cNvPr>
            <xdr:cNvGrpSpPr/>
          </xdr:nvGrpSpPr>
          <xdr:grpSpPr>
            <a:xfrm>
              <a:off x="13388606" y="1884294"/>
              <a:ext cx="1343888" cy="527904"/>
              <a:chOff x="1369948" y="1838598"/>
              <a:chExt cx="1484101" cy="625054"/>
            </a:xfrm>
          </xdr:grpSpPr>
          <xdr:sp macro="" textlink="Lançamentos!U6">
            <xdr:nvSpPr>
              <xdr:cNvPr id="76" name="CaixaDeTexto 75">
                <a:extLst>
                  <a:ext uri="{FF2B5EF4-FFF2-40B4-BE49-F238E27FC236}">
                    <a16:creationId xmlns:a16="http://schemas.microsoft.com/office/drawing/2014/main" xmlns="" id="{00000000-0008-0000-3700-00004C000000}"/>
                  </a:ext>
                </a:extLst>
              </xdr:cNvPr>
              <xdr:cNvSpPr txBox="1"/>
            </xdr:nvSpPr>
            <xdr:spPr>
              <a:xfrm>
                <a:off x="1811241" y="2102472"/>
                <a:ext cx="601516" cy="36118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1400" b="1" i="0" u="none" strike="noStrike">
                    <a:solidFill>
                      <a:srgbClr val="2A5664"/>
                    </a:solidFill>
                    <a:latin typeface="Calibri"/>
                    <a:cs typeface="Calibri"/>
                  </a:rPr>
                  <a:pPr algn="ctr"/>
                  <a:t>15,9%</a:t>
                </a:fld>
                <a:endParaRPr lang="pt-BR" sz="1600" b="1">
                  <a:solidFill>
                    <a:srgbClr val="2A5664"/>
                  </a:solidFill>
                </a:endParaRPr>
              </a:p>
            </xdr:txBody>
          </xdr:sp>
          <xdr:sp macro="" textlink="">
            <xdr:nvSpPr>
              <xdr:cNvPr id="77" name="CaixaDeTexto 76">
                <a:extLst>
                  <a:ext uri="{FF2B5EF4-FFF2-40B4-BE49-F238E27FC236}">
                    <a16:creationId xmlns:a16="http://schemas.microsoft.com/office/drawing/2014/main" xmlns="" id="{00000000-0008-0000-3700-00004D000000}"/>
                  </a:ext>
                </a:extLst>
              </xdr:cNvPr>
              <xdr:cNvSpPr txBox="1"/>
            </xdr:nvSpPr>
            <xdr:spPr>
              <a:xfrm>
                <a:off x="1369948" y="1838598"/>
                <a:ext cx="1484101" cy="288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grpSp>
      </xdr:grpSp>
      <xdr:sp macro="" textlink="">
        <xdr:nvSpPr>
          <xdr:cNvPr id="89" name="Retângulo 88">
            <a:hlinkClick xmlns:r="http://schemas.openxmlformats.org/officeDocument/2006/relationships" r:id="rId9" tooltip="Gráfico RRT"/>
            <a:extLst>
              <a:ext uri="{FF2B5EF4-FFF2-40B4-BE49-F238E27FC236}">
                <a16:creationId xmlns:a16="http://schemas.microsoft.com/office/drawing/2014/main" xmlns="" id="{00000000-0008-0000-3700-000059000000}"/>
              </a:ext>
            </a:extLst>
          </xdr:cNvPr>
          <xdr:cNvSpPr/>
        </xdr:nvSpPr>
        <xdr:spPr>
          <a:xfrm>
            <a:off x="12458632" y="1802702"/>
            <a:ext cx="5777637" cy="28797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11</xdr:col>
      <xdr:colOff>12686</xdr:colOff>
      <xdr:row>22</xdr:row>
      <xdr:rowOff>35941</xdr:rowOff>
    </xdr:from>
    <xdr:to>
      <xdr:col>19</xdr:col>
      <xdr:colOff>21995</xdr:colOff>
      <xdr:row>23</xdr:row>
      <xdr:rowOff>159472</xdr:rowOff>
    </xdr:to>
    <xdr:sp macro="" textlink="">
      <xdr:nvSpPr>
        <xdr:cNvPr id="45" name="CaixaDeTexto 44">
          <a:extLst>
            <a:ext uri="{FF2B5EF4-FFF2-40B4-BE49-F238E27FC236}">
              <a16:creationId xmlns:a16="http://schemas.microsoft.com/office/drawing/2014/main" xmlns="" id="{00000000-0008-0000-3700-00002D000000}"/>
            </a:ext>
          </a:extLst>
        </xdr:cNvPr>
        <xdr:cNvSpPr txBox="1"/>
      </xdr:nvSpPr>
      <xdr:spPr>
        <a:xfrm>
          <a:off x="6648436" y="4814316"/>
          <a:ext cx="4835309" cy="314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Exercícios Anteriores</a:t>
          </a:r>
        </a:p>
      </xdr:txBody>
    </xdr:sp>
    <xdr:clientData/>
  </xdr:twoCellAnchor>
  <xdr:twoCellAnchor>
    <xdr:from>
      <xdr:col>10</xdr:col>
      <xdr:colOff>350113</xdr:colOff>
      <xdr:row>23</xdr:row>
      <xdr:rowOff>178116</xdr:rowOff>
    </xdr:from>
    <xdr:to>
      <xdr:col>19</xdr:col>
      <xdr:colOff>287808</xdr:colOff>
      <xdr:row>23</xdr:row>
      <xdr:rowOff>178116</xdr:rowOff>
    </xdr:to>
    <xdr:cxnSp macro="">
      <xdr:nvCxnSpPr>
        <xdr:cNvPr id="46" name="Conector reto 45">
          <a:extLst>
            <a:ext uri="{FF2B5EF4-FFF2-40B4-BE49-F238E27FC236}">
              <a16:creationId xmlns:a16="http://schemas.microsoft.com/office/drawing/2014/main" xmlns="" id="{00000000-0008-0000-3700-00002E000000}"/>
            </a:ext>
          </a:extLst>
        </xdr:cNvPr>
        <xdr:cNvCxnSpPr/>
      </xdr:nvCxnSpPr>
      <xdr:spPr>
        <a:xfrm>
          <a:off x="6382613" y="5146991"/>
          <a:ext cx="536694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117432</xdr:colOff>
      <xdr:row>25</xdr:row>
      <xdr:rowOff>91525</xdr:rowOff>
    </xdr:from>
    <xdr:to>
      <xdr:col>13</xdr:col>
      <xdr:colOff>148971</xdr:colOff>
      <xdr:row>27</xdr:row>
      <xdr:rowOff>47625</xdr:rowOff>
    </xdr:to>
    <xdr:sp macro="" textlink="Lançamentos!U5">
      <xdr:nvSpPr>
        <xdr:cNvPr id="101" name="CaixaDeTexto 100">
          <a:extLst>
            <a:ext uri="{FF2B5EF4-FFF2-40B4-BE49-F238E27FC236}">
              <a16:creationId xmlns:a16="http://schemas.microsoft.com/office/drawing/2014/main" xmlns="" id="{00000000-0008-0000-3700-000065000000}"/>
            </a:ext>
          </a:extLst>
        </xdr:cNvPr>
        <xdr:cNvSpPr txBox="1"/>
      </xdr:nvSpPr>
      <xdr:spPr>
        <a:xfrm>
          <a:off x="7356432" y="5441400"/>
          <a:ext cx="634789" cy="3371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fld id="{4CB01299-3D2B-492B-855C-E0854AE8CE1F}" type="TxLink">
            <a:rPr lang="en-US" sz="1400" b="1" i="0" u="none" strike="noStrike">
              <a:solidFill>
                <a:schemeClr val="accent3">
                  <a:lumMod val="50000"/>
                </a:schemeClr>
              </a:solidFill>
              <a:latin typeface="Calibri"/>
              <a:cs typeface="Calibri"/>
            </a:rPr>
            <a:pPr/>
            <a:t>22,4%</a:t>
          </a:fld>
          <a:endParaRPr lang="pt-BR" sz="1400" b="1">
            <a:solidFill>
              <a:schemeClr val="accent3">
                <a:lumMod val="50000"/>
              </a:schemeClr>
            </a:solidFill>
          </a:endParaRPr>
        </a:p>
      </xdr:txBody>
    </xdr:sp>
    <xdr:clientData/>
  </xdr:twoCellAnchor>
  <xdr:twoCellAnchor>
    <xdr:from>
      <xdr:col>11</xdr:col>
      <xdr:colOff>373661</xdr:colOff>
      <xdr:row>23</xdr:row>
      <xdr:rowOff>184550</xdr:rowOff>
    </xdr:from>
    <xdr:to>
      <xdr:col>13</xdr:col>
      <xdr:colOff>498113</xdr:colOff>
      <xdr:row>25</xdr:row>
      <xdr:rowOff>71903</xdr:rowOff>
    </xdr:to>
    <xdr:sp macro="" textlink="">
      <xdr:nvSpPr>
        <xdr:cNvPr id="102" name="CaixaDeTexto 101">
          <a:extLst>
            <a:ext uri="{FF2B5EF4-FFF2-40B4-BE49-F238E27FC236}">
              <a16:creationId xmlns:a16="http://schemas.microsoft.com/office/drawing/2014/main" xmlns="" id="{00000000-0008-0000-3700-000066000000}"/>
            </a:ext>
          </a:extLst>
        </xdr:cNvPr>
        <xdr:cNvSpPr txBox="1"/>
      </xdr:nvSpPr>
      <xdr:spPr>
        <a:xfrm>
          <a:off x="7009411" y="5153425"/>
          <a:ext cx="1330952" cy="26835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000" b="1"/>
            <a:t>Executado x Previsto</a:t>
          </a:r>
        </a:p>
      </xdr:txBody>
    </xdr:sp>
    <xdr:clientData/>
  </xdr:twoCellAnchor>
  <xdr:twoCellAnchor>
    <xdr:from>
      <xdr:col>10</xdr:col>
      <xdr:colOff>227286</xdr:colOff>
      <xdr:row>5</xdr:row>
      <xdr:rowOff>16326</xdr:rowOff>
    </xdr:from>
    <xdr:to>
      <xdr:col>19</xdr:col>
      <xdr:colOff>537884</xdr:colOff>
      <xdr:row>21</xdr:row>
      <xdr:rowOff>92440</xdr:rowOff>
    </xdr:to>
    <xdr:grpSp>
      <xdr:nvGrpSpPr>
        <xdr:cNvPr id="13" name="PJ">
          <a:extLst>
            <a:ext uri="{FF2B5EF4-FFF2-40B4-BE49-F238E27FC236}">
              <a16:creationId xmlns:a16="http://schemas.microsoft.com/office/drawing/2014/main" xmlns="" id="{00000000-0008-0000-3700-00000D000000}"/>
            </a:ext>
          </a:extLst>
        </xdr:cNvPr>
        <xdr:cNvGrpSpPr/>
      </xdr:nvGrpSpPr>
      <xdr:grpSpPr>
        <a:xfrm>
          <a:off x="6329239" y="1549256"/>
          <a:ext cx="5802356" cy="3171739"/>
          <a:chOff x="6334394" y="1540326"/>
          <a:chExt cx="5807083" cy="3135314"/>
        </a:xfrm>
      </xdr:grpSpPr>
      <xdr:grpSp>
        <xdr:nvGrpSpPr>
          <xdr:cNvPr id="12" name="Grupo 11">
            <a:extLst>
              <a:ext uri="{FF2B5EF4-FFF2-40B4-BE49-F238E27FC236}">
                <a16:creationId xmlns:a16="http://schemas.microsoft.com/office/drawing/2014/main" xmlns="" id="{00000000-0008-0000-3700-00000C000000}"/>
              </a:ext>
            </a:extLst>
          </xdr:cNvPr>
          <xdr:cNvGrpSpPr/>
        </xdr:nvGrpSpPr>
        <xdr:grpSpPr>
          <a:xfrm>
            <a:off x="6500939" y="1540326"/>
            <a:ext cx="5430129" cy="299642"/>
            <a:chOff x="6500939" y="1540326"/>
            <a:chExt cx="5430129" cy="299642"/>
          </a:xfrm>
        </xdr:grpSpPr>
        <xdr:sp macro="" textlink="">
          <xdr:nvSpPr>
            <xdr:cNvPr id="29" name="CaixaDeTexto 28">
              <a:extLst>
                <a:ext uri="{FF2B5EF4-FFF2-40B4-BE49-F238E27FC236}">
                  <a16:creationId xmlns:a16="http://schemas.microsoft.com/office/drawing/2014/main" xmlns="" id="{00000000-0008-0000-3700-00001D000000}"/>
                </a:ext>
              </a:extLst>
            </xdr:cNvPr>
            <xdr:cNvSpPr txBox="1"/>
          </xdr:nvSpPr>
          <xdr:spPr>
            <a:xfrm>
              <a:off x="6769891" y="1540326"/>
              <a:ext cx="4892234" cy="291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 2020</a:t>
              </a:r>
            </a:p>
          </xdr:txBody>
        </xdr:sp>
        <xdr:cxnSp macro="">
          <xdr:nvCxnSpPr>
            <xdr:cNvPr id="30" name="Conector reto 29">
              <a:extLst>
                <a:ext uri="{FF2B5EF4-FFF2-40B4-BE49-F238E27FC236}">
                  <a16:creationId xmlns:a16="http://schemas.microsoft.com/office/drawing/2014/main" xmlns="" id="{00000000-0008-0000-3700-00001E000000}"/>
                </a:ext>
              </a:extLst>
            </xdr:cNvPr>
            <xdr:cNvCxnSpPr/>
          </xdr:nvCxnSpPr>
          <xdr:spPr>
            <a:xfrm>
              <a:off x="6500939" y="1839968"/>
              <a:ext cx="5430129"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0" name="Grupo 69">
            <a:extLst>
              <a:ext uri="{FF2B5EF4-FFF2-40B4-BE49-F238E27FC236}">
                <a16:creationId xmlns:a16="http://schemas.microsoft.com/office/drawing/2014/main" xmlns="" id="{00000000-0008-0000-3700-000046000000}"/>
              </a:ext>
            </a:extLst>
          </xdr:cNvPr>
          <xdr:cNvGrpSpPr/>
        </xdr:nvGrpSpPr>
        <xdr:grpSpPr>
          <a:xfrm>
            <a:off x="7140408" y="1846309"/>
            <a:ext cx="1347220" cy="1061317"/>
            <a:chOff x="1369948" y="1810484"/>
            <a:chExt cx="1484763" cy="1230438"/>
          </a:xfrm>
          <a:noFill/>
        </xdr:grpSpPr>
        <xdr:sp macro="" textlink="Lançamentos!U4">
          <xdr:nvSpPr>
            <xdr:cNvPr id="71" name="CaixaDeTexto 70">
              <a:extLst>
                <a:ext uri="{FF2B5EF4-FFF2-40B4-BE49-F238E27FC236}">
                  <a16:creationId xmlns:a16="http://schemas.microsoft.com/office/drawing/2014/main" xmlns="" id="{00000000-0008-0000-3700-000047000000}"/>
                </a:ext>
              </a:extLst>
            </xdr:cNvPr>
            <xdr:cNvSpPr txBox="1"/>
          </xdr:nvSpPr>
          <xdr:spPr>
            <a:xfrm>
              <a:off x="1756900" y="2097063"/>
              <a:ext cx="776759" cy="361326"/>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18EC968D-D0EF-41D1-9CF4-FE734BFADCB7}" type="TxLink">
                <a:rPr lang="en-US" sz="1400" b="1" i="0" u="none" strike="noStrike">
                  <a:solidFill>
                    <a:srgbClr val="2A5664"/>
                  </a:solidFill>
                  <a:latin typeface="Calibri"/>
                  <a:cs typeface="Calibri"/>
                </a:rPr>
                <a:pPr algn="ctr"/>
                <a:t>5,0%</a:t>
              </a:fld>
              <a:endParaRPr lang="pt-BR" sz="1600" b="1">
                <a:solidFill>
                  <a:srgbClr val="2A5664"/>
                </a:solidFill>
              </a:endParaRPr>
            </a:p>
          </xdr:txBody>
        </xdr:sp>
        <xdr:sp macro="" textlink="">
          <xdr:nvSpPr>
            <xdr:cNvPr id="72" name="CaixaDeTexto 71">
              <a:extLst>
                <a:ext uri="{FF2B5EF4-FFF2-40B4-BE49-F238E27FC236}">
                  <a16:creationId xmlns:a16="http://schemas.microsoft.com/office/drawing/2014/main" xmlns="" id="{00000000-0008-0000-3700-000048000000}"/>
                </a:ext>
              </a:extLst>
            </xdr:cNvPr>
            <xdr:cNvSpPr txBox="1"/>
          </xdr:nvSpPr>
          <xdr:spPr>
            <a:xfrm>
              <a:off x="1369948" y="1810484"/>
              <a:ext cx="1484101"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4">
          <xdr:nvSpPr>
            <xdr:cNvPr id="73" name="CaixaDeTexto 72">
              <a:extLst>
                <a:ext uri="{FF2B5EF4-FFF2-40B4-BE49-F238E27FC236}">
                  <a16:creationId xmlns:a16="http://schemas.microsoft.com/office/drawing/2014/main" xmlns="" id="{00000000-0008-0000-3700-000049000000}"/>
                </a:ext>
              </a:extLst>
            </xdr:cNvPr>
            <xdr:cNvSpPr txBox="1"/>
          </xdr:nvSpPr>
          <xdr:spPr>
            <a:xfrm>
              <a:off x="1756900" y="2683070"/>
              <a:ext cx="765599" cy="35785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fld id="{85EFA7BE-E2AE-4832-A0F2-4A16C25DE2F5}" type="TxLink">
                <a:rPr lang="en-US" sz="1400" b="1" i="0" u="none" strike="noStrike">
                  <a:solidFill>
                    <a:srgbClr val="FF0000"/>
                  </a:solidFill>
                  <a:latin typeface="Calibri"/>
                  <a:cs typeface="Calibri"/>
                </a:rPr>
                <a:pPr/>
                <a:t>-33,4%</a:t>
              </a:fld>
              <a:endParaRPr lang="pt-BR" sz="1600" b="1">
                <a:solidFill>
                  <a:srgbClr val="FF0000"/>
                </a:solidFill>
              </a:endParaRPr>
            </a:p>
          </xdr:txBody>
        </xdr:sp>
        <xdr:sp macro="" textlink="">
          <xdr:nvSpPr>
            <xdr:cNvPr id="74" name="CaixaDeTexto 73">
              <a:extLst>
                <a:ext uri="{FF2B5EF4-FFF2-40B4-BE49-F238E27FC236}">
                  <a16:creationId xmlns:a16="http://schemas.microsoft.com/office/drawing/2014/main" xmlns="" id="{00000000-0008-0000-3700-00004A000000}"/>
                </a:ext>
              </a:extLst>
            </xdr:cNvPr>
            <xdr:cNvSpPr txBox="1"/>
          </xdr:nvSpPr>
          <xdr:spPr>
            <a:xfrm>
              <a:off x="1369948" y="2428419"/>
              <a:ext cx="1484763"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sp macro="" textlink="">
        <xdr:nvSpPr>
          <xdr:cNvPr id="88" name="Retângulo 87">
            <a:hlinkClick xmlns:r="http://schemas.openxmlformats.org/officeDocument/2006/relationships" r:id="rId10" tooltip="Gráfico Anuidade PJ - Exercício 2020"/>
            <a:extLst>
              <a:ext uri="{FF2B5EF4-FFF2-40B4-BE49-F238E27FC236}">
                <a16:creationId xmlns:a16="http://schemas.microsoft.com/office/drawing/2014/main" xmlns="" id="{00000000-0008-0000-3700-000058000000}"/>
              </a:ext>
            </a:extLst>
          </xdr:cNvPr>
          <xdr:cNvSpPr/>
        </xdr:nvSpPr>
        <xdr:spPr>
          <a:xfrm>
            <a:off x="6334394" y="1796581"/>
            <a:ext cx="5807083" cy="2879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201147</xdr:colOff>
      <xdr:row>22</xdr:row>
      <xdr:rowOff>55202</xdr:rowOff>
    </xdr:from>
    <xdr:to>
      <xdr:col>9</xdr:col>
      <xdr:colOff>511744</xdr:colOff>
      <xdr:row>36</xdr:row>
      <xdr:rowOff>543718</xdr:rowOff>
    </xdr:to>
    <xdr:grpSp>
      <xdr:nvGrpSpPr>
        <xdr:cNvPr id="54" name="PF Ant">
          <a:extLst>
            <a:ext uri="{FF2B5EF4-FFF2-40B4-BE49-F238E27FC236}">
              <a16:creationId xmlns:a16="http://schemas.microsoft.com/office/drawing/2014/main" xmlns="" id="{00000000-0008-0000-3700-000036000000}"/>
            </a:ext>
          </a:extLst>
        </xdr:cNvPr>
        <xdr:cNvGrpSpPr/>
      </xdr:nvGrpSpPr>
      <xdr:grpSpPr>
        <a:xfrm>
          <a:off x="201147" y="4877233"/>
          <a:ext cx="5802355" cy="3197188"/>
          <a:chOff x="201543" y="4829608"/>
          <a:chExt cx="5775566" cy="3155516"/>
        </a:xfrm>
        <a:noFill/>
      </xdr:grpSpPr>
      <xdr:grpSp>
        <xdr:nvGrpSpPr>
          <xdr:cNvPr id="129" name="Grupo 128">
            <a:extLst>
              <a:ext uri="{FF2B5EF4-FFF2-40B4-BE49-F238E27FC236}">
                <a16:creationId xmlns:a16="http://schemas.microsoft.com/office/drawing/2014/main" xmlns="" id="{00000000-0008-0000-3700-000081000000}"/>
              </a:ext>
            </a:extLst>
          </xdr:cNvPr>
          <xdr:cNvGrpSpPr/>
        </xdr:nvGrpSpPr>
        <xdr:grpSpPr>
          <a:xfrm>
            <a:off x="266777" y="4829608"/>
            <a:ext cx="5400344" cy="910253"/>
            <a:chOff x="267411" y="4745230"/>
            <a:chExt cx="5431166" cy="893577"/>
          </a:xfrm>
          <a:grpFill/>
        </xdr:grpSpPr>
        <xdr:grpSp>
          <xdr:nvGrpSpPr>
            <xdr:cNvPr id="24" name="Grupo 23">
              <a:extLst>
                <a:ext uri="{FF2B5EF4-FFF2-40B4-BE49-F238E27FC236}">
                  <a16:creationId xmlns:a16="http://schemas.microsoft.com/office/drawing/2014/main" xmlns="" id="{00000000-0008-0000-3700-000018000000}"/>
                </a:ext>
              </a:extLst>
            </xdr:cNvPr>
            <xdr:cNvGrpSpPr/>
          </xdr:nvGrpSpPr>
          <xdr:grpSpPr>
            <a:xfrm>
              <a:off x="267411" y="4745230"/>
              <a:ext cx="5431166" cy="293273"/>
              <a:chOff x="833715" y="968427"/>
              <a:chExt cx="16179074" cy="485632"/>
            </a:xfrm>
            <a:grpFill/>
          </xdr:grpSpPr>
          <xdr:sp macro="" textlink="">
            <xdr:nvSpPr>
              <xdr:cNvPr id="25" name="CaixaDeTexto 24">
                <a:extLst>
                  <a:ext uri="{FF2B5EF4-FFF2-40B4-BE49-F238E27FC236}">
                    <a16:creationId xmlns:a16="http://schemas.microsoft.com/office/drawing/2014/main" xmlns="" id="{00000000-0008-0000-3700-000019000000}"/>
                  </a:ext>
                </a:extLst>
              </xdr:cNvPr>
              <xdr:cNvSpPr txBox="1"/>
            </xdr:nvSpPr>
            <xdr:spPr>
              <a:xfrm>
                <a:off x="1635058" y="968427"/>
                <a:ext cx="14576414" cy="47170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Exercícios Anteriores</a:t>
                </a:r>
              </a:p>
            </xdr:txBody>
          </xdr:sp>
          <xdr:cxnSp macro="">
            <xdr:nvCxnSpPr>
              <xdr:cNvPr id="26" name="Conector reto 25">
                <a:extLst>
                  <a:ext uri="{FF2B5EF4-FFF2-40B4-BE49-F238E27FC236}">
                    <a16:creationId xmlns:a16="http://schemas.microsoft.com/office/drawing/2014/main" xmlns="" id="{00000000-0008-0000-3700-00001A000000}"/>
                  </a:ext>
                </a:extLst>
              </xdr:cNvPr>
              <xdr:cNvCxnSpPr/>
            </xdr:nvCxnSpPr>
            <xdr:spPr>
              <a:xfrm>
                <a:off x="833715" y="1454059"/>
                <a:ext cx="16179074" cy="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grpSp>
          <xdr:nvGrpSpPr>
            <xdr:cNvPr id="95" name="Grupo 94">
              <a:extLst>
                <a:ext uri="{FF2B5EF4-FFF2-40B4-BE49-F238E27FC236}">
                  <a16:creationId xmlns:a16="http://schemas.microsoft.com/office/drawing/2014/main" xmlns="" id="{00000000-0008-0000-3700-00005F000000}"/>
                </a:ext>
              </a:extLst>
            </xdr:cNvPr>
            <xdr:cNvGrpSpPr/>
          </xdr:nvGrpSpPr>
          <xdr:grpSpPr>
            <a:xfrm>
              <a:off x="1038834" y="5133400"/>
              <a:ext cx="1293177" cy="505407"/>
              <a:chOff x="1653180" y="1789123"/>
              <a:chExt cx="1424930" cy="598655"/>
            </a:xfrm>
            <a:grpFill/>
          </xdr:grpSpPr>
          <xdr:sp macro="" textlink="Lançamentos!U3">
            <xdr:nvSpPr>
              <xdr:cNvPr id="96" name="CaixaDeTexto 95">
                <a:extLst>
                  <a:ext uri="{FF2B5EF4-FFF2-40B4-BE49-F238E27FC236}">
                    <a16:creationId xmlns:a16="http://schemas.microsoft.com/office/drawing/2014/main" xmlns="" id="{00000000-0008-0000-3700-000060000000}"/>
                  </a:ext>
                </a:extLst>
              </xdr:cNvPr>
              <xdr:cNvSpPr txBox="1"/>
            </xdr:nvSpPr>
            <xdr:spPr>
              <a:xfrm>
                <a:off x="1994258" y="2025571"/>
                <a:ext cx="707833" cy="362207"/>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1400" b="1" i="0" u="none" strike="noStrike">
                    <a:solidFill>
                      <a:schemeClr val="accent3">
                        <a:lumMod val="50000"/>
                      </a:schemeClr>
                    </a:solidFill>
                    <a:latin typeface="Calibri"/>
                    <a:cs typeface="Calibri"/>
                  </a:rPr>
                  <a:pPr algn="ctr"/>
                  <a:t>39,6%</a:t>
                </a:fld>
                <a:endParaRPr lang="pt-BR" sz="1400" b="1">
                  <a:solidFill>
                    <a:schemeClr val="accent3">
                      <a:lumMod val="50000"/>
                    </a:schemeClr>
                  </a:solidFill>
                </a:endParaRPr>
              </a:p>
            </xdr:txBody>
          </xdr:sp>
          <xdr:sp macro="" textlink="">
            <xdr:nvSpPr>
              <xdr:cNvPr id="97" name="CaixaDeTexto 96">
                <a:extLst>
                  <a:ext uri="{FF2B5EF4-FFF2-40B4-BE49-F238E27FC236}">
                    <a16:creationId xmlns:a16="http://schemas.microsoft.com/office/drawing/2014/main" xmlns="" id="{00000000-0008-0000-3700-000061000000}"/>
                  </a:ext>
                </a:extLst>
              </xdr:cNvPr>
              <xdr:cNvSpPr txBox="1"/>
            </xdr:nvSpPr>
            <xdr:spPr>
              <a:xfrm>
                <a:off x="1653180" y="1789123"/>
                <a:ext cx="1424930" cy="28936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pt-BR" sz="1000" b="1"/>
                  <a:t>Executado x Previsto</a:t>
                </a:r>
              </a:p>
            </xdr:txBody>
          </xdr:sp>
        </xdr:grpSp>
      </xdr:grpSp>
      <xdr:sp macro="" textlink="">
        <xdr:nvSpPr>
          <xdr:cNvPr id="90" name="Retângulo 89">
            <a:hlinkClick xmlns:r="http://schemas.openxmlformats.org/officeDocument/2006/relationships" r:id="rId11" tooltip="Gráfico Anuidade PF - Exercícios Anteriores"/>
            <a:extLst>
              <a:ext uri="{FF2B5EF4-FFF2-40B4-BE49-F238E27FC236}">
                <a16:creationId xmlns:a16="http://schemas.microsoft.com/office/drawing/2014/main" xmlns="" id="{00000000-0008-0000-3700-00005A000000}"/>
              </a:ext>
            </a:extLst>
          </xdr:cNvPr>
          <xdr:cNvSpPr/>
        </xdr:nvSpPr>
        <xdr:spPr>
          <a:xfrm>
            <a:off x="201543" y="5115200"/>
            <a:ext cx="5775566" cy="28699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413110</xdr:colOff>
      <xdr:row>6</xdr:row>
      <xdr:rowOff>146537</xdr:rowOff>
    </xdr:from>
    <xdr:to>
      <xdr:col>9</xdr:col>
      <xdr:colOff>377110</xdr:colOff>
      <xdr:row>21</xdr:row>
      <xdr:rowOff>98312</xdr:rowOff>
    </xdr:to>
    <xdr:graphicFrame macro="">
      <xdr:nvGraphicFramePr>
        <xdr:cNvPr id="81" name="Gráfico PF">
          <a:extLst>
            <a:ext uri="{FF2B5EF4-FFF2-40B4-BE49-F238E27FC236}">
              <a16:creationId xmlns:a16="http://schemas.microsoft.com/office/drawing/2014/main" xmlns="" id="{1047C884-2D64-49A4-9204-AE6B9F631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195791</xdr:colOff>
      <xdr:row>5</xdr:row>
      <xdr:rowOff>41466</xdr:rowOff>
    </xdr:from>
    <xdr:to>
      <xdr:col>9</xdr:col>
      <xdr:colOff>505047</xdr:colOff>
      <xdr:row>21</xdr:row>
      <xdr:rowOff>104461</xdr:rowOff>
    </xdr:to>
    <xdr:grpSp>
      <xdr:nvGrpSpPr>
        <xdr:cNvPr id="11" name="PF">
          <a:extLst>
            <a:ext uri="{FF2B5EF4-FFF2-40B4-BE49-F238E27FC236}">
              <a16:creationId xmlns:a16="http://schemas.microsoft.com/office/drawing/2014/main" xmlns="" id="{98744BEC-1D6D-4BBF-A601-881E1997EB47}"/>
            </a:ext>
          </a:extLst>
        </xdr:cNvPr>
        <xdr:cNvGrpSpPr/>
      </xdr:nvGrpSpPr>
      <xdr:grpSpPr>
        <a:xfrm>
          <a:off x="195791" y="1574396"/>
          <a:ext cx="5801014" cy="3158620"/>
          <a:chOff x="195791" y="1565466"/>
          <a:chExt cx="5738506" cy="3126870"/>
        </a:xfrm>
      </xdr:grpSpPr>
      <xdr:grpSp>
        <xdr:nvGrpSpPr>
          <xdr:cNvPr id="126" name="Grupo 125">
            <a:extLst>
              <a:ext uri="{FF2B5EF4-FFF2-40B4-BE49-F238E27FC236}">
                <a16:creationId xmlns:a16="http://schemas.microsoft.com/office/drawing/2014/main" xmlns="" id="{00000000-0008-0000-3700-00007E000000}"/>
              </a:ext>
            </a:extLst>
          </xdr:cNvPr>
          <xdr:cNvGrpSpPr/>
        </xdr:nvGrpSpPr>
        <xdr:grpSpPr>
          <a:xfrm>
            <a:off x="401650" y="1565466"/>
            <a:ext cx="5366016" cy="1318035"/>
            <a:chOff x="309399" y="1521292"/>
            <a:chExt cx="5431166" cy="1286492"/>
          </a:xfrm>
        </xdr:grpSpPr>
        <xdr:grpSp>
          <xdr:nvGrpSpPr>
            <xdr:cNvPr id="21" name="Grupo 20">
              <a:extLst>
                <a:ext uri="{FF2B5EF4-FFF2-40B4-BE49-F238E27FC236}">
                  <a16:creationId xmlns:a16="http://schemas.microsoft.com/office/drawing/2014/main" xmlns="" id="{00000000-0008-0000-3700-000015000000}"/>
                </a:ext>
              </a:extLst>
            </xdr:cNvPr>
            <xdr:cNvGrpSpPr/>
          </xdr:nvGrpSpPr>
          <xdr:grpSpPr>
            <a:xfrm>
              <a:off x="309399" y="1521292"/>
              <a:ext cx="5431166" cy="293273"/>
              <a:chOff x="833715" y="968427"/>
              <a:chExt cx="16179074" cy="485632"/>
            </a:xfrm>
          </xdr:grpSpPr>
          <xdr:sp macro="" textlink="">
            <xdr:nvSpPr>
              <xdr:cNvPr id="22" name="CaixaDeTexto 21">
                <a:extLst>
                  <a:ext uri="{FF2B5EF4-FFF2-40B4-BE49-F238E27FC236}">
                    <a16:creationId xmlns:a16="http://schemas.microsoft.com/office/drawing/2014/main" xmlns="" id="{00000000-0008-0000-3700-000016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 2020</a:t>
                </a:r>
              </a:p>
            </xdr:txBody>
          </xdr:sp>
          <xdr:cxnSp macro="">
            <xdr:nvCxnSpPr>
              <xdr:cNvPr id="23" name="Conector reto 22">
                <a:extLst>
                  <a:ext uri="{FF2B5EF4-FFF2-40B4-BE49-F238E27FC236}">
                    <a16:creationId xmlns:a16="http://schemas.microsoft.com/office/drawing/2014/main" xmlns="" id="{00000000-0008-0000-3700-000017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upo 13">
              <a:extLst>
                <a:ext uri="{FF2B5EF4-FFF2-40B4-BE49-F238E27FC236}">
                  <a16:creationId xmlns:a16="http://schemas.microsoft.com/office/drawing/2014/main" xmlns="" id="{00000000-0008-0000-3700-00000E000000}"/>
                </a:ext>
              </a:extLst>
            </xdr:cNvPr>
            <xdr:cNvGrpSpPr/>
          </xdr:nvGrpSpPr>
          <xdr:grpSpPr>
            <a:xfrm>
              <a:off x="1015806" y="1820209"/>
              <a:ext cx="1376313" cy="987575"/>
              <a:chOff x="1575705" y="1801987"/>
              <a:chExt cx="1516539" cy="1169855"/>
            </a:xfrm>
          </xdr:grpSpPr>
          <xdr:sp macro="" textlink="Lançamentos!U2">
            <xdr:nvSpPr>
              <xdr:cNvPr id="7" name="% PF - Exec. x Prev.">
                <a:extLst>
                  <a:ext uri="{FF2B5EF4-FFF2-40B4-BE49-F238E27FC236}">
                    <a16:creationId xmlns:a16="http://schemas.microsoft.com/office/drawing/2014/main" xmlns="" id="{00000000-0008-0000-3700-000007000000}"/>
                  </a:ext>
                </a:extLst>
              </xdr:cNvPr>
              <xdr:cNvSpPr txBox="1"/>
            </xdr:nvSpPr>
            <xdr:spPr>
              <a:xfrm>
                <a:off x="1917032" y="2039333"/>
                <a:ext cx="762448" cy="360782"/>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FDB252B-0068-4757-A38D-7FA0BC581F9D}" type="TxLink">
                  <a:rPr lang="en-US" sz="1400" b="1" i="0" u="none" strike="noStrike">
                    <a:solidFill>
                      <a:srgbClr val="2A5664"/>
                    </a:solidFill>
                    <a:latin typeface="Calibri"/>
                  </a:rPr>
                  <a:pPr algn="ctr"/>
                  <a:t>9,4%</a:t>
                </a:fld>
                <a:endParaRPr lang="pt-BR" sz="1400" b="1">
                  <a:solidFill>
                    <a:srgbClr val="2A5664"/>
                  </a:solidFill>
                </a:endParaRPr>
              </a:p>
            </xdr:txBody>
          </xdr:sp>
          <xdr:sp macro="" textlink="">
            <xdr:nvSpPr>
              <xdr:cNvPr id="8" name="CaixaDeTexto 7">
                <a:extLst>
                  <a:ext uri="{FF2B5EF4-FFF2-40B4-BE49-F238E27FC236}">
                    <a16:creationId xmlns:a16="http://schemas.microsoft.com/office/drawing/2014/main" xmlns="" id="{00000000-0008-0000-3700-000008000000}"/>
                  </a:ext>
                </a:extLst>
              </xdr:cNvPr>
              <xdr:cNvSpPr txBox="1"/>
            </xdr:nvSpPr>
            <xdr:spPr>
              <a:xfrm>
                <a:off x="1608143" y="1801987"/>
                <a:ext cx="1484101"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2">
            <xdr:nvSpPr>
              <xdr:cNvPr id="68" name="% PF - Exec. x Potenc">
                <a:extLst>
                  <a:ext uri="{FF2B5EF4-FFF2-40B4-BE49-F238E27FC236}">
                    <a16:creationId xmlns:a16="http://schemas.microsoft.com/office/drawing/2014/main" xmlns="" id="{00000000-0008-0000-3700-000044000000}"/>
                  </a:ext>
                </a:extLst>
              </xdr:cNvPr>
              <xdr:cNvSpPr txBox="1"/>
            </xdr:nvSpPr>
            <xdr:spPr>
              <a:xfrm>
                <a:off x="1917026" y="2611342"/>
                <a:ext cx="769233" cy="3605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spAutoFit/>
              </a:bodyPr>
              <a:lstStyle/>
              <a:p>
                <a:pPr marL="0" indent="0" algn="ctr"/>
                <a:fld id="{A39B4195-56DF-4D49-9649-ADC17647EDBF}" type="TxLink">
                  <a:rPr lang="en-US" sz="1400" b="1" i="0" u="none" strike="noStrike">
                    <a:solidFill>
                      <a:srgbClr val="FF0000"/>
                    </a:solidFill>
                    <a:latin typeface="Calibri"/>
                    <a:ea typeface="+mn-ea"/>
                    <a:cs typeface="+mn-cs"/>
                  </a:rPr>
                  <a:pPr marL="0" indent="0" algn="ctr"/>
                  <a:t>-36,5%</a:t>
                </a:fld>
                <a:endParaRPr lang="pt-BR" sz="1400" b="1" i="0" u="none" strike="noStrike">
                  <a:solidFill>
                    <a:srgbClr val="FF0000"/>
                  </a:solidFill>
                  <a:latin typeface="Calibri"/>
                  <a:ea typeface="+mn-ea"/>
                  <a:cs typeface="+mn-cs"/>
                </a:endParaRPr>
              </a:p>
            </xdr:txBody>
          </xdr:sp>
          <xdr:sp macro="" textlink="">
            <xdr:nvSpPr>
              <xdr:cNvPr id="69" name="CaixaDeTexto 68">
                <a:extLst>
                  <a:ext uri="{FF2B5EF4-FFF2-40B4-BE49-F238E27FC236}">
                    <a16:creationId xmlns:a16="http://schemas.microsoft.com/office/drawing/2014/main" xmlns="" id="{00000000-0008-0000-3700-000045000000}"/>
                  </a:ext>
                </a:extLst>
              </xdr:cNvPr>
              <xdr:cNvSpPr txBox="1"/>
            </xdr:nvSpPr>
            <xdr:spPr>
              <a:xfrm>
                <a:off x="1575705" y="2368955"/>
                <a:ext cx="1484763"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sp macro="" textlink="">
        <xdr:nvSpPr>
          <xdr:cNvPr id="9" name="Retângulo 8">
            <a:hlinkClick xmlns:r="http://schemas.openxmlformats.org/officeDocument/2006/relationships" r:id="rId13" tooltip="Gráfico Anuidade PF - Exercício 2020"/>
            <a:extLst>
              <a:ext uri="{FF2B5EF4-FFF2-40B4-BE49-F238E27FC236}">
                <a16:creationId xmlns:a16="http://schemas.microsoft.com/office/drawing/2014/main" xmlns="" id="{00000000-0008-0000-3700-000009000000}"/>
              </a:ext>
            </a:extLst>
          </xdr:cNvPr>
          <xdr:cNvSpPr/>
        </xdr:nvSpPr>
        <xdr:spPr>
          <a:xfrm>
            <a:off x="195791" y="1807203"/>
            <a:ext cx="5738506" cy="28851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10</xdr:col>
      <xdr:colOff>219266</xdr:colOff>
      <xdr:row>23</xdr:row>
      <xdr:rowOff>156091</xdr:rowOff>
    </xdr:from>
    <xdr:to>
      <xdr:col>19</xdr:col>
      <xdr:colOff>547809</xdr:colOff>
      <xdr:row>36</xdr:row>
      <xdr:rowOff>562996</xdr:rowOff>
    </xdr:to>
    <xdr:sp macro="" textlink="">
      <xdr:nvSpPr>
        <xdr:cNvPr id="91" name="Retângulo 90">
          <a:hlinkClick xmlns:r="http://schemas.openxmlformats.org/officeDocument/2006/relationships" r:id="rId14" tooltip="Gráfico Anuidade PJ - Exercícios Anteriores"/>
          <a:extLst>
            <a:ext uri="{FF2B5EF4-FFF2-40B4-BE49-F238E27FC236}">
              <a16:creationId xmlns:a16="http://schemas.microsoft.com/office/drawing/2014/main" xmlns="" id="{EE155A94-61DF-4F78-9998-3479C184F377}"/>
            </a:ext>
          </a:extLst>
        </xdr:cNvPr>
        <xdr:cNvSpPr/>
      </xdr:nvSpPr>
      <xdr:spPr>
        <a:xfrm>
          <a:off x="6251766" y="5124966"/>
          <a:ext cx="5757793" cy="2883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8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8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8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8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8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8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243987</xdr:colOff>
      <xdr:row>7</xdr:row>
      <xdr:rowOff>110973</xdr:rowOff>
    </xdr:from>
    <xdr:to>
      <xdr:col>27</xdr:col>
      <xdr:colOff>579782</xdr:colOff>
      <xdr:row>36</xdr:row>
      <xdr:rowOff>548723</xdr:rowOff>
    </xdr:to>
    <xdr:graphicFrame macro="">
      <xdr:nvGraphicFramePr>
        <xdr:cNvPr id="14" name="Gráfico 13">
          <a:extLst>
            <a:ext uri="{FF2B5EF4-FFF2-40B4-BE49-F238E27FC236}">
              <a16:creationId xmlns:a16="http://schemas.microsoft.com/office/drawing/2014/main" xmlns="" id="{00000000-0008-0000-3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221023</xdr:colOff>
      <xdr:row>5</xdr:row>
      <xdr:rowOff>9716</xdr:rowOff>
    </xdr:from>
    <xdr:to>
      <xdr:col>27</xdr:col>
      <xdr:colOff>579355</xdr:colOff>
      <xdr:row>6</xdr:row>
      <xdr:rowOff>116630</xdr:rowOff>
    </xdr:to>
    <xdr:grpSp>
      <xdr:nvGrpSpPr>
        <xdr:cNvPr id="20" name="Grupo 19">
          <a:extLst>
            <a:ext uri="{FF2B5EF4-FFF2-40B4-BE49-F238E27FC236}">
              <a16:creationId xmlns:a16="http://schemas.microsoft.com/office/drawing/2014/main" xmlns="" id="{00000000-0008-0000-3800-000014000000}"/>
            </a:ext>
          </a:extLst>
        </xdr:cNvPr>
        <xdr:cNvGrpSpPr/>
      </xdr:nvGrpSpPr>
      <xdr:grpSpPr>
        <a:xfrm>
          <a:off x="824273" y="1533716"/>
          <a:ext cx="16042832" cy="297414"/>
          <a:chOff x="833715" y="968427"/>
          <a:chExt cx="16179074" cy="485632"/>
        </a:xfrm>
      </xdr:grpSpPr>
      <xdr:sp macro="" textlink="">
        <xdr:nvSpPr>
          <xdr:cNvPr id="21" name="CaixaDeTexto 20">
            <a:extLst>
              <a:ext uri="{FF2B5EF4-FFF2-40B4-BE49-F238E27FC236}">
                <a16:creationId xmlns:a16="http://schemas.microsoft.com/office/drawing/2014/main" xmlns="" id="{00000000-0008-0000-3800-00001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 2020</a:t>
            </a:r>
          </a:p>
        </xdr:txBody>
      </xdr:sp>
      <xdr:cxnSp macro="">
        <xdr:nvCxnSpPr>
          <xdr:cNvPr id="22" name="Conector reto 21">
            <a:extLst>
              <a:ext uri="{FF2B5EF4-FFF2-40B4-BE49-F238E27FC236}">
                <a16:creationId xmlns:a16="http://schemas.microsoft.com/office/drawing/2014/main" xmlns="" id="{00000000-0008-0000-3800-00001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124432</xdr:colOff>
      <xdr:row>8</xdr:row>
      <xdr:rowOff>62344</xdr:rowOff>
    </xdr:from>
    <xdr:to>
      <xdr:col>9</xdr:col>
      <xdr:colOff>160154</xdr:colOff>
      <xdr:row>12</xdr:row>
      <xdr:rowOff>35946</xdr:rowOff>
    </xdr:to>
    <xdr:grpSp>
      <xdr:nvGrpSpPr>
        <xdr:cNvPr id="38" name="Grupo 37">
          <a:extLst>
            <a:ext uri="{FF2B5EF4-FFF2-40B4-BE49-F238E27FC236}">
              <a16:creationId xmlns:a16="http://schemas.microsoft.com/office/drawing/2014/main" xmlns="" id="{00000000-0008-0000-3800-000026000000}"/>
            </a:ext>
          </a:extLst>
        </xdr:cNvPr>
        <xdr:cNvGrpSpPr/>
      </xdr:nvGrpSpPr>
      <xdr:grpSpPr>
        <a:xfrm>
          <a:off x="1934182" y="2157844"/>
          <a:ext cx="3655222" cy="735602"/>
          <a:chOff x="1613880" y="1840793"/>
          <a:chExt cx="4078421" cy="854963"/>
        </a:xfrm>
      </xdr:grpSpPr>
      <xdr:sp macro="" textlink="Lançamentos!U2">
        <xdr:nvSpPr>
          <xdr:cNvPr id="39" name="CaixaDeTexto 38">
            <a:extLst>
              <a:ext uri="{FF2B5EF4-FFF2-40B4-BE49-F238E27FC236}">
                <a16:creationId xmlns:a16="http://schemas.microsoft.com/office/drawing/2014/main" xmlns="" id="{00000000-0008-0000-3800-000027000000}"/>
              </a:ext>
            </a:extLst>
          </xdr:cNvPr>
          <xdr:cNvSpPr txBox="1"/>
        </xdr:nvSpPr>
        <xdr:spPr>
          <a:xfrm>
            <a:off x="1941408" y="2213774"/>
            <a:ext cx="1200972" cy="471218"/>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6FDB252B-0068-4757-A38D-7FA0BC581F9D}" type="TxLink">
              <a:rPr lang="en-US" sz="2000" b="1" i="0" u="none" strike="noStrike">
                <a:solidFill>
                  <a:srgbClr val="2A5664"/>
                </a:solidFill>
                <a:latin typeface="Calibri"/>
              </a:rPr>
              <a:pPr algn="ctr"/>
              <a:t>9,4%</a:t>
            </a:fld>
            <a:endParaRPr lang="pt-BR" sz="2000" b="1">
              <a:solidFill>
                <a:srgbClr val="2A5664"/>
              </a:solidFill>
            </a:endParaRPr>
          </a:p>
        </xdr:txBody>
      </xdr:sp>
      <xdr:sp macro="" textlink="">
        <xdr:nvSpPr>
          <xdr:cNvPr id="40" name="CaixaDeTexto 39">
            <a:extLst>
              <a:ext uri="{FF2B5EF4-FFF2-40B4-BE49-F238E27FC236}">
                <a16:creationId xmlns:a16="http://schemas.microsoft.com/office/drawing/2014/main" xmlns="" id="{00000000-0008-0000-3800-000028000000}"/>
              </a:ext>
            </a:extLst>
          </xdr:cNvPr>
          <xdr:cNvSpPr txBox="1"/>
        </xdr:nvSpPr>
        <xdr:spPr>
          <a:xfrm>
            <a:off x="1613880" y="1840793"/>
            <a:ext cx="1909963" cy="368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2">
        <xdr:nvSpPr>
          <xdr:cNvPr id="41" name="CaixaDeTexto 40">
            <a:extLst>
              <a:ext uri="{FF2B5EF4-FFF2-40B4-BE49-F238E27FC236}">
                <a16:creationId xmlns:a16="http://schemas.microsoft.com/office/drawing/2014/main" xmlns="" id="{00000000-0008-0000-3800-000029000000}"/>
              </a:ext>
            </a:extLst>
          </xdr:cNvPr>
          <xdr:cNvSpPr txBox="1"/>
        </xdr:nvSpPr>
        <xdr:spPr>
          <a:xfrm>
            <a:off x="4076320" y="2224539"/>
            <a:ext cx="1161277" cy="471217"/>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pPr marL="0" indent="0" algn="ctr"/>
            <a:fld id="{A39B4195-56DF-4D49-9649-ADC17647EDBF}" type="TxLink">
              <a:rPr lang="en-US" sz="2000" b="1" i="0" u="none" strike="noStrike">
                <a:solidFill>
                  <a:srgbClr val="FF0000"/>
                </a:solidFill>
                <a:latin typeface="Calibri"/>
                <a:ea typeface="+mn-ea"/>
                <a:cs typeface="+mn-cs"/>
              </a:rPr>
              <a:pPr marL="0" indent="0" algn="ctr"/>
              <a:t>-36,5%</a:t>
            </a:fld>
            <a:endParaRPr lang="pt-BR" sz="2000" b="1" i="0" u="none" strike="noStrike">
              <a:solidFill>
                <a:srgbClr val="FF0000"/>
              </a:solidFill>
              <a:latin typeface="Calibri"/>
              <a:ea typeface="+mn-ea"/>
              <a:cs typeface="+mn-cs"/>
            </a:endParaRPr>
          </a:p>
        </xdr:txBody>
      </xdr:sp>
      <xdr:sp macro="" textlink="">
        <xdr:nvSpPr>
          <xdr:cNvPr id="42" name="CaixaDeTexto 41">
            <a:extLst>
              <a:ext uri="{FF2B5EF4-FFF2-40B4-BE49-F238E27FC236}">
                <a16:creationId xmlns:a16="http://schemas.microsoft.com/office/drawing/2014/main" xmlns="" id="{00000000-0008-0000-3800-00002A000000}"/>
              </a:ext>
            </a:extLst>
          </xdr:cNvPr>
          <xdr:cNvSpPr txBox="1"/>
        </xdr:nvSpPr>
        <xdr:spPr>
          <a:xfrm>
            <a:off x="3689924" y="1853534"/>
            <a:ext cx="2002377" cy="3689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9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9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9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9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9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9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238437</xdr:colOff>
      <xdr:row>7</xdr:row>
      <xdr:rowOff>57305</xdr:rowOff>
    </xdr:from>
    <xdr:to>
      <xdr:col>27</xdr:col>
      <xdr:colOff>590135</xdr:colOff>
      <xdr:row>36</xdr:row>
      <xdr:rowOff>548723</xdr:rowOff>
    </xdr:to>
    <xdr:graphicFrame macro="">
      <xdr:nvGraphicFramePr>
        <xdr:cNvPr id="15" name="Gráfico 14">
          <a:extLst>
            <a:ext uri="{FF2B5EF4-FFF2-40B4-BE49-F238E27FC236}">
              <a16:creationId xmlns:a16="http://schemas.microsoft.com/office/drawing/2014/main" xmlns="" id="{00000000-0008-0000-3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228133</xdr:colOff>
      <xdr:row>4</xdr:row>
      <xdr:rowOff>173039</xdr:rowOff>
    </xdr:from>
    <xdr:to>
      <xdr:col>27</xdr:col>
      <xdr:colOff>589175</xdr:colOff>
      <xdr:row>6</xdr:row>
      <xdr:rowOff>93380</xdr:rowOff>
    </xdr:to>
    <xdr:grpSp>
      <xdr:nvGrpSpPr>
        <xdr:cNvPr id="23" name="Grupo 22">
          <a:extLst>
            <a:ext uri="{FF2B5EF4-FFF2-40B4-BE49-F238E27FC236}">
              <a16:creationId xmlns:a16="http://schemas.microsoft.com/office/drawing/2014/main" xmlns="" id="{00000000-0008-0000-3900-000017000000}"/>
            </a:ext>
          </a:extLst>
        </xdr:cNvPr>
        <xdr:cNvGrpSpPr/>
      </xdr:nvGrpSpPr>
      <xdr:grpSpPr>
        <a:xfrm>
          <a:off x="831383" y="1506539"/>
          <a:ext cx="16045542" cy="301341"/>
          <a:chOff x="833715" y="968427"/>
          <a:chExt cx="16179074" cy="485632"/>
        </a:xfrm>
      </xdr:grpSpPr>
      <xdr:sp macro="" textlink="">
        <xdr:nvSpPr>
          <xdr:cNvPr id="24" name="CaixaDeTexto 23">
            <a:extLst>
              <a:ext uri="{FF2B5EF4-FFF2-40B4-BE49-F238E27FC236}">
                <a16:creationId xmlns:a16="http://schemas.microsoft.com/office/drawing/2014/main" xmlns="" id="{00000000-0008-0000-3900-000018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Exercícios Anteriores</a:t>
            </a:r>
          </a:p>
        </xdr:txBody>
      </xdr:sp>
      <xdr:cxnSp macro="">
        <xdr:nvCxnSpPr>
          <xdr:cNvPr id="25" name="Conector reto 24">
            <a:extLst>
              <a:ext uri="{FF2B5EF4-FFF2-40B4-BE49-F238E27FC236}">
                <a16:creationId xmlns:a16="http://schemas.microsoft.com/office/drawing/2014/main" xmlns="" id="{00000000-0008-0000-3900-000019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502256</xdr:colOff>
      <xdr:row>8</xdr:row>
      <xdr:rowOff>8979</xdr:rowOff>
    </xdr:from>
    <xdr:to>
      <xdr:col>5</xdr:col>
      <xdr:colOff>403089</xdr:colOff>
      <xdr:row>12</xdr:row>
      <xdr:rowOff>16705</xdr:rowOff>
    </xdr:to>
    <xdr:grpSp>
      <xdr:nvGrpSpPr>
        <xdr:cNvPr id="51" name="Grupo 50">
          <a:extLst>
            <a:ext uri="{FF2B5EF4-FFF2-40B4-BE49-F238E27FC236}">
              <a16:creationId xmlns:a16="http://schemas.microsoft.com/office/drawing/2014/main" xmlns="" id="{00000000-0008-0000-3900-000033000000}"/>
            </a:ext>
          </a:extLst>
        </xdr:cNvPr>
        <xdr:cNvGrpSpPr/>
      </xdr:nvGrpSpPr>
      <xdr:grpSpPr>
        <a:xfrm>
          <a:off x="1708756" y="2104479"/>
          <a:ext cx="1710583" cy="769726"/>
          <a:chOff x="1369948" y="1789647"/>
          <a:chExt cx="1909960" cy="893001"/>
        </a:xfrm>
      </xdr:grpSpPr>
      <xdr:sp macro="" textlink="Lançamentos!U3">
        <xdr:nvSpPr>
          <xdr:cNvPr id="52" name="CaixaDeTexto 51">
            <a:extLst>
              <a:ext uri="{FF2B5EF4-FFF2-40B4-BE49-F238E27FC236}">
                <a16:creationId xmlns:a16="http://schemas.microsoft.com/office/drawing/2014/main" xmlns="" id="{00000000-0008-0000-3900-000034000000}"/>
              </a:ext>
            </a:extLst>
          </xdr:cNvPr>
          <xdr:cNvSpPr txBox="1"/>
        </xdr:nvSpPr>
        <xdr:spPr>
          <a:xfrm>
            <a:off x="1866057" y="2212284"/>
            <a:ext cx="917742" cy="470364"/>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2000" b="1" i="0" u="none" strike="noStrike">
                <a:solidFill>
                  <a:schemeClr val="accent3">
                    <a:lumMod val="50000"/>
                  </a:schemeClr>
                </a:solidFill>
                <a:latin typeface="Calibri"/>
                <a:cs typeface="Calibri"/>
              </a:rPr>
              <a:pPr algn="ctr"/>
              <a:t>39,6%</a:t>
            </a:fld>
            <a:endParaRPr lang="pt-BR" sz="2000" b="1">
              <a:solidFill>
                <a:schemeClr val="accent3">
                  <a:lumMod val="50000"/>
                </a:schemeClr>
              </a:solidFill>
            </a:endParaRPr>
          </a:p>
        </xdr:txBody>
      </xdr:sp>
      <xdr:sp macro="" textlink="">
        <xdr:nvSpPr>
          <xdr:cNvPr id="53" name="CaixaDeTexto 52">
            <a:extLst>
              <a:ext uri="{FF2B5EF4-FFF2-40B4-BE49-F238E27FC236}">
                <a16:creationId xmlns:a16="http://schemas.microsoft.com/office/drawing/2014/main" xmlns="" id="{00000000-0008-0000-3900-000035000000}"/>
              </a:ext>
            </a:extLst>
          </xdr:cNvPr>
          <xdr:cNvSpPr txBox="1"/>
        </xdr:nvSpPr>
        <xdr:spPr>
          <a:xfrm>
            <a:off x="1369948" y="1789647"/>
            <a:ext cx="1909960" cy="368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A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A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A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A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A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A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240074</xdr:colOff>
      <xdr:row>7</xdr:row>
      <xdr:rowOff>103533</xdr:rowOff>
    </xdr:from>
    <xdr:to>
      <xdr:col>28</xdr:col>
      <xdr:colOff>0</xdr:colOff>
      <xdr:row>36</xdr:row>
      <xdr:rowOff>548723</xdr:rowOff>
    </xdr:to>
    <xdr:graphicFrame macro="">
      <xdr:nvGraphicFramePr>
        <xdr:cNvPr id="16" name="Gráfico 15">
          <a:extLst>
            <a:ext uri="{FF2B5EF4-FFF2-40B4-BE49-F238E27FC236}">
              <a16:creationId xmlns:a16="http://schemas.microsoft.com/office/drawing/2014/main" xmlns="" id="{00000000-0008-0000-3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248480</xdr:colOff>
      <xdr:row>5</xdr:row>
      <xdr:rowOff>47385</xdr:rowOff>
    </xdr:from>
    <xdr:to>
      <xdr:col>27</xdr:col>
      <xdr:colOff>579783</xdr:colOff>
      <xdr:row>6</xdr:row>
      <xdr:rowOff>154299</xdr:rowOff>
    </xdr:to>
    <xdr:grpSp>
      <xdr:nvGrpSpPr>
        <xdr:cNvPr id="26" name="Grupo 25">
          <a:extLst>
            <a:ext uri="{FF2B5EF4-FFF2-40B4-BE49-F238E27FC236}">
              <a16:creationId xmlns:a16="http://schemas.microsoft.com/office/drawing/2014/main" xmlns="" id="{00000000-0008-0000-3A00-00001A000000}"/>
            </a:ext>
          </a:extLst>
        </xdr:cNvPr>
        <xdr:cNvGrpSpPr/>
      </xdr:nvGrpSpPr>
      <xdr:grpSpPr>
        <a:xfrm>
          <a:off x="851730" y="1571385"/>
          <a:ext cx="16015803" cy="297414"/>
          <a:chOff x="833715" y="968427"/>
          <a:chExt cx="16179074" cy="485632"/>
        </a:xfrm>
      </xdr:grpSpPr>
      <xdr:sp macro="" textlink="">
        <xdr:nvSpPr>
          <xdr:cNvPr id="27" name="CaixaDeTexto 26">
            <a:extLst>
              <a:ext uri="{FF2B5EF4-FFF2-40B4-BE49-F238E27FC236}">
                <a16:creationId xmlns:a16="http://schemas.microsoft.com/office/drawing/2014/main" xmlns="" id="{00000000-0008-0000-3A00-00001B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 2020</a:t>
            </a:r>
          </a:p>
        </xdr:txBody>
      </xdr:sp>
      <xdr:cxnSp macro="">
        <xdr:nvCxnSpPr>
          <xdr:cNvPr id="28" name="Conector reto 27">
            <a:extLst>
              <a:ext uri="{FF2B5EF4-FFF2-40B4-BE49-F238E27FC236}">
                <a16:creationId xmlns:a16="http://schemas.microsoft.com/office/drawing/2014/main" xmlns="" id="{00000000-0008-0000-3A00-00001C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162095</xdr:colOff>
      <xdr:row>8</xdr:row>
      <xdr:rowOff>11616</xdr:rowOff>
    </xdr:from>
    <xdr:to>
      <xdr:col>9</xdr:col>
      <xdr:colOff>181242</xdr:colOff>
      <xdr:row>11</xdr:row>
      <xdr:rowOff>168022</xdr:rowOff>
    </xdr:to>
    <xdr:grpSp>
      <xdr:nvGrpSpPr>
        <xdr:cNvPr id="43" name="Grupo 42">
          <a:extLst>
            <a:ext uri="{FF2B5EF4-FFF2-40B4-BE49-F238E27FC236}">
              <a16:creationId xmlns:a16="http://schemas.microsoft.com/office/drawing/2014/main" xmlns="" id="{00000000-0008-0000-3A00-00002B000000}"/>
            </a:ext>
          </a:extLst>
        </xdr:cNvPr>
        <xdr:cNvGrpSpPr/>
      </xdr:nvGrpSpPr>
      <xdr:grpSpPr>
        <a:xfrm>
          <a:off x="1971845" y="2107116"/>
          <a:ext cx="3638647" cy="727906"/>
          <a:chOff x="3513634" y="1727753"/>
          <a:chExt cx="4060366" cy="834675"/>
        </a:xfrm>
      </xdr:grpSpPr>
      <xdr:sp macro="" textlink="Lançamentos!U4">
        <xdr:nvSpPr>
          <xdr:cNvPr id="44" name="CaixaDeTexto 43">
            <a:extLst>
              <a:ext uri="{FF2B5EF4-FFF2-40B4-BE49-F238E27FC236}">
                <a16:creationId xmlns:a16="http://schemas.microsoft.com/office/drawing/2014/main" xmlns="" id="{00000000-0008-0000-3A00-00002C000000}"/>
              </a:ext>
            </a:extLst>
          </xdr:cNvPr>
          <xdr:cNvSpPr txBox="1"/>
        </xdr:nvSpPr>
        <xdr:spPr>
          <a:xfrm>
            <a:off x="4092216" y="2097527"/>
            <a:ext cx="778552" cy="464901"/>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pPr algn="ctr"/>
            <a:fld id="{18EC968D-D0EF-41D1-9CF4-FE734BFADCB7}" type="TxLink">
              <a:rPr lang="en-US" sz="2000" b="1" i="0" u="none" strike="noStrike">
                <a:solidFill>
                  <a:srgbClr val="2A5664"/>
                </a:solidFill>
                <a:latin typeface="Calibri"/>
                <a:cs typeface="Calibri"/>
              </a:rPr>
              <a:pPr algn="ctr"/>
              <a:t>5,0%</a:t>
            </a:fld>
            <a:endParaRPr lang="pt-BR" sz="2000" b="1">
              <a:solidFill>
                <a:srgbClr val="2A5664"/>
              </a:solidFill>
            </a:endParaRPr>
          </a:p>
        </xdr:txBody>
      </xdr:sp>
      <xdr:sp macro="" textlink="">
        <xdr:nvSpPr>
          <xdr:cNvPr id="45" name="CaixaDeTexto 44">
            <a:extLst>
              <a:ext uri="{FF2B5EF4-FFF2-40B4-BE49-F238E27FC236}">
                <a16:creationId xmlns:a16="http://schemas.microsoft.com/office/drawing/2014/main" xmlns="" id="{00000000-0008-0000-3A00-00002D000000}"/>
              </a:ext>
            </a:extLst>
          </xdr:cNvPr>
          <xdr:cNvSpPr txBox="1"/>
        </xdr:nvSpPr>
        <xdr:spPr>
          <a:xfrm>
            <a:off x="3513634" y="1727753"/>
            <a:ext cx="1909961"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4">
        <xdr:nvSpPr>
          <xdr:cNvPr id="46" name="CaixaDeTexto 45">
            <a:extLst>
              <a:ext uri="{FF2B5EF4-FFF2-40B4-BE49-F238E27FC236}">
                <a16:creationId xmlns:a16="http://schemas.microsoft.com/office/drawing/2014/main" xmlns="" id="{00000000-0008-0000-3A00-00002E000000}"/>
              </a:ext>
            </a:extLst>
          </xdr:cNvPr>
          <xdr:cNvSpPr txBox="1"/>
        </xdr:nvSpPr>
        <xdr:spPr>
          <a:xfrm>
            <a:off x="6024755" y="2097527"/>
            <a:ext cx="1004532" cy="46490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pPr algn="ctr"/>
            <a:fld id="{85EFA7BE-E2AE-4832-A0F2-4A16C25DE2F5}" type="TxLink">
              <a:rPr lang="en-US" sz="2000" b="1" i="0" u="none" strike="noStrike">
                <a:solidFill>
                  <a:srgbClr val="FF0000"/>
                </a:solidFill>
                <a:latin typeface="Calibri"/>
                <a:cs typeface="Calibri"/>
              </a:rPr>
              <a:pPr algn="ctr"/>
              <a:t>-33,4%</a:t>
            </a:fld>
            <a:endParaRPr lang="pt-BR" sz="2000" b="1">
              <a:solidFill>
                <a:srgbClr val="FF0000"/>
              </a:solidFill>
            </a:endParaRPr>
          </a:p>
        </xdr:txBody>
      </xdr:sp>
      <xdr:sp macro="" textlink="">
        <xdr:nvSpPr>
          <xdr:cNvPr id="47" name="CaixaDeTexto 46">
            <a:extLst>
              <a:ext uri="{FF2B5EF4-FFF2-40B4-BE49-F238E27FC236}">
                <a16:creationId xmlns:a16="http://schemas.microsoft.com/office/drawing/2014/main" xmlns="" id="{00000000-0008-0000-3A00-00002F000000}"/>
              </a:ext>
            </a:extLst>
          </xdr:cNvPr>
          <xdr:cNvSpPr txBox="1"/>
        </xdr:nvSpPr>
        <xdr:spPr>
          <a:xfrm>
            <a:off x="5571625" y="1727754"/>
            <a:ext cx="2002375"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B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B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B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B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B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B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248479</xdr:colOff>
      <xdr:row>7</xdr:row>
      <xdr:rowOff>93180</xdr:rowOff>
    </xdr:from>
    <xdr:to>
      <xdr:col>27</xdr:col>
      <xdr:colOff>590135</xdr:colOff>
      <xdr:row>36</xdr:row>
      <xdr:rowOff>552885</xdr:rowOff>
    </xdr:to>
    <xdr:graphicFrame macro="">
      <xdr:nvGraphicFramePr>
        <xdr:cNvPr id="17" name="Gráfico 16">
          <a:extLst>
            <a:ext uri="{FF2B5EF4-FFF2-40B4-BE49-F238E27FC236}">
              <a16:creationId xmlns:a16="http://schemas.microsoft.com/office/drawing/2014/main" xmlns="" id="{00000000-0008-0000-3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5</xdr:row>
      <xdr:rowOff>41107</xdr:rowOff>
    </xdr:from>
    <xdr:to>
      <xdr:col>27</xdr:col>
      <xdr:colOff>590135</xdr:colOff>
      <xdr:row>6</xdr:row>
      <xdr:rowOff>148021</xdr:rowOff>
    </xdr:to>
    <xdr:grpSp>
      <xdr:nvGrpSpPr>
        <xdr:cNvPr id="29" name="Grupo 28">
          <a:extLst>
            <a:ext uri="{FF2B5EF4-FFF2-40B4-BE49-F238E27FC236}">
              <a16:creationId xmlns:a16="http://schemas.microsoft.com/office/drawing/2014/main" xmlns="" id="{00000000-0008-0000-3B00-00001D000000}"/>
            </a:ext>
          </a:extLst>
        </xdr:cNvPr>
        <xdr:cNvGrpSpPr/>
      </xdr:nvGrpSpPr>
      <xdr:grpSpPr>
        <a:xfrm>
          <a:off x="841375" y="1565107"/>
          <a:ext cx="16036510" cy="297414"/>
          <a:chOff x="833715" y="968427"/>
          <a:chExt cx="16179074" cy="485632"/>
        </a:xfrm>
      </xdr:grpSpPr>
      <xdr:sp macro="" textlink="">
        <xdr:nvSpPr>
          <xdr:cNvPr id="30" name="CaixaDeTexto 29">
            <a:extLst>
              <a:ext uri="{FF2B5EF4-FFF2-40B4-BE49-F238E27FC236}">
                <a16:creationId xmlns:a16="http://schemas.microsoft.com/office/drawing/2014/main" xmlns="" id="{00000000-0008-0000-3B00-00001E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Exercícios Anteriores</a:t>
            </a:r>
          </a:p>
        </xdr:txBody>
      </xdr:sp>
      <xdr:cxnSp macro="">
        <xdr:nvCxnSpPr>
          <xdr:cNvPr id="31" name="Conector reto 30">
            <a:extLst>
              <a:ext uri="{FF2B5EF4-FFF2-40B4-BE49-F238E27FC236}">
                <a16:creationId xmlns:a16="http://schemas.microsoft.com/office/drawing/2014/main" xmlns="" id="{00000000-0008-0000-3B00-00001F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54280</xdr:colOff>
      <xdr:row>8</xdr:row>
      <xdr:rowOff>72481</xdr:rowOff>
    </xdr:from>
    <xdr:to>
      <xdr:col>5</xdr:col>
      <xdr:colOff>565955</xdr:colOff>
      <xdr:row>12</xdr:row>
      <xdr:rowOff>77566</xdr:rowOff>
    </xdr:to>
    <xdr:grpSp>
      <xdr:nvGrpSpPr>
        <xdr:cNvPr id="54" name="Grupo 53">
          <a:extLst>
            <a:ext uri="{FF2B5EF4-FFF2-40B4-BE49-F238E27FC236}">
              <a16:creationId xmlns:a16="http://schemas.microsoft.com/office/drawing/2014/main" xmlns="" id="{00000000-0008-0000-3B00-000036000000}"/>
            </a:ext>
          </a:extLst>
        </xdr:cNvPr>
        <xdr:cNvGrpSpPr/>
      </xdr:nvGrpSpPr>
      <xdr:grpSpPr>
        <a:xfrm>
          <a:off x="1864030" y="2167981"/>
          <a:ext cx="1718175" cy="767085"/>
          <a:chOff x="1415580" y="1814171"/>
          <a:chExt cx="1909959" cy="890376"/>
        </a:xfrm>
      </xdr:grpSpPr>
      <xdr:sp macro="" textlink="Lançamentos!U5">
        <xdr:nvSpPr>
          <xdr:cNvPr id="55" name="CaixaDeTexto 54">
            <a:extLst>
              <a:ext uri="{FF2B5EF4-FFF2-40B4-BE49-F238E27FC236}">
                <a16:creationId xmlns:a16="http://schemas.microsoft.com/office/drawing/2014/main" xmlns="" id="{00000000-0008-0000-3B00-000037000000}"/>
              </a:ext>
            </a:extLst>
          </xdr:cNvPr>
          <xdr:cNvSpPr txBox="1"/>
        </xdr:nvSpPr>
        <xdr:spPr>
          <a:xfrm>
            <a:off x="1739036" y="2233951"/>
            <a:ext cx="1313676" cy="47059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4CB01299-3D2B-492B-855C-E0854AE8CE1F}" type="TxLink">
              <a:rPr lang="en-US" sz="2000" b="1" i="0" u="none" strike="noStrike">
                <a:solidFill>
                  <a:schemeClr val="accent3">
                    <a:lumMod val="50000"/>
                  </a:schemeClr>
                </a:solidFill>
                <a:latin typeface="Calibri"/>
                <a:cs typeface="Calibri"/>
              </a:rPr>
              <a:pPr algn="ctr"/>
              <a:t>22,4%</a:t>
            </a:fld>
            <a:endParaRPr lang="pt-BR" sz="2000" b="1">
              <a:solidFill>
                <a:schemeClr val="accent3">
                  <a:lumMod val="50000"/>
                </a:schemeClr>
              </a:solidFill>
            </a:endParaRPr>
          </a:p>
        </xdr:txBody>
      </xdr:sp>
      <xdr:sp macro="" textlink="">
        <xdr:nvSpPr>
          <xdr:cNvPr id="56" name="CaixaDeTexto 55">
            <a:extLst>
              <a:ext uri="{FF2B5EF4-FFF2-40B4-BE49-F238E27FC236}">
                <a16:creationId xmlns:a16="http://schemas.microsoft.com/office/drawing/2014/main" xmlns="" id="{00000000-0008-0000-3B00-000038000000}"/>
              </a:ext>
            </a:extLst>
          </xdr:cNvPr>
          <xdr:cNvSpPr txBox="1"/>
        </xdr:nvSpPr>
        <xdr:spPr>
          <a:xfrm>
            <a:off x="1415580" y="1814171"/>
            <a:ext cx="1909959" cy="368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C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C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C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C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C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C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225038</xdr:colOff>
      <xdr:row>7</xdr:row>
      <xdr:rowOff>45536</xdr:rowOff>
    </xdr:from>
    <xdr:to>
      <xdr:col>28</xdr:col>
      <xdr:colOff>1</xdr:colOff>
      <xdr:row>36</xdr:row>
      <xdr:rowOff>422242</xdr:rowOff>
    </xdr:to>
    <xdr:graphicFrame macro="">
      <xdr:nvGraphicFramePr>
        <xdr:cNvPr id="18" name="Gráfico 17">
          <a:extLst>
            <a:ext uri="{FF2B5EF4-FFF2-40B4-BE49-F238E27FC236}">
              <a16:creationId xmlns:a16="http://schemas.microsoft.com/office/drawing/2014/main" xmlns="" id="{00000000-0008-0000-3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225038</xdr:colOff>
      <xdr:row>5</xdr:row>
      <xdr:rowOff>13216</xdr:rowOff>
    </xdr:from>
    <xdr:to>
      <xdr:col>28</xdr:col>
      <xdr:colOff>1</xdr:colOff>
      <xdr:row>6</xdr:row>
      <xdr:rowOff>120130</xdr:rowOff>
    </xdr:to>
    <xdr:grpSp>
      <xdr:nvGrpSpPr>
        <xdr:cNvPr id="32" name="Grupo 31">
          <a:extLst>
            <a:ext uri="{FF2B5EF4-FFF2-40B4-BE49-F238E27FC236}">
              <a16:creationId xmlns:a16="http://schemas.microsoft.com/office/drawing/2014/main" xmlns="" id="{00000000-0008-0000-3C00-000020000000}"/>
            </a:ext>
          </a:extLst>
        </xdr:cNvPr>
        <xdr:cNvGrpSpPr/>
      </xdr:nvGrpSpPr>
      <xdr:grpSpPr>
        <a:xfrm>
          <a:off x="828288" y="1537216"/>
          <a:ext cx="16062713" cy="297414"/>
          <a:chOff x="833715" y="968427"/>
          <a:chExt cx="16179074" cy="485632"/>
        </a:xfrm>
      </xdr:grpSpPr>
      <xdr:sp macro="" textlink="">
        <xdr:nvSpPr>
          <xdr:cNvPr id="33" name="CaixaDeTexto 32">
            <a:extLst>
              <a:ext uri="{FF2B5EF4-FFF2-40B4-BE49-F238E27FC236}">
                <a16:creationId xmlns:a16="http://schemas.microsoft.com/office/drawing/2014/main" xmlns="" id="{00000000-0008-0000-3C00-000021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34" name="Conector reto 33">
            <a:extLst>
              <a:ext uri="{FF2B5EF4-FFF2-40B4-BE49-F238E27FC236}">
                <a16:creationId xmlns:a16="http://schemas.microsoft.com/office/drawing/2014/main" xmlns="" id="{00000000-0008-0000-3C00-000022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271025</xdr:colOff>
      <xdr:row>8</xdr:row>
      <xdr:rowOff>4</xdr:rowOff>
    </xdr:from>
    <xdr:to>
      <xdr:col>6</xdr:col>
      <xdr:colOff>171858</xdr:colOff>
      <xdr:row>12</xdr:row>
      <xdr:rowOff>23353</xdr:rowOff>
    </xdr:to>
    <xdr:grpSp>
      <xdr:nvGrpSpPr>
        <xdr:cNvPr id="48" name="Grupo 47">
          <a:extLst>
            <a:ext uri="{FF2B5EF4-FFF2-40B4-BE49-F238E27FC236}">
              <a16:creationId xmlns:a16="http://schemas.microsoft.com/office/drawing/2014/main" xmlns="" id="{00000000-0008-0000-3C00-000030000000}"/>
            </a:ext>
          </a:extLst>
        </xdr:cNvPr>
        <xdr:cNvGrpSpPr/>
      </xdr:nvGrpSpPr>
      <xdr:grpSpPr>
        <a:xfrm>
          <a:off x="2080775" y="2095504"/>
          <a:ext cx="1710583" cy="785349"/>
          <a:chOff x="1369948" y="1838598"/>
          <a:chExt cx="1914208" cy="599107"/>
        </a:xfrm>
      </xdr:grpSpPr>
      <xdr:sp macro="" textlink="Lançamentos!U6">
        <xdr:nvSpPr>
          <xdr:cNvPr id="49" name="CaixaDeTexto 48">
            <a:extLst>
              <a:ext uri="{FF2B5EF4-FFF2-40B4-BE49-F238E27FC236}">
                <a16:creationId xmlns:a16="http://schemas.microsoft.com/office/drawing/2014/main" xmlns="" id="{00000000-0008-0000-3C00-000031000000}"/>
              </a:ext>
            </a:extLst>
          </xdr:cNvPr>
          <xdr:cNvSpPr txBox="1"/>
        </xdr:nvSpPr>
        <xdr:spPr>
          <a:xfrm>
            <a:off x="1936681" y="2128419"/>
            <a:ext cx="780742" cy="30928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2000" b="1" i="0" u="none" strike="noStrike">
                <a:solidFill>
                  <a:srgbClr val="2A5664"/>
                </a:solidFill>
                <a:latin typeface="Calibri"/>
                <a:cs typeface="Calibri"/>
              </a:rPr>
              <a:pPr algn="ctr"/>
              <a:t>15,9%</a:t>
            </a:fld>
            <a:endParaRPr lang="pt-BR" sz="2000" b="1">
              <a:solidFill>
                <a:srgbClr val="2A5664"/>
              </a:solidFill>
            </a:endParaRPr>
          </a:p>
        </xdr:txBody>
      </xdr:sp>
      <xdr:sp macro="" textlink="">
        <xdr:nvSpPr>
          <xdr:cNvPr id="50" name="CaixaDeTexto 49">
            <a:extLst>
              <a:ext uri="{FF2B5EF4-FFF2-40B4-BE49-F238E27FC236}">
                <a16:creationId xmlns:a16="http://schemas.microsoft.com/office/drawing/2014/main" xmlns="" id="{00000000-0008-0000-3C00-000032000000}"/>
              </a:ext>
            </a:extLst>
          </xdr:cNvPr>
          <xdr:cNvSpPr txBox="1"/>
        </xdr:nvSpPr>
        <xdr:spPr>
          <a:xfrm>
            <a:off x="1369948" y="1838598"/>
            <a:ext cx="1914208" cy="368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xmlns=""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xmlns="" id="{00000000-0008-0000-3D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Dezembro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xmlns="" id="{00000000-0008-0000-3D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xmlns="" id="{00000000-0008-0000-3D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xmlns="" id="{00000000-0008-0000-3D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xmlns="" id="{00000000-0008-0000-3D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xmlns="" id="{00000000-0008-0000-3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xmlns="" id="{00000000-0008-0000-3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xmlns="" id="{00000000-0008-0000-3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xmlns="" id="{00000000-0008-0000-3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xmlns="" id="{00000000-0008-0000-3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xmlns="" id="{00000000-0008-0000-3D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225037</xdr:colOff>
      <xdr:row>5</xdr:row>
      <xdr:rowOff>29459</xdr:rowOff>
    </xdr:from>
    <xdr:to>
      <xdr:col>27</xdr:col>
      <xdr:colOff>575437</xdr:colOff>
      <xdr:row>6</xdr:row>
      <xdr:rowOff>136372</xdr:rowOff>
    </xdr:to>
    <xdr:grpSp>
      <xdr:nvGrpSpPr>
        <xdr:cNvPr id="35" name="Grupo 34">
          <a:extLst>
            <a:ext uri="{FF2B5EF4-FFF2-40B4-BE49-F238E27FC236}">
              <a16:creationId xmlns:a16="http://schemas.microsoft.com/office/drawing/2014/main" xmlns="" id="{00000000-0008-0000-3D00-000023000000}"/>
            </a:ext>
          </a:extLst>
        </xdr:cNvPr>
        <xdr:cNvGrpSpPr/>
      </xdr:nvGrpSpPr>
      <xdr:grpSpPr>
        <a:xfrm>
          <a:off x="828287" y="1553459"/>
          <a:ext cx="16034900" cy="297413"/>
          <a:chOff x="833715" y="968427"/>
          <a:chExt cx="16179074" cy="485632"/>
        </a:xfrm>
      </xdr:grpSpPr>
      <xdr:sp macro="" textlink="">
        <xdr:nvSpPr>
          <xdr:cNvPr id="36" name="CaixaDeTexto 35">
            <a:extLst>
              <a:ext uri="{FF2B5EF4-FFF2-40B4-BE49-F238E27FC236}">
                <a16:creationId xmlns:a16="http://schemas.microsoft.com/office/drawing/2014/main" xmlns="" id="{00000000-0008-0000-3D00-000024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37" name="Conector reto 36">
            <a:extLst>
              <a:ext uri="{FF2B5EF4-FFF2-40B4-BE49-F238E27FC236}">
                <a16:creationId xmlns:a16="http://schemas.microsoft.com/office/drawing/2014/main" xmlns="" id="{00000000-0008-0000-3D00-000025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225038</xdr:colOff>
      <xdr:row>8</xdr:row>
      <xdr:rowOff>0</xdr:rowOff>
    </xdr:from>
    <xdr:to>
      <xdr:col>28</xdr:col>
      <xdr:colOff>1</xdr:colOff>
      <xdr:row>36</xdr:row>
      <xdr:rowOff>392595</xdr:rowOff>
    </xdr:to>
    <xdr:grpSp>
      <xdr:nvGrpSpPr>
        <xdr:cNvPr id="62" name="Grupo 61">
          <a:extLst>
            <a:ext uri="{FF2B5EF4-FFF2-40B4-BE49-F238E27FC236}">
              <a16:creationId xmlns:a16="http://schemas.microsoft.com/office/drawing/2014/main" xmlns="" id="{00000000-0008-0000-3D00-00003E000000}"/>
            </a:ext>
          </a:extLst>
        </xdr:cNvPr>
        <xdr:cNvGrpSpPr/>
      </xdr:nvGrpSpPr>
      <xdr:grpSpPr>
        <a:xfrm>
          <a:off x="828288" y="2095500"/>
          <a:ext cx="16062713" cy="5742470"/>
          <a:chOff x="833852" y="2071933"/>
          <a:chExt cx="16203134" cy="5626435"/>
        </a:xfrm>
      </xdr:grpSpPr>
      <xdr:graphicFrame macro="">
        <xdr:nvGraphicFramePr>
          <xdr:cNvPr id="19" name="Gráfico 18">
            <a:extLst>
              <a:ext uri="{FF2B5EF4-FFF2-40B4-BE49-F238E27FC236}">
                <a16:creationId xmlns:a16="http://schemas.microsoft.com/office/drawing/2014/main" xmlns="" id="{00000000-0008-0000-3D00-000013000000}"/>
              </a:ext>
            </a:extLst>
          </xdr:cNvPr>
          <xdr:cNvGraphicFramePr>
            <a:graphicFrameLocks/>
          </xdr:cNvGraphicFramePr>
        </xdr:nvGraphicFramePr>
        <xdr:xfrm>
          <a:off x="833852" y="2071933"/>
          <a:ext cx="16203134" cy="562643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57" name="Grupo 56">
            <a:extLst>
              <a:ext uri="{FF2B5EF4-FFF2-40B4-BE49-F238E27FC236}">
                <a16:creationId xmlns:a16="http://schemas.microsoft.com/office/drawing/2014/main" xmlns="" id="{00000000-0008-0000-3D00-000039000000}"/>
              </a:ext>
            </a:extLst>
          </xdr:cNvPr>
          <xdr:cNvGrpSpPr/>
        </xdr:nvGrpSpPr>
        <xdr:grpSpPr>
          <a:xfrm>
            <a:off x="1826597" y="2446639"/>
            <a:ext cx="3985662" cy="819107"/>
            <a:chOff x="1443096" y="1595258"/>
            <a:chExt cx="1513400" cy="969072"/>
          </a:xfrm>
        </xdr:grpSpPr>
        <xdr:sp macro="" textlink="Lançamentos!U7">
          <xdr:nvSpPr>
            <xdr:cNvPr id="58" name="CaixaDeTexto 57">
              <a:extLst>
                <a:ext uri="{FF2B5EF4-FFF2-40B4-BE49-F238E27FC236}">
                  <a16:creationId xmlns:a16="http://schemas.microsoft.com/office/drawing/2014/main" xmlns="" id="{00000000-0008-0000-3D00-00003A000000}"/>
                </a:ext>
              </a:extLst>
            </xdr:cNvPr>
            <xdr:cNvSpPr txBox="1"/>
          </xdr:nvSpPr>
          <xdr:spPr>
            <a:xfrm>
              <a:off x="1637747" y="2080227"/>
              <a:ext cx="382156" cy="470293"/>
            </a:xfrm>
            <a:prstGeom prst="rect">
              <a:avLst/>
            </a:prstGeom>
            <a:ln>
              <a:solidFill>
                <a:schemeClr val="accent3"/>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BE117BAA-472D-46AD-8F07-C0F95580CFD6}" type="TxLink">
                <a:rPr lang="en-US" sz="2000" b="1" i="0" u="none" strike="noStrike">
                  <a:solidFill>
                    <a:schemeClr val="accent3">
                      <a:lumMod val="50000"/>
                    </a:schemeClr>
                  </a:solidFill>
                  <a:latin typeface="Calibri"/>
                  <a:cs typeface="Calibri"/>
                </a:rPr>
                <a:pPr algn="ctr"/>
                <a:t>21,3%</a:t>
              </a:fld>
              <a:endParaRPr lang="pt-BR" sz="2000" b="1">
                <a:solidFill>
                  <a:schemeClr val="accent3">
                    <a:lumMod val="50000"/>
                  </a:schemeClr>
                </a:solidFill>
              </a:endParaRPr>
            </a:p>
          </xdr:txBody>
        </xdr:sp>
        <xdr:sp macro="" textlink="">
          <xdr:nvSpPr>
            <xdr:cNvPr id="59" name="CaixaDeTexto 58">
              <a:extLst>
                <a:ext uri="{FF2B5EF4-FFF2-40B4-BE49-F238E27FC236}">
                  <a16:creationId xmlns:a16="http://schemas.microsoft.com/office/drawing/2014/main" xmlns="" id="{00000000-0008-0000-3D00-00003B000000}"/>
                </a:ext>
              </a:extLst>
            </xdr:cNvPr>
            <xdr:cNvSpPr txBox="1"/>
          </xdr:nvSpPr>
          <xdr:spPr>
            <a:xfrm>
              <a:off x="1443096" y="1595258"/>
              <a:ext cx="787887" cy="624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1"/>
                <a:t>Executado x Previsto</a:t>
              </a:r>
            </a:p>
          </xdr:txBody>
        </xdr:sp>
        <xdr:sp macro="" textlink="Lançamentos!W7">
          <xdr:nvSpPr>
            <xdr:cNvPr id="60" name="CaixaDeTexto 59">
              <a:extLst>
                <a:ext uri="{FF2B5EF4-FFF2-40B4-BE49-F238E27FC236}">
                  <a16:creationId xmlns:a16="http://schemas.microsoft.com/office/drawing/2014/main" xmlns="" id="{00000000-0008-0000-3D00-00003C000000}"/>
                </a:ext>
              </a:extLst>
            </xdr:cNvPr>
            <xdr:cNvSpPr txBox="1"/>
          </xdr:nvSpPr>
          <xdr:spPr>
            <a:xfrm>
              <a:off x="2351751" y="2094038"/>
              <a:ext cx="479665" cy="47029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2C32D37B-0196-4F75-AA5E-540073AFBB37}" type="TxLink">
                <a:rPr lang="en-US" sz="2000" b="1" i="0" u="none" strike="noStrike">
                  <a:solidFill>
                    <a:srgbClr val="FF0000"/>
                  </a:solidFill>
                  <a:latin typeface="Calibri"/>
                  <a:ea typeface="+mn-ea"/>
                  <a:cs typeface="Calibri"/>
                </a:rPr>
                <a:pPr marL="0" indent="0" algn="ctr"/>
                <a:t>-3,8%</a:t>
              </a:fld>
              <a:endParaRPr lang="pt-BR" sz="2000" b="1" i="0" u="none" strike="noStrike">
                <a:solidFill>
                  <a:srgbClr val="FF0000"/>
                </a:solidFill>
                <a:latin typeface="Calibri"/>
                <a:ea typeface="+mn-ea"/>
                <a:cs typeface="Calibri"/>
              </a:endParaRPr>
            </a:p>
          </xdr:txBody>
        </xdr:sp>
        <xdr:sp macro="" textlink="">
          <xdr:nvSpPr>
            <xdr:cNvPr id="61" name="CaixaDeTexto 60">
              <a:extLst>
                <a:ext uri="{FF2B5EF4-FFF2-40B4-BE49-F238E27FC236}">
                  <a16:creationId xmlns:a16="http://schemas.microsoft.com/office/drawing/2014/main" xmlns="" id="{00000000-0008-0000-3D00-00003D000000}"/>
                </a:ext>
              </a:extLst>
            </xdr:cNvPr>
            <xdr:cNvSpPr txBox="1"/>
          </xdr:nvSpPr>
          <xdr:spPr>
            <a:xfrm>
              <a:off x="2258554" y="1718912"/>
              <a:ext cx="697942" cy="368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400" b="1"/>
                <a:t>Executado x Potencial</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35</xdr:row>
      <xdr:rowOff>25400</xdr:rowOff>
    </xdr:from>
    <xdr:to>
      <xdr:col>1</xdr:col>
      <xdr:colOff>930275</xdr:colOff>
      <xdr:row>38</xdr:row>
      <xdr:rowOff>184150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57150" y="6692900"/>
          <a:ext cx="1158875" cy="73025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34</xdr:row>
      <xdr:rowOff>158750</xdr:rowOff>
    </xdr:from>
    <xdr:to>
      <xdr:col>1</xdr:col>
      <xdr:colOff>873125</xdr:colOff>
      <xdr:row>37</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500-000002000000}"/>
            </a:ext>
          </a:extLst>
        </xdr:cNvPr>
        <xdr:cNvSpPr/>
      </xdr:nvSpPr>
      <xdr:spPr>
        <a:xfrm>
          <a:off x="0" y="6635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38</xdr:row>
      <xdr:rowOff>158750</xdr:rowOff>
    </xdr:from>
    <xdr:to>
      <xdr:col>1</xdr:col>
      <xdr:colOff>873125</xdr:colOff>
      <xdr:row>41</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0" y="7397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38</xdr:row>
      <xdr:rowOff>0</xdr:rowOff>
    </xdr:from>
    <xdr:to>
      <xdr:col>1</xdr:col>
      <xdr:colOff>873125</xdr:colOff>
      <xdr:row>40</xdr:row>
      <xdr:rowOff>317500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0" y="7239000"/>
          <a:ext cx="1216025" cy="57467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33</xdr:row>
      <xdr:rowOff>158750</xdr:rowOff>
    </xdr:from>
    <xdr:to>
      <xdr:col>1</xdr:col>
      <xdr:colOff>873125</xdr:colOff>
      <xdr:row>36</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0" y="6445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persons/person.xml><?xml version="1.0" encoding="utf-8"?>
<personList xmlns="http://schemas.microsoft.com/office/spreadsheetml/2018/threadedcomments" xmlns:x="http://schemas.openxmlformats.org/spreadsheetml/2006/main">
  <person displayName="Marcos Cristino" id="{C04F7575-3164-44C0-8C8C-4BA338781F34}" userId="458e55cc1ad1eb92"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abiana ..." refreshedDate="44018.813075925929" createdVersion="5" refreshedVersion="6" minRefreshableVersion="3" recordCount="28">
  <cacheSource type="worksheet">
    <worksheetSource ref="B3:AW31" sheet="Dados - Receita e Qntd"/>
  </cacheSource>
  <cacheFields count="48">
    <cacheField name="UF" numFmtId="0">
      <sharedItems count="28">
        <s v="AC"/>
        <s v="AM"/>
        <s v="AP"/>
        <s v="PA"/>
        <s v="RO"/>
        <s v="RR"/>
        <s v="TO"/>
        <s v="AL"/>
        <s v="BA"/>
        <s v="CE"/>
        <s v="MA"/>
        <s v="PB"/>
        <s v="PE"/>
        <s v="PI"/>
        <s v="RN"/>
        <s v="SE"/>
        <s v="DF"/>
        <s v="GO"/>
        <s v="MS"/>
        <s v="MT"/>
        <s v="ES"/>
        <s v="MG"/>
        <s v="RJ"/>
        <s v="SP"/>
        <s v="PR"/>
        <s v="RS"/>
        <s v="SC"/>
        <s v="BR"/>
      </sharedItems>
    </cacheField>
    <cacheField name="Estado" numFmtId="0">
      <sharedItems/>
    </cacheField>
    <cacheField name="Região" numFmtId="0">
      <sharedItems/>
    </cacheField>
    <cacheField name="Anuidade PF - Exerc." numFmtId="172">
      <sharedItems containsSemiMixedTypes="0" containsString="0" containsNumber="1" minValue="28251.423999999999" maxValue="10199369.528000001"/>
    </cacheField>
    <cacheField name="Previsto" numFmtId="172">
      <sharedItems containsSemiMixedTypes="0" containsString="0" containsNumber="1" minValue="61429" maxValue="13906769.25"/>
    </cacheField>
    <cacheField name="Exec. %" numFmtId="167">
      <sharedItems containsSemiMixedTypes="0" containsString="0" containsNumber="1" minValue="0.38451051546799397" maxValue="0.73341042370426912"/>
    </cacheField>
    <cacheField name="Anuidade PF - Ex. Ant." numFmtId="172">
      <sharedItems containsSemiMixedTypes="0" containsString="0" containsNumber="1" minValue="3033.4960000000005" maxValue="2159993.4880000004"/>
    </cacheField>
    <cacheField name="Previsto2" numFmtId="172">
      <sharedItems containsSemiMixedTypes="0" containsString="0" containsNumber="1" minValue="0" maxValue="2397933.06"/>
    </cacheField>
    <cacheField name="Exec. %2" numFmtId="167">
      <sharedItems containsSemiMixedTypes="0" containsString="0" containsNumber="1" minValue="0" maxValue="2.6311127331711277"/>
    </cacheField>
    <cacheField name="Anuidade PJ - Exerc." numFmtId="172">
      <sharedItems containsSemiMixedTypes="0" containsString="0" containsNumber="1" minValue="5157.9360000000006" maxValue="1347575.1039999998"/>
    </cacheField>
    <cacheField name="Previsto3" numFmtId="172">
      <sharedItems containsSemiMixedTypes="0" containsString="0" containsNumber="1" minValue="12767" maxValue="1885126"/>
    </cacheField>
    <cacheField name="Exec. %3" numFmtId="167">
      <sharedItems containsSemiMixedTypes="0" containsString="0" containsNumber="1" minValue="0.20188539826852364" maxValue="0.90866117226226673"/>
    </cacheField>
    <cacheField name="Anuidade PJ - Ex. Ant." numFmtId="172">
      <sharedItems containsSemiMixedTypes="0" containsString="0" containsNumber="1" minValue="810.78400000000011" maxValue="269192.03200000001"/>
    </cacheField>
    <cacheField name="Previsto4" numFmtId="172">
      <sharedItems containsSemiMixedTypes="0" containsString="0" containsNumber="1" minValue="0" maxValue="262342.11"/>
    </cacheField>
    <cacheField name="Exec. %4" numFmtId="167">
      <sharedItems containsSemiMixedTypes="0" containsString="0" containsNumber="1" minValue="0" maxValue="2.7393152000000005"/>
    </cacheField>
    <cacheField name="RRT" numFmtId="172">
      <sharedItems containsSemiMixedTypes="0" containsString="0" containsNumber="1" minValue="39867.376000000004" maxValue="9566977.9360000025"/>
    </cacheField>
    <cacheField name="Previsto5" numFmtId="172">
      <sharedItems containsSemiMixedTypes="0" containsString="0" containsNumber="1" minValue="115103" maxValue="28090409.649999999"/>
    </cacheField>
    <cacheField name="Exec. %5" numFmtId="167">
      <sharedItems containsSemiMixedTypes="0" containsString="0" containsNumber="1" minValue="0.25282101679115532" maxValue="0.56095086697834728"/>
    </cacheField>
    <cacheField name="Taxas" numFmtId="172">
      <sharedItems containsSemiMixedTypes="0" containsString="0" containsNumber="1" minValue="1240.952" maxValue="844029.14400000009"/>
    </cacheField>
    <cacheField name="Previsto6" numFmtId="172">
      <sharedItems containsSemiMixedTypes="0" containsString="0" containsNumber="1" minValue="8518" maxValue="1470749"/>
    </cacheField>
    <cacheField name="Exec. %6" numFmtId="167">
      <sharedItems containsSemiMixedTypes="0" containsString="0" containsNumber="1" minValue="0.14568584174688895" maxValue="0.75591020928294861"/>
    </cacheField>
    <cacheField name="PF Ativos" numFmtId="166">
      <sharedItems containsSemiMixedTypes="0" containsString="0" containsNumber="1" containsInteger="1" minValue="224" maxValue="185066"/>
    </cacheField>
    <cacheField name="PF - Jan. a Jun." numFmtId="166">
      <sharedItems containsSemiMixedTypes="0" containsString="0" containsNumber="1" containsInteger="1" minValue="-116" maxValue="5638"/>
    </cacheField>
    <cacheField name="Previsto PF" numFmtId="166">
      <sharedItems containsSemiMixedTypes="0" containsString="0" containsNumber="1" minValue="216.93333333333334" maxValue="186957.3"/>
    </cacheField>
    <cacheField name="% de exec. - PF" numFmtId="167">
      <sharedItems containsSemiMixedTypes="0" containsString="0" containsNumber="1" minValue="0.84020934508934886" maxValue="1.0662078206846144"/>
    </cacheField>
    <cacheField name="PJ Ativos" numFmtId="166">
      <sharedItems containsSemiMixedTypes="0" containsString="0" containsNumber="1" containsInteger="1" minValue="55" maxValue="26308"/>
    </cacheField>
    <cacheField name="PJ - Jan. a Jun." numFmtId="166">
      <sharedItems containsSemiMixedTypes="0" containsString="0" containsNumber="1" containsInteger="1" minValue="-106" maxValue="150"/>
    </cacheField>
    <cacheField name="Previsto PJ" numFmtId="166">
      <sharedItems containsSemiMixedTypes="0" containsString="0" containsNumber="1" minValue="52.4" maxValue="29599.100000000002"/>
    </cacheField>
    <cacheField name="% de exec. - PJ" numFmtId="167">
      <sharedItems containsSemiMixedTypes="0" containsString="0" containsNumber="1" minValue="0.73712554695388754" maxValue="1.0496183206106871"/>
    </cacheField>
    <cacheField name="RRT Pagos" numFmtId="166">
      <sharedItems containsSemiMixedTypes="0" containsString="0" containsNumber="1" containsInteger="1" minValue="494" maxValue="350660"/>
    </cacheField>
    <cacheField name="Previsto - RRT" numFmtId="166">
      <sharedItems containsSemiMixedTypes="0" containsString="0" containsNumber="1" minValue="1457.1532306477093" maxValue="958927.87304329593"/>
    </cacheField>
    <cacheField name="Méd/Prof_x000a_Executado" numFmtId="168">
      <sharedItems containsSemiMixedTypes="0" containsString="0" containsNumber="1" minValue="0.9575836767514323" maxValue="4.5087014725568944"/>
    </cacheField>
    <cacheField name="Méd/Prof_x000a_Previsto" numFmtId="168">
      <sharedItems containsSemiMixedTypes="0" containsString="0" containsNumber="1" minValue="2.9" maxValue="9.6999999999999993"/>
    </cacheField>
    <cacheField name="Adimp. PF %" numFmtId="167">
      <sharedItems containsSemiMixedTypes="0" containsString="0" containsNumber="1" minValue="0.36350777934936351" maxValue="0.67716067716067718"/>
    </cacheField>
    <cacheField name="Previsto PF2" numFmtId="167">
      <sharedItems containsSemiMixedTypes="0" containsString="0" containsNumber="1" minValue="0.71023875245484458" maxValue="0.8823323708741394"/>
    </cacheField>
    <cacheField name="Adimp. PJ %" numFmtId="167">
      <sharedItems containsSemiMixedTypes="0" containsString="0" containsNumber="1" minValue="0.15637860082304528" maxValue="0.53395784543325531"/>
    </cacheField>
    <cacheField name="Previsto PJ2" numFmtId="167">
      <sharedItems containsSemiMixedTypes="0" containsString="0" containsNumber="1" minValue="0.44560943643512452" maxValue="0.68920956278268364"/>
    </cacheField>
    <cacheField name="Masculino" numFmtId="166">
      <sharedItems containsSemiMixedTypes="0" containsString="0" containsNumber="1" containsInteger="1" minValue="91" maxValue="66932"/>
    </cacheField>
    <cacheField name="Feminino" numFmtId="166">
      <sharedItems containsSemiMixedTypes="0" containsString="0" containsNumber="1" containsInteger="1" minValue="133" maxValue="118134"/>
    </cacheField>
    <cacheField name="Entrantes" numFmtId="166">
      <sharedItems containsSemiMixedTypes="0" containsString="0" containsNumber="1" containsInteger="1" minValue="16" maxValue="8065"/>
    </cacheField>
    <cacheField name="Previsto - Entrantes" numFmtId="166">
      <sharedItems containsSemiMixedTypes="0" containsString="0" containsNumber="1" containsInteger="1" minValue="20" maxValue="13347"/>
    </cacheField>
    <cacheField name="% de exec. - Entrantes" numFmtId="167">
      <sharedItems containsSemiMixedTypes="0" containsString="0" containsNumber="1" minValue="0.23148148148148148" maxValue="1.0751173708920188"/>
    </cacheField>
    <cacheField name="PF" numFmtId="167">
      <sharedItems containsSemiMixedTypes="0" containsString="0" containsNumber="1" minValue="-0.24034485762199823" maxValue="3.7630391166082265E-2"/>
    </cacheField>
    <cacheField name="PJ" numFmtId="167">
      <sharedItems containsSemiMixedTypes="0" containsString="0" containsNumber="1" minValue="-0.39484563286128938" maxValue="0.90705627949062684"/>
    </cacheField>
    <cacheField name="RRT2" numFmtId="167">
      <sharedItems containsSemiMixedTypes="0" containsString="0" containsNumber="1" minValue="-0.35392592764353198" maxValue="7.207882669769021E-2"/>
    </cacheField>
    <cacheField name="Taxas2" numFmtId="167">
      <sharedItems containsSemiMixedTypes="0" containsString="0" containsNumber="1" minValue="-0.54152381064976829" maxValue="0.55425353611304984"/>
    </cacheField>
    <cacheField name="Ano anterior_x000a_TOTAL acumulado" numFmtId="166">
      <sharedItems containsSemiMixedTypes="0" containsString="0" containsNumber="1" minValue="99686.207999999999" maxValue="27673983.930400003"/>
    </cacheField>
    <cacheField name="YOY_x000a_% de exec." numFmtId="167">
      <sharedItems containsSemiMixedTypes="0" containsString="0" containsNumber="1" minValue="-0.25039212397727584" maxValue="3.2153365004679912E-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cos Cristino" refreshedDate="44208.597639930558" createdVersion="5" refreshedVersion="6" minRefreshableVersion="3" recordCount="27">
  <cacheSource type="worksheet">
    <worksheetSource ref="B3:AX30" sheet="Dados - Receita e Qntd"/>
  </cacheSource>
  <cacheFields count="49">
    <cacheField name="UF" numFmtId="0">
      <sharedItems count="27">
        <s v="AC"/>
        <s v="AM"/>
        <s v="AP"/>
        <s v="PA"/>
        <s v="RO"/>
        <s v="RR"/>
        <s v="TO"/>
        <s v="AL"/>
        <s v="BA"/>
        <s v="CE"/>
        <s v="MA"/>
        <s v="PB"/>
        <s v="PE"/>
        <s v="PI"/>
        <s v="RN"/>
        <s v="SE"/>
        <s v="DF"/>
        <s v="GO"/>
        <s v="MS"/>
        <s v="MT"/>
        <s v="ES"/>
        <s v="MG"/>
        <s v="RJ"/>
        <s v="SP"/>
        <s v="PR"/>
        <s v="RS"/>
        <s v="SC"/>
      </sharedItems>
    </cacheField>
    <cacheField name="Estado" numFmtId="0">
      <sharedItems/>
    </cacheField>
    <cacheField name="Região" numFmtId="0">
      <sharedItems count="5">
        <s v="Norte"/>
        <s v="Nordeste"/>
        <s v="Centro-oeste"/>
        <s v="Sudeste"/>
        <s v="Sul"/>
      </sharedItems>
    </cacheField>
    <cacheField name="Anuidade PF - Exerc." numFmtId="172">
      <sharedItems containsSemiMixedTypes="0" containsString="0" containsNumber="1" minValue="44995.703999999998" maxValue="14346806.248000003"/>
    </cacheField>
    <cacheField name="Previsto" numFmtId="172">
      <sharedItems containsSemiMixedTypes="0" containsString="0" containsNumber="1" minValue="40502.449999999997" maxValue="13929347.976"/>
    </cacheField>
    <cacheField name="Exec. %" numFmtId="167">
      <sharedItems containsSemiMixedTypes="0" containsString="0" containsNumber="1" minValue="0.82898273920314369" maxValue="1.4407060068896931"/>
    </cacheField>
    <cacheField name="Anuidade PF - Ex. Ant." numFmtId="172">
      <sharedItems containsSemiMixedTypes="0" containsString="0" containsNumber="1" minValue="5967.0240000000003" maxValue="4338347.7039999999"/>
    </cacheField>
    <cacheField name="Previsto2" numFmtId="172">
      <sharedItems containsSemiMixedTypes="0" containsString="0" containsNumber="1" minValue="2958.21" maxValue="2955102.1689929012"/>
    </cacheField>
    <cacheField name="Exec. %2" numFmtId="167">
      <sharedItems containsSemiMixedTypes="0" containsString="0" containsNumber="1" minValue="0.99527253208061472" maxValue="3.1262056875749233"/>
    </cacheField>
    <cacheField name="Anuidade PJ - Exerc." numFmtId="172">
      <sharedItems containsSemiMixedTypes="0" containsString="0" containsNumber="1" minValue="6940.7520000000004" maxValue="1750933.5360000001"/>
    </cacheField>
    <cacheField name="Previsto3" numFmtId="172">
      <sharedItems containsSemiMixedTypes="0" containsString="0" containsNumber="1" minValue="7672.1399999999994" maxValue="1832188.7080000001"/>
    </cacheField>
    <cacheField name="Exec. %3" numFmtId="167">
      <sharedItems containsSemiMixedTypes="0" containsString="0" containsNumber="1" minValue="0.87621382687951033" maxValue="1.838789891265429"/>
    </cacheField>
    <cacheField name="Anuidade PJ - Ex. Ant." numFmtId="172">
      <sharedItems containsSemiMixedTypes="0" containsString="0" containsNumber="1" minValue="1822.8400000000001" maxValue="574729.56000000006"/>
    </cacheField>
    <cacheField name="Previsto4" numFmtId="172">
      <sharedItems containsSemiMixedTypes="0" containsString="0" containsNumber="1" minValue="810.78" maxValue="421066.2122784832"/>
    </cacheField>
    <cacheField name="Exec. %4" numFmtId="167">
      <sharedItems containsSemiMixedTypes="0" containsString="0" containsNumber="1" minValue="0.73807110566202727" maxValue="3.037012540576292"/>
    </cacheField>
    <cacheField name="RRT" numFmtId="172">
      <sharedItems containsSemiMixedTypes="0" containsString="0" containsNumber="1" minValue="94797.736000000004" maxValue="22973868.832000002"/>
    </cacheField>
    <cacheField name="Previsto5" numFmtId="172">
      <sharedItems containsSemiMixedTypes="0" containsString="0" containsNumber="1" minValue="81729.48" maxValue="18080943.120000001"/>
    </cacheField>
    <cacheField name="Exec. %5" numFmtId="167">
      <sharedItems containsSemiMixedTypes="0" containsString="0" containsNumber="1" minValue="0.98936800166684125" maxValue="1.3383519803983672"/>
    </cacheField>
    <cacheField name="Taxas" numFmtId="172">
      <sharedItems containsSemiMixedTypes="0" containsString="0" containsNumber="1" minValue="5204.3440000000001" maxValue="2027238.6159999999"/>
    </cacheField>
    <cacheField name="Previsto6" numFmtId="172">
      <sharedItems containsSemiMixedTypes="0" containsString="0" containsNumber="1" minValue="2640.56" maxValue="1422974.2455000002"/>
    </cacheField>
    <cacheField name="Exec. %6" numFmtId="167">
      <sharedItems containsSemiMixedTypes="0" containsString="0" containsNumber="1" minValue="0.84717119814547936" maxValue="1.9709243493804345"/>
    </cacheField>
    <cacheField name="PF Ativos" numFmtId="166">
      <sharedItems containsSemiMixedTypes="0" containsString="0" containsNumber="1" containsInteger="1" minValue="223" maxValue="61253"/>
    </cacheField>
    <cacheField name="PF - Jan. a Nov." numFmtId="166">
      <sharedItems containsSemiMixedTypes="0" containsString="0" containsNumber="1" containsInteger="1" minValue="-154" maxValue="4024"/>
    </cacheField>
    <cacheField name="Previsto PF" numFmtId="166">
      <sharedItems containsSemiMixedTypes="0" containsString="0" containsNumber="1" containsInteger="1" minValue="231" maxValue="62511"/>
    </cacheField>
    <cacheField name="% de exerc. - PF" numFmtId="167">
      <sharedItems containsSemiMixedTypes="0" containsString="0" containsNumber="1" minValue="0.96536796536796532" maxValue="1.0836177474402731"/>
    </cacheField>
    <cacheField name="PJ Ativos" numFmtId="166">
      <sharedItems containsSemiMixedTypes="0" containsString="0" containsNumber="1" containsInteger="1" minValue="59" maxValue="7514"/>
    </cacheField>
    <cacheField name="PJ - Jan. a Nov." numFmtId="166">
      <sharedItems containsSemiMixedTypes="0" containsString="0" containsNumber="1" containsInteger="1" minValue="-89" maxValue="359"/>
    </cacheField>
    <cacheField name="Previsto PJ" numFmtId="166">
      <sharedItems containsSemiMixedTypes="0" containsString="0" containsNumber="1" containsInteger="1" minValue="56" maxValue="8174"/>
    </cacheField>
    <cacheField name="% de exerc. - PJ" numFmtId="167">
      <sharedItems containsSemiMixedTypes="0" containsString="0" containsNumber="1" minValue="0.91925617812576466" maxValue="1.0819672131147542"/>
    </cacheField>
    <cacheField name="RRT Psets" numFmtId="166">
      <sharedItems containsSemiMixedTypes="0" containsString="0" containsNumber="1" containsInteger="1" minValue="1191" maxValue="298424"/>
    </cacheField>
    <cacheField name="Previsto - RRT" numFmtId="166">
      <sharedItems containsSemiMixedTypes="0" containsString="0" containsNumber="1" containsInteger="1" minValue="1043" maxValue="230169"/>
    </cacheField>
    <cacheField name="Méd/Prof_x000a_Executado" numFmtId="168">
      <sharedItems containsSemiMixedTypes="0" containsString="0" containsNumber="1" minValue="2.3909456938033977" maxValue="9.2463813719320331"/>
    </cacheField>
    <cacheField name="Méd/Prof_x000a_Previsto" numFmtId="168">
      <sharedItems containsSemiMixedTypes="0" containsString="0" containsNumber="1" minValue="1.8588376633128096" maxValue="9.4173913043478255"/>
    </cacheField>
    <cacheField name="Adimp. PF %" numFmtId="167">
      <sharedItems containsSemiMixedTypes="0" containsString="0" containsNumber="1" minValue="0.59722222222222221" maxValue="0.9018544935805991"/>
    </cacheField>
    <cacheField name="Previsto PF2" numFmtId="167">
      <sharedItems containsSemiMixedTypes="0" containsString="0" containsNumber="1" minValue="0.44219977553310885" maxValue="0.75422472576341537"/>
    </cacheField>
    <cacheField name="Adimp. PJ %" numFmtId="167">
      <sharedItems containsSemiMixedTypes="0" containsString="0" containsNumber="1" minValue="0.28125" maxValue="0.71017699115044253"/>
    </cacheField>
    <cacheField name="Previsto PJ2" numFmtId="167">
      <sharedItems containsSemiMixedTypes="0" containsString="0" containsNumber="1" minValue="0.18367346938775511" maxValue="0.61627906976744184"/>
    </cacheField>
    <cacheField name="Masculino" numFmtId="166">
      <sharedItems containsSemiMixedTypes="0" containsString="0" containsNumber="1" containsInteger="1" minValue="89" maxValue="22802"/>
    </cacheField>
    <cacheField name="Feminino" numFmtId="166">
      <sharedItems containsSemiMixedTypes="0" containsString="0" containsNumber="1" containsInteger="1" minValue="134" maxValue="38451"/>
    </cacheField>
    <cacheField name="Entrantes" numFmtId="166">
      <sharedItems containsSemiMixedTypes="0" containsString="0" containsNumber="1" containsInteger="1" minValue="13" maxValue="2977"/>
    </cacheField>
    <cacheField name="Previsto - Entrantes" numFmtId="166">
      <sharedItems containsSemiMixedTypes="0" containsString="0" containsNumber="1" containsInteger="1" minValue="17" maxValue="1862"/>
    </cacheField>
    <cacheField name="% de exerc. - Entrantes" numFmtId="167">
      <sharedItems containsSemiMixedTypes="0" containsString="0" containsNumber="1" minValue="0.76470588235294112" maxValue="2.3615384615384616"/>
    </cacheField>
    <cacheField name="PF" numFmtId="167">
      <sharedItems containsSemiMixedTypes="0" containsString="0" containsNumber="1" minValue="-9.8940781922547669E-2" maxValue="0.34240512259534028"/>
    </cacheField>
    <cacheField name="PJ" numFmtId="167">
      <sharedItems containsSemiMixedTypes="0" containsString="0" containsNumber="1" minValue="-0.2913355689765848" maxValue="0.61191444904685877"/>
    </cacheField>
    <cacheField name="RRT2" numFmtId="167">
      <sharedItems containsSemiMixedTypes="0" containsString="0" containsNumber="1" minValue="-0.24109190333956987" maxValue="0.17411618697565928"/>
    </cacheField>
    <cacheField name="Taxas2" numFmtId="167">
      <sharedItems containsSemiMixedTypes="0" containsString="0" containsNumber="1" minValue="-0.40702972495618639" maxValue="0.41716810804257276"/>
    </cacheField>
    <cacheField name="Ano anterior_x000a_TOTAL acumulado" numFmtId="166">
      <sharedItems containsSemiMixedTypes="0" containsString="0" containsNumber="1" minValue="187000.04800000001" maxValue="48885385.682399996"/>
    </cacheField>
    <cacheField name="YOY_x000a_% de exerc." numFmtId="167">
      <sharedItems containsSemiMixedTypes="0" containsString="0" containsNumber="1" minValue="-0.17699284889860756" maxValue="0.17595608923021433"/>
    </cacheField>
    <cacheField name="% de exerc. Frente ao Previsto (do ano)" numFmtId="167">
      <sharedItems containsSemiMixedTypes="0" containsString="0" containsNumber="1" minValue="1.0179129406709697" maxValue="1.4357996797689363"/>
    </cacheField>
  </cacheFields>
  <extLst>
    <ext xmlns:x14="http://schemas.microsoft.com/office/spreadsheetml/2009/9/main" uri="{725AE2AE-9491-48be-B2B4-4EB974FC3084}">
      <x14:pivotCacheDefinition pivotCacheId="11"/>
    </ext>
  </extLst>
</pivotCacheDefinition>
</file>

<file path=xl/pivotCache/pivotCacheDefinition3.xml><?xml version="1.0" encoding="utf-8"?>
<pivotCacheDefinition xmlns="http://schemas.openxmlformats.org/spreadsheetml/2006/main" xmlns:r="http://schemas.openxmlformats.org/officeDocument/2006/relationships" r:id="rId1" refreshedBy="Marcos Cristino" refreshedDate="44208.604397222225" createdVersion="5" refreshedVersion="6" minRefreshableVersion="3" recordCount="53">
  <cacheSource type="worksheet">
    <worksheetSource ref="A1:G54" sheet="Dados - RRT"/>
  </cacheSource>
  <cacheFields count="7">
    <cacheField name="Grupo" numFmtId="0">
      <sharedItems count="7">
        <s v="1 - Projeto"/>
        <s v="2 - Execução"/>
        <s v="3 - Gestão"/>
        <s v="4 - Meio Ambiente"/>
        <s v="5 - Atividades Especiais"/>
        <s v="6 - Ensino e Pesquisa"/>
        <s v="7 . Engenharia de Segurança"/>
      </sharedItems>
    </cacheField>
    <cacheField name="Subgrupo" numFmtId="0">
      <sharedItems count="53">
        <s v="1.1 - ARQ. DAS EDIFICAÇÕES  "/>
        <s v="1.2 - SIST. CONST. E ESTRUTURAIS  "/>
        <s v="1.3 - CONFORTO AMBIENTAL  "/>
        <s v="1.4 - ARQ. DE INTERIORES  "/>
        <s v="1.5 - INSTALAÇÕES E EQUIP. REF. À ARQ."/>
        <s v="1.6 - ARQ. PAISAGÍSTICA "/>
        <s v="1.7 - RELATÓRIOS TÉCNICOS DE ARQ."/>
        <s v="1.8 - URBANISMO E DESENHO URBANO  "/>
        <s v="1.9 - INSTAL.E EQUIP. REF. AO URB."/>
        <s v="1.10 - RELATÓRIOS TÉCNICOS E URB."/>
        <s v="1.11 - PATR. ARQ., URB. E PAISAGÍSTICO"/>
        <s v="2.1 - ARQUITETURA DAS EDIFICAÇÕES  "/>
        <s v="2.2 - SISTEMAS CONST. E ESTRUTURAIS  "/>
        <s v="2.3 - CONFORTO AMBIENTAL  "/>
        <s v="2.4 - ARQUITETURA DE INTERIORES  "/>
        <s v="2.5 - INSTALAÇÕES E EQUIP. REF. À ARQ."/>
        <s v="2.6 -  ARQUITETURA PAISAGÍSTICA  "/>
        <s v="2.7 - URBANISMO E DESENHO URBANO  "/>
        <s v="2.8 - INSTALAÇÕES E EQUIP. REF. AO URB."/>
        <s v="2.9 - PATR. ARQ., URB. E PAISAGÍSTICO  "/>
        <s v="3.1 - COORD. E COMPAT. DE PROJETOS  "/>
        <s v="3.2 - SUPERV. DE OBRA OU SERVIÇO TÉC. "/>
        <s v="3.3 - DIR. COND. DE OBRA OU SERV. TÉC."/>
        <s v="3.4 - GERENC. DE OBRA OU SERV. TÉC."/>
        <s v="3.5 - ACOMP. DE OBRA OU SERV. TÉC."/>
        <s v="3.6 - FISC. DE OBRA OU SERV. TÉC."/>
        <s v="3.7 - DESEMP. DE CARGO OU FUNÇÃO TÉC. "/>
        <s v="4.1 - GEORREFERENC. E TOPOGRAFIA  "/>
        <s v="4.2 - MEIO AMBIENTE  "/>
        <s v="4.3 - PLANEJAMENTO REGIONAL  "/>
        <s v="4.4 - PLANEJAMENTO URBANO  "/>
        <s v="5.1 - ASSESSORIA  "/>
        <s v="5.2 - CONSULTORIA  "/>
        <s v="5.3 - ASSISTÊNCIA TÉCNICA  "/>
        <s v="5.4 - VISTORIA  "/>
        <s v="5.5 - PERÍCIA  "/>
        <s v="5.6 - AVALIAÇÃO  "/>
        <s v="5.7 - LAUDO TÉCNICO  "/>
        <s v="5.8 - PARECER TÉCNICO  "/>
        <s v="5.9 - AUDITORIA"/>
        <s v="5.10 - ARBITRAGEM  "/>
        <s v="5.11  - MENSURAÇÃO  "/>
        <s v="6.1 - ENSINO  "/>
        <s v="6.2 -  PESQUISA  "/>
        <s v="6.3 -  TECN. DA CONST. E CONT.DE QUALID."/>
        <s v="7.1 - PLANOS  "/>
        <s v="7.2 - PROGRAMAS  "/>
        <s v="7.3 - AVALIAÇÃO DE RISCOS  "/>
        <s v="7.4 - MAPA DE RIS. COND. E MEIO AMB. TRAB."/>
        <s v="7.5 -  RELATÓRIOS PARA FINS JUDICIAIS  "/>
        <s v="7.6 - LAUDO DE INSP. SOBRE ATIV. INSAL."/>
        <s v="7.7 - LAUD. TÉC. DE COND. DO TRAB.-LTCAT  "/>
        <s v="7.8 - OUTRAS ATIVIDADES  "/>
      </sharedItems>
    </cacheField>
    <cacheField name="Masc. RRT" numFmtId="166">
      <sharedItems containsSemiMixedTypes="0" containsString="0" containsNumber="1" minValue="1.7737568085074529" maxValue="121275.55183147801"/>
    </cacheField>
    <cacheField name="Masc." numFmtId="167">
      <sharedItems containsSemiMixedTypes="0" containsString="0" containsNumber="1" minValue="0.11076711386308909" maxValue="0.71336930914386154"/>
    </cacheField>
    <cacheField name="Fem. RRT" numFmtId="166">
      <sharedItems containsSemiMixedTypes="0" containsString="0" containsNumber="1" minValue="5.639239429710396" maxValue="113554.17946214264"/>
    </cacheField>
    <cacheField name="Fem." numFmtId="167">
      <sharedItems containsSemiMixedTypes="0" containsString="0" containsNumber="1" minValue="0.28663069085613851" maxValue="0.88923288613691087"/>
    </cacheField>
    <cacheField name="Total RRT" numFmtId="166">
      <sharedItems containsSemiMixedTypes="0" containsString="0" containsNumber="1" minValue="15.20693778798309" maxValue="234829.73129362066"/>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s v="ACRE"/>
    <s v="Norte"/>
    <n v="68997.936000000002"/>
    <n v="178885"/>
    <n v="0.38571113285071418"/>
    <n v="14784.648000000001"/>
    <n v="10000"/>
    <n v="1.4784648"/>
    <n v="11426.28"/>
    <n v="42650"/>
    <n v="0.26790808909730363"/>
    <n v="2329.6480000000001"/>
    <n v="2000"/>
    <n v="1.1648240000000001"/>
    <n v="75174.712"/>
    <n v="164369"/>
    <n v="0.45735334521716381"/>
    <n v="11510.992"/>
    <n v="17366"/>
    <n v="0.66284648163077275"/>
    <n v="574"/>
    <n v="17"/>
    <n v="660"/>
    <n v="0.86969696969696975"/>
    <n v="120"/>
    <n v="6"/>
    <n v="149.5"/>
    <n v="0.80267558528428096"/>
    <n v="990"/>
    <n v="2080.8263793103447"/>
    <n v="1.7247386759581882"/>
    <n v="3.4"/>
    <n v="0.44190140845070425"/>
    <n v="0.83862723916092918"/>
    <n v="0.26666666666666666"/>
    <n v="0.66220735785953178"/>
    <n v="310"/>
    <n v="264"/>
    <n v="41"/>
    <n v="113"/>
    <n v="0.36283185840707965"/>
    <n v="-0.20205342332333714"/>
    <n v="-0.15736421952259363"/>
    <n v="6.9583870558464871E-3"/>
    <n v="0.27880473279172663"/>
    <n v="204979.21599999999"/>
    <n v="-0.10125416812990451"/>
  </r>
  <r>
    <x v="1"/>
    <s v="AMAZONAS"/>
    <s v="Norte"/>
    <n v="242562.25599999996"/>
    <n v="564309"/>
    <n v="0.42983942485411353"/>
    <n v="85287.48000000001"/>
    <n v="68298"/>
    <n v="1.2487551612053063"/>
    <n v="24016.351999999999"/>
    <n v="79901"/>
    <n v="0.30057636324952125"/>
    <n v="10192.448"/>
    <n v="12255.076999999999"/>
    <n v="0.83169187757857421"/>
    <n v="189895.40000000002"/>
    <n v="459872"/>
    <n v="0.41293098949272844"/>
    <n v="29199.836000000003"/>
    <n v="49684"/>
    <n v="0.58771105386039779"/>
    <n v="1782"/>
    <n v="-116"/>
    <n v="2120.9"/>
    <n v="0.84020934508934886"/>
    <n v="219"/>
    <n v="-28"/>
    <n v="297.10000000000002"/>
    <n v="0.73712554695388754"/>
    <n v="2444"/>
    <n v="5821.7536612008444"/>
    <n v="1.3714927048260381"/>
    <n v="2.9"/>
    <n v="0.41802816901408452"/>
    <n v="0.75703922903906407"/>
    <n v="0.28767123287671231"/>
    <n v="0.6260518343991921"/>
    <n v="706"/>
    <n v="1076"/>
    <n v="68"/>
    <n v="240"/>
    <n v="0.28333333333333333"/>
    <n v="-0.24034485762199823"/>
    <n v="-0.19104081629564362"/>
    <n v="-0.10500040796756878"/>
    <n v="-0.14763519982812512"/>
    <n v="720295.65599999996"/>
    <n v="-0.19317329327333876"/>
  </r>
  <r>
    <x v="2"/>
    <s v="AMAPÁ"/>
    <s v="Norte"/>
    <n v="77794.552000000011"/>
    <n v="202321"/>
    <n v="0.38451051546799397"/>
    <n v="25953.296000000002"/>
    <n v="9864"/>
    <n v="2.6311127331711277"/>
    <n v="13945.032000000001"/>
    <n v="69074"/>
    <n v="0.20188539826852364"/>
    <n v="6848.2880000000014"/>
    <n v="2500"/>
    <n v="2.7393152000000005"/>
    <n v="110025.46400000001"/>
    <n v="196141"/>
    <n v="0.56095086697834728"/>
    <n v="14296.919999999998"/>
    <n v="21039"/>
    <n v="0.67954370454869517"/>
    <n v="710"/>
    <n v="27"/>
    <n v="743.33333333333337"/>
    <n v="0.95515695067264572"/>
    <n v="243"/>
    <n v="4"/>
    <n v="268.3"/>
    <n v="0.90570257174804325"/>
    <n v="1427"/>
    <n v="2483.0557528409095"/>
    <n v="2.0098591549295777"/>
    <n v="3.6"/>
    <n v="0.36350777934936351"/>
    <n v="0.80194097971692668"/>
    <n v="0.15637860082304528"/>
    <n v="0.60007454342154298"/>
    <n v="388"/>
    <n v="322"/>
    <n v="25"/>
    <n v="108"/>
    <n v="0.23148148148148148"/>
    <n v="-0.16544019627130097"/>
    <n v="7.9727339419966944E-2"/>
    <n v="5.0532756547371917E-2"/>
    <n v="-0.28208563399971465"/>
    <n v="268219.92800000001"/>
    <n v="-7.2166062172680845E-2"/>
  </r>
  <r>
    <x v="3"/>
    <s v="PARÁ"/>
    <s v="Norte"/>
    <n v="326453.41599999997"/>
    <n v="676931"/>
    <n v="0.48225508360527142"/>
    <n v="139424.66400000002"/>
    <n v="0"/>
    <n v="0"/>
    <n v="31324.624000000003"/>
    <n v="113889"/>
    <n v="0.27504521068759935"/>
    <n v="7982.2560000000012"/>
    <n v="0"/>
    <n v="0"/>
    <n v="223901.08800000005"/>
    <n v="734896"/>
    <n v="0.30467044044327368"/>
    <n v="50356.928"/>
    <n v="68657"/>
    <n v="0.73345657398371611"/>
    <n v="2779"/>
    <n v="117"/>
    <n v="2763.1666666666665"/>
    <n v="1.0057301405392365"/>
    <n v="360"/>
    <n v="-38"/>
    <n v="468"/>
    <n v="0.76923076923076927"/>
    <n v="2907"/>
    <n v="9303.4360477586924"/>
    <n v="1.0460597337171644"/>
    <n v="3.5"/>
    <n v="0.3939732142857143"/>
    <n v="0.71077481408670851"/>
    <n v="0.25277777777777777"/>
    <n v="0.56623931623931623"/>
    <n v="1012"/>
    <n v="1767"/>
    <n v="136"/>
    <n v="171"/>
    <n v="0.79532163742690054"/>
    <n v="-6.2960360734795842E-2"/>
    <n v="-0.18336167728844757"/>
    <n v="-0.19908497387405688"/>
    <n v="0.137000581088802"/>
    <n v="869159.18400000001"/>
    <n v="-0.1032218374396191"/>
  </r>
  <r>
    <x v="4"/>
    <s v="RONDÔNIA"/>
    <s v="Norte"/>
    <n v="152492.016"/>
    <n v="311999"/>
    <n v="0.48875802807060281"/>
    <n v="40870.864000000001"/>
    <n v="0"/>
    <n v="0"/>
    <n v="20495.792000000001"/>
    <n v="64102"/>
    <n v="0.31973716888708625"/>
    <n v="6889.1679999999997"/>
    <n v="0"/>
    <n v="0"/>
    <n v="316588.96000000002"/>
    <n v="688174"/>
    <n v="0.46004202425549356"/>
    <n v="18084.160000000003"/>
    <n v="47892"/>
    <n v="0.37760293994821692"/>
    <n v="1113"/>
    <n v="61"/>
    <n v="1123.1333333333332"/>
    <n v="0.99097762212856899"/>
    <n v="203"/>
    <n v="5"/>
    <n v="226.1"/>
    <n v="0.89783281733746134"/>
    <n v="4053"/>
    <n v="8711.9507300672412"/>
    <n v="3.641509433962264"/>
    <n v="8.3000000000000007"/>
    <n v="0.45036101083032493"/>
    <n v="0.82495280205563326"/>
    <n v="0.27586206896551724"/>
    <n v="0.65900044228217602"/>
    <n v="491"/>
    <n v="622"/>
    <n v="87"/>
    <n v="155"/>
    <n v="0.56129032258064515"/>
    <n v="-6.5589606882353879E-2"/>
    <n v="8.9463850597462629E-3"/>
    <n v="7.207882669769021E-2"/>
    <n v="0.50929538795992924"/>
    <n v="541363.51199999999"/>
    <n v="2.5966744504199335E-2"/>
  </r>
  <r>
    <x v="5"/>
    <s v="RORAIMA"/>
    <s v="Norte"/>
    <n v="28251.423999999999"/>
    <n v="61429"/>
    <n v="0.45990369369516026"/>
    <n v="3033.4960000000005"/>
    <n v="0"/>
    <n v="0"/>
    <n v="5157.9360000000006"/>
    <n v="12767"/>
    <n v="0.40400532623169111"/>
    <n v="810.78400000000011"/>
    <n v="0"/>
    <n v="0"/>
    <n v="39867.376000000004"/>
    <n v="115103"/>
    <n v="0.34636261435410026"/>
    <n v="1240.952"/>
    <n v="8518"/>
    <n v="0.14568584174688895"/>
    <n v="224"/>
    <n v="10"/>
    <n v="216.93333333333334"/>
    <n v="1.0325752919483713"/>
    <n v="55"/>
    <n v="2"/>
    <n v="52.4"/>
    <n v="1.0496183206106871"/>
    <n v="494"/>
    <n v="1457.1532306477093"/>
    <n v="2.2053571428571428"/>
    <n v="7"/>
    <n v="0.38812785388127852"/>
    <n v="0.81899015560495392"/>
    <n v="0.25454545454545452"/>
    <n v="0.57251908396946571"/>
    <n v="91"/>
    <n v="133"/>
    <n v="16"/>
    <n v="20"/>
    <n v="0.8"/>
    <n v="-0.18317637190167574"/>
    <n v="0.90705627949062684"/>
    <n v="-0.28230264706077191"/>
    <n v="-0.54152381064976829"/>
    <n v="99686.207999999999"/>
    <n v="-0.21391364390147116"/>
  </r>
  <r>
    <x v="6"/>
    <s v="TOCANTINS"/>
    <s v="Norte"/>
    <n v="91802.464000000007"/>
    <n v="208060"/>
    <n v="0.44123072190714219"/>
    <n v="43041.056000000004"/>
    <n v="30000"/>
    <n v="1.4347018666666669"/>
    <n v="13770.960000000001"/>
    <n v="53708"/>
    <n v="0.25640426007298728"/>
    <n v="8246.2560000000012"/>
    <n v="5000"/>
    <n v="1.6492512000000001"/>
    <n v="144990.76800000001"/>
    <n v="427088"/>
    <n v="0.33948686921664861"/>
    <n v="17111.64"/>
    <n v="30999"/>
    <n v="0.55200619374818538"/>
    <n v="700"/>
    <n v="2"/>
    <n v="734.76666666666665"/>
    <n v="0.95268339155287396"/>
    <n v="186"/>
    <n v="-9"/>
    <n v="221.9"/>
    <n v="0.83821541234790442"/>
    <n v="1866"/>
    <n v="5406.7291798561146"/>
    <n v="2.6657142857142859"/>
    <n v="7.7"/>
    <n v="0.46608946608946611"/>
    <n v="0.78897434716529269"/>
    <n v="0.22580645161290322"/>
    <n v="0.56331680937359174"/>
    <n v="290"/>
    <n v="410"/>
    <n v="37"/>
    <n v="57"/>
    <n v="0.64912280701754388"/>
    <n v="-0.1729234320303597"/>
    <n v="-0.29439707355042755"/>
    <n v="-0.12090646159612987"/>
    <n v="-0.16020018987177764"/>
    <n v="379547.71200000006"/>
    <n v="-0.15962306209344246"/>
  </r>
  <r>
    <x v="7"/>
    <s v="ALAGOAS"/>
    <s v="Nordeste"/>
    <n v="258179.592"/>
    <n v="530544"/>
    <n v="0.48663181941554329"/>
    <n v="85545.312000000005"/>
    <n v="47376"/>
    <n v="1.8056676798378928"/>
    <n v="15572.824000000001"/>
    <n v="29225"/>
    <n v="0.53285967493584263"/>
    <n v="3062.6479999999997"/>
    <n v="3000"/>
    <n v="1.0208826666666666"/>
    <n v="213686.96800000002"/>
    <n v="626315"/>
    <n v="0.34118130333777735"/>
    <n v="28433.352000000003"/>
    <n v="53374"/>
    <n v="0.53271915164686934"/>
    <n v="1941"/>
    <n v="40"/>
    <n v="1921.3333333333333"/>
    <n v="1.010235947258848"/>
    <n v="146"/>
    <n v="4"/>
    <n v="152.6"/>
    <n v="0.95674967234600261"/>
    <n v="2756"/>
    <n v="7928.8529839518787"/>
    <n v="1.4198866563626997"/>
    <n v="4.3"/>
    <n v="0.42386185243328101"/>
    <n v="0.76713920322797635"/>
    <n v="0.28082191780821919"/>
    <n v="0.44560943643512452"/>
    <n v="518"/>
    <n v="1423"/>
    <n v="71"/>
    <n v="121"/>
    <n v="0.58677685950413228"/>
    <n v="-9.4667860470132148E-2"/>
    <n v="2.9760228600428179E-2"/>
    <n v="-0.14173155202328502"/>
    <n v="7.799012020807794E-2"/>
    <n v="673114.86399999994"/>
    <n v="-0.10196501618184439"/>
  </r>
  <r>
    <x v="8"/>
    <s v="BAHIA"/>
    <s v="Nordeste"/>
    <n v="804484.87200000009"/>
    <n v="1458683"/>
    <n v="0.5515145319442265"/>
    <n v="198121.90400000004"/>
    <n v="200000.24"/>
    <n v="0.9906083312700027"/>
    <n v="107305.856"/>
    <n v="312474"/>
    <n v="0.34340731068824926"/>
    <n v="14856.76"/>
    <n v="35000"/>
    <n v="0.42447885714285716"/>
    <n v="547012.54399999999"/>
    <n v="1538908"/>
    <n v="0.35545500055883783"/>
    <n v="68821.16"/>
    <n v="148953"/>
    <n v="0.46203272173101584"/>
    <n v="6035"/>
    <n v="167"/>
    <n v="6033.0666666666666"/>
    <n v="1.0003204561527581"/>
    <n v="933"/>
    <n v="13"/>
    <n v="1097.2"/>
    <n v="0.85034633612832666"/>
    <n v="6837"/>
    <n v="19481.836752008447"/>
    <n v="1.1328914664457332"/>
    <n v="3.4"/>
    <n v="0.48278374931681545"/>
    <n v="0.78901685125575827"/>
    <n v="0.3086816720257235"/>
    <n v="0.66168428727670436"/>
    <n v="2311"/>
    <n v="3724"/>
    <n v="266"/>
    <n v="500"/>
    <n v="0.53200000000000003"/>
    <n v="-0.11119393970345001"/>
    <n v="-0.25404423203153387"/>
    <n v="-0.21730669154866519"/>
    <n v="-4.7254811102137924E-2"/>
    <n v="2062923.8080000002"/>
    <n v="-0.15624460329074841"/>
  </r>
  <r>
    <x v="9"/>
    <s v="CEARÁ"/>
    <s v="Nordeste"/>
    <n v="490393.43200000009"/>
    <n v="881226"/>
    <n v="0.55648997192547667"/>
    <n v="69757.392000000007"/>
    <n v="71486.8"/>
    <n v="0.97580800931080991"/>
    <n v="49333.488000000005"/>
    <n v="104154"/>
    <n v="0.47365908174434018"/>
    <n v="4895.24"/>
    <n v="8679"/>
    <n v="0.56403272266390136"/>
    <n v="323861.12800000003"/>
    <n v="1063644"/>
    <n v="0.30448263516740565"/>
    <n v="41528.527999999998"/>
    <n v="92206"/>
    <n v="0.45038856473548355"/>
    <n v="3501"/>
    <n v="249"/>
    <n v="3283.6"/>
    <n v="1.0662078206846144"/>
    <n v="361"/>
    <n v="19"/>
    <n v="381.3"/>
    <n v="0.94676108051403096"/>
    <n v="4192"/>
    <n v="13465.219172534617"/>
    <n v="1.1973721793773207"/>
    <n v="4.3"/>
    <n v="0.50737898465171194"/>
    <n v="0.82302799214946176"/>
    <n v="0.38504155124653738"/>
    <n v="0.63467086283766061"/>
    <n v="1388"/>
    <n v="2113"/>
    <n v="246"/>
    <n v="341"/>
    <n v="0.72140762463343111"/>
    <n v="-0.11457609667844267"/>
    <n v="-0.1740264066737916"/>
    <n v="-0.16676324694143019"/>
    <n v="7.4197083584755463E-2"/>
    <n v="1125628.5360000001"/>
    <n v="-0.12958033963701854"/>
  </r>
  <r>
    <x v="10"/>
    <s v="MARANHÃO"/>
    <s v="Nordeste"/>
    <n v="211252.448"/>
    <n v="414059"/>
    <n v="0.5101989040209246"/>
    <n v="104962.16800000001"/>
    <n v="72000"/>
    <n v="1.457807888888889"/>
    <n v="17860.360000000004"/>
    <n v="66908"/>
    <n v="0.26693908052848692"/>
    <n v="3440.1200000000003"/>
    <n v="5671"/>
    <n v="0.60661611708693364"/>
    <n v="140077.05600000001"/>
    <n v="425841"/>
    <n v="0.32894215446610359"/>
    <n v="30845.672000000002"/>
    <n v="40806"/>
    <n v="0.75591020928294861"/>
    <n v="1625"/>
    <n v="102"/>
    <n v="1580.7"/>
    <n v="1.0280255582969571"/>
    <n v="259"/>
    <n v="4"/>
    <n v="276.39999999999998"/>
    <n v="0.93704775687409558"/>
    <n v="1663"/>
    <n v="5390.9392127341844"/>
    <n v="1.0233846153846153"/>
    <n v="3.6"/>
    <n v="0.44092039800995025"/>
    <n v="0.72705968267983079"/>
    <n v="0.19305019305019305"/>
    <n v="0.56439942112879893"/>
    <n v="659"/>
    <n v="966"/>
    <n v="110"/>
    <n v="129"/>
    <n v="0.8527131782945736"/>
    <n v="3.7630391166082265E-2"/>
    <n v="-0.39484563286128938"/>
    <n v="-0.18285693965045324"/>
    <n v="-1.8373534004874868E-2"/>
    <n v="542791.24800000002"/>
    <n v="-6.3290305668303626E-2"/>
  </r>
  <r>
    <x v="11"/>
    <s v="PARAÍBA"/>
    <s v="Nordeste"/>
    <n v="330979.92000000004"/>
    <n v="682270"/>
    <n v="0.48511574596567347"/>
    <n v="119694.81600000001"/>
    <n v="105127.66"/>
    <n v="1.1385663487611157"/>
    <n v="31746.888000000003"/>
    <n v="129914"/>
    <n v="0.24436848992410365"/>
    <n v="10844"/>
    <n v="24091.404999999999"/>
    <n v="0.45011903622889576"/>
    <n v="280247.03200000001"/>
    <n v="901869"/>
    <n v="0.31074028711486923"/>
    <n v="36829.824000000001"/>
    <n v="77132"/>
    <n v="0.47749084685992843"/>
    <n v="2456"/>
    <n v="98"/>
    <n v="2425.5"/>
    <n v="1.0125747268604413"/>
    <n v="461"/>
    <n v="0"/>
    <n v="531.9"/>
    <n v="0.86670426771949616"/>
    <n v="3639"/>
    <n v="11417.223755519872"/>
    <n v="1.4816775244299674"/>
    <n v="4.9000000000000004"/>
    <n v="0.45780156442980652"/>
    <n v="0.80232769851846819"/>
    <n v="0.18872017353579176"/>
    <n v="0.56777589772513637"/>
    <n v="861"/>
    <n v="1595"/>
    <n v="180"/>
    <n v="228"/>
    <n v="0.78947368421052633"/>
    <n v="-6.5605695859535726E-2"/>
    <n v="-0.33787163453340824"/>
    <n v="-0.20226279778158571"/>
    <n v="2.1602941786716769E-2"/>
    <n v="933995.19200000027"/>
    <n v="-0.13239116545687768"/>
  </r>
  <r>
    <x v="12"/>
    <s v="PERNAMBUCO"/>
    <s v="Nordeste"/>
    <n v="677444.83200000005"/>
    <n v="1325136"/>
    <n v="0.5112266454160177"/>
    <n v="190627.70400000003"/>
    <n v="374949.26830000005"/>
    <n v="0.50840932391812854"/>
    <n v="77556.351999999999"/>
    <n v="184281"/>
    <n v="0.42085918787069748"/>
    <n v="15525.480000000001"/>
    <n v="60000"/>
    <n v="0.25875800000000004"/>
    <n v="468406.50400000007"/>
    <n v="1313736"/>
    <n v="0.35654538202500358"/>
    <n v="71765.440000000002"/>
    <n v="127042"/>
    <n v="0.56489538892649682"/>
    <n v="4616"/>
    <n v="101"/>
    <n v="4864.3666666666668"/>
    <n v="0.94894162309584662"/>
    <n v="532"/>
    <n v="-4"/>
    <n v="623.4"/>
    <n v="0.85338466474173891"/>
    <n v="5968"/>
    <n v="16631.270489321607"/>
    <n v="1.292894280762565"/>
    <n v="3.6"/>
    <n v="0.52105868814729572"/>
    <n v="0.8166608736422486"/>
    <n v="0.39097744360902253"/>
    <n v="0.68655758742380502"/>
    <n v="1489"/>
    <n v="3127"/>
    <n v="196"/>
    <n v="384"/>
    <n v="0.51041666666666663"/>
    <n v="-0.20899255409271575"/>
    <n v="-0.33931534088102194"/>
    <n v="-0.30226553796129224"/>
    <n v="-0.22979646102417278"/>
    <n v="2002815.5520000001"/>
    <n v="-0.25039212397727584"/>
  </r>
  <r>
    <x v="13"/>
    <s v="PIAUÍ"/>
    <s v="Nordeste"/>
    <n v="175562.20800000001"/>
    <n v="349866"/>
    <n v="0.50179842568297583"/>
    <n v="35259.816000000006"/>
    <n v="63000"/>
    <n v="0.55967961904761909"/>
    <n v="23975.136000000002"/>
    <n v="69732"/>
    <n v="0.34381827568404755"/>
    <n v="6294.0160000000005"/>
    <n v="23443"/>
    <n v="0.26848167896600267"/>
    <n v="128012.88800000001"/>
    <n v="506338"/>
    <n v="0.25282101679115532"/>
    <n v="14706.752"/>
    <n v="41667"/>
    <n v="0.35295922432620541"/>
    <n v="1237"/>
    <n v="45"/>
    <n v="1266.7"/>
    <n v="0.97655324859872106"/>
    <n v="221"/>
    <n v="12"/>
    <n v="235.4"/>
    <n v="0.93882752761257426"/>
    <n v="1742"/>
    <n v="6409.9971922602817"/>
    <n v="1.408245755860954"/>
    <n v="5.4"/>
    <n v="0.50703060380479736"/>
    <n v="0.82604458197814679"/>
    <n v="0.31674208144796379"/>
    <n v="0.68819031435853861"/>
    <n v="455"/>
    <n v="782"/>
    <n v="87"/>
    <n v="156"/>
    <n v="0.55769230769230771"/>
    <n v="-8.5793751152828862E-2"/>
    <n v="-0.15407519691288868"/>
    <n v="-0.19631064368333115"/>
    <n v="-0.42425499916535725"/>
    <n v="451214.36799999996"/>
    <n v="-0.14938254803091722"/>
  </r>
  <r>
    <x v="14"/>
    <s v="RIO GRANDE DO NORTE"/>
    <s v="Nordeste"/>
    <n v="348564.16799999995"/>
    <n v="665466"/>
    <n v="0.52378959706431272"/>
    <n v="140266.48800000001"/>
    <n v="131639.10999999999"/>
    <n v="1.065538106418374"/>
    <n v="26747.648000000005"/>
    <n v="77302"/>
    <n v="0.34601495433494611"/>
    <n v="7662.4480000000003"/>
    <n v="16674.580000000002"/>
    <n v="0.45952869577524591"/>
    <n v="240311.50400000002"/>
    <n v="748652"/>
    <n v="0.32099226877107123"/>
    <n v="45661.472000000002"/>
    <n v="67114"/>
    <n v="0.68035688529963945"/>
    <n v="2374"/>
    <n v="29"/>
    <n v="2577.1"/>
    <n v="0.92119048542935866"/>
    <n v="282"/>
    <n v="2"/>
    <n v="319.8"/>
    <n v="0.88180112570356473"/>
    <n v="3075"/>
    <n v="9477.5758957219241"/>
    <n v="1.2952822240943556"/>
    <n v="3.8"/>
    <n v="0.48553191489361702"/>
    <n v="0.75305089065493025"/>
    <n v="0.25531914893617019"/>
    <n v="0.56285178236397748"/>
    <n v="628"/>
    <n v="1746"/>
    <n v="157"/>
    <n v="230"/>
    <n v="0.68260869565217386"/>
    <n v="-3.4323364665665393E-2"/>
    <n v="-0.25181676906811717"/>
    <n v="-0.16970043534775442"/>
    <n v="0.11580908774966645"/>
    <n v="882546.63199999998"/>
    <n v="-8.3092384403320785E-2"/>
  </r>
  <r>
    <x v="15"/>
    <s v="SERGIPE"/>
    <s v="Nordeste"/>
    <n v="193303.408"/>
    <n v="413617"/>
    <n v="0.46734879852617273"/>
    <n v="47822.2"/>
    <n v="53389"/>
    <n v="0.89573133042386999"/>
    <n v="21353.559999999998"/>
    <n v="46346"/>
    <n v="0.46074224312777795"/>
    <n v="3586.2720000000004"/>
    <n v="3030"/>
    <n v="1.1835881188118813"/>
    <n v="222906.12800000003"/>
    <n v="568585"/>
    <n v="0.3920365961113994"/>
    <n v="20199.16"/>
    <n v="46285"/>
    <n v="0.43640833963487091"/>
    <n v="1354"/>
    <n v="28"/>
    <n v="1440.6333333333332"/>
    <n v="0.93986441148568922"/>
    <n v="156"/>
    <n v="1"/>
    <n v="170.9"/>
    <n v="0.91281451141018133"/>
    <n v="2959"/>
    <n v="7198.0101751117736"/>
    <n v="2.1853766617429837"/>
    <n v="5.3"/>
    <n v="0.45229151014274982"/>
    <n v="0.81684375141906185"/>
    <n v="0.36538461538461536"/>
    <n v="0.6319485078993563"/>
    <n v="528"/>
    <n v="826"/>
    <n v="73"/>
    <n v="162"/>
    <n v="0.45061728395061729"/>
    <n v="-0.20108685179373964"/>
    <n v="-0.17647663291188734"/>
    <n v="-0.10829861620710587"/>
    <n v="-0.1390782332536932"/>
    <n v="605542.04800000007"/>
    <n v="-0.1591488490655566"/>
  </r>
  <r>
    <x v="16"/>
    <s v="DISTRITO FEDERAL"/>
    <s v="Centro-oeste"/>
    <n v="1019812.0800000001"/>
    <n v="1554742"/>
    <n v="0.65593653480770453"/>
    <n v="239359.016"/>
    <n v="240000"/>
    <n v="0.99732923333333334"/>
    <n v="84006.680000000008"/>
    <n v="190337"/>
    <n v="0.44135759206039815"/>
    <n v="16386.743999999999"/>
    <n v="45000.22"/>
    <n v="0.3641480863871332"/>
    <n v="508600.07999999996"/>
    <n v="1497990"/>
    <n v="0.33952167904992686"/>
    <n v="91111.304000000018"/>
    <n v="145938"/>
    <n v="0.62431514752840256"/>
    <n v="5981"/>
    <n v="248"/>
    <n v="5926.2333333333336"/>
    <n v="1.0092413956026032"/>
    <n v="710"/>
    <n v="13"/>
    <n v="801.6"/>
    <n v="0.88572854291417158"/>
    <n v="6941"/>
    <n v="18963.834999999999"/>
    <n v="1.1605082762079919"/>
    <n v="3.3"/>
    <n v="0.54776620165989753"/>
    <n v="0.76895233928817552"/>
    <n v="0.31690140845070425"/>
    <n v="0.55264471057884235"/>
    <n v="2168"/>
    <n v="3813"/>
    <n v="262"/>
    <n v="359"/>
    <n v="0.72980501392757657"/>
    <n v="-1.2233709839702699E-2"/>
    <n v="-0.28728482827039559"/>
    <n v="-0.11060011448669713"/>
    <n v="7.3587799183344918E-2"/>
    <n v="2072339.2680000002"/>
    <n v="-5.455832727095733E-2"/>
  </r>
  <r>
    <x v="17"/>
    <s v="GOIÁS"/>
    <s v="Centro-oeste"/>
    <n v="655888.14400000009"/>
    <n v="1156064"/>
    <n v="0.56734587704486961"/>
    <n v="154966.016"/>
    <n v="200000"/>
    <n v="0.77483007999999998"/>
    <n v="81929.344000000012"/>
    <n v="158728"/>
    <n v="0.51616188700166332"/>
    <n v="22523.952000000001"/>
    <n v="30000"/>
    <n v="0.75079840000000009"/>
    <n v="926313.52000000014"/>
    <n v="2178450"/>
    <n v="0.42521679175560612"/>
    <n v="68607.808000000005"/>
    <n v="111784"/>
    <n v="0.61375338152150583"/>
    <n v="4488"/>
    <n v="164"/>
    <n v="4544.166666666667"/>
    <n v="0.98763983128553079"/>
    <n v="625"/>
    <n v="7"/>
    <n v="617"/>
    <n v="1.012965964343598"/>
    <n v="11909"/>
    <n v="27578.133333333339"/>
    <n v="2.6535204991087342"/>
    <n v="7.2"/>
    <n v="0.47985347985347987"/>
    <n v="0.76"/>
    <n v="0.34720000000000001"/>
    <n v="0.59967585089141007"/>
    <n v="1454"/>
    <n v="3034"/>
    <n v="204"/>
    <n v="470"/>
    <n v="0.43404255319148938"/>
    <n v="-0.11988273018819669"/>
    <n v="-0.14729463943546675"/>
    <n v="-0.10021511839717888"/>
    <n v="-0.29753308590745547"/>
    <n v="2170949.0320000001"/>
    <n v="-0.12009505711877988"/>
  </r>
  <r>
    <x v="18"/>
    <s v="MATO GROSSO DO SUL"/>
    <s v="Centro-oeste"/>
    <n v="433535.016"/>
    <n v="895046"/>
    <n v="0.48437177083635924"/>
    <n v="105161.96800000002"/>
    <n v="60000"/>
    <n v="1.7526994666666671"/>
    <n v="68143.096000000005"/>
    <n v="156349"/>
    <n v="0.43583966638737698"/>
    <n v="15041.560000000005"/>
    <n v="10000"/>
    <n v="1.5041560000000005"/>
    <n v="669932.06400000001"/>
    <n v="1914657"/>
    <n v="0.3498966467623183"/>
    <n v="49499.456000000006"/>
    <n v="133472"/>
    <n v="0.3708602253656198"/>
    <n v="3156"/>
    <n v="133"/>
    <n v="3134.2333333333336"/>
    <n v="1.0069448137237176"/>
    <n v="617"/>
    <n v="21"/>
    <n v="681.8"/>
    <n v="0.9049574655324143"/>
    <n v="8597"/>
    <n v="24238.642644474327"/>
    <n v="2.7240177439797213"/>
    <n v="8.1"/>
    <n v="0.44668587896253603"/>
    <n v="0.79940725674305357"/>
    <n v="0.29659643435980548"/>
    <n v="0.53388090349075978"/>
    <n v="1225"/>
    <n v="1931"/>
    <n v="156"/>
    <n v="268"/>
    <n v="0.58208955223880599"/>
    <n v="-9.9227476303580323E-2"/>
    <n v="-0.2054049460744885"/>
    <n v="-0.22422345415781422"/>
    <n v="-4.4975179114461812E-2"/>
    <n v="1618120.7120000001"/>
    <n v="-0.17106730662749214"/>
  </r>
  <r>
    <x v="19"/>
    <s v="MATO GROSSO"/>
    <s v="Centro-oeste"/>
    <n v="511070.89600000007"/>
    <n v="909746"/>
    <n v="0.56177317185236331"/>
    <n v="107719.432"/>
    <n v="0"/>
    <n v="0"/>
    <n v="65950.680000000008"/>
    <n v="147035"/>
    <n v="0.44853728704050061"/>
    <n v="16137.655999999999"/>
    <n v="0"/>
    <n v="0"/>
    <n v="1065630.696"/>
    <n v="2195541"/>
    <n v="0.48536132825576933"/>
    <n v="43996.008000000002"/>
    <n v="146354"/>
    <n v="0.30061363543189801"/>
    <n v="2988"/>
    <n v="78"/>
    <n v="3047.2666666666669"/>
    <n v="0.98055087619505998"/>
    <n v="546"/>
    <n v="19"/>
    <n v="591"/>
    <n v="0.92385786802030456"/>
    <n v="13472"/>
    <n v="27794.493640549186"/>
    <n v="4.5087014725568944"/>
    <n v="9.6999999999999993"/>
    <n v="0.55435150694209279"/>
    <n v="0.83715845538423672"/>
    <n v="0.32051282051282054"/>
    <n v="0.57868020304568524"/>
    <n v="1008"/>
    <n v="1980"/>
    <n v="186"/>
    <n v="349"/>
    <n v="0.53295128939828085"/>
    <n v="-1.0794355770377849E-2"/>
    <n v="0.26269280413254847"/>
    <n v="3.8754477862019028E-2"/>
    <n v="0.16767522264544227"/>
    <n v="1754104.9899999998"/>
    <n v="3.2153365004679912E-2"/>
  </r>
  <r>
    <x v="20"/>
    <s v="ESPÍRITO SANTO"/>
    <s v="Sudeste"/>
    <n v="703868.51199999999"/>
    <n v="1068447"/>
    <n v="0.65877718969682164"/>
    <n v="98915.560000000012"/>
    <n v="235278"/>
    <n v="0.42041992876512047"/>
    <n v="87240.864000000001"/>
    <n v="137710"/>
    <n v="0.63351146612446452"/>
    <n v="12324.088"/>
    <n v="45000"/>
    <n v="0.27386862222222219"/>
    <n v="425245.45600000001"/>
    <n v="1203034"/>
    <n v="0.35347750437643494"/>
    <n v="50402.776000000005"/>
    <n v="108414"/>
    <n v="0.46491021454793668"/>
    <n v="3413"/>
    <n v="232"/>
    <n v="3326.2"/>
    <n v="1.0260958451085322"/>
    <n v="427"/>
    <n v="7"/>
    <n v="464.3"/>
    <n v="0.91966401033814338"/>
    <n v="5500"/>
    <n v="15229.826883751452"/>
    <n v="1.6114854966305303"/>
    <n v="4.7"/>
    <n v="0.67716067716067718"/>
    <n v="0.8823323708741394"/>
    <n v="0.53395784543325531"/>
    <n v="0.68920956278268364"/>
    <n v="946"/>
    <n v="2467"/>
    <n v="229"/>
    <n v="213"/>
    <n v="1.0751173708920188"/>
    <n v="-0.11768812609831202"/>
    <n v="-6.7594919847493176E-2"/>
    <n v="-0.16119820041252964"/>
    <n v="-0.13668899824168321"/>
    <n v="1581998.0800000001"/>
    <n v="-0.12895137268434609"/>
  </r>
  <r>
    <x v="21"/>
    <s v="MINAS GERAIS"/>
    <s v="Sudeste"/>
    <n v="2392296.8880000003"/>
    <n v="4134115"/>
    <n v="0.57867207080596461"/>
    <n v="706937.04799999995"/>
    <n v="570984.59"/>
    <n v="1.2381017988594052"/>
    <n v="282018.31200000003"/>
    <n v="537915"/>
    <n v="0.52428043835922034"/>
    <n v="96283.432000000001"/>
    <n v="86374.23"/>
    <n v="1.1147240560060565"/>
    <n v="1663650.496"/>
    <n v="3904874"/>
    <n v="0.42604460374393643"/>
    <n v="252779.592"/>
    <n v="385961"/>
    <n v="0.6549355815743042"/>
    <n v="14938"/>
    <n v="720"/>
    <n v="14606.9"/>
    <n v="1.0226673695308381"/>
    <n v="1721"/>
    <n v="-106"/>
    <n v="1946.4"/>
    <n v="0.88419646526921492"/>
    <n v="21209"/>
    <n v="49433.824999999997"/>
    <n v="1.4198018476368992"/>
    <n v="3.5"/>
    <n v="0.50773053561568193"/>
    <n v="0.80159964234773173"/>
    <n v="0.43404997094712378"/>
    <n v="0.6422112618166872"/>
    <n v="4608"/>
    <n v="10330"/>
    <n v="820"/>
    <n v="966"/>
    <n v="0.84886128364389235"/>
    <n v="-5.1179519241061941E-2"/>
    <n v="-0.12288460356709209"/>
    <n v="-0.14373153427353144"/>
    <n v="3.6276313345833276E-2"/>
    <n v="5884547.4860000005"/>
    <n v="-8.3367789820228189E-2"/>
  </r>
  <r>
    <x v="22"/>
    <s v="RIO DE JANEIRO"/>
    <s v="Sudeste"/>
    <n v="2701844.4879999999"/>
    <n v="4669598"/>
    <n v="0.57860323051363305"/>
    <n v="503950.72"/>
    <n v="1000000"/>
    <n v="0.50395071999999996"/>
    <n v="418884.43199999997"/>
    <n v="832187"/>
    <n v="0.50335373179345499"/>
    <n v="72563.872000000003"/>
    <n v="200000"/>
    <n v="0.36281936000000004"/>
    <n v="1487205.5360000001"/>
    <n v="4544597"/>
    <n v="0.32724695633078138"/>
    <n v="250232.64800000002"/>
    <n v="452087"/>
    <n v="0.55350551553130267"/>
    <n v="19898"/>
    <n v="29"/>
    <n v="20319.233333333334"/>
    <n v="0.97926923095851715"/>
    <n v="2738"/>
    <n v="-30"/>
    <n v="3111"/>
    <n v="0.88010286081645772"/>
    <n v="19054"/>
    <n v="57532.418396701352"/>
    <n v="0.9575836767514323"/>
    <n v="2.9"/>
    <n v="0.492011516964941"/>
    <n v="0.77772493682558008"/>
    <n v="0.39737034331628929"/>
    <n v="0.62166505946640949"/>
    <n v="8289"/>
    <n v="11609"/>
    <n v="372"/>
    <n v="736"/>
    <n v="0.50543478260869568"/>
    <n v="-0.15776543190167161"/>
    <n v="-0.14787286989893103"/>
    <n v="-0.35392592764353198"/>
    <n v="-5.5463981319379484E-2"/>
    <n v="6949866.892"/>
    <n v="-0.21801643391819947"/>
  </r>
  <r>
    <x v="23"/>
    <s v="SÃO PAULO"/>
    <s v="Sudeste"/>
    <n v="10199369.528000001"/>
    <n v="13906769.25"/>
    <n v="0.73341042370426912"/>
    <n v="2159993.4880000004"/>
    <n v="2397933.06"/>
    <n v="0.90077305494090831"/>
    <n v="1347575.1039999998"/>
    <n v="1483033.66"/>
    <n v="0.90866117226226673"/>
    <n v="269192.03200000001"/>
    <n v="262342.11"/>
    <n v="1.0261106461330207"/>
    <n v="9566977.9360000025"/>
    <n v="28090409.649999999"/>
    <n v="0.3405780853751274"/>
    <n v="844029.14400000009"/>
    <n v="1446143.82"/>
    <n v="0.58364122041471644"/>
    <n v="58907"/>
    <n v="1678"/>
    <n v="59456.5"/>
    <n v="0.99075794908882964"/>
    <n v="7282"/>
    <n v="127"/>
    <n v="8264"/>
    <n v="0.88117134559535337"/>
    <n v="123759"/>
    <n v="351007.72499999998"/>
    <n v="2.1009217919771843"/>
    <n v="5.9"/>
    <n v="0.54973553397371255"/>
    <n v="0.71023875245484458"/>
    <n v="0.47843998901400714"/>
    <n v="0.50847047434656345"/>
    <n v="22154"/>
    <n v="36753"/>
    <n v="2144"/>
    <n v="3829"/>
    <n v="0.55993732044920341"/>
    <n v="-5.3071533263968858E-2"/>
    <n v="2.4204539537324196E-2"/>
    <n v="-0.21942751363650118"/>
    <n v="7.2452009824880856E-2"/>
    <n v="27673983.930400003"/>
    <n v="-0.11877027560131603"/>
  </r>
  <r>
    <x v="24"/>
    <s v="PARANÁ"/>
    <s v="Sul"/>
    <n v="2090943.2640000004"/>
    <n v="3356103"/>
    <n v="0.62302714308827845"/>
    <n v="574974.09600000002"/>
    <n v="0"/>
    <n v="0"/>
    <n v="402846.42400000006"/>
    <n v="818328"/>
    <n v="0.49227989754719387"/>
    <n v="153333.61599999998"/>
    <n v="0"/>
    <n v="0"/>
    <n v="2460880.784"/>
    <n v="6203981"/>
    <n v="0.39666156037550726"/>
    <n v="234651.37600000005"/>
    <n v="467029"/>
    <n v="0.50243427281817632"/>
    <n v="12262"/>
    <n v="456"/>
    <n v="12499"/>
    <n v="0.98103848307864627"/>
    <n v="2624"/>
    <n v="31"/>
    <n v="2942.5"/>
    <n v="0.89175870858113848"/>
    <n v="32186"/>
    <n v="78539.423916083906"/>
    <n v="2.6248572826618823"/>
    <n v="6.6"/>
    <n v="0.53665030368583078"/>
    <n v="0.77982822085889569"/>
    <n v="0.40815548780487804"/>
    <n v="0.64638912489379774"/>
    <n v="4169"/>
    <n v="8093"/>
    <n v="750"/>
    <n v="1010"/>
    <n v="0.74257425742574257"/>
    <n v="-2.4465543723833319E-2"/>
    <n v="4.9131144877134575E-2"/>
    <n v="-0.10441745302769163"/>
    <n v="0.55425353611304984"/>
    <n v="6161682.7999999998"/>
    <n v="-3.9608212224102046E-2"/>
  </r>
  <r>
    <x v="25"/>
    <s v="RIO GRANDE DO SUL"/>
    <s v="Sul"/>
    <n v="2655777.6320000002"/>
    <n v="4628708"/>
    <n v="0.57376218849838878"/>
    <n v="477534.2"/>
    <n v="600000"/>
    <n v="0.79589033333333337"/>
    <n v="368240.07199999999"/>
    <n v="813564"/>
    <n v="0.45262581923487272"/>
    <n v="114583.77600000001"/>
    <n v="0"/>
    <n v="0"/>
    <n v="2928315.5920000002"/>
    <n v="9028890"/>
    <n v="0.32432730845098345"/>
    <n v="184512.67200000002"/>
    <n v="651202"/>
    <n v="0.28334168506853485"/>
    <n v="16016"/>
    <n v="497"/>
    <n v="16386.333333333332"/>
    <n v="0.97739986574177673"/>
    <n v="2613"/>
    <n v="20"/>
    <n v="2938.5"/>
    <n v="0.88922919857069938"/>
    <n v="37452"/>
    <n v="114301.40957003801"/>
    <n v="2.3384115884115886"/>
    <n v="7.2"/>
    <n v="0.52752649263375551"/>
    <n v="0.83155540862924615"/>
    <n v="0.36777650210486029"/>
    <n v="0.64352560830355621"/>
    <n v="5496"/>
    <n v="10520"/>
    <n v="662"/>
    <n v="1161"/>
    <n v="0.570198105081826"/>
    <n v="-0.18638813888810588"/>
    <n v="-0.13817579383681419"/>
    <n v="-0.20026645080266292"/>
    <n v="-0.2433600795308854"/>
    <n v="8316820.4900000002"/>
    <n v="-0.19092110355263892"/>
  </r>
  <r>
    <x v="26"/>
    <s v="SANTA CATARINA"/>
    <s v="Sul"/>
    <n v="1815305.9760000003"/>
    <n v="3024856"/>
    <n v="0.60012971724935016"/>
    <n v="208771.50400000002"/>
    <n v="0"/>
    <n v="0"/>
    <n v="252078.62400000001"/>
    <n v="486793"/>
    <n v="0.51783535096026445"/>
    <n v="39261.264000000003"/>
    <n v="0"/>
    <n v="0"/>
    <n v="1809245.9280000001"/>
    <n v="4869245"/>
    <n v="0.37156600828259823"/>
    <n v="89587.512000000017"/>
    <n v="377140"/>
    <n v="0.23754444503367456"/>
    <n v="9998"/>
    <n v="426"/>
    <n v="9956"/>
    <n v="1.0042185616713539"/>
    <n v="1668"/>
    <n v="48"/>
    <n v="1768.8"/>
    <n v="0.94301221166892812"/>
    <n v="23569"/>
    <n v="61642.309047518029"/>
    <n v="2.357371474294859"/>
    <n v="6.5"/>
    <n v="0.56786871961102103"/>
    <n v="0.85302805884481381"/>
    <n v="0.39748201438848924"/>
    <n v="0.63941655359565808"/>
    <n v="3290"/>
    <n v="6708"/>
    <n v="484"/>
    <n v="871"/>
    <n v="0.55568312284730192"/>
    <n v="-0.14522803844986029"/>
    <n v="-8.9074593982374634E-2"/>
    <n v="-0.13291846186776113"/>
    <n v="-9.5639810962373423E-2"/>
    <n v="4873456.4960000003"/>
    <n v="-0.13526450652448796"/>
  </r>
  <r>
    <x v="27"/>
    <s v="BRASIL"/>
    <s v="Brasil"/>
    <n v="7414557.8420000002"/>
    <n v="12113602"/>
    <n v="0.61208531054594661"/>
    <n v="1670684.0880000002"/>
    <n v="1626261.56125075"/>
    <n v="1.0273157330946721"/>
    <n v="987625.67999999993"/>
    <n v="1885126"/>
    <n v="0.52390433318515572"/>
    <n v="235274.45599999998"/>
    <n v="220015.04716165501"/>
    <n v="1.0693562055650365"/>
    <n v="6794240.9020000007"/>
    <n v="18936892"/>
    <n v="0.35878331576269223"/>
    <n v="659850.08600000024"/>
    <n v="1470749"/>
    <n v="0.44864901216998976"/>
    <n v="185066"/>
    <n v="5638"/>
    <n v="186957.3"/>
    <n v="0.98988378629772689"/>
    <n v="26308"/>
    <n v="150"/>
    <n v="29599.100000000002"/>
    <n v="0.88881080843674298"/>
    <n v="350660"/>
    <n v="958927.87304329593"/>
    <n v="1.8947834826494332"/>
    <n v="5.3"/>
    <n v="0.52265360309827558"/>
    <n v="0.77154722040727231"/>
    <n v="0.39493690132279152"/>
    <n v="0.59245044612842968"/>
    <n v="66932"/>
    <n v="118134"/>
    <n v="8065"/>
    <n v="13347"/>
    <n v="0.60425563797107962"/>
    <n v="-9.2262856677621699E-2"/>
    <n v="-8.1194921251809549E-2"/>
    <n v="-0.18660781186401693"/>
    <n v="4.4184983630701424E-3"/>
    <n v="20346599.452599999"/>
    <n v="-0.1270171167727859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s v="ACRE"/>
    <x v="0"/>
    <n v="122266.952"/>
    <n v="92896.567999999999"/>
    <n v="1.316162207413303"/>
    <n v="35448.703999999998"/>
    <n v="19126.64"/>
    <n v="1.853368077194949"/>
    <n v="18856.16"/>
    <n v="15220.45"/>
    <n v="1.2388700728296469"/>
    <n v="5183.0800000000008"/>
    <n v="2763.9080000000004"/>
    <n v="1.875272259423975"/>
    <n v="209327.03200000001"/>
    <n v="156406.56200000001"/>
    <n v="1.3383519803983672"/>
    <n v="24638.992000000002"/>
    <n v="23519.982000000004"/>
    <n v="1.0475769921932763"/>
    <n v="635"/>
    <n v="78"/>
    <n v="586"/>
    <n v="1.0836177474402731"/>
    <n v="132"/>
    <n v="18"/>
    <n v="122"/>
    <n v="1.0819672131147542"/>
    <n v="2685"/>
    <n v="1996"/>
    <n v="4.228346456692913"/>
    <n v="3.4061433447098977"/>
    <n v="0.70270270270270274"/>
    <n v="0.55226480836236935"/>
    <n v="0.42424242424242425"/>
    <n v="0.34426229508196721"/>
    <n v="344"/>
    <n v="291"/>
    <n v="66"/>
    <n v="39"/>
    <n v="1.6923076923076923"/>
    <n v="0.19080120447287258"/>
    <n v="5.1571685685959781E-2"/>
    <n v="0.17411618697565928"/>
    <n v="9.1481594493037333E-2"/>
    <n v="356163.95199999999"/>
    <n v="0.16721784353965163"/>
    <n v="1.3413203212773193"/>
  </r>
  <r>
    <x v="1"/>
    <s v="AMAZONAS"/>
    <x v="0"/>
    <n v="396572.79200000002"/>
    <n v="392979.95"/>
    <n v="1.0091425580363578"/>
    <n v="178100.65600000002"/>
    <n v="134347.413"/>
    <n v="1.3256723893894409"/>
    <n v="37945.152000000002"/>
    <n v="38909.86"/>
    <n v="0.97520659287902867"/>
    <n v="18235.488000000001"/>
    <n v="15180.37"/>
    <n v="1.2012545148767784"/>
    <n v="488603.72000000009"/>
    <n v="377303.4"/>
    <n v="1.294988913431472"/>
    <n v="75453.490000000005"/>
    <n v="58272.800000000003"/>
    <n v="1.2948320657322112"/>
    <n v="1744"/>
    <n v="-154"/>
    <n v="1797"/>
    <n v="0.97050639955481355"/>
    <n v="238"/>
    <n v="-9"/>
    <n v="222"/>
    <n v="1.072072072072072"/>
    <n v="6192"/>
    <n v="4815"/>
    <n v="3.5504587155963301"/>
    <n v="2.679465776293823"/>
    <n v="0.69890616004605643"/>
    <n v="0.52188552188552184"/>
    <n v="0.44117647058823528"/>
    <n v="0.36036036036036034"/>
    <n v="685"/>
    <n v="1059"/>
    <n v="103"/>
    <n v="45"/>
    <n v="2.2888888888888888"/>
    <n v="-3.3145472799273393E-2"/>
    <n v="-1.1086408306751139E-2"/>
    <n v="7.0141245303767336E-2"/>
    <n v="6.7621667284348064E-3"/>
    <n v="1182710.1360000002"/>
    <n v="1.0316274147497362E-2"/>
    <n v="1.1749445338060192"/>
  </r>
  <r>
    <x v="2"/>
    <s v="AMAPÁ"/>
    <x v="0"/>
    <n v="146661.62400000001"/>
    <n v="101798.44"/>
    <n v="1.4407060068896931"/>
    <n v="62251.96"/>
    <n v="28698.84"/>
    <n v="2.1691455125015504"/>
    <n v="29426.504000000001"/>
    <n v="16003.19"/>
    <n v="1.838789891265429"/>
    <n v="11039.032000000001"/>
    <n v="6948.27"/>
    <n v="1.5887453999340844"/>
    <n v="260006.50400000002"/>
    <n v="200993.4"/>
    <n v="1.2936071731708605"/>
    <n v="32623.255999999998"/>
    <n v="23054.03"/>
    <n v="1.4150782314415311"/>
    <n v="748"/>
    <n v="65"/>
    <n v="715"/>
    <n v="1.0461538461538462"/>
    <n v="256"/>
    <n v="17"/>
    <n v="245"/>
    <n v="1.0448979591836736"/>
    <n v="3373"/>
    <n v="2565"/>
    <n v="4.5093582887700538"/>
    <n v="3.5874125874125875"/>
    <n v="0.62045760430686403"/>
    <n v="0.45685997171145687"/>
    <n v="0.31640625"/>
    <n v="0.18367346938775511"/>
    <n v="413"/>
    <n v="335"/>
    <n v="40"/>
    <n v="18"/>
    <n v="2.2222222222222223"/>
    <n v="0.22883167152450043"/>
    <n v="0.18349099745692413"/>
    <n v="5.019218733683317E-3"/>
    <n v="-0.18471617859481299"/>
    <n v="502924.19200000004"/>
    <n v="7.7714869600069125E-2"/>
    <n v="1.4357996797689363"/>
  </r>
  <r>
    <x v="3"/>
    <s v="PARÁ"/>
    <x v="0"/>
    <n v="532980.34399999992"/>
    <n v="386565.75"/>
    <n v="1.3787572851448944"/>
    <n v="285816.85600000003"/>
    <n v="266422.43"/>
    <n v="1.0727957702360122"/>
    <n v="52117.567999999999"/>
    <n v="37952.99"/>
    <n v="1.3732137573350611"/>
    <n v="14935.704000000002"/>
    <n v="12982.24"/>
    <n v="1.1504720294802748"/>
    <n v="614760.76800000004"/>
    <n v="479426.69"/>
    <n v="1.2822831536558801"/>
    <n v="109887.272"/>
    <n v="76983.98"/>
    <n v="1.427404402838097"/>
    <n v="2911"/>
    <n v="249"/>
    <n v="2833"/>
    <n v="1.0275326509001059"/>
    <n v="382"/>
    <n v="-16"/>
    <n v="364"/>
    <n v="1.0494505494505495"/>
    <n v="7688"/>
    <n v="5940"/>
    <n v="2.6410168327035382"/>
    <n v="2.0967172608542182"/>
    <n v="0.60100107257776192"/>
    <n v="0.44219977553310885"/>
    <n v="0.36649214659685864"/>
    <n v="0.28846153846153844"/>
    <n v="1048"/>
    <n v="1863"/>
    <n v="197"/>
    <n v="125"/>
    <n v="1.5760000000000001"/>
    <n v="0.23242333740706728"/>
    <n v="7.1506882238111025E-2"/>
    <n v="2.4218140478009929E-2"/>
    <n v="0.10705438327853244"/>
    <n v="1426443.7040000004"/>
    <n v="0.12903054462218"/>
    <n v="1.2778346135018426"/>
  </r>
  <r>
    <x v="4"/>
    <s v="RONDÔNIA"/>
    <x v="0"/>
    <n v="251457.01600000003"/>
    <n v="225946.45"/>
    <n v="1.1129053631955714"/>
    <n v="72366.208000000013"/>
    <n v="41619.199999999997"/>
    <n v="1.7387697985545136"/>
    <n v="29699.384000000005"/>
    <n v="27428.9"/>
    <n v="1.0827770708996716"/>
    <n v="12175.887999999999"/>
    <n v="6861.61"/>
    <n v="1.7744943242183686"/>
    <n v="741770.32000000007"/>
    <n v="673739.28"/>
    <n v="1.1009753208986124"/>
    <n v="39154.09599999999"/>
    <n v="27052.32"/>
    <n v="1.4473470667210795"/>
    <n v="1224"/>
    <n v="172"/>
    <n v="1145"/>
    <n v="1.068995633187773"/>
    <n v="216"/>
    <n v="18"/>
    <n v="205"/>
    <n v="1.0536585365853659"/>
    <n v="9679"/>
    <n v="8598"/>
    <n v="7.9076797385620914"/>
    <n v="7.5091703056768555"/>
    <n v="0.69293924466338264"/>
    <n v="0.59838998211091232"/>
    <n v="0.37962962962962965"/>
    <n v="0.35121951219512193"/>
    <n v="534"/>
    <n v="690"/>
    <n v="146"/>
    <n v="65"/>
    <n v="2.2461538461538462"/>
    <n v="0.18674750102387222"/>
    <n v="0.10991733521909808"/>
    <n v="0.13179675263808008"/>
    <n v="0.20374049590273002"/>
    <n v="998513.26399999997"/>
    <n v="0.14833017581226637"/>
    <n v="1.1435949470430173"/>
  </r>
  <r>
    <x v="5"/>
    <s v="RORAIMA"/>
    <x v="0"/>
    <n v="44995.703999999998"/>
    <n v="40502.449999999997"/>
    <n v="1.1109378321558325"/>
    <n v="5967.0240000000003"/>
    <n v="2958.21"/>
    <n v="2.0171062906284543"/>
    <n v="6940.7520000000004"/>
    <n v="7672.1399999999994"/>
    <n v="0.90466962281710195"/>
    <n v="1822.8400000000001"/>
    <n v="810.78"/>
    <n v="2.2482547670144801"/>
    <n v="94797.736000000004"/>
    <n v="81729.48"/>
    <n v="1.1598964779905612"/>
    <n v="5204.3440000000001"/>
    <n v="2640.56"/>
    <n v="1.9709243493804345"/>
    <n v="223"/>
    <n v="9"/>
    <n v="231"/>
    <n v="0.96536796536796532"/>
    <n v="59"/>
    <n v="6"/>
    <n v="56"/>
    <n v="1.0535714285714286"/>
    <n v="1191"/>
    <n v="1043"/>
    <n v="5.3408071748878925"/>
    <n v="4.5151515151515156"/>
    <n v="0.59722222222222221"/>
    <n v="0.51818181818181819"/>
    <n v="0.32203389830508472"/>
    <n v="0.35714285714285715"/>
    <n v="89"/>
    <n v="134"/>
    <n v="13"/>
    <n v="17"/>
    <n v="0.76470588235294112"/>
    <n v="-3.6291296345187618E-3"/>
    <n v="0.61191444904685877"/>
    <n v="-0.24109190333956987"/>
    <n v="-5.4032202948665148E-2"/>
    <n v="187000.04800000001"/>
    <n v="-0.14583765240530855"/>
    <n v="1.1717713901222784"/>
  </r>
  <r>
    <x v="6"/>
    <s v="TOCANTINS"/>
    <x v="0"/>
    <n v="170759.19200000004"/>
    <n v="153321.75"/>
    <n v="1.1137310394643947"/>
    <n v="71531.088000000003"/>
    <n v="49993.98"/>
    <n v="1.4307940276009232"/>
    <n v="24965.488000000001"/>
    <n v="23218.27"/>
    <n v="1.0752518598500234"/>
    <n v="13609.960000000001"/>
    <n v="9444.98"/>
    <n v="1.4409728765968801"/>
    <n v="354995.56800000003"/>
    <n v="358810.44"/>
    <n v="0.98936800166684125"/>
    <n v="34714.495999999999"/>
    <n v="35493.51"/>
    <n v="0.97805193118403888"/>
    <n v="751"/>
    <n v="53"/>
    <n v="711"/>
    <n v="1.0562587904360057"/>
    <n v="190"/>
    <n v="-5"/>
    <n v="189"/>
    <n v="1.0052910052910053"/>
    <n v="4565"/>
    <n v="4579"/>
    <n v="6.0785619174434089"/>
    <n v="6.4402250351617436"/>
    <n v="0.73243243243243239"/>
    <n v="0.66714697406340062"/>
    <n v="0.37368421052631579"/>
    <n v="0.33333333333333331"/>
    <n v="312"/>
    <n v="439"/>
    <n v="62"/>
    <n v="38"/>
    <n v="1.631578947368421"/>
    <n v="-3.7620376555526608E-2"/>
    <n v="-0.27813178071060279"/>
    <n v="1.6975999295957535E-2"/>
    <n v="-0.40702972495618639"/>
    <n v="712813.16"/>
    <n v="-5.9254472799014968E-2"/>
    <n v="1.0639282139530577"/>
  </r>
  <r>
    <x v="7"/>
    <s v="ALAGOAS"/>
    <x v="1"/>
    <n v="417683.984"/>
    <n v="412238.73000000004"/>
    <n v="1.0132089820866661"/>
    <n v="182611.66400000002"/>
    <n v="144042.57"/>
    <n v="1.2677617734812703"/>
    <n v="25644.928"/>
    <n v="25007.51"/>
    <n v="1.0254890630854492"/>
    <n v="5401.768"/>
    <n v="5192.82"/>
    <n v="1.0402378669008363"/>
    <n v="521406.68800000002"/>
    <n v="493176.49"/>
    <n v="1.0572415728900622"/>
    <n v="65167.272000000004"/>
    <n v="76923.38"/>
    <n v="0.84717119814547936"/>
    <n v="1983"/>
    <n v="82"/>
    <n v="1973"/>
    <n v="1.005068423720223"/>
    <n v="152"/>
    <n v="10"/>
    <n v="148"/>
    <n v="1.027027027027027"/>
    <n v="6640"/>
    <n v="5861"/>
    <n v="3.3484619263741804"/>
    <n v="2.9706031424227066"/>
    <n v="0.6627188465499485"/>
    <n v="0.52208201892744477"/>
    <n v="0.44078947368421051"/>
    <n v="0.34459459459459457"/>
    <n v="539"/>
    <n v="1444"/>
    <n v="101"/>
    <n v="63"/>
    <n v="1.6031746031746033"/>
    <n v="0.18104418331109629"/>
    <n v="8.6226433728553778E-3"/>
    <n v="6.8566240272829762E-4"/>
    <n v="-0.14678588894203926"/>
    <n v="1136484.6240000001"/>
    <n v="7.1652249648034072E-2"/>
    <n v="1.0530311128096033"/>
  </r>
  <r>
    <x v="8"/>
    <s v="BAHIA"/>
    <x v="1"/>
    <n v="1294521.3040000002"/>
    <n v="1122504.2"/>
    <n v="1.1532440626948213"/>
    <n v="360788.64000000007"/>
    <n v="300000"/>
    <n v="1.2026288000000003"/>
    <n v="163260.00799999997"/>
    <n v="166075.54"/>
    <n v="0.98304667863792561"/>
    <n v="33370.375999999997"/>
    <n v="25000"/>
    <n v="1.3348150399999998"/>
    <n v="1382643.584"/>
    <n v="1061850.04"/>
    <n v="1.3021081432553319"/>
    <n v="155558.25600000002"/>
    <n v="107746.69"/>
    <n v="1.4437404620039838"/>
    <n v="6492"/>
    <n v="624"/>
    <n v="6154"/>
    <n v="1.0549236269093272"/>
    <n v="957"/>
    <n v="37"/>
    <n v="949"/>
    <n v="1.0084299262381453"/>
    <n v="17122"/>
    <n v="13550"/>
    <n v="2.6373998767714109"/>
    <n v="2.2018199545011377"/>
    <n v="0.7254168084382443"/>
    <n v="0.54254732585921706"/>
    <n v="0.44409613375130619"/>
    <n v="0.4130663856691254"/>
    <n v="2457"/>
    <n v="4035"/>
    <n v="573"/>
    <n v="248"/>
    <n v="2.310483870967742"/>
    <n v="0.11541918291359848"/>
    <n v="-9.4110022953897643E-2"/>
    <n v="-8.7703896700414813E-2"/>
    <n v="-7.9079559893131521E-2"/>
    <n v="3385563.2400000012"/>
    <n v="1.3524863295713008E-3"/>
    <n v="1.2180837990485025"/>
  </r>
  <r>
    <x v="9"/>
    <s v="CEARÁ"/>
    <x v="1"/>
    <n v="786417.12000000023"/>
    <n v="948653.19"/>
    <n v="0.82898273920314369"/>
    <n v="171491.20000000001"/>
    <n v="172305.77"/>
    <n v="0.99527253208061472"/>
    <n v="75934.504000000015"/>
    <n v="86662.07"/>
    <n v="0.87621382687951033"/>
    <n v="7642.0319999999992"/>
    <n v="8679"/>
    <n v="0.88051987556170053"/>
    <n v="879120.08800000011"/>
    <n v="710881.91999999993"/>
    <n v="1.236661199654649"/>
    <n v="99510.183999999994"/>
    <n v="57383.770000000004"/>
    <n v="1.7341172251317749"/>
    <n v="3872"/>
    <n v="620"/>
    <n v="3593"/>
    <n v="1.0776509880322851"/>
    <n v="390"/>
    <n v="48"/>
    <n v="366"/>
    <n v="1.0655737704918034"/>
    <n v="11420"/>
    <n v="9072"/>
    <n v="2.9493801652892562"/>
    <n v="2.5249095463401057"/>
    <n v="0.73574297188755022"/>
    <n v="0.58424313956919449"/>
    <n v="0.54871794871794877"/>
    <n v="0.46448087431693991"/>
    <n v="1523"/>
    <n v="2349"/>
    <n v="471"/>
    <n v="225"/>
    <n v="2.0933333333333333"/>
    <n v="0.16499444207980091"/>
    <n v="-7.424388798414043E-2"/>
    <n v="-1.348140501061252E-2"/>
    <n v="0.14279880291960595"/>
    <n v="1890731.72"/>
    <n v="6.8430336589476726E-2"/>
    <n v="1.0179129406709697"/>
  </r>
  <r>
    <x v="10"/>
    <s v="MARANHÃO"/>
    <x v="1"/>
    <n v="344353.32800000004"/>
    <n v="369035.8"/>
    <n v="0.93311632096398245"/>
    <n v="178005.09600000002"/>
    <n v="149286.31"/>
    <n v="1.1923738754075979"/>
    <n v="31513.328000000009"/>
    <n v="29715.33"/>
    <n v="1.0605074215901358"/>
    <n v="8980.1920000000009"/>
    <n v="6988.38"/>
    <n v="1.2850177008119192"/>
    <n v="384952.05599999998"/>
    <n v="324381.13"/>
    <n v="1.1867276496632218"/>
    <n v="66854.616000000009"/>
    <n v="53046.36"/>
    <n v="1.2603054384881451"/>
    <n v="1776"/>
    <n v="253"/>
    <n v="1662"/>
    <n v="1.0685920577617329"/>
    <n v="272"/>
    <n v="17"/>
    <n v="262"/>
    <n v="1.0381679389312977"/>
    <n v="4498"/>
    <n v="3660"/>
    <n v="2.5326576576576576"/>
    <n v="2.2021660649819497"/>
    <n v="0.65889710062535534"/>
    <n v="0.47211895910780671"/>
    <n v="0.3125"/>
    <n v="0.21755725190839695"/>
    <n v="722"/>
    <n v="1054"/>
    <n v="172"/>
    <n v="92"/>
    <n v="1.8695652173913044"/>
    <n v="0.1738293423704414"/>
    <n v="-0.16256568396946336"/>
    <n v="1.8392415351155905E-2"/>
    <n v="-8.8622475120089209E-2"/>
    <n v="944713.28"/>
    <n v="7.4038692459155619E-2"/>
    <n v="1.0881602382858184"/>
  </r>
  <r>
    <x v="11"/>
    <s v="PARAÍBA"/>
    <x v="1"/>
    <n v="558335.76800000016"/>
    <n v="416936.32200000004"/>
    <n v="1.3391391887416326"/>
    <n v="257480.97599999997"/>
    <n v="153007.4"/>
    <n v="1.6828008057126647"/>
    <n v="49680.295999999995"/>
    <n v="40340.9"/>
    <n v="1.2315118403406962"/>
    <n v="21381.648000000001"/>
    <n v="14275.61"/>
    <n v="1.4977747360708229"/>
    <n v="732697.67200000002"/>
    <n v="601804.80000000005"/>
    <n v="1.2175005450272247"/>
    <n v="90573.8"/>
    <n v="67172.36"/>
    <n v="1.3483790058887317"/>
    <n v="2639"/>
    <n v="281"/>
    <n v="2536"/>
    <n v="1.040615141955836"/>
    <n v="480"/>
    <n v="19"/>
    <n v="467"/>
    <n v="1.0278372591006424"/>
    <n v="9518"/>
    <n v="7680"/>
    <n v="3.6066691928760894"/>
    <n v="3.0283911671924288"/>
    <n v="0.71779141104294475"/>
    <n v="0.50101832993890016"/>
    <n v="0.28125"/>
    <n v="0.23340471092077089"/>
    <n v="914"/>
    <n v="1725"/>
    <n v="275"/>
    <n v="168"/>
    <n v="1.6369047619047619"/>
    <n v="0.25963905803684995"/>
    <n v="-0.23504389173529844"/>
    <n v="-2.9611298054749539E-2"/>
    <n v="0.11688304129450301"/>
    <n v="1576706.9040000001"/>
    <n v="8.4634154681167084E-2"/>
    <n v="1.3220724584975894"/>
  </r>
  <r>
    <x v="12"/>
    <s v="PERNAMBUCO"/>
    <x v="1"/>
    <n v="1066023.8159999999"/>
    <n v="1037353.97"/>
    <n v="1.027637476530793"/>
    <n v="362496.12800000003"/>
    <n v="321606.04000000004"/>
    <n v="1.1271434081275338"/>
    <n v="113434.568"/>
    <n v="129174.40000000001"/>
    <n v="0.87815053137463761"/>
    <n v="31026.512000000002"/>
    <n v="24973.199999999997"/>
    <n v="1.2423923245719413"/>
    <n v="1184538.544"/>
    <n v="1178424.77"/>
    <n v="1.0051880901994279"/>
    <n v="159443.14400000006"/>
    <n v="117377.69"/>
    <n v="1.3583769113193491"/>
    <n v="4886"/>
    <n v="371"/>
    <n v="4654"/>
    <n v="1.0498495917490331"/>
    <n v="528"/>
    <n v="-8"/>
    <n v="539"/>
    <n v="0.97959183673469385"/>
    <n v="15054"/>
    <n v="13028"/>
    <n v="3.0810478919361439"/>
    <n v="2.7993124194241514"/>
    <n v="0.75789244502503805"/>
    <n v="0.57618497109826594"/>
    <n v="0.55681818181818177"/>
    <n v="0.48979591836734693"/>
    <n v="1577"/>
    <n v="3309"/>
    <n v="332"/>
    <n v="159"/>
    <n v="2.0880503144654088"/>
    <n v="7.4432663547855781E-3"/>
    <n v="-0.23366829159319921"/>
    <n v="-0.16568705948794515"/>
    <n v="-0.19934707700156751"/>
    <n v="3225394.1680000001"/>
    <n v="-9.5625973116722052E-2"/>
    <n v="1.0384678182310052"/>
  </r>
  <r>
    <x v="13"/>
    <s v="PIAUÍ"/>
    <x v="1"/>
    <n v="294695.696"/>
    <n v="310782.46000000002"/>
    <n v="0.94823786387429965"/>
    <n v="82142.800000000017"/>
    <n v="55168.07"/>
    <n v="1.4889554773259246"/>
    <n v="42071.16"/>
    <n v="43670.39"/>
    <n v="0.96337953473738169"/>
    <n v="12088.040000000005"/>
    <n v="16377.880000000001"/>
    <n v="0.73807110566202727"/>
    <n v="348988.08800000005"/>
    <n v="309541.19999999995"/>
    <n v="1.1274366320218443"/>
    <n v="42910.888000000014"/>
    <n v="31540.54"/>
    <n v="1.3604994714738559"/>
    <n v="1337"/>
    <n v="145"/>
    <n v="1260"/>
    <n v="1.0611111111111111"/>
    <n v="239"/>
    <n v="30"/>
    <n v="223"/>
    <n v="1.0717488789237668"/>
    <n v="4635"/>
    <n v="3695"/>
    <n v="3.4667165295437545"/>
    <n v="2.9325396825396823"/>
    <n v="0.75267175572519085"/>
    <n v="0.53694581280788178"/>
    <n v="0.5104602510460251"/>
    <n v="0.39013452914798208"/>
    <n v="489"/>
    <n v="848"/>
    <n v="148"/>
    <n v="84"/>
    <n v="1.7619047619047619"/>
    <n v="0.27880806630987665"/>
    <n v="7.6810145387422757E-2"/>
    <n v="-1.4713934306448805E-2"/>
    <n v="-0.12129455472732914"/>
    <n v="748009.41200000001"/>
    <n v="0.10011539801320057"/>
    <n v="1.0727643696970857"/>
  </r>
  <r>
    <x v="14"/>
    <s v="RIO GRANDE DO NORTE"/>
    <x v="1"/>
    <n v="538060.95199999993"/>
    <n v="487662.72"/>
    <n v="1.1033464932484485"/>
    <n v="249700.10400000005"/>
    <n v="192304.15"/>
    <n v="1.2984644585153262"/>
    <n v="40339.616000000002"/>
    <n v="37583.050000000003"/>
    <n v="1.073345989748038"/>
    <n v="10941.432000000001"/>
    <n v="11774"/>
    <n v="0.92928758280958046"/>
    <n v="629055.46400000004"/>
    <n v="564975.6"/>
    <n v="1.1134205866589637"/>
    <n v="90127.840000000011"/>
    <n v="92298.27"/>
    <n v="0.97648460799969494"/>
    <n v="2487"/>
    <n v="142"/>
    <n v="2420"/>
    <n v="1.0276859504132232"/>
    <n v="295"/>
    <n v="15"/>
    <n v="284"/>
    <n v="1.0387323943661972"/>
    <n v="8016"/>
    <n v="7210"/>
    <n v="3.2231604342581424"/>
    <n v="2.9793388429752068"/>
    <n v="0.69099062372604969"/>
    <n v="0.59796437659033075"/>
    <n v="0.3728813559322034"/>
    <n v="0.323943661971831"/>
    <n v="668"/>
    <n v="1819"/>
    <n v="191"/>
    <n v="168"/>
    <n v="1.1369047619047619"/>
    <n v="0.17609990357504571"/>
    <n v="-0.16185120142448411"/>
    <n v="8.3981483274504845E-3"/>
    <n v="-2.5243626256752662E-2"/>
    <n v="1447270.1200000003"/>
    <n v="7.66652240426271E-2"/>
    <n v="1.1237760648673758"/>
  </r>
  <r>
    <x v="15"/>
    <s v="SERGIPE"/>
    <x v="1"/>
    <n v="329185.56"/>
    <n v="249818.4"/>
    <n v="1.3176994168564045"/>
    <n v="129505.38399999999"/>
    <n v="41425.74"/>
    <n v="3.1262056875749233"/>
    <n v="29891.24"/>
    <n v="28347.62"/>
    <n v="1.0544532486325131"/>
    <n v="6979.48"/>
    <n v="2298.14"/>
    <n v="3.037012540576292"/>
    <n v="523260.00800000009"/>
    <n v="428707.56"/>
    <n v="1.2205523224269712"/>
    <n v="57597.128000000004"/>
    <n v="35429.54"/>
    <n v="1.6256809430774433"/>
    <n v="1444"/>
    <n v="118"/>
    <n v="1381"/>
    <n v="1.0456191165821869"/>
    <n v="161"/>
    <n v="6"/>
    <n v="158"/>
    <n v="1.018987341772152"/>
    <n v="6810"/>
    <n v="5471"/>
    <n v="4.71606648199446"/>
    <n v="3.9616220130340332"/>
    <n v="0.71408450704225357"/>
    <n v="0.54761904761904767"/>
    <n v="0.50310559006211175"/>
    <n v="0.46202531645569622"/>
    <n v="562"/>
    <n v="882"/>
    <n v="126"/>
    <n v="74"/>
    <n v="1.7027027027027026"/>
    <n v="0.20590454490551197"/>
    <n v="-5.9461676681533362E-2"/>
    <n v="1.9333494683320539E-2"/>
    <n v="0.31001982231606318"/>
    <n v="976874.62400000007"/>
    <n v="0.10190066724468427"/>
    <n v="1.3694425255112102"/>
  </r>
  <r>
    <x v="16"/>
    <s v="DISTRITO FEDERAL"/>
    <x v="2"/>
    <n v="1414428.9920000003"/>
    <n v="1291106.17"/>
    <n v="1.0955171812090405"/>
    <n v="453876.95199999999"/>
    <n v="320000"/>
    <n v="1.4183654749999999"/>
    <n v="126929.92"/>
    <n v="106063.11"/>
    <n v="1.1967395638313829"/>
    <n v="27478.191999999999"/>
    <n v="30000"/>
    <n v="0.91593973333333334"/>
    <n v="1237583.1600000001"/>
    <n v="1189583.1599999999"/>
    <n v="1.0403502685764316"/>
    <n v="193527.32"/>
    <n v="186218.79"/>
    <n v="1.0392470061694634"/>
    <n v="6203"/>
    <n v="470"/>
    <n v="6105"/>
    <n v="1.016052416052416"/>
    <n v="734"/>
    <n v="37"/>
    <n v="716"/>
    <n v="1.0251396648044693"/>
    <n v="17197"/>
    <n v="15181"/>
    <n v="2.7723682089311623"/>
    <n v="2.4866502866502866"/>
    <n v="0.73295649194929768"/>
    <n v="0.65728447512834132"/>
    <n v="0.43732970027247958"/>
    <n v="0.38407821229050282"/>
    <n v="2230"/>
    <n v="3973"/>
    <n v="337"/>
    <n v="213"/>
    <n v="1.5821596244131455"/>
    <n v="0.10724692114032237"/>
    <n v="-0.19704058854747999"/>
    <n v="2.4916618552790908E-2"/>
    <n v="-6.534449532781679E-2"/>
    <n v="3294196.1320000002"/>
    <n v="4.8457468105605805E-2"/>
    <n v="1.1059418360379838"/>
  </r>
  <r>
    <x v="17"/>
    <s v="GOIÁS"/>
    <x v="2"/>
    <n v="1027458.144"/>
    <n v="887072.21"/>
    <n v="1.1582576169306442"/>
    <n v="347601.92800000001"/>
    <n v="200000"/>
    <n v="1.73800964"/>
    <n v="132923.22400000002"/>
    <n v="117915.48999999999"/>
    <n v="1.1272753393129269"/>
    <n v="34313.144"/>
    <n v="30000"/>
    <n v="1.1437714666666667"/>
    <n v="2215100.4400000004"/>
    <n v="1856034.96"/>
    <n v="1.1934583602886448"/>
    <n v="166027.19199999995"/>
    <n v="111784"/>
    <n v="1.485250053674944"/>
    <n v="4702"/>
    <n v="378"/>
    <n v="4514"/>
    <n v="1.0416482055826317"/>
    <n v="670"/>
    <n v="52"/>
    <n v="632"/>
    <n v="1.0601265822784811"/>
    <n v="27819"/>
    <n v="23686"/>
    <n v="5.9164185452998721"/>
    <n v="5.2472308373947723"/>
    <n v="0.70523778216085908"/>
    <n v="0.60082777650034491"/>
    <n v="0.51343283582089549"/>
    <n v="0.47151898734177217"/>
    <n v="1517"/>
    <n v="3185"/>
    <n v="321"/>
    <n v="165"/>
    <n v="1.9454545454545455"/>
    <n v="0.14530196170410847"/>
    <n v="5.2142030028448264E-2"/>
    <n v="3.136959037887465E-2"/>
    <n v="-0.19126236440129546"/>
    <n v="3712576.5760000004"/>
    <n v="5.6792766878675849E-2"/>
    <n v="1.2249956018263057"/>
  </r>
  <r>
    <x v="18"/>
    <s v="MATO GROSSO DO SUL"/>
    <x v="2"/>
    <n v="658269.41599999997"/>
    <n v="563580.01"/>
    <n v="1.1680141316580763"/>
    <n v="228300.79200000004"/>
    <n v="181697.13"/>
    <n v="1.2564909087997154"/>
    <n v="107677.84000000003"/>
    <n v="97064.06"/>
    <n v="1.1093481974687647"/>
    <n v="32443.696000000007"/>
    <n v="24717.03"/>
    <n v="1.312604952941353"/>
    <n v="1530480.8640000001"/>
    <n v="1397237.1600000001"/>
    <n v="1.0953622676339354"/>
    <n v="112457.42400000001"/>
    <n v="117897.60000000001"/>
    <n v="0.95385677062128493"/>
    <n v="3285"/>
    <n v="262"/>
    <n v="3207"/>
    <n v="1.0243217960710944"/>
    <n v="638"/>
    <n v="42"/>
    <n v="627"/>
    <n v="1.0175438596491229"/>
    <n v="19629"/>
    <n v="17831"/>
    <n v="5.9753424657534246"/>
    <n v="5.5600249454318682"/>
    <n v="0.63513097072419111"/>
    <n v="0.54090471607314727"/>
    <n v="0.43573667711598746"/>
    <n v="0.39872408293460926"/>
    <n v="1259"/>
    <n v="2026"/>
    <n v="179"/>
    <n v="117"/>
    <n v="1.5299145299145298"/>
    <n v="0.16525417763049205"/>
    <n v="-2.546699732731085E-2"/>
    <n v="-8.7649250049632879E-2"/>
    <n v="-0.12975052875482773"/>
    <n v="2711359.7680000002"/>
    <n v="-1.5390704137644318E-2"/>
    <n v="1.1206606866893685"/>
  </r>
  <r>
    <x v="19"/>
    <s v="MATO GROSSO"/>
    <x v="2"/>
    <n v="802645.91199999989"/>
    <n v="755762.61"/>
    <n v="1.0620344290385044"/>
    <n v="267001.57600000006"/>
    <n v="101619.48"/>
    <n v="2.6274644979486221"/>
    <n v="98877.48000000001"/>
    <n v="91461.94"/>
    <n v="1.0810778778582655"/>
    <n v="35888.976000000002"/>
    <n v="16067.46"/>
    <n v="2.23364340101049"/>
    <n v="2337413.4960000003"/>
    <n v="2291324.7599999998"/>
    <n v="1.0201144494244458"/>
    <n v="113008.93599999999"/>
    <n v="111791.62"/>
    <n v="1.010889152514294"/>
    <n v="3178"/>
    <n v="268"/>
    <n v="3105"/>
    <n v="1.0235104669887278"/>
    <n v="585"/>
    <n v="58"/>
    <n v="548"/>
    <n v="1.0675182481751824"/>
    <n v="29385"/>
    <n v="29241"/>
    <n v="9.2463813719320331"/>
    <n v="9.4173913043478255"/>
    <n v="0.76202612296909844"/>
    <n v="0.72896574659128699"/>
    <n v="0.45299145299145299"/>
    <n v="0.42153284671532848"/>
    <n v="1069"/>
    <n v="2109"/>
    <n v="244"/>
    <n v="176"/>
    <n v="1.3863636363636365"/>
    <n v="0.34240512259534028"/>
    <n v="0.44828490702361734"/>
    <n v="9.3086654695726731E-2"/>
    <n v="0.41716810804257276"/>
    <n v="3107970.1100000008"/>
    <n v="0.17595608923021433"/>
    <n v="1.0851562151711054"/>
  </r>
  <r>
    <x v="20"/>
    <s v="ESPÍRITO SANTO"/>
    <x v="3"/>
    <n v="1024352.368"/>
    <n v="1024414.12"/>
    <n v="0.99993971969070483"/>
    <n v="156727.40800000002"/>
    <n v="127208.3"/>
    <n v="1.2320533172756811"/>
    <n v="120009.32"/>
    <n v="121100.47"/>
    <n v="0.9909897129218409"/>
    <n v="26498.400000000001"/>
    <n v="25044.92"/>
    <n v="1.0580349228506221"/>
    <n v="1054006.0960000001"/>
    <n v="981772.44"/>
    <n v="1.0735747440618726"/>
    <n v="103272.87999999999"/>
    <n v="111410.01999999999"/>
    <n v="0.92696222476218926"/>
    <n v="3559"/>
    <n v="378"/>
    <n v="3483"/>
    <n v="1.0218202698822854"/>
    <n v="452"/>
    <n v="32"/>
    <n v="430"/>
    <n v="1.0511627906976744"/>
    <n v="13559"/>
    <n v="12529"/>
    <n v="3.8097780275358248"/>
    <n v="3.5971863336204422"/>
    <n v="0.9018544935805991"/>
    <n v="0.75422472576341537"/>
    <n v="0.71017699115044253"/>
    <n v="0.61627906976744184"/>
    <n v="972"/>
    <n v="2587"/>
    <n v="264"/>
    <n v="137"/>
    <n v="1.9270072992700731"/>
    <n v="-1.0978406385689966E-2"/>
    <n v="-7.4308921144627074E-2"/>
    <n v="-7.2258040874377094E-2"/>
    <n v="-0.33149674733397161"/>
    <n v="2643040.6319999998"/>
    <n v="-5.9845527187491143E-2"/>
    <n v="1.0392798642357375"/>
  </r>
  <r>
    <x v="21"/>
    <s v="MINAS GERAIS"/>
    <x v="3"/>
    <n v="3664133.1760000004"/>
    <n v="3094886.04"/>
    <n v="1.1839315337116583"/>
    <n v="1347251.92"/>
    <n v="1098934.42"/>
    <n v="1.22596207333282"/>
    <n v="406662.56"/>
    <n v="385175.61"/>
    <n v="1.0557848146200119"/>
    <n v="163626.35200000001"/>
    <n v="169602.58000000002"/>
    <n v="0.96476334263311325"/>
    <n v="3909885.6560000004"/>
    <n v="3780321.4800000004"/>
    <n v="1.0342733221725895"/>
    <n v="528908.40799999994"/>
    <n v="463078.48"/>
    <n v="1.1421571738768772"/>
    <n v="15690"/>
    <n v="1472"/>
    <n v="15260"/>
    <n v="1.0281782437745741"/>
    <n v="1738"/>
    <n v="-89"/>
    <n v="1747"/>
    <n v="0.99484831139095597"/>
    <n v="50211"/>
    <n v="48243"/>
    <n v="3.20019120458891"/>
    <n v="3.1614023591087812"/>
    <n v="0.73632233853446571"/>
    <n v="0.61806273698724579"/>
    <n v="0.61910241657077103"/>
    <n v="0.56153405838580428"/>
    <n v="4837"/>
    <n v="10853"/>
    <n v="1048"/>
    <n v="677"/>
    <n v="1.5480059084194977"/>
    <n v="0.12989616008312879"/>
    <n v="-8.3929154525507102E-2"/>
    <n v="-6.4094851512864898E-2"/>
    <n v="-7.0492133815441782E-2"/>
    <n v="9804471.0860000011"/>
    <n v="2.203045774783563E-2"/>
    <n v="1.1143760699491478"/>
  </r>
  <r>
    <x v="22"/>
    <s v="RIO DE JANEIRO"/>
    <x v="3"/>
    <n v="3952588.0640000002"/>
    <n v="3576099.3560000006"/>
    <n v="1.105279152092999"/>
    <n v="991405.28800000006"/>
    <n v="720000"/>
    <n v="1.3769517888888889"/>
    <n v="569134.29599999986"/>
    <n v="564504.696"/>
    <n v="1.008201171810978"/>
    <n v="123888.24"/>
    <n v="140000"/>
    <n v="0.88491600000000004"/>
    <n v="3812455.0720000006"/>
    <n v="2909820.24"/>
    <n v="1.3102029532930874"/>
    <n v="518730.87999999995"/>
    <n v="529897.70799999963"/>
    <n v="0.97892644593208977"/>
    <n v="20366"/>
    <n v="497"/>
    <n v="19977"/>
    <n v="1.01947239325224"/>
    <n v="2780"/>
    <n v="12"/>
    <n v="2768"/>
    <n v="1.004335260115607"/>
    <n v="48694"/>
    <n v="37134"/>
    <n v="2.3909456938033977"/>
    <n v="1.8588376633128096"/>
    <n v="0.6934163301929116"/>
    <n v="0.55376375050394522"/>
    <n v="0.52517985611510787"/>
    <n v="0.45845375722543352"/>
    <n v="8385"/>
    <n v="11981"/>
    <n v="614"/>
    <n v="260"/>
    <n v="2.3615384615384616"/>
    <n v="-9.8940781922547669E-2"/>
    <n v="-0.2913355689765848"/>
    <n v="-0.21689555148279566"/>
    <n v="-0.33388752509683284"/>
    <n v="12111926.156000003"/>
    <n v="-0.17699284889860756"/>
    <n v="1.1810215107907023"/>
  </r>
  <r>
    <x v="23"/>
    <s v="SÃO PAULO"/>
    <x v="3"/>
    <n v="14346806.248000003"/>
    <n v="13929347.976"/>
    <n v="1.0299696922439785"/>
    <n v="4338347.7039999999"/>
    <n v="2955102.1689929012"/>
    <n v="1.468087211847064"/>
    <n v="1750933.5360000001"/>
    <n v="1832188.7080000001"/>
    <n v="0.95565130838040291"/>
    <n v="574729.56000000006"/>
    <n v="421066.2122784832"/>
    <n v="1.3649386800475161"/>
    <n v="22973868.832000002"/>
    <n v="18080943.120000001"/>
    <n v="1.2706123059801984"/>
    <n v="2027238.6159999999"/>
    <n v="1422974.2455000002"/>
    <n v="1.4246488454804571"/>
    <n v="61253"/>
    <n v="4024"/>
    <n v="62511"/>
    <n v="0.97987554190462478"/>
    <n v="7514"/>
    <n v="359"/>
    <n v="8174"/>
    <n v="0.91925617812576466"/>
    <n v="298424"/>
    <n v="230169"/>
    <n v="4.8719899433497131"/>
    <n v="3.6820559581513654"/>
    <n v="0.73178608853996663"/>
    <n v="0.58965126696756087"/>
    <n v="0.59622038860793181"/>
    <n v="0.49033520919990214"/>
    <n v="22802"/>
    <n v="38451"/>
    <n v="2977"/>
    <n v="1862"/>
    <n v="1.5988184747583243"/>
    <n v="9.5599755988583016E-3"/>
    <n v="-4.5345319429433602E-2"/>
    <n v="-9.9522379553286702E-2"/>
    <n v="-0.16507823313974584"/>
    <n v="48885385.682399996"/>
    <n v="-5.8779554386015787E-2"/>
    <n v="1.1907347984270829"/>
  </r>
  <r>
    <x v="24"/>
    <s v="PARANÁ"/>
    <x v="4"/>
    <n v="3094576"/>
    <n v="2702588.2"/>
    <n v="1.1450416308337319"/>
    <n v="977570.23200000008"/>
    <n v="704597.22"/>
    <n v="1.3874171005102747"/>
    <n v="581652.55999999994"/>
    <n v="447868.44000000006"/>
    <n v="1.2987129881266022"/>
    <n v="233059.16000000003"/>
    <n v="187730.11"/>
    <n v="1.2414586024586043"/>
    <n v="5699577.9440000001"/>
    <n v="5482379.04"/>
    <n v="1.0396176372365526"/>
    <n v="461967.66400000005"/>
    <n v="370038.78"/>
    <n v="1.2484304050510597"/>
    <n v="12788"/>
    <n v="982"/>
    <n v="12494"/>
    <n v="1.0235312950216104"/>
    <n v="2666"/>
    <n v="73"/>
    <n v="2643"/>
    <n v="1.0087022323117669"/>
    <n v="74516"/>
    <n v="69964"/>
    <n v="5.8270253362527367"/>
    <n v="5.5998079077957419"/>
    <n v="0.7442269276867759"/>
    <n v="0.65179975175837812"/>
    <n v="0.57464366091522878"/>
    <n v="0.44646235338630347"/>
    <n v="4331"/>
    <n v="8457"/>
    <n v="995"/>
    <n v="810"/>
    <n v="1.228395061728395"/>
    <n v="0.14569134867175776"/>
    <n v="0.10283074210055049"/>
    <n v="-1.5908861368139356E-2"/>
    <n v="7.9457543122113353E-2"/>
    <n v="10512739.800000001"/>
    <n v="5.0953773249481804E-2"/>
    <n v="1.1165415111761963"/>
  </r>
  <r>
    <x v="25"/>
    <s v="RIO GRANDE DO SUL"/>
    <x v="4"/>
    <n v="3963520.0160000008"/>
    <n v="3229102.92"/>
    <n v="1.2274368808288094"/>
    <n v="973907.08799999999"/>
    <n v="763682.25"/>
    <n v="1.275277889462535"/>
    <n v="556269.75199999998"/>
    <n v="444889.02"/>
    <n v="1.2503562169279878"/>
    <n v="176156.84800000003"/>
    <n v="114583.78"/>
    <n v="1.5373628623527695"/>
    <n v="6715767.8319999995"/>
    <n v="6208149.3599999994"/>
    <n v="1.0817664721906755"/>
    <n v="430533.80000000005"/>
    <n v="439312.46"/>
    <n v="0.98001727517585102"/>
    <n v="16438"/>
    <n v="919"/>
    <n v="16222"/>
    <n v="1.0133152508938479"/>
    <n v="2709"/>
    <n v="116"/>
    <n v="2623"/>
    <n v="1.0327868852459017"/>
    <n v="86272"/>
    <n v="79226"/>
    <n v="5.2483270470860202"/>
    <n v="4.8838614227592156"/>
    <n v="0.74844956334641188"/>
    <n v="0.61414063005369046"/>
    <n v="0.53229974160206717"/>
    <n v="0.43042317956538317"/>
    <n v="5579"/>
    <n v="10859"/>
    <n v="989"/>
    <n v="735"/>
    <n v="1.3455782312925171"/>
    <n v="2.975127220145083E-2"/>
    <n v="-6.7507326237440712E-2"/>
    <n v="-0.15515231486400624"/>
    <n v="-0.19870939396167914"/>
    <n v="14066614.194000002"/>
    <n v="-8.8895511084207679E-2"/>
    <n v="1.1443282132329136"/>
  </r>
  <r>
    <x v="26"/>
    <s v="SANTA CATARINA"/>
    <x v="4"/>
    <n v="2614275.8080000002"/>
    <n v="2429073.9160000002"/>
    <n v="1.0762438272380674"/>
    <n v="484391.45600000006"/>
    <n v="336083.68936591974"/>
    <n v="1.4412822500071001"/>
    <n v="352642.75200000009"/>
    <n v="359595.36800000002"/>
    <n v="0.98066544616892859"/>
    <n v="65958.895999999993"/>
    <n v="73316.311999999947"/>
    <n v="0.8996483074598739"/>
    <n v="4293732.0880000005"/>
    <n v="4019319.4799999995"/>
    <n v="1.0682734003518428"/>
    <n v="231104.20800000001"/>
    <n v="211496.23599999945"/>
    <n v="1.092710737414734"/>
    <n v="10476"/>
    <n v="904"/>
    <n v="10227"/>
    <n v="1.0243473159284247"/>
    <n v="1733"/>
    <n v="113"/>
    <n v="1673"/>
    <n v="1.035863717872086"/>
    <n v="54618"/>
    <n v="51293"/>
    <n v="5.2136311569301261"/>
    <n v="5.0154493008702454"/>
    <n v="0.75542635658914725"/>
    <n v="0.68010508234818634"/>
    <n v="0.52336987882285058"/>
    <n v="0.50448296473401077"/>
    <n v="3421"/>
    <n v="7055"/>
    <n v="719"/>
    <n v="464"/>
    <n v="1.5495689655172413"/>
    <n v="0.10484371425318401"/>
    <n v="3.4709118951966357E-2"/>
    <n v="-4.3375061525471353E-2"/>
    <n v="0.10218931732733694"/>
    <n v="7907275.0640000021"/>
    <n v="1.7051404296512862E-2"/>
    <n v="1.082545389586907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x v="0"/>
    <n v="121275.55183147801"/>
    <n v="0.51644036367712076"/>
    <n v="113554.17946214264"/>
    <n v="0.48355963632287913"/>
    <n v="234829.73129362066"/>
  </r>
  <r>
    <x v="0"/>
    <x v="1"/>
    <n v="27630.533444891436"/>
    <n v="0.63545576103164703"/>
    <n v="15850.909543419712"/>
    <n v="0.36454423896835286"/>
    <n v="43481.442988311144"/>
  </r>
  <r>
    <x v="0"/>
    <x v="2"/>
    <n v="2448.0243726719709"/>
    <n v="0.51015339626978551"/>
    <n v="2350.5801070233424"/>
    <n v="0.4898466037302146"/>
    <n v="4798.6044796953138"/>
  </r>
  <r>
    <x v="0"/>
    <x v="3"/>
    <n v="6595.6373700098138"/>
    <n v="0.22000731010849092"/>
    <n v="23383.536352705789"/>
    <n v="0.77999268989150905"/>
    <n v="29979.173722715605"/>
  </r>
  <r>
    <x v="0"/>
    <x v="4"/>
    <n v="46409.03074062596"/>
    <n v="0.60740742648732649"/>
    <n v="29996.078444508912"/>
    <n v="0.39259257351267363"/>
    <n v="76405.109185134876"/>
  </r>
  <r>
    <x v="0"/>
    <x v="5"/>
    <n v="1679.6782720638732"/>
    <n v="0.5083050543890425"/>
    <n v="1624.7906832621034"/>
    <n v="0.49169494561095733"/>
    <n v="3304.4689553259768"/>
  </r>
  <r>
    <x v="0"/>
    <x v="6"/>
    <n v="8169.6398994087886"/>
    <n v="0.54595383266784048"/>
    <n v="6794.3358263174841"/>
    <n v="0.45404616733215947"/>
    <n v="14963.975725726272"/>
  </r>
  <r>
    <x v="0"/>
    <x v="7"/>
    <n v="15535.532207375118"/>
    <n v="0.60131468510555408"/>
    <n v="10300.411254820599"/>
    <n v="0.39868531489444581"/>
    <n v="25835.943462195719"/>
  </r>
  <r>
    <x v="0"/>
    <x v="8"/>
    <n v="3023.7199518324956"/>
    <n v="0.66370189843172056"/>
    <n v="1532.1204924653546"/>
    <n v="0.33629810156827972"/>
    <n v="4555.8404442978499"/>
  </r>
  <r>
    <x v="0"/>
    <x v="9"/>
    <n v="3029.1507420667213"/>
    <n v="0.5679857120857138"/>
    <n v="2303.9952818769184"/>
    <n v="0.43201428791428625"/>
    <n v="5333.1460239436401"/>
  </r>
  <r>
    <x v="0"/>
    <x v="10"/>
    <n v="310.69257770701853"/>
    <n v="0.55109988402965071"/>
    <n v="253.07560064066988"/>
    <n v="0.44890011597034929"/>
    <n v="563.76817834768838"/>
  </r>
  <r>
    <x v="1"/>
    <x v="11"/>
    <n v="81177.179502435189"/>
    <n v="0.58344910974417197"/>
    <n v="57956.0853302584"/>
    <n v="0.41655089025582798"/>
    <n v="139133.26483269359"/>
  </r>
  <r>
    <x v="1"/>
    <x v="12"/>
    <n v="22778.620547344457"/>
    <n v="0.62768891747712496"/>
    <n v="13511.044465220601"/>
    <n v="0.37231108252287509"/>
    <n v="36289.665012565056"/>
  </r>
  <r>
    <x v="1"/>
    <x v="13"/>
    <n v="2521.165367086478"/>
    <n v="0.6075614210829644"/>
    <n v="1628.4815321398719"/>
    <n v="0.3924385789170356"/>
    <n v="4149.6468992263499"/>
  </r>
  <r>
    <x v="1"/>
    <x v="14"/>
    <n v="12848.636202125774"/>
    <n v="0.39520387408837532"/>
    <n v="19662.776373886991"/>
    <n v="0.60479612591162446"/>
    <n v="32511.412576012764"/>
  </r>
  <r>
    <x v="1"/>
    <x v="15"/>
    <n v="37121.62283464674"/>
    <n v="0.61613368148376246"/>
    <n v="23127.676871305193"/>
    <n v="0.38386631851623737"/>
    <n v="60249.299705951933"/>
  </r>
  <r>
    <x v="1"/>
    <x v="16"/>
    <n v="350.53047768489483"/>
    <n v="0.65089963836080877"/>
    <n v="188.00181980977305"/>
    <n v="0.34910036163919117"/>
    <n v="538.53229749466789"/>
  </r>
  <r>
    <x v="1"/>
    <x v="17"/>
    <n v="892.14774947109879"/>
    <n v="0.60100833606959103"/>
    <n v="592.2705121880814"/>
    <n v="0.3989916639304088"/>
    <n v="1484.4182616591802"/>
  </r>
  <r>
    <x v="1"/>
    <x v="18"/>
    <n v="1631.1560422071991"/>
    <n v="0.67144412053638114"/>
    <n v="798.16903834329378"/>
    <n v="0.32855587946361875"/>
    <n v="2429.3250805504931"/>
  </r>
  <r>
    <x v="1"/>
    <x v="19"/>
    <n v="178.4455044842509"/>
    <n v="0.69683299977617974"/>
    <n v="77.635227257166292"/>
    <n v="0.30316700022382032"/>
    <n v="256.0807317414172"/>
  </r>
  <r>
    <x v="2"/>
    <x v="20"/>
    <n v="1109.9201288618913"/>
    <n v="0.49185102248612761"/>
    <n v="1146.6983960964378"/>
    <n v="0.50814897751387234"/>
    <n v="2256.6185249583291"/>
  </r>
  <r>
    <x v="2"/>
    <x v="21"/>
    <n v="1276.2094419440025"/>
    <n v="0.56746361795311773"/>
    <n v="972.76194858739757"/>
    <n v="0.43253638204688216"/>
    <n v="2248.9713905314002"/>
  </r>
  <r>
    <x v="2"/>
    <x v="22"/>
    <n v="3807.1971311344005"/>
    <n v="0.47883923549839852"/>
    <n v="4143.6908681994255"/>
    <n v="0.52116076450160154"/>
    <n v="7950.887999333826"/>
  </r>
  <r>
    <x v="2"/>
    <x v="23"/>
    <n v="673.07735987614603"/>
    <n v="0.50171555089365716"/>
    <n v="668.47435937445073"/>
    <n v="0.49828444910634284"/>
    <n v="1341.5517192505968"/>
  </r>
  <r>
    <x v="2"/>
    <x v="24"/>
    <n v="1137.5158904378518"/>
    <n v="0.49688788326658195"/>
    <n v="1151.764908602222"/>
    <n v="0.50311211673341794"/>
    <n v="2289.2807990400738"/>
  </r>
  <r>
    <x v="2"/>
    <x v="25"/>
    <n v="2576.8090005956801"/>
    <n v="0.54346721661784814"/>
    <n v="2164.6159130024184"/>
    <n v="0.45653278338215175"/>
    <n v="4741.424913598099"/>
  </r>
  <r>
    <x v="2"/>
    <x v="26"/>
    <n v="2053.812917364588"/>
    <n v="0.48165289939250805"/>
    <n v="2210.2804161438166"/>
    <n v="0.5183471006074919"/>
    <n v="4264.0933335084046"/>
  </r>
  <r>
    <x v="3"/>
    <x v="27"/>
    <n v="4558.3811272795938"/>
    <n v="0.64866090351662953"/>
    <n v="2468.9903430324462"/>
    <n v="0.35133909648337036"/>
    <n v="7027.3714703120404"/>
  </r>
  <r>
    <x v="3"/>
    <x v="28"/>
    <n v="2683.0171964142014"/>
    <n v="0.53325114606412449"/>
    <n v="2348.415396309309"/>
    <n v="0.46674885393587551"/>
    <n v="5031.4325927235104"/>
  </r>
  <r>
    <x v="3"/>
    <x v="29"/>
    <n v="70.59730489141964"/>
    <n v="0.45411502985032404"/>
    <n v="84.863977494870142"/>
    <n v="0.54588497014967596"/>
    <n v="155.46128238628978"/>
  </r>
  <r>
    <x v="3"/>
    <x v="30"/>
    <n v="333.24467344256016"/>
    <n v="0.43187507816981952"/>
    <n v="438.37816447336968"/>
    <n v="0.56812492183018048"/>
    <n v="771.62283791592984"/>
  </r>
  <r>
    <x v="4"/>
    <x v="31"/>
    <n v="1038.192891826254"/>
    <n v="0.44010060345073276"/>
    <n v="1320.7970383988134"/>
    <n v="0.55989939654926735"/>
    <n v="2358.9899302250674"/>
  </r>
  <r>
    <x v="4"/>
    <x v="32"/>
    <n v="650.63567717260207"/>
    <n v="0.4580788253013035"/>
    <n v="769.72178367410561"/>
    <n v="0.5419211746986965"/>
    <n v="1420.3574608467077"/>
  </r>
  <r>
    <x v="4"/>
    <x v="33"/>
    <n v="667.67836335217692"/>
    <n v="0.53262810843554809"/>
    <n v="585.87613889386989"/>
    <n v="0.46737189156445197"/>
    <n v="1253.5545022460469"/>
  </r>
  <r>
    <x v="4"/>
    <x v="34"/>
    <n v="9088.9117039678949"/>
    <n v="0.53373185281539914"/>
    <n v="7940.0732742088921"/>
    <n v="0.46626814718460097"/>
    <n v="17028.984978176788"/>
  </r>
  <r>
    <x v="4"/>
    <x v="35"/>
    <n v="374.80037682416344"/>
    <n v="0.67789000067979155"/>
    <n v="178.09224063340588"/>
    <n v="0.32210999932020834"/>
    <n v="552.89261745756926"/>
  </r>
  <r>
    <x v="4"/>
    <x v="36"/>
    <n v="3499.9751322873481"/>
    <n v="0.45526911391380009"/>
    <n v="4187.7309415976188"/>
    <n v="0.54473088608619991"/>
    <n v="7687.7060738849668"/>
  </r>
  <r>
    <x v="4"/>
    <x v="37"/>
    <n v="20053.959164199721"/>
    <n v="0.5308981109620079"/>
    <n v="17719.690336758518"/>
    <n v="0.46910188903799216"/>
    <n v="37773.649500958243"/>
  </r>
  <r>
    <x v="4"/>
    <x v="38"/>
    <n v="2268.1074541954436"/>
    <n v="0.59957468232853328"/>
    <n v="1514.753165247203"/>
    <n v="0.40042531767146666"/>
    <n v="3782.8606194426466"/>
  </r>
  <r>
    <x v="4"/>
    <x v="39"/>
    <n v="19.598027550070153"/>
    <n v="0.46795454545454546"/>
    <n v="22.282167311663052"/>
    <n v="0.53204545454545449"/>
    <n v="41.880194861733202"/>
  </r>
  <r>
    <x v="4"/>
    <x v="40"/>
    <n v="9.5676983582726933"/>
    <n v="0.62916666666666665"/>
    <n v="5.639239429710396"/>
    <n v="0.37083333333333335"/>
    <n v="15.20693778798309"/>
  </r>
  <r>
    <x v="4"/>
    <x v="41"/>
    <n v="1581.2057912593341"/>
    <n v="0.56714699830874804"/>
    <n v="1206.7941381673304"/>
    <n v="0.43285300169125202"/>
    <n v="2787.9999294266645"/>
  </r>
  <r>
    <x v="5"/>
    <x v="42"/>
    <n v="61.198676678120314"/>
    <n v="0.51671448087431704"/>
    <n v="57.239414266356178"/>
    <n v="0.48328551912568302"/>
    <n v="118.4380909444765"/>
  </r>
  <r>
    <x v="5"/>
    <x v="43"/>
    <n v="1.7737568085074529"/>
    <n v="0.11076711386308909"/>
    <n v="14.239631521713559"/>
    <n v="0.88923288613691087"/>
    <n v="16.013388330221012"/>
  </r>
  <r>
    <x v="5"/>
    <x v="44"/>
    <n v="67.466248263621694"/>
    <n v="0.68046464646464644"/>
    <n v="31.681074986957938"/>
    <n v="0.31953535353535351"/>
    <n v="99.147323250579632"/>
  </r>
  <r>
    <x v="6"/>
    <x v="45"/>
    <n v="158.10504231756278"/>
    <n v="0.57098342329154339"/>
    <n v="118.79448903158908"/>
    <n v="0.42901657670845655"/>
    <n v="276.89953134915186"/>
  </r>
  <r>
    <x v="6"/>
    <x v="46"/>
    <n v="600.43206087178567"/>
    <n v="0.53036152468733011"/>
    <n v="531.68637706687332"/>
    <n v="0.46963847531266995"/>
    <n v="1132.1184379386591"/>
  </r>
  <r>
    <x v="6"/>
    <x v="47"/>
    <n v="230.14547753024689"/>
    <n v="0.71336930914386154"/>
    <n v="92.472098780194912"/>
    <n v="0.28663069085613851"/>
    <n v="322.61757631044179"/>
  </r>
  <r>
    <x v="6"/>
    <x v="48"/>
    <n v="18.655315724121113"/>
    <n v="0.62798848203958491"/>
    <n v="11.051145871372265"/>
    <n v="0.37201151796041504"/>
    <n v="29.70646159549338"/>
  </r>
  <r>
    <x v="6"/>
    <x v="49"/>
    <n v="65.045915995666377"/>
    <n v="0.66388888888888897"/>
    <n v="32.931195964333192"/>
    <n v="0.33611111111111114"/>
    <n v="97.977111959999576"/>
  </r>
  <r>
    <x v="6"/>
    <x v="50"/>
    <n v="133.44409584448974"/>
    <n v="0.50471875862674964"/>
    <n v="130.94888254919525"/>
    <n v="0.49528124137325036"/>
    <n v="264.39297839368498"/>
  </r>
  <r>
    <x v="6"/>
    <x v="51"/>
    <n v="468.86361454930039"/>
    <n v="0.58332639541144182"/>
    <n v="334.91214159249648"/>
    <n v="0.41667360458855823"/>
    <n v="803.77575614179682"/>
  </r>
  <r>
    <x v="6"/>
    <x v="52"/>
    <n v="739.65694642108531"/>
    <n v="0.31166232856380138"/>
    <n v="1633.6069312813102"/>
    <n v="0.68833767143619862"/>
    <n v="2373.26387770239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29">
  <location ref="AZ88:BL117" firstHeaderRow="0" firstDataRow="1" firstDataCol="1"/>
  <pivotFields count="48">
    <pivotField axis="axisRow" showAll="0">
      <items count="29">
        <item x="0"/>
        <item x="7"/>
        <item x="1"/>
        <item x="2"/>
        <item x="8"/>
        <item x="27"/>
        <item x="9"/>
        <item x="16"/>
        <item x="20"/>
        <item x="17"/>
        <item x="10"/>
        <item x="21"/>
        <item x="18"/>
        <item x="19"/>
        <item x="3"/>
        <item x="11"/>
        <item x="12"/>
        <item x="13"/>
        <item x="24"/>
        <item x="22"/>
        <item x="14"/>
        <item x="4"/>
        <item x="5"/>
        <item x="25"/>
        <item x="26"/>
        <item x="15"/>
        <item x="23"/>
        <item x="6"/>
        <item t="default"/>
      </items>
    </pivotField>
    <pivotField showAll="0"/>
    <pivotField showAll="0"/>
    <pivotField dataField="1" numFmtId="172" showAll="0"/>
    <pivotField dataField="1" numFmtId="172" showAll="0"/>
    <pivotField numFmtId="167" showAll="0"/>
    <pivotField dataField="1" numFmtId="172" showAll="0"/>
    <pivotField dataField="1" numFmtId="172" showAll="0"/>
    <pivotField numFmtId="167" showAll="0"/>
    <pivotField dataField="1" numFmtId="172" showAll="0"/>
    <pivotField dataField="1" numFmtId="172" showAll="0"/>
    <pivotField numFmtId="167" showAll="0"/>
    <pivotField dataField="1" numFmtId="172" showAll="0"/>
    <pivotField dataField="1" numFmtId="172" showAll="0"/>
    <pivotField numFmtId="167" showAll="0"/>
    <pivotField dataField="1" numFmtId="172" showAll="0"/>
    <pivotField dataField="1" numFmtId="172" showAll="0"/>
    <pivotField numFmtId="167" showAll="0"/>
    <pivotField dataField="1" numFmtId="172" showAll="0"/>
    <pivotField dataField="1" numFmtId="172" showAll="0"/>
    <pivotField numFmtId="167" showAll="0"/>
    <pivotField numFmtId="166" showAll="0"/>
    <pivotField numFmtId="166" showAll="0"/>
    <pivotField numFmtId="166" showAll="0"/>
    <pivotField numFmtId="167" showAll="0"/>
    <pivotField numFmtId="166" showAll="0"/>
    <pivotField numFmtId="166" showAll="0"/>
    <pivotField numFmtId="166" showAll="0"/>
    <pivotField numFmtId="167" showAll="0"/>
    <pivotField numFmtId="166" showAll="0"/>
    <pivotField numFmtId="166" showAll="0"/>
    <pivotField numFmtId="168" showAll="0"/>
    <pivotField numFmtId="168" showAll="0"/>
    <pivotField numFmtId="167" showAll="0"/>
    <pivotField numFmtId="167" showAll="0"/>
    <pivotField numFmtId="167" showAll="0"/>
    <pivotField numFmtId="167" showAll="0"/>
    <pivotField numFmtId="166" showAll="0"/>
    <pivotField numFmtId="166" showAll="0"/>
    <pivotField numFmtId="166" showAll="0"/>
    <pivotField numFmtId="166" showAll="0"/>
    <pivotField numFmtId="167" showAll="0"/>
    <pivotField numFmtId="167" showAll="0"/>
    <pivotField numFmtId="167" showAll="0"/>
    <pivotField numFmtId="167" showAll="0"/>
    <pivotField numFmtId="167" showAll="0"/>
    <pivotField numFmtId="166" showAll="0"/>
    <pivotField numFmtId="167"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12">
    <i>
      <x/>
    </i>
    <i i="1">
      <x v="1"/>
    </i>
    <i i="2">
      <x v="2"/>
    </i>
    <i i="3">
      <x v="3"/>
    </i>
    <i i="4">
      <x v="4"/>
    </i>
    <i i="5">
      <x v="5"/>
    </i>
    <i i="6">
      <x v="6"/>
    </i>
    <i i="7">
      <x v="7"/>
    </i>
    <i i="8">
      <x v="8"/>
    </i>
    <i i="9">
      <x v="9"/>
    </i>
    <i i="10">
      <x v="10"/>
    </i>
    <i i="11">
      <x v="11"/>
    </i>
  </colItems>
  <dataFields count="12">
    <dataField name="Soma de Anuidade PF - Exerc." fld="3" baseField="0" baseItem="0"/>
    <dataField name="Soma de Previsto" fld="4" baseField="0" baseItem="0"/>
    <dataField name="Soma de Anuidade PF - Ex. Ant." fld="6" baseField="0" baseItem="0"/>
    <dataField name="Soma de Previsto2" fld="7" baseField="0" baseItem="0"/>
    <dataField name="Soma de Anuidade PJ - Exerc." fld="9" baseField="0" baseItem="0"/>
    <dataField name="Soma de Previsto3" fld="10" baseField="0" baseItem="0"/>
    <dataField name="Soma de Anuidade PJ - Ex. Ant." fld="12" baseField="0" baseItem="0"/>
    <dataField name="Soma de Previsto4" fld="13" baseField="0" baseItem="0"/>
    <dataField name="Soma de RRT" fld="15" baseField="0" baseItem="0"/>
    <dataField name="Soma de Previsto5" fld="16" baseField="0" baseItem="0"/>
    <dataField name="Soma de Taxas" fld="18" baseField="0" baseItem="0"/>
    <dataField name="Soma de Previsto6" fld="19" baseField="0" baseItem="0"/>
  </dataFields>
  <formats count="1">
    <format dxfId="87">
      <pivotArea outline="0" collapsedLevelsAreSubtotals="1" fieldPosition="0"/>
    </format>
  </formats>
  <chartFormats count="3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15" format="12"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2"/>
          </reference>
        </references>
      </pivotArea>
    </chartFormat>
    <chartFormat chart="15" format="14" series="1">
      <pivotArea type="data" outline="0" fieldPosition="0">
        <references count="1">
          <reference field="4294967294" count="1" selected="0">
            <x v="4"/>
          </reference>
        </references>
      </pivotArea>
    </chartFormat>
    <chartFormat chart="15" format="15" series="1">
      <pivotArea type="data" outline="0" fieldPosition="0">
        <references count="1">
          <reference field="4294967294" count="1" selected="0">
            <x v="6"/>
          </reference>
        </references>
      </pivotArea>
    </chartFormat>
    <chartFormat chart="15" format="16" series="1">
      <pivotArea type="data" outline="0" fieldPosition="0">
        <references count="1">
          <reference field="4294967294" count="1" selected="0">
            <x v="7"/>
          </reference>
        </references>
      </pivotArea>
    </chartFormat>
    <chartFormat chart="15" format="17" series="1">
      <pivotArea type="data" outline="0" fieldPosition="0">
        <references count="1">
          <reference field="4294967294" count="1" selected="0">
            <x v="8"/>
          </reference>
        </references>
      </pivotArea>
    </chartFormat>
    <chartFormat chart="15" format="18" series="1">
      <pivotArea type="data" outline="0" fieldPosition="0">
        <references count="1">
          <reference field="4294967294" count="1" selected="0">
            <x v="9"/>
          </reference>
        </references>
      </pivotArea>
    </chartFormat>
    <chartFormat chart="15" format="19" series="1">
      <pivotArea type="data" outline="0" fieldPosition="0">
        <references count="1">
          <reference field="4294967294" count="1" selected="0">
            <x v="10"/>
          </reference>
        </references>
      </pivotArea>
    </chartFormat>
    <chartFormat chart="15" format="20" series="1">
      <pivotArea type="data" outline="0" fieldPosition="0">
        <references count="1">
          <reference field="4294967294" count="1" selected="0">
            <x v="11"/>
          </reference>
        </references>
      </pivotArea>
    </chartFormat>
    <chartFormat chart="15" format="21" series="1">
      <pivotArea type="data" outline="0" fieldPosition="0">
        <references count="1">
          <reference field="4294967294" count="1" selected="0">
            <x v="1"/>
          </reference>
        </references>
      </pivotArea>
    </chartFormat>
    <chartFormat chart="15" format="22" series="1">
      <pivotArea type="data" outline="0" fieldPosition="0">
        <references count="1">
          <reference field="4294967294" count="1" selected="0">
            <x v="3"/>
          </reference>
        </references>
      </pivotArea>
    </chartFormat>
    <chartFormat chart="15" format="23" series="1">
      <pivotArea type="data" outline="0" fieldPosition="0">
        <references count="1">
          <reference field="4294967294" count="1" selected="0">
            <x v="5"/>
          </reference>
        </references>
      </pivotArea>
    </chartFormat>
    <chartFormat chart="16" format="24" series="1">
      <pivotArea type="data" outline="0" fieldPosition="0">
        <references count="1">
          <reference field="4294967294" count="1" selected="0">
            <x v="0"/>
          </reference>
        </references>
      </pivotArea>
    </chartFormat>
    <chartFormat chart="16" format="25" series="1">
      <pivotArea type="data" outline="0" fieldPosition="0">
        <references count="1">
          <reference field="4294967294" count="1" selected="0">
            <x v="2"/>
          </reference>
        </references>
      </pivotArea>
    </chartFormat>
    <chartFormat chart="16" format="26" series="1">
      <pivotArea type="data" outline="0" fieldPosition="0">
        <references count="1">
          <reference field="4294967294" count="1" selected="0">
            <x v="4"/>
          </reference>
        </references>
      </pivotArea>
    </chartFormat>
    <chartFormat chart="16" format="27" series="1">
      <pivotArea type="data" outline="0" fieldPosition="0">
        <references count="1">
          <reference field="4294967294" count="1" selected="0">
            <x v="6"/>
          </reference>
        </references>
      </pivotArea>
    </chartFormat>
    <chartFormat chart="16" format="28" series="1">
      <pivotArea type="data" outline="0" fieldPosition="0">
        <references count="1">
          <reference field="4294967294" count="1" selected="0">
            <x v="7"/>
          </reference>
        </references>
      </pivotArea>
    </chartFormat>
    <chartFormat chart="16" format="29" series="1">
      <pivotArea type="data" outline="0" fieldPosition="0">
        <references count="1">
          <reference field="4294967294" count="1" selected="0">
            <x v="8"/>
          </reference>
        </references>
      </pivotArea>
    </chartFormat>
    <chartFormat chart="16" format="30" series="1">
      <pivotArea type="data" outline="0" fieldPosition="0">
        <references count="1">
          <reference field="4294967294" count="1" selected="0">
            <x v="9"/>
          </reference>
        </references>
      </pivotArea>
    </chartFormat>
    <chartFormat chart="16" format="31" series="1">
      <pivotArea type="data" outline="0" fieldPosition="0">
        <references count="1">
          <reference field="4294967294" count="1" selected="0">
            <x v="10"/>
          </reference>
        </references>
      </pivotArea>
    </chartFormat>
    <chartFormat chart="16" format="32" series="1">
      <pivotArea type="data" outline="0" fieldPosition="0">
        <references count="1">
          <reference field="4294967294" count="1" selected="0">
            <x v="11"/>
          </reference>
        </references>
      </pivotArea>
    </chartFormat>
    <chartFormat chart="16" format="33" series="1">
      <pivotArea type="data" outline="0" fieldPosition="0">
        <references count="1">
          <reference field="4294967294" count="1" selected="0">
            <x v="1"/>
          </reference>
        </references>
      </pivotArea>
    </chartFormat>
    <chartFormat chart="16" format="34" series="1">
      <pivotArea type="data" outline="0" fieldPosition="0">
        <references count="1">
          <reference field="4294967294" count="1" selected="0">
            <x v="3"/>
          </reference>
        </references>
      </pivotArea>
    </chartFormat>
    <chartFormat chart="16" format="3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 cacheId="1"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4">
  <location ref="AZ3:CU4" firstHeaderRow="0" firstDataRow="1" firstDataCol="2"/>
  <pivotFields count="49">
    <pivotField axis="axisRow" compact="0" outline="0" showAll="0" defaultSubtotal="0">
      <items count="27">
        <item h="1" x="0"/>
        <item h="1" x="7"/>
        <item h="1" x="1"/>
        <item h="1" x="2"/>
        <item h="1" x="8"/>
        <item h="1" x="9"/>
        <item h="1" x="16"/>
        <item h="1" x="20"/>
        <item h="1" x="17"/>
        <item h="1" x="10"/>
        <item h="1" x="21"/>
        <item h="1" x="18"/>
        <item h="1" x="19"/>
        <item h="1" x="3"/>
        <item h="1" x="11"/>
        <item h="1" x="12"/>
        <item h="1" x="13"/>
        <item x="24"/>
        <item h="1" x="22"/>
        <item h="1" x="14"/>
        <item h="1" x="4"/>
        <item h="1" x="5"/>
        <item h="1" x="25"/>
        <item h="1" x="26"/>
        <item h="1" x="15"/>
        <item h="1" x="23"/>
        <item h="1" x="6"/>
      </items>
    </pivotField>
    <pivotField compact="0" outline="0" showAll="0" defaultSubtotal="0"/>
    <pivotField axis="axisRow" compact="0" outline="0" showAll="0" defaultSubtotal="0">
      <items count="5">
        <item x="2"/>
        <item x="1"/>
        <item x="0"/>
        <item x="3"/>
        <item x="4"/>
      </items>
    </pivotField>
    <pivotField dataField="1" compact="0" numFmtId="172" outline="0" showAll="0" defaultSubtotal="0"/>
    <pivotField dataField="1" compact="0" numFmtId="172" outline="0" showAll="0" defaultSubtotal="0"/>
    <pivotField dataField="1" compact="0" numFmtId="167" outline="0" showAll="0" defaultSubtotal="0"/>
    <pivotField dataField="1" compact="0" numFmtId="172" outline="0" showAll="0" defaultSubtotal="0"/>
    <pivotField dataField="1" compact="0" numFmtId="172" outline="0" showAll="0" defaultSubtotal="0"/>
    <pivotField dataField="1" compact="0" numFmtId="167" outline="0" showAll="0" defaultSubtotal="0"/>
    <pivotField dataField="1" compact="0" numFmtId="172" outline="0" showAll="0" defaultSubtotal="0"/>
    <pivotField dataField="1" compact="0" numFmtId="172" outline="0" showAll="0" defaultSubtotal="0"/>
    <pivotField dataField="1" compact="0" numFmtId="167" outline="0" showAll="0" defaultSubtotal="0"/>
    <pivotField dataField="1" compact="0" numFmtId="172" outline="0" showAll="0" defaultSubtotal="0"/>
    <pivotField dataField="1" compact="0" numFmtId="172" outline="0" showAll="0" defaultSubtotal="0"/>
    <pivotField dataField="1" compact="0" numFmtId="167" outline="0" showAll="0" defaultSubtotal="0"/>
    <pivotField dataField="1" compact="0" numFmtId="172" outline="0" showAll="0" defaultSubtotal="0"/>
    <pivotField dataField="1" compact="0" numFmtId="172" outline="0" showAll="0" defaultSubtotal="0"/>
    <pivotField dataField="1" compact="0" numFmtId="167" outline="0" showAll="0" defaultSubtotal="0"/>
    <pivotField dataField="1" compact="0" numFmtId="172" outline="0" showAll="0" defaultSubtotal="0"/>
    <pivotField dataField="1" compact="0" numFmtId="172" outline="0" showAll="0" defaultSubtotal="0"/>
    <pivotField dataField="1" compact="0" numFmtId="167" outline="0" showAll="0" defaultSubtotal="0"/>
    <pivotField dataField="1" compact="0" numFmtId="166" outline="0" showAll="0" defaultSubtotal="0"/>
    <pivotField dataField="1" compact="0" numFmtId="166" outline="0" showAll="0"/>
    <pivotField dataField="1" compact="0" numFmtId="166" outline="0" showAll="0" defaultSubtotal="0"/>
    <pivotField dataField="1" compact="0" numFmtId="167" outline="0" showAll="0"/>
    <pivotField dataField="1" compact="0" numFmtId="166" outline="0" showAll="0" defaultSubtotal="0"/>
    <pivotField dataField="1" compact="0" numFmtId="166" outline="0" showAll="0"/>
    <pivotField dataField="1" compact="0" numFmtId="166" outline="0" showAll="0" defaultSubtotal="0"/>
    <pivotField dataField="1" compact="0" numFmtId="167" outline="0" showAll="0"/>
    <pivotField dataField="1" compact="0" numFmtId="166" outline="0" showAll="0"/>
    <pivotField dataField="1" compact="0" numFmtId="166" outline="0" showAll="0" defaultSubtotal="0"/>
    <pivotField dataField="1" compact="0" numFmtId="168" outline="0" showAll="0" defaultSubtotal="0"/>
    <pivotField dataField="1" compact="0" numFmtId="168" outline="0" showAll="0" defaultSubtotal="0"/>
    <pivotField dataField="1" compact="0" numFmtId="167" outline="0" showAll="0" defaultSubtotal="0"/>
    <pivotField dataField="1" compact="0" numFmtId="167" outline="0" showAll="0" defaultSubtotal="0"/>
    <pivotField dataField="1" compact="0" numFmtId="167" outline="0" showAll="0" defaultSubtotal="0"/>
    <pivotField dataField="1" compact="0" numFmtId="168" outline="0" showAll="0" defaultSubtotal="0"/>
    <pivotField dataField="1" compact="0" numFmtId="166" outline="0" showAll="0" defaultSubtotal="0"/>
    <pivotField dataField="1" compact="0" numFmtId="166" outline="0" showAll="0" defaultSubtotal="0"/>
    <pivotField dataField="1" compact="0" numFmtId="166" outline="0" showAll="0" defaultSubtotal="0"/>
    <pivotField dataField="1" compact="0" numFmtId="166" outline="0" showAll="0" defaultSubtotal="0"/>
    <pivotField dataField="1" compact="0" numFmtId="167" outline="0" showAll="0"/>
    <pivotField dataField="1" compact="0" numFmtId="167" outline="0" showAll="0" defaultSubtotal="0"/>
    <pivotField dataField="1" compact="0" numFmtId="167" outline="0" showAll="0" defaultSubtotal="0"/>
    <pivotField dataField="1" compact="0" numFmtId="167" outline="0" showAll="0" defaultSubtotal="0"/>
    <pivotField dataField="1" compact="0" numFmtId="167" outline="0" showAll="0" defaultSubtotal="0"/>
    <pivotField dataField="1" compact="0" numFmtId="166" outline="0" showAll="0"/>
    <pivotField dataField="1" compact="0" numFmtId="167" outline="0" showAll="0"/>
    <pivotField dataField="1" compact="0" numFmtId="167" outline="0" showAll="0"/>
  </pivotFields>
  <rowFields count="2">
    <field x="0"/>
    <field x="2"/>
  </rowFields>
  <rowItems count="1">
    <i>
      <x v="17"/>
      <x v="4"/>
    </i>
  </rowItems>
  <colFields count="1">
    <field x="-2"/>
  </colFields>
  <colItems count="4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colItems>
  <dataFields count="46">
    <dataField name="Soma de Anuidade PF - Exerc." fld="3" baseField="0" baseItem="0"/>
    <dataField name="Soma de Previsto" fld="4" baseField="0" baseItem="0"/>
    <dataField name="Soma de Exec. %" fld="5" baseField="0" baseItem="0" numFmtId="167"/>
    <dataField name="Soma de Anuidade PF - Ex. Ant." fld="6" baseField="0" baseItem="0"/>
    <dataField name="Soma de Previsto2" fld="7" baseField="0" baseItem="0"/>
    <dataField name="Soma de Exec. %2" fld="8" baseField="0" baseItem="0" numFmtId="167"/>
    <dataField name="Soma de Anuidade PJ - Exerc." fld="9" baseField="0" baseItem="0"/>
    <dataField name="Soma de Previsto3" fld="10" baseField="0" baseItem="0"/>
    <dataField name="Soma de Exec. %3" fld="11" baseField="0" baseItem="0" numFmtId="167"/>
    <dataField name="Soma de Anuidade PJ - Ex. Ant." fld="12" baseField="0" baseItem="0"/>
    <dataField name="Soma de Previsto4" fld="13" baseField="0" baseItem="0"/>
    <dataField name="Soma de Exec. %4" fld="14" baseField="0" baseItem="0" numFmtId="167"/>
    <dataField name="Soma de RRT" fld="15" baseField="0" baseItem="0"/>
    <dataField name="Soma de Previsto5" fld="16" baseField="0" baseItem="0"/>
    <dataField name="Soma de Exec. %5" fld="17" baseField="0" baseItem="0" numFmtId="167"/>
    <dataField name="Soma de Taxas" fld="18" baseField="0" baseItem="0"/>
    <dataField name="Soma de Previsto6" fld="19" baseField="0" baseItem="0"/>
    <dataField name="Soma de Exec. %6" fld="20" baseField="0" baseItem="0"/>
    <dataField name="Soma de PF Ativos" fld="21" baseField="0" baseItem="0" numFmtId="1"/>
    <dataField name="Soma de PF - Jan. a Nov." fld="22" baseField="0" baseItem="0"/>
    <dataField name="Soma de Previsto PF" fld="23" baseField="0" baseItem="0" numFmtId="1"/>
    <dataField name="Soma de % de exerc. - PF" fld="24" baseField="0" baseItem="0" numFmtId="167"/>
    <dataField name="Soma de PJ Ativos" fld="25" baseField="0" baseItem="0" numFmtId="1"/>
    <dataField name="Soma de PJ - Jan. a Nov." fld="26" baseField="0" baseItem="0"/>
    <dataField name="Soma de Previsto PJ" fld="27" baseField="0" baseItem="0" numFmtId="1"/>
    <dataField name="Soma de % de exerc. - PJ" fld="28" baseField="0" baseItem="0" numFmtId="167"/>
    <dataField name="Soma de RRT Psets" fld="29" baseField="0" baseItem="0" numFmtId="181"/>
    <dataField name="Soma de Previsto - RRT" fld="30" baseField="0" baseItem="0" numFmtId="181"/>
    <dataField name="Soma de Méd/Prof_x000a_Executado" fld="31" baseField="0" baseItem="0" numFmtId="174"/>
    <dataField name="Soma de Méd/Prof_x000a_Previsto" fld="32" baseField="0" baseItem="0" numFmtId="174"/>
    <dataField name="Soma de Adimp. PF %" fld="33" baseField="0" baseItem="0" numFmtId="167"/>
    <dataField name="Soma de Previsto PF2" fld="34" baseField="0" baseItem="0" numFmtId="167"/>
    <dataField name="Soma de Adimp. PJ %" fld="35" baseField="0" baseItem="0" numFmtId="167"/>
    <dataField name="Soma de Previsto PJ2" fld="36" baseField="0" baseItem="0" numFmtId="167"/>
    <dataField name="Soma de Masculino" fld="37" baseField="0" baseItem="0" numFmtId="1"/>
    <dataField name="Soma de Feminino" fld="38" baseField="0" baseItem="0" numFmtId="1"/>
    <dataField name="Soma de Entrantes" fld="39" baseField="0" baseItem="0" numFmtId="1"/>
    <dataField name="Soma de Previsto - Entrantes" fld="40" baseField="0" baseItem="0" numFmtId="1"/>
    <dataField name="Soma de % de exerc. - Entrantes" fld="41" baseField="0" baseItem="0" numFmtId="167"/>
    <dataField name="Soma de PF" fld="42" baseField="0" baseItem="0" numFmtId="167"/>
    <dataField name="Soma de PJ" fld="43" baseField="0" baseItem="0" numFmtId="167"/>
    <dataField name="Soma de RRT2" fld="44" baseField="0" baseItem="0" numFmtId="167"/>
    <dataField name="Soma de Taxas2" fld="45" baseField="0" baseItem="0" numFmtId="167"/>
    <dataField name="Soma de Ano anterior_x000a_TOTAL acumulado" fld="46" baseField="0" baseItem="0"/>
    <dataField name="Soma de YOY_x000a_% de exerc." fld="47" baseField="0" baseItem="0" numFmtId="167"/>
    <dataField name="Soma de % de exerc. Frente ao Previsto (do ano)" fld="48" baseField="0" baseItem="0" numFmtId="167"/>
  </dataFields>
  <formats count="53">
    <format dxfId="140">
      <pivotArea field="2" type="button" dataOnly="0" labelOnly="1" outline="0" axis="axisRow" fieldPosition="1"/>
    </format>
    <format dxfId="139">
      <pivotArea outline="0" collapsedLevelsAreSubtotals="1" fieldPosition="0"/>
    </format>
    <format dxfId="138">
      <pivotArea outline="0" collapsedLevelsAreSubtotals="1" fieldPosition="0"/>
    </format>
    <format dxfId="137">
      <pivotArea dataOnly="0" labelOnly="1" outline="0" fieldPosition="0">
        <references count="2">
          <reference field="0" count="1" selected="0">
            <x v="0"/>
          </reference>
          <reference field="2" count="1">
            <x v="2"/>
          </reference>
        </references>
      </pivotArea>
    </format>
    <format dxfId="136">
      <pivotArea dataOnly="0" labelOnly="1" outline="0" fieldPosition="0">
        <references count="2">
          <reference field="0" count="1" selected="0">
            <x v="1"/>
          </reference>
          <reference field="2" count="1">
            <x v="1"/>
          </reference>
        </references>
      </pivotArea>
    </format>
    <format dxfId="135">
      <pivotArea dataOnly="0" labelOnly="1" outline="0" fieldPosition="0">
        <references count="2">
          <reference field="0" count="1" selected="0">
            <x v="2"/>
          </reference>
          <reference field="2" count="1">
            <x v="2"/>
          </reference>
        </references>
      </pivotArea>
    </format>
    <format dxfId="134">
      <pivotArea dataOnly="0" labelOnly="1" outline="0" fieldPosition="0">
        <references count="2">
          <reference field="0" count="1" selected="0">
            <x v="3"/>
          </reference>
          <reference field="2" count="1">
            <x v="2"/>
          </reference>
        </references>
      </pivotArea>
    </format>
    <format dxfId="133">
      <pivotArea dataOnly="0" labelOnly="1" outline="0" fieldPosition="0">
        <references count="2">
          <reference field="0" count="1" selected="0">
            <x v="4"/>
          </reference>
          <reference field="2" count="1">
            <x v="1"/>
          </reference>
        </references>
      </pivotArea>
    </format>
    <format dxfId="132">
      <pivotArea dataOnly="0" labelOnly="1" outline="0" fieldPosition="0">
        <references count="2">
          <reference field="0" count="1" selected="0">
            <x v="5"/>
          </reference>
          <reference field="2" count="1">
            <x v="1"/>
          </reference>
        </references>
      </pivotArea>
    </format>
    <format dxfId="131">
      <pivotArea dataOnly="0" labelOnly="1" outline="0" fieldPosition="0">
        <references count="2">
          <reference field="0" count="1" selected="0">
            <x v="6"/>
          </reference>
          <reference field="2" count="1">
            <x v="0"/>
          </reference>
        </references>
      </pivotArea>
    </format>
    <format dxfId="130">
      <pivotArea dataOnly="0" labelOnly="1" outline="0" fieldPosition="0">
        <references count="2">
          <reference field="0" count="1" selected="0">
            <x v="7"/>
          </reference>
          <reference field="2" count="1">
            <x v="3"/>
          </reference>
        </references>
      </pivotArea>
    </format>
    <format dxfId="129">
      <pivotArea dataOnly="0" labelOnly="1" outline="0" fieldPosition="0">
        <references count="2">
          <reference field="0" count="1" selected="0">
            <x v="8"/>
          </reference>
          <reference field="2" count="1">
            <x v="0"/>
          </reference>
        </references>
      </pivotArea>
    </format>
    <format dxfId="128">
      <pivotArea dataOnly="0" labelOnly="1" outline="0" fieldPosition="0">
        <references count="2">
          <reference field="0" count="1" selected="0">
            <x v="9"/>
          </reference>
          <reference field="2" count="1">
            <x v="1"/>
          </reference>
        </references>
      </pivotArea>
    </format>
    <format dxfId="127">
      <pivotArea dataOnly="0" labelOnly="1" outline="0" fieldPosition="0">
        <references count="2">
          <reference field="0" count="1" selected="0">
            <x v="10"/>
          </reference>
          <reference field="2" count="1">
            <x v="3"/>
          </reference>
        </references>
      </pivotArea>
    </format>
    <format dxfId="126">
      <pivotArea dataOnly="0" labelOnly="1" outline="0" fieldPosition="0">
        <references count="2">
          <reference field="0" count="1" selected="0">
            <x v="11"/>
          </reference>
          <reference field="2" count="1">
            <x v="0"/>
          </reference>
        </references>
      </pivotArea>
    </format>
    <format dxfId="125">
      <pivotArea dataOnly="0" labelOnly="1" outline="0" fieldPosition="0">
        <references count="2">
          <reference field="0" count="1" selected="0">
            <x v="12"/>
          </reference>
          <reference field="2" count="1">
            <x v="0"/>
          </reference>
        </references>
      </pivotArea>
    </format>
    <format dxfId="124">
      <pivotArea dataOnly="0" labelOnly="1" outline="0" fieldPosition="0">
        <references count="2">
          <reference field="0" count="1" selected="0">
            <x v="13"/>
          </reference>
          <reference field="2" count="1">
            <x v="2"/>
          </reference>
        </references>
      </pivotArea>
    </format>
    <format dxfId="123">
      <pivotArea dataOnly="0" labelOnly="1" outline="0" fieldPosition="0">
        <references count="2">
          <reference field="0" count="1" selected="0">
            <x v="14"/>
          </reference>
          <reference field="2" count="1">
            <x v="1"/>
          </reference>
        </references>
      </pivotArea>
    </format>
    <format dxfId="122">
      <pivotArea dataOnly="0" labelOnly="1" outline="0" fieldPosition="0">
        <references count="2">
          <reference field="0" count="1" selected="0">
            <x v="15"/>
          </reference>
          <reference field="2" count="1">
            <x v="1"/>
          </reference>
        </references>
      </pivotArea>
    </format>
    <format dxfId="121">
      <pivotArea dataOnly="0" labelOnly="1" outline="0" fieldPosition="0">
        <references count="2">
          <reference field="0" count="1" selected="0">
            <x v="16"/>
          </reference>
          <reference field="2" count="1">
            <x v="1"/>
          </reference>
        </references>
      </pivotArea>
    </format>
    <format dxfId="120">
      <pivotArea dataOnly="0" labelOnly="1" outline="0" fieldPosition="0">
        <references count="2">
          <reference field="0" count="1" selected="0">
            <x v="17"/>
          </reference>
          <reference field="2" count="1">
            <x v="4"/>
          </reference>
        </references>
      </pivotArea>
    </format>
    <format dxfId="119">
      <pivotArea dataOnly="0" labelOnly="1" outline="0" fieldPosition="0">
        <references count="2">
          <reference field="0" count="1" selected="0">
            <x v="18"/>
          </reference>
          <reference field="2" count="1">
            <x v="3"/>
          </reference>
        </references>
      </pivotArea>
    </format>
    <format dxfId="118">
      <pivotArea dataOnly="0" labelOnly="1" outline="0" fieldPosition="0">
        <references count="2">
          <reference field="0" count="1" selected="0">
            <x v="19"/>
          </reference>
          <reference field="2" count="1">
            <x v="1"/>
          </reference>
        </references>
      </pivotArea>
    </format>
    <format dxfId="117">
      <pivotArea dataOnly="0" labelOnly="1" outline="0" fieldPosition="0">
        <references count="2">
          <reference field="0" count="1" selected="0">
            <x v="20"/>
          </reference>
          <reference field="2" count="1">
            <x v="2"/>
          </reference>
        </references>
      </pivotArea>
    </format>
    <format dxfId="116">
      <pivotArea dataOnly="0" labelOnly="1" outline="0" fieldPosition="0">
        <references count="2">
          <reference field="0" count="1" selected="0">
            <x v="21"/>
          </reference>
          <reference field="2" count="1">
            <x v="2"/>
          </reference>
        </references>
      </pivotArea>
    </format>
    <format dxfId="115">
      <pivotArea dataOnly="0" labelOnly="1" outline="0" fieldPosition="0">
        <references count="2">
          <reference field="0" count="1" selected="0">
            <x v="22"/>
          </reference>
          <reference field="2" count="1">
            <x v="4"/>
          </reference>
        </references>
      </pivotArea>
    </format>
    <format dxfId="114">
      <pivotArea dataOnly="0" labelOnly="1" outline="0" fieldPosition="0">
        <references count="2">
          <reference field="0" count="1" selected="0">
            <x v="23"/>
          </reference>
          <reference field="2" count="1">
            <x v="4"/>
          </reference>
        </references>
      </pivotArea>
    </format>
    <format dxfId="113">
      <pivotArea dataOnly="0" labelOnly="1" outline="0" fieldPosition="0">
        <references count="2">
          <reference field="0" count="1" selected="0">
            <x v="24"/>
          </reference>
          <reference field="2" count="1">
            <x v="1"/>
          </reference>
        </references>
      </pivotArea>
    </format>
    <format dxfId="112">
      <pivotArea dataOnly="0" labelOnly="1" outline="0" fieldPosition="0">
        <references count="2">
          <reference field="0" count="1" selected="0">
            <x v="25"/>
          </reference>
          <reference field="2" count="1">
            <x v="3"/>
          </reference>
        </references>
      </pivotArea>
    </format>
    <format dxfId="111">
      <pivotArea dataOnly="0" labelOnly="1" outline="0" fieldPosition="0">
        <references count="2">
          <reference field="0" count="1" selected="0">
            <x v="26"/>
          </reference>
          <reference field="2" count="1">
            <x v="2"/>
          </reference>
        </references>
      </pivotArea>
    </format>
    <format dxfId="110">
      <pivotArea field="0" type="button" dataOnly="0" labelOnly="1" outline="0" axis="axisRow" fieldPosition="0"/>
    </format>
    <format dxfId="109">
      <pivotArea field="2" type="button" dataOnly="0" labelOnly="1" outline="0" axis="axisRow" fieldPosition="1"/>
    </format>
    <format dxfId="108">
      <pivotArea field="0" type="button" dataOnly="0" labelOnly="1" outline="0" axis="axisRow" fieldPosition="0"/>
    </format>
    <format dxfId="107">
      <pivotArea field="2" type="button" dataOnly="0" labelOnly="1" outline="0" axis="axisRow" fieldPosition="1"/>
    </format>
    <format dxfId="106">
      <pivotArea field="0" type="button" dataOnly="0" labelOnly="1" outline="0" axis="axisRow" fieldPosition="0"/>
    </format>
    <format dxfId="105">
      <pivotArea field="2" type="button" dataOnly="0" labelOnly="1" outline="0" axis="axisRow" fieldPosition="1"/>
    </format>
    <format dxfId="104">
      <pivotArea outline="0" fieldPosition="0">
        <references count="1">
          <reference field="4294967294" count="2" selected="0">
            <x v="44"/>
            <x v="45"/>
          </reference>
        </references>
      </pivotArea>
    </format>
    <format dxfId="103">
      <pivotArea outline="0" fieldPosition="0">
        <references count="1">
          <reference field="4294967294" count="5" selected="0">
            <x v="38"/>
            <x v="39"/>
            <x v="40"/>
            <x v="41"/>
            <x v="42"/>
          </reference>
        </references>
      </pivotArea>
    </format>
    <format dxfId="102">
      <pivotArea outline="0" fieldPosition="0">
        <references count="1">
          <reference field="4294967294" count="4" selected="0">
            <x v="30"/>
            <x v="31"/>
            <x v="32"/>
            <x v="33"/>
          </reference>
        </references>
      </pivotArea>
    </format>
    <format dxfId="101">
      <pivotArea outline="0" fieldPosition="0">
        <references count="1">
          <reference field="4294967294" count="1" selected="0">
            <x v="2"/>
          </reference>
        </references>
      </pivotArea>
    </format>
    <format dxfId="100">
      <pivotArea outline="0" fieldPosition="0">
        <references count="1">
          <reference field="4294967294" count="1" selected="0">
            <x v="5"/>
          </reference>
        </references>
      </pivotArea>
    </format>
    <format dxfId="99">
      <pivotArea outline="0" fieldPosition="0">
        <references count="1">
          <reference field="4294967294" count="1" selected="0">
            <x v="8"/>
          </reference>
        </references>
      </pivotArea>
    </format>
    <format dxfId="98">
      <pivotArea outline="0" fieldPosition="0">
        <references count="1">
          <reference field="4294967294" count="1" selected="0">
            <x v="11"/>
          </reference>
        </references>
      </pivotArea>
    </format>
    <format dxfId="97">
      <pivotArea outline="0" fieldPosition="0">
        <references count="1">
          <reference field="4294967294" count="1" selected="0">
            <x v="14"/>
          </reference>
        </references>
      </pivotArea>
    </format>
    <format dxfId="96">
      <pivotArea outline="0" fieldPosition="0">
        <references count="1">
          <reference field="4294967294" count="1" selected="0">
            <x v="18"/>
          </reference>
        </references>
      </pivotArea>
    </format>
    <format dxfId="95">
      <pivotArea outline="0" fieldPosition="0">
        <references count="1">
          <reference field="4294967294" count="1" selected="0">
            <x v="20"/>
          </reference>
        </references>
      </pivotArea>
    </format>
    <format dxfId="94">
      <pivotArea outline="0" fieldPosition="0">
        <references count="1">
          <reference field="4294967294" count="1" selected="0">
            <x v="22"/>
          </reference>
        </references>
      </pivotArea>
    </format>
    <format dxfId="93">
      <pivotArea outline="0" fieldPosition="0">
        <references count="1">
          <reference field="4294967294" count="1" selected="0">
            <x v="24"/>
          </reference>
        </references>
      </pivotArea>
    </format>
    <format dxfId="92">
      <pivotArea outline="0" fieldPosition="0">
        <references count="1">
          <reference field="4294967294" count="1" selected="0">
            <x v="21"/>
          </reference>
        </references>
      </pivotArea>
    </format>
    <format dxfId="91">
      <pivotArea outline="0" fieldPosition="0">
        <references count="1">
          <reference field="4294967294" count="1" selected="0">
            <x v="25"/>
          </reference>
        </references>
      </pivotArea>
    </format>
    <format dxfId="90">
      <pivotArea outline="0" fieldPosition="0">
        <references count="1">
          <reference field="4294967294" count="2" selected="0">
            <x v="28"/>
            <x v="29"/>
          </reference>
        </references>
      </pivotArea>
    </format>
    <format dxfId="89">
      <pivotArea outline="0" fieldPosition="0">
        <references count="1">
          <reference field="4294967294" count="4" selected="0">
            <x v="34"/>
            <x v="35"/>
            <x v="36"/>
            <x v="37"/>
          </reference>
        </references>
      </pivotArea>
    </format>
    <format dxfId="88">
      <pivotArea outline="0" fieldPosition="0">
        <references count="1">
          <reference field="4294967294" count="2" selected="0">
            <x v="26"/>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3" cacheId="2"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12">
  <location ref="I1:K15" firstHeaderRow="0" firstDataRow="1" firstDataCol="1"/>
  <pivotFields count="7">
    <pivotField axis="axisRow" subtotalTop="0" showAll="0">
      <items count="8">
        <item x="0"/>
        <item h="1" x="1"/>
        <item h="1" x="2"/>
        <item h="1" x="3"/>
        <item h="1" x="4"/>
        <item h="1" x="5"/>
        <item h="1" x="6"/>
        <item t="default"/>
      </items>
    </pivotField>
    <pivotField axis="axisRow" subtotalTop="0" showAll="0">
      <items count="54">
        <item x="0"/>
        <item x="9"/>
        <item x="10"/>
        <item x="1"/>
        <item x="2"/>
        <item x="3"/>
        <item x="4"/>
        <item x="5"/>
        <item x="6"/>
        <item x="7"/>
        <item x="8"/>
        <item x="11"/>
        <item x="12"/>
        <item x="13"/>
        <item x="14"/>
        <item x="15"/>
        <item x="16"/>
        <item x="17"/>
        <item x="18"/>
        <item x="19"/>
        <item x="20"/>
        <item x="21"/>
        <item x="22"/>
        <item x="23"/>
        <item x="24"/>
        <item x="25"/>
        <item x="26"/>
        <item x="27"/>
        <item x="28"/>
        <item x="29"/>
        <item x="30"/>
        <item x="31"/>
        <item x="40"/>
        <item x="41"/>
        <item x="32"/>
        <item x="33"/>
        <item x="34"/>
        <item x="35"/>
        <item x="36"/>
        <item x="37"/>
        <item x="38"/>
        <item x="39"/>
        <item x="42"/>
        <item x="43"/>
        <item x="44"/>
        <item x="45"/>
        <item x="46"/>
        <item x="47"/>
        <item x="48"/>
        <item x="49"/>
        <item x="50"/>
        <item x="51"/>
        <item x="52"/>
        <item t="default"/>
      </items>
    </pivotField>
    <pivotField dataField="1" numFmtId="166" subtotalTop="0" showAll="0"/>
    <pivotField numFmtId="9" subtotalTop="0" showAll="0"/>
    <pivotField dataField="1" numFmtId="166" subtotalTop="0" showAll="0"/>
    <pivotField numFmtId="9" subtotalTop="0" showAll="0"/>
    <pivotField numFmtId="166" subtotalTop="0" showAll="0"/>
  </pivotFields>
  <rowFields count="2">
    <field x="0"/>
    <field x="1"/>
  </rowFields>
  <rowItems count="14">
    <i>
      <x/>
    </i>
    <i r="1">
      <x/>
    </i>
    <i r="1">
      <x v="1"/>
    </i>
    <i r="1">
      <x v="2"/>
    </i>
    <i r="1">
      <x v="3"/>
    </i>
    <i r="1">
      <x v="4"/>
    </i>
    <i r="1">
      <x v="5"/>
    </i>
    <i r="1">
      <x v="6"/>
    </i>
    <i r="1">
      <x v="7"/>
    </i>
    <i r="1">
      <x v="8"/>
    </i>
    <i r="1">
      <x v="9"/>
    </i>
    <i r="1">
      <x v="10"/>
    </i>
    <i t="default">
      <x/>
    </i>
    <i t="grand">
      <x/>
    </i>
  </rowItems>
  <colFields count="1">
    <field x="-2"/>
  </colFields>
  <colItems count="2">
    <i>
      <x/>
    </i>
    <i i="1">
      <x v="1"/>
    </i>
  </colItems>
  <dataFields count="2">
    <dataField name="Soma de Masc. RRT" fld="2" baseField="0" baseItem="0"/>
    <dataField name="Soma de Fem. RRT" fld="4" baseField="0" baseItem="0"/>
  </dataFields>
  <formats count="2">
    <format dxfId="17">
      <pivotArea outline="0" collapsedLevelsAreSubtotals="1" fieldPosition="0"/>
    </format>
    <format dxfId="16">
      <pivotArea dataOnly="0" labelOnly="1" outline="0" fieldPosition="0">
        <references count="1">
          <reference field="4294967294" count="2">
            <x v="0"/>
            <x v="1"/>
          </reference>
        </references>
      </pivotArea>
    </format>
  </formats>
  <chartFormats count="3">
    <chartFormat chart="9"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1"/>
          </reference>
        </references>
      </pivotArea>
    </chartFormat>
    <chartFormat chart="9" format="10">
      <pivotArea type="data" outline="0" fieldPosition="0">
        <references count="3">
          <reference field="4294967294" count="1" selected="0">
            <x v="0"/>
          </reference>
          <reference field="0"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UF" sourceName="UF">
  <pivotTables>
    <pivotTable tabId="66" name="Tabela dinâmica1"/>
  </pivotTables>
  <data>
    <tabular pivotCacheId="11">
      <items count="27">
        <i x="0"/>
        <i x="7"/>
        <i x="1"/>
        <i x="2"/>
        <i x="8"/>
        <i x="9"/>
        <i x="16"/>
        <i x="20"/>
        <i x="17"/>
        <i x="10"/>
        <i x="21"/>
        <i x="18"/>
        <i x="19"/>
        <i x="3"/>
        <i x="11"/>
        <i x="12"/>
        <i x="13"/>
        <i x="24" s="1"/>
        <i x="22"/>
        <i x="14"/>
        <i x="4"/>
        <i x="5"/>
        <i x="25"/>
        <i x="26"/>
        <i x="15"/>
        <i x="23"/>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Grupo" sourceName="Grupo">
  <pivotTables>
    <pivotTable tabId="69" name="Tabela dinâmica3"/>
  </pivotTables>
  <data>
    <tabular pivotCacheId="5">
      <items count="7">
        <i x="0" s="1"/>
        <i x="1"/>
        <i x="2"/>
        <i x="3"/>
        <i x="4"/>
        <i x="5"/>
        <i x="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UF" cache="SegmentaçãodeDados_UF" caption="UF" columnCount="2" style="CAU" rowHeight="288000"/>
</slicers>
</file>

<file path=xl/slicers/slicer2.xml><?xml version="1.0" encoding="utf-8"?>
<slicers xmlns="http://schemas.microsoft.com/office/spreadsheetml/2009/9/main" xmlns:mc="http://schemas.openxmlformats.org/markup-compatibility/2006" xmlns:x="http://schemas.openxmlformats.org/spreadsheetml/2006/main" mc:Ignorable="x">
  <slicer name="UF 2" cache="SegmentaçãodeDados_UF" caption="UF" columnCount="2" style="CAU" rowHeight="288000"/>
</slicers>
</file>

<file path=xl/slicers/slicer3.xml><?xml version="1.0" encoding="utf-8"?>
<slicers xmlns="http://schemas.microsoft.com/office/spreadsheetml/2009/9/main" xmlns:mc="http://schemas.openxmlformats.org/markup-compatibility/2006" xmlns:x="http://schemas.openxmlformats.org/spreadsheetml/2006/main" mc:Ignorable="x">
  <slicer name="UF 1" cache="SegmentaçãodeDados_UF" caption="UF" columnCount="2" style="CAU" rowHeight="288000"/>
</slicers>
</file>

<file path=xl/slicers/slicer4.xml><?xml version="1.0" encoding="utf-8"?>
<slicers xmlns="http://schemas.microsoft.com/office/spreadsheetml/2009/9/main" xmlns:mc="http://schemas.openxmlformats.org/markup-compatibility/2006" xmlns:x="http://schemas.openxmlformats.org/spreadsheetml/2006/main" mc:Ignorable="x">
  <slicer name="UF 3" cache="SegmentaçãodeDados_UF" caption="UF" columnCount="2" style="CAU" rowHeight="288000"/>
</slicers>
</file>

<file path=xl/slicers/slicer5.xml><?xml version="1.0" encoding="utf-8"?>
<slicers xmlns="http://schemas.microsoft.com/office/spreadsheetml/2009/9/main" xmlns:mc="http://schemas.openxmlformats.org/markup-compatibility/2006" xmlns:x="http://schemas.openxmlformats.org/spreadsheetml/2006/main" mc:Ignorable="x">
  <slicer name="UF 4" cache="SegmentaçãodeDados_UF" caption="UF" columnCount="2" style="CAU" rowHeight="288000"/>
</slicers>
</file>

<file path=xl/slicers/slicer6.xml><?xml version="1.0" encoding="utf-8"?>
<slicers xmlns="http://schemas.microsoft.com/office/spreadsheetml/2009/9/main" xmlns:mc="http://schemas.openxmlformats.org/markup-compatibility/2006" xmlns:x="http://schemas.openxmlformats.org/spreadsheetml/2006/main" mc:Ignorable="x">
  <slicer name="Grupo 1" cache="SegmentaçãodeDados_Grupo" caption="Grupo" columnCount="7" style="CAU" rowHeight="288000"/>
</slicers>
</file>

<file path=xl/slicers/slicer7.xml><?xml version="1.0" encoding="utf-8"?>
<slicers xmlns="http://schemas.microsoft.com/office/spreadsheetml/2009/9/main" xmlns:mc="http://schemas.openxmlformats.org/markup-compatibility/2006" xmlns:x="http://schemas.openxmlformats.org/spreadsheetml/2006/main" mc:Ignorable="x">
  <slicer name="UF 5" cache="SegmentaçãodeDados_UF" caption="UF" columnCount="2" style="CAU" rowHeight="288000"/>
</slicers>
</file>

<file path=xl/slicers/slicer8.xml><?xml version="1.0" encoding="utf-8"?>
<slicers xmlns="http://schemas.microsoft.com/office/spreadsheetml/2009/9/main" xmlns:mc="http://schemas.openxmlformats.org/markup-compatibility/2006" xmlns:x="http://schemas.openxmlformats.org/spreadsheetml/2006/main" mc:Ignorable="x">
  <slicer name="UF 7" cache="SegmentaçãodeDados_UF" caption="UF" columnCount="2" style="CAU" rowHeight="288000"/>
</slicers>
</file>

<file path=xl/tables/table1.xml><?xml version="1.0" encoding="utf-8"?>
<table xmlns="http://schemas.openxmlformats.org/spreadsheetml/2006/main" id="2" name="Tabela2" displayName="Tabela2" ref="B1:G55" totalsRowCount="1" headerRowDxfId="15" headerRowBorderDxfId="14" tableBorderDxfId="13" totalsRowBorderDxfId="12">
  <autoFilter ref="B1:G54"/>
  <tableColumns count="6">
    <tableColumn id="1" name="Subgrupo" dataDxfId="11" totalsRowDxfId="10"/>
    <tableColumn id="2" name="Masc. RRT" totalsRowFunction="sum" dataDxfId="9" totalsRowDxfId="8" dataCellStyle="Vírgula"/>
    <tableColumn id="3" name="Masc." dataDxfId="7" totalsRowDxfId="6" dataCellStyle="Porcentagem"/>
    <tableColumn id="4" name="Fem. RRT" totalsRowFunction="sum" dataDxfId="5" totalsRowDxfId="4" dataCellStyle="Vírgula"/>
    <tableColumn id="5" name="Fem." dataDxfId="3" totalsRowDxfId="2" dataCellStyle="Porcentagem"/>
    <tableColumn id="6" name="Total RRT" totalsRowFunction="sum" dataDxfId="1" totalsRowDxfId="0" dataCellStyle="Vírgula">
      <calculatedColumnFormula>C2+E2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R8" dT="2020-03-23T18:13:08.68" personId="{C04F7575-3164-44C0-8C8C-4BA338781F34}" id="{7E564A3A-4A4B-4569-A074-12D48F10BEEB}">
    <text>Esse percentual é o q vale, pois é a média geral de todos ufs e fontes de receitas dos últimos 3 anos, ajustar mensalmente selecionando o período acumulado (janeiro até o mês atual)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1.bin"/><Relationship Id="rId1" Type="http://schemas.openxmlformats.org/officeDocument/2006/relationships/pivotTable" Target="../pivotTables/pivotTable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44.bin"/><Relationship Id="rId4" Type="http://schemas.microsoft.com/office/2007/relationships/slicer" Target="../slicers/slicer2.xml"/></Relationships>
</file>

<file path=xl/worksheets/_rels/sheet4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2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7.xml"/><Relationship Id="rId1" Type="http://schemas.openxmlformats.org/officeDocument/2006/relationships/printerSettings" Target="../printerSettings/printerSettings46.bin"/><Relationship Id="rId4" Type="http://schemas.microsoft.com/office/2007/relationships/slicer" Target="../slicers/slicer4.xml"/></Relationships>
</file>

<file path=xl/worksheets/_rels/sheet4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2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2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3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63"/>
  <dimension ref="A1:R40"/>
  <sheetViews>
    <sheetView zoomScale="110" zoomScaleNormal="110" workbookViewId="0">
      <selection sqref="A1:AC1"/>
    </sheetView>
  </sheetViews>
  <sheetFormatPr defaultRowHeight="15"/>
  <cols>
    <col min="1" max="1" width="15.85546875" style="12" customWidth="1"/>
    <col min="2" max="10" width="15.28515625" style="12" customWidth="1"/>
    <col min="11" max="13" width="9.140625" style="12"/>
    <col min="14" max="14" width="14.42578125" style="12" bestFit="1" customWidth="1"/>
    <col min="15" max="16384" width="9.140625" style="12"/>
  </cols>
  <sheetData>
    <row r="1" spans="1:18">
      <c r="A1" s="253"/>
      <c r="B1" s="1219" t="s">
        <v>183</v>
      </c>
      <c r="C1" s="1219"/>
      <c r="D1" s="1219"/>
      <c r="E1" s="1219"/>
      <c r="F1" s="1219"/>
      <c r="G1" s="30" t="s">
        <v>28</v>
      </c>
      <c r="H1" s="1219" t="s">
        <v>184</v>
      </c>
      <c r="I1" s="1219"/>
      <c r="J1" s="1219"/>
    </row>
    <row r="2" spans="1:18" ht="57.75" customHeight="1">
      <c r="A2" s="47" t="s">
        <v>182</v>
      </c>
      <c r="B2" s="1004" t="s">
        <v>1083</v>
      </c>
      <c r="C2" s="1003" t="s">
        <v>1085</v>
      </c>
      <c r="D2" s="1003" t="s">
        <v>1086</v>
      </c>
      <c r="E2" s="1003" t="s">
        <v>1087</v>
      </c>
      <c r="F2" s="1003" t="s">
        <v>1088</v>
      </c>
      <c r="G2" s="1004" t="s">
        <v>1089</v>
      </c>
      <c r="H2" s="1003" t="s">
        <v>1090</v>
      </c>
      <c r="I2" s="1003" t="s">
        <v>1091</v>
      </c>
      <c r="J2" s="1003" t="s">
        <v>1092</v>
      </c>
      <c r="K2" s="1063"/>
      <c r="L2" s="1063"/>
    </row>
    <row r="3" spans="1:18">
      <c r="A3" s="47" t="s">
        <v>87</v>
      </c>
      <c r="B3" s="999">
        <v>6</v>
      </c>
      <c r="C3" s="999">
        <v>635</v>
      </c>
      <c r="D3" s="999">
        <v>557</v>
      </c>
      <c r="E3" s="999">
        <f>C3-D3</f>
        <v>78</v>
      </c>
      <c r="F3" s="999">
        <v>66</v>
      </c>
      <c r="G3" s="999">
        <v>2685</v>
      </c>
      <c r="H3" s="999">
        <v>132</v>
      </c>
      <c r="I3" s="999">
        <v>114</v>
      </c>
      <c r="J3" s="999">
        <f>H3-I3</f>
        <v>18</v>
      </c>
      <c r="K3" s="1069"/>
      <c r="L3" s="1069"/>
      <c r="M3" s="1069"/>
      <c r="N3" s="1069"/>
      <c r="O3" s="1069"/>
      <c r="P3" s="1069"/>
      <c r="Q3" s="1069"/>
      <c r="R3" s="1069"/>
    </row>
    <row r="4" spans="1:18">
      <c r="A4" s="47" t="s">
        <v>88</v>
      </c>
      <c r="B4" s="1001">
        <v>41</v>
      </c>
      <c r="C4" s="1001">
        <v>1983</v>
      </c>
      <c r="D4" s="1001">
        <v>1901</v>
      </c>
      <c r="E4" s="1001">
        <f t="shared" ref="E4:E29" si="0">C4-D4</f>
        <v>82</v>
      </c>
      <c r="F4" s="1001">
        <v>101</v>
      </c>
      <c r="G4" s="1001">
        <v>6640</v>
      </c>
      <c r="H4" s="1001">
        <v>152</v>
      </c>
      <c r="I4" s="1001">
        <v>142</v>
      </c>
      <c r="J4" s="1001">
        <f t="shared" ref="J4:J27" si="1">H4-I4</f>
        <v>10</v>
      </c>
      <c r="K4" s="1069"/>
      <c r="L4" s="1069"/>
      <c r="M4" s="1069"/>
      <c r="N4" s="1069"/>
      <c r="O4" s="1069"/>
      <c r="P4" s="1069"/>
      <c r="Q4" s="1069"/>
      <c r="R4" s="1069"/>
    </row>
    <row r="5" spans="1:18">
      <c r="A5" s="47" t="s">
        <v>90</v>
      </c>
      <c r="B5" s="999">
        <v>7</v>
      </c>
      <c r="C5" s="999">
        <v>1744</v>
      </c>
      <c r="D5" s="999">
        <v>1898</v>
      </c>
      <c r="E5" s="999">
        <f t="shared" si="0"/>
        <v>-154</v>
      </c>
      <c r="F5" s="999">
        <v>103</v>
      </c>
      <c r="G5" s="999">
        <v>6192</v>
      </c>
      <c r="H5" s="999">
        <v>238</v>
      </c>
      <c r="I5" s="999">
        <v>247</v>
      </c>
      <c r="J5" s="999">
        <f t="shared" si="1"/>
        <v>-9</v>
      </c>
      <c r="K5" s="1069"/>
      <c r="L5" s="1069"/>
      <c r="M5" s="1069"/>
      <c r="N5" s="1069"/>
      <c r="O5" s="1069"/>
      <c r="P5" s="1069"/>
      <c r="Q5" s="1069"/>
      <c r="R5" s="1069"/>
    </row>
    <row r="6" spans="1:18">
      <c r="A6" s="47" t="s">
        <v>89</v>
      </c>
      <c r="B6" s="1001">
        <v>5</v>
      </c>
      <c r="C6" s="1001">
        <v>748</v>
      </c>
      <c r="D6" s="1001">
        <v>683</v>
      </c>
      <c r="E6" s="1001">
        <f t="shared" si="0"/>
        <v>65</v>
      </c>
      <c r="F6" s="1001">
        <v>40</v>
      </c>
      <c r="G6" s="1001">
        <v>3373</v>
      </c>
      <c r="H6" s="1001">
        <v>256</v>
      </c>
      <c r="I6" s="1001">
        <v>239</v>
      </c>
      <c r="J6" s="1001">
        <f t="shared" si="1"/>
        <v>17</v>
      </c>
      <c r="K6" s="1069"/>
      <c r="L6" s="1069"/>
      <c r="M6" s="1069"/>
      <c r="N6" s="1069"/>
      <c r="O6" s="1069"/>
      <c r="P6" s="1069"/>
      <c r="Q6" s="1069"/>
      <c r="R6" s="1069"/>
    </row>
    <row r="7" spans="1:18">
      <c r="A7" s="47" t="s">
        <v>91</v>
      </c>
      <c r="B7" s="999">
        <v>614</v>
      </c>
      <c r="C7" s="999">
        <v>6492</v>
      </c>
      <c r="D7" s="999">
        <v>5868</v>
      </c>
      <c r="E7" s="999">
        <f t="shared" si="0"/>
        <v>624</v>
      </c>
      <c r="F7" s="999">
        <v>573</v>
      </c>
      <c r="G7" s="999">
        <v>17122</v>
      </c>
      <c r="H7" s="999">
        <v>957</v>
      </c>
      <c r="I7" s="999">
        <v>920</v>
      </c>
      <c r="J7" s="999">
        <f t="shared" si="1"/>
        <v>37</v>
      </c>
      <c r="K7" s="1069"/>
      <c r="L7" s="1069"/>
      <c r="M7" s="1069"/>
      <c r="N7" s="1069"/>
      <c r="O7" s="1069"/>
      <c r="P7" s="1069"/>
      <c r="Q7" s="1069"/>
      <c r="R7" s="1069"/>
    </row>
    <row r="8" spans="1:18">
      <c r="A8" s="47" t="s">
        <v>92</v>
      </c>
      <c r="B8" s="1001">
        <v>137</v>
      </c>
      <c r="C8" s="1001">
        <v>3872</v>
      </c>
      <c r="D8" s="1001">
        <v>3252</v>
      </c>
      <c r="E8" s="1001">
        <f t="shared" si="0"/>
        <v>620</v>
      </c>
      <c r="F8" s="1001">
        <v>471</v>
      </c>
      <c r="G8" s="1001">
        <v>11420</v>
      </c>
      <c r="H8" s="1001">
        <v>390</v>
      </c>
      <c r="I8" s="1001">
        <v>342</v>
      </c>
      <c r="J8" s="1001">
        <f t="shared" si="1"/>
        <v>48</v>
      </c>
      <c r="K8" s="1069"/>
      <c r="L8" s="1069"/>
      <c r="M8" s="1069"/>
      <c r="N8" s="1069"/>
      <c r="O8" s="1069"/>
      <c r="P8" s="1069"/>
      <c r="Q8" s="1069"/>
      <c r="R8" s="1069"/>
    </row>
    <row r="9" spans="1:18">
      <c r="A9" s="47" t="s">
        <v>93</v>
      </c>
      <c r="B9" s="999">
        <v>365</v>
      </c>
      <c r="C9" s="999">
        <v>6203</v>
      </c>
      <c r="D9" s="999">
        <v>5733</v>
      </c>
      <c r="E9" s="999">
        <f t="shared" si="0"/>
        <v>470</v>
      </c>
      <c r="F9" s="999">
        <v>337</v>
      </c>
      <c r="G9" s="999">
        <v>17197</v>
      </c>
      <c r="H9" s="999">
        <v>734</v>
      </c>
      <c r="I9" s="999">
        <v>697</v>
      </c>
      <c r="J9" s="999">
        <f t="shared" si="1"/>
        <v>37</v>
      </c>
      <c r="K9" s="1069"/>
      <c r="L9" s="1069"/>
      <c r="M9" s="1069"/>
      <c r="N9" s="1069"/>
      <c r="O9" s="1069"/>
      <c r="P9" s="1069"/>
      <c r="Q9" s="1069"/>
      <c r="R9" s="1069"/>
    </row>
    <row r="10" spans="1:18">
      <c r="A10" s="47" t="s">
        <v>94</v>
      </c>
      <c r="B10" s="1001">
        <v>54</v>
      </c>
      <c r="C10" s="1001">
        <v>3559</v>
      </c>
      <c r="D10" s="1001">
        <v>3181</v>
      </c>
      <c r="E10" s="1001">
        <f t="shared" si="0"/>
        <v>378</v>
      </c>
      <c r="F10" s="1001">
        <v>264</v>
      </c>
      <c r="G10" s="1001">
        <v>13559</v>
      </c>
      <c r="H10" s="1001">
        <v>452</v>
      </c>
      <c r="I10" s="1001">
        <v>420</v>
      </c>
      <c r="J10" s="1001">
        <f t="shared" si="1"/>
        <v>32</v>
      </c>
      <c r="K10" s="1069"/>
      <c r="L10" s="1069"/>
      <c r="M10" s="1069"/>
      <c r="N10" s="1069"/>
      <c r="O10" s="1069"/>
      <c r="P10" s="1069"/>
      <c r="Q10" s="1069"/>
      <c r="R10" s="1069"/>
    </row>
    <row r="11" spans="1:18">
      <c r="A11" s="47" t="s">
        <v>95</v>
      </c>
      <c r="B11" s="999">
        <v>139</v>
      </c>
      <c r="C11" s="999">
        <v>4702</v>
      </c>
      <c r="D11" s="999">
        <v>4324</v>
      </c>
      <c r="E11" s="999">
        <f t="shared" si="0"/>
        <v>378</v>
      </c>
      <c r="F11" s="999">
        <v>321</v>
      </c>
      <c r="G11" s="999">
        <v>27819</v>
      </c>
      <c r="H11" s="999">
        <v>670</v>
      </c>
      <c r="I11" s="999">
        <v>618</v>
      </c>
      <c r="J11" s="999">
        <f t="shared" si="1"/>
        <v>52</v>
      </c>
      <c r="K11" s="1069"/>
      <c r="L11" s="1069"/>
      <c r="M11" s="1069"/>
      <c r="N11" s="1069"/>
      <c r="O11" s="1069"/>
      <c r="P11" s="1069"/>
      <c r="Q11" s="1069"/>
      <c r="R11" s="1069"/>
    </row>
    <row r="12" spans="1:18">
      <c r="A12" s="47" t="s">
        <v>96</v>
      </c>
      <c r="B12" s="1001">
        <v>17</v>
      </c>
      <c r="C12" s="1001">
        <v>1776</v>
      </c>
      <c r="D12" s="1001">
        <v>1523</v>
      </c>
      <c r="E12" s="1001">
        <f t="shared" si="0"/>
        <v>253</v>
      </c>
      <c r="F12" s="1001">
        <v>172</v>
      </c>
      <c r="G12" s="1001">
        <v>4498</v>
      </c>
      <c r="H12" s="1001">
        <v>272</v>
      </c>
      <c r="I12" s="1001">
        <v>255</v>
      </c>
      <c r="J12" s="1001">
        <f t="shared" si="1"/>
        <v>17</v>
      </c>
      <c r="K12" s="1069"/>
      <c r="L12" s="1069"/>
      <c r="M12" s="1069"/>
      <c r="N12" s="1069"/>
      <c r="O12" s="1069"/>
      <c r="P12" s="1069"/>
      <c r="Q12" s="1069"/>
      <c r="R12" s="1069"/>
    </row>
    <row r="13" spans="1:18">
      <c r="A13" s="47" t="s">
        <v>99</v>
      </c>
      <c r="B13" s="999">
        <v>501</v>
      </c>
      <c r="C13" s="999">
        <v>15690</v>
      </c>
      <c r="D13" s="999">
        <v>14218</v>
      </c>
      <c r="E13" s="999">
        <f t="shared" si="0"/>
        <v>1472</v>
      </c>
      <c r="F13" s="999">
        <v>1048</v>
      </c>
      <c r="G13" s="999">
        <v>50211</v>
      </c>
      <c r="H13" s="999">
        <v>1738</v>
      </c>
      <c r="I13" s="999">
        <v>1827</v>
      </c>
      <c r="J13" s="999">
        <f t="shared" si="1"/>
        <v>-89</v>
      </c>
      <c r="K13" s="1069"/>
      <c r="L13" s="1069"/>
      <c r="M13" s="1069"/>
      <c r="N13" s="1069"/>
      <c r="O13" s="1069"/>
      <c r="P13" s="1069"/>
      <c r="Q13" s="1069"/>
      <c r="R13" s="1069"/>
    </row>
    <row r="14" spans="1:18">
      <c r="A14" s="47" t="s">
        <v>98</v>
      </c>
      <c r="B14" s="1001">
        <v>40</v>
      </c>
      <c r="C14" s="1001">
        <v>3285</v>
      </c>
      <c r="D14" s="1001">
        <v>3023</v>
      </c>
      <c r="E14" s="1001">
        <f t="shared" si="0"/>
        <v>262</v>
      </c>
      <c r="F14" s="1001">
        <v>179</v>
      </c>
      <c r="G14" s="1001">
        <v>19629</v>
      </c>
      <c r="H14" s="1001">
        <v>638</v>
      </c>
      <c r="I14" s="1001">
        <v>596</v>
      </c>
      <c r="J14" s="1001">
        <f t="shared" si="1"/>
        <v>42</v>
      </c>
      <c r="K14" s="1069"/>
      <c r="L14" s="1069"/>
      <c r="M14" s="1069"/>
      <c r="N14" s="1069"/>
      <c r="O14" s="1069"/>
      <c r="P14" s="1069"/>
      <c r="Q14" s="1069"/>
      <c r="R14" s="1069"/>
    </row>
    <row r="15" spans="1:18">
      <c r="A15" s="47" t="s">
        <v>97</v>
      </c>
      <c r="B15" s="999">
        <v>39</v>
      </c>
      <c r="C15" s="999">
        <v>3178</v>
      </c>
      <c r="D15" s="999">
        <v>2910</v>
      </c>
      <c r="E15" s="999">
        <f t="shared" si="0"/>
        <v>268</v>
      </c>
      <c r="F15" s="999">
        <v>244</v>
      </c>
      <c r="G15" s="999">
        <v>29385</v>
      </c>
      <c r="H15" s="999">
        <v>585</v>
      </c>
      <c r="I15" s="999">
        <v>527</v>
      </c>
      <c r="J15" s="999">
        <f t="shared" si="1"/>
        <v>58</v>
      </c>
      <c r="K15" s="1069"/>
      <c r="L15" s="1069"/>
      <c r="M15" s="1069"/>
      <c r="N15" s="1069"/>
      <c r="O15" s="1069"/>
      <c r="P15" s="1069"/>
      <c r="Q15" s="1069"/>
      <c r="R15" s="1069"/>
    </row>
    <row r="16" spans="1:18">
      <c r="A16" s="47" t="s">
        <v>100</v>
      </c>
      <c r="B16" s="1001">
        <v>114</v>
      </c>
      <c r="C16" s="1001">
        <v>2911</v>
      </c>
      <c r="D16" s="1001">
        <v>2662</v>
      </c>
      <c r="E16" s="1001">
        <f t="shared" si="0"/>
        <v>249</v>
      </c>
      <c r="F16" s="1001">
        <v>197</v>
      </c>
      <c r="G16" s="1001">
        <v>7688</v>
      </c>
      <c r="H16" s="1001">
        <v>382</v>
      </c>
      <c r="I16" s="1001">
        <v>398</v>
      </c>
      <c r="J16" s="1001">
        <f t="shared" si="1"/>
        <v>-16</v>
      </c>
      <c r="K16" s="1069"/>
      <c r="L16" s="1069"/>
      <c r="M16" s="1069"/>
      <c r="N16" s="1069"/>
      <c r="O16" s="1069"/>
      <c r="P16" s="1069"/>
      <c r="Q16" s="1069"/>
      <c r="R16" s="1069"/>
    </row>
    <row r="17" spans="1:18">
      <c r="A17" s="47" t="s">
        <v>101</v>
      </c>
      <c r="B17" s="999">
        <v>31</v>
      </c>
      <c r="C17" s="999">
        <v>2639</v>
      </c>
      <c r="D17" s="999">
        <v>2358</v>
      </c>
      <c r="E17" s="999">
        <f t="shared" si="0"/>
        <v>281</v>
      </c>
      <c r="F17" s="999">
        <v>275</v>
      </c>
      <c r="G17" s="999">
        <v>9518</v>
      </c>
      <c r="H17" s="999">
        <v>480</v>
      </c>
      <c r="I17" s="999">
        <v>461</v>
      </c>
      <c r="J17" s="999">
        <f t="shared" si="1"/>
        <v>19</v>
      </c>
      <c r="K17" s="1069"/>
      <c r="L17" s="1069"/>
      <c r="M17" s="1069"/>
      <c r="N17" s="1069"/>
      <c r="O17" s="1069"/>
      <c r="P17" s="1069"/>
      <c r="Q17" s="1069"/>
      <c r="R17" s="1069"/>
    </row>
    <row r="18" spans="1:18">
      <c r="A18" s="47" t="s">
        <v>103</v>
      </c>
      <c r="B18" s="1001">
        <v>293</v>
      </c>
      <c r="C18" s="1001">
        <v>4886</v>
      </c>
      <c r="D18" s="1001">
        <v>4515</v>
      </c>
      <c r="E18" s="1001">
        <f t="shared" si="0"/>
        <v>371</v>
      </c>
      <c r="F18" s="1001">
        <v>332</v>
      </c>
      <c r="G18" s="1001">
        <v>15054</v>
      </c>
      <c r="H18" s="1001">
        <v>528</v>
      </c>
      <c r="I18" s="1001">
        <v>536</v>
      </c>
      <c r="J18" s="1001">
        <f>H18-I18</f>
        <v>-8</v>
      </c>
      <c r="K18" s="1069"/>
      <c r="L18" s="1069"/>
      <c r="M18" s="1069"/>
      <c r="N18" s="1069"/>
      <c r="O18" s="1069"/>
      <c r="P18" s="1069"/>
      <c r="Q18" s="1069"/>
      <c r="R18" s="1069"/>
    </row>
    <row r="19" spans="1:18">
      <c r="A19" s="47" t="s">
        <v>104</v>
      </c>
      <c r="B19" s="999">
        <v>27</v>
      </c>
      <c r="C19" s="999">
        <v>1337</v>
      </c>
      <c r="D19" s="999">
        <v>1192</v>
      </c>
      <c r="E19" s="999">
        <f t="shared" si="0"/>
        <v>145</v>
      </c>
      <c r="F19" s="999">
        <v>148</v>
      </c>
      <c r="G19" s="999">
        <v>4635</v>
      </c>
      <c r="H19" s="999">
        <v>239</v>
      </c>
      <c r="I19" s="999">
        <v>209</v>
      </c>
      <c r="J19" s="999">
        <f t="shared" si="1"/>
        <v>30</v>
      </c>
      <c r="K19" s="1069"/>
      <c r="L19" s="1069"/>
      <c r="M19" s="1069"/>
      <c r="N19" s="1069"/>
      <c r="O19" s="1069"/>
      <c r="P19" s="1069"/>
      <c r="Q19" s="1069"/>
      <c r="R19" s="1069"/>
    </row>
    <row r="20" spans="1:18">
      <c r="A20" s="47" t="s">
        <v>102</v>
      </c>
      <c r="B20" s="1001">
        <v>273</v>
      </c>
      <c r="C20" s="1001">
        <v>12788</v>
      </c>
      <c r="D20" s="1001">
        <v>11806</v>
      </c>
      <c r="E20" s="1001">
        <f t="shared" si="0"/>
        <v>982</v>
      </c>
      <c r="F20" s="1001">
        <v>995</v>
      </c>
      <c r="G20" s="1001">
        <v>74516</v>
      </c>
      <c r="H20" s="1001">
        <v>2666</v>
      </c>
      <c r="I20" s="1001">
        <v>2593</v>
      </c>
      <c r="J20" s="1001">
        <f t="shared" si="1"/>
        <v>73</v>
      </c>
      <c r="K20" s="1069"/>
      <c r="L20" s="1069"/>
      <c r="M20" s="1069"/>
      <c r="N20" s="1069"/>
      <c r="O20" s="1069"/>
      <c r="P20" s="1069"/>
      <c r="Q20" s="1069"/>
      <c r="R20" s="1069"/>
    </row>
    <row r="21" spans="1:18">
      <c r="A21" s="47" t="s">
        <v>105</v>
      </c>
      <c r="B21" s="999">
        <v>2534</v>
      </c>
      <c r="C21" s="999">
        <v>20366</v>
      </c>
      <c r="D21" s="999">
        <v>19869</v>
      </c>
      <c r="E21" s="999">
        <f t="shared" si="0"/>
        <v>497</v>
      </c>
      <c r="F21" s="999">
        <v>614</v>
      </c>
      <c r="G21" s="999">
        <v>48694</v>
      </c>
      <c r="H21" s="999">
        <v>2780</v>
      </c>
      <c r="I21" s="999">
        <v>2768</v>
      </c>
      <c r="J21" s="999">
        <f t="shared" si="1"/>
        <v>12</v>
      </c>
      <c r="K21" s="1069"/>
      <c r="L21" s="1069"/>
      <c r="M21" s="1069"/>
      <c r="N21" s="1069"/>
      <c r="O21" s="1069"/>
      <c r="P21" s="1069"/>
      <c r="Q21" s="1069"/>
      <c r="R21" s="1069"/>
    </row>
    <row r="22" spans="1:18">
      <c r="A22" s="47" t="s">
        <v>106</v>
      </c>
      <c r="B22" s="1001">
        <v>34</v>
      </c>
      <c r="C22" s="1001">
        <v>2487</v>
      </c>
      <c r="D22" s="1001">
        <v>2345</v>
      </c>
      <c r="E22" s="1001">
        <f t="shared" si="0"/>
        <v>142</v>
      </c>
      <c r="F22" s="1001">
        <v>191</v>
      </c>
      <c r="G22" s="1001">
        <v>8016</v>
      </c>
      <c r="H22" s="1001">
        <v>295</v>
      </c>
      <c r="I22" s="1001">
        <v>280</v>
      </c>
      <c r="J22" s="1001">
        <f t="shared" si="1"/>
        <v>15</v>
      </c>
      <c r="K22" s="1069"/>
      <c r="L22" s="1069"/>
      <c r="M22" s="1069"/>
      <c r="N22" s="1069"/>
      <c r="O22" s="1069"/>
      <c r="P22" s="1069"/>
      <c r="Q22" s="1069"/>
      <c r="R22" s="1069"/>
    </row>
    <row r="23" spans="1:18">
      <c r="A23" s="47" t="s">
        <v>108</v>
      </c>
      <c r="B23" s="999">
        <v>6</v>
      </c>
      <c r="C23" s="999">
        <v>1224</v>
      </c>
      <c r="D23" s="999">
        <v>1052</v>
      </c>
      <c r="E23" s="999">
        <f t="shared" si="0"/>
        <v>172</v>
      </c>
      <c r="F23" s="999">
        <v>146</v>
      </c>
      <c r="G23" s="999">
        <v>9679</v>
      </c>
      <c r="H23" s="999">
        <v>216</v>
      </c>
      <c r="I23" s="999">
        <v>198</v>
      </c>
      <c r="J23" s="999">
        <f t="shared" si="1"/>
        <v>18</v>
      </c>
      <c r="K23" s="1069"/>
      <c r="L23" s="1069"/>
      <c r="M23" s="1069"/>
      <c r="N23" s="1069"/>
      <c r="O23" s="1069"/>
      <c r="P23" s="1069"/>
      <c r="Q23" s="1069"/>
      <c r="R23" s="1069"/>
    </row>
    <row r="24" spans="1:18">
      <c r="A24" s="47" t="s">
        <v>109</v>
      </c>
      <c r="B24" s="1001">
        <v>7</v>
      </c>
      <c r="C24" s="1001">
        <v>223</v>
      </c>
      <c r="D24" s="1001">
        <v>214</v>
      </c>
      <c r="E24" s="1001">
        <f t="shared" si="0"/>
        <v>9</v>
      </c>
      <c r="F24" s="1001">
        <v>13</v>
      </c>
      <c r="G24" s="1001">
        <v>1191</v>
      </c>
      <c r="H24" s="1001">
        <v>59</v>
      </c>
      <c r="I24" s="1001">
        <v>53</v>
      </c>
      <c r="J24" s="1001">
        <f t="shared" si="1"/>
        <v>6</v>
      </c>
      <c r="K24" s="1069"/>
      <c r="L24" s="1069"/>
      <c r="M24" s="1069"/>
      <c r="N24" s="1069"/>
      <c r="O24" s="1069"/>
      <c r="P24" s="1069"/>
      <c r="Q24" s="1069"/>
      <c r="R24" s="1069"/>
    </row>
    <row r="25" spans="1:18">
      <c r="A25" s="47" t="s">
        <v>107</v>
      </c>
      <c r="B25" s="999">
        <v>636</v>
      </c>
      <c r="C25" s="999">
        <v>16438</v>
      </c>
      <c r="D25" s="999">
        <v>15519</v>
      </c>
      <c r="E25" s="999">
        <f t="shared" si="0"/>
        <v>919</v>
      </c>
      <c r="F25" s="999">
        <v>989</v>
      </c>
      <c r="G25" s="999">
        <v>86272</v>
      </c>
      <c r="H25" s="999">
        <v>2709</v>
      </c>
      <c r="I25" s="999">
        <v>2593</v>
      </c>
      <c r="J25" s="999">
        <f t="shared" si="1"/>
        <v>116</v>
      </c>
      <c r="K25" s="1069"/>
      <c r="L25" s="1069"/>
      <c r="M25" s="1069"/>
      <c r="N25" s="1069"/>
      <c r="O25" s="1069"/>
      <c r="P25" s="1069"/>
      <c r="Q25" s="1069"/>
      <c r="R25" s="1069"/>
    </row>
    <row r="26" spans="1:18">
      <c r="A26" s="47" t="s">
        <v>110</v>
      </c>
      <c r="B26" s="1001">
        <v>156</v>
      </c>
      <c r="C26" s="1001">
        <v>10476</v>
      </c>
      <c r="D26" s="1001">
        <v>9572</v>
      </c>
      <c r="E26" s="1001">
        <f t="shared" si="0"/>
        <v>904</v>
      </c>
      <c r="F26" s="1001">
        <v>719</v>
      </c>
      <c r="G26" s="1001">
        <v>54618</v>
      </c>
      <c r="H26" s="1001">
        <v>1733</v>
      </c>
      <c r="I26" s="1001">
        <v>1620</v>
      </c>
      <c r="J26" s="1001">
        <f t="shared" si="1"/>
        <v>113</v>
      </c>
      <c r="K26" s="1069"/>
      <c r="L26" s="1069"/>
      <c r="M26" s="1069"/>
      <c r="N26" s="1069"/>
      <c r="O26" s="1069"/>
      <c r="P26" s="1069"/>
      <c r="Q26" s="1069"/>
      <c r="R26" s="1069"/>
    </row>
    <row r="27" spans="1:18">
      <c r="A27" s="47" t="s">
        <v>112</v>
      </c>
      <c r="B27" s="999">
        <v>24</v>
      </c>
      <c r="C27" s="999">
        <v>1444</v>
      </c>
      <c r="D27" s="999">
        <v>1326</v>
      </c>
      <c r="E27" s="999">
        <f t="shared" si="0"/>
        <v>118</v>
      </c>
      <c r="F27" s="999">
        <v>126</v>
      </c>
      <c r="G27" s="999">
        <v>6810</v>
      </c>
      <c r="H27" s="999">
        <v>161</v>
      </c>
      <c r="I27" s="999">
        <v>155</v>
      </c>
      <c r="J27" s="999">
        <f t="shared" si="1"/>
        <v>6</v>
      </c>
      <c r="K27" s="1069"/>
      <c r="L27" s="1069"/>
      <c r="M27" s="1069"/>
      <c r="N27" s="1069"/>
      <c r="O27" s="1069"/>
      <c r="P27" s="1069"/>
      <c r="Q27" s="1069"/>
      <c r="R27" s="1069"/>
    </row>
    <row r="28" spans="1:18">
      <c r="A28" s="47" t="s">
        <v>111</v>
      </c>
      <c r="B28" s="1001">
        <v>3042</v>
      </c>
      <c r="C28" s="1001">
        <v>61253</v>
      </c>
      <c r="D28" s="1001">
        <v>57229</v>
      </c>
      <c r="E28" s="1001">
        <f t="shared" si="0"/>
        <v>4024</v>
      </c>
      <c r="F28" s="1001">
        <v>2977</v>
      </c>
      <c r="G28" s="1001">
        <v>298424</v>
      </c>
      <c r="H28" s="1001">
        <v>7514</v>
      </c>
      <c r="I28" s="1001">
        <v>7155</v>
      </c>
      <c r="J28" s="1001">
        <f>H28-I28</f>
        <v>359</v>
      </c>
      <c r="K28" s="1069"/>
      <c r="L28" s="1069"/>
      <c r="M28" s="1069"/>
      <c r="N28" s="1069"/>
      <c r="O28" s="1069"/>
      <c r="P28" s="1069"/>
      <c r="Q28" s="1069"/>
      <c r="R28" s="1069"/>
    </row>
    <row r="29" spans="1:18">
      <c r="A29" s="47" t="s">
        <v>113</v>
      </c>
      <c r="B29" s="999">
        <v>11</v>
      </c>
      <c r="C29" s="999">
        <v>751</v>
      </c>
      <c r="D29" s="999">
        <v>698</v>
      </c>
      <c r="E29" s="999">
        <f t="shared" si="0"/>
        <v>53</v>
      </c>
      <c r="F29" s="999">
        <v>62</v>
      </c>
      <c r="G29" s="999">
        <v>4565</v>
      </c>
      <c r="H29" s="999">
        <v>190</v>
      </c>
      <c r="I29" s="999">
        <v>195</v>
      </c>
      <c r="J29" s="999">
        <f t="shared" ref="J29" si="2">H29-I29</f>
        <v>-5</v>
      </c>
      <c r="K29" s="1069"/>
      <c r="L29" s="1069"/>
      <c r="M29" s="1069"/>
      <c r="N29" s="1069"/>
      <c r="O29" s="1069"/>
      <c r="P29" s="1069"/>
      <c r="Q29" s="1069"/>
      <c r="R29" s="1069"/>
    </row>
    <row r="30" spans="1:18">
      <c r="A30" s="47" t="s">
        <v>306</v>
      </c>
      <c r="B30" s="1000">
        <f>SUM(B3:B29)</f>
        <v>9153</v>
      </c>
      <c r="C30" s="1000">
        <f t="shared" ref="C30:E30" si="3">SUM(C3:C29)</f>
        <v>193090</v>
      </c>
      <c r="D30" s="1000">
        <f t="shared" si="3"/>
        <v>179428</v>
      </c>
      <c r="E30" s="1000">
        <f t="shared" si="3"/>
        <v>13662</v>
      </c>
      <c r="F30" s="1000">
        <f>SUM(F3:F29)</f>
        <v>11703</v>
      </c>
      <c r="G30" s="1000">
        <f>SUM(G3:G29)</f>
        <v>839410</v>
      </c>
      <c r="H30" s="1000">
        <f>SUM(H3:H29)</f>
        <v>27166</v>
      </c>
      <c r="I30" s="1000">
        <f>SUM(I3:I29)</f>
        <v>26158</v>
      </c>
      <c r="J30" s="1000">
        <f>H30-I30</f>
        <v>1008</v>
      </c>
      <c r="K30" s="1069"/>
      <c r="L30" s="1069"/>
      <c r="M30" s="1069"/>
      <c r="N30" s="1069"/>
      <c r="O30" s="1069"/>
      <c r="P30" s="1069"/>
      <c r="Q30" s="1069"/>
      <c r="R30" s="1069"/>
    </row>
    <row r="32" spans="1:18" s="1110" customFormat="1" ht="35.25" customHeight="1">
      <c r="A32" s="1218" t="s">
        <v>1139</v>
      </c>
      <c r="B32" s="1218"/>
      <c r="C32" s="1218"/>
      <c r="D32" s="1218"/>
      <c r="E32" s="1218"/>
      <c r="F32" s="1218"/>
      <c r="G32" s="1218"/>
      <c r="H32" s="1218"/>
      <c r="I32" s="1218"/>
      <c r="J32" s="1218"/>
    </row>
    <row r="33" spans="1:10" s="1110" customFormat="1" ht="35.25" customHeight="1">
      <c r="A33" s="1218" t="s">
        <v>1140</v>
      </c>
      <c r="B33" s="1218"/>
      <c r="C33" s="1218"/>
      <c r="D33" s="1218"/>
      <c r="E33" s="1218"/>
      <c r="F33" s="1218"/>
      <c r="G33" s="1218"/>
      <c r="H33" s="1218"/>
      <c r="I33" s="1218"/>
      <c r="J33" s="1218"/>
    </row>
    <row r="34" spans="1:10" s="1110" customFormat="1" ht="35.25" customHeight="1">
      <c r="A34" s="1218" t="s">
        <v>1141</v>
      </c>
      <c r="B34" s="1218"/>
      <c r="C34" s="1218"/>
      <c r="D34" s="1218"/>
      <c r="E34" s="1218"/>
      <c r="F34" s="1218"/>
      <c r="G34" s="1218"/>
      <c r="H34" s="1218"/>
      <c r="I34" s="1218"/>
      <c r="J34" s="1218"/>
    </row>
    <row r="35" spans="1:10" s="1110" customFormat="1" ht="35.25" customHeight="1">
      <c r="A35" s="1218" t="s">
        <v>1093</v>
      </c>
      <c r="B35" s="1218"/>
      <c r="C35" s="1218"/>
      <c r="D35" s="1218"/>
      <c r="E35" s="1218"/>
      <c r="F35" s="1218"/>
      <c r="G35" s="1218"/>
      <c r="H35" s="1218"/>
      <c r="I35" s="1218"/>
      <c r="J35" s="1218"/>
    </row>
    <row r="36" spans="1:10" ht="35.25" customHeight="1">
      <c r="A36" s="1215" t="s">
        <v>1142</v>
      </c>
      <c r="B36" s="1216"/>
      <c r="C36" s="1216"/>
      <c r="D36" s="1216"/>
      <c r="E36" s="1216"/>
      <c r="F36" s="1216"/>
      <c r="G36" s="1216"/>
      <c r="H36" s="1216"/>
      <c r="I36" s="1216"/>
      <c r="J36" s="1217"/>
    </row>
    <row r="37" spans="1:10" s="1110" customFormat="1" ht="35.25" customHeight="1">
      <c r="A37" s="1215" t="s">
        <v>1143</v>
      </c>
      <c r="B37" s="1216"/>
      <c r="C37" s="1216"/>
      <c r="D37" s="1216"/>
      <c r="E37" s="1216"/>
      <c r="F37" s="1216"/>
      <c r="G37" s="1216"/>
      <c r="H37" s="1216"/>
      <c r="I37" s="1216"/>
      <c r="J37" s="1217"/>
    </row>
    <row r="38" spans="1:10" ht="35.25" customHeight="1">
      <c r="A38" s="1215" t="s">
        <v>1144</v>
      </c>
      <c r="B38" s="1216"/>
      <c r="C38" s="1216"/>
      <c r="D38" s="1216"/>
      <c r="E38" s="1216"/>
      <c r="F38" s="1216"/>
      <c r="G38" s="1216"/>
      <c r="H38" s="1216"/>
      <c r="I38" s="1216"/>
      <c r="J38" s="1217"/>
    </row>
    <row r="39" spans="1:10" ht="35.25" customHeight="1">
      <c r="A39" s="1215" t="s">
        <v>1145</v>
      </c>
      <c r="B39" s="1216"/>
      <c r="C39" s="1216"/>
      <c r="D39" s="1216"/>
      <c r="E39" s="1216"/>
      <c r="F39" s="1216"/>
      <c r="G39" s="1216"/>
      <c r="H39" s="1216"/>
      <c r="I39" s="1216"/>
      <c r="J39" s="1217"/>
    </row>
    <row r="40" spans="1:10" ht="35.25" customHeight="1">
      <c r="A40" s="1215" t="s">
        <v>1094</v>
      </c>
      <c r="B40" s="1216"/>
      <c r="C40" s="1216"/>
      <c r="D40" s="1216"/>
      <c r="E40" s="1216"/>
      <c r="F40" s="1216"/>
      <c r="G40" s="1216"/>
      <c r="H40" s="1216"/>
      <c r="I40" s="1216"/>
      <c r="J40" s="1217"/>
    </row>
  </sheetData>
  <mergeCells count="11">
    <mergeCell ref="H1:J1"/>
    <mergeCell ref="B1:F1"/>
    <mergeCell ref="A32:J32"/>
    <mergeCell ref="A33:J33"/>
    <mergeCell ref="A34:J34"/>
    <mergeCell ref="A40:J40"/>
    <mergeCell ref="A35:J35"/>
    <mergeCell ref="A36:J36"/>
    <mergeCell ref="A37:J37"/>
    <mergeCell ref="A38:J38"/>
    <mergeCell ref="A39:J39"/>
  </mergeCells>
  <phoneticPr fontId="110" type="noConversion"/>
  <pageMargins left="0.511811024" right="0.511811024" top="0.78740157499999996" bottom="0.78740157499999996" header="0.31496062000000002" footer="0.31496062000000002"/>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pageSetUpPr fitToPage="1"/>
  </sheetPr>
  <dimension ref="A2:Y105"/>
  <sheetViews>
    <sheetView topLeftCell="B1" zoomScale="50" zoomScaleNormal="5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79</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7479.9120000000003</v>
      </c>
      <c r="D5" s="20">
        <f t="shared" si="0"/>
        <v>3106.2000000000016</v>
      </c>
      <c r="E5" s="20">
        <f t="shared" si="0"/>
        <v>1310.4480000000001</v>
      </c>
      <c r="F5" s="20">
        <f t="shared" si="0"/>
        <v>527.64800000000002</v>
      </c>
      <c r="G5" s="20">
        <f t="shared" si="0"/>
        <v>28209.600000000002</v>
      </c>
      <c r="H5" s="20">
        <f t="shared" si="0"/>
        <v>1410.4800000000002</v>
      </c>
      <c r="I5" s="20">
        <f t="shared" si="0"/>
        <v>460.98400000000004</v>
      </c>
      <c r="J5" s="20">
        <f t="shared" si="0"/>
        <v>0</v>
      </c>
      <c r="K5" s="20">
        <f t="shared" si="0"/>
        <v>688.72000000000014</v>
      </c>
      <c r="L5" s="20">
        <f t="shared" si="0"/>
        <v>78.360000000000014</v>
      </c>
      <c r="M5" s="20">
        <f t="shared" si="0"/>
        <v>0</v>
      </c>
      <c r="N5" s="20">
        <f t="shared" si="0"/>
        <v>0</v>
      </c>
      <c r="O5" s="20">
        <f t="shared" si="0"/>
        <v>0</v>
      </c>
      <c r="P5" s="20">
        <f t="shared" si="0"/>
        <v>0</v>
      </c>
      <c r="Q5" s="20">
        <f t="shared" si="0"/>
        <v>0</v>
      </c>
      <c r="R5" s="20">
        <f t="shared" si="0"/>
        <v>0</v>
      </c>
      <c r="S5" s="10">
        <f t="shared" ref="S5:S31" si="1">SUM(C5:R5)</f>
        <v>43272.352000000006</v>
      </c>
      <c r="T5" s="1093">
        <f>C5</f>
        <v>7479.9120000000003</v>
      </c>
      <c r="U5" s="1093">
        <f>D5</f>
        <v>3106.2000000000016</v>
      </c>
      <c r="V5" s="1093">
        <f>E5</f>
        <v>1310.4480000000001</v>
      </c>
      <c r="W5" s="1093">
        <f>F5</f>
        <v>527.64800000000002</v>
      </c>
      <c r="X5" s="1093">
        <f>G5</f>
        <v>28209.600000000002</v>
      </c>
      <c r="Y5" s="1093">
        <f>SUM(H5:R5)</f>
        <v>2638.5440000000008</v>
      </c>
    </row>
    <row r="6" spans="2:25">
      <c r="B6" s="2" t="s">
        <v>88</v>
      </c>
      <c r="C6" s="20">
        <f t="shared" ref="C6:R6" si="2">C76*0.8</f>
        <v>18370.256000000001</v>
      </c>
      <c r="D6" s="20">
        <f t="shared" si="2"/>
        <v>13769.927999999998</v>
      </c>
      <c r="E6" s="20">
        <f t="shared" si="2"/>
        <v>2377.1040000000003</v>
      </c>
      <c r="F6" s="20">
        <f t="shared" si="2"/>
        <v>335.32799999999992</v>
      </c>
      <c r="G6" s="20">
        <f t="shared" si="2"/>
        <v>45448.800000000003</v>
      </c>
      <c r="H6" s="20">
        <f t="shared" si="2"/>
        <v>1723.92</v>
      </c>
      <c r="I6" s="20">
        <f t="shared" si="2"/>
        <v>3404.6399999999994</v>
      </c>
      <c r="J6" s="20">
        <f t="shared" si="2"/>
        <v>0</v>
      </c>
      <c r="K6" s="20">
        <f t="shared" si="2"/>
        <v>1710.152</v>
      </c>
      <c r="L6" s="20">
        <f t="shared" si="2"/>
        <v>235.08000000000004</v>
      </c>
      <c r="M6" s="20">
        <f t="shared" si="2"/>
        <v>0</v>
      </c>
      <c r="N6" s="20">
        <f t="shared" si="2"/>
        <v>0</v>
      </c>
      <c r="O6" s="20">
        <f t="shared" si="2"/>
        <v>45.712000000000003</v>
      </c>
      <c r="P6" s="20">
        <f t="shared" si="2"/>
        <v>0</v>
      </c>
      <c r="Q6" s="20">
        <f t="shared" si="2"/>
        <v>0</v>
      </c>
      <c r="R6" s="20">
        <f t="shared" si="2"/>
        <v>0</v>
      </c>
      <c r="S6" s="10">
        <f t="shared" si="1"/>
        <v>87420.92</v>
      </c>
      <c r="T6" s="1093">
        <f t="shared" ref="T6:X31" si="3">C6</f>
        <v>18370.256000000001</v>
      </c>
      <c r="U6" s="1093">
        <f t="shared" si="3"/>
        <v>13769.927999999998</v>
      </c>
      <c r="V6" s="1093">
        <f t="shared" si="3"/>
        <v>2377.1040000000003</v>
      </c>
      <c r="W6" s="1093">
        <f t="shared" si="3"/>
        <v>335.32799999999992</v>
      </c>
      <c r="X6" s="1093">
        <f t="shared" si="3"/>
        <v>45448.800000000003</v>
      </c>
      <c r="Y6" s="1093">
        <f t="shared" ref="Y6:Y31" si="4">SUM(H6:R6)</f>
        <v>7119.5039999999999</v>
      </c>
    </row>
    <row r="7" spans="2:25">
      <c r="B7" s="2" t="s">
        <v>89</v>
      </c>
      <c r="C7" s="20">
        <f t="shared" ref="C7:R7" si="5">C77*0.8</f>
        <v>7634.4480000000003</v>
      </c>
      <c r="D7" s="20">
        <f t="shared" si="5"/>
        <v>4516.3840000000009</v>
      </c>
      <c r="E7" s="20">
        <f t="shared" si="5"/>
        <v>1447.6000000000001</v>
      </c>
      <c r="F7" s="20">
        <f t="shared" si="5"/>
        <v>511.61599999999999</v>
      </c>
      <c r="G7" s="20">
        <f t="shared" si="5"/>
        <v>28052.880000000001</v>
      </c>
      <c r="H7" s="20">
        <f t="shared" si="5"/>
        <v>1175.4000000000001</v>
      </c>
      <c r="I7" s="20">
        <f t="shared" si="5"/>
        <v>930.96800000000007</v>
      </c>
      <c r="J7" s="20">
        <f t="shared" si="5"/>
        <v>0</v>
      </c>
      <c r="K7" s="20">
        <f t="shared" si="5"/>
        <v>875.68</v>
      </c>
      <c r="L7" s="20">
        <f t="shared" si="5"/>
        <v>235.08000000000004</v>
      </c>
      <c r="M7" s="20">
        <f t="shared" si="5"/>
        <v>0</v>
      </c>
      <c r="N7" s="20">
        <f t="shared" si="5"/>
        <v>0</v>
      </c>
      <c r="O7" s="20">
        <f t="shared" si="5"/>
        <v>45.712000000000003</v>
      </c>
      <c r="P7" s="20">
        <f t="shared" si="5"/>
        <v>0</v>
      </c>
      <c r="Q7" s="20">
        <f t="shared" si="5"/>
        <v>0</v>
      </c>
      <c r="R7" s="20">
        <f t="shared" si="5"/>
        <v>0</v>
      </c>
      <c r="S7" s="10">
        <f t="shared" si="1"/>
        <v>45425.768000000004</v>
      </c>
      <c r="T7" s="1093">
        <f t="shared" si="3"/>
        <v>7634.4480000000003</v>
      </c>
      <c r="U7" s="1093">
        <f t="shared" si="3"/>
        <v>4516.3840000000009</v>
      </c>
      <c r="V7" s="1093">
        <f t="shared" si="3"/>
        <v>1447.6000000000001</v>
      </c>
      <c r="W7" s="1093">
        <f t="shared" si="3"/>
        <v>511.61599999999999</v>
      </c>
      <c r="X7" s="1093">
        <f t="shared" si="3"/>
        <v>28052.880000000001</v>
      </c>
      <c r="Y7" s="1093">
        <f t="shared" si="4"/>
        <v>3262.84</v>
      </c>
    </row>
    <row r="8" spans="2:25">
      <c r="B8" s="2" t="s">
        <v>90</v>
      </c>
      <c r="C8" s="20">
        <f t="shared" ref="C8:P8" si="6">C78*0.8</f>
        <v>20534.320000000003</v>
      </c>
      <c r="D8" s="20">
        <f t="shared" si="6"/>
        <v>13935.639999999998</v>
      </c>
      <c r="E8" s="20">
        <f t="shared" si="6"/>
        <v>1660.9360000000001</v>
      </c>
      <c r="F8" s="20">
        <f t="shared" si="6"/>
        <v>762.95999999999992</v>
      </c>
      <c r="G8" s="20">
        <f t="shared" si="6"/>
        <v>46859.28</v>
      </c>
      <c r="H8" s="20">
        <f t="shared" si="6"/>
        <v>1645.56</v>
      </c>
      <c r="I8" s="20">
        <f t="shared" si="6"/>
        <v>2334.8000000000002</v>
      </c>
      <c r="J8" s="20">
        <f t="shared" si="6"/>
        <v>0</v>
      </c>
      <c r="K8" s="20">
        <f t="shared" si="6"/>
        <v>2242.56</v>
      </c>
      <c r="L8" s="20">
        <f t="shared" si="6"/>
        <v>313.44000000000005</v>
      </c>
      <c r="M8" s="20">
        <f t="shared" si="6"/>
        <v>0</v>
      </c>
      <c r="N8" s="20">
        <f t="shared" si="6"/>
        <v>1284.6480000000001</v>
      </c>
      <c r="O8" s="20">
        <f t="shared" si="6"/>
        <v>0</v>
      </c>
      <c r="P8" s="20">
        <f t="shared" si="6"/>
        <v>0</v>
      </c>
      <c r="Q8" s="20">
        <f>Q78</f>
        <v>0</v>
      </c>
      <c r="R8" s="20">
        <f>R78</f>
        <v>0</v>
      </c>
      <c r="S8" s="10">
        <f t="shared" si="1"/>
        <v>91574.144</v>
      </c>
      <c r="T8" s="1093">
        <f t="shared" si="3"/>
        <v>20534.320000000003</v>
      </c>
      <c r="U8" s="1093">
        <f t="shared" si="3"/>
        <v>13935.639999999998</v>
      </c>
      <c r="V8" s="1093">
        <f t="shared" si="3"/>
        <v>1660.9360000000001</v>
      </c>
      <c r="W8" s="1093">
        <f t="shared" si="3"/>
        <v>762.95999999999992</v>
      </c>
      <c r="X8" s="1093">
        <f t="shared" si="3"/>
        <v>46859.28</v>
      </c>
      <c r="Y8" s="1093">
        <f t="shared" si="4"/>
        <v>7821.0080000000007</v>
      </c>
    </row>
    <row r="9" spans="2:25">
      <c r="B9" s="2" t="s">
        <v>91</v>
      </c>
      <c r="C9" s="20">
        <f t="shared" ref="C9:P9" si="7">C79*0.8</f>
        <v>70406.216</v>
      </c>
      <c r="D9" s="20">
        <f t="shared" si="7"/>
        <v>25005.064000000002</v>
      </c>
      <c r="E9" s="20">
        <f t="shared" si="7"/>
        <v>6823.5119999999997</v>
      </c>
      <c r="F9" s="20">
        <f t="shared" si="7"/>
        <v>1290.3919999999998</v>
      </c>
      <c r="G9" s="20">
        <f t="shared" si="7"/>
        <v>135797.88</v>
      </c>
      <c r="H9" s="20">
        <f t="shared" si="7"/>
        <v>5798.64</v>
      </c>
      <c r="I9" s="20">
        <f t="shared" si="7"/>
        <v>4281.2400000000007</v>
      </c>
      <c r="J9" s="20">
        <f t="shared" si="7"/>
        <v>0</v>
      </c>
      <c r="K9" s="20">
        <f t="shared" si="7"/>
        <v>5449.6320000000005</v>
      </c>
      <c r="L9" s="20">
        <f t="shared" si="7"/>
        <v>313.44000000000005</v>
      </c>
      <c r="M9" s="20">
        <f t="shared" si="7"/>
        <v>0</v>
      </c>
      <c r="N9" s="20">
        <f t="shared" si="7"/>
        <v>0</v>
      </c>
      <c r="O9" s="20">
        <f t="shared" si="7"/>
        <v>91.424000000000007</v>
      </c>
      <c r="P9" s="20">
        <f t="shared" si="7"/>
        <v>0</v>
      </c>
      <c r="Q9" s="20">
        <f t="shared" ref="Q9:R21" si="8">Q79*0.8</f>
        <v>0</v>
      </c>
      <c r="R9" s="20">
        <f t="shared" si="8"/>
        <v>0</v>
      </c>
      <c r="S9" s="10">
        <f t="shared" si="1"/>
        <v>255257.44000000003</v>
      </c>
      <c r="T9" s="1093">
        <f t="shared" si="3"/>
        <v>70406.216</v>
      </c>
      <c r="U9" s="1093">
        <f t="shared" si="3"/>
        <v>25005.064000000002</v>
      </c>
      <c r="V9" s="1093">
        <f t="shared" si="3"/>
        <v>6823.5119999999997</v>
      </c>
      <c r="W9" s="1093">
        <f t="shared" si="3"/>
        <v>1290.3919999999998</v>
      </c>
      <c r="X9" s="1093">
        <f t="shared" si="3"/>
        <v>135797.88</v>
      </c>
      <c r="Y9" s="1093">
        <f t="shared" si="4"/>
        <v>15934.376000000004</v>
      </c>
    </row>
    <row r="10" spans="2:25">
      <c r="B10" s="2" t="s">
        <v>92</v>
      </c>
      <c r="C10" s="20">
        <f t="shared" ref="C10:P10" si="9">C80*0.8</f>
        <v>44046.592000000004</v>
      </c>
      <c r="D10" s="20">
        <f t="shared" si="9"/>
        <v>17535.616000000009</v>
      </c>
      <c r="E10" s="20">
        <f t="shared" si="9"/>
        <v>4681.808</v>
      </c>
      <c r="F10" s="20">
        <f t="shared" si="9"/>
        <v>788.47200000000021</v>
      </c>
      <c r="G10" s="20">
        <f t="shared" si="9"/>
        <v>88860.24</v>
      </c>
      <c r="H10" s="20">
        <f t="shared" si="9"/>
        <v>5250.1200000000008</v>
      </c>
      <c r="I10" s="20">
        <f t="shared" si="9"/>
        <v>4128.9440000000004</v>
      </c>
      <c r="J10" s="20">
        <f t="shared" si="9"/>
        <v>0</v>
      </c>
      <c r="K10" s="20">
        <f t="shared" si="9"/>
        <v>3329.9040000000005</v>
      </c>
      <c r="L10" s="20">
        <f t="shared" si="9"/>
        <v>313.44000000000005</v>
      </c>
      <c r="M10" s="20">
        <f t="shared" si="9"/>
        <v>0</v>
      </c>
      <c r="N10" s="20">
        <f t="shared" si="9"/>
        <v>0</v>
      </c>
      <c r="O10" s="20">
        <f t="shared" si="9"/>
        <v>22.856000000000002</v>
      </c>
      <c r="P10" s="20">
        <f t="shared" si="9"/>
        <v>0</v>
      </c>
      <c r="Q10" s="20">
        <f t="shared" si="8"/>
        <v>0</v>
      </c>
      <c r="R10" s="20">
        <f t="shared" si="8"/>
        <v>0</v>
      </c>
      <c r="S10" s="10">
        <f t="shared" si="1"/>
        <v>168957.992</v>
      </c>
      <c r="T10" s="1093">
        <f t="shared" si="3"/>
        <v>44046.592000000004</v>
      </c>
      <c r="U10" s="1093">
        <f t="shared" si="3"/>
        <v>17535.616000000009</v>
      </c>
      <c r="V10" s="1093">
        <f t="shared" si="3"/>
        <v>4681.808</v>
      </c>
      <c r="W10" s="1093">
        <f t="shared" si="3"/>
        <v>788.47200000000021</v>
      </c>
      <c r="X10" s="1093">
        <f t="shared" si="3"/>
        <v>88860.24</v>
      </c>
      <c r="Y10" s="1093">
        <f t="shared" si="4"/>
        <v>13045.264000000003</v>
      </c>
    </row>
    <row r="11" spans="2:25">
      <c r="B11" s="2" t="s">
        <v>93</v>
      </c>
      <c r="C11" s="20">
        <f t="shared" ref="C11:P11" si="10">C81*0.8</f>
        <v>48831.288</v>
      </c>
      <c r="D11" s="20">
        <f t="shared" si="10"/>
        <v>26288.543999999994</v>
      </c>
      <c r="E11" s="20">
        <f t="shared" si="10"/>
        <v>3055.16</v>
      </c>
      <c r="F11" s="20">
        <f t="shared" si="10"/>
        <v>1762.768</v>
      </c>
      <c r="G11" s="20">
        <f t="shared" si="10"/>
        <v>114719.03999999999</v>
      </c>
      <c r="H11" s="20">
        <f t="shared" si="10"/>
        <v>6268.7999999999993</v>
      </c>
      <c r="I11" s="20">
        <f t="shared" si="10"/>
        <v>5622.0400000000009</v>
      </c>
      <c r="J11" s="20">
        <f t="shared" si="10"/>
        <v>0</v>
      </c>
      <c r="K11" s="20">
        <f t="shared" si="10"/>
        <v>4492.4399999999996</v>
      </c>
      <c r="L11" s="20">
        <f t="shared" si="10"/>
        <v>235.08000000000004</v>
      </c>
      <c r="M11" s="20">
        <f t="shared" si="10"/>
        <v>0</v>
      </c>
      <c r="N11" s="20">
        <f t="shared" si="10"/>
        <v>0</v>
      </c>
      <c r="O11" s="20">
        <f t="shared" si="10"/>
        <v>45.712000000000003</v>
      </c>
      <c r="P11" s="20">
        <f t="shared" si="10"/>
        <v>0</v>
      </c>
      <c r="Q11" s="20">
        <f t="shared" si="8"/>
        <v>0</v>
      </c>
      <c r="R11" s="20">
        <f t="shared" si="8"/>
        <v>0</v>
      </c>
      <c r="S11" s="10">
        <f t="shared" si="1"/>
        <v>211320.87199999997</v>
      </c>
      <c r="T11" s="1093">
        <f t="shared" si="3"/>
        <v>48831.288</v>
      </c>
      <c r="U11" s="1093">
        <f t="shared" si="3"/>
        <v>26288.543999999994</v>
      </c>
      <c r="V11" s="1093">
        <f t="shared" si="3"/>
        <v>3055.16</v>
      </c>
      <c r="W11" s="1093">
        <f t="shared" si="3"/>
        <v>1762.768</v>
      </c>
      <c r="X11" s="1093">
        <f t="shared" si="3"/>
        <v>114719.03999999999</v>
      </c>
      <c r="Y11" s="1093">
        <f t="shared" si="4"/>
        <v>16664.072</v>
      </c>
    </row>
    <row r="12" spans="2:25">
      <c r="B12" s="2" t="s">
        <v>94</v>
      </c>
      <c r="C12" s="20">
        <f t="shared" ref="C12:P12" si="11">C82*0.8</f>
        <v>29862.335999999999</v>
      </c>
      <c r="D12" s="20">
        <f t="shared" si="11"/>
        <v>7131.3600000000042</v>
      </c>
      <c r="E12" s="20">
        <f t="shared" si="11"/>
        <v>4302.3680000000004</v>
      </c>
      <c r="F12" s="20">
        <f t="shared" si="11"/>
        <v>1745.6240000000007</v>
      </c>
      <c r="G12" s="20">
        <f t="shared" si="11"/>
        <v>97323.12</v>
      </c>
      <c r="H12" s="20">
        <f t="shared" si="11"/>
        <v>2350.8000000000002</v>
      </c>
      <c r="I12" s="20">
        <f t="shared" si="11"/>
        <v>2065.672</v>
      </c>
      <c r="J12" s="20">
        <f t="shared" si="11"/>
        <v>743.80000000000007</v>
      </c>
      <c r="K12" s="20">
        <f t="shared" si="11"/>
        <v>1662</v>
      </c>
      <c r="L12" s="20">
        <f t="shared" si="11"/>
        <v>391.8</v>
      </c>
      <c r="M12" s="20">
        <f t="shared" si="11"/>
        <v>0</v>
      </c>
      <c r="N12" s="20">
        <f t="shared" si="11"/>
        <v>0</v>
      </c>
      <c r="O12" s="20">
        <f t="shared" si="11"/>
        <v>0</v>
      </c>
      <c r="P12" s="20">
        <f t="shared" si="11"/>
        <v>0</v>
      </c>
      <c r="Q12" s="20">
        <f t="shared" si="8"/>
        <v>0</v>
      </c>
      <c r="R12" s="20">
        <f t="shared" si="8"/>
        <v>0</v>
      </c>
      <c r="S12" s="10">
        <f t="shared" si="1"/>
        <v>147578.87999999998</v>
      </c>
      <c r="T12" s="1093">
        <f t="shared" si="3"/>
        <v>29862.335999999999</v>
      </c>
      <c r="U12" s="1093">
        <f t="shared" si="3"/>
        <v>7131.3600000000042</v>
      </c>
      <c r="V12" s="1093">
        <f t="shared" si="3"/>
        <v>4302.3680000000004</v>
      </c>
      <c r="W12" s="1093">
        <f t="shared" si="3"/>
        <v>1745.6240000000007</v>
      </c>
      <c r="X12" s="1093">
        <f t="shared" si="3"/>
        <v>97323.12</v>
      </c>
      <c r="Y12" s="1093">
        <f t="shared" si="4"/>
        <v>7214.0720000000001</v>
      </c>
    </row>
    <row r="13" spans="2:25">
      <c r="B13" s="2" t="s">
        <v>95</v>
      </c>
      <c r="C13" s="20">
        <f t="shared" ref="C13:P13" si="12">C83*0.8</f>
        <v>52867.983999999997</v>
      </c>
      <c r="D13" s="20">
        <f t="shared" si="12"/>
        <v>28553.768000000007</v>
      </c>
      <c r="E13" s="20">
        <f t="shared" si="12"/>
        <v>7455.0640000000003</v>
      </c>
      <c r="F13" s="20">
        <f t="shared" si="12"/>
        <v>943.23999999999944</v>
      </c>
      <c r="G13" s="20">
        <f t="shared" si="12"/>
        <v>198642.6</v>
      </c>
      <c r="H13" s="20">
        <f t="shared" si="12"/>
        <v>5877</v>
      </c>
      <c r="I13" s="20">
        <f t="shared" si="12"/>
        <v>5918.9440000000004</v>
      </c>
      <c r="J13" s="20">
        <f t="shared" si="12"/>
        <v>1315.7520000000002</v>
      </c>
      <c r="K13" s="20">
        <f t="shared" si="12"/>
        <v>5627.6480000000001</v>
      </c>
      <c r="L13" s="20">
        <f t="shared" si="12"/>
        <v>0</v>
      </c>
      <c r="M13" s="20">
        <f t="shared" si="12"/>
        <v>0</v>
      </c>
      <c r="N13" s="20">
        <f t="shared" si="12"/>
        <v>0</v>
      </c>
      <c r="O13" s="20">
        <f t="shared" si="12"/>
        <v>68.567999999999998</v>
      </c>
      <c r="P13" s="20">
        <f t="shared" si="12"/>
        <v>0</v>
      </c>
      <c r="Q13" s="20">
        <f t="shared" si="8"/>
        <v>0</v>
      </c>
      <c r="R13" s="20">
        <f t="shared" si="8"/>
        <v>0</v>
      </c>
      <c r="S13" s="10">
        <f t="shared" si="1"/>
        <v>307270.56800000003</v>
      </c>
      <c r="T13" s="1093">
        <f t="shared" si="3"/>
        <v>52867.983999999997</v>
      </c>
      <c r="U13" s="1093">
        <f t="shared" si="3"/>
        <v>28553.768000000007</v>
      </c>
      <c r="V13" s="1093">
        <f t="shared" si="3"/>
        <v>7455.0640000000003</v>
      </c>
      <c r="W13" s="1093">
        <f t="shared" si="3"/>
        <v>943.23999999999944</v>
      </c>
      <c r="X13" s="1093">
        <f t="shared" si="3"/>
        <v>198642.6</v>
      </c>
      <c r="Y13" s="1093">
        <f t="shared" si="4"/>
        <v>18807.912</v>
      </c>
    </row>
    <row r="14" spans="2:25">
      <c r="B14" s="2" t="s">
        <v>96</v>
      </c>
      <c r="C14" s="20">
        <f t="shared" ref="C14:P14" si="13">C84*0.8</f>
        <v>20340.976000000002</v>
      </c>
      <c r="D14" s="20">
        <f t="shared" si="13"/>
        <v>11860.592000000004</v>
      </c>
      <c r="E14" s="20">
        <f t="shared" si="13"/>
        <v>2144.7040000000002</v>
      </c>
      <c r="F14" s="20">
        <f t="shared" si="13"/>
        <v>579.27199999999982</v>
      </c>
      <c r="G14" s="20">
        <f t="shared" si="13"/>
        <v>42784.56</v>
      </c>
      <c r="H14" s="20">
        <f t="shared" si="13"/>
        <v>2429.16</v>
      </c>
      <c r="I14" s="20">
        <f t="shared" si="13"/>
        <v>2669.0320000000002</v>
      </c>
      <c r="J14" s="20">
        <f t="shared" si="13"/>
        <v>0</v>
      </c>
      <c r="K14" s="20">
        <f t="shared" si="13"/>
        <v>2025.0719999999999</v>
      </c>
      <c r="L14" s="20">
        <f t="shared" si="13"/>
        <v>78.360000000000014</v>
      </c>
      <c r="M14" s="20">
        <f t="shared" si="13"/>
        <v>0</v>
      </c>
      <c r="N14" s="20">
        <f t="shared" si="13"/>
        <v>0</v>
      </c>
      <c r="O14" s="20">
        <f t="shared" si="13"/>
        <v>0</v>
      </c>
      <c r="P14" s="20">
        <f t="shared" si="13"/>
        <v>0</v>
      </c>
      <c r="Q14" s="20">
        <f t="shared" si="8"/>
        <v>0</v>
      </c>
      <c r="R14" s="20">
        <f t="shared" si="8"/>
        <v>0</v>
      </c>
      <c r="S14" s="10">
        <f t="shared" si="1"/>
        <v>84911.728000000003</v>
      </c>
      <c r="T14" s="1093">
        <f t="shared" si="3"/>
        <v>20340.976000000002</v>
      </c>
      <c r="U14" s="1093">
        <f t="shared" si="3"/>
        <v>11860.592000000004</v>
      </c>
      <c r="V14" s="1093">
        <f t="shared" si="3"/>
        <v>2144.7040000000002</v>
      </c>
      <c r="W14" s="1093">
        <f t="shared" si="3"/>
        <v>579.27199999999982</v>
      </c>
      <c r="X14" s="1093">
        <f t="shared" si="3"/>
        <v>42784.56</v>
      </c>
      <c r="Y14" s="1093">
        <f t="shared" si="4"/>
        <v>7201.6239999999998</v>
      </c>
    </row>
    <row r="15" spans="2:25">
      <c r="B15" s="2" t="s">
        <v>97</v>
      </c>
      <c r="C15" s="20">
        <f t="shared" ref="C15:P15" si="14">C85*0.8</f>
        <v>32784.384000000005</v>
      </c>
      <c r="D15" s="20">
        <f t="shared" si="14"/>
        <v>24372.200000000008</v>
      </c>
      <c r="E15" s="20">
        <f t="shared" si="14"/>
        <v>3512.3360000000002</v>
      </c>
      <c r="F15" s="20">
        <f t="shared" si="14"/>
        <v>3597.6880000000006</v>
      </c>
      <c r="G15" s="20">
        <f t="shared" si="14"/>
        <v>210945.12000000002</v>
      </c>
      <c r="H15" s="20">
        <f t="shared" si="14"/>
        <v>2350.8000000000002</v>
      </c>
      <c r="I15" s="20">
        <f t="shared" si="14"/>
        <v>4413.6400000000003</v>
      </c>
      <c r="J15" s="20">
        <f t="shared" si="14"/>
        <v>914.25599999999997</v>
      </c>
      <c r="K15" s="20">
        <f t="shared" si="14"/>
        <v>3179.8720000000003</v>
      </c>
      <c r="L15" s="20">
        <f t="shared" si="14"/>
        <v>470.16000000000008</v>
      </c>
      <c r="M15" s="20">
        <f t="shared" si="14"/>
        <v>0</v>
      </c>
      <c r="N15" s="20">
        <f t="shared" si="14"/>
        <v>0</v>
      </c>
      <c r="O15" s="20">
        <f t="shared" si="14"/>
        <v>22.856000000000002</v>
      </c>
      <c r="P15" s="20">
        <f t="shared" si="14"/>
        <v>0</v>
      </c>
      <c r="Q15" s="20">
        <f t="shared" si="8"/>
        <v>0</v>
      </c>
      <c r="R15" s="20">
        <f t="shared" si="8"/>
        <v>0</v>
      </c>
      <c r="S15" s="10">
        <f t="shared" si="1"/>
        <v>286563.31200000003</v>
      </c>
      <c r="T15" s="1093">
        <f t="shared" si="3"/>
        <v>32784.384000000005</v>
      </c>
      <c r="U15" s="1093">
        <f t="shared" si="3"/>
        <v>24372.200000000008</v>
      </c>
      <c r="V15" s="1093">
        <f t="shared" si="3"/>
        <v>3512.3360000000002</v>
      </c>
      <c r="W15" s="1093">
        <f t="shared" si="3"/>
        <v>3597.6880000000006</v>
      </c>
      <c r="X15" s="1093">
        <f t="shared" si="3"/>
        <v>210945.12000000002</v>
      </c>
      <c r="Y15" s="1093">
        <f t="shared" si="4"/>
        <v>11351.584000000001</v>
      </c>
    </row>
    <row r="16" spans="2:25">
      <c r="B16" s="2" t="s">
        <v>98</v>
      </c>
      <c r="C16" s="20">
        <f t="shared" ref="C16:P16" si="15">C86*0.8</f>
        <v>36028.488000000005</v>
      </c>
      <c r="D16" s="20">
        <f t="shared" si="15"/>
        <v>23869.248000000011</v>
      </c>
      <c r="E16" s="20">
        <f t="shared" si="15"/>
        <v>6697</v>
      </c>
      <c r="F16" s="20">
        <f t="shared" si="15"/>
        <v>5847.9600000000009</v>
      </c>
      <c r="G16" s="20">
        <f t="shared" si="15"/>
        <v>137600.16</v>
      </c>
      <c r="H16" s="20">
        <f t="shared" si="15"/>
        <v>2585.88</v>
      </c>
      <c r="I16" s="20">
        <f t="shared" si="15"/>
        <v>7632.9039999999995</v>
      </c>
      <c r="J16" s="20">
        <f t="shared" si="15"/>
        <v>0</v>
      </c>
      <c r="K16" s="20">
        <f t="shared" si="15"/>
        <v>3221.7040000000002</v>
      </c>
      <c r="L16" s="20">
        <f t="shared" si="15"/>
        <v>470.16000000000008</v>
      </c>
      <c r="M16" s="20">
        <f t="shared" si="15"/>
        <v>0</v>
      </c>
      <c r="N16" s="20">
        <f t="shared" si="15"/>
        <v>622.32000000000005</v>
      </c>
      <c r="O16" s="20">
        <f t="shared" si="15"/>
        <v>45.712000000000003</v>
      </c>
      <c r="P16" s="20">
        <f t="shared" si="15"/>
        <v>0</v>
      </c>
      <c r="Q16" s="20">
        <f t="shared" si="8"/>
        <v>66.160000000000011</v>
      </c>
      <c r="R16" s="20">
        <f t="shared" si="8"/>
        <v>0</v>
      </c>
      <c r="S16" s="10">
        <f t="shared" si="1"/>
        <v>224687.69600000005</v>
      </c>
      <c r="T16" s="1093">
        <f t="shared" si="3"/>
        <v>36028.488000000005</v>
      </c>
      <c r="U16" s="1093">
        <f t="shared" si="3"/>
        <v>23869.248000000011</v>
      </c>
      <c r="V16" s="1093">
        <f t="shared" si="3"/>
        <v>6697</v>
      </c>
      <c r="W16" s="1093">
        <f t="shared" si="3"/>
        <v>5847.9600000000009</v>
      </c>
      <c r="X16" s="1093">
        <f t="shared" si="3"/>
        <v>137600.16</v>
      </c>
      <c r="Y16" s="1093">
        <f t="shared" si="4"/>
        <v>14644.839999999998</v>
      </c>
    </row>
    <row r="17" spans="2:25">
      <c r="B17" s="2" t="s">
        <v>99</v>
      </c>
      <c r="C17" s="20">
        <f t="shared" ref="C17:P17" si="16">C87*0.8</f>
        <v>163912.32000000001</v>
      </c>
      <c r="D17" s="20">
        <f t="shared" si="16"/>
        <v>91409.895999999979</v>
      </c>
      <c r="E17" s="20">
        <f t="shared" si="16"/>
        <v>12176.816000000001</v>
      </c>
      <c r="F17" s="20">
        <f t="shared" si="16"/>
        <v>9360.2320000000018</v>
      </c>
      <c r="G17" s="20">
        <f t="shared" si="16"/>
        <v>370407.72000000003</v>
      </c>
      <c r="H17" s="20">
        <f t="shared" si="16"/>
        <v>9716.6400000000012</v>
      </c>
      <c r="I17" s="20">
        <f t="shared" si="16"/>
        <v>20415.800000000003</v>
      </c>
      <c r="J17" s="20">
        <f t="shared" si="16"/>
        <v>0</v>
      </c>
      <c r="K17" s="20">
        <f t="shared" si="16"/>
        <v>12483.232000000002</v>
      </c>
      <c r="L17" s="20">
        <f t="shared" si="16"/>
        <v>1488.8400000000001</v>
      </c>
      <c r="M17" s="20">
        <f t="shared" si="16"/>
        <v>783.6</v>
      </c>
      <c r="N17" s="20">
        <f t="shared" si="16"/>
        <v>0</v>
      </c>
      <c r="O17" s="20">
        <f t="shared" si="16"/>
        <v>228.56</v>
      </c>
      <c r="P17" s="20">
        <f t="shared" si="16"/>
        <v>0</v>
      </c>
      <c r="Q17" s="20">
        <f t="shared" si="8"/>
        <v>0</v>
      </c>
      <c r="R17" s="20">
        <f t="shared" si="8"/>
        <v>0</v>
      </c>
      <c r="S17" s="10">
        <f t="shared" si="1"/>
        <v>692383.65600000008</v>
      </c>
      <c r="T17" s="1093">
        <f t="shared" si="3"/>
        <v>163912.32000000001</v>
      </c>
      <c r="U17" s="1093">
        <f t="shared" si="3"/>
        <v>91409.895999999979</v>
      </c>
      <c r="V17" s="1093">
        <f t="shared" si="3"/>
        <v>12176.816000000001</v>
      </c>
      <c r="W17" s="1093">
        <f t="shared" si="3"/>
        <v>9360.2320000000018</v>
      </c>
      <c r="X17" s="1093">
        <f t="shared" si="3"/>
        <v>370407.72000000003</v>
      </c>
      <c r="Y17" s="1093">
        <f t="shared" si="4"/>
        <v>45116.671999999999</v>
      </c>
    </row>
    <row r="18" spans="2:25">
      <c r="B18" s="2" t="s">
        <v>100</v>
      </c>
      <c r="C18" s="20">
        <f t="shared" ref="C18:P18" si="17">C88*0.8</f>
        <v>27420.064000000002</v>
      </c>
      <c r="D18" s="20">
        <f t="shared" si="17"/>
        <v>20854.151999999998</v>
      </c>
      <c r="E18" s="20">
        <f t="shared" si="17"/>
        <v>2363.7759999999998</v>
      </c>
      <c r="F18" s="20">
        <f t="shared" si="17"/>
        <v>538.1600000000002</v>
      </c>
      <c r="G18" s="20">
        <f t="shared" si="17"/>
        <v>59475.240000000005</v>
      </c>
      <c r="H18" s="20">
        <f t="shared" si="17"/>
        <v>1488.8400000000001</v>
      </c>
      <c r="I18" s="20">
        <f t="shared" si="17"/>
        <v>4603.3280000000004</v>
      </c>
      <c r="J18" s="20">
        <f t="shared" si="17"/>
        <v>0</v>
      </c>
      <c r="K18" s="20">
        <f t="shared" si="17"/>
        <v>2249.7760000000003</v>
      </c>
      <c r="L18" s="20">
        <f t="shared" si="17"/>
        <v>626.88000000000011</v>
      </c>
      <c r="M18" s="20">
        <f t="shared" si="17"/>
        <v>0</v>
      </c>
      <c r="N18" s="20">
        <f t="shared" si="17"/>
        <v>0</v>
      </c>
      <c r="O18" s="20">
        <f t="shared" si="17"/>
        <v>91.424000000000007</v>
      </c>
      <c r="P18" s="20">
        <f t="shared" si="17"/>
        <v>0</v>
      </c>
      <c r="Q18" s="20">
        <f t="shared" si="8"/>
        <v>0</v>
      </c>
      <c r="R18" s="20">
        <f t="shared" si="8"/>
        <v>0</v>
      </c>
      <c r="S18" s="10">
        <f t="shared" si="1"/>
        <v>119711.64</v>
      </c>
      <c r="T18" s="1093">
        <f t="shared" si="3"/>
        <v>27420.064000000002</v>
      </c>
      <c r="U18" s="1093">
        <f t="shared" si="3"/>
        <v>20854.151999999998</v>
      </c>
      <c r="V18" s="1093">
        <f t="shared" si="3"/>
        <v>2363.7759999999998</v>
      </c>
      <c r="W18" s="1093">
        <f t="shared" si="3"/>
        <v>538.1600000000002</v>
      </c>
      <c r="X18" s="1093">
        <f t="shared" si="3"/>
        <v>59475.240000000005</v>
      </c>
      <c r="Y18" s="1093">
        <f t="shared" si="4"/>
        <v>9060.2480000000014</v>
      </c>
    </row>
    <row r="19" spans="2:25">
      <c r="B19" s="2" t="s">
        <v>101</v>
      </c>
      <c r="C19" s="20">
        <f t="shared" ref="C19:P19" si="18">C89*0.8</f>
        <v>31390.384000000005</v>
      </c>
      <c r="D19" s="20">
        <f t="shared" si="18"/>
        <v>20925.072</v>
      </c>
      <c r="E19" s="20">
        <f t="shared" si="18"/>
        <v>1295.2080000000001</v>
      </c>
      <c r="F19" s="20">
        <f t="shared" si="18"/>
        <v>1191.0719999999999</v>
      </c>
      <c r="G19" s="20">
        <f t="shared" si="18"/>
        <v>76322.64</v>
      </c>
      <c r="H19" s="20">
        <f t="shared" si="18"/>
        <v>2507.5200000000004</v>
      </c>
      <c r="I19" s="20">
        <f t="shared" si="18"/>
        <v>3932.3119999999999</v>
      </c>
      <c r="J19" s="20">
        <f t="shared" si="18"/>
        <v>0</v>
      </c>
      <c r="K19" s="20">
        <f t="shared" si="18"/>
        <v>2770.2160000000003</v>
      </c>
      <c r="L19" s="20">
        <f t="shared" si="18"/>
        <v>0</v>
      </c>
      <c r="M19" s="20">
        <f t="shared" si="18"/>
        <v>0</v>
      </c>
      <c r="N19" s="20">
        <f t="shared" si="18"/>
        <v>0</v>
      </c>
      <c r="O19" s="20">
        <f t="shared" si="18"/>
        <v>45.712000000000003</v>
      </c>
      <c r="P19" s="20">
        <f t="shared" si="18"/>
        <v>0</v>
      </c>
      <c r="Q19" s="20">
        <f t="shared" si="8"/>
        <v>0</v>
      </c>
      <c r="R19" s="20">
        <f t="shared" si="8"/>
        <v>0</v>
      </c>
      <c r="S19" s="10">
        <f t="shared" si="1"/>
        <v>140380.136</v>
      </c>
      <c r="T19" s="1093">
        <f t="shared" si="3"/>
        <v>31390.384000000005</v>
      </c>
      <c r="U19" s="1093">
        <f t="shared" si="3"/>
        <v>20925.072</v>
      </c>
      <c r="V19" s="1093">
        <f t="shared" si="3"/>
        <v>1295.2080000000001</v>
      </c>
      <c r="W19" s="1093">
        <f t="shared" si="3"/>
        <v>1191.0719999999999</v>
      </c>
      <c r="X19" s="1093">
        <f t="shared" si="3"/>
        <v>76322.64</v>
      </c>
      <c r="Y19" s="1093">
        <f t="shared" si="4"/>
        <v>9255.76</v>
      </c>
    </row>
    <row r="20" spans="2:25">
      <c r="B20" s="2" t="s">
        <v>102</v>
      </c>
      <c r="C20" s="20">
        <f t="shared" ref="C20:P20" si="19">C90*0.8</f>
        <v>116131.152</v>
      </c>
      <c r="D20" s="20">
        <f t="shared" si="19"/>
        <v>63436</v>
      </c>
      <c r="E20" s="20">
        <f t="shared" si="19"/>
        <v>22474.135999999999</v>
      </c>
      <c r="F20" s="20">
        <f t="shared" si="19"/>
        <v>16162.368000000006</v>
      </c>
      <c r="G20" s="20">
        <f t="shared" si="19"/>
        <v>548911.80000000005</v>
      </c>
      <c r="H20" s="20">
        <f t="shared" si="19"/>
        <v>14966.759999999998</v>
      </c>
      <c r="I20" s="20">
        <f t="shared" si="19"/>
        <v>14780.847999999998</v>
      </c>
      <c r="J20" s="20">
        <f t="shared" si="19"/>
        <v>715.84</v>
      </c>
      <c r="K20" s="20">
        <f t="shared" si="19"/>
        <v>11356.416000000001</v>
      </c>
      <c r="L20" s="20">
        <f t="shared" si="19"/>
        <v>1723.92</v>
      </c>
      <c r="M20" s="20">
        <f t="shared" si="19"/>
        <v>470.16000000000008</v>
      </c>
      <c r="N20" s="20">
        <f t="shared" si="19"/>
        <v>0</v>
      </c>
      <c r="O20" s="20">
        <f t="shared" si="19"/>
        <v>228.56</v>
      </c>
      <c r="P20" s="20">
        <f t="shared" si="19"/>
        <v>0</v>
      </c>
      <c r="Q20" s="20">
        <f t="shared" si="8"/>
        <v>0</v>
      </c>
      <c r="R20" s="20">
        <f t="shared" si="8"/>
        <v>0</v>
      </c>
      <c r="S20" s="10">
        <f t="shared" si="1"/>
        <v>811357.96000000008</v>
      </c>
      <c r="T20" s="1093">
        <f t="shared" si="3"/>
        <v>116131.152</v>
      </c>
      <c r="U20" s="1093">
        <f t="shared" si="3"/>
        <v>63436</v>
      </c>
      <c r="V20" s="1093">
        <f t="shared" si="3"/>
        <v>22474.135999999999</v>
      </c>
      <c r="W20" s="1093">
        <f t="shared" si="3"/>
        <v>16162.368000000006</v>
      </c>
      <c r="X20" s="1093">
        <f t="shared" si="3"/>
        <v>548911.80000000005</v>
      </c>
      <c r="Y20" s="1093">
        <f t="shared" si="4"/>
        <v>44242.504000000001</v>
      </c>
    </row>
    <row r="21" spans="2:25">
      <c r="B21" s="2" t="s">
        <v>103</v>
      </c>
      <c r="C21" s="20">
        <f t="shared" ref="C21:P21" si="20">C91*0.8</f>
        <v>58027.936000000002</v>
      </c>
      <c r="D21" s="20">
        <f t="shared" si="20"/>
        <v>25122.648000000001</v>
      </c>
      <c r="E21" s="20">
        <f t="shared" si="20"/>
        <v>5766.2640000000001</v>
      </c>
      <c r="F21" s="20">
        <f t="shared" si="20"/>
        <v>2842.52</v>
      </c>
      <c r="G21" s="20">
        <f t="shared" si="20"/>
        <v>107274.84</v>
      </c>
      <c r="H21" s="20">
        <f t="shared" si="20"/>
        <v>5171.76</v>
      </c>
      <c r="I21" s="20">
        <f t="shared" si="20"/>
        <v>5086.3120000000008</v>
      </c>
      <c r="J21" s="20">
        <f t="shared" si="20"/>
        <v>227.42399999999998</v>
      </c>
      <c r="K21" s="20">
        <f t="shared" si="20"/>
        <v>5941.5440000000008</v>
      </c>
      <c r="L21" s="20">
        <f t="shared" si="20"/>
        <v>235.08000000000004</v>
      </c>
      <c r="M21" s="20">
        <f t="shared" si="20"/>
        <v>0</v>
      </c>
      <c r="N21" s="20">
        <f t="shared" si="20"/>
        <v>0</v>
      </c>
      <c r="O21" s="20">
        <f t="shared" si="20"/>
        <v>68.567999999999998</v>
      </c>
      <c r="P21" s="20">
        <f t="shared" si="20"/>
        <v>0</v>
      </c>
      <c r="Q21" s="20">
        <f t="shared" si="8"/>
        <v>0</v>
      </c>
      <c r="R21" s="20">
        <f t="shared" si="8"/>
        <v>0</v>
      </c>
      <c r="S21" s="10">
        <f t="shared" si="1"/>
        <v>215764.89599999998</v>
      </c>
      <c r="T21" s="1093">
        <f t="shared" si="3"/>
        <v>58027.936000000002</v>
      </c>
      <c r="U21" s="1093">
        <f t="shared" si="3"/>
        <v>25122.648000000001</v>
      </c>
      <c r="V21" s="1093">
        <f t="shared" si="3"/>
        <v>5766.2640000000001</v>
      </c>
      <c r="W21" s="1093">
        <f t="shared" si="3"/>
        <v>2842.52</v>
      </c>
      <c r="X21" s="1093">
        <f t="shared" si="3"/>
        <v>107274.84</v>
      </c>
      <c r="Y21" s="1093">
        <f t="shared" si="4"/>
        <v>16730.688000000002</v>
      </c>
    </row>
    <row r="22" spans="2:25">
      <c r="B22" s="2" t="s">
        <v>104</v>
      </c>
      <c r="C22" s="20">
        <f t="shared" ref="C22:P22" si="21">C92*0.8</f>
        <v>18491.184000000001</v>
      </c>
      <c r="D22" s="20">
        <f t="shared" si="21"/>
        <v>7317.4720000000007</v>
      </c>
      <c r="E22" s="20">
        <f t="shared" si="21"/>
        <v>1573.672</v>
      </c>
      <c r="F22" s="20">
        <f t="shared" si="21"/>
        <v>683.74400000000014</v>
      </c>
      <c r="G22" s="20">
        <f t="shared" si="21"/>
        <v>33067.920000000006</v>
      </c>
      <c r="H22" s="20">
        <f t="shared" si="21"/>
        <v>1018.6800000000002</v>
      </c>
      <c r="I22" s="20">
        <f t="shared" si="21"/>
        <v>1106.664</v>
      </c>
      <c r="J22" s="20">
        <f t="shared" si="21"/>
        <v>0</v>
      </c>
      <c r="K22" s="20">
        <f t="shared" si="21"/>
        <v>1578.9680000000001</v>
      </c>
      <c r="L22" s="20">
        <f t="shared" si="21"/>
        <v>78.360000000000014</v>
      </c>
      <c r="M22" s="20">
        <f t="shared" si="21"/>
        <v>0</v>
      </c>
      <c r="N22" s="20">
        <f t="shared" si="21"/>
        <v>0</v>
      </c>
      <c r="O22" s="20">
        <f t="shared" si="21"/>
        <v>22.856000000000002</v>
      </c>
      <c r="P22" s="20">
        <f t="shared" si="21"/>
        <v>0</v>
      </c>
      <c r="Q22" s="20">
        <f>Q92</f>
        <v>0</v>
      </c>
      <c r="R22" s="20">
        <f>R92</f>
        <v>0</v>
      </c>
      <c r="S22" s="10">
        <f t="shared" si="1"/>
        <v>64939.520000000004</v>
      </c>
      <c r="T22" s="1093">
        <f t="shared" si="3"/>
        <v>18491.184000000001</v>
      </c>
      <c r="U22" s="1093">
        <f t="shared" si="3"/>
        <v>7317.4720000000007</v>
      </c>
      <c r="V22" s="1093">
        <f t="shared" si="3"/>
        <v>1573.672</v>
      </c>
      <c r="W22" s="1093">
        <f t="shared" si="3"/>
        <v>683.74400000000014</v>
      </c>
      <c r="X22" s="1093">
        <f t="shared" si="3"/>
        <v>33067.920000000006</v>
      </c>
      <c r="Y22" s="1093">
        <f t="shared" si="4"/>
        <v>3805.5280000000002</v>
      </c>
    </row>
    <row r="23" spans="2:25">
      <c r="B23" s="2" t="s">
        <v>105</v>
      </c>
      <c r="C23" s="20">
        <f t="shared" ref="C23:P23" si="22">C93*0.8</f>
        <v>179660.33600000001</v>
      </c>
      <c r="D23" s="20">
        <f t="shared" si="22"/>
        <v>76282.559999999983</v>
      </c>
      <c r="E23" s="20">
        <f t="shared" si="22"/>
        <v>14805.048000000003</v>
      </c>
      <c r="F23" s="20">
        <f t="shared" si="22"/>
        <v>7063.5519999999997</v>
      </c>
      <c r="G23" s="20">
        <f t="shared" si="22"/>
        <v>405748.08</v>
      </c>
      <c r="H23" s="20">
        <f t="shared" si="22"/>
        <v>11362.199999999999</v>
      </c>
      <c r="I23" s="20">
        <f t="shared" si="22"/>
        <v>21638.584000000003</v>
      </c>
      <c r="J23" s="20">
        <f t="shared" si="22"/>
        <v>240.512</v>
      </c>
      <c r="K23" s="20">
        <f t="shared" si="22"/>
        <v>14427.111999999997</v>
      </c>
      <c r="L23" s="20">
        <f t="shared" si="22"/>
        <v>1018.68</v>
      </c>
      <c r="M23" s="20">
        <f t="shared" si="22"/>
        <v>0</v>
      </c>
      <c r="N23" s="20">
        <f t="shared" si="22"/>
        <v>0</v>
      </c>
      <c r="O23" s="20">
        <f t="shared" si="22"/>
        <v>548.54399999999998</v>
      </c>
      <c r="P23" s="20">
        <f t="shared" si="22"/>
        <v>0</v>
      </c>
      <c r="Q23" s="20">
        <f t="shared" ref="Q23:R28" si="23">Q93*0.8</f>
        <v>0</v>
      </c>
      <c r="R23" s="20">
        <f t="shared" si="23"/>
        <v>0</v>
      </c>
      <c r="S23" s="10">
        <f t="shared" si="1"/>
        <v>732795.2080000001</v>
      </c>
      <c r="T23" s="1093">
        <f t="shared" si="3"/>
        <v>179660.33600000001</v>
      </c>
      <c r="U23" s="1093">
        <f t="shared" si="3"/>
        <v>76282.559999999983</v>
      </c>
      <c r="V23" s="1093">
        <f t="shared" si="3"/>
        <v>14805.048000000003</v>
      </c>
      <c r="W23" s="1093">
        <f t="shared" si="3"/>
        <v>7063.5519999999997</v>
      </c>
      <c r="X23" s="1093">
        <f t="shared" si="3"/>
        <v>405748.08</v>
      </c>
      <c r="Y23" s="1093">
        <f t="shared" si="4"/>
        <v>49235.631999999998</v>
      </c>
    </row>
    <row r="24" spans="2:25">
      <c r="B24" s="2" t="s">
        <v>106</v>
      </c>
      <c r="C24" s="20">
        <f t="shared" ref="C24:P24" si="24">C94*0.8</f>
        <v>28472.544000000002</v>
      </c>
      <c r="D24" s="20">
        <f t="shared" si="24"/>
        <v>13425.896000000002</v>
      </c>
      <c r="E24" s="20">
        <f t="shared" si="24"/>
        <v>1536.4880000000001</v>
      </c>
      <c r="F24" s="20">
        <f t="shared" si="24"/>
        <v>366.52800000000008</v>
      </c>
      <c r="G24" s="20">
        <f t="shared" si="24"/>
        <v>68486.64</v>
      </c>
      <c r="H24" s="20">
        <f t="shared" si="24"/>
        <v>1723.92</v>
      </c>
      <c r="I24" s="20">
        <f t="shared" si="24"/>
        <v>2586.616</v>
      </c>
      <c r="J24" s="20">
        <f t="shared" si="24"/>
        <v>0</v>
      </c>
      <c r="K24" s="20">
        <f t="shared" si="24"/>
        <v>2071.1039999999998</v>
      </c>
      <c r="L24" s="20">
        <f t="shared" si="24"/>
        <v>78.360000000000014</v>
      </c>
      <c r="M24" s="20">
        <f t="shared" si="24"/>
        <v>0</v>
      </c>
      <c r="N24" s="20">
        <f t="shared" si="24"/>
        <v>0</v>
      </c>
      <c r="O24" s="20">
        <f t="shared" si="24"/>
        <v>0</v>
      </c>
      <c r="P24" s="20">
        <f t="shared" si="24"/>
        <v>0</v>
      </c>
      <c r="Q24" s="20">
        <f t="shared" si="23"/>
        <v>0</v>
      </c>
      <c r="R24" s="20">
        <f t="shared" si="23"/>
        <v>0</v>
      </c>
      <c r="S24" s="10">
        <f t="shared" si="1"/>
        <v>118748.09599999999</v>
      </c>
      <c r="T24" s="1093">
        <f t="shared" si="3"/>
        <v>28472.544000000002</v>
      </c>
      <c r="U24" s="1093">
        <f t="shared" si="3"/>
        <v>13425.896000000002</v>
      </c>
      <c r="V24" s="1093">
        <f t="shared" si="3"/>
        <v>1536.4880000000001</v>
      </c>
      <c r="W24" s="1093">
        <f t="shared" si="3"/>
        <v>366.52800000000008</v>
      </c>
      <c r="X24" s="1093">
        <f t="shared" si="3"/>
        <v>68486.64</v>
      </c>
      <c r="Y24" s="1093">
        <f t="shared" si="4"/>
        <v>6459.9999999999991</v>
      </c>
    </row>
    <row r="25" spans="2:25">
      <c r="B25" s="2" t="s">
        <v>107</v>
      </c>
      <c r="C25" s="20">
        <f t="shared" ref="C25:P25" si="25">C95*0.8</f>
        <v>158552.85600000003</v>
      </c>
      <c r="D25" s="20">
        <f t="shared" si="25"/>
        <v>77108.551999999952</v>
      </c>
      <c r="E25" s="20">
        <f t="shared" si="25"/>
        <v>23378.2</v>
      </c>
      <c r="F25" s="20">
        <f t="shared" si="25"/>
        <v>8145.7280000000028</v>
      </c>
      <c r="G25" s="20">
        <f t="shared" si="25"/>
        <v>633227.16</v>
      </c>
      <c r="H25" s="20">
        <f t="shared" si="25"/>
        <v>11205.480000000001</v>
      </c>
      <c r="I25" s="20">
        <f t="shared" si="25"/>
        <v>15375.120000000003</v>
      </c>
      <c r="J25" s="20">
        <f t="shared" si="25"/>
        <v>463.64</v>
      </c>
      <c r="K25" s="20">
        <f t="shared" si="25"/>
        <v>13039.96</v>
      </c>
      <c r="L25" s="20">
        <f t="shared" si="25"/>
        <v>1018.68</v>
      </c>
      <c r="M25" s="20">
        <f t="shared" si="25"/>
        <v>156.72000000000003</v>
      </c>
      <c r="N25" s="20">
        <f t="shared" si="25"/>
        <v>0</v>
      </c>
      <c r="O25" s="20">
        <f t="shared" si="25"/>
        <v>114.28</v>
      </c>
      <c r="P25" s="20">
        <f t="shared" si="25"/>
        <v>0</v>
      </c>
      <c r="Q25" s="20">
        <f t="shared" si="23"/>
        <v>0</v>
      </c>
      <c r="R25" s="20">
        <f t="shared" si="23"/>
        <v>0</v>
      </c>
      <c r="S25" s="10">
        <f t="shared" si="1"/>
        <v>941786.37600000005</v>
      </c>
      <c r="T25" s="1093">
        <f t="shared" si="3"/>
        <v>158552.85600000003</v>
      </c>
      <c r="U25" s="1093">
        <f t="shared" si="3"/>
        <v>77108.551999999952</v>
      </c>
      <c r="V25" s="1093">
        <f t="shared" si="3"/>
        <v>23378.2</v>
      </c>
      <c r="W25" s="1093">
        <f t="shared" si="3"/>
        <v>8145.7280000000028</v>
      </c>
      <c r="X25" s="1093">
        <f t="shared" si="3"/>
        <v>633227.16</v>
      </c>
      <c r="Y25" s="1093">
        <f t="shared" si="4"/>
        <v>41373.880000000005</v>
      </c>
    </row>
    <row r="26" spans="2:25">
      <c r="B26" s="2" t="s">
        <v>108</v>
      </c>
      <c r="C26" s="20">
        <f t="shared" ref="C26:P26" si="26">C96*0.8</f>
        <v>12119.784</v>
      </c>
      <c r="D26" s="20">
        <f t="shared" si="26"/>
        <v>4775.4720000000007</v>
      </c>
      <c r="E26" s="20">
        <f t="shared" si="26"/>
        <v>1517.432</v>
      </c>
      <c r="F26" s="20">
        <f t="shared" si="26"/>
        <v>742.2</v>
      </c>
      <c r="G26" s="20">
        <f t="shared" si="26"/>
        <v>71777.759999999995</v>
      </c>
      <c r="H26" s="20">
        <f t="shared" si="26"/>
        <v>1253.7600000000002</v>
      </c>
      <c r="I26" s="20">
        <f t="shared" si="26"/>
        <v>728.5440000000001</v>
      </c>
      <c r="J26" s="20">
        <f t="shared" si="26"/>
        <v>0</v>
      </c>
      <c r="K26" s="20">
        <f t="shared" si="26"/>
        <v>1015.672</v>
      </c>
      <c r="L26" s="20">
        <f t="shared" si="26"/>
        <v>0</v>
      </c>
      <c r="M26" s="20">
        <f t="shared" si="26"/>
        <v>0</v>
      </c>
      <c r="N26" s="20">
        <f t="shared" si="26"/>
        <v>0</v>
      </c>
      <c r="O26" s="20">
        <f t="shared" si="26"/>
        <v>0</v>
      </c>
      <c r="P26" s="20">
        <f t="shared" si="26"/>
        <v>0</v>
      </c>
      <c r="Q26" s="20">
        <f t="shared" si="23"/>
        <v>11.792000000000002</v>
      </c>
      <c r="R26" s="20">
        <f t="shared" si="23"/>
        <v>240.58400000000003</v>
      </c>
      <c r="S26" s="10">
        <f t="shared" si="1"/>
        <v>94183</v>
      </c>
      <c r="T26" s="1093">
        <f t="shared" si="3"/>
        <v>12119.784</v>
      </c>
      <c r="U26" s="1093">
        <f t="shared" si="3"/>
        <v>4775.4720000000007</v>
      </c>
      <c r="V26" s="1093">
        <f t="shared" si="3"/>
        <v>1517.432</v>
      </c>
      <c r="W26" s="1093">
        <f t="shared" si="3"/>
        <v>742.2</v>
      </c>
      <c r="X26" s="1093">
        <f t="shared" si="3"/>
        <v>71777.759999999995</v>
      </c>
      <c r="Y26" s="1093">
        <f t="shared" si="4"/>
        <v>3250.3520000000003</v>
      </c>
    </row>
    <row r="27" spans="2:25">
      <c r="B27" s="2" t="s">
        <v>109</v>
      </c>
      <c r="C27" s="20">
        <f t="shared" ref="C27:P27" si="27">C97*0.8</f>
        <v>3180.8880000000004</v>
      </c>
      <c r="D27" s="20">
        <f t="shared" si="27"/>
        <v>609.39200000000017</v>
      </c>
      <c r="E27" s="20">
        <f t="shared" si="27"/>
        <v>451.03999999999996</v>
      </c>
      <c r="F27" s="20">
        <f t="shared" si="27"/>
        <v>884.44799999999998</v>
      </c>
      <c r="G27" s="20">
        <f t="shared" si="27"/>
        <v>8619.6</v>
      </c>
      <c r="H27" s="20">
        <f t="shared" si="27"/>
        <v>78.360000000000014</v>
      </c>
      <c r="I27" s="20">
        <f t="shared" si="27"/>
        <v>164.24</v>
      </c>
      <c r="J27" s="20">
        <f t="shared" si="27"/>
        <v>0</v>
      </c>
      <c r="K27" s="20">
        <f t="shared" si="27"/>
        <v>457.42399999999998</v>
      </c>
      <c r="L27" s="20">
        <f t="shared" si="27"/>
        <v>0</v>
      </c>
      <c r="M27" s="20">
        <f t="shared" si="27"/>
        <v>0</v>
      </c>
      <c r="N27" s="20">
        <f t="shared" si="27"/>
        <v>0</v>
      </c>
      <c r="O27" s="20">
        <f t="shared" si="27"/>
        <v>0</v>
      </c>
      <c r="P27" s="20">
        <f t="shared" si="27"/>
        <v>0</v>
      </c>
      <c r="Q27" s="20">
        <f t="shared" si="23"/>
        <v>0</v>
      </c>
      <c r="R27" s="20">
        <f t="shared" si="23"/>
        <v>0</v>
      </c>
      <c r="S27" s="10">
        <f t="shared" si="1"/>
        <v>14445.392000000003</v>
      </c>
      <c r="T27" s="1093">
        <f t="shared" si="3"/>
        <v>3180.8880000000004</v>
      </c>
      <c r="U27" s="1093">
        <f t="shared" si="3"/>
        <v>609.39200000000017</v>
      </c>
      <c r="V27" s="1093">
        <f t="shared" si="3"/>
        <v>451.03999999999996</v>
      </c>
      <c r="W27" s="1093">
        <f t="shared" si="3"/>
        <v>884.44799999999998</v>
      </c>
      <c r="X27" s="1093">
        <f t="shared" si="3"/>
        <v>8619.6</v>
      </c>
      <c r="Y27" s="1093">
        <f t="shared" si="4"/>
        <v>700.024</v>
      </c>
    </row>
    <row r="28" spans="2:25">
      <c r="B28" s="2" t="s">
        <v>110</v>
      </c>
      <c r="C28" s="20">
        <f t="shared" ref="C28:P28" si="28">C98*0.8</f>
        <v>93282.816000000006</v>
      </c>
      <c r="D28" s="20">
        <f t="shared" si="28"/>
        <v>40565.167999999983</v>
      </c>
      <c r="E28" s="20">
        <f t="shared" si="28"/>
        <v>10427.992</v>
      </c>
      <c r="F28" s="20">
        <f t="shared" si="28"/>
        <v>2873.3439999999991</v>
      </c>
      <c r="G28" s="20">
        <f t="shared" si="28"/>
        <v>420714.84000000008</v>
      </c>
      <c r="H28" s="20">
        <f t="shared" si="28"/>
        <v>8462.880000000001</v>
      </c>
      <c r="I28" s="20">
        <f t="shared" si="28"/>
        <v>9601.1840000000011</v>
      </c>
      <c r="J28" s="20">
        <f t="shared" si="28"/>
        <v>0</v>
      </c>
      <c r="K28" s="20">
        <f t="shared" si="28"/>
        <v>7951.4240000000009</v>
      </c>
      <c r="L28" s="20">
        <f t="shared" si="28"/>
        <v>861.96</v>
      </c>
      <c r="M28" s="20">
        <f t="shared" si="28"/>
        <v>0</v>
      </c>
      <c r="N28" s="20">
        <f t="shared" si="28"/>
        <v>0</v>
      </c>
      <c r="O28" s="20">
        <f t="shared" si="28"/>
        <v>114.28</v>
      </c>
      <c r="P28" s="20">
        <f t="shared" si="28"/>
        <v>0</v>
      </c>
      <c r="Q28" s="20">
        <f t="shared" si="23"/>
        <v>0</v>
      </c>
      <c r="R28" s="20">
        <f t="shared" si="23"/>
        <v>0</v>
      </c>
      <c r="S28" s="10">
        <f t="shared" si="1"/>
        <v>594855.88800000015</v>
      </c>
      <c r="T28" s="1093">
        <f t="shared" si="3"/>
        <v>93282.816000000006</v>
      </c>
      <c r="U28" s="1093">
        <f t="shared" si="3"/>
        <v>40565.167999999983</v>
      </c>
      <c r="V28" s="1093">
        <f t="shared" si="3"/>
        <v>10427.992</v>
      </c>
      <c r="W28" s="1093">
        <f t="shared" si="3"/>
        <v>2873.3439999999991</v>
      </c>
      <c r="X28" s="1093">
        <f t="shared" si="3"/>
        <v>420714.84000000008</v>
      </c>
      <c r="Y28" s="1093">
        <f t="shared" si="4"/>
        <v>26991.728000000003</v>
      </c>
    </row>
    <row r="29" spans="2:25">
      <c r="B29" s="2" t="s">
        <v>111</v>
      </c>
      <c r="C29" s="20">
        <f t="shared" ref="C29:P29" si="29">C99*0.8</f>
        <v>522277.60000000003</v>
      </c>
      <c r="D29" s="20">
        <f t="shared" si="29"/>
        <v>338472.88799999992</v>
      </c>
      <c r="E29" s="20">
        <f t="shared" si="29"/>
        <v>54066.128000000004</v>
      </c>
      <c r="F29" s="20">
        <f t="shared" si="29"/>
        <v>40324.519999999997</v>
      </c>
      <c r="G29" s="20">
        <f t="shared" si="29"/>
        <v>2268992.16</v>
      </c>
      <c r="H29" s="20">
        <f t="shared" si="29"/>
        <v>42706.200000000004</v>
      </c>
      <c r="I29" s="20">
        <f t="shared" si="29"/>
        <v>94948.384000000005</v>
      </c>
      <c r="J29" s="20">
        <f t="shared" si="29"/>
        <v>0</v>
      </c>
      <c r="K29" s="20">
        <f t="shared" si="29"/>
        <v>49813.031999999999</v>
      </c>
      <c r="L29" s="20">
        <f t="shared" si="29"/>
        <v>3839.6400000000003</v>
      </c>
      <c r="M29" s="20">
        <f t="shared" si="29"/>
        <v>313.44000000000005</v>
      </c>
      <c r="N29" s="20">
        <f t="shared" si="29"/>
        <v>0</v>
      </c>
      <c r="O29" s="20">
        <f t="shared" si="29"/>
        <v>1417.0720000000001</v>
      </c>
      <c r="P29" s="20">
        <f t="shared" si="29"/>
        <v>38.095999999999997</v>
      </c>
      <c r="Q29" s="20">
        <f>Q99</f>
        <v>1408.51</v>
      </c>
      <c r="R29" s="20">
        <f>R99</f>
        <v>15529.98</v>
      </c>
      <c r="S29" s="10">
        <f t="shared" si="1"/>
        <v>3434147.6500000004</v>
      </c>
      <c r="T29" s="1093">
        <f t="shared" si="3"/>
        <v>522277.60000000003</v>
      </c>
      <c r="U29" s="1093">
        <f t="shared" si="3"/>
        <v>338472.88799999992</v>
      </c>
      <c r="V29" s="1093">
        <f t="shared" si="3"/>
        <v>54066.128000000004</v>
      </c>
      <c r="W29" s="1093">
        <f t="shared" si="3"/>
        <v>40324.519999999997</v>
      </c>
      <c r="X29" s="1093">
        <f t="shared" si="3"/>
        <v>2268992.16</v>
      </c>
      <c r="Y29" s="1093">
        <f t="shared" si="4"/>
        <v>210014.35400000005</v>
      </c>
    </row>
    <row r="30" spans="2:25">
      <c r="B30" s="2" t="s">
        <v>112</v>
      </c>
      <c r="C30" s="20">
        <f t="shared" ref="C30:P30" si="30">C100*0.8</f>
        <v>17703.135999999999</v>
      </c>
      <c r="D30" s="20">
        <f t="shared" si="30"/>
        <v>11504.744000000001</v>
      </c>
      <c r="E30" s="20">
        <f t="shared" si="30"/>
        <v>1037.7040000000002</v>
      </c>
      <c r="F30" s="20">
        <f t="shared" si="30"/>
        <v>772.33599999999979</v>
      </c>
      <c r="G30" s="20">
        <f t="shared" si="30"/>
        <v>51560.880000000005</v>
      </c>
      <c r="H30" s="20">
        <f t="shared" si="30"/>
        <v>1018.6800000000002</v>
      </c>
      <c r="I30" s="20">
        <f t="shared" si="30"/>
        <v>1952.4880000000003</v>
      </c>
      <c r="J30" s="20">
        <f t="shared" si="30"/>
        <v>227.42399999999998</v>
      </c>
      <c r="K30" s="20">
        <f t="shared" si="30"/>
        <v>1929.4480000000001</v>
      </c>
      <c r="L30" s="20">
        <f t="shared" si="30"/>
        <v>235.08000000000004</v>
      </c>
      <c r="M30" s="20">
        <f t="shared" si="30"/>
        <v>0</v>
      </c>
      <c r="N30" s="20">
        <f t="shared" si="30"/>
        <v>0</v>
      </c>
      <c r="O30" s="20">
        <f t="shared" si="30"/>
        <v>45.712000000000003</v>
      </c>
      <c r="P30" s="20">
        <f t="shared" si="30"/>
        <v>0</v>
      </c>
      <c r="Q30" s="20">
        <f>Q100*0.8</f>
        <v>0</v>
      </c>
      <c r="R30" s="20">
        <f>R100*0.8</f>
        <v>566.81600000000003</v>
      </c>
      <c r="S30" s="10">
        <f t="shared" si="1"/>
        <v>88554.448000000004</v>
      </c>
      <c r="T30" s="1093">
        <f t="shared" si="3"/>
        <v>17703.135999999999</v>
      </c>
      <c r="U30" s="1093">
        <f t="shared" si="3"/>
        <v>11504.744000000001</v>
      </c>
      <c r="V30" s="1093">
        <f t="shared" si="3"/>
        <v>1037.7040000000002</v>
      </c>
      <c r="W30" s="1093">
        <f t="shared" si="3"/>
        <v>772.33599999999979</v>
      </c>
      <c r="X30" s="1093">
        <f t="shared" si="3"/>
        <v>51560.880000000005</v>
      </c>
      <c r="Y30" s="1093">
        <f t="shared" si="4"/>
        <v>5975.648000000001</v>
      </c>
    </row>
    <row r="31" spans="2:25">
      <c r="B31" s="2" t="s">
        <v>113</v>
      </c>
      <c r="C31" s="20">
        <f t="shared" ref="C31:P31" si="31">C101*0.8</f>
        <v>7306.4720000000007</v>
      </c>
      <c r="D31" s="20">
        <f t="shared" si="31"/>
        <v>3393.2880000000005</v>
      </c>
      <c r="E31" s="20">
        <f t="shared" si="31"/>
        <v>901.55200000000013</v>
      </c>
      <c r="F31" s="20">
        <f t="shared" si="31"/>
        <v>404.47999999999996</v>
      </c>
      <c r="G31" s="20">
        <f t="shared" si="31"/>
        <v>31657.440000000002</v>
      </c>
      <c r="H31" s="20">
        <f t="shared" si="31"/>
        <v>470.16000000000008</v>
      </c>
      <c r="I31" s="20">
        <f t="shared" si="31"/>
        <v>464.12000000000012</v>
      </c>
      <c r="J31" s="20">
        <f t="shared" si="31"/>
        <v>0</v>
      </c>
      <c r="K31" s="20">
        <f t="shared" si="31"/>
        <v>768.15200000000004</v>
      </c>
      <c r="L31" s="20">
        <f t="shared" si="31"/>
        <v>78.360000000000014</v>
      </c>
      <c r="M31" s="20">
        <f t="shared" si="31"/>
        <v>0</v>
      </c>
      <c r="N31" s="20">
        <f t="shared" si="31"/>
        <v>0</v>
      </c>
      <c r="O31" s="20">
        <f t="shared" si="31"/>
        <v>0</v>
      </c>
      <c r="P31" s="20">
        <f t="shared" si="31"/>
        <v>0</v>
      </c>
      <c r="Q31" s="20">
        <f>Q101*0.8</f>
        <v>0</v>
      </c>
      <c r="R31" s="20">
        <f>R101*0.8</f>
        <v>0</v>
      </c>
      <c r="S31" s="10">
        <f t="shared" si="1"/>
        <v>45444.024000000012</v>
      </c>
      <c r="T31" s="1093">
        <f t="shared" si="3"/>
        <v>7306.4720000000007</v>
      </c>
      <c r="U31" s="1093">
        <f t="shared" si="3"/>
        <v>3393.2880000000005</v>
      </c>
      <c r="V31" s="1093">
        <f t="shared" si="3"/>
        <v>901.55200000000013</v>
      </c>
      <c r="W31" s="1093">
        <f t="shared" si="3"/>
        <v>404.47999999999996</v>
      </c>
      <c r="X31" s="1093">
        <f t="shared" si="3"/>
        <v>31657.440000000002</v>
      </c>
      <c r="Y31" s="1093">
        <f t="shared" si="4"/>
        <v>1780.7920000000004</v>
      </c>
    </row>
    <row r="32" spans="2:25">
      <c r="B32" s="5" t="s">
        <v>37</v>
      </c>
      <c r="C32" s="6">
        <f t="shared" ref="C32:T32" si="32">SUM(C5:C31)</f>
        <v>1827116.6720000003</v>
      </c>
      <c r="D32" s="6">
        <f t="shared" si="32"/>
        <v>995147.74399999972</v>
      </c>
      <c r="E32" s="6">
        <f t="shared" si="32"/>
        <v>199239.49599999998</v>
      </c>
      <c r="F32" s="6">
        <f t="shared" si="32"/>
        <v>111048.20000000001</v>
      </c>
      <c r="G32" s="6">
        <f t="shared" si="32"/>
        <v>6331488</v>
      </c>
      <c r="H32" s="6">
        <f t="shared" si="32"/>
        <v>152018.4</v>
      </c>
      <c r="I32" s="6">
        <f t="shared" si="32"/>
        <v>241248.35200000001</v>
      </c>
      <c r="J32" s="6">
        <f t="shared" si="32"/>
        <v>4848.6480000000001</v>
      </c>
      <c r="K32" s="6">
        <f t="shared" si="32"/>
        <v>162358.864</v>
      </c>
      <c r="L32" s="6">
        <f t="shared" si="32"/>
        <v>14418.24</v>
      </c>
      <c r="M32" s="6">
        <f t="shared" si="32"/>
        <v>1723.9200000000003</v>
      </c>
      <c r="N32" s="6">
        <f t="shared" si="32"/>
        <v>1906.9680000000003</v>
      </c>
      <c r="O32" s="6">
        <f t="shared" si="32"/>
        <v>3314.12</v>
      </c>
      <c r="P32" s="6">
        <f t="shared" si="32"/>
        <v>38.095999999999997</v>
      </c>
      <c r="Q32" s="6">
        <f t="shared" si="32"/>
        <v>1486.462</v>
      </c>
      <c r="R32" s="6">
        <f t="shared" si="32"/>
        <v>16337.380000000001</v>
      </c>
      <c r="S32" s="6">
        <f t="shared" si="32"/>
        <v>10063739.562000001</v>
      </c>
      <c r="T32" s="1093">
        <f t="shared" si="32"/>
        <v>1827116.6720000003</v>
      </c>
      <c r="U32" s="1093">
        <f t="shared" ref="U32:Y32" si="33">SUM(U5:U31)</f>
        <v>995147.74399999972</v>
      </c>
      <c r="V32" s="1093">
        <f t="shared" si="33"/>
        <v>199239.49599999998</v>
      </c>
      <c r="W32" s="1093">
        <f t="shared" si="33"/>
        <v>111048.20000000001</v>
      </c>
      <c r="X32" s="1093">
        <f t="shared" si="33"/>
        <v>6331488</v>
      </c>
      <c r="Y32" s="1093">
        <f t="shared" si="33"/>
        <v>599699.45000000007</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80</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4">C75*0.2</f>
        <v>1869.9780000000001</v>
      </c>
      <c r="D40" s="20">
        <f t="shared" si="34"/>
        <v>776.55000000000041</v>
      </c>
      <c r="E40" s="20">
        <f t="shared" si="34"/>
        <v>327.61200000000002</v>
      </c>
      <c r="F40" s="20">
        <f t="shared" si="34"/>
        <v>131.91200000000001</v>
      </c>
      <c r="G40" s="20">
        <f t="shared" si="34"/>
        <v>7052.4000000000005</v>
      </c>
      <c r="H40" s="20">
        <f t="shared" si="34"/>
        <v>352.62000000000006</v>
      </c>
      <c r="I40" s="20">
        <f t="shared" si="34"/>
        <v>115.24600000000001</v>
      </c>
      <c r="J40" s="20">
        <f t="shared" si="34"/>
        <v>0</v>
      </c>
      <c r="K40" s="20">
        <f t="shared" si="34"/>
        <v>172.18000000000004</v>
      </c>
      <c r="L40" s="20">
        <f t="shared" si="34"/>
        <v>19.590000000000003</v>
      </c>
      <c r="M40" s="20">
        <f t="shared" si="34"/>
        <v>0</v>
      </c>
      <c r="N40" s="20">
        <f t="shared" si="34"/>
        <v>0</v>
      </c>
      <c r="O40" s="20">
        <f t="shared" si="34"/>
        <v>0</v>
      </c>
      <c r="P40" s="20">
        <f t="shared" si="34"/>
        <v>0</v>
      </c>
      <c r="Q40" s="20">
        <f t="shared" si="34"/>
        <v>0</v>
      </c>
      <c r="R40" s="20">
        <f t="shared" si="34"/>
        <v>0</v>
      </c>
      <c r="S40" s="10">
        <f t="shared" ref="S40:S66" si="35">SUM(C40:R40)</f>
        <v>10818.088000000002</v>
      </c>
      <c r="T40" s="1093">
        <f>C40</f>
        <v>1869.9780000000001</v>
      </c>
      <c r="U40" s="1093">
        <f>D40</f>
        <v>776.55000000000041</v>
      </c>
      <c r="V40" s="1093">
        <f>E40</f>
        <v>327.61200000000002</v>
      </c>
      <c r="W40" s="1093">
        <f>F40</f>
        <v>131.91200000000001</v>
      </c>
      <c r="X40" s="1093">
        <f>G40</f>
        <v>7052.4000000000005</v>
      </c>
      <c r="Y40" s="1093">
        <f>SUM(H40:R40)</f>
        <v>659.63600000000019</v>
      </c>
    </row>
    <row r="41" spans="2:25">
      <c r="B41" s="2" t="s">
        <v>88</v>
      </c>
      <c r="C41" s="20">
        <f t="shared" ref="C41:R41" si="36">C76*0.2</f>
        <v>4592.5640000000003</v>
      </c>
      <c r="D41" s="20">
        <f t="shared" si="36"/>
        <v>3442.4819999999995</v>
      </c>
      <c r="E41" s="20">
        <f t="shared" si="36"/>
        <v>594.27600000000007</v>
      </c>
      <c r="F41" s="20">
        <f t="shared" si="36"/>
        <v>83.831999999999979</v>
      </c>
      <c r="G41" s="20">
        <f t="shared" si="36"/>
        <v>11362.2</v>
      </c>
      <c r="H41" s="20">
        <f t="shared" si="36"/>
        <v>430.98</v>
      </c>
      <c r="I41" s="20">
        <f t="shared" si="36"/>
        <v>851.15999999999985</v>
      </c>
      <c r="J41" s="20">
        <f t="shared" si="36"/>
        <v>0</v>
      </c>
      <c r="K41" s="20">
        <f t="shared" si="36"/>
        <v>427.53800000000001</v>
      </c>
      <c r="L41" s="20">
        <f t="shared" si="36"/>
        <v>58.77000000000001</v>
      </c>
      <c r="M41" s="20">
        <f t="shared" si="36"/>
        <v>0</v>
      </c>
      <c r="N41" s="20">
        <f t="shared" si="36"/>
        <v>0</v>
      </c>
      <c r="O41" s="20">
        <f t="shared" si="36"/>
        <v>11.428000000000001</v>
      </c>
      <c r="P41" s="20">
        <f t="shared" si="36"/>
        <v>0</v>
      </c>
      <c r="Q41" s="20">
        <f t="shared" si="36"/>
        <v>0</v>
      </c>
      <c r="R41" s="20">
        <f t="shared" si="36"/>
        <v>0</v>
      </c>
      <c r="S41" s="10">
        <f t="shared" si="35"/>
        <v>21855.23</v>
      </c>
      <c r="T41" s="1093">
        <f t="shared" ref="T41:X66" si="37">C41</f>
        <v>4592.5640000000003</v>
      </c>
      <c r="U41" s="1093">
        <f t="shared" si="37"/>
        <v>3442.4819999999995</v>
      </c>
      <c r="V41" s="1093">
        <f t="shared" si="37"/>
        <v>594.27600000000007</v>
      </c>
      <c r="W41" s="1093">
        <f t="shared" si="37"/>
        <v>83.831999999999979</v>
      </c>
      <c r="X41" s="1093">
        <f t="shared" si="37"/>
        <v>11362.2</v>
      </c>
      <c r="Y41" s="1093">
        <f t="shared" ref="Y41:Y66" si="38">SUM(H41:R41)</f>
        <v>1779.876</v>
      </c>
    </row>
    <row r="42" spans="2:25">
      <c r="B42" s="2" t="s">
        <v>89</v>
      </c>
      <c r="C42" s="20">
        <f t="shared" ref="C42:R42" si="39">C77*0.2</f>
        <v>1908.6120000000001</v>
      </c>
      <c r="D42" s="20">
        <f t="shared" si="39"/>
        <v>1129.0960000000002</v>
      </c>
      <c r="E42" s="20">
        <f t="shared" si="39"/>
        <v>361.90000000000003</v>
      </c>
      <c r="F42" s="20">
        <f t="shared" si="39"/>
        <v>127.904</v>
      </c>
      <c r="G42" s="20">
        <f t="shared" si="39"/>
        <v>7013.22</v>
      </c>
      <c r="H42" s="20">
        <f t="shared" si="39"/>
        <v>293.85000000000002</v>
      </c>
      <c r="I42" s="20">
        <f t="shared" si="39"/>
        <v>232.74200000000002</v>
      </c>
      <c r="J42" s="20">
        <f t="shared" si="39"/>
        <v>0</v>
      </c>
      <c r="K42" s="20">
        <f t="shared" si="39"/>
        <v>218.92</v>
      </c>
      <c r="L42" s="20">
        <f t="shared" si="39"/>
        <v>58.77000000000001</v>
      </c>
      <c r="M42" s="20">
        <f t="shared" si="39"/>
        <v>0</v>
      </c>
      <c r="N42" s="20">
        <f t="shared" si="39"/>
        <v>0</v>
      </c>
      <c r="O42" s="20">
        <f t="shared" si="39"/>
        <v>11.428000000000001</v>
      </c>
      <c r="P42" s="20">
        <f t="shared" si="39"/>
        <v>0</v>
      </c>
      <c r="Q42" s="20">
        <f t="shared" si="39"/>
        <v>0</v>
      </c>
      <c r="R42" s="20">
        <f t="shared" si="39"/>
        <v>0</v>
      </c>
      <c r="S42" s="10">
        <f t="shared" si="35"/>
        <v>11356.442000000001</v>
      </c>
      <c r="T42" s="1093">
        <f t="shared" si="37"/>
        <v>1908.6120000000001</v>
      </c>
      <c r="U42" s="1093">
        <f t="shared" si="37"/>
        <v>1129.0960000000002</v>
      </c>
      <c r="V42" s="1093">
        <f t="shared" si="37"/>
        <v>361.90000000000003</v>
      </c>
      <c r="W42" s="1093">
        <f t="shared" si="37"/>
        <v>127.904</v>
      </c>
      <c r="X42" s="1093">
        <f t="shared" si="37"/>
        <v>7013.22</v>
      </c>
      <c r="Y42" s="1093">
        <f t="shared" si="38"/>
        <v>815.71</v>
      </c>
    </row>
    <row r="43" spans="2:25">
      <c r="B43" s="2" t="s">
        <v>90</v>
      </c>
      <c r="C43" s="20">
        <f t="shared" ref="C43:R43" si="40">C78*0.2</f>
        <v>5133.5800000000008</v>
      </c>
      <c r="D43" s="20">
        <f t="shared" si="40"/>
        <v>3483.9099999999994</v>
      </c>
      <c r="E43" s="20">
        <f t="shared" si="40"/>
        <v>415.23400000000004</v>
      </c>
      <c r="F43" s="20">
        <f t="shared" si="40"/>
        <v>190.73999999999998</v>
      </c>
      <c r="G43" s="20">
        <f t="shared" si="40"/>
        <v>11714.82</v>
      </c>
      <c r="H43" s="20">
        <f t="shared" si="40"/>
        <v>411.39</v>
      </c>
      <c r="I43" s="20">
        <f t="shared" si="40"/>
        <v>583.70000000000005</v>
      </c>
      <c r="J43" s="20">
        <f t="shared" si="40"/>
        <v>0</v>
      </c>
      <c r="K43" s="20">
        <f t="shared" si="40"/>
        <v>560.64</v>
      </c>
      <c r="L43" s="20">
        <f t="shared" si="40"/>
        <v>78.360000000000014</v>
      </c>
      <c r="M43" s="20">
        <f t="shared" si="40"/>
        <v>0</v>
      </c>
      <c r="N43" s="20">
        <f t="shared" si="40"/>
        <v>321.16200000000003</v>
      </c>
      <c r="O43" s="20">
        <f t="shared" si="40"/>
        <v>0</v>
      </c>
      <c r="P43" s="20">
        <f t="shared" si="40"/>
        <v>0</v>
      </c>
      <c r="Q43" s="20">
        <f t="shared" si="40"/>
        <v>0</v>
      </c>
      <c r="R43" s="20">
        <f t="shared" si="40"/>
        <v>0</v>
      </c>
      <c r="S43" s="10">
        <f t="shared" si="35"/>
        <v>22893.536</v>
      </c>
      <c r="T43" s="1093">
        <f t="shared" si="37"/>
        <v>5133.5800000000008</v>
      </c>
      <c r="U43" s="1093">
        <f t="shared" si="37"/>
        <v>3483.9099999999994</v>
      </c>
      <c r="V43" s="1093">
        <f t="shared" si="37"/>
        <v>415.23400000000004</v>
      </c>
      <c r="W43" s="1093">
        <f t="shared" si="37"/>
        <v>190.73999999999998</v>
      </c>
      <c r="X43" s="1093">
        <f t="shared" si="37"/>
        <v>11714.82</v>
      </c>
      <c r="Y43" s="1093">
        <f t="shared" si="38"/>
        <v>1955.2520000000002</v>
      </c>
    </row>
    <row r="44" spans="2:25">
      <c r="B44" s="2" t="s">
        <v>91</v>
      </c>
      <c r="C44" s="20">
        <f t="shared" ref="C44:R44" si="41">C79*0.2</f>
        <v>17601.554</v>
      </c>
      <c r="D44" s="20">
        <f t="shared" si="41"/>
        <v>6251.2660000000005</v>
      </c>
      <c r="E44" s="20">
        <f t="shared" si="41"/>
        <v>1705.8779999999999</v>
      </c>
      <c r="F44" s="20">
        <f t="shared" si="41"/>
        <v>322.59799999999996</v>
      </c>
      <c r="G44" s="20">
        <f t="shared" si="41"/>
        <v>33949.47</v>
      </c>
      <c r="H44" s="20">
        <f t="shared" si="41"/>
        <v>1449.66</v>
      </c>
      <c r="I44" s="20">
        <f t="shared" si="41"/>
        <v>1070.3100000000002</v>
      </c>
      <c r="J44" s="20">
        <f t="shared" si="41"/>
        <v>0</v>
      </c>
      <c r="K44" s="20">
        <f t="shared" si="41"/>
        <v>1362.4080000000001</v>
      </c>
      <c r="L44" s="20">
        <f t="shared" si="41"/>
        <v>78.360000000000014</v>
      </c>
      <c r="M44" s="20">
        <f t="shared" si="41"/>
        <v>0</v>
      </c>
      <c r="N44" s="20">
        <f t="shared" si="41"/>
        <v>0</v>
      </c>
      <c r="O44" s="20">
        <f t="shared" si="41"/>
        <v>22.856000000000002</v>
      </c>
      <c r="P44" s="20">
        <f t="shared" si="41"/>
        <v>0</v>
      </c>
      <c r="Q44" s="20">
        <f t="shared" si="41"/>
        <v>0</v>
      </c>
      <c r="R44" s="20">
        <f t="shared" si="41"/>
        <v>0</v>
      </c>
      <c r="S44" s="10">
        <f t="shared" si="35"/>
        <v>63814.360000000008</v>
      </c>
      <c r="T44" s="1093">
        <f t="shared" si="37"/>
        <v>17601.554</v>
      </c>
      <c r="U44" s="1093">
        <f t="shared" si="37"/>
        <v>6251.2660000000005</v>
      </c>
      <c r="V44" s="1093">
        <f t="shared" si="37"/>
        <v>1705.8779999999999</v>
      </c>
      <c r="W44" s="1093">
        <f t="shared" si="37"/>
        <v>322.59799999999996</v>
      </c>
      <c r="X44" s="1093">
        <f t="shared" si="37"/>
        <v>33949.47</v>
      </c>
      <c r="Y44" s="1093">
        <f t="shared" si="38"/>
        <v>3983.594000000001</v>
      </c>
    </row>
    <row r="45" spans="2:25">
      <c r="B45" s="2" t="s">
        <v>92</v>
      </c>
      <c r="C45" s="20">
        <f t="shared" ref="C45:R45" si="42">C80*0.2</f>
        <v>11011.648000000001</v>
      </c>
      <c r="D45" s="20">
        <f t="shared" si="42"/>
        <v>4383.9040000000023</v>
      </c>
      <c r="E45" s="20">
        <f t="shared" si="42"/>
        <v>1170.452</v>
      </c>
      <c r="F45" s="20">
        <f t="shared" si="42"/>
        <v>197.11800000000005</v>
      </c>
      <c r="G45" s="20">
        <f t="shared" si="42"/>
        <v>22215.06</v>
      </c>
      <c r="H45" s="20">
        <f t="shared" si="42"/>
        <v>1312.5300000000002</v>
      </c>
      <c r="I45" s="20">
        <f t="shared" si="42"/>
        <v>1032.2360000000001</v>
      </c>
      <c r="J45" s="20">
        <f t="shared" si="42"/>
        <v>0</v>
      </c>
      <c r="K45" s="20">
        <f t="shared" si="42"/>
        <v>832.47600000000011</v>
      </c>
      <c r="L45" s="20">
        <f t="shared" si="42"/>
        <v>78.360000000000014</v>
      </c>
      <c r="M45" s="20">
        <f t="shared" si="42"/>
        <v>0</v>
      </c>
      <c r="N45" s="20">
        <f t="shared" si="42"/>
        <v>0</v>
      </c>
      <c r="O45" s="20">
        <f t="shared" si="42"/>
        <v>5.7140000000000004</v>
      </c>
      <c r="P45" s="20">
        <f t="shared" si="42"/>
        <v>0</v>
      </c>
      <c r="Q45" s="20">
        <f t="shared" si="42"/>
        <v>0</v>
      </c>
      <c r="R45" s="20">
        <f t="shared" si="42"/>
        <v>0</v>
      </c>
      <c r="S45" s="10">
        <f t="shared" si="35"/>
        <v>42239.498</v>
      </c>
      <c r="T45" s="1093">
        <f t="shared" si="37"/>
        <v>11011.648000000001</v>
      </c>
      <c r="U45" s="1093">
        <f t="shared" si="37"/>
        <v>4383.9040000000023</v>
      </c>
      <c r="V45" s="1093">
        <f t="shared" si="37"/>
        <v>1170.452</v>
      </c>
      <c r="W45" s="1093">
        <f t="shared" si="37"/>
        <v>197.11800000000005</v>
      </c>
      <c r="X45" s="1093">
        <f t="shared" si="37"/>
        <v>22215.06</v>
      </c>
      <c r="Y45" s="1093">
        <f t="shared" si="38"/>
        <v>3261.3160000000007</v>
      </c>
    </row>
    <row r="46" spans="2:25">
      <c r="B46" s="2" t="s">
        <v>93</v>
      </c>
      <c r="C46" s="20">
        <f t="shared" ref="C46:R46" si="43">C81*0.2</f>
        <v>12207.822</v>
      </c>
      <c r="D46" s="20">
        <f t="shared" si="43"/>
        <v>6572.1359999999986</v>
      </c>
      <c r="E46" s="20">
        <f t="shared" si="43"/>
        <v>763.79</v>
      </c>
      <c r="F46" s="20">
        <f t="shared" si="43"/>
        <v>440.69200000000001</v>
      </c>
      <c r="G46" s="20">
        <f t="shared" si="43"/>
        <v>28679.759999999998</v>
      </c>
      <c r="H46" s="20">
        <f t="shared" si="43"/>
        <v>1567.1999999999998</v>
      </c>
      <c r="I46" s="20">
        <f t="shared" si="43"/>
        <v>1405.5100000000002</v>
      </c>
      <c r="J46" s="20">
        <f t="shared" si="43"/>
        <v>0</v>
      </c>
      <c r="K46" s="20">
        <f t="shared" si="43"/>
        <v>1123.1099999999999</v>
      </c>
      <c r="L46" s="20">
        <f t="shared" si="43"/>
        <v>58.77000000000001</v>
      </c>
      <c r="M46" s="20">
        <f t="shared" si="43"/>
        <v>0</v>
      </c>
      <c r="N46" s="20">
        <f t="shared" si="43"/>
        <v>0</v>
      </c>
      <c r="O46" s="20">
        <f t="shared" si="43"/>
        <v>11.428000000000001</v>
      </c>
      <c r="P46" s="20">
        <f t="shared" si="43"/>
        <v>0</v>
      </c>
      <c r="Q46" s="20">
        <f t="shared" si="43"/>
        <v>0</v>
      </c>
      <c r="R46" s="20">
        <f t="shared" si="43"/>
        <v>0</v>
      </c>
      <c r="S46" s="10">
        <f t="shared" si="35"/>
        <v>52830.217999999993</v>
      </c>
      <c r="T46" s="1093">
        <f t="shared" si="37"/>
        <v>12207.822</v>
      </c>
      <c r="U46" s="1093">
        <f t="shared" si="37"/>
        <v>6572.1359999999986</v>
      </c>
      <c r="V46" s="1093">
        <f t="shared" si="37"/>
        <v>763.79</v>
      </c>
      <c r="W46" s="1093">
        <f t="shared" si="37"/>
        <v>440.69200000000001</v>
      </c>
      <c r="X46" s="1093">
        <f t="shared" si="37"/>
        <v>28679.759999999998</v>
      </c>
      <c r="Y46" s="1093">
        <f t="shared" si="38"/>
        <v>4166.018</v>
      </c>
    </row>
    <row r="47" spans="2:25">
      <c r="B47" s="2" t="s">
        <v>94</v>
      </c>
      <c r="C47" s="20">
        <f t="shared" ref="C47:R47" si="44">C82*0.2</f>
        <v>7465.5839999999998</v>
      </c>
      <c r="D47" s="20">
        <f t="shared" si="44"/>
        <v>1782.8400000000011</v>
      </c>
      <c r="E47" s="20">
        <f t="shared" si="44"/>
        <v>1075.5920000000001</v>
      </c>
      <c r="F47" s="20">
        <f t="shared" si="44"/>
        <v>436.40600000000018</v>
      </c>
      <c r="G47" s="20">
        <f t="shared" si="44"/>
        <v>24330.78</v>
      </c>
      <c r="H47" s="20">
        <f t="shared" si="44"/>
        <v>587.70000000000005</v>
      </c>
      <c r="I47" s="20">
        <f t="shared" si="44"/>
        <v>516.41800000000001</v>
      </c>
      <c r="J47" s="20">
        <f t="shared" si="44"/>
        <v>185.95000000000002</v>
      </c>
      <c r="K47" s="20">
        <f t="shared" si="44"/>
        <v>415.5</v>
      </c>
      <c r="L47" s="20">
        <f t="shared" si="44"/>
        <v>97.95</v>
      </c>
      <c r="M47" s="20">
        <f t="shared" si="44"/>
        <v>0</v>
      </c>
      <c r="N47" s="20">
        <f t="shared" si="44"/>
        <v>0</v>
      </c>
      <c r="O47" s="20">
        <f t="shared" si="44"/>
        <v>0</v>
      </c>
      <c r="P47" s="20">
        <f t="shared" si="44"/>
        <v>0</v>
      </c>
      <c r="Q47" s="20">
        <f t="shared" si="44"/>
        <v>0</v>
      </c>
      <c r="R47" s="20">
        <f t="shared" si="44"/>
        <v>0</v>
      </c>
      <c r="S47" s="10">
        <f t="shared" si="35"/>
        <v>36894.719999999994</v>
      </c>
      <c r="T47" s="1093">
        <f t="shared" si="37"/>
        <v>7465.5839999999998</v>
      </c>
      <c r="U47" s="1093">
        <f t="shared" si="37"/>
        <v>1782.8400000000011</v>
      </c>
      <c r="V47" s="1093">
        <f t="shared" si="37"/>
        <v>1075.5920000000001</v>
      </c>
      <c r="W47" s="1093">
        <f t="shared" si="37"/>
        <v>436.40600000000018</v>
      </c>
      <c r="X47" s="1093">
        <f t="shared" si="37"/>
        <v>24330.78</v>
      </c>
      <c r="Y47" s="1093">
        <f t="shared" si="38"/>
        <v>1803.518</v>
      </c>
    </row>
    <row r="48" spans="2:25">
      <c r="B48" s="2" t="s">
        <v>95</v>
      </c>
      <c r="C48" s="20">
        <f t="shared" ref="C48:R48" si="45">C83*0.2</f>
        <v>13216.995999999999</v>
      </c>
      <c r="D48" s="20">
        <f t="shared" si="45"/>
        <v>7138.4420000000018</v>
      </c>
      <c r="E48" s="20">
        <f t="shared" si="45"/>
        <v>1863.7660000000001</v>
      </c>
      <c r="F48" s="20">
        <f t="shared" si="45"/>
        <v>235.80999999999986</v>
      </c>
      <c r="G48" s="20">
        <f t="shared" si="45"/>
        <v>49660.65</v>
      </c>
      <c r="H48" s="20">
        <f t="shared" si="45"/>
        <v>1469.25</v>
      </c>
      <c r="I48" s="20">
        <f t="shared" si="45"/>
        <v>1479.7360000000001</v>
      </c>
      <c r="J48" s="20">
        <f t="shared" si="45"/>
        <v>328.93800000000005</v>
      </c>
      <c r="K48" s="20">
        <f t="shared" si="45"/>
        <v>1406.912</v>
      </c>
      <c r="L48" s="20">
        <f t="shared" si="45"/>
        <v>0</v>
      </c>
      <c r="M48" s="20">
        <f t="shared" si="45"/>
        <v>0</v>
      </c>
      <c r="N48" s="20">
        <f t="shared" si="45"/>
        <v>0</v>
      </c>
      <c r="O48" s="20">
        <f t="shared" si="45"/>
        <v>17.141999999999999</v>
      </c>
      <c r="P48" s="20">
        <f t="shared" si="45"/>
        <v>0</v>
      </c>
      <c r="Q48" s="20">
        <f t="shared" si="45"/>
        <v>0</v>
      </c>
      <c r="R48" s="20">
        <f t="shared" si="45"/>
        <v>0</v>
      </c>
      <c r="S48" s="10">
        <f t="shared" si="35"/>
        <v>76817.642000000007</v>
      </c>
      <c r="T48" s="1093">
        <f t="shared" si="37"/>
        <v>13216.995999999999</v>
      </c>
      <c r="U48" s="1093">
        <f t="shared" si="37"/>
        <v>7138.4420000000018</v>
      </c>
      <c r="V48" s="1093">
        <f t="shared" si="37"/>
        <v>1863.7660000000001</v>
      </c>
      <c r="W48" s="1093">
        <f t="shared" si="37"/>
        <v>235.80999999999986</v>
      </c>
      <c r="X48" s="1093">
        <f t="shared" si="37"/>
        <v>49660.65</v>
      </c>
      <c r="Y48" s="1093">
        <f t="shared" si="38"/>
        <v>4701.9780000000001</v>
      </c>
    </row>
    <row r="49" spans="2:25">
      <c r="B49" s="2" t="s">
        <v>96</v>
      </c>
      <c r="C49" s="20">
        <f t="shared" ref="C49:R49" si="46">C84*0.2</f>
        <v>5085.2440000000006</v>
      </c>
      <c r="D49" s="20">
        <f t="shared" si="46"/>
        <v>2965.148000000001</v>
      </c>
      <c r="E49" s="20">
        <f t="shared" si="46"/>
        <v>536.17600000000004</v>
      </c>
      <c r="F49" s="20">
        <f t="shared" si="46"/>
        <v>144.81799999999996</v>
      </c>
      <c r="G49" s="20">
        <f t="shared" si="46"/>
        <v>10696.14</v>
      </c>
      <c r="H49" s="20">
        <f t="shared" si="46"/>
        <v>607.29</v>
      </c>
      <c r="I49" s="20">
        <f t="shared" si="46"/>
        <v>667.25800000000004</v>
      </c>
      <c r="J49" s="20">
        <f t="shared" si="46"/>
        <v>0</v>
      </c>
      <c r="K49" s="20">
        <f t="shared" si="46"/>
        <v>506.26799999999997</v>
      </c>
      <c r="L49" s="20">
        <f t="shared" si="46"/>
        <v>19.590000000000003</v>
      </c>
      <c r="M49" s="20">
        <f t="shared" si="46"/>
        <v>0</v>
      </c>
      <c r="N49" s="20">
        <f t="shared" si="46"/>
        <v>0</v>
      </c>
      <c r="O49" s="20">
        <f t="shared" si="46"/>
        <v>0</v>
      </c>
      <c r="P49" s="20">
        <f t="shared" si="46"/>
        <v>0</v>
      </c>
      <c r="Q49" s="20">
        <f t="shared" si="46"/>
        <v>0</v>
      </c>
      <c r="R49" s="20">
        <f t="shared" si="46"/>
        <v>0</v>
      </c>
      <c r="S49" s="10">
        <f t="shared" si="35"/>
        <v>21227.932000000001</v>
      </c>
      <c r="T49" s="1093">
        <f t="shared" si="37"/>
        <v>5085.2440000000006</v>
      </c>
      <c r="U49" s="1093">
        <f t="shared" si="37"/>
        <v>2965.148000000001</v>
      </c>
      <c r="V49" s="1093">
        <f t="shared" si="37"/>
        <v>536.17600000000004</v>
      </c>
      <c r="W49" s="1093">
        <f t="shared" si="37"/>
        <v>144.81799999999996</v>
      </c>
      <c r="X49" s="1093">
        <f t="shared" si="37"/>
        <v>10696.14</v>
      </c>
      <c r="Y49" s="1093">
        <f t="shared" si="38"/>
        <v>1800.4059999999999</v>
      </c>
    </row>
    <row r="50" spans="2:25">
      <c r="B50" s="2" t="s">
        <v>97</v>
      </c>
      <c r="C50" s="20">
        <f t="shared" ref="C50:R50" si="47">C85*0.2</f>
        <v>8196.0960000000014</v>
      </c>
      <c r="D50" s="20">
        <f t="shared" si="47"/>
        <v>6093.050000000002</v>
      </c>
      <c r="E50" s="20">
        <f t="shared" si="47"/>
        <v>878.08400000000006</v>
      </c>
      <c r="F50" s="20">
        <f t="shared" si="47"/>
        <v>899.42200000000014</v>
      </c>
      <c r="G50" s="20">
        <f t="shared" si="47"/>
        <v>52736.280000000006</v>
      </c>
      <c r="H50" s="20">
        <f t="shared" si="47"/>
        <v>587.70000000000005</v>
      </c>
      <c r="I50" s="20">
        <f t="shared" si="47"/>
        <v>1103.4100000000001</v>
      </c>
      <c r="J50" s="20">
        <f t="shared" si="47"/>
        <v>228.56399999999999</v>
      </c>
      <c r="K50" s="20">
        <f t="shared" si="47"/>
        <v>794.96800000000007</v>
      </c>
      <c r="L50" s="20">
        <f t="shared" si="47"/>
        <v>117.54000000000002</v>
      </c>
      <c r="M50" s="20">
        <f t="shared" si="47"/>
        <v>0</v>
      </c>
      <c r="N50" s="20">
        <f t="shared" si="47"/>
        <v>0</v>
      </c>
      <c r="O50" s="20">
        <f t="shared" si="47"/>
        <v>5.7140000000000004</v>
      </c>
      <c r="P50" s="20">
        <f t="shared" si="47"/>
        <v>0</v>
      </c>
      <c r="Q50" s="20">
        <f t="shared" si="47"/>
        <v>0</v>
      </c>
      <c r="R50" s="20">
        <f t="shared" si="47"/>
        <v>0</v>
      </c>
      <c r="S50" s="10">
        <f t="shared" si="35"/>
        <v>71640.828000000009</v>
      </c>
      <c r="T50" s="1093">
        <f t="shared" si="37"/>
        <v>8196.0960000000014</v>
      </c>
      <c r="U50" s="1093">
        <f t="shared" si="37"/>
        <v>6093.050000000002</v>
      </c>
      <c r="V50" s="1093">
        <f t="shared" si="37"/>
        <v>878.08400000000006</v>
      </c>
      <c r="W50" s="1093">
        <f t="shared" si="37"/>
        <v>899.42200000000014</v>
      </c>
      <c r="X50" s="1093">
        <f t="shared" si="37"/>
        <v>52736.280000000006</v>
      </c>
      <c r="Y50" s="1093">
        <f t="shared" si="38"/>
        <v>2837.8960000000002</v>
      </c>
    </row>
    <row r="51" spans="2:25">
      <c r="B51" s="2" t="s">
        <v>98</v>
      </c>
      <c r="C51" s="20">
        <f t="shared" ref="C51:R51" si="48">C86*0.2</f>
        <v>9007.1220000000012</v>
      </c>
      <c r="D51" s="20">
        <f t="shared" si="48"/>
        <v>5967.3120000000026</v>
      </c>
      <c r="E51" s="20">
        <f t="shared" si="48"/>
        <v>1674.25</v>
      </c>
      <c r="F51" s="20">
        <f t="shared" si="48"/>
        <v>1461.9900000000002</v>
      </c>
      <c r="G51" s="20">
        <f t="shared" si="48"/>
        <v>34400.04</v>
      </c>
      <c r="H51" s="20">
        <f t="shared" si="48"/>
        <v>646.47</v>
      </c>
      <c r="I51" s="20">
        <f t="shared" si="48"/>
        <v>1908.2259999999999</v>
      </c>
      <c r="J51" s="20">
        <f t="shared" si="48"/>
        <v>0</v>
      </c>
      <c r="K51" s="20">
        <f t="shared" si="48"/>
        <v>805.42600000000004</v>
      </c>
      <c r="L51" s="20">
        <f t="shared" si="48"/>
        <v>117.54000000000002</v>
      </c>
      <c r="M51" s="20">
        <f t="shared" si="48"/>
        <v>0</v>
      </c>
      <c r="N51" s="20">
        <f t="shared" si="48"/>
        <v>155.58000000000001</v>
      </c>
      <c r="O51" s="20">
        <f t="shared" si="48"/>
        <v>11.428000000000001</v>
      </c>
      <c r="P51" s="20">
        <f t="shared" si="48"/>
        <v>0</v>
      </c>
      <c r="Q51" s="20">
        <f t="shared" si="48"/>
        <v>16.540000000000003</v>
      </c>
      <c r="R51" s="20">
        <f t="shared" si="48"/>
        <v>0</v>
      </c>
      <c r="S51" s="10">
        <f t="shared" si="35"/>
        <v>56171.924000000014</v>
      </c>
      <c r="T51" s="1093">
        <f t="shared" si="37"/>
        <v>9007.1220000000012</v>
      </c>
      <c r="U51" s="1093">
        <f t="shared" si="37"/>
        <v>5967.3120000000026</v>
      </c>
      <c r="V51" s="1093">
        <f t="shared" si="37"/>
        <v>1674.25</v>
      </c>
      <c r="W51" s="1093">
        <f t="shared" si="37"/>
        <v>1461.9900000000002</v>
      </c>
      <c r="X51" s="1093">
        <f t="shared" si="37"/>
        <v>34400.04</v>
      </c>
      <c r="Y51" s="1093">
        <f t="shared" si="38"/>
        <v>3661.2099999999996</v>
      </c>
    </row>
    <row r="52" spans="2:25">
      <c r="B52" s="2" t="s">
        <v>99</v>
      </c>
      <c r="C52" s="20">
        <f t="shared" ref="C52:R52" si="49">C87*0.2</f>
        <v>40978.080000000002</v>
      </c>
      <c r="D52" s="20">
        <f t="shared" si="49"/>
        <v>22852.473999999995</v>
      </c>
      <c r="E52" s="20">
        <f t="shared" si="49"/>
        <v>3044.2040000000002</v>
      </c>
      <c r="F52" s="20">
        <f t="shared" si="49"/>
        <v>2340.0580000000004</v>
      </c>
      <c r="G52" s="20">
        <f t="shared" si="49"/>
        <v>92601.930000000008</v>
      </c>
      <c r="H52" s="20">
        <f t="shared" si="49"/>
        <v>2429.1600000000003</v>
      </c>
      <c r="I52" s="20">
        <f t="shared" si="49"/>
        <v>5103.9500000000007</v>
      </c>
      <c r="J52" s="20">
        <f t="shared" si="49"/>
        <v>0</v>
      </c>
      <c r="K52" s="20">
        <f t="shared" si="49"/>
        <v>3120.8080000000004</v>
      </c>
      <c r="L52" s="20">
        <f t="shared" si="49"/>
        <v>372.21000000000004</v>
      </c>
      <c r="M52" s="20">
        <f t="shared" si="49"/>
        <v>195.9</v>
      </c>
      <c r="N52" s="20">
        <f t="shared" si="49"/>
        <v>0</v>
      </c>
      <c r="O52" s="20">
        <f t="shared" si="49"/>
        <v>57.14</v>
      </c>
      <c r="P52" s="20">
        <f t="shared" si="49"/>
        <v>0</v>
      </c>
      <c r="Q52" s="20">
        <f t="shared" si="49"/>
        <v>0</v>
      </c>
      <c r="R52" s="20">
        <f t="shared" si="49"/>
        <v>0</v>
      </c>
      <c r="S52" s="10">
        <f t="shared" si="35"/>
        <v>173095.91400000002</v>
      </c>
      <c r="T52" s="1093">
        <f t="shared" si="37"/>
        <v>40978.080000000002</v>
      </c>
      <c r="U52" s="1093">
        <f t="shared" si="37"/>
        <v>22852.473999999995</v>
      </c>
      <c r="V52" s="1093">
        <f t="shared" si="37"/>
        <v>3044.2040000000002</v>
      </c>
      <c r="W52" s="1093">
        <f t="shared" si="37"/>
        <v>2340.0580000000004</v>
      </c>
      <c r="X52" s="1093">
        <f t="shared" si="37"/>
        <v>92601.930000000008</v>
      </c>
      <c r="Y52" s="1093">
        <f t="shared" si="38"/>
        <v>11279.168</v>
      </c>
    </row>
    <row r="53" spans="2:25">
      <c r="B53" s="2" t="s">
        <v>100</v>
      </c>
      <c r="C53" s="20">
        <f t="shared" ref="C53:R53" si="50">C88*0.2</f>
        <v>6855.0160000000005</v>
      </c>
      <c r="D53" s="20">
        <f t="shared" si="50"/>
        <v>5213.5379999999996</v>
      </c>
      <c r="E53" s="20">
        <f t="shared" si="50"/>
        <v>590.94399999999996</v>
      </c>
      <c r="F53" s="20">
        <f t="shared" si="50"/>
        <v>134.54000000000005</v>
      </c>
      <c r="G53" s="20">
        <f t="shared" si="50"/>
        <v>14868.810000000001</v>
      </c>
      <c r="H53" s="20">
        <f t="shared" si="50"/>
        <v>372.21000000000004</v>
      </c>
      <c r="I53" s="20">
        <f t="shared" si="50"/>
        <v>1150.8320000000001</v>
      </c>
      <c r="J53" s="20">
        <f t="shared" si="50"/>
        <v>0</v>
      </c>
      <c r="K53" s="20">
        <f t="shared" si="50"/>
        <v>562.44400000000007</v>
      </c>
      <c r="L53" s="20">
        <f t="shared" si="50"/>
        <v>156.72000000000003</v>
      </c>
      <c r="M53" s="20">
        <f t="shared" si="50"/>
        <v>0</v>
      </c>
      <c r="N53" s="20">
        <f t="shared" si="50"/>
        <v>0</v>
      </c>
      <c r="O53" s="20">
        <f t="shared" si="50"/>
        <v>22.856000000000002</v>
      </c>
      <c r="P53" s="20">
        <f t="shared" si="50"/>
        <v>0</v>
      </c>
      <c r="Q53" s="20">
        <f t="shared" si="50"/>
        <v>0</v>
      </c>
      <c r="R53" s="20">
        <f t="shared" si="50"/>
        <v>0</v>
      </c>
      <c r="S53" s="10">
        <f t="shared" si="35"/>
        <v>29927.91</v>
      </c>
      <c r="T53" s="1093">
        <f t="shared" si="37"/>
        <v>6855.0160000000005</v>
      </c>
      <c r="U53" s="1093">
        <f t="shared" si="37"/>
        <v>5213.5379999999996</v>
      </c>
      <c r="V53" s="1093">
        <f t="shared" si="37"/>
        <v>590.94399999999996</v>
      </c>
      <c r="W53" s="1093">
        <f t="shared" si="37"/>
        <v>134.54000000000005</v>
      </c>
      <c r="X53" s="1093">
        <f t="shared" si="37"/>
        <v>14868.810000000001</v>
      </c>
      <c r="Y53" s="1093">
        <f t="shared" si="38"/>
        <v>2265.0620000000004</v>
      </c>
    </row>
    <row r="54" spans="2:25">
      <c r="B54" s="2" t="s">
        <v>101</v>
      </c>
      <c r="C54" s="20">
        <f t="shared" ref="C54:R54" si="51">C89*0.2</f>
        <v>7847.5960000000014</v>
      </c>
      <c r="D54" s="20">
        <f t="shared" si="51"/>
        <v>5231.268</v>
      </c>
      <c r="E54" s="20">
        <f t="shared" si="51"/>
        <v>323.80200000000002</v>
      </c>
      <c r="F54" s="20">
        <f t="shared" si="51"/>
        <v>297.76799999999997</v>
      </c>
      <c r="G54" s="20">
        <f t="shared" si="51"/>
        <v>19080.66</v>
      </c>
      <c r="H54" s="20">
        <f t="shared" si="51"/>
        <v>626.88000000000011</v>
      </c>
      <c r="I54" s="20">
        <f t="shared" si="51"/>
        <v>983.07799999999997</v>
      </c>
      <c r="J54" s="20">
        <f t="shared" si="51"/>
        <v>0</v>
      </c>
      <c r="K54" s="20">
        <f t="shared" si="51"/>
        <v>692.55400000000009</v>
      </c>
      <c r="L54" s="20">
        <f t="shared" si="51"/>
        <v>0</v>
      </c>
      <c r="M54" s="20">
        <f t="shared" si="51"/>
        <v>0</v>
      </c>
      <c r="N54" s="20">
        <f t="shared" si="51"/>
        <v>0</v>
      </c>
      <c r="O54" s="20">
        <f t="shared" si="51"/>
        <v>11.428000000000001</v>
      </c>
      <c r="P54" s="20">
        <f t="shared" si="51"/>
        <v>0</v>
      </c>
      <c r="Q54" s="20">
        <f t="shared" si="51"/>
        <v>0</v>
      </c>
      <c r="R54" s="20">
        <f t="shared" si="51"/>
        <v>0</v>
      </c>
      <c r="S54" s="10">
        <f t="shared" si="35"/>
        <v>35095.034</v>
      </c>
      <c r="T54" s="1093">
        <f t="shared" si="37"/>
        <v>7847.5960000000014</v>
      </c>
      <c r="U54" s="1093">
        <f t="shared" si="37"/>
        <v>5231.268</v>
      </c>
      <c r="V54" s="1093">
        <f t="shared" si="37"/>
        <v>323.80200000000002</v>
      </c>
      <c r="W54" s="1093">
        <f t="shared" si="37"/>
        <v>297.76799999999997</v>
      </c>
      <c r="X54" s="1093">
        <f t="shared" si="37"/>
        <v>19080.66</v>
      </c>
      <c r="Y54" s="1093">
        <f t="shared" si="38"/>
        <v>2313.94</v>
      </c>
    </row>
    <row r="55" spans="2:25">
      <c r="B55" s="2" t="s">
        <v>102</v>
      </c>
      <c r="C55" s="20">
        <f t="shared" ref="C55:R55" si="52">C90*0.2</f>
        <v>29032.788</v>
      </c>
      <c r="D55" s="20">
        <f t="shared" si="52"/>
        <v>15859</v>
      </c>
      <c r="E55" s="20">
        <f t="shared" si="52"/>
        <v>5618.5339999999997</v>
      </c>
      <c r="F55" s="20">
        <f t="shared" si="52"/>
        <v>4040.5920000000015</v>
      </c>
      <c r="G55" s="20">
        <f t="shared" si="52"/>
        <v>137227.95000000001</v>
      </c>
      <c r="H55" s="20">
        <f t="shared" si="52"/>
        <v>3741.6899999999996</v>
      </c>
      <c r="I55" s="20">
        <f t="shared" si="52"/>
        <v>3695.2119999999995</v>
      </c>
      <c r="J55" s="20">
        <f t="shared" si="52"/>
        <v>178.96</v>
      </c>
      <c r="K55" s="20">
        <f t="shared" si="52"/>
        <v>2839.1040000000003</v>
      </c>
      <c r="L55" s="20">
        <f t="shared" si="52"/>
        <v>430.98</v>
      </c>
      <c r="M55" s="20">
        <f t="shared" si="52"/>
        <v>117.54000000000002</v>
      </c>
      <c r="N55" s="20">
        <f t="shared" si="52"/>
        <v>0</v>
      </c>
      <c r="O55" s="20">
        <f t="shared" si="52"/>
        <v>57.14</v>
      </c>
      <c r="P55" s="20">
        <f t="shared" si="52"/>
        <v>0</v>
      </c>
      <c r="Q55" s="20">
        <f t="shared" si="52"/>
        <v>0</v>
      </c>
      <c r="R55" s="20">
        <f t="shared" si="52"/>
        <v>0</v>
      </c>
      <c r="S55" s="10">
        <f t="shared" si="35"/>
        <v>202839.49000000002</v>
      </c>
      <c r="T55" s="1093">
        <f t="shared" si="37"/>
        <v>29032.788</v>
      </c>
      <c r="U55" s="1093">
        <f t="shared" si="37"/>
        <v>15859</v>
      </c>
      <c r="V55" s="1093">
        <f t="shared" si="37"/>
        <v>5618.5339999999997</v>
      </c>
      <c r="W55" s="1093">
        <f t="shared" si="37"/>
        <v>4040.5920000000015</v>
      </c>
      <c r="X55" s="1093">
        <f t="shared" si="37"/>
        <v>137227.95000000001</v>
      </c>
      <c r="Y55" s="1093">
        <f t="shared" si="38"/>
        <v>11060.626</v>
      </c>
    </row>
    <row r="56" spans="2:25">
      <c r="B56" s="2" t="s">
        <v>103</v>
      </c>
      <c r="C56" s="20">
        <f t="shared" ref="C56:R56" si="53">C91*0.2</f>
        <v>14506.984</v>
      </c>
      <c r="D56" s="20">
        <f t="shared" si="53"/>
        <v>6280.6620000000003</v>
      </c>
      <c r="E56" s="20">
        <f t="shared" si="53"/>
        <v>1441.566</v>
      </c>
      <c r="F56" s="20">
        <f t="shared" si="53"/>
        <v>710.63</v>
      </c>
      <c r="G56" s="20">
        <f t="shared" si="53"/>
        <v>26818.71</v>
      </c>
      <c r="H56" s="20">
        <f t="shared" si="53"/>
        <v>1292.94</v>
      </c>
      <c r="I56" s="20">
        <f t="shared" si="53"/>
        <v>1271.5780000000002</v>
      </c>
      <c r="J56" s="20">
        <f t="shared" si="53"/>
        <v>56.855999999999995</v>
      </c>
      <c r="K56" s="20">
        <f t="shared" si="53"/>
        <v>1485.3860000000002</v>
      </c>
      <c r="L56" s="20">
        <f t="shared" si="53"/>
        <v>58.77000000000001</v>
      </c>
      <c r="M56" s="20">
        <f t="shared" si="53"/>
        <v>0</v>
      </c>
      <c r="N56" s="20">
        <f t="shared" si="53"/>
        <v>0</v>
      </c>
      <c r="O56" s="20">
        <f t="shared" si="53"/>
        <v>17.141999999999999</v>
      </c>
      <c r="P56" s="20">
        <f t="shared" si="53"/>
        <v>0</v>
      </c>
      <c r="Q56" s="20">
        <f t="shared" si="53"/>
        <v>0</v>
      </c>
      <c r="R56" s="20">
        <f t="shared" si="53"/>
        <v>0</v>
      </c>
      <c r="S56" s="10">
        <f t="shared" si="35"/>
        <v>53941.223999999995</v>
      </c>
      <c r="T56" s="1093">
        <f t="shared" si="37"/>
        <v>14506.984</v>
      </c>
      <c r="U56" s="1093">
        <f t="shared" si="37"/>
        <v>6280.6620000000003</v>
      </c>
      <c r="V56" s="1093">
        <f t="shared" si="37"/>
        <v>1441.566</v>
      </c>
      <c r="W56" s="1093">
        <f t="shared" si="37"/>
        <v>710.63</v>
      </c>
      <c r="X56" s="1093">
        <f t="shared" si="37"/>
        <v>26818.71</v>
      </c>
      <c r="Y56" s="1093">
        <f t="shared" si="38"/>
        <v>4182.6720000000005</v>
      </c>
    </row>
    <row r="57" spans="2:25">
      <c r="B57" s="2" t="s">
        <v>104</v>
      </c>
      <c r="C57" s="20">
        <f t="shared" ref="C57:R57" si="54">C92*0.2</f>
        <v>4622.7960000000003</v>
      </c>
      <c r="D57" s="20">
        <f t="shared" si="54"/>
        <v>1829.3680000000002</v>
      </c>
      <c r="E57" s="20">
        <f t="shared" si="54"/>
        <v>393.41800000000001</v>
      </c>
      <c r="F57" s="20">
        <f t="shared" si="54"/>
        <v>170.93600000000004</v>
      </c>
      <c r="G57" s="20">
        <f t="shared" si="54"/>
        <v>8266.9800000000014</v>
      </c>
      <c r="H57" s="20">
        <f t="shared" si="54"/>
        <v>254.67000000000004</v>
      </c>
      <c r="I57" s="20">
        <f t="shared" si="54"/>
        <v>276.666</v>
      </c>
      <c r="J57" s="20">
        <f t="shared" si="54"/>
        <v>0</v>
      </c>
      <c r="K57" s="20">
        <f t="shared" si="54"/>
        <v>394.74200000000002</v>
      </c>
      <c r="L57" s="20">
        <f t="shared" si="54"/>
        <v>19.590000000000003</v>
      </c>
      <c r="M57" s="20">
        <f t="shared" si="54"/>
        <v>0</v>
      </c>
      <c r="N57" s="20">
        <f t="shared" si="54"/>
        <v>0</v>
      </c>
      <c r="O57" s="20">
        <f t="shared" si="54"/>
        <v>5.7140000000000004</v>
      </c>
      <c r="P57" s="20">
        <f t="shared" si="54"/>
        <v>0</v>
      </c>
      <c r="Q57" s="20">
        <f t="shared" si="54"/>
        <v>0</v>
      </c>
      <c r="R57" s="20">
        <f t="shared" si="54"/>
        <v>0</v>
      </c>
      <c r="S57" s="10">
        <f t="shared" si="35"/>
        <v>16234.880000000001</v>
      </c>
      <c r="T57" s="1093">
        <f t="shared" si="37"/>
        <v>4622.7960000000003</v>
      </c>
      <c r="U57" s="1093">
        <f t="shared" si="37"/>
        <v>1829.3680000000002</v>
      </c>
      <c r="V57" s="1093">
        <f t="shared" si="37"/>
        <v>393.41800000000001</v>
      </c>
      <c r="W57" s="1093">
        <f t="shared" si="37"/>
        <v>170.93600000000004</v>
      </c>
      <c r="X57" s="1093">
        <f t="shared" si="37"/>
        <v>8266.9800000000014</v>
      </c>
      <c r="Y57" s="1093">
        <f t="shared" si="38"/>
        <v>951.38200000000006</v>
      </c>
    </row>
    <row r="58" spans="2:25">
      <c r="B58" s="2" t="s">
        <v>105</v>
      </c>
      <c r="C58" s="20">
        <f t="shared" ref="C58:R58" si="55">C93*0.2</f>
        <v>44915.084000000003</v>
      </c>
      <c r="D58" s="20">
        <f t="shared" si="55"/>
        <v>19070.639999999996</v>
      </c>
      <c r="E58" s="20">
        <f t="shared" si="55"/>
        <v>3701.2620000000006</v>
      </c>
      <c r="F58" s="20">
        <f t="shared" si="55"/>
        <v>1765.8879999999999</v>
      </c>
      <c r="G58" s="20">
        <f t="shared" si="55"/>
        <v>101437.02</v>
      </c>
      <c r="H58" s="20">
        <f t="shared" si="55"/>
        <v>2840.5499999999997</v>
      </c>
      <c r="I58" s="20">
        <f t="shared" si="55"/>
        <v>5409.6460000000006</v>
      </c>
      <c r="J58" s="20">
        <f t="shared" si="55"/>
        <v>60.128</v>
      </c>
      <c r="K58" s="20">
        <f t="shared" si="55"/>
        <v>3606.7779999999993</v>
      </c>
      <c r="L58" s="20">
        <f t="shared" si="55"/>
        <v>254.67</v>
      </c>
      <c r="M58" s="20">
        <f t="shared" si="55"/>
        <v>0</v>
      </c>
      <c r="N58" s="20">
        <f t="shared" si="55"/>
        <v>0</v>
      </c>
      <c r="O58" s="20">
        <f t="shared" si="55"/>
        <v>137.136</v>
      </c>
      <c r="P58" s="20">
        <f t="shared" si="55"/>
        <v>0</v>
      </c>
      <c r="Q58" s="20">
        <f t="shared" si="55"/>
        <v>0</v>
      </c>
      <c r="R58" s="20">
        <f t="shared" si="55"/>
        <v>0</v>
      </c>
      <c r="S58" s="10">
        <f t="shared" si="35"/>
        <v>183198.80200000003</v>
      </c>
      <c r="T58" s="1093">
        <f t="shared" si="37"/>
        <v>44915.084000000003</v>
      </c>
      <c r="U58" s="1093">
        <f t="shared" si="37"/>
        <v>19070.639999999996</v>
      </c>
      <c r="V58" s="1093">
        <f t="shared" si="37"/>
        <v>3701.2620000000006</v>
      </c>
      <c r="W58" s="1093">
        <f t="shared" si="37"/>
        <v>1765.8879999999999</v>
      </c>
      <c r="X58" s="1093">
        <f t="shared" si="37"/>
        <v>101437.02</v>
      </c>
      <c r="Y58" s="1093">
        <f t="shared" si="38"/>
        <v>12308.907999999999</v>
      </c>
    </row>
    <row r="59" spans="2:25">
      <c r="B59" s="2" t="s">
        <v>106</v>
      </c>
      <c r="C59" s="20">
        <f t="shared" ref="C59:R59" si="56">C94*0.2</f>
        <v>7118.1360000000004</v>
      </c>
      <c r="D59" s="20">
        <f t="shared" si="56"/>
        <v>3356.4740000000006</v>
      </c>
      <c r="E59" s="20">
        <f t="shared" si="56"/>
        <v>384.12200000000001</v>
      </c>
      <c r="F59" s="20">
        <f t="shared" si="56"/>
        <v>91.632000000000019</v>
      </c>
      <c r="G59" s="20">
        <f t="shared" si="56"/>
        <v>17121.66</v>
      </c>
      <c r="H59" s="20">
        <f t="shared" si="56"/>
        <v>430.98</v>
      </c>
      <c r="I59" s="20">
        <f t="shared" si="56"/>
        <v>646.654</v>
      </c>
      <c r="J59" s="20">
        <f t="shared" si="56"/>
        <v>0</v>
      </c>
      <c r="K59" s="20">
        <f t="shared" si="56"/>
        <v>517.77599999999995</v>
      </c>
      <c r="L59" s="20">
        <f t="shared" si="56"/>
        <v>19.590000000000003</v>
      </c>
      <c r="M59" s="20">
        <f t="shared" si="56"/>
        <v>0</v>
      </c>
      <c r="N59" s="20">
        <f t="shared" si="56"/>
        <v>0</v>
      </c>
      <c r="O59" s="20">
        <f t="shared" si="56"/>
        <v>0</v>
      </c>
      <c r="P59" s="20">
        <f t="shared" si="56"/>
        <v>0</v>
      </c>
      <c r="Q59" s="20">
        <f t="shared" si="56"/>
        <v>0</v>
      </c>
      <c r="R59" s="20">
        <f t="shared" si="56"/>
        <v>0</v>
      </c>
      <c r="S59" s="10">
        <f t="shared" si="35"/>
        <v>29687.023999999998</v>
      </c>
      <c r="T59" s="1093">
        <f t="shared" si="37"/>
        <v>7118.1360000000004</v>
      </c>
      <c r="U59" s="1093">
        <f t="shared" si="37"/>
        <v>3356.4740000000006</v>
      </c>
      <c r="V59" s="1093">
        <f t="shared" si="37"/>
        <v>384.12200000000001</v>
      </c>
      <c r="W59" s="1093">
        <f t="shared" si="37"/>
        <v>91.632000000000019</v>
      </c>
      <c r="X59" s="1093">
        <f t="shared" si="37"/>
        <v>17121.66</v>
      </c>
      <c r="Y59" s="1093">
        <f t="shared" si="38"/>
        <v>1614.9999999999998</v>
      </c>
    </row>
    <row r="60" spans="2:25">
      <c r="B60" s="2" t="s">
        <v>107</v>
      </c>
      <c r="C60" s="20">
        <f t="shared" ref="C60:R60" si="57">C95*0.2</f>
        <v>39638.214000000007</v>
      </c>
      <c r="D60" s="20">
        <f t="shared" si="57"/>
        <v>19277.137999999988</v>
      </c>
      <c r="E60" s="20">
        <f t="shared" si="57"/>
        <v>5844.55</v>
      </c>
      <c r="F60" s="20">
        <f t="shared" si="57"/>
        <v>2036.4320000000007</v>
      </c>
      <c r="G60" s="20">
        <f t="shared" si="57"/>
        <v>158306.79</v>
      </c>
      <c r="H60" s="20">
        <f t="shared" si="57"/>
        <v>2801.3700000000003</v>
      </c>
      <c r="I60" s="20">
        <f t="shared" si="57"/>
        <v>3843.7800000000007</v>
      </c>
      <c r="J60" s="20">
        <f t="shared" si="57"/>
        <v>115.91</v>
      </c>
      <c r="K60" s="20">
        <f t="shared" si="57"/>
        <v>3259.99</v>
      </c>
      <c r="L60" s="20">
        <f t="shared" si="57"/>
        <v>254.67</v>
      </c>
      <c r="M60" s="20">
        <f t="shared" si="57"/>
        <v>39.180000000000007</v>
      </c>
      <c r="N60" s="20">
        <f t="shared" si="57"/>
        <v>0</v>
      </c>
      <c r="O60" s="20">
        <f t="shared" si="57"/>
        <v>28.57</v>
      </c>
      <c r="P60" s="20">
        <f t="shared" si="57"/>
        <v>0</v>
      </c>
      <c r="Q60" s="20">
        <f t="shared" si="57"/>
        <v>0</v>
      </c>
      <c r="R60" s="20">
        <f t="shared" si="57"/>
        <v>0</v>
      </c>
      <c r="S60" s="10">
        <f t="shared" si="35"/>
        <v>235446.59400000001</v>
      </c>
      <c r="T60" s="1093">
        <f t="shared" si="37"/>
        <v>39638.214000000007</v>
      </c>
      <c r="U60" s="1093">
        <f t="shared" si="37"/>
        <v>19277.137999999988</v>
      </c>
      <c r="V60" s="1093">
        <f t="shared" si="37"/>
        <v>5844.55</v>
      </c>
      <c r="W60" s="1093">
        <f t="shared" si="37"/>
        <v>2036.4320000000007</v>
      </c>
      <c r="X60" s="1093">
        <f t="shared" si="37"/>
        <v>158306.79</v>
      </c>
      <c r="Y60" s="1093">
        <f t="shared" si="38"/>
        <v>10343.470000000001</v>
      </c>
    </row>
    <row r="61" spans="2:25">
      <c r="B61" s="2" t="s">
        <v>108</v>
      </c>
      <c r="C61" s="20">
        <f t="shared" ref="C61:R61" si="58">C96*0.2</f>
        <v>3029.9459999999999</v>
      </c>
      <c r="D61" s="20">
        <f t="shared" si="58"/>
        <v>1193.8680000000002</v>
      </c>
      <c r="E61" s="20">
        <f t="shared" si="58"/>
        <v>379.358</v>
      </c>
      <c r="F61" s="20">
        <f t="shared" si="58"/>
        <v>185.55</v>
      </c>
      <c r="G61" s="20">
        <f t="shared" si="58"/>
        <v>17944.439999999999</v>
      </c>
      <c r="H61" s="20">
        <f t="shared" si="58"/>
        <v>313.44000000000005</v>
      </c>
      <c r="I61" s="20">
        <f t="shared" si="58"/>
        <v>182.13600000000002</v>
      </c>
      <c r="J61" s="20">
        <f t="shared" si="58"/>
        <v>0</v>
      </c>
      <c r="K61" s="20">
        <f t="shared" si="58"/>
        <v>253.91800000000001</v>
      </c>
      <c r="L61" s="20">
        <f t="shared" si="58"/>
        <v>0</v>
      </c>
      <c r="M61" s="20">
        <f t="shared" si="58"/>
        <v>0</v>
      </c>
      <c r="N61" s="20">
        <f t="shared" si="58"/>
        <v>0</v>
      </c>
      <c r="O61" s="20">
        <f t="shared" si="58"/>
        <v>0</v>
      </c>
      <c r="P61" s="20">
        <f t="shared" si="58"/>
        <v>0</v>
      </c>
      <c r="Q61" s="20">
        <f t="shared" si="58"/>
        <v>2.9480000000000004</v>
      </c>
      <c r="R61" s="20">
        <f t="shared" si="58"/>
        <v>60.146000000000008</v>
      </c>
      <c r="S61" s="10">
        <f t="shared" si="35"/>
        <v>23545.75</v>
      </c>
      <c r="T61" s="1093">
        <f t="shared" si="37"/>
        <v>3029.9459999999999</v>
      </c>
      <c r="U61" s="1093">
        <f t="shared" si="37"/>
        <v>1193.8680000000002</v>
      </c>
      <c r="V61" s="1093">
        <f t="shared" si="37"/>
        <v>379.358</v>
      </c>
      <c r="W61" s="1093">
        <f t="shared" si="37"/>
        <v>185.55</v>
      </c>
      <c r="X61" s="1093">
        <f t="shared" si="37"/>
        <v>17944.439999999999</v>
      </c>
      <c r="Y61" s="1093">
        <f t="shared" si="38"/>
        <v>812.58800000000008</v>
      </c>
    </row>
    <row r="62" spans="2:25">
      <c r="B62" s="2" t="s">
        <v>109</v>
      </c>
      <c r="C62" s="20">
        <f t="shared" ref="C62:R62" si="59">C97*0.2</f>
        <v>795.22200000000009</v>
      </c>
      <c r="D62" s="20">
        <f t="shared" si="59"/>
        <v>152.34800000000004</v>
      </c>
      <c r="E62" s="20">
        <f t="shared" si="59"/>
        <v>112.75999999999999</v>
      </c>
      <c r="F62" s="20">
        <f t="shared" si="59"/>
        <v>221.11199999999999</v>
      </c>
      <c r="G62" s="20">
        <f t="shared" si="59"/>
        <v>2154.9</v>
      </c>
      <c r="H62" s="20">
        <f t="shared" si="59"/>
        <v>19.590000000000003</v>
      </c>
      <c r="I62" s="20">
        <f t="shared" si="59"/>
        <v>41.06</v>
      </c>
      <c r="J62" s="20">
        <f t="shared" si="59"/>
        <v>0</v>
      </c>
      <c r="K62" s="20">
        <f t="shared" si="59"/>
        <v>114.35599999999999</v>
      </c>
      <c r="L62" s="20">
        <f t="shared" si="59"/>
        <v>0</v>
      </c>
      <c r="M62" s="20">
        <f t="shared" si="59"/>
        <v>0</v>
      </c>
      <c r="N62" s="20">
        <f t="shared" si="59"/>
        <v>0</v>
      </c>
      <c r="O62" s="20">
        <f t="shared" si="59"/>
        <v>0</v>
      </c>
      <c r="P62" s="20">
        <f t="shared" si="59"/>
        <v>0</v>
      </c>
      <c r="Q62" s="20">
        <f t="shared" si="59"/>
        <v>0</v>
      </c>
      <c r="R62" s="20">
        <f t="shared" si="59"/>
        <v>0</v>
      </c>
      <c r="S62" s="10">
        <f t="shared" si="35"/>
        <v>3611.3480000000009</v>
      </c>
      <c r="T62" s="1093">
        <f t="shared" si="37"/>
        <v>795.22200000000009</v>
      </c>
      <c r="U62" s="1093">
        <f t="shared" si="37"/>
        <v>152.34800000000004</v>
      </c>
      <c r="V62" s="1093">
        <f t="shared" si="37"/>
        <v>112.75999999999999</v>
      </c>
      <c r="W62" s="1093">
        <f t="shared" si="37"/>
        <v>221.11199999999999</v>
      </c>
      <c r="X62" s="1093">
        <f t="shared" si="37"/>
        <v>2154.9</v>
      </c>
      <c r="Y62" s="1093">
        <f t="shared" si="38"/>
        <v>175.006</v>
      </c>
    </row>
    <row r="63" spans="2:25">
      <c r="B63" s="2" t="s">
        <v>110</v>
      </c>
      <c r="C63" s="20">
        <f t="shared" ref="C63:R63" si="60">C98*0.2</f>
        <v>23320.704000000002</v>
      </c>
      <c r="D63" s="20">
        <f t="shared" si="60"/>
        <v>10141.291999999996</v>
      </c>
      <c r="E63" s="20">
        <f t="shared" si="60"/>
        <v>2606.998</v>
      </c>
      <c r="F63" s="20">
        <f t="shared" si="60"/>
        <v>718.33599999999979</v>
      </c>
      <c r="G63" s="20">
        <f t="shared" si="60"/>
        <v>105178.71000000002</v>
      </c>
      <c r="H63" s="20">
        <f t="shared" si="60"/>
        <v>2115.7200000000003</v>
      </c>
      <c r="I63" s="20">
        <f t="shared" si="60"/>
        <v>2400.2960000000003</v>
      </c>
      <c r="J63" s="20">
        <f t="shared" si="60"/>
        <v>0</v>
      </c>
      <c r="K63" s="20">
        <f t="shared" si="60"/>
        <v>1987.8560000000002</v>
      </c>
      <c r="L63" s="20">
        <f t="shared" si="60"/>
        <v>215.49</v>
      </c>
      <c r="M63" s="20">
        <f t="shared" si="60"/>
        <v>0</v>
      </c>
      <c r="N63" s="20">
        <f t="shared" si="60"/>
        <v>0</v>
      </c>
      <c r="O63" s="20">
        <f t="shared" si="60"/>
        <v>28.57</v>
      </c>
      <c r="P63" s="20">
        <f t="shared" si="60"/>
        <v>0</v>
      </c>
      <c r="Q63" s="20">
        <f t="shared" si="60"/>
        <v>0</v>
      </c>
      <c r="R63" s="20">
        <f t="shared" si="60"/>
        <v>0</v>
      </c>
      <c r="S63" s="10">
        <f t="shared" si="35"/>
        <v>148713.97200000004</v>
      </c>
      <c r="T63" s="1093">
        <f t="shared" si="37"/>
        <v>23320.704000000002</v>
      </c>
      <c r="U63" s="1093">
        <f t="shared" si="37"/>
        <v>10141.291999999996</v>
      </c>
      <c r="V63" s="1093">
        <f t="shared" si="37"/>
        <v>2606.998</v>
      </c>
      <c r="W63" s="1093">
        <f t="shared" si="37"/>
        <v>718.33599999999979</v>
      </c>
      <c r="X63" s="1093">
        <f t="shared" si="37"/>
        <v>105178.71000000002</v>
      </c>
      <c r="Y63" s="1093">
        <f t="shared" si="38"/>
        <v>6747.9320000000007</v>
      </c>
    </row>
    <row r="64" spans="2:25">
      <c r="B64" s="2" t="s">
        <v>111</v>
      </c>
      <c r="C64" s="20">
        <f t="shared" ref="C64:P64" si="61">C99*0.2</f>
        <v>130569.40000000001</v>
      </c>
      <c r="D64" s="20">
        <f t="shared" si="61"/>
        <v>84618.22199999998</v>
      </c>
      <c r="E64" s="20">
        <f t="shared" si="61"/>
        <v>13516.532000000001</v>
      </c>
      <c r="F64" s="20">
        <f t="shared" si="61"/>
        <v>10081.129999999999</v>
      </c>
      <c r="G64" s="20">
        <f t="shared" si="61"/>
        <v>567248.04</v>
      </c>
      <c r="H64" s="20">
        <f t="shared" si="61"/>
        <v>10676.550000000001</v>
      </c>
      <c r="I64" s="20">
        <f t="shared" si="61"/>
        <v>23737.096000000001</v>
      </c>
      <c r="J64" s="20">
        <f t="shared" si="61"/>
        <v>0</v>
      </c>
      <c r="K64" s="20">
        <f t="shared" si="61"/>
        <v>12453.258</v>
      </c>
      <c r="L64" s="20">
        <f t="shared" si="61"/>
        <v>959.91000000000008</v>
      </c>
      <c r="M64" s="20">
        <f t="shared" si="61"/>
        <v>78.360000000000014</v>
      </c>
      <c r="N64" s="20">
        <f t="shared" si="61"/>
        <v>0</v>
      </c>
      <c r="O64" s="20">
        <f t="shared" si="61"/>
        <v>354.26800000000003</v>
      </c>
      <c r="P64" s="20">
        <f t="shared" si="61"/>
        <v>9.5239999999999991</v>
      </c>
      <c r="Q64" s="20">
        <v>0</v>
      </c>
      <c r="R64" s="20">
        <v>0</v>
      </c>
      <c r="S64" s="10">
        <f t="shared" si="35"/>
        <v>854302.29000000015</v>
      </c>
      <c r="T64" s="1093">
        <f t="shared" si="37"/>
        <v>130569.40000000001</v>
      </c>
      <c r="U64" s="1093">
        <f t="shared" si="37"/>
        <v>84618.22199999998</v>
      </c>
      <c r="V64" s="1093">
        <f t="shared" si="37"/>
        <v>13516.532000000001</v>
      </c>
      <c r="W64" s="1093">
        <f t="shared" si="37"/>
        <v>10081.129999999999</v>
      </c>
      <c r="X64" s="1093">
        <f t="shared" si="37"/>
        <v>567248.04</v>
      </c>
      <c r="Y64" s="1093">
        <f t="shared" si="38"/>
        <v>48268.966000000008</v>
      </c>
    </row>
    <row r="65" spans="2:25">
      <c r="B65" s="2" t="s">
        <v>112</v>
      </c>
      <c r="C65" s="20">
        <f t="shared" ref="C65:P65" si="62">C100*0.2</f>
        <v>4425.7839999999997</v>
      </c>
      <c r="D65" s="20">
        <f t="shared" si="62"/>
        <v>2876.1860000000001</v>
      </c>
      <c r="E65" s="20">
        <f t="shared" si="62"/>
        <v>259.42600000000004</v>
      </c>
      <c r="F65" s="20">
        <f t="shared" si="62"/>
        <v>193.08399999999995</v>
      </c>
      <c r="G65" s="20">
        <f t="shared" si="62"/>
        <v>12890.220000000001</v>
      </c>
      <c r="H65" s="20">
        <f t="shared" si="62"/>
        <v>254.67000000000004</v>
      </c>
      <c r="I65" s="20">
        <f t="shared" si="62"/>
        <v>488.12200000000007</v>
      </c>
      <c r="J65" s="20">
        <f t="shared" si="62"/>
        <v>56.855999999999995</v>
      </c>
      <c r="K65" s="20">
        <f t="shared" si="62"/>
        <v>482.36200000000002</v>
      </c>
      <c r="L65" s="20">
        <f t="shared" si="62"/>
        <v>58.77000000000001</v>
      </c>
      <c r="M65" s="20">
        <f t="shared" si="62"/>
        <v>0</v>
      </c>
      <c r="N65" s="20">
        <f t="shared" si="62"/>
        <v>0</v>
      </c>
      <c r="O65" s="20">
        <f t="shared" si="62"/>
        <v>11.428000000000001</v>
      </c>
      <c r="P65" s="20">
        <f t="shared" si="62"/>
        <v>0</v>
      </c>
      <c r="Q65" s="20">
        <f>Q100*0.2</f>
        <v>0</v>
      </c>
      <c r="R65" s="20">
        <f>R100*0.2</f>
        <v>141.70400000000001</v>
      </c>
      <c r="S65" s="10">
        <f t="shared" si="35"/>
        <v>22138.612000000001</v>
      </c>
      <c r="T65" s="1093">
        <f t="shared" si="37"/>
        <v>4425.7839999999997</v>
      </c>
      <c r="U65" s="1093">
        <f t="shared" si="37"/>
        <v>2876.1860000000001</v>
      </c>
      <c r="V65" s="1093">
        <f t="shared" si="37"/>
        <v>259.42600000000004</v>
      </c>
      <c r="W65" s="1093">
        <f t="shared" si="37"/>
        <v>193.08399999999995</v>
      </c>
      <c r="X65" s="1093">
        <f t="shared" si="37"/>
        <v>12890.220000000001</v>
      </c>
      <c r="Y65" s="1093">
        <f t="shared" si="38"/>
        <v>1493.9120000000003</v>
      </c>
    </row>
    <row r="66" spans="2:25">
      <c r="B66" s="2" t="s">
        <v>113</v>
      </c>
      <c r="C66" s="20">
        <f t="shared" ref="C66:P66" si="63">C101*0.2</f>
        <v>1826.6180000000002</v>
      </c>
      <c r="D66" s="20">
        <f t="shared" si="63"/>
        <v>848.32200000000012</v>
      </c>
      <c r="E66" s="20">
        <f t="shared" si="63"/>
        <v>225.38800000000003</v>
      </c>
      <c r="F66" s="20">
        <f t="shared" si="63"/>
        <v>101.11999999999999</v>
      </c>
      <c r="G66" s="20">
        <f t="shared" si="63"/>
        <v>7914.3600000000006</v>
      </c>
      <c r="H66" s="20">
        <f t="shared" si="63"/>
        <v>117.54000000000002</v>
      </c>
      <c r="I66" s="20">
        <f t="shared" si="63"/>
        <v>116.03000000000003</v>
      </c>
      <c r="J66" s="20">
        <f t="shared" si="63"/>
        <v>0</v>
      </c>
      <c r="K66" s="20">
        <f t="shared" si="63"/>
        <v>192.03800000000001</v>
      </c>
      <c r="L66" s="20">
        <f t="shared" si="63"/>
        <v>19.590000000000003</v>
      </c>
      <c r="M66" s="20">
        <f t="shared" si="63"/>
        <v>0</v>
      </c>
      <c r="N66" s="20">
        <f t="shared" si="63"/>
        <v>0</v>
      </c>
      <c r="O66" s="20">
        <f t="shared" si="63"/>
        <v>0</v>
      </c>
      <c r="P66" s="20">
        <f t="shared" si="63"/>
        <v>0</v>
      </c>
      <c r="Q66" s="20">
        <f>Q101*0.2</f>
        <v>0</v>
      </c>
      <c r="R66" s="20">
        <f>R101*0.2</f>
        <v>0</v>
      </c>
      <c r="S66" s="10">
        <f t="shared" si="35"/>
        <v>11361.006000000003</v>
      </c>
      <c r="T66" s="1093">
        <f t="shared" si="37"/>
        <v>1826.6180000000002</v>
      </c>
      <c r="U66" s="1093">
        <f t="shared" si="37"/>
        <v>848.32200000000012</v>
      </c>
      <c r="V66" s="1093">
        <f t="shared" si="37"/>
        <v>225.38800000000003</v>
      </c>
      <c r="W66" s="1093">
        <f t="shared" si="37"/>
        <v>101.11999999999999</v>
      </c>
      <c r="X66" s="1093">
        <f t="shared" si="37"/>
        <v>7914.3600000000006</v>
      </c>
      <c r="Y66" s="1093">
        <f t="shared" si="38"/>
        <v>445.19800000000009</v>
      </c>
    </row>
    <row r="67" spans="2:25">
      <c r="B67" s="7" t="s">
        <v>37</v>
      </c>
      <c r="C67" s="8">
        <f t="shared" ref="C67:T67" si="64">SUM(C40:C66)</f>
        <v>456779.16800000006</v>
      </c>
      <c r="D67" s="8">
        <f t="shared" si="64"/>
        <v>248786.93599999993</v>
      </c>
      <c r="E67" s="8">
        <f t="shared" si="64"/>
        <v>49809.873999999996</v>
      </c>
      <c r="F67" s="8">
        <f t="shared" si="64"/>
        <v>27762.050000000003</v>
      </c>
      <c r="G67" s="8">
        <f t="shared" si="64"/>
        <v>1582872</v>
      </c>
      <c r="H67" s="8">
        <f t="shared" si="64"/>
        <v>38004.6</v>
      </c>
      <c r="I67" s="8">
        <f t="shared" si="64"/>
        <v>60312.088000000003</v>
      </c>
      <c r="J67" s="8">
        <f t="shared" si="64"/>
        <v>1212.162</v>
      </c>
      <c r="K67" s="8">
        <f t="shared" si="64"/>
        <v>40589.716</v>
      </c>
      <c r="L67" s="8">
        <f t="shared" si="64"/>
        <v>3604.56</v>
      </c>
      <c r="M67" s="8">
        <f t="shared" si="64"/>
        <v>430.98000000000008</v>
      </c>
      <c r="N67" s="8">
        <f t="shared" si="64"/>
        <v>476.74200000000008</v>
      </c>
      <c r="O67" s="8">
        <f t="shared" si="64"/>
        <v>828.53</v>
      </c>
      <c r="P67" s="8">
        <f t="shared" si="64"/>
        <v>9.5239999999999991</v>
      </c>
      <c r="Q67" s="8">
        <f t="shared" si="64"/>
        <v>19.488000000000003</v>
      </c>
      <c r="R67" s="8">
        <f t="shared" si="64"/>
        <v>201.85000000000002</v>
      </c>
      <c r="S67" s="11">
        <f t="shared" si="64"/>
        <v>2511700.2680000006</v>
      </c>
      <c r="T67" s="1093">
        <f t="shared" si="64"/>
        <v>456779.16800000006</v>
      </c>
      <c r="U67" s="1093">
        <f t="shared" ref="U67:Y67" si="65">SUM(U40:U66)</f>
        <v>248786.93599999993</v>
      </c>
      <c r="V67" s="1093">
        <f t="shared" si="65"/>
        <v>49809.873999999996</v>
      </c>
      <c r="W67" s="1093">
        <f t="shared" si="65"/>
        <v>27762.050000000003</v>
      </c>
      <c r="X67" s="1093">
        <f t="shared" si="65"/>
        <v>1582872</v>
      </c>
      <c r="Y67" s="1093">
        <f t="shared" si="65"/>
        <v>145690.24000000002</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1203">
        <v>9349.89</v>
      </c>
      <c r="D75" s="1203">
        <v>3882.7500000000018</v>
      </c>
      <c r="E75" s="1203">
        <v>1638.06</v>
      </c>
      <c r="F75" s="1203">
        <v>659.56</v>
      </c>
      <c r="G75" s="1203">
        <v>35262</v>
      </c>
      <c r="H75" s="1203">
        <v>1763.1000000000001</v>
      </c>
      <c r="I75" s="1203">
        <v>576.23</v>
      </c>
      <c r="J75" s="1203">
        <v>0</v>
      </c>
      <c r="K75" s="1203">
        <v>860.90000000000009</v>
      </c>
      <c r="L75" s="1203">
        <v>97.95</v>
      </c>
      <c r="M75" s="1203">
        <v>0</v>
      </c>
      <c r="N75" s="1203">
        <v>0</v>
      </c>
      <c r="O75" s="1203">
        <v>0</v>
      </c>
      <c r="P75" s="1203">
        <v>0</v>
      </c>
      <c r="Q75" s="1203">
        <v>0</v>
      </c>
      <c r="R75" s="1203">
        <v>0</v>
      </c>
      <c r="S75" s="10">
        <f t="shared" ref="S75:S101" si="66">SUM(C75:R75)</f>
        <v>54090.44</v>
      </c>
      <c r="T75" s="1093">
        <f>C75</f>
        <v>9349.89</v>
      </c>
      <c r="U75" s="1093">
        <f>D75</f>
        <v>3882.7500000000018</v>
      </c>
      <c r="V75" s="1093">
        <f>E75</f>
        <v>1638.06</v>
      </c>
      <c r="W75" s="1093">
        <f>F75</f>
        <v>659.56</v>
      </c>
      <c r="X75" s="1093">
        <f>G75</f>
        <v>35262</v>
      </c>
      <c r="Y75" s="1093">
        <f>SUM(H75:R75)</f>
        <v>3298.18</v>
      </c>
    </row>
    <row r="76" spans="2:25">
      <c r="B76" s="2" t="s">
        <v>88</v>
      </c>
      <c r="C76" s="1203">
        <v>22962.82</v>
      </c>
      <c r="D76" s="1203">
        <v>17212.409999999996</v>
      </c>
      <c r="E76" s="1203">
        <v>2971.38</v>
      </c>
      <c r="F76" s="1203">
        <v>419.15999999999985</v>
      </c>
      <c r="G76" s="1203">
        <v>56811</v>
      </c>
      <c r="H76" s="1203">
        <v>2154.9</v>
      </c>
      <c r="I76" s="1203">
        <v>4255.7999999999993</v>
      </c>
      <c r="J76" s="1203">
        <v>0</v>
      </c>
      <c r="K76" s="1203">
        <v>2137.69</v>
      </c>
      <c r="L76" s="1203">
        <v>293.85000000000002</v>
      </c>
      <c r="M76" s="1203">
        <v>0</v>
      </c>
      <c r="N76" s="1203">
        <v>0</v>
      </c>
      <c r="O76" s="1203">
        <v>57.14</v>
      </c>
      <c r="P76" s="1203">
        <v>0</v>
      </c>
      <c r="Q76" s="1203">
        <v>0</v>
      </c>
      <c r="R76" s="1203">
        <v>0</v>
      </c>
      <c r="S76" s="10">
        <f t="shared" si="66"/>
        <v>109276.15</v>
      </c>
      <c r="T76" s="1093">
        <f t="shared" ref="T76:X101" si="67">C76</f>
        <v>22962.82</v>
      </c>
      <c r="U76" s="1093">
        <f t="shared" si="67"/>
        <v>17212.409999999996</v>
      </c>
      <c r="V76" s="1093">
        <f t="shared" si="67"/>
        <v>2971.38</v>
      </c>
      <c r="W76" s="1093">
        <f t="shared" si="67"/>
        <v>419.15999999999985</v>
      </c>
      <c r="X76" s="1093">
        <f t="shared" si="67"/>
        <v>56811</v>
      </c>
      <c r="Y76" s="1093">
        <f t="shared" ref="Y76:Y101" si="68">SUM(H76:R76)</f>
        <v>8899.3799999999992</v>
      </c>
    </row>
    <row r="77" spans="2:25">
      <c r="B77" s="2" t="s">
        <v>89</v>
      </c>
      <c r="C77" s="1203">
        <v>9543.06</v>
      </c>
      <c r="D77" s="1203">
        <v>5645.4800000000014</v>
      </c>
      <c r="E77" s="1203">
        <v>1809.5</v>
      </c>
      <c r="F77" s="1203">
        <v>639.52</v>
      </c>
      <c r="G77" s="1203">
        <v>35066.1</v>
      </c>
      <c r="H77" s="1203">
        <v>1469.25</v>
      </c>
      <c r="I77" s="1203">
        <v>1163.71</v>
      </c>
      <c r="J77" s="1203">
        <v>0</v>
      </c>
      <c r="K77" s="1203">
        <v>1094.5999999999999</v>
      </c>
      <c r="L77" s="1203">
        <v>293.85000000000002</v>
      </c>
      <c r="M77" s="1203">
        <v>0</v>
      </c>
      <c r="N77" s="1203">
        <v>0</v>
      </c>
      <c r="O77" s="1203">
        <v>57.14</v>
      </c>
      <c r="P77" s="1203">
        <v>0</v>
      </c>
      <c r="Q77" s="1203">
        <v>0</v>
      </c>
      <c r="R77" s="1203">
        <v>0</v>
      </c>
      <c r="S77" s="10">
        <f t="shared" si="66"/>
        <v>56782.21</v>
      </c>
      <c r="T77" s="1093">
        <f t="shared" si="67"/>
        <v>9543.06</v>
      </c>
      <c r="U77" s="1093">
        <f t="shared" si="67"/>
        <v>5645.4800000000014</v>
      </c>
      <c r="V77" s="1093">
        <f t="shared" si="67"/>
        <v>1809.5</v>
      </c>
      <c r="W77" s="1093">
        <f t="shared" si="67"/>
        <v>639.52</v>
      </c>
      <c r="X77" s="1093">
        <f t="shared" si="67"/>
        <v>35066.1</v>
      </c>
      <c r="Y77" s="1093">
        <f t="shared" si="68"/>
        <v>4078.5499999999997</v>
      </c>
    </row>
    <row r="78" spans="2:25">
      <c r="B78" s="2" t="s">
        <v>90</v>
      </c>
      <c r="C78" s="1203">
        <v>25667.9</v>
      </c>
      <c r="D78" s="1203">
        <v>17419.549999999996</v>
      </c>
      <c r="E78" s="1203">
        <v>2076.17</v>
      </c>
      <c r="F78" s="1203">
        <v>953.69999999999982</v>
      </c>
      <c r="G78" s="1203">
        <v>58574.1</v>
      </c>
      <c r="H78" s="1203">
        <v>2056.9499999999998</v>
      </c>
      <c r="I78" s="1203">
        <v>2918.5</v>
      </c>
      <c r="J78" s="1203">
        <v>0</v>
      </c>
      <c r="K78" s="1203">
        <v>2803.2</v>
      </c>
      <c r="L78" s="1203">
        <v>391.8</v>
      </c>
      <c r="M78" s="1203">
        <v>0</v>
      </c>
      <c r="N78" s="1203">
        <v>1605.81</v>
      </c>
      <c r="O78" s="1203">
        <v>0</v>
      </c>
      <c r="P78" s="1203">
        <v>0</v>
      </c>
      <c r="Q78" s="1203">
        <v>0</v>
      </c>
      <c r="R78" s="1203">
        <v>0</v>
      </c>
      <c r="S78" s="10">
        <f t="shared" si="66"/>
        <v>114467.67999999998</v>
      </c>
      <c r="T78" s="1093">
        <f t="shared" si="67"/>
        <v>25667.9</v>
      </c>
      <c r="U78" s="1093">
        <f t="shared" si="67"/>
        <v>17419.549999999996</v>
      </c>
      <c r="V78" s="1093">
        <f t="shared" si="67"/>
        <v>2076.17</v>
      </c>
      <c r="W78" s="1093">
        <f t="shared" si="67"/>
        <v>953.69999999999982</v>
      </c>
      <c r="X78" s="1093">
        <f t="shared" si="67"/>
        <v>58574.1</v>
      </c>
      <c r="Y78" s="1093">
        <f t="shared" si="68"/>
        <v>9776.26</v>
      </c>
    </row>
    <row r="79" spans="2:25">
      <c r="B79" s="2" t="s">
        <v>91</v>
      </c>
      <c r="C79" s="1203">
        <v>88007.77</v>
      </c>
      <c r="D79" s="1203">
        <v>31256.33</v>
      </c>
      <c r="E79" s="1203">
        <v>8529.39</v>
      </c>
      <c r="F79" s="1203">
        <v>1612.9899999999998</v>
      </c>
      <c r="G79" s="1203">
        <v>169747.35</v>
      </c>
      <c r="H79" s="1203">
        <v>7248.3</v>
      </c>
      <c r="I79" s="1203">
        <v>5351.5500000000011</v>
      </c>
      <c r="J79" s="1203">
        <v>0</v>
      </c>
      <c r="K79" s="1203">
        <v>6812.04</v>
      </c>
      <c r="L79" s="1203">
        <v>391.8</v>
      </c>
      <c r="M79" s="1203">
        <v>0</v>
      </c>
      <c r="N79" s="1203">
        <v>0</v>
      </c>
      <c r="O79" s="1203">
        <v>114.28</v>
      </c>
      <c r="P79" s="1203">
        <v>0</v>
      </c>
      <c r="Q79" s="1203">
        <v>0</v>
      </c>
      <c r="R79" s="1203">
        <v>0</v>
      </c>
      <c r="S79" s="10">
        <f t="shared" si="66"/>
        <v>319071.8</v>
      </c>
      <c r="T79" s="1093">
        <f t="shared" si="67"/>
        <v>88007.77</v>
      </c>
      <c r="U79" s="1093">
        <f t="shared" si="67"/>
        <v>31256.33</v>
      </c>
      <c r="V79" s="1093">
        <f t="shared" si="67"/>
        <v>8529.39</v>
      </c>
      <c r="W79" s="1093">
        <f t="shared" si="67"/>
        <v>1612.9899999999998</v>
      </c>
      <c r="X79" s="1093">
        <f t="shared" si="67"/>
        <v>169747.35</v>
      </c>
      <c r="Y79" s="1093">
        <f t="shared" si="68"/>
        <v>19917.97</v>
      </c>
    </row>
    <row r="80" spans="2:25">
      <c r="B80" s="2" t="s">
        <v>92</v>
      </c>
      <c r="C80" s="1203">
        <v>55058.239999999998</v>
      </c>
      <c r="D80" s="1203">
        <v>21919.520000000011</v>
      </c>
      <c r="E80" s="1203">
        <v>5852.26</v>
      </c>
      <c r="F80" s="1203">
        <v>985.59000000000015</v>
      </c>
      <c r="G80" s="1203">
        <v>111075.3</v>
      </c>
      <c r="H80" s="1203">
        <v>6562.6500000000005</v>
      </c>
      <c r="I80" s="1203">
        <v>5161.18</v>
      </c>
      <c r="J80" s="1203">
        <v>0</v>
      </c>
      <c r="K80" s="1203">
        <v>4162.38</v>
      </c>
      <c r="L80" s="1203">
        <v>391.8</v>
      </c>
      <c r="M80" s="1203">
        <v>0</v>
      </c>
      <c r="N80" s="1203">
        <v>0</v>
      </c>
      <c r="O80" s="1203">
        <v>28.57</v>
      </c>
      <c r="P80" s="1203">
        <v>0</v>
      </c>
      <c r="Q80" s="1203">
        <v>0</v>
      </c>
      <c r="R80" s="1203">
        <v>0</v>
      </c>
      <c r="S80" s="10">
        <f t="shared" si="66"/>
        <v>211197.49</v>
      </c>
      <c r="T80" s="1093">
        <f t="shared" si="67"/>
        <v>55058.239999999998</v>
      </c>
      <c r="U80" s="1093">
        <f t="shared" si="67"/>
        <v>21919.520000000011</v>
      </c>
      <c r="V80" s="1093">
        <f t="shared" si="67"/>
        <v>5852.26</v>
      </c>
      <c r="W80" s="1093">
        <f t="shared" si="67"/>
        <v>985.59000000000015</v>
      </c>
      <c r="X80" s="1093">
        <f t="shared" si="67"/>
        <v>111075.3</v>
      </c>
      <c r="Y80" s="1093">
        <f t="shared" si="68"/>
        <v>16306.580000000002</v>
      </c>
    </row>
    <row r="81" spans="2:25">
      <c r="B81" s="2" t="s">
        <v>93</v>
      </c>
      <c r="C81" s="1203">
        <v>61039.11</v>
      </c>
      <c r="D81" s="1203">
        <v>32860.679999999993</v>
      </c>
      <c r="E81" s="1203">
        <v>3818.95</v>
      </c>
      <c r="F81" s="1203">
        <v>2203.46</v>
      </c>
      <c r="G81" s="1203">
        <v>143398.79999999999</v>
      </c>
      <c r="H81" s="1203">
        <v>7835.9999999999991</v>
      </c>
      <c r="I81" s="1203">
        <v>7027.55</v>
      </c>
      <c r="J81" s="1203">
        <v>0</v>
      </c>
      <c r="K81" s="1203">
        <v>5615.5499999999993</v>
      </c>
      <c r="L81" s="1203">
        <v>293.85000000000002</v>
      </c>
      <c r="M81" s="1203">
        <v>0</v>
      </c>
      <c r="N81" s="1203">
        <v>0</v>
      </c>
      <c r="O81" s="1203">
        <v>57.14</v>
      </c>
      <c r="P81" s="1203">
        <v>0</v>
      </c>
      <c r="Q81" s="1203">
        <v>0</v>
      </c>
      <c r="R81" s="1203">
        <v>0</v>
      </c>
      <c r="S81" s="10">
        <f t="shared" si="66"/>
        <v>264151.08999999997</v>
      </c>
      <c r="T81" s="1093">
        <f t="shared" si="67"/>
        <v>61039.11</v>
      </c>
      <c r="U81" s="1093">
        <f t="shared" si="67"/>
        <v>32860.679999999993</v>
      </c>
      <c r="V81" s="1093">
        <f t="shared" si="67"/>
        <v>3818.95</v>
      </c>
      <c r="W81" s="1093">
        <f t="shared" si="67"/>
        <v>2203.46</v>
      </c>
      <c r="X81" s="1093">
        <f t="shared" si="67"/>
        <v>143398.79999999999</v>
      </c>
      <c r="Y81" s="1093">
        <f t="shared" si="68"/>
        <v>20830.089999999997</v>
      </c>
    </row>
    <row r="82" spans="2:25">
      <c r="B82" s="2" t="s">
        <v>94</v>
      </c>
      <c r="C82" s="1203">
        <v>37327.919999999998</v>
      </c>
      <c r="D82" s="1203">
        <v>8914.2000000000044</v>
      </c>
      <c r="E82" s="1203">
        <v>5377.96</v>
      </c>
      <c r="F82" s="1203">
        <v>2182.0300000000007</v>
      </c>
      <c r="G82" s="1203">
        <v>121653.9</v>
      </c>
      <c r="H82" s="1203">
        <v>2938.5</v>
      </c>
      <c r="I82" s="1203">
        <v>2582.0899999999997</v>
      </c>
      <c r="J82" s="1203">
        <v>929.75</v>
      </c>
      <c r="K82" s="1203">
        <v>2077.5</v>
      </c>
      <c r="L82" s="1203">
        <v>489.75</v>
      </c>
      <c r="M82" s="1203">
        <v>0</v>
      </c>
      <c r="N82" s="1203">
        <v>0</v>
      </c>
      <c r="O82" s="1203">
        <v>0</v>
      </c>
      <c r="P82" s="1203">
        <v>0</v>
      </c>
      <c r="Q82" s="1203">
        <v>0</v>
      </c>
      <c r="R82" s="1203">
        <v>0</v>
      </c>
      <c r="S82" s="10">
        <f t="shared" si="66"/>
        <v>184473.60000000001</v>
      </c>
      <c r="T82" s="1093">
        <f t="shared" si="67"/>
        <v>37327.919999999998</v>
      </c>
      <c r="U82" s="1093">
        <f t="shared" si="67"/>
        <v>8914.2000000000044</v>
      </c>
      <c r="V82" s="1093">
        <f t="shared" si="67"/>
        <v>5377.96</v>
      </c>
      <c r="W82" s="1093">
        <f t="shared" si="67"/>
        <v>2182.0300000000007</v>
      </c>
      <c r="X82" s="1093">
        <f t="shared" si="67"/>
        <v>121653.9</v>
      </c>
      <c r="Y82" s="1093">
        <f t="shared" si="68"/>
        <v>9017.59</v>
      </c>
    </row>
    <row r="83" spans="2:25">
      <c r="B83" s="2" t="s">
        <v>95</v>
      </c>
      <c r="C83" s="1203">
        <v>66084.98</v>
      </c>
      <c r="D83" s="1203">
        <v>35692.210000000006</v>
      </c>
      <c r="E83" s="1203">
        <v>9318.83</v>
      </c>
      <c r="F83" s="1203">
        <v>1179.0499999999993</v>
      </c>
      <c r="G83" s="1203">
        <v>248303.25</v>
      </c>
      <c r="H83" s="1203">
        <v>7346.25</v>
      </c>
      <c r="I83" s="1203">
        <v>7398.68</v>
      </c>
      <c r="J83" s="1203">
        <v>1644.69</v>
      </c>
      <c r="K83" s="1203">
        <v>7034.5599999999995</v>
      </c>
      <c r="L83" s="1203">
        <v>0</v>
      </c>
      <c r="M83" s="1203">
        <v>0</v>
      </c>
      <c r="N83" s="1203">
        <v>0</v>
      </c>
      <c r="O83" s="1203">
        <v>85.71</v>
      </c>
      <c r="P83" s="1203">
        <v>0</v>
      </c>
      <c r="Q83" s="1203">
        <v>0</v>
      </c>
      <c r="R83" s="1203">
        <v>0</v>
      </c>
      <c r="S83" s="10">
        <f t="shared" si="66"/>
        <v>384088.21</v>
      </c>
      <c r="T83" s="1093">
        <f t="shared" si="67"/>
        <v>66084.98</v>
      </c>
      <c r="U83" s="1093">
        <f t="shared" si="67"/>
        <v>35692.210000000006</v>
      </c>
      <c r="V83" s="1093">
        <f t="shared" si="67"/>
        <v>9318.83</v>
      </c>
      <c r="W83" s="1093">
        <f t="shared" si="67"/>
        <v>1179.0499999999993</v>
      </c>
      <c r="X83" s="1093">
        <f t="shared" si="67"/>
        <v>248303.25</v>
      </c>
      <c r="Y83" s="1093">
        <f t="shared" si="68"/>
        <v>23509.89</v>
      </c>
    </row>
    <row r="84" spans="2:25">
      <c r="B84" s="2" t="s">
        <v>96</v>
      </c>
      <c r="C84" s="1203">
        <v>25426.22</v>
      </c>
      <c r="D84" s="1203">
        <v>14825.740000000005</v>
      </c>
      <c r="E84" s="1203">
        <v>2680.88</v>
      </c>
      <c r="F84" s="1203">
        <v>724.08999999999969</v>
      </c>
      <c r="G84" s="1203">
        <v>53480.7</v>
      </c>
      <c r="H84" s="1203">
        <v>3036.45</v>
      </c>
      <c r="I84" s="1203">
        <v>3336.29</v>
      </c>
      <c r="J84" s="1203">
        <v>0</v>
      </c>
      <c r="K84" s="1203">
        <v>2531.3399999999997</v>
      </c>
      <c r="L84" s="1203">
        <v>97.95</v>
      </c>
      <c r="M84" s="1203">
        <v>0</v>
      </c>
      <c r="N84" s="1203">
        <v>0</v>
      </c>
      <c r="O84" s="1203">
        <v>0</v>
      </c>
      <c r="P84" s="1203">
        <v>0</v>
      </c>
      <c r="Q84" s="1203">
        <v>0</v>
      </c>
      <c r="R84" s="1203">
        <v>0</v>
      </c>
      <c r="S84" s="10">
        <f t="shared" si="66"/>
        <v>106139.65999999999</v>
      </c>
      <c r="T84" s="1093">
        <f t="shared" si="67"/>
        <v>25426.22</v>
      </c>
      <c r="U84" s="1093">
        <f t="shared" si="67"/>
        <v>14825.740000000005</v>
      </c>
      <c r="V84" s="1093">
        <f t="shared" si="67"/>
        <v>2680.88</v>
      </c>
      <c r="W84" s="1093">
        <f t="shared" si="67"/>
        <v>724.08999999999969</v>
      </c>
      <c r="X84" s="1093">
        <f t="shared" si="67"/>
        <v>53480.7</v>
      </c>
      <c r="Y84" s="1093">
        <f t="shared" si="68"/>
        <v>9002.0300000000007</v>
      </c>
    </row>
    <row r="85" spans="2:25">
      <c r="B85" s="2" t="s">
        <v>97</v>
      </c>
      <c r="C85" s="1203">
        <v>40980.480000000003</v>
      </c>
      <c r="D85" s="1203">
        <v>30465.250000000007</v>
      </c>
      <c r="E85" s="1203">
        <v>4390.42</v>
      </c>
      <c r="F85" s="1203">
        <v>4497.1100000000006</v>
      </c>
      <c r="G85" s="1203">
        <v>263681.40000000002</v>
      </c>
      <c r="H85" s="1203">
        <v>2938.5</v>
      </c>
      <c r="I85" s="1203">
        <v>5517.05</v>
      </c>
      <c r="J85" s="1203">
        <v>1142.82</v>
      </c>
      <c r="K85" s="1203">
        <v>3974.84</v>
      </c>
      <c r="L85" s="1203">
        <v>587.70000000000005</v>
      </c>
      <c r="M85" s="1203">
        <v>0</v>
      </c>
      <c r="N85" s="1203">
        <v>0</v>
      </c>
      <c r="O85" s="1203">
        <v>28.57</v>
      </c>
      <c r="P85" s="1203">
        <v>0</v>
      </c>
      <c r="Q85" s="1203">
        <v>0</v>
      </c>
      <c r="R85" s="1203">
        <v>0</v>
      </c>
      <c r="S85" s="10">
        <f t="shared" si="66"/>
        <v>358204.14000000007</v>
      </c>
      <c r="T85" s="1093">
        <f t="shared" si="67"/>
        <v>40980.480000000003</v>
      </c>
      <c r="U85" s="1093">
        <f t="shared" si="67"/>
        <v>30465.250000000007</v>
      </c>
      <c r="V85" s="1093">
        <f t="shared" si="67"/>
        <v>4390.42</v>
      </c>
      <c r="W85" s="1093">
        <f t="shared" si="67"/>
        <v>4497.1100000000006</v>
      </c>
      <c r="X85" s="1093">
        <f t="shared" si="67"/>
        <v>263681.40000000002</v>
      </c>
      <c r="Y85" s="1093">
        <f t="shared" si="68"/>
        <v>14189.48</v>
      </c>
    </row>
    <row r="86" spans="2:25">
      <c r="B86" s="2" t="s">
        <v>98</v>
      </c>
      <c r="C86" s="1203">
        <v>45035.61</v>
      </c>
      <c r="D86" s="1203">
        <v>29836.560000000012</v>
      </c>
      <c r="E86" s="1203">
        <v>8371.25</v>
      </c>
      <c r="F86" s="1203">
        <v>7309.9500000000007</v>
      </c>
      <c r="G86" s="1203">
        <v>172000.2</v>
      </c>
      <c r="H86" s="1203">
        <v>3232.35</v>
      </c>
      <c r="I86" s="1203">
        <v>9541.1299999999992</v>
      </c>
      <c r="J86" s="1203">
        <v>0</v>
      </c>
      <c r="K86" s="1203">
        <v>4027.13</v>
      </c>
      <c r="L86" s="1203">
        <v>587.70000000000005</v>
      </c>
      <c r="M86" s="1203">
        <v>0</v>
      </c>
      <c r="N86" s="1203">
        <v>777.9</v>
      </c>
      <c r="O86" s="1203">
        <v>57.14</v>
      </c>
      <c r="P86" s="1203">
        <v>0</v>
      </c>
      <c r="Q86" s="1203">
        <v>82.7</v>
      </c>
      <c r="R86" s="1203">
        <v>0</v>
      </c>
      <c r="S86" s="10">
        <f t="shared" si="66"/>
        <v>280859.62000000005</v>
      </c>
      <c r="T86" s="1093">
        <f t="shared" si="67"/>
        <v>45035.61</v>
      </c>
      <c r="U86" s="1093">
        <f t="shared" si="67"/>
        <v>29836.560000000012</v>
      </c>
      <c r="V86" s="1093">
        <f t="shared" si="67"/>
        <v>8371.25</v>
      </c>
      <c r="W86" s="1093">
        <f t="shared" si="67"/>
        <v>7309.9500000000007</v>
      </c>
      <c r="X86" s="1093">
        <f t="shared" si="67"/>
        <v>172000.2</v>
      </c>
      <c r="Y86" s="1093">
        <f t="shared" si="68"/>
        <v>18306.050000000003</v>
      </c>
    </row>
    <row r="87" spans="2:25">
      <c r="B87" s="2" t="s">
        <v>99</v>
      </c>
      <c r="C87" s="1203">
        <v>204890.4</v>
      </c>
      <c r="D87" s="1203">
        <v>114262.36999999997</v>
      </c>
      <c r="E87" s="1203">
        <v>15221.02</v>
      </c>
      <c r="F87" s="1203">
        <v>11700.29</v>
      </c>
      <c r="G87" s="1203">
        <v>463009.65</v>
      </c>
      <c r="H87" s="1203">
        <v>12145.800000000001</v>
      </c>
      <c r="I87" s="1203">
        <v>25519.75</v>
      </c>
      <c r="J87" s="1203">
        <v>0</v>
      </c>
      <c r="K87" s="1203">
        <v>15604.04</v>
      </c>
      <c r="L87" s="1203">
        <v>1861.05</v>
      </c>
      <c r="M87" s="1203">
        <v>979.5</v>
      </c>
      <c r="N87" s="1203">
        <v>0</v>
      </c>
      <c r="O87" s="1203">
        <v>285.7</v>
      </c>
      <c r="P87" s="1203">
        <v>0</v>
      </c>
      <c r="Q87" s="1203">
        <v>0</v>
      </c>
      <c r="R87" s="1203">
        <v>0</v>
      </c>
      <c r="S87" s="10">
        <f t="shared" si="66"/>
        <v>865479.57000000007</v>
      </c>
      <c r="T87" s="1093">
        <f t="shared" si="67"/>
        <v>204890.4</v>
      </c>
      <c r="U87" s="1093">
        <f t="shared" si="67"/>
        <v>114262.36999999997</v>
      </c>
      <c r="V87" s="1093">
        <f t="shared" si="67"/>
        <v>15221.02</v>
      </c>
      <c r="W87" s="1093">
        <f t="shared" si="67"/>
        <v>11700.29</v>
      </c>
      <c r="X87" s="1093">
        <f t="shared" si="67"/>
        <v>463009.65</v>
      </c>
      <c r="Y87" s="1093">
        <f t="shared" si="68"/>
        <v>56395.840000000004</v>
      </c>
    </row>
    <row r="88" spans="2:25">
      <c r="B88" s="2" t="s">
        <v>100</v>
      </c>
      <c r="C88" s="1203">
        <v>34275.08</v>
      </c>
      <c r="D88" s="1203">
        <v>26067.689999999995</v>
      </c>
      <c r="E88" s="1203">
        <v>2954.72</v>
      </c>
      <c r="F88" s="1203">
        <v>672.70000000000027</v>
      </c>
      <c r="G88" s="1203">
        <v>74344.05</v>
      </c>
      <c r="H88" s="1203">
        <v>1861.05</v>
      </c>
      <c r="I88" s="1203">
        <v>5754.16</v>
      </c>
      <c r="J88" s="1203">
        <v>0</v>
      </c>
      <c r="K88" s="1203">
        <v>2812.2200000000003</v>
      </c>
      <c r="L88" s="1203">
        <v>783.6</v>
      </c>
      <c r="M88" s="1203">
        <v>0</v>
      </c>
      <c r="N88" s="1203">
        <v>0</v>
      </c>
      <c r="O88" s="1203">
        <v>114.28</v>
      </c>
      <c r="P88" s="1203">
        <v>0</v>
      </c>
      <c r="Q88" s="1203">
        <v>0</v>
      </c>
      <c r="R88" s="1203">
        <v>0</v>
      </c>
      <c r="S88" s="10">
        <f t="shared" si="66"/>
        <v>149639.54999999999</v>
      </c>
      <c r="T88" s="1093">
        <f t="shared" si="67"/>
        <v>34275.08</v>
      </c>
      <c r="U88" s="1093">
        <f t="shared" si="67"/>
        <v>26067.689999999995</v>
      </c>
      <c r="V88" s="1093">
        <f t="shared" si="67"/>
        <v>2954.72</v>
      </c>
      <c r="W88" s="1093">
        <f t="shared" si="67"/>
        <v>672.70000000000027</v>
      </c>
      <c r="X88" s="1093">
        <f t="shared" si="67"/>
        <v>74344.05</v>
      </c>
      <c r="Y88" s="1093">
        <f t="shared" si="68"/>
        <v>11325.310000000001</v>
      </c>
    </row>
    <row r="89" spans="2:25">
      <c r="B89" s="2" t="s">
        <v>101</v>
      </c>
      <c r="C89" s="1203">
        <v>39237.980000000003</v>
      </c>
      <c r="D89" s="1203">
        <v>26156.339999999997</v>
      </c>
      <c r="E89" s="1203">
        <v>1619.01</v>
      </c>
      <c r="F89" s="1203">
        <v>1488.84</v>
      </c>
      <c r="G89" s="1203">
        <v>95403.3</v>
      </c>
      <c r="H89" s="1203">
        <v>3134.4</v>
      </c>
      <c r="I89" s="1203">
        <v>4915.3899999999994</v>
      </c>
      <c r="J89" s="1203">
        <v>0</v>
      </c>
      <c r="K89" s="1203">
        <v>3462.77</v>
      </c>
      <c r="L89" s="1203"/>
      <c r="M89" s="1203">
        <v>0</v>
      </c>
      <c r="N89" s="1203">
        <v>0</v>
      </c>
      <c r="O89" s="1203">
        <v>57.14</v>
      </c>
      <c r="P89" s="1203">
        <v>0</v>
      </c>
      <c r="Q89" s="1203">
        <v>0</v>
      </c>
      <c r="R89" s="1203">
        <v>0</v>
      </c>
      <c r="S89" s="10">
        <f t="shared" si="66"/>
        <v>175475.17</v>
      </c>
      <c r="T89" s="1093">
        <f t="shared" si="67"/>
        <v>39237.980000000003</v>
      </c>
      <c r="U89" s="1093">
        <f t="shared" si="67"/>
        <v>26156.339999999997</v>
      </c>
      <c r="V89" s="1093">
        <f t="shared" si="67"/>
        <v>1619.01</v>
      </c>
      <c r="W89" s="1093">
        <f t="shared" si="67"/>
        <v>1488.84</v>
      </c>
      <c r="X89" s="1093">
        <f t="shared" si="67"/>
        <v>95403.3</v>
      </c>
      <c r="Y89" s="1093">
        <f t="shared" si="68"/>
        <v>11569.699999999999</v>
      </c>
    </row>
    <row r="90" spans="2:25">
      <c r="B90" s="2" t="s">
        <v>102</v>
      </c>
      <c r="C90" s="1203">
        <v>145163.94</v>
      </c>
      <c r="D90" s="1203">
        <v>79295</v>
      </c>
      <c r="E90" s="1203">
        <v>28092.67</v>
      </c>
      <c r="F90" s="1203">
        <v>20202.960000000006</v>
      </c>
      <c r="G90" s="1203">
        <v>686139.75</v>
      </c>
      <c r="H90" s="1203">
        <v>18708.449999999997</v>
      </c>
      <c r="I90" s="1203">
        <v>18476.059999999998</v>
      </c>
      <c r="J90" s="1203">
        <v>894.8</v>
      </c>
      <c r="K90" s="1203">
        <v>14195.52</v>
      </c>
      <c r="L90" s="1203">
        <v>2154.9</v>
      </c>
      <c r="M90" s="1203">
        <v>587.70000000000005</v>
      </c>
      <c r="N90" s="1203">
        <v>0</v>
      </c>
      <c r="O90" s="1203">
        <v>285.7</v>
      </c>
      <c r="P90" s="1203">
        <v>0</v>
      </c>
      <c r="Q90" s="1203">
        <v>0</v>
      </c>
      <c r="R90" s="1203">
        <v>0</v>
      </c>
      <c r="S90" s="10">
        <f t="shared" si="66"/>
        <v>1014197.4500000001</v>
      </c>
      <c r="T90" s="1093">
        <f t="shared" si="67"/>
        <v>145163.94</v>
      </c>
      <c r="U90" s="1093">
        <f t="shared" si="67"/>
        <v>79295</v>
      </c>
      <c r="V90" s="1093">
        <f t="shared" si="67"/>
        <v>28092.67</v>
      </c>
      <c r="W90" s="1093">
        <f t="shared" si="67"/>
        <v>20202.960000000006</v>
      </c>
      <c r="X90" s="1093">
        <f t="shared" si="67"/>
        <v>686139.75</v>
      </c>
      <c r="Y90" s="1093">
        <f t="shared" si="68"/>
        <v>55303.13</v>
      </c>
    </row>
    <row r="91" spans="2:25">
      <c r="B91" s="2" t="s">
        <v>103</v>
      </c>
      <c r="C91" s="1203">
        <v>72534.92</v>
      </c>
      <c r="D91" s="1203">
        <v>31403.309999999998</v>
      </c>
      <c r="E91" s="1203">
        <v>7207.83</v>
      </c>
      <c r="F91" s="1203">
        <v>3553.1499999999996</v>
      </c>
      <c r="G91" s="1203">
        <v>134093.54999999999</v>
      </c>
      <c r="H91" s="1203">
        <v>6464.7</v>
      </c>
      <c r="I91" s="1203">
        <v>6357.89</v>
      </c>
      <c r="J91" s="1203">
        <v>284.27999999999997</v>
      </c>
      <c r="K91" s="1203">
        <v>7426.93</v>
      </c>
      <c r="L91" s="1203">
        <v>293.85000000000002</v>
      </c>
      <c r="M91" s="1203">
        <v>0</v>
      </c>
      <c r="N91" s="1203">
        <v>0</v>
      </c>
      <c r="O91" s="1203">
        <v>85.71</v>
      </c>
      <c r="P91" s="1203">
        <v>0</v>
      </c>
      <c r="Q91" s="1203">
        <v>0</v>
      </c>
      <c r="R91" s="1203">
        <v>0</v>
      </c>
      <c r="S91" s="10">
        <f t="shared" si="66"/>
        <v>269706.12</v>
      </c>
      <c r="T91" s="1093">
        <f t="shared" si="67"/>
        <v>72534.92</v>
      </c>
      <c r="U91" s="1093">
        <f t="shared" si="67"/>
        <v>31403.309999999998</v>
      </c>
      <c r="V91" s="1093">
        <f t="shared" si="67"/>
        <v>7207.83</v>
      </c>
      <c r="W91" s="1093">
        <f t="shared" si="67"/>
        <v>3553.1499999999996</v>
      </c>
      <c r="X91" s="1093">
        <f t="shared" si="67"/>
        <v>134093.54999999999</v>
      </c>
      <c r="Y91" s="1093">
        <f t="shared" si="68"/>
        <v>20913.36</v>
      </c>
    </row>
    <row r="92" spans="2:25">
      <c r="B92" s="2" t="s">
        <v>104</v>
      </c>
      <c r="C92" s="1203">
        <v>23113.98</v>
      </c>
      <c r="D92" s="1203">
        <v>9146.84</v>
      </c>
      <c r="E92" s="1203">
        <v>1967.09</v>
      </c>
      <c r="F92" s="1203">
        <v>854.68000000000006</v>
      </c>
      <c r="G92" s="1203">
        <v>41334.9</v>
      </c>
      <c r="H92" s="1203">
        <v>1273.3500000000001</v>
      </c>
      <c r="I92" s="1203">
        <v>1383.33</v>
      </c>
      <c r="J92" s="1203">
        <v>0</v>
      </c>
      <c r="K92" s="1203">
        <v>1973.71</v>
      </c>
      <c r="L92" s="1203">
        <v>97.95</v>
      </c>
      <c r="M92" s="1203">
        <v>0</v>
      </c>
      <c r="N92" s="1203">
        <v>0</v>
      </c>
      <c r="O92" s="1203">
        <v>28.57</v>
      </c>
      <c r="P92" s="1203">
        <v>0</v>
      </c>
      <c r="Q92" s="1203">
        <v>0</v>
      </c>
      <c r="R92" s="1203">
        <v>0</v>
      </c>
      <c r="S92" s="10">
        <f t="shared" si="66"/>
        <v>81174.400000000009</v>
      </c>
      <c r="T92" s="1093">
        <f t="shared" si="67"/>
        <v>23113.98</v>
      </c>
      <c r="U92" s="1093">
        <f t="shared" si="67"/>
        <v>9146.84</v>
      </c>
      <c r="V92" s="1093">
        <f t="shared" si="67"/>
        <v>1967.09</v>
      </c>
      <c r="W92" s="1093">
        <f t="shared" si="67"/>
        <v>854.68000000000006</v>
      </c>
      <c r="X92" s="1093">
        <f t="shared" si="67"/>
        <v>41334.9</v>
      </c>
      <c r="Y92" s="1093">
        <f t="shared" si="68"/>
        <v>4756.91</v>
      </c>
    </row>
    <row r="93" spans="2:25">
      <c r="B93" s="2" t="s">
        <v>105</v>
      </c>
      <c r="C93" s="1203">
        <v>224575.42</v>
      </c>
      <c r="D93" s="1203">
        <v>95353.199999999983</v>
      </c>
      <c r="E93" s="1203">
        <v>18506.310000000001</v>
      </c>
      <c r="F93" s="1203">
        <v>8829.4399999999987</v>
      </c>
      <c r="G93" s="1203">
        <v>507185.1</v>
      </c>
      <c r="H93" s="1203">
        <v>14202.749999999998</v>
      </c>
      <c r="I93" s="1203">
        <v>27048.23</v>
      </c>
      <c r="J93" s="1203">
        <v>300.64</v>
      </c>
      <c r="K93" s="1203">
        <v>18033.889999999996</v>
      </c>
      <c r="L93" s="1203">
        <v>1273.3499999999999</v>
      </c>
      <c r="M93" s="1203">
        <v>0</v>
      </c>
      <c r="N93" s="1203">
        <v>0</v>
      </c>
      <c r="O93" s="1203">
        <v>685.68</v>
      </c>
      <c r="P93" s="1203">
        <v>0</v>
      </c>
      <c r="Q93" s="1203">
        <v>0</v>
      </c>
      <c r="R93" s="1203">
        <v>0</v>
      </c>
      <c r="S93" s="10">
        <f t="shared" si="66"/>
        <v>915994.01</v>
      </c>
      <c r="T93" s="1093">
        <f t="shared" si="67"/>
        <v>224575.42</v>
      </c>
      <c r="U93" s="1093">
        <f t="shared" si="67"/>
        <v>95353.199999999983</v>
      </c>
      <c r="V93" s="1093">
        <f t="shared" si="67"/>
        <v>18506.310000000001</v>
      </c>
      <c r="W93" s="1093">
        <f t="shared" si="67"/>
        <v>8829.4399999999987</v>
      </c>
      <c r="X93" s="1093">
        <f t="shared" si="67"/>
        <v>507185.1</v>
      </c>
      <c r="Y93" s="1093">
        <f t="shared" si="68"/>
        <v>61544.539999999994</v>
      </c>
    </row>
    <row r="94" spans="2:25">
      <c r="B94" s="2" t="s">
        <v>106</v>
      </c>
      <c r="C94" s="1203">
        <v>35590.68</v>
      </c>
      <c r="D94" s="1203">
        <v>16782.370000000003</v>
      </c>
      <c r="E94" s="1203">
        <v>1920.61</v>
      </c>
      <c r="F94" s="1203">
        <v>458.16000000000008</v>
      </c>
      <c r="G94" s="1203">
        <v>85608.3</v>
      </c>
      <c r="H94" s="1203">
        <v>2154.9</v>
      </c>
      <c r="I94" s="1203">
        <v>3233.27</v>
      </c>
      <c r="J94" s="1203">
        <v>0</v>
      </c>
      <c r="K94" s="1203">
        <v>2588.8799999999997</v>
      </c>
      <c r="L94" s="1203">
        <v>97.95</v>
      </c>
      <c r="M94" s="1203">
        <v>0</v>
      </c>
      <c r="N94" s="1203">
        <v>0</v>
      </c>
      <c r="O94" s="1203">
        <v>0</v>
      </c>
      <c r="P94" s="1203">
        <v>0</v>
      </c>
      <c r="Q94" s="1203">
        <v>0</v>
      </c>
      <c r="R94" s="1203">
        <v>0</v>
      </c>
      <c r="S94" s="10">
        <f t="shared" si="66"/>
        <v>148435.12</v>
      </c>
      <c r="T94" s="1093">
        <f t="shared" si="67"/>
        <v>35590.68</v>
      </c>
      <c r="U94" s="1093">
        <f t="shared" si="67"/>
        <v>16782.370000000003</v>
      </c>
      <c r="V94" s="1093">
        <f t="shared" si="67"/>
        <v>1920.61</v>
      </c>
      <c r="W94" s="1093">
        <f t="shared" si="67"/>
        <v>458.16000000000008</v>
      </c>
      <c r="X94" s="1093">
        <f t="shared" si="67"/>
        <v>85608.3</v>
      </c>
      <c r="Y94" s="1093">
        <f t="shared" si="68"/>
        <v>8074.9999999999991</v>
      </c>
    </row>
    <row r="95" spans="2:25">
      <c r="B95" s="2" t="s">
        <v>107</v>
      </c>
      <c r="C95" s="1203">
        <v>198191.07</v>
      </c>
      <c r="D95" s="1203">
        <v>96385.689999999944</v>
      </c>
      <c r="E95" s="1203">
        <v>29222.75</v>
      </c>
      <c r="F95" s="1203">
        <v>10182.160000000003</v>
      </c>
      <c r="G95" s="1203">
        <v>791533.95</v>
      </c>
      <c r="H95" s="1203">
        <v>14006.85</v>
      </c>
      <c r="I95" s="1203">
        <v>19218.900000000001</v>
      </c>
      <c r="J95" s="1203">
        <v>579.54999999999995</v>
      </c>
      <c r="K95" s="1203">
        <v>16299.949999999999</v>
      </c>
      <c r="L95" s="1203">
        <v>1273.3499999999999</v>
      </c>
      <c r="M95" s="1203">
        <v>195.9</v>
      </c>
      <c r="N95" s="1203">
        <v>0</v>
      </c>
      <c r="O95" s="1203">
        <v>142.85</v>
      </c>
      <c r="P95" s="1203">
        <v>0</v>
      </c>
      <c r="Q95" s="1203">
        <v>0</v>
      </c>
      <c r="R95" s="1203">
        <v>0</v>
      </c>
      <c r="S95" s="10">
        <f t="shared" si="66"/>
        <v>1177232.97</v>
      </c>
      <c r="T95" s="1093">
        <f t="shared" si="67"/>
        <v>198191.07</v>
      </c>
      <c r="U95" s="1093">
        <f t="shared" si="67"/>
        <v>96385.689999999944</v>
      </c>
      <c r="V95" s="1093">
        <f t="shared" si="67"/>
        <v>29222.75</v>
      </c>
      <c r="W95" s="1093">
        <f t="shared" si="67"/>
        <v>10182.160000000003</v>
      </c>
      <c r="X95" s="1093">
        <f t="shared" si="67"/>
        <v>791533.95</v>
      </c>
      <c r="Y95" s="1093">
        <f t="shared" si="68"/>
        <v>51717.35</v>
      </c>
    </row>
    <row r="96" spans="2:25">
      <c r="B96" s="2" t="s">
        <v>108</v>
      </c>
      <c r="C96" s="1203">
        <v>15149.73</v>
      </c>
      <c r="D96" s="1203">
        <v>5969.34</v>
      </c>
      <c r="E96" s="1203">
        <v>1896.79</v>
      </c>
      <c r="F96" s="1203">
        <v>927.75</v>
      </c>
      <c r="G96" s="1203">
        <v>89722.2</v>
      </c>
      <c r="H96" s="1203">
        <v>1567.2</v>
      </c>
      <c r="I96" s="1203">
        <v>910.68000000000006</v>
      </c>
      <c r="J96" s="1203">
        <v>0</v>
      </c>
      <c r="K96" s="1203">
        <v>1269.5899999999999</v>
      </c>
      <c r="L96" s="1203"/>
      <c r="M96" s="1203">
        <v>0</v>
      </c>
      <c r="N96" s="1203">
        <v>0</v>
      </c>
      <c r="O96" s="1203">
        <v>0</v>
      </c>
      <c r="P96" s="1203">
        <v>0</v>
      </c>
      <c r="Q96" s="1203">
        <v>14.74</v>
      </c>
      <c r="R96" s="1203">
        <v>300.73</v>
      </c>
      <c r="S96" s="10">
        <f t="shared" si="66"/>
        <v>117728.74999999999</v>
      </c>
      <c r="T96" s="1093">
        <f t="shared" si="67"/>
        <v>15149.73</v>
      </c>
      <c r="U96" s="1093">
        <f t="shared" si="67"/>
        <v>5969.34</v>
      </c>
      <c r="V96" s="1093">
        <f t="shared" si="67"/>
        <v>1896.79</v>
      </c>
      <c r="W96" s="1093">
        <f t="shared" si="67"/>
        <v>927.75</v>
      </c>
      <c r="X96" s="1093">
        <f t="shared" si="67"/>
        <v>89722.2</v>
      </c>
      <c r="Y96" s="1093">
        <f t="shared" si="68"/>
        <v>4062.94</v>
      </c>
    </row>
    <row r="97" spans="2:25">
      <c r="B97" s="2" t="s">
        <v>109</v>
      </c>
      <c r="C97" s="1203">
        <v>3976.11</v>
      </c>
      <c r="D97" s="1203">
        <v>761.74000000000024</v>
      </c>
      <c r="E97" s="1203">
        <v>563.79999999999995</v>
      </c>
      <c r="F97" s="1203">
        <v>1105.56</v>
      </c>
      <c r="G97" s="1203">
        <v>10774.5</v>
      </c>
      <c r="H97" s="1203">
        <v>97.95</v>
      </c>
      <c r="I97" s="1203">
        <v>205.3</v>
      </c>
      <c r="J97" s="1203">
        <v>0</v>
      </c>
      <c r="K97" s="1203">
        <v>571.78</v>
      </c>
      <c r="L97" s="1203"/>
      <c r="M97" s="1203">
        <v>0</v>
      </c>
      <c r="N97" s="1203">
        <v>0</v>
      </c>
      <c r="O97" s="1203">
        <v>0</v>
      </c>
      <c r="P97" s="1203">
        <v>0</v>
      </c>
      <c r="Q97" s="1203">
        <v>0</v>
      </c>
      <c r="R97" s="1203">
        <v>0</v>
      </c>
      <c r="S97" s="10">
        <f t="shared" si="66"/>
        <v>18056.739999999998</v>
      </c>
      <c r="T97" s="1093">
        <f t="shared" si="67"/>
        <v>3976.11</v>
      </c>
      <c r="U97" s="1093">
        <f t="shared" si="67"/>
        <v>761.74000000000024</v>
      </c>
      <c r="V97" s="1093">
        <f t="shared" si="67"/>
        <v>563.79999999999995</v>
      </c>
      <c r="W97" s="1093">
        <f t="shared" si="67"/>
        <v>1105.56</v>
      </c>
      <c r="X97" s="1093">
        <f t="shared" si="67"/>
        <v>10774.5</v>
      </c>
      <c r="Y97" s="1093">
        <f t="shared" si="68"/>
        <v>875.03</v>
      </c>
    </row>
    <row r="98" spans="2:25">
      <c r="B98" s="2" t="s">
        <v>110</v>
      </c>
      <c r="C98" s="1203">
        <v>116603.52</v>
      </c>
      <c r="D98" s="1203">
        <v>50706.459999999977</v>
      </c>
      <c r="E98" s="1203">
        <v>13034.99</v>
      </c>
      <c r="F98" s="1203">
        <v>3591.6799999999985</v>
      </c>
      <c r="G98" s="1203">
        <v>525893.55000000005</v>
      </c>
      <c r="H98" s="1203">
        <v>10578.6</v>
      </c>
      <c r="I98" s="1203">
        <v>12001.480000000001</v>
      </c>
      <c r="J98" s="1203">
        <v>0</v>
      </c>
      <c r="K98" s="1203">
        <v>9939.2800000000007</v>
      </c>
      <c r="L98" s="1203">
        <v>1077.45</v>
      </c>
      <c r="M98" s="1203">
        <v>0</v>
      </c>
      <c r="N98" s="1203">
        <v>0</v>
      </c>
      <c r="O98" s="1203">
        <v>142.85</v>
      </c>
      <c r="P98" s="1203">
        <v>0</v>
      </c>
      <c r="Q98" s="1203">
        <v>0</v>
      </c>
      <c r="R98" s="1203">
        <v>0</v>
      </c>
      <c r="S98" s="10">
        <f t="shared" si="66"/>
        <v>743569.85999999987</v>
      </c>
      <c r="T98" s="1093">
        <f t="shared" si="67"/>
        <v>116603.52</v>
      </c>
      <c r="U98" s="1093">
        <f t="shared" si="67"/>
        <v>50706.459999999977</v>
      </c>
      <c r="V98" s="1093">
        <f t="shared" si="67"/>
        <v>13034.99</v>
      </c>
      <c r="W98" s="1093">
        <f t="shared" si="67"/>
        <v>3591.6799999999985</v>
      </c>
      <c r="X98" s="1093">
        <f t="shared" si="67"/>
        <v>525893.55000000005</v>
      </c>
      <c r="Y98" s="1093">
        <f t="shared" si="68"/>
        <v>33739.659999999996</v>
      </c>
    </row>
    <row r="99" spans="2:25">
      <c r="B99" s="2" t="s">
        <v>111</v>
      </c>
      <c r="C99" s="1203">
        <v>652847</v>
      </c>
      <c r="D99" s="1203">
        <v>423091.10999999987</v>
      </c>
      <c r="E99" s="1203">
        <v>67582.66</v>
      </c>
      <c r="F99" s="1203">
        <v>50405.649999999994</v>
      </c>
      <c r="G99" s="1203">
        <v>2836240.2</v>
      </c>
      <c r="H99" s="1203">
        <v>53382.75</v>
      </c>
      <c r="I99" s="1203">
        <v>118685.48</v>
      </c>
      <c r="J99" s="1203">
        <v>0</v>
      </c>
      <c r="K99" s="1203">
        <v>62266.289999999994</v>
      </c>
      <c r="L99" s="1203">
        <v>4799.55</v>
      </c>
      <c r="M99" s="1203">
        <v>391.8</v>
      </c>
      <c r="N99" s="1203">
        <v>0</v>
      </c>
      <c r="O99" s="1203">
        <v>1771.34</v>
      </c>
      <c r="P99" s="1203">
        <v>47.62</v>
      </c>
      <c r="Q99" s="1203">
        <v>1408.51</v>
      </c>
      <c r="R99" s="1203">
        <v>15529.98</v>
      </c>
      <c r="S99" s="10">
        <f t="shared" si="66"/>
        <v>4288449.9400000004</v>
      </c>
      <c r="T99" s="1093">
        <f t="shared" si="67"/>
        <v>652847</v>
      </c>
      <c r="U99" s="1093">
        <f t="shared" si="67"/>
        <v>423091.10999999987</v>
      </c>
      <c r="V99" s="1093">
        <f t="shared" si="67"/>
        <v>67582.66</v>
      </c>
      <c r="W99" s="1093">
        <f t="shared" si="67"/>
        <v>50405.649999999994</v>
      </c>
      <c r="X99" s="1093">
        <f t="shared" si="67"/>
        <v>2836240.2</v>
      </c>
      <c r="Y99" s="1093">
        <f t="shared" si="68"/>
        <v>258283.31999999995</v>
      </c>
    </row>
    <row r="100" spans="2:25">
      <c r="B100" s="2" t="s">
        <v>112</v>
      </c>
      <c r="C100" s="1203">
        <v>22128.92</v>
      </c>
      <c r="D100" s="1203">
        <v>14380.93</v>
      </c>
      <c r="E100" s="1203">
        <v>1297.1300000000001</v>
      </c>
      <c r="F100" s="1203">
        <v>965.41999999999962</v>
      </c>
      <c r="G100" s="1203">
        <v>64451.1</v>
      </c>
      <c r="H100" s="1203">
        <v>1273.3500000000001</v>
      </c>
      <c r="I100" s="1203">
        <v>2440.61</v>
      </c>
      <c r="J100" s="1203">
        <v>284.27999999999997</v>
      </c>
      <c r="K100" s="1203">
        <v>2411.81</v>
      </c>
      <c r="L100" s="1203">
        <v>293.85000000000002</v>
      </c>
      <c r="M100" s="1203">
        <v>0</v>
      </c>
      <c r="N100" s="1203">
        <v>0</v>
      </c>
      <c r="O100" s="1203">
        <v>57.14</v>
      </c>
      <c r="P100" s="1203">
        <v>0</v>
      </c>
      <c r="Q100" s="1203">
        <v>0</v>
      </c>
      <c r="R100" s="1203">
        <v>708.52</v>
      </c>
      <c r="S100" s="10">
        <f t="shared" si="66"/>
        <v>110693.06000000001</v>
      </c>
      <c r="T100" s="1093">
        <f t="shared" si="67"/>
        <v>22128.92</v>
      </c>
      <c r="U100" s="1093">
        <f t="shared" si="67"/>
        <v>14380.93</v>
      </c>
      <c r="V100" s="1093">
        <f t="shared" si="67"/>
        <v>1297.1300000000001</v>
      </c>
      <c r="W100" s="1093">
        <f t="shared" si="67"/>
        <v>965.41999999999962</v>
      </c>
      <c r="X100" s="1093">
        <f t="shared" si="67"/>
        <v>64451.1</v>
      </c>
      <c r="Y100" s="1093">
        <f t="shared" si="68"/>
        <v>7469.5599999999995</v>
      </c>
    </row>
    <row r="101" spans="2:25">
      <c r="B101" s="2" t="s">
        <v>113</v>
      </c>
      <c r="C101" s="1203">
        <v>9133.09</v>
      </c>
      <c r="D101" s="1203">
        <v>4241.6100000000006</v>
      </c>
      <c r="E101" s="1203">
        <v>1126.94</v>
      </c>
      <c r="F101" s="1203">
        <v>505.59999999999991</v>
      </c>
      <c r="G101" s="1203">
        <v>39571.800000000003</v>
      </c>
      <c r="H101" s="1203">
        <v>587.70000000000005</v>
      </c>
      <c r="I101" s="1203">
        <v>580.15000000000009</v>
      </c>
      <c r="J101" s="1203">
        <v>0</v>
      </c>
      <c r="K101" s="1203">
        <v>960.19</v>
      </c>
      <c r="L101" s="1203">
        <v>97.95</v>
      </c>
      <c r="M101" s="1203">
        <v>0</v>
      </c>
      <c r="N101" s="1203">
        <v>0</v>
      </c>
      <c r="O101" s="1203">
        <v>0</v>
      </c>
      <c r="P101" s="1203">
        <v>0</v>
      </c>
      <c r="Q101" s="1203">
        <v>0</v>
      </c>
      <c r="R101" s="1203">
        <v>0</v>
      </c>
      <c r="S101" s="10">
        <f t="shared" si="66"/>
        <v>56805.030000000006</v>
      </c>
      <c r="T101" s="1093">
        <f t="shared" si="67"/>
        <v>9133.09</v>
      </c>
      <c r="U101" s="1093">
        <f t="shared" si="67"/>
        <v>4241.6100000000006</v>
      </c>
      <c r="V101" s="1093">
        <f t="shared" si="67"/>
        <v>1126.94</v>
      </c>
      <c r="W101" s="1093">
        <f t="shared" si="67"/>
        <v>505.59999999999991</v>
      </c>
      <c r="X101" s="1093">
        <f t="shared" si="67"/>
        <v>39571.800000000003</v>
      </c>
      <c r="Y101" s="1093">
        <f t="shared" si="68"/>
        <v>2225.9899999999998</v>
      </c>
    </row>
    <row r="102" spans="2:25">
      <c r="B102" s="7" t="s">
        <v>37</v>
      </c>
      <c r="C102" s="6">
        <f t="shared" ref="C102:T102" si="69">SUM(C75:C101)</f>
        <v>2283895.84</v>
      </c>
      <c r="D102" s="6">
        <f t="shared" si="69"/>
        <v>1243934.6799999997</v>
      </c>
      <c r="E102" s="6">
        <f t="shared" si="69"/>
        <v>249049.36999999997</v>
      </c>
      <c r="F102" s="6">
        <f t="shared" si="69"/>
        <v>138810.25</v>
      </c>
      <c r="G102" s="6">
        <f t="shared" si="69"/>
        <v>7914359.9999999991</v>
      </c>
      <c r="H102" s="6">
        <f t="shared" si="69"/>
        <v>190023</v>
      </c>
      <c r="I102" s="6">
        <f t="shared" si="69"/>
        <v>301560.44</v>
      </c>
      <c r="J102" s="6">
        <f t="shared" si="69"/>
        <v>6060.81</v>
      </c>
      <c r="K102" s="6">
        <f t="shared" si="69"/>
        <v>202948.58000000002</v>
      </c>
      <c r="L102" s="6">
        <f t="shared" si="69"/>
        <v>18022.800000000003</v>
      </c>
      <c r="M102" s="6">
        <f t="shared" si="69"/>
        <v>2154.9</v>
      </c>
      <c r="N102" s="6">
        <f t="shared" si="69"/>
        <v>2383.71</v>
      </c>
      <c r="O102" s="6">
        <f t="shared" si="69"/>
        <v>4142.6499999999996</v>
      </c>
      <c r="P102" s="27">
        <f t="shared" si="69"/>
        <v>47.62</v>
      </c>
      <c r="Q102" s="6">
        <f t="shared" si="69"/>
        <v>1505.95</v>
      </c>
      <c r="R102" s="6">
        <f t="shared" si="69"/>
        <v>16539.23</v>
      </c>
      <c r="S102" s="6">
        <f t="shared" si="69"/>
        <v>12575439.830000002</v>
      </c>
      <c r="T102" s="1093">
        <f t="shared" si="69"/>
        <v>2283895.84</v>
      </c>
      <c r="U102" s="1093">
        <f t="shared" ref="U102:Y102" si="70">SUM(U75:U101)</f>
        <v>1243934.6799999997</v>
      </c>
      <c r="V102" s="1093">
        <f t="shared" si="70"/>
        <v>249049.36999999997</v>
      </c>
      <c r="W102" s="1093">
        <f t="shared" si="70"/>
        <v>138810.25</v>
      </c>
      <c r="X102" s="1093">
        <f t="shared" si="70"/>
        <v>7914359.9999999991</v>
      </c>
      <c r="Y102" s="1093">
        <f t="shared" si="70"/>
        <v>745389.69</v>
      </c>
    </row>
    <row r="103" spans="2:25">
      <c r="S103" s="1093"/>
    </row>
    <row r="104" spans="2:25">
      <c r="S104" s="1093"/>
    </row>
    <row r="105" spans="2:25">
      <c r="S105" s="1093"/>
    </row>
  </sheetData>
  <mergeCells count="48">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s>
  <pageMargins left="0.511811024" right="0.511811024" top="0.78740157499999996" bottom="0.78740157499999996" header="0.31496062000000002" footer="0.31496062000000002"/>
  <pageSetup paperSize="9" scale="1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2:Y105"/>
  <sheetViews>
    <sheetView topLeftCell="B73" zoomScale="70" zoomScaleNormal="7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81</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2464.5439999999999</v>
      </c>
      <c r="D5" s="20">
        <f t="shared" si="0"/>
        <v>8339.1119999999992</v>
      </c>
      <c r="E5" s="20">
        <f t="shared" si="0"/>
        <v>393.13600000000002</v>
      </c>
      <c r="F5" s="20">
        <f t="shared" si="0"/>
        <v>1757.1840000000002</v>
      </c>
      <c r="G5" s="20">
        <f t="shared" si="0"/>
        <v>24056.520000000004</v>
      </c>
      <c r="H5" s="20">
        <f t="shared" si="0"/>
        <v>1018.6800000000002</v>
      </c>
      <c r="I5" s="20">
        <f t="shared" si="0"/>
        <v>554.928</v>
      </c>
      <c r="J5" s="20">
        <f t="shared" si="0"/>
        <v>0</v>
      </c>
      <c r="K5" s="20">
        <f t="shared" si="0"/>
        <v>828.05600000000015</v>
      </c>
      <c r="L5" s="20">
        <f t="shared" si="0"/>
        <v>548.52</v>
      </c>
      <c r="M5" s="20">
        <f t="shared" si="0"/>
        <v>0</v>
      </c>
      <c r="N5" s="20">
        <f t="shared" si="0"/>
        <v>0</v>
      </c>
      <c r="O5" s="20">
        <f t="shared" si="0"/>
        <v>0</v>
      </c>
      <c r="P5" s="20">
        <f t="shared" si="0"/>
        <v>0</v>
      </c>
      <c r="Q5" s="20">
        <f t="shared" si="0"/>
        <v>0</v>
      </c>
      <c r="R5" s="20">
        <f t="shared" si="0"/>
        <v>0</v>
      </c>
      <c r="S5" s="10">
        <f t="shared" ref="S5:S31" si="1">SUM(C5:R5)</f>
        <v>39960.679999999993</v>
      </c>
      <c r="T5" s="1093">
        <f>C5</f>
        <v>2464.5439999999999</v>
      </c>
      <c r="U5" s="1093">
        <f>D5</f>
        <v>8339.1119999999992</v>
      </c>
      <c r="V5" s="1093">
        <f>E5</f>
        <v>393.13600000000002</v>
      </c>
      <c r="W5" s="1093">
        <f>F5</f>
        <v>1757.1840000000002</v>
      </c>
      <c r="X5" s="1093">
        <f>G5</f>
        <v>24056.520000000004</v>
      </c>
      <c r="Y5" s="1093">
        <f>SUM(H5:R5)</f>
        <v>2950.1840000000002</v>
      </c>
    </row>
    <row r="6" spans="2:25">
      <c r="B6" s="2" t="s">
        <v>88</v>
      </c>
      <c r="C6" s="20">
        <f t="shared" ref="C6:R6" si="2">C76*0.8</f>
        <v>7539.1840000000002</v>
      </c>
      <c r="D6" s="20">
        <f t="shared" si="2"/>
        <v>26093.544000000005</v>
      </c>
      <c r="E6" s="20">
        <f t="shared" si="2"/>
        <v>253.96</v>
      </c>
      <c r="F6" s="20">
        <f t="shared" si="2"/>
        <v>335.31200000000007</v>
      </c>
      <c r="G6" s="20">
        <f t="shared" si="2"/>
        <v>62139.48000000001</v>
      </c>
      <c r="H6" s="20">
        <f t="shared" si="2"/>
        <v>783.6</v>
      </c>
      <c r="I6" s="20">
        <f t="shared" si="2"/>
        <v>2569.0640000000003</v>
      </c>
      <c r="J6" s="20">
        <f t="shared" si="2"/>
        <v>0</v>
      </c>
      <c r="K6" s="20">
        <f t="shared" si="2"/>
        <v>2674.1200000000003</v>
      </c>
      <c r="L6" s="20">
        <f t="shared" si="2"/>
        <v>78.360000000000014</v>
      </c>
      <c r="M6" s="20">
        <f t="shared" si="2"/>
        <v>0</v>
      </c>
      <c r="N6" s="20">
        <f t="shared" si="2"/>
        <v>0</v>
      </c>
      <c r="O6" s="20">
        <f t="shared" si="2"/>
        <v>114.28</v>
      </c>
      <c r="P6" s="20">
        <f t="shared" si="2"/>
        <v>0</v>
      </c>
      <c r="Q6" s="20">
        <f t="shared" si="2"/>
        <v>0</v>
      </c>
      <c r="R6" s="20">
        <f t="shared" si="2"/>
        <v>0</v>
      </c>
      <c r="S6" s="10">
        <f t="shared" si="1"/>
        <v>102580.90400000001</v>
      </c>
      <c r="T6" s="1093">
        <f t="shared" ref="T6:X31" si="3">C6</f>
        <v>7539.1840000000002</v>
      </c>
      <c r="U6" s="1093">
        <f t="shared" si="3"/>
        <v>26093.544000000005</v>
      </c>
      <c r="V6" s="1093">
        <f t="shared" si="3"/>
        <v>253.96</v>
      </c>
      <c r="W6" s="1093">
        <f t="shared" si="3"/>
        <v>335.31200000000007</v>
      </c>
      <c r="X6" s="1093">
        <f t="shared" si="3"/>
        <v>62139.48000000001</v>
      </c>
      <c r="Y6" s="1093">
        <f t="shared" ref="Y6:Y31" si="4">SUM(H6:R6)</f>
        <v>6219.424</v>
      </c>
    </row>
    <row r="7" spans="2:25">
      <c r="B7" s="2" t="s">
        <v>89</v>
      </c>
      <c r="C7" s="20">
        <f t="shared" ref="C7:R7" si="5">C77*0.8</f>
        <v>2324.5520000000001</v>
      </c>
      <c r="D7" s="20">
        <f t="shared" si="5"/>
        <v>10084.023999999999</v>
      </c>
      <c r="E7" s="20">
        <f t="shared" si="5"/>
        <v>266.64800000000002</v>
      </c>
      <c r="F7" s="20">
        <f t="shared" si="5"/>
        <v>1221.912</v>
      </c>
      <c r="G7" s="20">
        <f t="shared" si="5"/>
        <v>26093.88</v>
      </c>
      <c r="H7" s="20">
        <f t="shared" si="5"/>
        <v>1332.1200000000001</v>
      </c>
      <c r="I7" s="20">
        <f t="shared" si="5"/>
        <v>710.84799999999996</v>
      </c>
      <c r="J7" s="20">
        <f t="shared" si="5"/>
        <v>0</v>
      </c>
      <c r="K7" s="20">
        <f t="shared" si="5"/>
        <v>952.07200000000012</v>
      </c>
      <c r="L7" s="20">
        <f t="shared" si="5"/>
        <v>235.08000000000004</v>
      </c>
      <c r="M7" s="20">
        <f t="shared" si="5"/>
        <v>0</v>
      </c>
      <c r="N7" s="20">
        <f t="shared" si="5"/>
        <v>0</v>
      </c>
      <c r="O7" s="20">
        <f t="shared" si="5"/>
        <v>0</v>
      </c>
      <c r="P7" s="20">
        <f t="shared" si="5"/>
        <v>0</v>
      </c>
      <c r="Q7" s="20">
        <f t="shared" si="5"/>
        <v>0</v>
      </c>
      <c r="R7" s="20">
        <f t="shared" si="5"/>
        <v>0</v>
      </c>
      <c r="S7" s="10">
        <f t="shared" si="1"/>
        <v>43221.136000000006</v>
      </c>
      <c r="T7" s="1093">
        <f t="shared" si="3"/>
        <v>2324.5520000000001</v>
      </c>
      <c r="U7" s="1093">
        <f t="shared" si="3"/>
        <v>10084.023999999999</v>
      </c>
      <c r="V7" s="1093">
        <f t="shared" si="3"/>
        <v>266.64800000000002</v>
      </c>
      <c r="W7" s="1093">
        <f t="shared" si="3"/>
        <v>1221.912</v>
      </c>
      <c r="X7" s="1093">
        <f t="shared" si="3"/>
        <v>26093.88</v>
      </c>
      <c r="Y7" s="1093">
        <f t="shared" si="4"/>
        <v>3230.12</v>
      </c>
    </row>
    <row r="8" spans="2:25">
      <c r="B8" s="2" t="s">
        <v>90</v>
      </c>
      <c r="C8" s="20">
        <f t="shared" ref="C8:R8" si="6">C78*0.8</f>
        <v>7970.0479999999998</v>
      </c>
      <c r="D8" s="20">
        <f t="shared" si="6"/>
        <v>20796.992000000006</v>
      </c>
      <c r="E8" s="20">
        <f t="shared" si="6"/>
        <v>777.15200000000004</v>
      </c>
      <c r="F8" s="20">
        <f t="shared" si="6"/>
        <v>1483.1279999999999</v>
      </c>
      <c r="G8" s="20">
        <f t="shared" si="6"/>
        <v>53990.040000000008</v>
      </c>
      <c r="H8" s="20">
        <f t="shared" si="6"/>
        <v>2272.44</v>
      </c>
      <c r="I8" s="20">
        <f t="shared" si="6"/>
        <v>1895.424</v>
      </c>
      <c r="J8" s="20">
        <f t="shared" si="6"/>
        <v>0</v>
      </c>
      <c r="K8" s="20">
        <f t="shared" si="6"/>
        <v>2246.96</v>
      </c>
      <c r="L8" s="20">
        <f t="shared" si="6"/>
        <v>313.44000000000005</v>
      </c>
      <c r="M8" s="20">
        <f t="shared" si="6"/>
        <v>0</v>
      </c>
      <c r="N8" s="20">
        <f t="shared" si="6"/>
        <v>1284.6480000000001</v>
      </c>
      <c r="O8" s="20">
        <f t="shared" si="6"/>
        <v>0</v>
      </c>
      <c r="P8" s="20">
        <f t="shared" si="6"/>
        <v>0</v>
      </c>
      <c r="Q8" s="20">
        <f t="shared" si="6"/>
        <v>0</v>
      </c>
      <c r="R8" s="20">
        <f t="shared" si="6"/>
        <v>0</v>
      </c>
      <c r="S8" s="10">
        <f t="shared" si="1"/>
        <v>93030.272000000026</v>
      </c>
      <c r="T8" s="1093">
        <f t="shared" si="3"/>
        <v>7970.0479999999998</v>
      </c>
      <c r="U8" s="1093">
        <f t="shared" si="3"/>
        <v>20796.992000000006</v>
      </c>
      <c r="V8" s="1093">
        <f t="shared" si="3"/>
        <v>777.15200000000004</v>
      </c>
      <c r="W8" s="1093">
        <f t="shared" si="3"/>
        <v>1483.1279999999999</v>
      </c>
      <c r="X8" s="1093">
        <f t="shared" si="3"/>
        <v>53990.040000000008</v>
      </c>
      <c r="Y8" s="1093">
        <f t="shared" si="4"/>
        <v>8012.9119999999994</v>
      </c>
    </row>
    <row r="9" spans="2:25">
      <c r="B9" s="2" t="s">
        <v>91</v>
      </c>
      <c r="C9" s="20">
        <f t="shared" ref="C9:R9" si="7">C79*0.8</f>
        <v>24346.512000000002</v>
      </c>
      <c r="D9" s="20">
        <f t="shared" si="7"/>
        <v>52198.776000000005</v>
      </c>
      <c r="E9" s="20">
        <f t="shared" si="7"/>
        <v>1820.9360000000001</v>
      </c>
      <c r="F9" s="20">
        <f t="shared" si="7"/>
        <v>4229.9040000000005</v>
      </c>
      <c r="G9" s="20">
        <f t="shared" si="7"/>
        <v>151783.32</v>
      </c>
      <c r="H9" s="20">
        <f t="shared" si="7"/>
        <v>4388.16</v>
      </c>
      <c r="I9" s="20">
        <f t="shared" si="7"/>
        <v>4651.0640000000012</v>
      </c>
      <c r="J9" s="20">
        <f t="shared" si="7"/>
        <v>0</v>
      </c>
      <c r="K9" s="20">
        <f t="shared" si="7"/>
        <v>5769.48</v>
      </c>
      <c r="L9" s="20">
        <f t="shared" si="7"/>
        <v>78.360000000000014</v>
      </c>
      <c r="M9" s="20">
        <f t="shared" si="7"/>
        <v>0</v>
      </c>
      <c r="N9" s="20">
        <f t="shared" si="7"/>
        <v>0</v>
      </c>
      <c r="O9" s="20">
        <f t="shared" si="7"/>
        <v>114.28</v>
      </c>
      <c r="P9" s="20">
        <f t="shared" si="7"/>
        <v>0</v>
      </c>
      <c r="Q9" s="20">
        <f t="shared" si="7"/>
        <v>0</v>
      </c>
      <c r="R9" s="20">
        <f t="shared" si="7"/>
        <v>0</v>
      </c>
      <c r="S9" s="10">
        <f t="shared" si="1"/>
        <v>249380.79200000002</v>
      </c>
      <c r="T9" s="1093">
        <f t="shared" si="3"/>
        <v>24346.512000000002</v>
      </c>
      <c r="U9" s="1093">
        <f t="shared" si="3"/>
        <v>52198.776000000005</v>
      </c>
      <c r="V9" s="1093">
        <f t="shared" si="3"/>
        <v>1820.9360000000001</v>
      </c>
      <c r="W9" s="1093">
        <f t="shared" si="3"/>
        <v>4229.9040000000005</v>
      </c>
      <c r="X9" s="1093">
        <f t="shared" si="3"/>
        <v>151783.32</v>
      </c>
      <c r="Y9" s="1093">
        <f t="shared" si="4"/>
        <v>15001.344000000003</v>
      </c>
    </row>
    <row r="10" spans="2:25">
      <c r="B10" s="2" t="s">
        <v>92</v>
      </c>
      <c r="C10" s="20">
        <f t="shared" ref="C10:R10" si="8">C80*0.8</f>
        <v>15217.560000000001</v>
      </c>
      <c r="D10" s="20">
        <f t="shared" si="8"/>
        <v>36124.248</v>
      </c>
      <c r="E10" s="20">
        <f t="shared" si="8"/>
        <v>819</v>
      </c>
      <c r="F10" s="20">
        <f t="shared" si="8"/>
        <v>959.5200000000001</v>
      </c>
      <c r="G10" s="20">
        <f t="shared" si="8"/>
        <v>106334.52</v>
      </c>
      <c r="H10" s="20">
        <f t="shared" si="8"/>
        <v>2977.6800000000003</v>
      </c>
      <c r="I10" s="20">
        <f t="shared" si="8"/>
        <v>2776.7360000000008</v>
      </c>
      <c r="J10" s="20">
        <f t="shared" si="8"/>
        <v>235.08000000000004</v>
      </c>
      <c r="K10" s="20">
        <f t="shared" si="8"/>
        <v>3535.3920000000007</v>
      </c>
      <c r="L10" s="20">
        <f t="shared" si="8"/>
        <v>391.8</v>
      </c>
      <c r="M10" s="20">
        <f t="shared" si="8"/>
        <v>0</v>
      </c>
      <c r="N10" s="20">
        <f t="shared" si="8"/>
        <v>0</v>
      </c>
      <c r="O10" s="20">
        <f t="shared" si="8"/>
        <v>68.567999999999998</v>
      </c>
      <c r="P10" s="20">
        <f t="shared" si="8"/>
        <v>0</v>
      </c>
      <c r="Q10" s="20">
        <f t="shared" si="8"/>
        <v>0</v>
      </c>
      <c r="R10" s="20">
        <f t="shared" si="8"/>
        <v>0</v>
      </c>
      <c r="S10" s="10">
        <f t="shared" si="1"/>
        <v>169440.10399999996</v>
      </c>
      <c r="T10" s="1093">
        <f t="shared" si="3"/>
        <v>15217.560000000001</v>
      </c>
      <c r="U10" s="1093">
        <f t="shared" si="3"/>
        <v>36124.248</v>
      </c>
      <c r="V10" s="1093">
        <f t="shared" si="3"/>
        <v>819</v>
      </c>
      <c r="W10" s="1093">
        <f t="shared" si="3"/>
        <v>959.5200000000001</v>
      </c>
      <c r="X10" s="1093">
        <f t="shared" si="3"/>
        <v>106334.52</v>
      </c>
      <c r="Y10" s="1093">
        <f t="shared" si="4"/>
        <v>9985.2560000000012</v>
      </c>
    </row>
    <row r="11" spans="2:25">
      <c r="B11" s="2" t="s">
        <v>93</v>
      </c>
      <c r="C11" s="20">
        <f t="shared" ref="C11:R11" si="9">C81*0.8</f>
        <v>21576.407999999999</v>
      </c>
      <c r="D11" s="20">
        <f t="shared" si="9"/>
        <v>70347.160000000018</v>
      </c>
      <c r="E11" s="20">
        <f t="shared" si="9"/>
        <v>4108.4480000000003</v>
      </c>
      <c r="F11" s="20">
        <f t="shared" si="9"/>
        <v>962.1519999999997</v>
      </c>
      <c r="G11" s="20">
        <f t="shared" si="9"/>
        <v>131174.63999999998</v>
      </c>
      <c r="H11" s="20">
        <f t="shared" si="9"/>
        <v>5015.0400000000009</v>
      </c>
      <c r="I11" s="20">
        <f t="shared" si="9"/>
        <v>7825.24</v>
      </c>
      <c r="J11" s="20">
        <f t="shared" si="9"/>
        <v>0</v>
      </c>
      <c r="K11" s="20">
        <f t="shared" si="9"/>
        <v>7408.2560000000003</v>
      </c>
      <c r="L11" s="20">
        <f t="shared" si="9"/>
        <v>313.44000000000005</v>
      </c>
      <c r="M11" s="20">
        <f t="shared" si="9"/>
        <v>0</v>
      </c>
      <c r="N11" s="20">
        <f t="shared" si="9"/>
        <v>0</v>
      </c>
      <c r="O11" s="20">
        <f t="shared" si="9"/>
        <v>68.567999999999998</v>
      </c>
      <c r="P11" s="20">
        <f t="shared" si="9"/>
        <v>0</v>
      </c>
      <c r="Q11" s="20">
        <f t="shared" si="9"/>
        <v>0</v>
      </c>
      <c r="R11" s="20">
        <f t="shared" si="9"/>
        <v>0</v>
      </c>
      <c r="S11" s="10">
        <f t="shared" si="1"/>
        <v>248799.35200000001</v>
      </c>
      <c r="T11" s="1093">
        <f t="shared" si="3"/>
        <v>21576.407999999999</v>
      </c>
      <c r="U11" s="1093">
        <f t="shared" si="3"/>
        <v>70347.160000000018</v>
      </c>
      <c r="V11" s="1093">
        <f t="shared" si="3"/>
        <v>4108.4480000000003</v>
      </c>
      <c r="W11" s="1093">
        <f t="shared" si="3"/>
        <v>962.1519999999997</v>
      </c>
      <c r="X11" s="1093">
        <f t="shared" si="3"/>
        <v>131174.63999999998</v>
      </c>
      <c r="Y11" s="1093">
        <f t="shared" si="4"/>
        <v>20630.543999999998</v>
      </c>
    </row>
    <row r="12" spans="2:25">
      <c r="B12" s="2" t="s">
        <v>94</v>
      </c>
      <c r="C12" s="20">
        <f t="shared" ref="C12:R12" si="10">C82*0.8</f>
        <v>13485.400000000001</v>
      </c>
      <c r="D12" s="20">
        <f t="shared" si="10"/>
        <v>21131.112000000001</v>
      </c>
      <c r="E12" s="20">
        <f t="shared" si="10"/>
        <v>2081.4639999999999</v>
      </c>
      <c r="F12" s="20">
        <f t="shared" si="10"/>
        <v>3201.9840000000004</v>
      </c>
      <c r="G12" s="20">
        <f t="shared" si="10"/>
        <v>122711.76000000001</v>
      </c>
      <c r="H12" s="20">
        <f t="shared" si="10"/>
        <v>2742.6000000000004</v>
      </c>
      <c r="I12" s="20">
        <f t="shared" si="10"/>
        <v>3156.6800000000003</v>
      </c>
      <c r="J12" s="20">
        <f t="shared" si="10"/>
        <v>506.89600000000002</v>
      </c>
      <c r="K12" s="20">
        <f t="shared" si="10"/>
        <v>1671.0880000000002</v>
      </c>
      <c r="L12" s="20">
        <f t="shared" si="10"/>
        <v>783.6</v>
      </c>
      <c r="M12" s="20">
        <f t="shared" si="10"/>
        <v>0</v>
      </c>
      <c r="N12" s="20">
        <f t="shared" si="10"/>
        <v>0</v>
      </c>
      <c r="O12" s="20">
        <f t="shared" si="10"/>
        <v>22.856000000000002</v>
      </c>
      <c r="P12" s="20">
        <f t="shared" si="10"/>
        <v>0</v>
      </c>
      <c r="Q12" s="20">
        <f t="shared" si="10"/>
        <v>0</v>
      </c>
      <c r="R12" s="20">
        <f t="shared" si="10"/>
        <v>0</v>
      </c>
      <c r="S12" s="10">
        <f t="shared" si="1"/>
        <v>171495.44000000003</v>
      </c>
      <c r="T12" s="1093">
        <f t="shared" si="3"/>
        <v>13485.400000000001</v>
      </c>
      <c r="U12" s="1093">
        <f t="shared" si="3"/>
        <v>21131.112000000001</v>
      </c>
      <c r="V12" s="1093">
        <f t="shared" si="3"/>
        <v>2081.4639999999999</v>
      </c>
      <c r="W12" s="1093">
        <f t="shared" si="3"/>
        <v>3201.9840000000004</v>
      </c>
      <c r="X12" s="1093">
        <f t="shared" si="3"/>
        <v>122711.76000000001</v>
      </c>
      <c r="Y12" s="1093">
        <f t="shared" si="4"/>
        <v>8883.7200000000012</v>
      </c>
    </row>
    <row r="13" spans="2:25">
      <c r="B13" s="2" t="s">
        <v>95</v>
      </c>
      <c r="C13" s="20">
        <f t="shared" ref="C13:R13" si="11">C83*0.8</f>
        <v>19614.752</v>
      </c>
      <c r="D13" s="20">
        <f t="shared" si="11"/>
        <v>53344.655999999995</v>
      </c>
      <c r="E13" s="20">
        <f t="shared" si="11"/>
        <v>3356.056</v>
      </c>
      <c r="F13" s="20">
        <f t="shared" si="11"/>
        <v>1828.2560000000005</v>
      </c>
      <c r="G13" s="20">
        <f t="shared" si="11"/>
        <v>238527.84</v>
      </c>
      <c r="H13" s="20">
        <f t="shared" si="11"/>
        <v>4544.88</v>
      </c>
      <c r="I13" s="20">
        <f t="shared" si="11"/>
        <v>7323.9120000000012</v>
      </c>
      <c r="J13" s="20">
        <f t="shared" si="11"/>
        <v>1286.96</v>
      </c>
      <c r="K13" s="20">
        <f t="shared" si="11"/>
        <v>5490.72</v>
      </c>
      <c r="L13" s="20">
        <f t="shared" si="11"/>
        <v>313.44000000000005</v>
      </c>
      <c r="M13" s="20">
        <f t="shared" si="11"/>
        <v>0</v>
      </c>
      <c r="N13" s="20">
        <f t="shared" si="11"/>
        <v>0</v>
      </c>
      <c r="O13" s="20">
        <f t="shared" si="11"/>
        <v>91.424000000000007</v>
      </c>
      <c r="P13" s="20">
        <f t="shared" si="11"/>
        <v>0</v>
      </c>
      <c r="Q13" s="20">
        <f t="shared" si="11"/>
        <v>0</v>
      </c>
      <c r="R13" s="20">
        <f t="shared" si="11"/>
        <v>0</v>
      </c>
      <c r="S13" s="10">
        <f t="shared" si="1"/>
        <v>335722.89600000001</v>
      </c>
      <c r="T13" s="1093">
        <f t="shared" si="3"/>
        <v>19614.752</v>
      </c>
      <c r="U13" s="1093">
        <f t="shared" si="3"/>
        <v>53344.655999999995</v>
      </c>
      <c r="V13" s="1093">
        <f t="shared" si="3"/>
        <v>3356.056</v>
      </c>
      <c r="W13" s="1093">
        <f t="shared" si="3"/>
        <v>1828.2560000000005</v>
      </c>
      <c r="X13" s="1093">
        <f t="shared" si="3"/>
        <v>238527.84</v>
      </c>
      <c r="Y13" s="1093">
        <f t="shared" si="4"/>
        <v>19051.335999999999</v>
      </c>
    </row>
    <row r="14" spans="2:25">
      <c r="B14" s="2" t="s">
        <v>96</v>
      </c>
      <c r="C14" s="20">
        <f t="shared" ref="C14:R14" si="12">C84*0.8</f>
        <v>5853.2720000000008</v>
      </c>
      <c r="D14" s="20">
        <f t="shared" si="12"/>
        <v>21160.487999999998</v>
      </c>
      <c r="E14" s="20">
        <f t="shared" si="12"/>
        <v>982.84799999999996</v>
      </c>
      <c r="F14" s="20">
        <f t="shared" si="12"/>
        <v>665.52799999999991</v>
      </c>
      <c r="G14" s="20">
        <f t="shared" si="12"/>
        <v>46624.200000000004</v>
      </c>
      <c r="H14" s="20">
        <f t="shared" si="12"/>
        <v>1723.92</v>
      </c>
      <c r="I14" s="20">
        <f t="shared" si="12"/>
        <v>2185.5280000000002</v>
      </c>
      <c r="J14" s="20">
        <f t="shared" si="12"/>
        <v>0</v>
      </c>
      <c r="K14" s="20">
        <f t="shared" si="12"/>
        <v>1695.7920000000004</v>
      </c>
      <c r="L14" s="20">
        <f t="shared" si="12"/>
        <v>626.88000000000011</v>
      </c>
      <c r="M14" s="20">
        <f t="shared" si="12"/>
        <v>0</v>
      </c>
      <c r="N14" s="20">
        <f t="shared" si="12"/>
        <v>0</v>
      </c>
      <c r="O14" s="20">
        <f t="shared" si="12"/>
        <v>0</v>
      </c>
      <c r="P14" s="20">
        <f t="shared" si="12"/>
        <v>0</v>
      </c>
      <c r="Q14" s="20">
        <f t="shared" si="12"/>
        <v>0</v>
      </c>
      <c r="R14" s="20">
        <f t="shared" si="12"/>
        <v>0</v>
      </c>
      <c r="S14" s="10">
        <f t="shared" si="1"/>
        <v>81518.45600000002</v>
      </c>
      <c r="T14" s="1093">
        <f t="shared" si="3"/>
        <v>5853.2720000000008</v>
      </c>
      <c r="U14" s="1093">
        <f t="shared" si="3"/>
        <v>21160.487999999998</v>
      </c>
      <c r="V14" s="1093">
        <f t="shared" si="3"/>
        <v>982.84799999999996</v>
      </c>
      <c r="W14" s="1093">
        <f t="shared" si="3"/>
        <v>665.52799999999991</v>
      </c>
      <c r="X14" s="1093">
        <f t="shared" si="3"/>
        <v>46624.200000000004</v>
      </c>
      <c r="Y14" s="1093">
        <f t="shared" si="4"/>
        <v>6232.1200000000008</v>
      </c>
    </row>
    <row r="15" spans="2:25">
      <c r="B15" s="2" t="s">
        <v>97</v>
      </c>
      <c r="C15" s="20">
        <f t="shared" ref="C15:R15" si="13">C85*0.8</f>
        <v>13640.351999999999</v>
      </c>
      <c r="D15" s="20">
        <f t="shared" si="13"/>
        <v>26457.016000000003</v>
      </c>
      <c r="E15" s="20">
        <f t="shared" si="13"/>
        <v>1691.3680000000002</v>
      </c>
      <c r="F15" s="20">
        <f t="shared" si="13"/>
        <v>3649.1600000000008</v>
      </c>
      <c r="G15" s="20">
        <f t="shared" si="13"/>
        <v>223404.36000000002</v>
      </c>
      <c r="H15" s="20">
        <f t="shared" si="13"/>
        <v>2507.5200000000004</v>
      </c>
      <c r="I15" s="20">
        <f t="shared" si="13"/>
        <v>3327.0719999999997</v>
      </c>
      <c r="J15" s="20">
        <f t="shared" si="13"/>
        <v>478.46400000000006</v>
      </c>
      <c r="K15" s="20">
        <f t="shared" si="13"/>
        <v>2416.1840000000002</v>
      </c>
      <c r="L15" s="20">
        <f t="shared" si="13"/>
        <v>861.96</v>
      </c>
      <c r="M15" s="20">
        <f t="shared" si="13"/>
        <v>0</v>
      </c>
      <c r="N15" s="20">
        <f t="shared" si="13"/>
        <v>0</v>
      </c>
      <c r="O15" s="20">
        <f t="shared" si="13"/>
        <v>22.856000000000002</v>
      </c>
      <c r="P15" s="20">
        <f t="shared" si="13"/>
        <v>0</v>
      </c>
      <c r="Q15" s="20">
        <f t="shared" si="13"/>
        <v>0</v>
      </c>
      <c r="R15" s="20">
        <f t="shared" si="13"/>
        <v>0</v>
      </c>
      <c r="S15" s="10">
        <f t="shared" si="1"/>
        <v>278456.31200000009</v>
      </c>
      <c r="T15" s="1093">
        <f t="shared" si="3"/>
        <v>13640.351999999999</v>
      </c>
      <c r="U15" s="1093">
        <f t="shared" si="3"/>
        <v>26457.016000000003</v>
      </c>
      <c r="V15" s="1093">
        <f t="shared" si="3"/>
        <v>1691.3680000000002</v>
      </c>
      <c r="W15" s="1093">
        <f t="shared" si="3"/>
        <v>3649.1600000000008</v>
      </c>
      <c r="X15" s="1093">
        <f t="shared" si="3"/>
        <v>223404.36000000002</v>
      </c>
      <c r="Y15" s="1093">
        <f t="shared" si="4"/>
        <v>9614.0560000000005</v>
      </c>
    </row>
    <row r="16" spans="2:25">
      <c r="B16" s="2" t="s">
        <v>98</v>
      </c>
      <c r="C16" s="20">
        <f t="shared" ref="C16:R16" si="14">C86*0.8</f>
        <v>12267.744000000001</v>
      </c>
      <c r="D16" s="20">
        <f t="shared" si="14"/>
        <v>30709.320000000003</v>
      </c>
      <c r="E16" s="20">
        <f t="shared" si="14"/>
        <v>3100.8720000000003</v>
      </c>
      <c r="F16" s="20">
        <f t="shared" si="14"/>
        <v>3216.5520000000006</v>
      </c>
      <c r="G16" s="20">
        <f t="shared" si="14"/>
        <v>152802</v>
      </c>
      <c r="H16" s="20">
        <f t="shared" si="14"/>
        <v>3447.84</v>
      </c>
      <c r="I16" s="20">
        <f t="shared" si="14"/>
        <v>4955.7360000000008</v>
      </c>
      <c r="J16" s="20">
        <f t="shared" si="14"/>
        <v>0</v>
      </c>
      <c r="K16" s="20">
        <f t="shared" si="14"/>
        <v>3408.8720000000003</v>
      </c>
      <c r="L16" s="20">
        <f t="shared" si="14"/>
        <v>391.8</v>
      </c>
      <c r="M16" s="20">
        <f t="shared" si="14"/>
        <v>0</v>
      </c>
      <c r="N16" s="20">
        <f t="shared" si="14"/>
        <v>622.32000000000005</v>
      </c>
      <c r="O16" s="20">
        <f t="shared" si="14"/>
        <v>137.136</v>
      </c>
      <c r="P16" s="20">
        <f t="shared" si="14"/>
        <v>0</v>
      </c>
      <c r="Q16" s="20">
        <f t="shared" si="14"/>
        <v>43.016000000000005</v>
      </c>
      <c r="R16" s="20">
        <f t="shared" si="14"/>
        <v>0</v>
      </c>
      <c r="S16" s="10">
        <f t="shared" si="1"/>
        <v>215103.20800000001</v>
      </c>
      <c r="T16" s="1093">
        <f t="shared" si="3"/>
        <v>12267.744000000001</v>
      </c>
      <c r="U16" s="1093">
        <f t="shared" si="3"/>
        <v>30709.320000000003</v>
      </c>
      <c r="V16" s="1093">
        <f t="shared" si="3"/>
        <v>3100.8720000000003</v>
      </c>
      <c r="W16" s="1093">
        <f t="shared" si="3"/>
        <v>3216.5520000000006</v>
      </c>
      <c r="X16" s="1093">
        <f t="shared" si="3"/>
        <v>152802</v>
      </c>
      <c r="Y16" s="1093">
        <f t="shared" si="4"/>
        <v>13006.72</v>
      </c>
    </row>
    <row r="17" spans="2:25">
      <c r="B17" s="2" t="s">
        <v>99</v>
      </c>
      <c r="C17" s="20">
        <f t="shared" ref="C17:R17" si="15">C87*0.8</f>
        <v>72964.688000000009</v>
      </c>
      <c r="D17" s="20">
        <f t="shared" si="15"/>
        <v>166212.41600000003</v>
      </c>
      <c r="E17" s="20">
        <f t="shared" si="15"/>
        <v>5351.4480000000003</v>
      </c>
      <c r="F17" s="20">
        <f t="shared" si="15"/>
        <v>14109.143999999998</v>
      </c>
      <c r="G17" s="20">
        <f t="shared" si="15"/>
        <v>386784.96</v>
      </c>
      <c r="H17" s="20">
        <f t="shared" si="15"/>
        <v>10186.800000000001</v>
      </c>
      <c r="I17" s="20">
        <f t="shared" si="15"/>
        <v>20099.144</v>
      </c>
      <c r="J17" s="20">
        <f t="shared" si="15"/>
        <v>0</v>
      </c>
      <c r="K17" s="20">
        <f t="shared" si="15"/>
        <v>15118.192000000003</v>
      </c>
      <c r="L17" s="20">
        <f t="shared" si="15"/>
        <v>2664.2400000000002</v>
      </c>
      <c r="M17" s="20">
        <f t="shared" si="15"/>
        <v>313.44000000000005</v>
      </c>
      <c r="N17" s="20">
        <f t="shared" si="15"/>
        <v>0</v>
      </c>
      <c r="O17" s="20">
        <f t="shared" si="15"/>
        <v>228.56</v>
      </c>
      <c r="P17" s="20">
        <f t="shared" si="15"/>
        <v>0</v>
      </c>
      <c r="Q17" s="20">
        <f t="shared" si="15"/>
        <v>0</v>
      </c>
      <c r="R17" s="20">
        <f t="shared" si="15"/>
        <v>0</v>
      </c>
      <c r="S17" s="10">
        <f t="shared" si="1"/>
        <v>694033.03200000012</v>
      </c>
      <c r="T17" s="1093">
        <f t="shared" si="3"/>
        <v>72964.688000000009</v>
      </c>
      <c r="U17" s="1093">
        <f t="shared" si="3"/>
        <v>166212.41600000003</v>
      </c>
      <c r="V17" s="1093">
        <f t="shared" si="3"/>
        <v>5351.4480000000003</v>
      </c>
      <c r="W17" s="1093">
        <f t="shared" si="3"/>
        <v>14109.143999999998</v>
      </c>
      <c r="X17" s="1093">
        <f t="shared" si="3"/>
        <v>386784.96</v>
      </c>
      <c r="Y17" s="1093">
        <f t="shared" si="4"/>
        <v>48610.376000000004</v>
      </c>
    </row>
    <row r="18" spans="2:25">
      <c r="B18" s="2" t="s">
        <v>100</v>
      </c>
      <c r="C18" s="20">
        <f t="shared" ref="C18:R18" si="16">C88*0.8</f>
        <v>13065.072</v>
      </c>
      <c r="D18" s="20">
        <f t="shared" si="16"/>
        <v>44025.704000000005</v>
      </c>
      <c r="E18" s="20">
        <f t="shared" si="16"/>
        <v>1086.4480000000001</v>
      </c>
      <c r="F18" s="20">
        <f t="shared" si="16"/>
        <v>502.69600000000014</v>
      </c>
      <c r="G18" s="20">
        <f t="shared" si="16"/>
        <v>74755.44</v>
      </c>
      <c r="H18" s="20">
        <f t="shared" si="16"/>
        <v>2585.88</v>
      </c>
      <c r="I18" s="20">
        <f t="shared" si="16"/>
        <v>5570.6960000000008</v>
      </c>
      <c r="J18" s="20">
        <f t="shared" si="16"/>
        <v>0</v>
      </c>
      <c r="K18" s="20">
        <f t="shared" si="16"/>
        <v>3649.8320000000003</v>
      </c>
      <c r="L18" s="20">
        <f t="shared" si="16"/>
        <v>78.360000000000014</v>
      </c>
      <c r="M18" s="20">
        <f t="shared" si="16"/>
        <v>0</v>
      </c>
      <c r="N18" s="20">
        <f t="shared" si="16"/>
        <v>0</v>
      </c>
      <c r="O18" s="20">
        <f t="shared" si="16"/>
        <v>68.567999999999998</v>
      </c>
      <c r="P18" s="20">
        <f t="shared" si="16"/>
        <v>0</v>
      </c>
      <c r="Q18" s="20">
        <f t="shared" si="16"/>
        <v>0</v>
      </c>
      <c r="R18" s="20">
        <f t="shared" si="16"/>
        <v>0</v>
      </c>
      <c r="S18" s="10">
        <f t="shared" si="1"/>
        <v>145388.696</v>
      </c>
      <c r="T18" s="1093">
        <f t="shared" si="3"/>
        <v>13065.072</v>
      </c>
      <c r="U18" s="1093">
        <f t="shared" si="3"/>
        <v>44025.704000000005</v>
      </c>
      <c r="V18" s="1093">
        <f t="shared" si="3"/>
        <v>1086.4480000000001</v>
      </c>
      <c r="W18" s="1093">
        <f t="shared" si="3"/>
        <v>502.69600000000014</v>
      </c>
      <c r="X18" s="1093">
        <f t="shared" si="3"/>
        <v>74755.44</v>
      </c>
      <c r="Y18" s="1093">
        <f t="shared" si="4"/>
        <v>11953.336000000001</v>
      </c>
    </row>
    <row r="19" spans="2:25">
      <c r="B19" s="2" t="s">
        <v>101</v>
      </c>
      <c r="C19" s="20">
        <f t="shared" ref="C19:R19" si="17">C89*0.8</f>
        <v>9966.264000000001</v>
      </c>
      <c r="D19" s="20">
        <f t="shared" si="17"/>
        <v>39640.207999999999</v>
      </c>
      <c r="E19" s="20">
        <f t="shared" si="17"/>
        <v>914.24800000000005</v>
      </c>
      <c r="F19" s="20">
        <f t="shared" si="17"/>
        <v>3298.7360000000003</v>
      </c>
      <c r="G19" s="20">
        <f t="shared" si="17"/>
        <v>84785.52</v>
      </c>
      <c r="H19" s="20">
        <f t="shared" si="17"/>
        <v>2350.8000000000002</v>
      </c>
      <c r="I19" s="20">
        <f t="shared" si="17"/>
        <v>4568.0720000000001</v>
      </c>
      <c r="J19" s="20">
        <f t="shared" si="17"/>
        <v>227.42399999999998</v>
      </c>
      <c r="K19" s="20">
        <f t="shared" si="17"/>
        <v>3951.3119999999999</v>
      </c>
      <c r="L19" s="20">
        <f t="shared" si="17"/>
        <v>313.44000000000005</v>
      </c>
      <c r="M19" s="20">
        <f t="shared" si="17"/>
        <v>0</v>
      </c>
      <c r="N19" s="20">
        <f t="shared" si="17"/>
        <v>0</v>
      </c>
      <c r="O19" s="20">
        <f t="shared" si="17"/>
        <v>91.424000000000007</v>
      </c>
      <c r="P19" s="20">
        <f t="shared" si="17"/>
        <v>0</v>
      </c>
      <c r="Q19" s="20">
        <f t="shared" si="17"/>
        <v>0</v>
      </c>
      <c r="R19" s="20">
        <f t="shared" si="17"/>
        <v>458.65600000000006</v>
      </c>
      <c r="S19" s="10">
        <f t="shared" si="1"/>
        <v>150566.10399999999</v>
      </c>
      <c r="T19" s="1093">
        <f t="shared" si="3"/>
        <v>9966.264000000001</v>
      </c>
      <c r="U19" s="1093">
        <f t="shared" si="3"/>
        <v>39640.207999999999</v>
      </c>
      <c r="V19" s="1093">
        <f t="shared" si="3"/>
        <v>914.24800000000005</v>
      </c>
      <c r="W19" s="1093">
        <f t="shared" si="3"/>
        <v>3298.7360000000003</v>
      </c>
      <c r="X19" s="1093">
        <f t="shared" si="3"/>
        <v>84785.52</v>
      </c>
      <c r="Y19" s="1093">
        <f t="shared" si="4"/>
        <v>11961.128000000002</v>
      </c>
    </row>
    <row r="20" spans="2:25">
      <c r="B20" s="2" t="s">
        <v>102</v>
      </c>
      <c r="C20" s="20">
        <f t="shared" ref="C20:R20" si="18">C90*0.8</f>
        <v>52082.144</v>
      </c>
      <c r="D20" s="20">
        <f t="shared" si="18"/>
        <v>107887.91200000001</v>
      </c>
      <c r="E20" s="20">
        <f t="shared" si="18"/>
        <v>9027.848</v>
      </c>
      <c r="F20" s="20">
        <f t="shared" si="18"/>
        <v>17819.439999999999</v>
      </c>
      <c r="G20" s="20">
        <f t="shared" si="18"/>
        <v>583703.64</v>
      </c>
      <c r="H20" s="20">
        <f t="shared" si="18"/>
        <v>9951.7200000000012</v>
      </c>
      <c r="I20" s="20">
        <f t="shared" si="18"/>
        <v>11694.584000000003</v>
      </c>
      <c r="J20" s="20">
        <f t="shared" si="18"/>
        <v>702.80799999999999</v>
      </c>
      <c r="K20" s="20">
        <f t="shared" si="18"/>
        <v>12598.776</v>
      </c>
      <c r="L20" s="20">
        <f t="shared" si="18"/>
        <v>2429.16</v>
      </c>
      <c r="M20" s="20">
        <f t="shared" si="18"/>
        <v>313.44000000000005</v>
      </c>
      <c r="N20" s="20">
        <f t="shared" si="18"/>
        <v>0</v>
      </c>
      <c r="O20" s="20">
        <f t="shared" si="18"/>
        <v>205.70400000000001</v>
      </c>
      <c r="P20" s="20">
        <f t="shared" si="18"/>
        <v>0</v>
      </c>
      <c r="Q20" s="20">
        <f t="shared" si="18"/>
        <v>0</v>
      </c>
      <c r="R20" s="20">
        <f t="shared" si="18"/>
        <v>0</v>
      </c>
      <c r="S20" s="10">
        <f t="shared" si="1"/>
        <v>808417.17599999998</v>
      </c>
      <c r="T20" s="1093">
        <f t="shared" si="3"/>
        <v>52082.144</v>
      </c>
      <c r="U20" s="1093">
        <f t="shared" si="3"/>
        <v>107887.91200000001</v>
      </c>
      <c r="V20" s="1093">
        <f t="shared" si="3"/>
        <v>9027.848</v>
      </c>
      <c r="W20" s="1093">
        <f t="shared" si="3"/>
        <v>17819.439999999999</v>
      </c>
      <c r="X20" s="1093">
        <f t="shared" si="3"/>
        <v>583703.64</v>
      </c>
      <c r="Y20" s="1093">
        <f t="shared" si="4"/>
        <v>37896.19200000001</v>
      </c>
    </row>
    <row r="21" spans="2:25">
      <c r="B21" s="2" t="s">
        <v>103</v>
      </c>
      <c r="C21" s="20">
        <f t="shared" ref="C21:R21" si="19">C91*0.8</f>
        <v>25052.712</v>
      </c>
      <c r="D21" s="20">
        <f t="shared" si="19"/>
        <v>59329.031999999999</v>
      </c>
      <c r="E21" s="20">
        <f t="shared" si="19"/>
        <v>1234.232</v>
      </c>
      <c r="F21" s="20">
        <f t="shared" si="19"/>
        <v>5136.344000000001</v>
      </c>
      <c r="G21" s="20">
        <f t="shared" si="19"/>
        <v>136346.4</v>
      </c>
      <c r="H21" s="20">
        <f t="shared" si="19"/>
        <v>6895.68</v>
      </c>
      <c r="I21" s="20">
        <f t="shared" si="19"/>
        <v>4209.4720000000007</v>
      </c>
      <c r="J21" s="20">
        <f t="shared" si="19"/>
        <v>470.16000000000008</v>
      </c>
      <c r="K21" s="20">
        <f t="shared" si="19"/>
        <v>6486.496000000001</v>
      </c>
      <c r="L21" s="20">
        <f t="shared" si="19"/>
        <v>78.360000000000014</v>
      </c>
      <c r="M21" s="20">
        <f t="shared" si="19"/>
        <v>0</v>
      </c>
      <c r="N21" s="20">
        <f t="shared" si="19"/>
        <v>0</v>
      </c>
      <c r="O21" s="20">
        <f t="shared" si="19"/>
        <v>114.28</v>
      </c>
      <c r="P21" s="20">
        <f t="shared" si="19"/>
        <v>0</v>
      </c>
      <c r="Q21" s="20">
        <f t="shared" si="19"/>
        <v>0</v>
      </c>
      <c r="R21" s="20">
        <f t="shared" si="19"/>
        <v>0</v>
      </c>
      <c r="S21" s="10">
        <f t="shared" si="1"/>
        <v>245353.16800000001</v>
      </c>
      <c r="T21" s="1093">
        <f t="shared" si="3"/>
        <v>25052.712</v>
      </c>
      <c r="U21" s="1093">
        <f t="shared" si="3"/>
        <v>59329.031999999999</v>
      </c>
      <c r="V21" s="1093">
        <f t="shared" si="3"/>
        <v>1234.232</v>
      </c>
      <c r="W21" s="1093">
        <f t="shared" si="3"/>
        <v>5136.344000000001</v>
      </c>
      <c r="X21" s="1093">
        <f t="shared" si="3"/>
        <v>136346.4</v>
      </c>
      <c r="Y21" s="1093">
        <f t="shared" si="4"/>
        <v>18254.448000000004</v>
      </c>
    </row>
    <row r="22" spans="2:25">
      <c r="B22" s="2" t="s">
        <v>104</v>
      </c>
      <c r="C22" s="20">
        <f t="shared" ref="C22:R22" si="20">C92*0.8</f>
        <v>6063.2640000000001</v>
      </c>
      <c r="D22" s="20">
        <f t="shared" si="20"/>
        <v>11390.368000000002</v>
      </c>
      <c r="E22" s="20">
        <f t="shared" si="20"/>
        <v>1425.48</v>
      </c>
      <c r="F22" s="20">
        <f t="shared" si="20"/>
        <v>685.88800000000015</v>
      </c>
      <c r="G22" s="20">
        <f t="shared" si="20"/>
        <v>44508.480000000003</v>
      </c>
      <c r="H22" s="20">
        <f t="shared" si="20"/>
        <v>1645.56</v>
      </c>
      <c r="I22" s="20">
        <f t="shared" si="20"/>
        <v>1407.136</v>
      </c>
      <c r="J22" s="20">
        <f t="shared" si="20"/>
        <v>0</v>
      </c>
      <c r="K22" s="20">
        <f t="shared" si="20"/>
        <v>1294.088</v>
      </c>
      <c r="L22" s="20">
        <f t="shared" si="20"/>
        <v>0</v>
      </c>
      <c r="M22" s="20">
        <f t="shared" si="20"/>
        <v>0</v>
      </c>
      <c r="N22" s="20">
        <f t="shared" si="20"/>
        <v>0</v>
      </c>
      <c r="O22" s="20">
        <f t="shared" si="20"/>
        <v>22.856000000000002</v>
      </c>
      <c r="P22" s="20">
        <f t="shared" si="20"/>
        <v>0</v>
      </c>
      <c r="Q22" s="20">
        <f t="shared" si="20"/>
        <v>0</v>
      </c>
      <c r="R22" s="20">
        <f t="shared" si="20"/>
        <v>0</v>
      </c>
      <c r="S22" s="10">
        <f t="shared" si="1"/>
        <v>68443.12000000001</v>
      </c>
      <c r="T22" s="1093">
        <f t="shared" si="3"/>
        <v>6063.2640000000001</v>
      </c>
      <c r="U22" s="1093">
        <f t="shared" si="3"/>
        <v>11390.368000000002</v>
      </c>
      <c r="V22" s="1093">
        <f t="shared" si="3"/>
        <v>1425.48</v>
      </c>
      <c r="W22" s="1093">
        <f t="shared" si="3"/>
        <v>685.88800000000015</v>
      </c>
      <c r="X22" s="1093">
        <f t="shared" si="3"/>
        <v>44508.480000000003</v>
      </c>
      <c r="Y22" s="1093">
        <f t="shared" si="4"/>
        <v>4369.6399999999994</v>
      </c>
    </row>
    <row r="23" spans="2:25">
      <c r="B23" s="2" t="s">
        <v>105</v>
      </c>
      <c r="C23" s="20">
        <f t="shared" ref="C23:R23" si="21">C93*0.8</f>
        <v>67916.248000000007</v>
      </c>
      <c r="D23" s="20">
        <f t="shared" si="21"/>
        <v>146238.66400000002</v>
      </c>
      <c r="E23" s="20">
        <f t="shared" si="21"/>
        <v>8140.3919999999998</v>
      </c>
      <c r="F23" s="20">
        <f t="shared" si="21"/>
        <v>14351.272000000004</v>
      </c>
      <c r="G23" s="20">
        <f t="shared" si="21"/>
        <v>447513.95999999996</v>
      </c>
      <c r="H23" s="20">
        <f t="shared" si="21"/>
        <v>14731.680000000002</v>
      </c>
      <c r="I23" s="20">
        <f t="shared" si="21"/>
        <v>16586</v>
      </c>
      <c r="J23" s="20">
        <f t="shared" si="21"/>
        <v>519.12</v>
      </c>
      <c r="K23" s="20">
        <f t="shared" si="21"/>
        <v>16158.135999999999</v>
      </c>
      <c r="L23" s="20">
        <f t="shared" si="21"/>
        <v>1097.04</v>
      </c>
      <c r="M23" s="20">
        <f t="shared" si="21"/>
        <v>156.72000000000003</v>
      </c>
      <c r="N23" s="20">
        <f t="shared" si="21"/>
        <v>0</v>
      </c>
      <c r="O23" s="20">
        <f t="shared" si="21"/>
        <v>548.54399999999998</v>
      </c>
      <c r="P23" s="20">
        <f t="shared" si="21"/>
        <v>0</v>
      </c>
      <c r="Q23" s="20">
        <f t="shared" si="21"/>
        <v>0</v>
      </c>
      <c r="R23" s="20">
        <f t="shared" si="21"/>
        <v>0</v>
      </c>
      <c r="S23" s="10">
        <f t="shared" si="1"/>
        <v>733957.77600000007</v>
      </c>
      <c r="T23" s="1093">
        <f t="shared" si="3"/>
        <v>67916.248000000007</v>
      </c>
      <c r="U23" s="1093">
        <f t="shared" si="3"/>
        <v>146238.66400000002</v>
      </c>
      <c r="V23" s="1093">
        <f t="shared" si="3"/>
        <v>8140.3919999999998</v>
      </c>
      <c r="W23" s="1093">
        <f t="shared" si="3"/>
        <v>14351.272000000004</v>
      </c>
      <c r="X23" s="1093">
        <f t="shared" si="3"/>
        <v>447513.95999999996</v>
      </c>
      <c r="Y23" s="1093">
        <f t="shared" si="4"/>
        <v>49797.240000000005</v>
      </c>
    </row>
    <row r="24" spans="2:25">
      <c r="B24" s="2" t="s">
        <v>106</v>
      </c>
      <c r="C24" s="20">
        <f t="shared" ref="C24:R24" si="22">C94*0.8</f>
        <v>8783.503999999999</v>
      </c>
      <c r="D24" s="20">
        <f t="shared" si="22"/>
        <v>28207.648000000005</v>
      </c>
      <c r="E24" s="20">
        <f t="shared" si="22"/>
        <v>599.35200000000009</v>
      </c>
      <c r="F24" s="20">
        <f t="shared" si="22"/>
        <v>850.73599999999988</v>
      </c>
      <c r="G24" s="20">
        <f t="shared" si="22"/>
        <v>67389.600000000006</v>
      </c>
      <c r="H24" s="20">
        <f t="shared" si="22"/>
        <v>1332.1200000000001</v>
      </c>
      <c r="I24" s="20">
        <f t="shared" si="22"/>
        <v>3193.8879999999999</v>
      </c>
      <c r="J24" s="20">
        <f t="shared" si="22"/>
        <v>0</v>
      </c>
      <c r="K24" s="20">
        <f t="shared" si="22"/>
        <v>2409.248</v>
      </c>
      <c r="L24" s="20">
        <f t="shared" si="22"/>
        <v>0</v>
      </c>
      <c r="M24" s="20">
        <f t="shared" si="22"/>
        <v>0</v>
      </c>
      <c r="N24" s="20">
        <f t="shared" si="22"/>
        <v>0</v>
      </c>
      <c r="O24" s="20">
        <f t="shared" si="22"/>
        <v>68.567999999999998</v>
      </c>
      <c r="P24" s="20">
        <f t="shared" si="22"/>
        <v>38.095999999999997</v>
      </c>
      <c r="Q24" s="20">
        <f t="shared" si="22"/>
        <v>0</v>
      </c>
      <c r="R24" s="20">
        <f t="shared" si="22"/>
        <v>0</v>
      </c>
      <c r="S24" s="10">
        <f t="shared" si="1"/>
        <v>112872.76000000001</v>
      </c>
      <c r="T24" s="1093">
        <f t="shared" si="3"/>
        <v>8783.503999999999</v>
      </c>
      <c r="U24" s="1093">
        <f t="shared" si="3"/>
        <v>28207.648000000005</v>
      </c>
      <c r="V24" s="1093">
        <f t="shared" si="3"/>
        <v>599.35200000000009</v>
      </c>
      <c r="W24" s="1093">
        <f t="shared" si="3"/>
        <v>850.73599999999988</v>
      </c>
      <c r="X24" s="1093">
        <f t="shared" si="3"/>
        <v>67389.600000000006</v>
      </c>
      <c r="Y24" s="1093">
        <f t="shared" si="4"/>
        <v>7041.9199999999992</v>
      </c>
    </row>
    <row r="25" spans="2:25">
      <c r="B25" s="2" t="s">
        <v>107</v>
      </c>
      <c r="C25" s="20">
        <f t="shared" ref="C25:R25" si="23">C95*0.8</f>
        <v>75680.639999999999</v>
      </c>
      <c r="D25" s="20">
        <f t="shared" si="23"/>
        <v>127105.67199999998</v>
      </c>
      <c r="E25" s="20">
        <f t="shared" si="23"/>
        <v>12853.656000000001</v>
      </c>
      <c r="F25" s="20">
        <f t="shared" si="23"/>
        <v>8678.5360000000019</v>
      </c>
      <c r="G25" s="20">
        <f t="shared" si="23"/>
        <v>712135.68000000005</v>
      </c>
      <c r="H25" s="20">
        <f t="shared" si="23"/>
        <v>7600.92</v>
      </c>
      <c r="I25" s="20">
        <f t="shared" si="23"/>
        <v>15297.272000000001</v>
      </c>
      <c r="J25" s="20">
        <f t="shared" si="23"/>
        <v>1302.3040000000001</v>
      </c>
      <c r="K25" s="20">
        <f t="shared" si="23"/>
        <v>15288.464000000002</v>
      </c>
      <c r="L25" s="20">
        <f t="shared" si="23"/>
        <v>861.96</v>
      </c>
      <c r="M25" s="20">
        <f t="shared" si="23"/>
        <v>156.72000000000003</v>
      </c>
      <c r="N25" s="20">
        <f t="shared" si="23"/>
        <v>0</v>
      </c>
      <c r="O25" s="20">
        <f t="shared" si="23"/>
        <v>159.99200000000002</v>
      </c>
      <c r="P25" s="20">
        <f t="shared" si="23"/>
        <v>0</v>
      </c>
      <c r="Q25" s="20">
        <f t="shared" si="23"/>
        <v>0</v>
      </c>
      <c r="R25" s="20">
        <f t="shared" si="23"/>
        <v>0</v>
      </c>
      <c r="S25" s="10">
        <f t="shared" si="1"/>
        <v>977121.81599999999</v>
      </c>
      <c r="T25" s="1093">
        <f t="shared" si="3"/>
        <v>75680.639999999999</v>
      </c>
      <c r="U25" s="1093">
        <f t="shared" si="3"/>
        <v>127105.67199999998</v>
      </c>
      <c r="V25" s="1093">
        <f t="shared" si="3"/>
        <v>12853.656000000001</v>
      </c>
      <c r="W25" s="1093">
        <f t="shared" si="3"/>
        <v>8678.5360000000019</v>
      </c>
      <c r="X25" s="1093">
        <f t="shared" si="3"/>
        <v>712135.68000000005</v>
      </c>
      <c r="Y25" s="1093">
        <f t="shared" si="4"/>
        <v>40667.632000000005</v>
      </c>
    </row>
    <row r="26" spans="2:25">
      <c r="B26" s="2" t="s">
        <v>108</v>
      </c>
      <c r="C26" s="20">
        <f t="shared" ref="C26:R26" si="24">C96*0.8</f>
        <v>5265.0400000000009</v>
      </c>
      <c r="D26" s="20">
        <f t="shared" si="24"/>
        <v>8793.6880000000001</v>
      </c>
      <c r="E26" s="20">
        <f t="shared" si="24"/>
        <v>322.54400000000004</v>
      </c>
      <c r="F26" s="20">
        <f t="shared" si="24"/>
        <v>2180.4720000000002</v>
      </c>
      <c r="G26" s="20">
        <f t="shared" si="24"/>
        <v>66370.92</v>
      </c>
      <c r="H26" s="20">
        <f t="shared" si="24"/>
        <v>2037.36</v>
      </c>
      <c r="I26" s="20">
        <f t="shared" si="24"/>
        <v>733.98400000000004</v>
      </c>
      <c r="J26" s="20">
        <f t="shared" si="24"/>
        <v>0</v>
      </c>
      <c r="K26" s="20">
        <f t="shared" si="24"/>
        <v>1117.576</v>
      </c>
      <c r="L26" s="20">
        <f t="shared" si="24"/>
        <v>391.8</v>
      </c>
      <c r="M26" s="20">
        <f t="shared" si="24"/>
        <v>0</v>
      </c>
      <c r="N26" s="20">
        <f t="shared" si="24"/>
        <v>0</v>
      </c>
      <c r="O26" s="20">
        <f t="shared" si="24"/>
        <v>0</v>
      </c>
      <c r="P26" s="20">
        <f t="shared" si="24"/>
        <v>0</v>
      </c>
      <c r="Q26" s="20">
        <f t="shared" si="24"/>
        <v>0</v>
      </c>
      <c r="R26" s="20">
        <f t="shared" si="24"/>
        <v>0</v>
      </c>
      <c r="S26" s="10">
        <f t="shared" si="1"/>
        <v>87213.384000000005</v>
      </c>
      <c r="T26" s="1093">
        <f t="shared" si="3"/>
        <v>5265.0400000000009</v>
      </c>
      <c r="U26" s="1093">
        <f t="shared" si="3"/>
        <v>8793.6880000000001</v>
      </c>
      <c r="V26" s="1093">
        <f t="shared" si="3"/>
        <v>322.54400000000004</v>
      </c>
      <c r="W26" s="1093">
        <f t="shared" si="3"/>
        <v>2180.4720000000002</v>
      </c>
      <c r="X26" s="1093">
        <f t="shared" si="3"/>
        <v>66370.92</v>
      </c>
      <c r="Y26" s="1093">
        <f t="shared" si="4"/>
        <v>4280.72</v>
      </c>
    </row>
    <row r="27" spans="2:25">
      <c r="B27" s="2" t="s">
        <v>109</v>
      </c>
      <c r="C27" s="20">
        <f t="shared" ref="C27:R27" si="25">C97*0.8</f>
        <v>1813.28</v>
      </c>
      <c r="D27" s="20">
        <f t="shared" si="25"/>
        <v>192.39200000000019</v>
      </c>
      <c r="E27" s="20">
        <f t="shared" si="25"/>
        <v>152.376</v>
      </c>
      <c r="F27" s="20">
        <f t="shared" si="25"/>
        <v>53.904000000000025</v>
      </c>
      <c r="G27" s="20">
        <f t="shared" si="25"/>
        <v>7836</v>
      </c>
      <c r="H27" s="20">
        <f t="shared" si="25"/>
        <v>313.44000000000005</v>
      </c>
      <c r="I27" s="20">
        <f t="shared" si="25"/>
        <v>125.44</v>
      </c>
      <c r="J27" s="20">
        <f t="shared" si="25"/>
        <v>0</v>
      </c>
      <c r="K27" s="20">
        <f t="shared" si="25"/>
        <v>99.744</v>
      </c>
      <c r="L27" s="20">
        <f t="shared" si="25"/>
        <v>0</v>
      </c>
      <c r="M27" s="20">
        <f t="shared" si="25"/>
        <v>0</v>
      </c>
      <c r="N27" s="20">
        <f t="shared" si="25"/>
        <v>0</v>
      </c>
      <c r="O27" s="20">
        <f t="shared" si="25"/>
        <v>0</v>
      </c>
      <c r="P27" s="20">
        <f t="shared" si="25"/>
        <v>0</v>
      </c>
      <c r="Q27" s="20">
        <f t="shared" si="25"/>
        <v>0</v>
      </c>
      <c r="R27" s="20">
        <f t="shared" si="25"/>
        <v>0</v>
      </c>
      <c r="S27" s="10">
        <f t="shared" si="1"/>
        <v>10586.576000000003</v>
      </c>
      <c r="T27" s="1093">
        <f t="shared" si="3"/>
        <v>1813.28</v>
      </c>
      <c r="U27" s="1093">
        <f t="shared" si="3"/>
        <v>192.39200000000019</v>
      </c>
      <c r="V27" s="1093">
        <f t="shared" si="3"/>
        <v>152.376</v>
      </c>
      <c r="W27" s="1093">
        <f t="shared" si="3"/>
        <v>53.904000000000025</v>
      </c>
      <c r="X27" s="1093">
        <f t="shared" si="3"/>
        <v>7836</v>
      </c>
      <c r="Y27" s="1093">
        <f t="shared" si="4"/>
        <v>538.62400000000002</v>
      </c>
    </row>
    <row r="28" spans="2:25">
      <c r="B28" s="2" t="s">
        <v>110</v>
      </c>
      <c r="C28" s="20">
        <f t="shared" ref="C28:R28" si="26">C98*0.8</f>
        <v>35460.752</v>
      </c>
      <c r="D28" s="20">
        <f t="shared" si="26"/>
        <v>84830.52</v>
      </c>
      <c r="E28" s="20">
        <f t="shared" si="26"/>
        <v>5050.232</v>
      </c>
      <c r="F28" s="20">
        <f t="shared" si="26"/>
        <v>5789.3840000000009</v>
      </c>
      <c r="G28" s="20">
        <f t="shared" si="26"/>
        <v>459424.68</v>
      </c>
      <c r="H28" s="20">
        <f t="shared" si="26"/>
        <v>9324.840000000002</v>
      </c>
      <c r="I28" s="20">
        <f t="shared" si="26"/>
        <v>9143.4800000000014</v>
      </c>
      <c r="J28" s="20">
        <f t="shared" si="26"/>
        <v>0</v>
      </c>
      <c r="K28" s="20">
        <f t="shared" si="26"/>
        <v>8655.3200000000015</v>
      </c>
      <c r="L28" s="20">
        <f t="shared" si="26"/>
        <v>626.88000000000011</v>
      </c>
      <c r="M28" s="20">
        <f t="shared" si="26"/>
        <v>156.72000000000003</v>
      </c>
      <c r="N28" s="20">
        <f t="shared" si="26"/>
        <v>0</v>
      </c>
      <c r="O28" s="20">
        <f t="shared" si="26"/>
        <v>182.84800000000001</v>
      </c>
      <c r="P28" s="20">
        <f t="shared" si="26"/>
        <v>0</v>
      </c>
      <c r="Q28" s="20">
        <f t="shared" si="26"/>
        <v>0</v>
      </c>
      <c r="R28" s="20">
        <f t="shared" si="26"/>
        <v>0</v>
      </c>
      <c r="S28" s="10">
        <f t="shared" si="1"/>
        <v>618645.65599999984</v>
      </c>
      <c r="T28" s="1093">
        <f t="shared" si="3"/>
        <v>35460.752</v>
      </c>
      <c r="U28" s="1093">
        <f t="shared" si="3"/>
        <v>84830.52</v>
      </c>
      <c r="V28" s="1093">
        <f t="shared" si="3"/>
        <v>5050.232</v>
      </c>
      <c r="W28" s="1093">
        <f t="shared" si="3"/>
        <v>5789.3840000000009</v>
      </c>
      <c r="X28" s="1093">
        <f t="shared" si="3"/>
        <v>459424.68</v>
      </c>
      <c r="Y28" s="1093">
        <f t="shared" si="4"/>
        <v>28090.088000000011</v>
      </c>
    </row>
    <row r="29" spans="2:25">
      <c r="B29" s="2" t="s">
        <v>111</v>
      </c>
      <c r="C29" s="20">
        <f t="shared" ref="C29:P29" si="27">C99*0.8</f>
        <v>238277.96000000002</v>
      </c>
      <c r="D29" s="20">
        <f t="shared" si="27"/>
        <v>590811.31999999995</v>
      </c>
      <c r="E29" s="20">
        <f t="shared" si="27"/>
        <v>21150.624</v>
      </c>
      <c r="F29" s="20">
        <f t="shared" si="27"/>
        <v>66340.639999999999</v>
      </c>
      <c r="G29" s="20">
        <f t="shared" si="27"/>
        <v>2507441.64</v>
      </c>
      <c r="H29" s="20">
        <f t="shared" si="27"/>
        <v>40590.480000000003</v>
      </c>
      <c r="I29" s="20">
        <f t="shared" si="27"/>
        <v>100765.84000000003</v>
      </c>
      <c r="J29" s="20">
        <f t="shared" si="27"/>
        <v>0</v>
      </c>
      <c r="K29" s="20">
        <f t="shared" si="27"/>
        <v>58494.760000000009</v>
      </c>
      <c r="L29" s="20">
        <f t="shared" si="27"/>
        <v>4858.32</v>
      </c>
      <c r="M29" s="20">
        <f t="shared" si="27"/>
        <v>783.6</v>
      </c>
      <c r="N29" s="20">
        <f t="shared" si="27"/>
        <v>0</v>
      </c>
      <c r="O29" s="20">
        <f t="shared" si="27"/>
        <v>1439.9280000000001</v>
      </c>
      <c r="P29" s="20">
        <f t="shared" si="27"/>
        <v>38.095999999999997</v>
      </c>
      <c r="Q29" s="20">
        <f>Q99</f>
        <v>941.84</v>
      </c>
      <c r="R29" s="20">
        <f>R99</f>
        <v>13928.74</v>
      </c>
      <c r="S29" s="10">
        <f t="shared" si="1"/>
        <v>3645863.7880000002</v>
      </c>
      <c r="T29" s="1093">
        <f t="shared" si="3"/>
        <v>238277.96000000002</v>
      </c>
      <c r="U29" s="1093">
        <f t="shared" si="3"/>
        <v>590811.31999999995</v>
      </c>
      <c r="V29" s="1093">
        <f t="shared" si="3"/>
        <v>21150.624</v>
      </c>
      <c r="W29" s="1093">
        <f t="shared" si="3"/>
        <v>66340.639999999999</v>
      </c>
      <c r="X29" s="1093">
        <f t="shared" si="3"/>
        <v>2507441.64</v>
      </c>
      <c r="Y29" s="1093">
        <f t="shared" si="4"/>
        <v>221841.60400000005</v>
      </c>
    </row>
    <row r="30" spans="2:25">
      <c r="B30" s="2" t="s">
        <v>112</v>
      </c>
      <c r="C30" s="20">
        <f t="shared" ref="C30:P30" si="28">C100*0.8</f>
        <v>7342.4000000000005</v>
      </c>
      <c r="D30" s="20">
        <f t="shared" si="28"/>
        <v>18527.680000000004</v>
      </c>
      <c r="E30" s="20">
        <f t="shared" si="28"/>
        <v>365.69600000000003</v>
      </c>
      <c r="F30" s="20">
        <f t="shared" si="28"/>
        <v>1251.6080000000002</v>
      </c>
      <c r="G30" s="20">
        <f t="shared" si="28"/>
        <v>59945.4</v>
      </c>
      <c r="H30" s="20">
        <f t="shared" si="28"/>
        <v>2820.96</v>
      </c>
      <c r="I30" s="20">
        <f t="shared" si="28"/>
        <v>2044.6879999999999</v>
      </c>
      <c r="J30" s="20">
        <f t="shared" si="28"/>
        <v>0</v>
      </c>
      <c r="K30" s="20">
        <f t="shared" si="28"/>
        <v>1934.3200000000002</v>
      </c>
      <c r="L30" s="20">
        <f t="shared" si="28"/>
        <v>313.44000000000005</v>
      </c>
      <c r="M30" s="20">
        <f t="shared" si="28"/>
        <v>0</v>
      </c>
      <c r="N30" s="20">
        <f t="shared" si="28"/>
        <v>0</v>
      </c>
      <c r="O30" s="20">
        <f t="shared" si="28"/>
        <v>0</v>
      </c>
      <c r="P30" s="20">
        <f t="shared" si="28"/>
        <v>0</v>
      </c>
      <c r="Q30" s="20">
        <f>Q100*0.8</f>
        <v>0</v>
      </c>
      <c r="R30" s="20">
        <f>R100*0.8</f>
        <v>415.06400000000008</v>
      </c>
      <c r="S30" s="10">
        <f t="shared" si="1"/>
        <v>94961.256000000023</v>
      </c>
      <c r="T30" s="1093">
        <f t="shared" si="3"/>
        <v>7342.4000000000005</v>
      </c>
      <c r="U30" s="1093">
        <f t="shared" si="3"/>
        <v>18527.680000000004</v>
      </c>
      <c r="V30" s="1093">
        <f t="shared" si="3"/>
        <v>365.69600000000003</v>
      </c>
      <c r="W30" s="1093">
        <f t="shared" si="3"/>
        <v>1251.6080000000002</v>
      </c>
      <c r="X30" s="1093">
        <f t="shared" si="3"/>
        <v>59945.4</v>
      </c>
      <c r="Y30" s="1093">
        <f t="shared" si="4"/>
        <v>7528.4720000000016</v>
      </c>
    </row>
    <row r="31" spans="2:25">
      <c r="B31" s="2" t="s">
        <v>113</v>
      </c>
      <c r="C31" s="20">
        <f t="shared" ref="C31:P31" si="29">C101*0.8</f>
        <v>2901.56</v>
      </c>
      <c r="D31" s="20">
        <f t="shared" si="29"/>
        <v>10021.016000000001</v>
      </c>
      <c r="E31" s="20">
        <f t="shared" si="29"/>
        <v>845.68</v>
      </c>
      <c r="F31" s="20">
        <f t="shared" si="29"/>
        <v>1193.8399999999999</v>
      </c>
      <c r="G31" s="20">
        <f t="shared" si="29"/>
        <v>35653.800000000003</v>
      </c>
      <c r="H31" s="20">
        <f t="shared" si="29"/>
        <v>861.96</v>
      </c>
      <c r="I31" s="20">
        <f t="shared" si="29"/>
        <v>1061.5520000000001</v>
      </c>
      <c r="J31" s="20">
        <f t="shared" si="29"/>
        <v>0</v>
      </c>
      <c r="K31" s="20">
        <f t="shared" si="29"/>
        <v>1497.6720000000003</v>
      </c>
      <c r="L31" s="20">
        <f t="shared" si="29"/>
        <v>156.72000000000003</v>
      </c>
      <c r="M31" s="20">
        <f t="shared" si="29"/>
        <v>0</v>
      </c>
      <c r="N31" s="20">
        <f t="shared" si="29"/>
        <v>0</v>
      </c>
      <c r="O31" s="20">
        <f t="shared" si="29"/>
        <v>0</v>
      </c>
      <c r="P31" s="20">
        <f t="shared" si="29"/>
        <v>0</v>
      </c>
      <c r="Q31" s="20">
        <f>Q101*0.8</f>
        <v>58.103999999999999</v>
      </c>
      <c r="R31" s="20">
        <f>R101*0.8</f>
        <v>0</v>
      </c>
      <c r="S31" s="10">
        <f t="shared" si="1"/>
        <v>54251.90400000001</v>
      </c>
      <c r="T31" s="1093">
        <f t="shared" si="3"/>
        <v>2901.56</v>
      </c>
      <c r="U31" s="1093">
        <f t="shared" si="3"/>
        <v>10021.016000000001</v>
      </c>
      <c r="V31" s="1093">
        <f t="shared" si="3"/>
        <v>845.68</v>
      </c>
      <c r="W31" s="1093">
        <f t="shared" si="3"/>
        <v>1193.8399999999999</v>
      </c>
      <c r="X31" s="1093">
        <f t="shared" si="3"/>
        <v>35653.800000000003</v>
      </c>
      <c r="Y31" s="1093">
        <f t="shared" si="4"/>
        <v>3636.0080000000003</v>
      </c>
    </row>
    <row r="32" spans="2:25">
      <c r="B32" s="5" t="s">
        <v>37</v>
      </c>
      <c r="C32" s="6">
        <f t="shared" ref="C32:T32" si="30">SUM(C5:C31)</f>
        <v>768935.85600000015</v>
      </c>
      <c r="D32" s="6">
        <f t="shared" si="30"/>
        <v>1820000.6880000001</v>
      </c>
      <c r="E32" s="6">
        <f t="shared" si="30"/>
        <v>88172.143999999986</v>
      </c>
      <c r="F32" s="6">
        <f t="shared" si="30"/>
        <v>165753.23199999999</v>
      </c>
      <c r="G32" s="6">
        <f t="shared" si="30"/>
        <v>7014238.6800000006</v>
      </c>
      <c r="H32" s="6">
        <f t="shared" si="30"/>
        <v>145984.68</v>
      </c>
      <c r="I32" s="6">
        <f t="shared" si="30"/>
        <v>238433.48</v>
      </c>
      <c r="J32" s="6">
        <f t="shared" si="30"/>
        <v>5729.2160000000003</v>
      </c>
      <c r="K32" s="6">
        <f t="shared" si="30"/>
        <v>186850.92800000004</v>
      </c>
      <c r="L32" s="6">
        <f t="shared" si="30"/>
        <v>18806.400000000001</v>
      </c>
      <c r="M32" s="6">
        <f t="shared" si="30"/>
        <v>1880.6400000000003</v>
      </c>
      <c r="N32" s="6">
        <f t="shared" si="30"/>
        <v>1906.9680000000003</v>
      </c>
      <c r="O32" s="6">
        <f t="shared" si="30"/>
        <v>3771.24</v>
      </c>
      <c r="P32" s="6">
        <f t="shared" si="30"/>
        <v>76.191999999999993</v>
      </c>
      <c r="Q32" s="6">
        <f t="shared" si="30"/>
        <v>1042.96</v>
      </c>
      <c r="R32" s="6">
        <f t="shared" si="30"/>
        <v>14802.460000000001</v>
      </c>
      <c r="S32" s="6">
        <f t="shared" si="30"/>
        <v>10476385.763999997</v>
      </c>
      <c r="T32" s="1093">
        <f t="shared" si="30"/>
        <v>768935.85600000015</v>
      </c>
      <c r="U32" s="1093">
        <f t="shared" ref="U32:Y32" si="31">SUM(U5:U31)</f>
        <v>1820000.6880000001</v>
      </c>
      <c r="V32" s="1093">
        <f t="shared" si="31"/>
        <v>88172.143999999986</v>
      </c>
      <c r="W32" s="1093">
        <f t="shared" si="31"/>
        <v>165753.23199999999</v>
      </c>
      <c r="X32" s="1093">
        <f t="shared" si="31"/>
        <v>7014238.6800000006</v>
      </c>
      <c r="Y32" s="1093">
        <f t="shared" si="31"/>
        <v>619285.16399999999</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82</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2">C75*0.2</f>
        <v>616.13599999999997</v>
      </c>
      <c r="D40" s="20">
        <f t="shared" si="32"/>
        <v>2084.7779999999998</v>
      </c>
      <c r="E40" s="20">
        <f t="shared" si="32"/>
        <v>98.284000000000006</v>
      </c>
      <c r="F40" s="20">
        <f t="shared" si="32"/>
        <v>439.29600000000005</v>
      </c>
      <c r="G40" s="20">
        <f t="shared" si="32"/>
        <v>6014.130000000001</v>
      </c>
      <c r="H40" s="20">
        <f t="shared" si="32"/>
        <v>254.67000000000004</v>
      </c>
      <c r="I40" s="20">
        <f t="shared" si="32"/>
        <v>138.732</v>
      </c>
      <c r="J40" s="20">
        <f t="shared" si="32"/>
        <v>0</v>
      </c>
      <c r="K40" s="20">
        <f t="shared" si="32"/>
        <v>207.01400000000004</v>
      </c>
      <c r="L40" s="20">
        <f t="shared" si="32"/>
        <v>137.13</v>
      </c>
      <c r="M40" s="20">
        <f t="shared" si="32"/>
        <v>0</v>
      </c>
      <c r="N40" s="20">
        <f t="shared" si="32"/>
        <v>0</v>
      </c>
      <c r="O40" s="20">
        <f t="shared" si="32"/>
        <v>0</v>
      </c>
      <c r="P40" s="20">
        <f t="shared" si="32"/>
        <v>0</v>
      </c>
      <c r="Q40" s="20">
        <f t="shared" si="32"/>
        <v>0</v>
      </c>
      <c r="R40" s="20">
        <f t="shared" si="32"/>
        <v>0</v>
      </c>
      <c r="S40" s="10">
        <f t="shared" ref="S40:S66" si="33">SUM(C40:R40)</f>
        <v>9990.1699999999983</v>
      </c>
      <c r="T40" s="1093">
        <f>C40</f>
        <v>616.13599999999997</v>
      </c>
      <c r="U40" s="1093">
        <f>D40</f>
        <v>2084.7779999999998</v>
      </c>
      <c r="V40" s="1093">
        <f>E40</f>
        <v>98.284000000000006</v>
      </c>
      <c r="W40" s="1093">
        <f>F40</f>
        <v>439.29600000000005</v>
      </c>
      <c r="X40" s="1093">
        <f>G40</f>
        <v>6014.130000000001</v>
      </c>
      <c r="Y40" s="1093">
        <f>SUM(H40:R40)</f>
        <v>737.54600000000005</v>
      </c>
    </row>
    <row r="41" spans="2:25">
      <c r="B41" s="2" t="s">
        <v>88</v>
      </c>
      <c r="C41" s="20">
        <f t="shared" ref="C41:R41" si="34">C76*0.2</f>
        <v>1884.796</v>
      </c>
      <c r="D41" s="20">
        <f t="shared" si="34"/>
        <v>6523.3860000000013</v>
      </c>
      <c r="E41" s="20">
        <f t="shared" si="34"/>
        <v>63.49</v>
      </c>
      <c r="F41" s="20">
        <f t="shared" si="34"/>
        <v>83.828000000000017</v>
      </c>
      <c r="G41" s="20">
        <f t="shared" si="34"/>
        <v>15534.870000000003</v>
      </c>
      <c r="H41" s="20">
        <f t="shared" si="34"/>
        <v>195.9</v>
      </c>
      <c r="I41" s="20">
        <f t="shared" si="34"/>
        <v>642.26600000000008</v>
      </c>
      <c r="J41" s="20">
        <f t="shared" si="34"/>
        <v>0</v>
      </c>
      <c r="K41" s="20">
        <f t="shared" si="34"/>
        <v>668.53000000000009</v>
      </c>
      <c r="L41" s="20">
        <f t="shared" si="34"/>
        <v>19.590000000000003</v>
      </c>
      <c r="M41" s="20">
        <f t="shared" si="34"/>
        <v>0</v>
      </c>
      <c r="N41" s="20">
        <f t="shared" si="34"/>
        <v>0</v>
      </c>
      <c r="O41" s="20">
        <f t="shared" si="34"/>
        <v>28.57</v>
      </c>
      <c r="P41" s="20">
        <f t="shared" si="34"/>
        <v>0</v>
      </c>
      <c r="Q41" s="20">
        <f t="shared" si="34"/>
        <v>0</v>
      </c>
      <c r="R41" s="20">
        <f t="shared" si="34"/>
        <v>0</v>
      </c>
      <c r="S41" s="10">
        <f t="shared" si="33"/>
        <v>25645.226000000002</v>
      </c>
      <c r="T41" s="1093">
        <f t="shared" ref="T41:X66" si="35">C41</f>
        <v>1884.796</v>
      </c>
      <c r="U41" s="1093">
        <f t="shared" si="35"/>
        <v>6523.3860000000013</v>
      </c>
      <c r="V41" s="1093">
        <f t="shared" si="35"/>
        <v>63.49</v>
      </c>
      <c r="W41" s="1093">
        <f t="shared" si="35"/>
        <v>83.828000000000017</v>
      </c>
      <c r="X41" s="1093">
        <f t="shared" si="35"/>
        <v>15534.870000000003</v>
      </c>
      <c r="Y41" s="1093">
        <f t="shared" ref="Y41:Y66" si="36">SUM(H41:R41)</f>
        <v>1554.856</v>
      </c>
    </row>
    <row r="42" spans="2:25">
      <c r="B42" s="2" t="s">
        <v>89</v>
      </c>
      <c r="C42" s="20">
        <f t="shared" ref="C42:R42" si="37">C77*0.2</f>
        <v>581.13800000000003</v>
      </c>
      <c r="D42" s="20">
        <f t="shared" si="37"/>
        <v>2521.0059999999999</v>
      </c>
      <c r="E42" s="20">
        <f t="shared" si="37"/>
        <v>66.662000000000006</v>
      </c>
      <c r="F42" s="20">
        <f t="shared" si="37"/>
        <v>305.47800000000001</v>
      </c>
      <c r="G42" s="20">
        <f t="shared" si="37"/>
        <v>6523.47</v>
      </c>
      <c r="H42" s="20">
        <f t="shared" si="37"/>
        <v>333.03000000000003</v>
      </c>
      <c r="I42" s="20">
        <f t="shared" si="37"/>
        <v>177.71199999999999</v>
      </c>
      <c r="J42" s="20">
        <f t="shared" si="37"/>
        <v>0</v>
      </c>
      <c r="K42" s="20">
        <f t="shared" si="37"/>
        <v>238.01800000000003</v>
      </c>
      <c r="L42" s="20">
        <f t="shared" si="37"/>
        <v>58.77000000000001</v>
      </c>
      <c r="M42" s="20">
        <f t="shared" si="37"/>
        <v>0</v>
      </c>
      <c r="N42" s="20">
        <f t="shared" si="37"/>
        <v>0</v>
      </c>
      <c r="O42" s="20">
        <f t="shared" si="37"/>
        <v>0</v>
      </c>
      <c r="P42" s="20">
        <f t="shared" si="37"/>
        <v>0</v>
      </c>
      <c r="Q42" s="20">
        <f t="shared" si="37"/>
        <v>0</v>
      </c>
      <c r="R42" s="20">
        <f t="shared" si="37"/>
        <v>0</v>
      </c>
      <c r="S42" s="10">
        <f t="shared" si="33"/>
        <v>10805.284000000001</v>
      </c>
      <c r="T42" s="1093">
        <f t="shared" si="35"/>
        <v>581.13800000000003</v>
      </c>
      <c r="U42" s="1093">
        <f t="shared" si="35"/>
        <v>2521.0059999999999</v>
      </c>
      <c r="V42" s="1093">
        <f t="shared" si="35"/>
        <v>66.662000000000006</v>
      </c>
      <c r="W42" s="1093">
        <f t="shared" si="35"/>
        <v>305.47800000000001</v>
      </c>
      <c r="X42" s="1093">
        <f t="shared" si="35"/>
        <v>6523.47</v>
      </c>
      <c r="Y42" s="1093">
        <f t="shared" si="36"/>
        <v>807.53</v>
      </c>
    </row>
    <row r="43" spans="2:25">
      <c r="B43" s="2" t="s">
        <v>90</v>
      </c>
      <c r="C43" s="20">
        <f t="shared" ref="C43:R43" si="38">C78*0.2</f>
        <v>1992.5119999999999</v>
      </c>
      <c r="D43" s="20">
        <f t="shared" si="38"/>
        <v>5199.2480000000014</v>
      </c>
      <c r="E43" s="20">
        <f t="shared" si="38"/>
        <v>194.28800000000001</v>
      </c>
      <c r="F43" s="20">
        <f t="shared" si="38"/>
        <v>370.78199999999998</v>
      </c>
      <c r="G43" s="20">
        <f t="shared" si="38"/>
        <v>13497.510000000002</v>
      </c>
      <c r="H43" s="20">
        <f t="shared" si="38"/>
        <v>568.11</v>
      </c>
      <c r="I43" s="20">
        <f t="shared" si="38"/>
        <v>473.85599999999999</v>
      </c>
      <c r="J43" s="20">
        <f t="shared" si="38"/>
        <v>0</v>
      </c>
      <c r="K43" s="20">
        <f t="shared" si="38"/>
        <v>561.74</v>
      </c>
      <c r="L43" s="20">
        <f t="shared" si="38"/>
        <v>78.360000000000014</v>
      </c>
      <c r="M43" s="20">
        <f t="shared" si="38"/>
        <v>0</v>
      </c>
      <c r="N43" s="20">
        <f t="shared" si="38"/>
        <v>321.16200000000003</v>
      </c>
      <c r="O43" s="20">
        <f t="shared" si="38"/>
        <v>0</v>
      </c>
      <c r="P43" s="20">
        <f t="shared" si="38"/>
        <v>0</v>
      </c>
      <c r="Q43" s="20">
        <f t="shared" si="38"/>
        <v>0</v>
      </c>
      <c r="R43" s="20">
        <f t="shared" si="38"/>
        <v>0</v>
      </c>
      <c r="S43" s="10">
        <f t="shared" si="33"/>
        <v>23257.568000000007</v>
      </c>
      <c r="T43" s="1093">
        <f t="shared" si="35"/>
        <v>1992.5119999999999</v>
      </c>
      <c r="U43" s="1093">
        <f t="shared" si="35"/>
        <v>5199.2480000000014</v>
      </c>
      <c r="V43" s="1093">
        <f t="shared" si="35"/>
        <v>194.28800000000001</v>
      </c>
      <c r="W43" s="1093">
        <f t="shared" si="35"/>
        <v>370.78199999999998</v>
      </c>
      <c r="X43" s="1093">
        <f t="shared" si="35"/>
        <v>13497.510000000002</v>
      </c>
      <c r="Y43" s="1093">
        <f t="shared" si="36"/>
        <v>2003.2279999999998</v>
      </c>
    </row>
    <row r="44" spans="2:25">
      <c r="B44" s="2" t="s">
        <v>91</v>
      </c>
      <c r="C44" s="20">
        <f t="shared" ref="C44:R44" si="39">C79*0.2</f>
        <v>6086.6280000000006</v>
      </c>
      <c r="D44" s="20">
        <f t="shared" si="39"/>
        <v>13049.694000000001</v>
      </c>
      <c r="E44" s="20">
        <f t="shared" si="39"/>
        <v>455.23400000000004</v>
      </c>
      <c r="F44" s="20">
        <f t="shared" si="39"/>
        <v>1057.4760000000001</v>
      </c>
      <c r="G44" s="20">
        <f t="shared" si="39"/>
        <v>37945.83</v>
      </c>
      <c r="H44" s="20">
        <f t="shared" si="39"/>
        <v>1097.04</v>
      </c>
      <c r="I44" s="20">
        <f t="shared" si="39"/>
        <v>1162.7660000000003</v>
      </c>
      <c r="J44" s="20">
        <f t="shared" si="39"/>
        <v>0</v>
      </c>
      <c r="K44" s="20">
        <f t="shared" si="39"/>
        <v>1442.37</v>
      </c>
      <c r="L44" s="20">
        <f t="shared" si="39"/>
        <v>19.590000000000003</v>
      </c>
      <c r="M44" s="20">
        <f t="shared" si="39"/>
        <v>0</v>
      </c>
      <c r="N44" s="20">
        <f t="shared" si="39"/>
        <v>0</v>
      </c>
      <c r="O44" s="20">
        <f t="shared" si="39"/>
        <v>28.57</v>
      </c>
      <c r="P44" s="20">
        <f t="shared" si="39"/>
        <v>0</v>
      </c>
      <c r="Q44" s="20">
        <f t="shared" si="39"/>
        <v>0</v>
      </c>
      <c r="R44" s="20">
        <f t="shared" si="39"/>
        <v>0</v>
      </c>
      <c r="S44" s="10">
        <f t="shared" si="33"/>
        <v>62345.198000000004</v>
      </c>
      <c r="T44" s="1093">
        <f t="shared" si="35"/>
        <v>6086.6280000000006</v>
      </c>
      <c r="U44" s="1093">
        <f t="shared" si="35"/>
        <v>13049.694000000001</v>
      </c>
      <c r="V44" s="1093">
        <f t="shared" si="35"/>
        <v>455.23400000000004</v>
      </c>
      <c r="W44" s="1093">
        <f t="shared" si="35"/>
        <v>1057.4760000000001</v>
      </c>
      <c r="X44" s="1093">
        <f t="shared" si="35"/>
        <v>37945.83</v>
      </c>
      <c r="Y44" s="1093">
        <f t="shared" si="36"/>
        <v>3750.3360000000007</v>
      </c>
    </row>
    <row r="45" spans="2:25">
      <c r="B45" s="2" t="s">
        <v>92</v>
      </c>
      <c r="C45" s="20">
        <f t="shared" ref="C45:R45" si="40">C80*0.2</f>
        <v>3804.3900000000003</v>
      </c>
      <c r="D45" s="20">
        <f t="shared" si="40"/>
        <v>9031.0619999999999</v>
      </c>
      <c r="E45" s="20">
        <f t="shared" si="40"/>
        <v>204.75</v>
      </c>
      <c r="F45" s="20">
        <f t="shared" si="40"/>
        <v>239.88000000000002</v>
      </c>
      <c r="G45" s="20">
        <f t="shared" si="40"/>
        <v>26583.63</v>
      </c>
      <c r="H45" s="20">
        <f t="shared" si="40"/>
        <v>744.42000000000007</v>
      </c>
      <c r="I45" s="20">
        <f t="shared" si="40"/>
        <v>694.1840000000002</v>
      </c>
      <c r="J45" s="20">
        <f t="shared" si="40"/>
        <v>58.77000000000001</v>
      </c>
      <c r="K45" s="20">
        <f t="shared" si="40"/>
        <v>883.84800000000018</v>
      </c>
      <c r="L45" s="20">
        <f t="shared" si="40"/>
        <v>97.95</v>
      </c>
      <c r="M45" s="20">
        <f t="shared" si="40"/>
        <v>0</v>
      </c>
      <c r="N45" s="20">
        <f t="shared" si="40"/>
        <v>0</v>
      </c>
      <c r="O45" s="20">
        <f t="shared" si="40"/>
        <v>17.141999999999999</v>
      </c>
      <c r="P45" s="20">
        <f t="shared" si="40"/>
        <v>0</v>
      </c>
      <c r="Q45" s="20">
        <f t="shared" si="40"/>
        <v>0</v>
      </c>
      <c r="R45" s="20">
        <f t="shared" si="40"/>
        <v>0</v>
      </c>
      <c r="S45" s="10">
        <f t="shared" si="33"/>
        <v>42360.025999999991</v>
      </c>
      <c r="T45" s="1093">
        <f t="shared" si="35"/>
        <v>3804.3900000000003</v>
      </c>
      <c r="U45" s="1093">
        <f t="shared" si="35"/>
        <v>9031.0619999999999</v>
      </c>
      <c r="V45" s="1093">
        <f t="shared" si="35"/>
        <v>204.75</v>
      </c>
      <c r="W45" s="1093">
        <f t="shared" si="35"/>
        <v>239.88000000000002</v>
      </c>
      <c r="X45" s="1093">
        <f t="shared" si="35"/>
        <v>26583.63</v>
      </c>
      <c r="Y45" s="1093">
        <f t="shared" si="36"/>
        <v>2496.3140000000003</v>
      </c>
    </row>
    <row r="46" spans="2:25">
      <c r="B46" s="2" t="s">
        <v>93</v>
      </c>
      <c r="C46" s="20">
        <f t="shared" ref="C46:R46" si="41">C81*0.2</f>
        <v>5394.1019999999999</v>
      </c>
      <c r="D46" s="20">
        <f t="shared" si="41"/>
        <v>17586.790000000005</v>
      </c>
      <c r="E46" s="20">
        <f t="shared" si="41"/>
        <v>1027.1120000000001</v>
      </c>
      <c r="F46" s="20">
        <f t="shared" si="41"/>
        <v>240.53799999999993</v>
      </c>
      <c r="G46" s="20">
        <f t="shared" si="41"/>
        <v>32793.659999999996</v>
      </c>
      <c r="H46" s="20">
        <f t="shared" si="41"/>
        <v>1253.7600000000002</v>
      </c>
      <c r="I46" s="20">
        <f t="shared" si="41"/>
        <v>1956.31</v>
      </c>
      <c r="J46" s="20">
        <f t="shared" si="41"/>
        <v>0</v>
      </c>
      <c r="K46" s="20">
        <f t="shared" si="41"/>
        <v>1852.0640000000001</v>
      </c>
      <c r="L46" s="20">
        <f t="shared" si="41"/>
        <v>78.360000000000014</v>
      </c>
      <c r="M46" s="20">
        <f t="shared" si="41"/>
        <v>0</v>
      </c>
      <c r="N46" s="20">
        <f t="shared" si="41"/>
        <v>0</v>
      </c>
      <c r="O46" s="20">
        <f t="shared" si="41"/>
        <v>17.141999999999999</v>
      </c>
      <c r="P46" s="20">
        <f t="shared" si="41"/>
        <v>0</v>
      </c>
      <c r="Q46" s="20">
        <f t="shared" si="41"/>
        <v>0</v>
      </c>
      <c r="R46" s="20">
        <f t="shared" si="41"/>
        <v>0</v>
      </c>
      <c r="S46" s="10">
        <f t="shared" si="33"/>
        <v>62199.838000000003</v>
      </c>
      <c r="T46" s="1093">
        <f t="shared" si="35"/>
        <v>5394.1019999999999</v>
      </c>
      <c r="U46" s="1093">
        <f t="shared" si="35"/>
        <v>17586.790000000005</v>
      </c>
      <c r="V46" s="1093">
        <f t="shared" si="35"/>
        <v>1027.1120000000001</v>
      </c>
      <c r="W46" s="1093">
        <f t="shared" si="35"/>
        <v>240.53799999999993</v>
      </c>
      <c r="X46" s="1093">
        <f t="shared" si="35"/>
        <v>32793.659999999996</v>
      </c>
      <c r="Y46" s="1093">
        <f t="shared" si="36"/>
        <v>5157.6359999999995</v>
      </c>
    </row>
    <row r="47" spans="2:25">
      <c r="B47" s="2" t="s">
        <v>94</v>
      </c>
      <c r="C47" s="20">
        <f t="shared" ref="C47:R47" si="42">C82*0.2</f>
        <v>3371.3500000000004</v>
      </c>
      <c r="D47" s="20">
        <f t="shared" si="42"/>
        <v>5282.7780000000002</v>
      </c>
      <c r="E47" s="20">
        <f t="shared" si="42"/>
        <v>520.36599999999999</v>
      </c>
      <c r="F47" s="20">
        <f t="shared" si="42"/>
        <v>800.49600000000009</v>
      </c>
      <c r="G47" s="20">
        <f t="shared" si="42"/>
        <v>30677.940000000002</v>
      </c>
      <c r="H47" s="20">
        <f t="shared" si="42"/>
        <v>685.65000000000009</v>
      </c>
      <c r="I47" s="20">
        <f t="shared" si="42"/>
        <v>789.17000000000007</v>
      </c>
      <c r="J47" s="20">
        <f t="shared" si="42"/>
        <v>126.724</v>
      </c>
      <c r="K47" s="20">
        <f t="shared" si="42"/>
        <v>417.77200000000005</v>
      </c>
      <c r="L47" s="20">
        <f t="shared" si="42"/>
        <v>195.9</v>
      </c>
      <c r="M47" s="20">
        <f t="shared" si="42"/>
        <v>0</v>
      </c>
      <c r="N47" s="20">
        <f t="shared" si="42"/>
        <v>0</v>
      </c>
      <c r="O47" s="20">
        <f t="shared" si="42"/>
        <v>5.7140000000000004</v>
      </c>
      <c r="P47" s="20">
        <f t="shared" si="42"/>
        <v>0</v>
      </c>
      <c r="Q47" s="20">
        <f t="shared" si="42"/>
        <v>0</v>
      </c>
      <c r="R47" s="20">
        <f t="shared" si="42"/>
        <v>0</v>
      </c>
      <c r="S47" s="10">
        <f t="shared" si="33"/>
        <v>42873.860000000008</v>
      </c>
      <c r="T47" s="1093">
        <f t="shared" si="35"/>
        <v>3371.3500000000004</v>
      </c>
      <c r="U47" s="1093">
        <f t="shared" si="35"/>
        <v>5282.7780000000002</v>
      </c>
      <c r="V47" s="1093">
        <f t="shared" si="35"/>
        <v>520.36599999999999</v>
      </c>
      <c r="W47" s="1093">
        <f t="shared" si="35"/>
        <v>800.49600000000009</v>
      </c>
      <c r="X47" s="1093">
        <f t="shared" si="35"/>
        <v>30677.940000000002</v>
      </c>
      <c r="Y47" s="1093">
        <f t="shared" si="36"/>
        <v>2220.9300000000003</v>
      </c>
    </row>
    <row r="48" spans="2:25">
      <c r="B48" s="2" t="s">
        <v>95</v>
      </c>
      <c r="C48" s="20">
        <f t="shared" ref="C48:R48" si="43">C83*0.2</f>
        <v>4903.6880000000001</v>
      </c>
      <c r="D48" s="20">
        <f t="shared" si="43"/>
        <v>13336.163999999999</v>
      </c>
      <c r="E48" s="20">
        <f t="shared" si="43"/>
        <v>839.01400000000001</v>
      </c>
      <c r="F48" s="20">
        <f t="shared" si="43"/>
        <v>457.06400000000014</v>
      </c>
      <c r="G48" s="20">
        <f t="shared" si="43"/>
        <v>59631.96</v>
      </c>
      <c r="H48" s="20">
        <f t="shared" si="43"/>
        <v>1136.22</v>
      </c>
      <c r="I48" s="20">
        <f t="shared" si="43"/>
        <v>1830.9780000000003</v>
      </c>
      <c r="J48" s="20">
        <f t="shared" si="43"/>
        <v>321.74</v>
      </c>
      <c r="K48" s="20">
        <f t="shared" si="43"/>
        <v>1372.68</v>
      </c>
      <c r="L48" s="20">
        <f t="shared" si="43"/>
        <v>78.360000000000014</v>
      </c>
      <c r="M48" s="20">
        <f t="shared" si="43"/>
        <v>0</v>
      </c>
      <c r="N48" s="20">
        <f t="shared" si="43"/>
        <v>0</v>
      </c>
      <c r="O48" s="20">
        <f t="shared" si="43"/>
        <v>22.856000000000002</v>
      </c>
      <c r="P48" s="20">
        <f t="shared" si="43"/>
        <v>0</v>
      </c>
      <c r="Q48" s="20">
        <f t="shared" si="43"/>
        <v>0</v>
      </c>
      <c r="R48" s="20">
        <f t="shared" si="43"/>
        <v>0</v>
      </c>
      <c r="S48" s="10">
        <f t="shared" si="33"/>
        <v>83930.724000000002</v>
      </c>
      <c r="T48" s="1093">
        <f t="shared" si="35"/>
        <v>4903.6880000000001</v>
      </c>
      <c r="U48" s="1093">
        <f t="shared" si="35"/>
        <v>13336.163999999999</v>
      </c>
      <c r="V48" s="1093">
        <f t="shared" si="35"/>
        <v>839.01400000000001</v>
      </c>
      <c r="W48" s="1093">
        <f t="shared" si="35"/>
        <v>457.06400000000014</v>
      </c>
      <c r="X48" s="1093">
        <f t="shared" si="35"/>
        <v>59631.96</v>
      </c>
      <c r="Y48" s="1093">
        <f t="shared" si="36"/>
        <v>4762.8339999999998</v>
      </c>
    </row>
    <row r="49" spans="2:25">
      <c r="B49" s="2" t="s">
        <v>96</v>
      </c>
      <c r="C49" s="20">
        <f t="shared" ref="C49:R49" si="44">C84*0.2</f>
        <v>1463.3180000000002</v>
      </c>
      <c r="D49" s="20">
        <f t="shared" si="44"/>
        <v>5290.1219999999994</v>
      </c>
      <c r="E49" s="20">
        <f t="shared" si="44"/>
        <v>245.71199999999999</v>
      </c>
      <c r="F49" s="20">
        <f t="shared" si="44"/>
        <v>166.38199999999998</v>
      </c>
      <c r="G49" s="20">
        <f t="shared" si="44"/>
        <v>11656.050000000001</v>
      </c>
      <c r="H49" s="20">
        <f t="shared" si="44"/>
        <v>430.98</v>
      </c>
      <c r="I49" s="20">
        <f t="shared" si="44"/>
        <v>546.38200000000006</v>
      </c>
      <c r="J49" s="20">
        <f t="shared" si="44"/>
        <v>0</v>
      </c>
      <c r="K49" s="20">
        <f t="shared" si="44"/>
        <v>423.94800000000009</v>
      </c>
      <c r="L49" s="20">
        <f t="shared" si="44"/>
        <v>156.72000000000003</v>
      </c>
      <c r="M49" s="20">
        <f t="shared" si="44"/>
        <v>0</v>
      </c>
      <c r="N49" s="20">
        <f t="shared" si="44"/>
        <v>0</v>
      </c>
      <c r="O49" s="20">
        <f t="shared" si="44"/>
        <v>0</v>
      </c>
      <c r="P49" s="20">
        <f t="shared" si="44"/>
        <v>0</v>
      </c>
      <c r="Q49" s="20">
        <f t="shared" si="44"/>
        <v>0</v>
      </c>
      <c r="R49" s="20">
        <f t="shared" si="44"/>
        <v>0</v>
      </c>
      <c r="S49" s="10">
        <f t="shared" si="33"/>
        <v>20379.614000000005</v>
      </c>
      <c r="T49" s="1093">
        <f t="shared" si="35"/>
        <v>1463.3180000000002</v>
      </c>
      <c r="U49" s="1093">
        <f t="shared" si="35"/>
        <v>5290.1219999999994</v>
      </c>
      <c r="V49" s="1093">
        <f t="shared" si="35"/>
        <v>245.71199999999999</v>
      </c>
      <c r="W49" s="1093">
        <f t="shared" si="35"/>
        <v>166.38199999999998</v>
      </c>
      <c r="X49" s="1093">
        <f t="shared" si="35"/>
        <v>11656.050000000001</v>
      </c>
      <c r="Y49" s="1093">
        <f t="shared" si="36"/>
        <v>1558.0300000000002</v>
      </c>
    </row>
    <row r="50" spans="2:25">
      <c r="B50" s="2" t="s">
        <v>97</v>
      </c>
      <c r="C50" s="20">
        <f t="shared" ref="C50:R50" si="45">C85*0.2</f>
        <v>3410.0879999999997</v>
      </c>
      <c r="D50" s="20">
        <f t="shared" si="45"/>
        <v>6614.2540000000008</v>
      </c>
      <c r="E50" s="20">
        <f t="shared" si="45"/>
        <v>422.84200000000004</v>
      </c>
      <c r="F50" s="20">
        <f t="shared" si="45"/>
        <v>912.29000000000019</v>
      </c>
      <c r="G50" s="20">
        <f t="shared" si="45"/>
        <v>55851.090000000004</v>
      </c>
      <c r="H50" s="20">
        <f t="shared" si="45"/>
        <v>626.88000000000011</v>
      </c>
      <c r="I50" s="20">
        <f t="shared" si="45"/>
        <v>831.76799999999992</v>
      </c>
      <c r="J50" s="20">
        <f t="shared" si="45"/>
        <v>119.61600000000001</v>
      </c>
      <c r="K50" s="20">
        <f t="shared" si="45"/>
        <v>604.04600000000005</v>
      </c>
      <c r="L50" s="20">
        <f t="shared" si="45"/>
        <v>215.49</v>
      </c>
      <c r="M50" s="20">
        <f t="shared" si="45"/>
        <v>0</v>
      </c>
      <c r="N50" s="20">
        <f t="shared" si="45"/>
        <v>0</v>
      </c>
      <c r="O50" s="20">
        <f t="shared" si="45"/>
        <v>5.7140000000000004</v>
      </c>
      <c r="P50" s="20">
        <f t="shared" si="45"/>
        <v>0</v>
      </c>
      <c r="Q50" s="20">
        <f t="shared" si="45"/>
        <v>0</v>
      </c>
      <c r="R50" s="20">
        <f t="shared" si="45"/>
        <v>0</v>
      </c>
      <c r="S50" s="10">
        <f t="shared" si="33"/>
        <v>69614.078000000023</v>
      </c>
      <c r="T50" s="1093">
        <f t="shared" si="35"/>
        <v>3410.0879999999997</v>
      </c>
      <c r="U50" s="1093">
        <f t="shared" si="35"/>
        <v>6614.2540000000008</v>
      </c>
      <c r="V50" s="1093">
        <f t="shared" si="35"/>
        <v>422.84200000000004</v>
      </c>
      <c r="W50" s="1093">
        <f t="shared" si="35"/>
        <v>912.29000000000019</v>
      </c>
      <c r="X50" s="1093">
        <f t="shared" si="35"/>
        <v>55851.090000000004</v>
      </c>
      <c r="Y50" s="1093">
        <f t="shared" si="36"/>
        <v>2403.5140000000001</v>
      </c>
    </row>
    <row r="51" spans="2:25">
      <c r="B51" s="2" t="s">
        <v>98</v>
      </c>
      <c r="C51" s="20">
        <f t="shared" ref="C51:R51" si="46">C86*0.2</f>
        <v>3066.9360000000001</v>
      </c>
      <c r="D51" s="20">
        <f t="shared" si="46"/>
        <v>7677.3300000000008</v>
      </c>
      <c r="E51" s="20">
        <f t="shared" si="46"/>
        <v>775.21800000000007</v>
      </c>
      <c r="F51" s="20">
        <f t="shared" si="46"/>
        <v>804.13800000000015</v>
      </c>
      <c r="G51" s="20">
        <f t="shared" si="46"/>
        <v>38200.5</v>
      </c>
      <c r="H51" s="20">
        <f t="shared" si="46"/>
        <v>861.96</v>
      </c>
      <c r="I51" s="20">
        <f t="shared" si="46"/>
        <v>1238.9340000000002</v>
      </c>
      <c r="J51" s="20">
        <f t="shared" si="46"/>
        <v>0</v>
      </c>
      <c r="K51" s="20">
        <f t="shared" si="46"/>
        <v>852.21800000000007</v>
      </c>
      <c r="L51" s="20">
        <f t="shared" si="46"/>
        <v>97.95</v>
      </c>
      <c r="M51" s="20">
        <f t="shared" si="46"/>
        <v>0</v>
      </c>
      <c r="N51" s="20">
        <f t="shared" si="46"/>
        <v>155.58000000000001</v>
      </c>
      <c r="O51" s="20">
        <f t="shared" si="46"/>
        <v>34.283999999999999</v>
      </c>
      <c r="P51" s="20">
        <f t="shared" si="46"/>
        <v>0</v>
      </c>
      <c r="Q51" s="20">
        <f t="shared" si="46"/>
        <v>10.754000000000001</v>
      </c>
      <c r="R51" s="20">
        <f t="shared" si="46"/>
        <v>0</v>
      </c>
      <c r="S51" s="10">
        <f t="shared" si="33"/>
        <v>53775.802000000003</v>
      </c>
      <c r="T51" s="1093">
        <f t="shared" si="35"/>
        <v>3066.9360000000001</v>
      </c>
      <c r="U51" s="1093">
        <f t="shared" si="35"/>
        <v>7677.3300000000008</v>
      </c>
      <c r="V51" s="1093">
        <f t="shared" si="35"/>
        <v>775.21800000000007</v>
      </c>
      <c r="W51" s="1093">
        <f t="shared" si="35"/>
        <v>804.13800000000015</v>
      </c>
      <c r="X51" s="1093">
        <f t="shared" si="35"/>
        <v>38200.5</v>
      </c>
      <c r="Y51" s="1093">
        <f t="shared" si="36"/>
        <v>3251.68</v>
      </c>
    </row>
    <row r="52" spans="2:25">
      <c r="B52" s="2" t="s">
        <v>99</v>
      </c>
      <c r="C52" s="20">
        <f t="shared" ref="C52:R52" si="47">C87*0.2</f>
        <v>18241.172000000002</v>
      </c>
      <c r="D52" s="20">
        <f t="shared" si="47"/>
        <v>41553.104000000007</v>
      </c>
      <c r="E52" s="20">
        <f t="shared" si="47"/>
        <v>1337.8620000000001</v>
      </c>
      <c r="F52" s="20">
        <f t="shared" si="47"/>
        <v>3527.2859999999996</v>
      </c>
      <c r="G52" s="20">
        <f t="shared" si="47"/>
        <v>96696.24</v>
      </c>
      <c r="H52" s="20">
        <f t="shared" si="47"/>
        <v>2546.7000000000003</v>
      </c>
      <c r="I52" s="20">
        <f t="shared" si="47"/>
        <v>5024.7860000000001</v>
      </c>
      <c r="J52" s="20">
        <f t="shared" si="47"/>
        <v>0</v>
      </c>
      <c r="K52" s="20">
        <f t="shared" si="47"/>
        <v>3779.5480000000007</v>
      </c>
      <c r="L52" s="20">
        <f t="shared" si="47"/>
        <v>666.06000000000006</v>
      </c>
      <c r="M52" s="20">
        <f t="shared" si="47"/>
        <v>78.360000000000014</v>
      </c>
      <c r="N52" s="20">
        <f t="shared" si="47"/>
        <v>0</v>
      </c>
      <c r="O52" s="20">
        <f t="shared" si="47"/>
        <v>57.14</v>
      </c>
      <c r="P52" s="20">
        <f t="shared" si="47"/>
        <v>0</v>
      </c>
      <c r="Q52" s="20">
        <f t="shared" si="47"/>
        <v>0</v>
      </c>
      <c r="R52" s="20">
        <f t="shared" si="47"/>
        <v>0</v>
      </c>
      <c r="S52" s="10">
        <f t="shared" si="33"/>
        <v>173508.25800000003</v>
      </c>
      <c r="T52" s="1093">
        <f t="shared" si="35"/>
        <v>18241.172000000002</v>
      </c>
      <c r="U52" s="1093">
        <f t="shared" si="35"/>
        <v>41553.104000000007</v>
      </c>
      <c r="V52" s="1093">
        <f t="shared" si="35"/>
        <v>1337.8620000000001</v>
      </c>
      <c r="W52" s="1093">
        <f t="shared" si="35"/>
        <v>3527.2859999999996</v>
      </c>
      <c r="X52" s="1093">
        <f t="shared" si="35"/>
        <v>96696.24</v>
      </c>
      <c r="Y52" s="1093">
        <f t="shared" si="36"/>
        <v>12152.594000000001</v>
      </c>
    </row>
    <row r="53" spans="2:25">
      <c r="B53" s="2" t="s">
        <v>100</v>
      </c>
      <c r="C53" s="20">
        <f t="shared" ref="C53:R53" si="48">C88*0.2</f>
        <v>3266.268</v>
      </c>
      <c r="D53" s="20">
        <f t="shared" si="48"/>
        <v>11006.426000000001</v>
      </c>
      <c r="E53" s="20">
        <f t="shared" si="48"/>
        <v>271.61200000000002</v>
      </c>
      <c r="F53" s="20">
        <f t="shared" si="48"/>
        <v>125.67400000000004</v>
      </c>
      <c r="G53" s="20">
        <f t="shared" si="48"/>
        <v>18688.86</v>
      </c>
      <c r="H53" s="20">
        <f t="shared" si="48"/>
        <v>646.47</v>
      </c>
      <c r="I53" s="20">
        <f t="shared" si="48"/>
        <v>1392.6740000000002</v>
      </c>
      <c r="J53" s="20">
        <f t="shared" si="48"/>
        <v>0</v>
      </c>
      <c r="K53" s="20">
        <f t="shared" si="48"/>
        <v>912.45800000000008</v>
      </c>
      <c r="L53" s="20">
        <f t="shared" si="48"/>
        <v>19.590000000000003</v>
      </c>
      <c r="M53" s="20">
        <f t="shared" si="48"/>
        <v>0</v>
      </c>
      <c r="N53" s="20">
        <f t="shared" si="48"/>
        <v>0</v>
      </c>
      <c r="O53" s="20">
        <f t="shared" si="48"/>
        <v>17.141999999999999</v>
      </c>
      <c r="P53" s="20">
        <f t="shared" si="48"/>
        <v>0</v>
      </c>
      <c r="Q53" s="20">
        <f t="shared" si="48"/>
        <v>0</v>
      </c>
      <c r="R53" s="20">
        <f t="shared" si="48"/>
        <v>0</v>
      </c>
      <c r="S53" s="10">
        <f t="shared" si="33"/>
        <v>36347.173999999999</v>
      </c>
      <c r="T53" s="1093">
        <f t="shared" si="35"/>
        <v>3266.268</v>
      </c>
      <c r="U53" s="1093">
        <f t="shared" si="35"/>
        <v>11006.426000000001</v>
      </c>
      <c r="V53" s="1093">
        <f t="shared" si="35"/>
        <v>271.61200000000002</v>
      </c>
      <c r="W53" s="1093">
        <f t="shared" si="35"/>
        <v>125.67400000000004</v>
      </c>
      <c r="X53" s="1093">
        <f t="shared" si="35"/>
        <v>18688.86</v>
      </c>
      <c r="Y53" s="1093">
        <f t="shared" si="36"/>
        <v>2988.3340000000003</v>
      </c>
    </row>
    <row r="54" spans="2:25">
      <c r="B54" s="2" t="s">
        <v>101</v>
      </c>
      <c r="C54" s="20">
        <f t="shared" ref="C54:R54" si="49">C89*0.2</f>
        <v>2491.5660000000003</v>
      </c>
      <c r="D54" s="20">
        <f t="shared" si="49"/>
        <v>9910.0519999999997</v>
      </c>
      <c r="E54" s="20">
        <f t="shared" si="49"/>
        <v>228.56200000000001</v>
      </c>
      <c r="F54" s="20">
        <f t="shared" si="49"/>
        <v>824.68400000000008</v>
      </c>
      <c r="G54" s="20">
        <f t="shared" si="49"/>
        <v>21196.38</v>
      </c>
      <c r="H54" s="20">
        <f t="shared" si="49"/>
        <v>587.70000000000005</v>
      </c>
      <c r="I54" s="20">
        <f t="shared" si="49"/>
        <v>1142.018</v>
      </c>
      <c r="J54" s="20">
        <f t="shared" si="49"/>
        <v>56.855999999999995</v>
      </c>
      <c r="K54" s="20">
        <f t="shared" si="49"/>
        <v>987.82799999999997</v>
      </c>
      <c r="L54" s="20">
        <f t="shared" si="49"/>
        <v>78.360000000000014</v>
      </c>
      <c r="M54" s="20">
        <f t="shared" si="49"/>
        <v>0</v>
      </c>
      <c r="N54" s="20">
        <f t="shared" si="49"/>
        <v>0</v>
      </c>
      <c r="O54" s="20">
        <f t="shared" si="49"/>
        <v>22.856000000000002</v>
      </c>
      <c r="P54" s="20">
        <f t="shared" si="49"/>
        <v>0</v>
      </c>
      <c r="Q54" s="20">
        <f t="shared" si="49"/>
        <v>0</v>
      </c>
      <c r="R54" s="20">
        <f t="shared" si="49"/>
        <v>114.66400000000002</v>
      </c>
      <c r="S54" s="10">
        <f t="shared" si="33"/>
        <v>37641.525999999998</v>
      </c>
      <c r="T54" s="1093">
        <f t="shared" si="35"/>
        <v>2491.5660000000003</v>
      </c>
      <c r="U54" s="1093">
        <f t="shared" si="35"/>
        <v>9910.0519999999997</v>
      </c>
      <c r="V54" s="1093">
        <f t="shared" si="35"/>
        <v>228.56200000000001</v>
      </c>
      <c r="W54" s="1093">
        <f t="shared" si="35"/>
        <v>824.68400000000008</v>
      </c>
      <c r="X54" s="1093">
        <f t="shared" si="35"/>
        <v>21196.38</v>
      </c>
      <c r="Y54" s="1093">
        <f t="shared" si="36"/>
        <v>2990.2820000000006</v>
      </c>
    </row>
    <row r="55" spans="2:25">
      <c r="B55" s="2" t="s">
        <v>102</v>
      </c>
      <c r="C55" s="20">
        <f t="shared" ref="C55:R55" si="50">C90*0.2</f>
        <v>13020.536</v>
      </c>
      <c r="D55" s="20">
        <f t="shared" si="50"/>
        <v>26971.978000000003</v>
      </c>
      <c r="E55" s="20">
        <f t="shared" si="50"/>
        <v>2256.962</v>
      </c>
      <c r="F55" s="20">
        <f t="shared" si="50"/>
        <v>4454.8599999999997</v>
      </c>
      <c r="G55" s="20">
        <f t="shared" si="50"/>
        <v>145925.91</v>
      </c>
      <c r="H55" s="20">
        <f t="shared" si="50"/>
        <v>2487.9300000000003</v>
      </c>
      <c r="I55" s="20">
        <f t="shared" si="50"/>
        <v>2923.6460000000006</v>
      </c>
      <c r="J55" s="20">
        <f t="shared" si="50"/>
        <v>175.702</v>
      </c>
      <c r="K55" s="20">
        <f t="shared" si="50"/>
        <v>3149.694</v>
      </c>
      <c r="L55" s="20">
        <f t="shared" si="50"/>
        <v>607.29</v>
      </c>
      <c r="M55" s="20">
        <f t="shared" si="50"/>
        <v>78.360000000000014</v>
      </c>
      <c r="N55" s="20">
        <f t="shared" si="50"/>
        <v>0</v>
      </c>
      <c r="O55" s="20">
        <f t="shared" si="50"/>
        <v>51.426000000000002</v>
      </c>
      <c r="P55" s="20">
        <f t="shared" si="50"/>
        <v>0</v>
      </c>
      <c r="Q55" s="20">
        <f t="shared" si="50"/>
        <v>0</v>
      </c>
      <c r="R55" s="20">
        <f t="shared" si="50"/>
        <v>0</v>
      </c>
      <c r="S55" s="10">
        <f t="shared" si="33"/>
        <v>202104.29399999999</v>
      </c>
      <c r="T55" s="1093">
        <f t="shared" si="35"/>
        <v>13020.536</v>
      </c>
      <c r="U55" s="1093">
        <f t="shared" si="35"/>
        <v>26971.978000000003</v>
      </c>
      <c r="V55" s="1093">
        <f t="shared" si="35"/>
        <v>2256.962</v>
      </c>
      <c r="W55" s="1093">
        <f t="shared" si="35"/>
        <v>4454.8599999999997</v>
      </c>
      <c r="X55" s="1093">
        <f t="shared" si="35"/>
        <v>145925.91</v>
      </c>
      <c r="Y55" s="1093">
        <f t="shared" si="36"/>
        <v>9474.0480000000025</v>
      </c>
    </row>
    <row r="56" spans="2:25">
      <c r="B56" s="2" t="s">
        <v>103</v>
      </c>
      <c r="C56" s="20">
        <f t="shared" ref="C56:R56" si="51">C91*0.2</f>
        <v>6263.1779999999999</v>
      </c>
      <c r="D56" s="20">
        <f t="shared" si="51"/>
        <v>14832.258</v>
      </c>
      <c r="E56" s="20">
        <f t="shared" si="51"/>
        <v>308.55799999999999</v>
      </c>
      <c r="F56" s="20">
        <f t="shared" si="51"/>
        <v>1284.0860000000002</v>
      </c>
      <c r="G56" s="20">
        <f t="shared" si="51"/>
        <v>34086.6</v>
      </c>
      <c r="H56" s="20">
        <f t="shared" si="51"/>
        <v>1723.92</v>
      </c>
      <c r="I56" s="20">
        <f t="shared" si="51"/>
        <v>1052.3680000000002</v>
      </c>
      <c r="J56" s="20">
        <f t="shared" si="51"/>
        <v>117.54000000000002</v>
      </c>
      <c r="K56" s="20">
        <f t="shared" si="51"/>
        <v>1621.6240000000003</v>
      </c>
      <c r="L56" s="20">
        <f t="shared" si="51"/>
        <v>19.590000000000003</v>
      </c>
      <c r="M56" s="20">
        <f t="shared" si="51"/>
        <v>0</v>
      </c>
      <c r="N56" s="20">
        <f t="shared" si="51"/>
        <v>0</v>
      </c>
      <c r="O56" s="20">
        <f t="shared" si="51"/>
        <v>28.57</v>
      </c>
      <c r="P56" s="20">
        <f t="shared" si="51"/>
        <v>0</v>
      </c>
      <c r="Q56" s="20">
        <f t="shared" si="51"/>
        <v>0</v>
      </c>
      <c r="R56" s="20">
        <f t="shared" si="51"/>
        <v>0</v>
      </c>
      <c r="S56" s="10">
        <f t="shared" si="33"/>
        <v>61338.292000000001</v>
      </c>
      <c r="T56" s="1093">
        <f t="shared" si="35"/>
        <v>6263.1779999999999</v>
      </c>
      <c r="U56" s="1093">
        <f t="shared" si="35"/>
        <v>14832.258</v>
      </c>
      <c r="V56" s="1093">
        <f t="shared" si="35"/>
        <v>308.55799999999999</v>
      </c>
      <c r="W56" s="1093">
        <f t="shared" si="35"/>
        <v>1284.0860000000002</v>
      </c>
      <c r="X56" s="1093">
        <f t="shared" si="35"/>
        <v>34086.6</v>
      </c>
      <c r="Y56" s="1093">
        <f t="shared" si="36"/>
        <v>4563.612000000001</v>
      </c>
    </row>
    <row r="57" spans="2:25">
      <c r="B57" s="2" t="s">
        <v>104</v>
      </c>
      <c r="C57" s="20">
        <f t="shared" ref="C57:R57" si="52">C92*0.2</f>
        <v>1515.816</v>
      </c>
      <c r="D57" s="20">
        <f t="shared" si="52"/>
        <v>2847.5920000000006</v>
      </c>
      <c r="E57" s="20">
        <f t="shared" si="52"/>
        <v>356.37</v>
      </c>
      <c r="F57" s="20">
        <f t="shared" si="52"/>
        <v>171.47200000000004</v>
      </c>
      <c r="G57" s="20">
        <f t="shared" si="52"/>
        <v>11127.12</v>
      </c>
      <c r="H57" s="20">
        <f t="shared" si="52"/>
        <v>411.39</v>
      </c>
      <c r="I57" s="20">
        <f t="shared" si="52"/>
        <v>351.78399999999999</v>
      </c>
      <c r="J57" s="20">
        <f t="shared" si="52"/>
        <v>0</v>
      </c>
      <c r="K57" s="20">
        <f t="shared" si="52"/>
        <v>323.52199999999999</v>
      </c>
      <c r="L57" s="20">
        <f t="shared" si="52"/>
        <v>0</v>
      </c>
      <c r="M57" s="20">
        <f t="shared" si="52"/>
        <v>0</v>
      </c>
      <c r="N57" s="20">
        <f t="shared" si="52"/>
        <v>0</v>
      </c>
      <c r="O57" s="20">
        <f t="shared" si="52"/>
        <v>5.7140000000000004</v>
      </c>
      <c r="P57" s="20">
        <f t="shared" si="52"/>
        <v>0</v>
      </c>
      <c r="Q57" s="20">
        <f t="shared" si="52"/>
        <v>0</v>
      </c>
      <c r="R57" s="20">
        <f t="shared" si="52"/>
        <v>0</v>
      </c>
      <c r="S57" s="10">
        <f t="shared" si="33"/>
        <v>17110.780000000002</v>
      </c>
      <c r="T57" s="1093">
        <f t="shared" si="35"/>
        <v>1515.816</v>
      </c>
      <c r="U57" s="1093">
        <f t="shared" si="35"/>
        <v>2847.5920000000006</v>
      </c>
      <c r="V57" s="1093">
        <f t="shared" si="35"/>
        <v>356.37</v>
      </c>
      <c r="W57" s="1093">
        <f t="shared" si="35"/>
        <v>171.47200000000004</v>
      </c>
      <c r="X57" s="1093">
        <f t="shared" si="35"/>
        <v>11127.12</v>
      </c>
      <c r="Y57" s="1093">
        <f t="shared" si="36"/>
        <v>1092.4099999999999</v>
      </c>
    </row>
    <row r="58" spans="2:25">
      <c r="B58" s="2" t="s">
        <v>105</v>
      </c>
      <c r="C58" s="20">
        <f t="shared" ref="C58:R58" si="53">C93*0.2</f>
        <v>16979.062000000002</v>
      </c>
      <c r="D58" s="20">
        <f t="shared" si="53"/>
        <v>36559.666000000005</v>
      </c>
      <c r="E58" s="20">
        <f t="shared" si="53"/>
        <v>2035.098</v>
      </c>
      <c r="F58" s="20">
        <f t="shared" si="53"/>
        <v>3587.8180000000011</v>
      </c>
      <c r="G58" s="20">
        <f t="shared" si="53"/>
        <v>111878.48999999999</v>
      </c>
      <c r="H58" s="20">
        <f t="shared" si="53"/>
        <v>3682.9200000000005</v>
      </c>
      <c r="I58" s="20">
        <f t="shared" si="53"/>
        <v>4146.5</v>
      </c>
      <c r="J58" s="20">
        <f t="shared" si="53"/>
        <v>129.78</v>
      </c>
      <c r="K58" s="20">
        <f t="shared" si="53"/>
        <v>4039.5339999999997</v>
      </c>
      <c r="L58" s="20">
        <f t="shared" si="53"/>
        <v>274.26</v>
      </c>
      <c r="M58" s="20">
        <f t="shared" si="53"/>
        <v>39.180000000000007</v>
      </c>
      <c r="N58" s="20">
        <f t="shared" si="53"/>
        <v>0</v>
      </c>
      <c r="O58" s="20">
        <f t="shared" si="53"/>
        <v>137.136</v>
      </c>
      <c r="P58" s="20">
        <f t="shared" si="53"/>
        <v>0</v>
      </c>
      <c r="Q58" s="20">
        <f t="shared" si="53"/>
        <v>0</v>
      </c>
      <c r="R58" s="20">
        <f t="shared" si="53"/>
        <v>0</v>
      </c>
      <c r="S58" s="10">
        <f t="shared" si="33"/>
        <v>183489.44400000002</v>
      </c>
      <c r="T58" s="1093">
        <f t="shared" si="35"/>
        <v>16979.062000000002</v>
      </c>
      <c r="U58" s="1093">
        <f t="shared" si="35"/>
        <v>36559.666000000005</v>
      </c>
      <c r="V58" s="1093">
        <f t="shared" si="35"/>
        <v>2035.098</v>
      </c>
      <c r="W58" s="1093">
        <f t="shared" si="35"/>
        <v>3587.8180000000011</v>
      </c>
      <c r="X58" s="1093">
        <f t="shared" si="35"/>
        <v>111878.48999999999</v>
      </c>
      <c r="Y58" s="1093">
        <f t="shared" si="36"/>
        <v>12449.310000000001</v>
      </c>
    </row>
    <row r="59" spans="2:25">
      <c r="B59" s="2" t="s">
        <v>106</v>
      </c>
      <c r="C59" s="20">
        <f t="shared" ref="C59:R59" si="54">C94*0.2</f>
        <v>2195.8759999999997</v>
      </c>
      <c r="D59" s="20">
        <f t="shared" si="54"/>
        <v>7051.9120000000012</v>
      </c>
      <c r="E59" s="20">
        <f t="shared" si="54"/>
        <v>149.83800000000002</v>
      </c>
      <c r="F59" s="20">
        <f t="shared" si="54"/>
        <v>212.68399999999997</v>
      </c>
      <c r="G59" s="20">
        <f t="shared" si="54"/>
        <v>16847.400000000001</v>
      </c>
      <c r="H59" s="20">
        <f t="shared" si="54"/>
        <v>333.03000000000003</v>
      </c>
      <c r="I59" s="20">
        <f t="shared" si="54"/>
        <v>798.47199999999998</v>
      </c>
      <c r="J59" s="20">
        <f t="shared" si="54"/>
        <v>0</v>
      </c>
      <c r="K59" s="20">
        <f t="shared" si="54"/>
        <v>602.31200000000001</v>
      </c>
      <c r="L59" s="20">
        <f t="shared" si="54"/>
        <v>0</v>
      </c>
      <c r="M59" s="20">
        <f t="shared" si="54"/>
        <v>0</v>
      </c>
      <c r="N59" s="20">
        <f t="shared" si="54"/>
        <v>0</v>
      </c>
      <c r="O59" s="20">
        <f t="shared" si="54"/>
        <v>17.141999999999999</v>
      </c>
      <c r="P59" s="20">
        <f t="shared" si="54"/>
        <v>9.5239999999999991</v>
      </c>
      <c r="Q59" s="20">
        <f t="shared" si="54"/>
        <v>0</v>
      </c>
      <c r="R59" s="20">
        <f t="shared" si="54"/>
        <v>0</v>
      </c>
      <c r="S59" s="10">
        <f t="shared" si="33"/>
        <v>28218.190000000002</v>
      </c>
      <c r="T59" s="1093">
        <f t="shared" si="35"/>
        <v>2195.8759999999997</v>
      </c>
      <c r="U59" s="1093">
        <f t="shared" si="35"/>
        <v>7051.9120000000012</v>
      </c>
      <c r="V59" s="1093">
        <f t="shared" si="35"/>
        <v>149.83800000000002</v>
      </c>
      <c r="W59" s="1093">
        <f t="shared" si="35"/>
        <v>212.68399999999997</v>
      </c>
      <c r="X59" s="1093">
        <f t="shared" si="35"/>
        <v>16847.400000000001</v>
      </c>
      <c r="Y59" s="1093">
        <f t="shared" si="36"/>
        <v>1760.4799999999998</v>
      </c>
    </row>
    <row r="60" spans="2:25">
      <c r="B60" s="2" t="s">
        <v>107</v>
      </c>
      <c r="C60" s="20">
        <f t="shared" ref="C60:R60" si="55">C95*0.2</f>
        <v>18920.16</v>
      </c>
      <c r="D60" s="20">
        <f t="shared" si="55"/>
        <v>31776.417999999994</v>
      </c>
      <c r="E60" s="20">
        <f t="shared" si="55"/>
        <v>3213.4140000000002</v>
      </c>
      <c r="F60" s="20">
        <f t="shared" si="55"/>
        <v>2169.6340000000005</v>
      </c>
      <c r="G60" s="20">
        <f t="shared" si="55"/>
        <v>178033.92000000001</v>
      </c>
      <c r="H60" s="20">
        <f t="shared" si="55"/>
        <v>1900.23</v>
      </c>
      <c r="I60" s="20">
        <f t="shared" si="55"/>
        <v>3824.3180000000002</v>
      </c>
      <c r="J60" s="20">
        <f t="shared" si="55"/>
        <v>325.57600000000002</v>
      </c>
      <c r="K60" s="20">
        <f t="shared" si="55"/>
        <v>3822.1160000000004</v>
      </c>
      <c r="L60" s="20">
        <f t="shared" si="55"/>
        <v>215.49</v>
      </c>
      <c r="M60" s="20">
        <f t="shared" si="55"/>
        <v>39.180000000000007</v>
      </c>
      <c r="N60" s="20">
        <f t="shared" si="55"/>
        <v>0</v>
      </c>
      <c r="O60" s="20">
        <f t="shared" si="55"/>
        <v>39.998000000000005</v>
      </c>
      <c r="P60" s="20">
        <f t="shared" si="55"/>
        <v>0</v>
      </c>
      <c r="Q60" s="20">
        <f t="shared" si="55"/>
        <v>0</v>
      </c>
      <c r="R60" s="20">
        <f t="shared" si="55"/>
        <v>0</v>
      </c>
      <c r="S60" s="10">
        <f t="shared" si="33"/>
        <v>244280.454</v>
      </c>
      <c r="T60" s="1093">
        <f t="shared" si="35"/>
        <v>18920.16</v>
      </c>
      <c r="U60" s="1093">
        <f t="shared" si="35"/>
        <v>31776.417999999994</v>
      </c>
      <c r="V60" s="1093">
        <f t="shared" si="35"/>
        <v>3213.4140000000002</v>
      </c>
      <c r="W60" s="1093">
        <f t="shared" si="35"/>
        <v>2169.6340000000005</v>
      </c>
      <c r="X60" s="1093">
        <f t="shared" si="35"/>
        <v>178033.92000000001</v>
      </c>
      <c r="Y60" s="1093">
        <f t="shared" si="36"/>
        <v>10166.908000000001</v>
      </c>
    </row>
    <row r="61" spans="2:25">
      <c r="B61" s="2" t="s">
        <v>108</v>
      </c>
      <c r="C61" s="20">
        <f t="shared" ref="C61:R61" si="56">C96*0.2</f>
        <v>1316.2600000000002</v>
      </c>
      <c r="D61" s="20">
        <f t="shared" si="56"/>
        <v>2198.422</v>
      </c>
      <c r="E61" s="20">
        <f t="shared" si="56"/>
        <v>80.63600000000001</v>
      </c>
      <c r="F61" s="20">
        <f t="shared" si="56"/>
        <v>545.11800000000005</v>
      </c>
      <c r="G61" s="20">
        <f t="shared" si="56"/>
        <v>16592.73</v>
      </c>
      <c r="H61" s="20">
        <f t="shared" si="56"/>
        <v>509.34</v>
      </c>
      <c r="I61" s="20">
        <f t="shared" si="56"/>
        <v>183.49600000000001</v>
      </c>
      <c r="J61" s="20">
        <f t="shared" si="56"/>
        <v>0</v>
      </c>
      <c r="K61" s="20">
        <f t="shared" si="56"/>
        <v>279.39400000000001</v>
      </c>
      <c r="L61" s="20">
        <f t="shared" si="56"/>
        <v>97.95</v>
      </c>
      <c r="M61" s="20">
        <f t="shared" si="56"/>
        <v>0</v>
      </c>
      <c r="N61" s="20">
        <f t="shared" si="56"/>
        <v>0</v>
      </c>
      <c r="O61" s="20">
        <f t="shared" si="56"/>
        <v>0</v>
      </c>
      <c r="P61" s="20">
        <f t="shared" si="56"/>
        <v>0</v>
      </c>
      <c r="Q61" s="20">
        <f t="shared" si="56"/>
        <v>0</v>
      </c>
      <c r="R61" s="20">
        <f t="shared" si="56"/>
        <v>0</v>
      </c>
      <c r="S61" s="10">
        <f t="shared" si="33"/>
        <v>21803.346000000001</v>
      </c>
      <c r="T61" s="1093">
        <f t="shared" si="35"/>
        <v>1316.2600000000002</v>
      </c>
      <c r="U61" s="1093">
        <f t="shared" si="35"/>
        <v>2198.422</v>
      </c>
      <c r="V61" s="1093">
        <f t="shared" si="35"/>
        <v>80.63600000000001</v>
      </c>
      <c r="W61" s="1093">
        <f t="shared" si="35"/>
        <v>545.11800000000005</v>
      </c>
      <c r="X61" s="1093">
        <f t="shared" si="35"/>
        <v>16592.73</v>
      </c>
      <c r="Y61" s="1093">
        <f t="shared" si="36"/>
        <v>1070.18</v>
      </c>
    </row>
    <row r="62" spans="2:25">
      <c r="B62" s="2" t="s">
        <v>109</v>
      </c>
      <c r="C62" s="20">
        <f t="shared" ref="C62:R62" si="57">C97*0.2</f>
        <v>453.32</v>
      </c>
      <c r="D62" s="20">
        <f t="shared" si="57"/>
        <v>48.098000000000049</v>
      </c>
      <c r="E62" s="20">
        <f t="shared" si="57"/>
        <v>38.094000000000001</v>
      </c>
      <c r="F62" s="20">
        <f t="shared" si="57"/>
        <v>13.476000000000006</v>
      </c>
      <c r="G62" s="20">
        <f t="shared" si="57"/>
        <v>1959</v>
      </c>
      <c r="H62" s="20">
        <f t="shared" si="57"/>
        <v>78.360000000000014</v>
      </c>
      <c r="I62" s="20">
        <f t="shared" si="57"/>
        <v>31.36</v>
      </c>
      <c r="J62" s="20">
        <f t="shared" si="57"/>
        <v>0</v>
      </c>
      <c r="K62" s="20">
        <f t="shared" si="57"/>
        <v>24.936</v>
      </c>
      <c r="L62" s="20">
        <f t="shared" si="57"/>
        <v>0</v>
      </c>
      <c r="M62" s="20">
        <f t="shared" si="57"/>
        <v>0</v>
      </c>
      <c r="N62" s="20">
        <f t="shared" si="57"/>
        <v>0</v>
      </c>
      <c r="O62" s="20">
        <f t="shared" si="57"/>
        <v>0</v>
      </c>
      <c r="P62" s="20">
        <f t="shared" si="57"/>
        <v>0</v>
      </c>
      <c r="Q62" s="20">
        <f t="shared" si="57"/>
        <v>0</v>
      </c>
      <c r="R62" s="20">
        <f t="shared" si="57"/>
        <v>0</v>
      </c>
      <c r="S62" s="10">
        <f t="shared" si="33"/>
        <v>2646.6440000000007</v>
      </c>
      <c r="T62" s="1093">
        <f t="shared" si="35"/>
        <v>453.32</v>
      </c>
      <c r="U62" s="1093">
        <f t="shared" si="35"/>
        <v>48.098000000000049</v>
      </c>
      <c r="V62" s="1093">
        <f t="shared" si="35"/>
        <v>38.094000000000001</v>
      </c>
      <c r="W62" s="1093">
        <f t="shared" si="35"/>
        <v>13.476000000000006</v>
      </c>
      <c r="X62" s="1093">
        <f t="shared" si="35"/>
        <v>1959</v>
      </c>
      <c r="Y62" s="1093">
        <f t="shared" si="36"/>
        <v>134.65600000000001</v>
      </c>
    </row>
    <row r="63" spans="2:25">
      <c r="B63" s="2" t="s">
        <v>110</v>
      </c>
      <c r="C63" s="20">
        <f t="shared" ref="C63:R63" si="58">C98*0.2</f>
        <v>8865.1880000000001</v>
      </c>
      <c r="D63" s="20">
        <f t="shared" si="58"/>
        <v>21207.63</v>
      </c>
      <c r="E63" s="20">
        <f t="shared" si="58"/>
        <v>1262.558</v>
      </c>
      <c r="F63" s="20">
        <f t="shared" si="58"/>
        <v>1447.3460000000002</v>
      </c>
      <c r="G63" s="20">
        <f t="shared" si="58"/>
        <v>114856.17</v>
      </c>
      <c r="H63" s="20">
        <f t="shared" si="58"/>
        <v>2331.2100000000005</v>
      </c>
      <c r="I63" s="20">
        <f t="shared" si="58"/>
        <v>2285.8700000000003</v>
      </c>
      <c r="J63" s="20">
        <f t="shared" si="58"/>
        <v>0</v>
      </c>
      <c r="K63" s="20">
        <f t="shared" si="58"/>
        <v>2163.8300000000004</v>
      </c>
      <c r="L63" s="20">
        <f t="shared" si="58"/>
        <v>156.72000000000003</v>
      </c>
      <c r="M63" s="20">
        <f t="shared" si="58"/>
        <v>39.180000000000007</v>
      </c>
      <c r="N63" s="20">
        <f t="shared" si="58"/>
        <v>0</v>
      </c>
      <c r="O63" s="20">
        <f t="shared" si="58"/>
        <v>45.712000000000003</v>
      </c>
      <c r="P63" s="20">
        <f t="shared" si="58"/>
        <v>0</v>
      </c>
      <c r="Q63" s="20">
        <f t="shared" si="58"/>
        <v>0</v>
      </c>
      <c r="R63" s="20">
        <f t="shared" si="58"/>
        <v>0</v>
      </c>
      <c r="S63" s="10">
        <f t="shared" si="33"/>
        <v>154661.41399999996</v>
      </c>
      <c r="T63" s="1093">
        <f t="shared" si="35"/>
        <v>8865.1880000000001</v>
      </c>
      <c r="U63" s="1093">
        <f t="shared" si="35"/>
        <v>21207.63</v>
      </c>
      <c r="V63" s="1093">
        <f t="shared" si="35"/>
        <v>1262.558</v>
      </c>
      <c r="W63" s="1093">
        <f t="shared" si="35"/>
        <v>1447.3460000000002</v>
      </c>
      <c r="X63" s="1093">
        <f t="shared" si="35"/>
        <v>114856.17</v>
      </c>
      <c r="Y63" s="1093">
        <f t="shared" si="36"/>
        <v>7022.5220000000027</v>
      </c>
    </row>
    <row r="64" spans="2:25">
      <c r="B64" s="2" t="s">
        <v>111</v>
      </c>
      <c r="C64" s="20">
        <f t="shared" ref="C64:P64" si="59">C99*0.2</f>
        <v>59569.490000000005</v>
      </c>
      <c r="D64" s="20">
        <f t="shared" si="59"/>
        <v>147702.82999999999</v>
      </c>
      <c r="E64" s="20">
        <f t="shared" si="59"/>
        <v>5287.6559999999999</v>
      </c>
      <c r="F64" s="20">
        <f t="shared" si="59"/>
        <v>16585.16</v>
      </c>
      <c r="G64" s="20">
        <f t="shared" si="59"/>
        <v>626860.41</v>
      </c>
      <c r="H64" s="20">
        <f t="shared" si="59"/>
        <v>10147.620000000001</v>
      </c>
      <c r="I64" s="20">
        <f t="shared" si="59"/>
        <v>25191.460000000006</v>
      </c>
      <c r="J64" s="20">
        <f t="shared" si="59"/>
        <v>0</v>
      </c>
      <c r="K64" s="20">
        <f t="shared" si="59"/>
        <v>14623.690000000002</v>
      </c>
      <c r="L64" s="20">
        <f t="shared" si="59"/>
        <v>1214.58</v>
      </c>
      <c r="M64" s="20">
        <f t="shared" si="59"/>
        <v>195.9</v>
      </c>
      <c r="N64" s="20">
        <f t="shared" si="59"/>
        <v>0</v>
      </c>
      <c r="O64" s="20">
        <f t="shared" si="59"/>
        <v>359.98200000000003</v>
      </c>
      <c r="P64" s="20">
        <f t="shared" si="59"/>
        <v>9.5239999999999991</v>
      </c>
      <c r="Q64" s="20">
        <v>0</v>
      </c>
      <c r="R64" s="20">
        <v>0</v>
      </c>
      <c r="S64" s="10">
        <f t="shared" si="33"/>
        <v>907748.30200000003</v>
      </c>
      <c r="T64" s="1093">
        <f t="shared" si="35"/>
        <v>59569.490000000005</v>
      </c>
      <c r="U64" s="1093">
        <f t="shared" si="35"/>
        <v>147702.82999999999</v>
      </c>
      <c r="V64" s="1093">
        <f t="shared" si="35"/>
        <v>5287.6559999999999</v>
      </c>
      <c r="W64" s="1093">
        <f t="shared" si="35"/>
        <v>16585.16</v>
      </c>
      <c r="X64" s="1093">
        <f t="shared" si="35"/>
        <v>626860.41</v>
      </c>
      <c r="Y64" s="1093">
        <f t="shared" si="36"/>
        <v>51742.756000000016</v>
      </c>
    </row>
    <row r="65" spans="2:25">
      <c r="B65" s="2" t="s">
        <v>112</v>
      </c>
      <c r="C65" s="20">
        <f t="shared" ref="C65:P65" si="60">C100*0.2</f>
        <v>1835.6000000000001</v>
      </c>
      <c r="D65" s="20">
        <f t="shared" si="60"/>
        <v>4631.920000000001</v>
      </c>
      <c r="E65" s="20">
        <f t="shared" si="60"/>
        <v>91.424000000000007</v>
      </c>
      <c r="F65" s="20">
        <f t="shared" si="60"/>
        <v>312.90200000000004</v>
      </c>
      <c r="G65" s="20">
        <f t="shared" si="60"/>
        <v>14986.35</v>
      </c>
      <c r="H65" s="20">
        <f t="shared" si="60"/>
        <v>705.24</v>
      </c>
      <c r="I65" s="20">
        <f t="shared" si="60"/>
        <v>511.17199999999997</v>
      </c>
      <c r="J65" s="20">
        <f t="shared" si="60"/>
        <v>0</v>
      </c>
      <c r="K65" s="20">
        <f t="shared" si="60"/>
        <v>483.58000000000004</v>
      </c>
      <c r="L65" s="20">
        <f t="shared" si="60"/>
        <v>78.360000000000014</v>
      </c>
      <c r="M65" s="20">
        <f t="shared" si="60"/>
        <v>0</v>
      </c>
      <c r="N65" s="20">
        <f t="shared" si="60"/>
        <v>0</v>
      </c>
      <c r="O65" s="20">
        <f t="shared" si="60"/>
        <v>0</v>
      </c>
      <c r="P65" s="20">
        <f t="shared" si="60"/>
        <v>0</v>
      </c>
      <c r="Q65" s="20">
        <f>Q100*0.2</f>
        <v>0</v>
      </c>
      <c r="R65" s="20">
        <f>R100*0.2</f>
        <v>103.76600000000002</v>
      </c>
      <c r="S65" s="10">
        <f t="shared" si="33"/>
        <v>23740.314000000006</v>
      </c>
      <c r="T65" s="1093">
        <f t="shared" si="35"/>
        <v>1835.6000000000001</v>
      </c>
      <c r="U65" s="1093">
        <f t="shared" si="35"/>
        <v>4631.920000000001</v>
      </c>
      <c r="V65" s="1093">
        <f t="shared" si="35"/>
        <v>91.424000000000007</v>
      </c>
      <c r="W65" s="1093">
        <f t="shared" si="35"/>
        <v>312.90200000000004</v>
      </c>
      <c r="X65" s="1093">
        <f t="shared" si="35"/>
        <v>14986.35</v>
      </c>
      <c r="Y65" s="1093">
        <f t="shared" si="36"/>
        <v>1882.1180000000004</v>
      </c>
    </row>
    <row r="66" spans="2:25">
      <c r="B66" s="2" t="s">
        <v>113</v>
      </c>
      <c r="C66" s="20">
        <f t="shared" ref="C66:P66" si="61">C101*0.2</f>
        <v>725.39</v>
      </c>
      <c r="D66" s="20">
        <f t="shared" si="61"/>
        <v>2505.2540000000004</v>
      </c>
      <c r="E66" s="20">
        <f t="shared" si="61"/>
        <v>211.42</v>
      </c>
      <c r="F66" s="20">
        <f t="shared" si="61"/>
        <v>298.45999999999998</v>
      </c>
      <c r="G66" s="20">
        <f t="shared" si="61"/>
        <v>8913.4500000000007</v>
      </c>
      <c r="H66" s="20">
        <f t="shared" si="61"/>
        <v>215.49</v>
      </c>
      <c r="I66" s="20">
        <f t="shared" si="61"/>
        <v>265.38800000000003</v>
      </c>
      <c r="J66" s="20">
        <f t="shared" si="61"/>
        <v>0</v>
      </c>
      <c r="K66" s="20">
        <f t="shared" si="61"/>
        <v>374.41800000000006</v>
      </c>
      <c r="L66" s="20">
        <f t="shared" si="61"/>
        <v>39.180000000000007</v>
      </c>
      <c r="M66" s="20">
        <f t="shared" si="61"/>
        <v>0</v>
      </c>
      <c r="N66" s="20">
        <f t="shared" si="61"/>
        <v>0</v>
      </c>
      <c r="O66" s="20">
        <f t="shared" si="61"/>
        <v>0</v>
      </c>
      <c r="P66" s="20">
        <f t="shared" si="61"/>
        <v>0</v>
      </c>
      <c r="Q66" s="20">
        <f>Q101*0.2</f>
        <v>14.526</v>
      </c>
      <c r="R66" s="20">
        <f>R101*0.2</f>
        <v>0</v>
      </c>
      <c r="S66" s="10">
        <f t="shared" si="33"/>
        <v>13562.976000000002</v>
      </c>
      <c r="T66" s="1093">
        <f t="shared" si="35"/>
        <v>725.39</v>
      </c>
      <c r="U66" s="1093">
        <f t="shared" si="35"/>
        <v>2505.2540000000004</v>
      </c>
      <c r="V66" s="1093">
        <f t="shared" si="35"/>
        <v>211.42</v>
      </c>
      <c r="W66" s="1093">
        <f t="shared" si="35"/>
        <v>298.45999999999998</v>
      </c>
      <c r="X66" s="1093">
        <f t="shared" si="35"/>
        <v>8913.4500000000007</v>
      </c>
      <c r="Y66" s="1093">
        <f t="shared" si="36"/>
        <v>909.00200000000007</v>
      </c>
    </row>
    <row r="67" spans="2:25">
      <c r="B67" s="7" t="s">
        <v>37</v>
      </c>
      <c r="C67" s="8">
        <f t="shared" ref="C67:T67" si="62">SUM(C40:C66)</f>
        <v>192233.96400000004</v>
      </c>
      <c r="D67" s="8">
        <f t="shared" si="62"/>
        <v>455000.17200000002</v>
      </c>
      <c r="E67" s="8">
        <f t="shared" si="62"/>
        <v>22043.035999999996</v>
      </c>
      <c r="F67" s="8">
        <f t="shared" si="62"/>
        <v>41438.307999999997</v>
      </c>
      <c r="G67" s="8">
        <f t="shared" si="62"/>
        <v>1753559.6700000002</v>
      </c>
      <c r="H67" s="8">
        <f t="shared" si="62"/>
        <v>36496.17</v>
      </c>
      <c r="I67" s="8">
        <f t="shared" si="62"/>
        <v>59608.37</v>
      </c>
      <c r="J67" s="8">
        <f t="shared" si="62"/>
        <v>1432.3040000000001</v>
      </c>
      <c r="K67" s="8">
        <f t="shared" si="62"/>
        <v>46712.732000000011</v>
      </c>
      <c r="L67" s="8">
        <f t="shared" si="62"/>
        <v>4701.6000000000004</v>
      </c>
      <c r="M67" s="8">
        <f t="shared" si="62"/>
        <v>470.16000000000008</v>
      </c>
      <c r="N67" s="8">
        <f t="shared" si="62"/>
        <v>476.74200000000008</v>
      </c>
      <c r="O67" s="8">
        <f t="shared" si="62"/>
        <v>942.81</v>
      </c>
      <c r="P67" s="8">
        <f t="shared" si="62"/>
        <v>19.047999999999998</v>
      </c>
      <c r="Q67" s="8">
        <f t="shared" si="62"/>
        <v>25.28</v>
      </c>
      <c r="R67" s="8">
        <f t="shared" si="62"/>
        <v>218.43000000000004</v>
      </c>
      <c r="S67" s="11">
        <f t="shared" si="62"/>
        <v>2615378.7959999992</v>
      </c>
      <c r="T67" s="1093">
        <f t="shared" si="62"/>
        <v>192233.96400000004</v>
      </c>
      <c r="U67" s="1093">
        <f t="shared" ref="U67:Y67" si="63">SUM(U40:U66)</f>
        <v>455000.17200000002</v>
      </c>
      <c r="V67" s="1093">
        <f t="shared" si="63"/>
        <v>22043.035999999996</v>
      </c>
      <c r="W67" s="1093">
        <f t="shared" si="63"/>
        <v>41438.307999999997</v>
      </c>
      <c r="X67" s="1093">
        <f t="shared" si="63"/>
        <v>1753559.6700000002</v>
      </c>
      <c r="Y67" s="1093">
        <f t="shared" si="63"/>
        <v>151103.64600000001</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3080.68</v>
      </c>
      <c r="D75" s="20">
        <v>10423.89</v>
      </c>
      <c r="E75" s="20">
        <v>491.42</v>
      </c>
      <c r="F75" s="20">
        <v>2196.48</v>
      </c>
      <c r="G75" s="20">
        <v>30070.65</v>
      </c>
      <c r="H75" s="20">
        <v>1273.3500000000001</v>
      </c>
      <c r="I75" s="20">
        <v>693.66</v>
      </c>
      <c r="J75" s="20">
        <v>0</v>
      </c>
      <c r="K75" s="20">
        <v>1035.0700000000002</v>
      </c>
      <c r="L75" s="20">
        <v>685.65</v>
      </c>
      <c r="M75" s="20">
        <v>0</v>
      </c>
      <c r="N75" s="20">
        <v>0</v>
      </c>
      <c r="O75" s="20">
        <v>0</v>
      </c>
      <c r="P75" s="20">
        <v>0</v>
      </c>
      <c r="Q75" s="20">
        <v>0</v>
      </c>
      <c r="R75" s="20">
        <v>0</v>
      </c>
      <c r="S75" s="10">
        <f t="shared" ref="S75:S101" si="64">SUM(C75:R75)</f>
        <v>49950.850000000006</v>
      </c>
      <c r="T75" s="1093">
        <f>C75</f>
        <v>3080.68</v>
      </c>
      <c r="U75" s="1093">
        <f>D75</f>
        <v>10423.89</v>
      </c>
      <c r="V75" s="1093">
        <f>E75</f>
        <v>491.42</v>
      </c>
      <c r="W75" s="1093">
        <f>F75</f>
        <v>2196.48</v>
      </c>
      <c r="X75" s="1093">
        <f>G75</f>
        <v>30070.65</v>
      </c>
      <c r="Y75" s="1093">
        <f>SUM(H75:R75)</f>
        <v>3687.7300000000005</v>
      </c>
    </row>
    <row r="76" spans="2:25">
      <c r="B76" s="2" t="s">
        <v>88</v>
      </c>
      <c r="C76" s="20">
        <v>9423.98</v>
      </c>
      <c r="D76" s="20">
        <v>32616.930000000004</v>
      </c>
      <c r="E76" s="20">
        <v>317.45</v>
      </c>
      <c r="F76" s="20">
        <v>419.14000000000004</v>
      </c>
      <c r="G76" s="20">
        <v>77674.350000000006</v>
      </c>
      <c r="H76" s="20">
        <v>979.5</v>
      </c>
      <c r="I76" s="20">
        <v>3211.33</v>
      </c>
      <c r="J76" s="20">
        <v>0</v>
      </c>
      <c r="K76" s="20">
        <v>3342.65</v>
      </c>
      <c r="L76" s="20">
        <v>97.95</v>
      </c>
      <c r="M76" s="20">
        <v>0</v>
      </c>
      <c r="N76" s="20">
        <v>0</v>
      </c>
      <c r="O76" s="20">
        <v>142.85</v>
      </c>
      <c r="P76" s="20">
        <v>0</v>
      </c>
      <c r="Q76" s="20">
        <v>0</v>
      </c>
      <c r="R76" s="20">
        <v>0</v>
      </c>
      <c r="S76" s="10">
        <f t="shared" si="64"/>
        <v>128226.13</v>
      </c>
      <c r="T76" s="1093">
        <f t="shared" ref="T76:X101" si="65">C76</f>
        <v>9423.98</v>
      </c>
      <c r="U76" s="1093">
        <f t="shared" si="65"/>
        <v>32616.930000000004</v>
      </c>
      <c r="V76" s="1093">
        <f t="shared" si="65"/>
        <v>317.45</v>
      </c>
      <c r="W76" s="1093">
        <f t="shared" si="65"/>
        <v>419.14000000000004</v>
      </c>
      <c r="X76" s="1093">
        <f t="shared" si="65"/>
        <v>77674.350000000006</v>
      </c>
      <c r="Y76" s="1093">
        <f t="shared" ref="Y76:Y101" si="66">SUM(H76:R76)</f>
        <v>7774.28</v>
      </c>
    </row>
    <row r="77" spans="2:25">
      <c r="B77" s="2" t="s">
        <v>89</v>
      </c>
      <c r="C77" s="20">
        <v>2905.69</v>
      </c>
      <c r="D77" s="20">
        <v>12605.029999999999</v>
      </c>
      <c r="E77" s="20">
        <v>333.31</v>
      </c>
      <c r="F77" s="20">
        <v>1527.39</v>
      </c>
      <c r="G77" s="20">
        <v>32617.35</v>
      </c>
      <c r="H77" s="20">
        <v>1665.15</v>
      </c>
      <c r="I77" s="20">
        <v>888.56</v>
      </c>
      <c r="J77" s="20">
        <v>0</v>
      </c>
      <c r="K77" s="20">
        <v>1190.0900000000001</v>
      </c>
      <c r="L77" s="20">
        <v>293.85000000000002</v>
      </c>
      <c r="M77" s="20">
        <v>0</v>
      </c>
      <c r="N77" s="20">
        <v>0</v>
      </c>
      <c r="O77" s="20">
        <v>0</v>
      </c>
      <c r="P77" s="20">
        <v>0</v>
      </c>
      <c r="Q77" s="20">
        <v>0</v>
      </c>
      <c r="R77" s="20">
        <v>0</v>
      </c>
      <c r="S77" s="10">
        <f t="shared" si="64"/>
        <v>54026.419999999991</v>
      </c>
      <c r="T77" s="1093">
        <f t="shared" si="65"/>
        <v>2905.69</v>
      </c>
      <c r="U77" s="1093">
        <f t="shared" si="65"/>
        <v>12605.029999999999</v>
      </c>
      <c r="V77" s="1093">
        <f t="shared" si="65"/>
        <v>333.31</v>
      </c>
      <c r="W77" s="1093">
        <f t="shared" si="65"/>
        <v>1527.39</v>
      </c>
      <c r="X77" s="1093">
        <f t="shared" si="65"/>
        <v>32617.35</v>
      </c>
      <c r="Y77" s="1093">
        <f t="shared" si="66"/>
        <v>4037.65</v>
      </c>
    </row>
    <row r="78" spans="2:25">
      <c r="B78" s="2" t="s">
        <v>90</v>
      </c>
      <c r="C78" s="20">
        <v>9962.56</v>
      </c>
      <c r="D78" s="20">
        <v>25996.240000000005</v>
      </c>
      <c r="E78" s="20">
        <v>971.44</v>
      </c>
      <c r="F78" s="20">
        <v>1853.9099999999999</v>
      </c>
      <c r="G78" s="20">
        <v>67487.55</v>
      </c>
      <c r="H78" s="20">
        <v>2840.5499999999997</v>
      </c>
      <c r="I78" s="20">
        <v>2369.2799999999997</v>
      </c>
      <c r="J78" s="20">
        <v>0</v>
      </c>
      <c r="K78" s="20">
        <v>2808.7</v>
      </c>
      <c r="L78" s="20">
        <v>391.8</v>
      </c>
      <c r="M78" s="20">
        <v>0</v>
      </c>
      <c r="N78" s="20">
        <v>1605.81</v>
      </c>
      <c r="O78" s="20">
        <v>0</v>
      </c>
      <c r="P78" s="20">
        <v>0</v>
      </c>
      <c r="Q78" s="20">
        <v>0</v>
      </c>
      <c r="R78" s="20">
        <v>0</v>
      </c>
      <c r="S78" s="10">
        <f t="shared" si="64"/>
        <v>116287.84000000001</v>
      </c>
      <c r="T78" s="1093">
        <f t="shared" si="65"/>
        <v>9962.56</v>
      </c>
      <c r="U78" s="1093">
        <f t="shared" si="65"/>
        <v>25996.240000000005</v>
      </c>
      <c r="V78" s="1093">
        <f t="shared" si="65"/>
        <v>971.44</v>
      </c>
      <c r="W78" s="1093">
        <f t="shared" si="65"/>
        <v>1853.9099999999999</v>
      </c>
      <c r="X78" s="1093">
        <f t="shared" si="65"/>
        <v>67487.55</v>
      </c>
      <c r="Y78" s="1093">
        <f t="shared" si="66"/>
        <v>10016.14</v>
      </c>
    </row>
    <row r="79" spans="2:25">
      <c r="B79" s="2" t="s">
        <v>91</v>
      </c>
      <c r="C79" s="20">
        <v>30433.14</v>
      </c>
      <c r="D79" s="20">
        <v>65248.47</v>
      </c>
      <c r="E79" s="20">
        <v>2276.17</v>
      </c>
      <c r="F79" s="20">
        <v>5287.38</v>
      </c>
      <c r="G79" s="20">
        <v>189729.15</v>
      </c>
      <c r="H79" s="20">
        <v>5485.2</v>
      </c>
      <c r="I79" s="20">
        <v>5813.8300000000008</v>
      </c>
      <c r="J79" s="20">
        <v>0</v>
      </c>
      <c r="K79" s="20">
        <v>7211.8499999999995</v>
      </c>
      <c r="L79" s="20">
        <v>97.95</v>
      </c>
      <c r="M79" s="20">
        <v>0</v>
      </c>
      <c r="N79" s="20">
        <v>0</v>
      </c>
      <c r="O79" s="20">
        <v>142.85</v>
      </c>
      <c r="P79" s="20">
        <v>0</v>
      </c>
      <c r="Q79" s="20">
        <v>0</v>
      </c>
      <c r="R79" s="20">
        <v>0</v>
      </c>
      <c r="S79" s="10">
        <f t="shared" si="64"/>
        <v>311725.99</v>
      </c>
      <c r="T79" s="1093">
        <f t="shared" si="65"/>
        <v>30433.14</v>
      </c>
      <c r="U79" s="1093">
        <f t="shared" si="65"/>
        <v>65248.47</v>
      </c>
      <c r="V79" s="1093">
        <f t="shared" si="65"/>
        <v>2276.17</v>
      </c>
      <c r="W79" s="1093">
        <f t="shared" si="65"/>
        <v>5287.38</v>
      </c>
      <c r="X79" s="1093">
        <f t="shared" si="65"/>
        <v>189729.15</v>
      </c>
      <c r="Y79" s="1093">
        <f t="shared" si="66"/>
        <v>18751.68</v>
      </c>
    </row>
    <row r="80" spans="2:25">
      <c r="B80" s="2" t="s">
        <v>92</v>
      </c>
      <c r="C80" s="20">
        <v>19021.95</v>
      </c>
      <c r="D80" s="20">
        <v>45155.31</v>
      </c>
      <c r="E80" s="20">
        <v>1023.75</v>
      </c>
      <c r="F80" s="20">
        <v>1199.4000000000001</v>
      </c>
      <c r="G80" s="20">
        <v>132918.15</v>
      </c>
      <c r="H80" s="20">
        <v>3722.1</v>
      </c>
      <c r="I80" s="20">
        <v>3470.9200000000005</v>
      </c>
      <c r="J80" s="20">
        <v>293.85000000000002</v>
      </c>
      <c r="K80" s="20">
        <v>4419.2400000000007</v>
      </c>
      <c r="L80" s="20">
        <v>489.75</v>
      </c>
      <c r="M80" s="20">
        <v>0</v>
      </c>
      <c r="N80" s="20">
        <v>0</v>
      </c>
      <c r="O80" s="20">
        <v>85.71</v>
      </c>
      <c r="P80" s="20">
        <v>0</v>
      </c>
      <c r="Q80" s="20">
        <v>0</v>
      </c>
      <c r="R80" s="20">
        <v>0</v>
      </c>
      <c r="S80" s="10">
        <f t="shared" si="64"/>
        <v>211800.13</v>
      </c>
      <c r="T80" s="1093">
        <f t="shared" si="65"/>
        <v>19021.95</v>
      </c>
      <c r="U80" s="1093">
        <f t="shared" si="65"/>
        <v>45155.31</v>
      </c>
      <c r="V80" s="1093">
        <f t="shared" si="65"/>
        <v>1023.75</v>
      </c>
      <c r="W80" s="1093">
        <f t="shared" si="65"/>
        <v>1199.4000000000001</v>
      </c>
      <c r="X80" s="1093">
        <f t="shared" si="65"/>
        <v>132918.15</v>
      </c>
      <c r="Y80" s="1093">
        <f t="shared" si="66"/>
        <v>12481.57</v>
      </c>
    </row>
    <row r="81" spans="2:25">
      <c r="B81" s="2" t="s">
        <v>93</v>
      </c>
      <c r="C81" s="20">
        <v>26970.51</v>
      </c>
      <c r="D81" s="20">
        <v>87933.950000000012</v>
      </c>
      <c r="E81" s="20">
        <v>5135.5600000000004</v>
      </c>
      <c r="F81" s="20">
        <v>1202.6899999999996</v>
      </c>
      <c r="G81" s="20">
        <v>163968.29999999999</v>
      </c>
      <c r="H81" s="20">
        <v>6268.8</v>
      </c>
      <c r="I81" s="20">
        <v>9781.5499999999993</v>
      </c>
      <c r="J81" s="20">
        <v>0</v>
      </c>
      <c r="K81" s="20">
        <v>9260.32</v>
      </c>
      <c r="L81" s="20">
        <v>391.8</v>
      </c>
      <c r="M81" s="20">
        <v>0</v>
      </c>
      <c r="N81" s="20">
        <v>0</v>
      </c>
      <c r="O81" s="20">
        <v>85.71</v>
      </c>
      <c r="P81" s="20">
        <v>0</v>
      </c>
      <c r="Q81" s="20">
        <v>0</v>
      </c>
      <c r="R81" s="20">
        <v>0</v>
      </c>
      <c r="S81" s="10">
        <f t="shared" si="64"/>
        <v>310999.19</v>
      </c>
      <c r="T81" s="1093">
        <f t="shared" si="65"/>
        <v>26970.51</v>
      </c>
      <c r="U81" s="1093">
        <f t="shared" si="65"/>
        <v>87933.950000000012</v>
      </c>
      <c r="V81" s="1093">
        <f t="shared" si="65"/>
        <v>5135.5600000000004</v>
      </c>
      <c r="W81" s="1093">
        <f t="shared" si="65"/>
        <v>1202.6899999999996</v>
      </c>
      <c r="X81" s="1093">
        <f t="shared" si="65"/>
        <v>163968.29999999999</v>
      </c>
      <c r="Y81" s="1093">
        <f t="shared" si="66"/>
        <v>25788.179999999997</v>
      </c>
    </row>
    <row r="82" spans="2:25">
      <c r="B82" s="2" t="s">
        <v>94</v>
      </c>
      <c r="C82" s="20">
        <v>16856.75</v>
      </c>
      <c r="D82" s="20">
        <v>26413.89</v>
      </c>
      <c r="E82" s="20">
        <v>2601.83</v>
      </c>
      <c r="F82" s="20">
        <v>4002.4800000000005</v>
      </c>
      <c r="G82" s="20">
        <v>153389.70000000001</v>
      </c>
      <c r="H82" s="20">
        <v>3428.25</v>
      </c>
      <c r="I82" s="20">
        <v>3945.85</v>
      </c>
      <c r="J82" s="20">
        <v>633.62</v>
      </c>
      <c r="K82" s="20">
        <v>2088.86</v>
      </c>
      <c r="L82" s="20">
        <v>979.5</v>
      </c>
      <c r="M82" s="20">
        <v>0</v>
      </c>
      <c r="N82" s="20">
        <v>0</v>
      </c>
      <c r="O82" s="20">
        <v>28.57</v>
      </c>
      <c r="P82" s="20">
        <v>0</v>
      </c>
      <c r="Q82" s="20">
        <v>0</v>
      </c>
      <c r="R82" s="20">
        <v>0</v>
      </c>
      <c r="S82" s="10">
        <f t="shared" si="64"/>
        <v>214369.30000000002</v>
      </c>
      <c r="T82" s="1093">
        <f t="shared" si="65"/>
        <v>16856.75</v>
      </c>
      <c r="U82" s="1093">
        <f t="shared" si="65"/>
        <v>26413.89</v>
      </c>
      <c r="V82" s="1093">
        <f t="shared" si="65"/>
        <v>2601.83</v>
      </c>
      <c r="W82" s="1093">
        <f t="shared" si="65"/>
        <v>4002.4800000000005</v>
      </c>
      <c r="X82" s="1093">
        <f t="shared" si="65"/>
        <v>153389.70000000001</v>
      </c>
      <c r="Y82" s="1093">
        <f t="shared" si="66"/>
        <v>11104.65</v>
      </c>
    </row>
    <row r="83" spans="2:25">
      <c r="B83" s="2" t="s">
        <v>95</v>
      </c>
      <c r="C83" s="20">
        <v>24518.44</v>
      </c>
      <c r="D83" s="20">
        <v>66680.819999999992</v>
      </c>
      <c r="E83" s="20">
        <v>4195.07</v>
      </c>
      <c r="F83" s="20">
        <v>2285.3200000000006</v>
      </c>
      <c r="G83" s="20">
        <v>298159.8</v>
      </c>
      <c r="H83" s="20">
        <v>5681.0999999999995</v>
      </c>
      <c r="I83" s="20">
        <v>9154.8900000000012</v>
      </c>
      <c r="J83" s="20">
        <v>1608.7</v>
      </c>
      <c r="K83" s="20">
        <v>6863.4</v>
      </c>
      <c r="L83" s="20">
        <v>391.8</v>
      </c>
      <c r="M83" s="20">
        <v>0</v>
      </c>
      <c r="N83" s="20">
        <v>0</v>
      </c>
      <c r="O83" s="20">
        <v>114.28</v>
      </c>
      <c r="P83" s="20">
        <v>0</v>
      </c>
      <c r="Q83" s="20">
        <v>0</v>
      </c>
      <c r="R83" s="20">
        <v>0</v>
      </c>
      <c r="S83" s="10">
        <f t="shared" si="64"/>
        <v>419653.62</v>
      </c>
      <c r="T83" s="1093">
        <f t="shared" si="65"/>
        <v>24518.44</v>
      </c>
      <c r="U83" s="1093">
        <f t="shared" si="65"/>
        <v>66680.819999999992</v>
      </c>
      <c r="V83" s="1093">
        <f t="shared" si="65"/>
        <v>4195.07</v>
      </c>
      <c r="W83" s="1093">
        <f t="shared" si="65"/>
        <v>2285.3200000000006</v>
      </c>
      <c r="X83" s="1093">
        <f t="shared" si="65"/>
        <v>298159.8</v>
      </c>
      <c r="Y83" s="1093">
        <f t="shared" si="66"/>
        <v>23814.170000000002</v>
      </c>
    </row>
    <row r="84" spans="2:25">
      <c r="B84" s="2" t="s">
        <v>96</v>
      </c>
      <c r="C84" s="20">
        <v>7316.59</v>
      </c>
      <c r="D84" s="20">
        <v>26450.609999999997</v>
      </c>
      <c r="E84" s="20">
        <v>1228.56</v>
      </c>
      <c r="F84" s="20">
        <v>831.90999999999985</v>
      </c>
      <c r="G84" s="20">
        <v>58280.25</v>
      </c>
      <c r="H84" s="20">
        <v>2154.9</v>
      </c>
      <c r="I84" s="20">
        <v>2731.9100000000003</v>
      </c>
      <c r="J84" s="20">
        <v>0</v>
      </c>
      <c r="K84" s="20">
        <v>2119.7400000000002</v>
      </c>
      <c r="L84" s="20">
        <v>783.6</v>
      </c>
      <c r="M84" s="20">
        <v>0</v>
      </c>
      <c r="N84" s="20">
        <v>0</v>
      </c>
      <c r="O84" s="20">
        <v>0</v>
      </c>
      <c r="P84" s="20">
        <v>0</v>
      </c>
      <c r="Q84" s="20">
        <v>0</v>
      </c>
      <c r="R84" s="20">
        <v>0</v>
      </c>
      <c r="S84" s="10">
        <f t="shared" si="64"/>
        <v>101898.07</v>
      </c>
      <c r="T84" s="1093">
        <f t="shared" si="65"/>
        <v>7316.59</v>
      </c>
      <c r="U84" s="1093">
        <f t="shared" si="65"/>
        <v>26450.609999999997</v>
      </c>
      <c r="V84" s="1093">
        <f t="shared" si="65"/>
        <v>1228.56</v>
      </c>
      <c r="W84" s="1093">
        <f t="shared" si="65"/>
        <v>831.90999999999985</v>
      </c>
      <c r="X84" s="1093">
        <f t="shared" si="65"/>
        <v>58280.25</v>
      </c>
      <c r="Y84" s="1093">
        <f t="shared" si="66"/>
        <v>7790.1500000000015</v>
      </c>
    </row>
    <row r="85" spans="2:25">
      <c r="B85" s="2" t="s">
        <v>97</v>
      </c>
      <c r="C85" s="20">
        <v>17050.439999999999</v>
      </c>
      <c r="D85" s="20">
        <v>33071.270000000004</v>
      </c>
      <c r="E85" s="20">
        <v>2114.21</v>
      </c>
      <c r="F85" s="20">
        <v>4561.4500000000007</v>
      </c>
      <c r="G85" s="20">
        <v>279255.45</v>
      </c>
      <c r="H85" s="20">
        <v>3134.4</v>
      </c>
      <c r="I85" s="20">
        <v>4158.8399999999992</v>
      </c>
      <c r="J85" s="20">
        <v>598.08000000000004</v>
      </c>
      <c r="K85" s="20">
        <v>3020.23</v>
      </c>
      <c r="L85" s="20">
        <v>1077.45</v>
      </c>
      <c r="M85" s="20">
        <v>0</v>
      </c>
      <c r="N85" s="20">
        <v>0</v>
      </c>
      <c r="O85" s="20">
        <v>28.57</v>
      </c>
      <c r="P85" s="20">
        <v>0</v>
      </c>
      <c r="Q85" s="20">
        <v>0</v>
      </c>
      <c r="R85" s="20">
        <v>0</v>
      </c>
      <c r="S85" s="10">
        <f t="shared" si="64"/>
        <v>348070.39000000007</v>
      </c>
      <c r="T85" s="1093">
        <f t="shared" si="65"/>
        <v>17050.439999999999</v>
      </c>
      <c r="U85" s="1093">
        <f t="shared" si="65"/>
        <v>33071.270000000004</v>
      </c>
      <c r="V85" s="1093">
        <f t="shared" si="65"/>
        <v>2114.21</v>
      </c>
      <c r="W85" s="1093">
        <f t="shared" si="65"/>
        <v>4561.4500000000007</v>
      </c>
      <c r="X85" s="1093">
        <f t="shared" si="65"/>
        <v>279255.45</v>
      </c>
      <c r="Y85" s="1093">
        <f t="shared" si="66"/>
        <v>12017.57</v>
      </c>
    </row>
    <row r="86" spans="2:25">
      <c r="B86" s="2" t="s">
        <v>98</v>
      </c>
      <c r="C86" s="20">
        <v>15334.68</v>
      </c>
      <c r="D86" s="20">
        <v>38386.65</v>
      </c>
      <c r="E86" s="20">
        <v>3876.09</v>
      </c>
      <c r="F86" s="20">
        <v>4020.6900000000005</v>
      </c>
      <c r="G86" s="20">
        <v>191002.5</v>
      </c>
      <c r="H86" s="20">
        <v>4309.8</v>
      </c>
      <c r="I86" s="20">
        <v>6194.67</v>
      </c>
      <c r="J86" s="20">
        <v>0</v>
      </c>
      <c r="K86" s="20">
        <v>4261.09</v>
      </c>
      <c r="L86" s="20">
        <v>489.75</v>
      </c>
      <c r="M86" s="20">
        <v>0</v>
      </c>
      <c r="N86" s="20">
        <v>777.9</v>
      </c>
      <c r="O86" s="20">
        <v>171.42</v>
      </c>
      <c r="P86" s="20">
        <v>0</v>
      </c>
      <c r="Q86" s="20">
        <v>53.77</v>
      </c>
      <c r="R86" s="20">
        <v>0</v>
      </c>
      <c r="S86" s="10">
        <f t="shared" si="64"/>
        <v>268879.01</v>
      </c>
      <c r="T86" s="1093">
        <f t="shared" si="65"/>
        <v>15334.68</v>
      </c>
      <c r="U86" s="1093">
        <f t="shared" si="65"/>
        <v>38386.65</v>
      </c>
      <c r="V86" s="1093">
        <f t="shared" si="65"/>
        <v>3876.09</v>
      </c>
      <c r="W86" s="1093">
        <f t="shared" si="65"/>
        <v>4020.6900000000005</v>
      </c>
      <c r="X86" s="1093">
        <f t="shared" si="65"/>
        <v>191002.5</v>
      </c>
      <c r="Y86" s="1093">
        <f t="shared" si="66"/>
        <v>16258.400000000001</v>
      </c>
    </row>
    <row r="87" spans="2:25">
      <c r="B87" s="2" t="s">
        <v>99</v>
      </c>
      <c r="C87" s="20">
        <v>91205.86</v>
      </c>
      <c r="D87" s="20">
        <v>207765.52000000002</v>
      </c>
      <c r="E87" s="20">
        <v>6689.31</v>
      </c>
      <c r="F87" s="20">
        <v>17636.429999999997</v>
      </c>
      <c r="G87" s="20">
        <v>483481.2</v>
      </c>
      <c r="H87" s="20">
        <v>12733.5</v>
      </c>
      <c r="I87" s="20">
        <v>25123.93</v>
      </c>
      <c r="J87" s="20">
        <v>0</v>
      </c>
      <c r="K87" s="20">
        <v>18897.740000000002</v>
      </c>
      <c r="L87" s="20">
        <v>3330.3</v>
      </c>
      <c r="M87" s="20">
        <v>391.8</v>
      </c>
      <c r="N87" s="20">
        <v>0</v>
      </c>
      <c r="O87" s="20">
        <v>285.7</v>
      </c>
      <c r="P87" s="20">
        <v>0</v>
      </c>
      <c r="Q87" s="20">
        <v>0</v>
      </c>
      <c r="R87" s="20">
        <v>0</v>
      </c>
      <c r="S87" s="10">
        <f t="shared" si="64"/>
        <v>867541.29000000015</v>
      </c>
      <c r="T87" s="1093">
        <f t="shared" si="65"/>
        <v>91205.86</v>
      </c>
      <c r="U87" s="1093">
        <f t="shared" si="65"/>
        <v>207765.52000000002</v>
      </c>
      <c r="V87" s="1093">
        <f t="shared" si="65"/>
        <v>6689.31</v>
      </c>
      <c r="W87" s="1093">
        <f t="shared" si="65"/>
        <v>17636.429999999997</v>
      </c>
      <c r="X87" s="1093">
        <f t="shared" si="65"/>
        <v>483481.2</v>
      </c>
      <c r="Y87" s="1093">
        <f t="shared" si="66"/>
        <v>60762.97</v>
      </c>
    </row>
    <row r="88" spans="2:25">
      <c r="B88" s="2" t="s">
        <v>100</v>
      </c>
      <c r="C88" s="20">
        <v>16331.34</v>
      </c>
      <c r="D88" s="20">
        <v>55032.130000000005</v>
      </c>
      <c r="E88" s="20">
        <v>1358.06</v>
      </c>
      <c r="F88" s="20">
        <v>628.37000000000012</v>
      </c>
      <c r="G88" s="20">
        <v>93444.3</v>
      </c>
      <c r="H88" s="20">
        <v>3232.35</v>
      </c>
      <c r="I88" s="20">
        <v>6963.3700000000008</v>
      </c>
      <c r="J88" s="20">
        <v>0</v>
      </c>
      <c r="K88" s="20">
        <v>4562.29</v>
      </c>
      <c r="L88" s="20">
        <v>97.95</v>
      </c>
      <c r="M88" s="20">
        <v>0</v>
      </c>
      <c r="N88" s="20">
        <v>0</v>
      </c>
      <c r="O88" s="20">
        <v>85.71</v>
      </c>
      <c r="P88" s="20">
        <v>0</v>
      </c>
      <c r="Q88" s="20">
        <v>0</v>
      </c>
      <c r="R88" s="20">
        <v>0</v>
      </c>
      <c r="S88" s="10">
        <f t="shared" si="64"/>
        <v>181735.87000000002</v>
      </c>
      <c r="T88" s="1093">
        <f t="shared" si="65"/>
        <v>16331.34</v>
      </c>
      <c r="U88" s="1093">
        <f t="shared" si="65"/>
        <v>55032.130000000005</v>
      </c>
      <c r="V88" s="1093">
        <f t="shared" si="65"/>
        <v>1358.06</v>
      </c>
      <c r="W88" s="1093">
        <f t="shared" si="65"/>
        <v>628.37000000000012</v>
      </c>
      <c r="X88" s="1093">
        <f t="shared" si="65"/>
        <v>93444.3</v>
      </c>
      <c r="Y88" s="1093">
        <f t="shared" si="66"/>
        <v>14941.670000000002</v>
      </c>
    </row>
    <row r="89" spans="2:25">
      <c r="B89" s="2" t="s">
        <v>101</v>
      </c>
      <c r="C89" s="20">
        <v>12457.83</v>
      </c>
      <c r="D89" s="20">
        <v>49550.259999999995</v>
      </c>
      <c r="E89" s="20">
        <v>1142.81</v>
      </c>
      <c r="F89" s="20">
        <v>4123.42</v>
      </c>
      <c r="G89" s="20">
        <v>105981.9</v>
      </c>
      <c r="H89" s="20">
        <v>2938.5</v>
      </c>
      <c r="I89" s="20">
        <v>5710.09</v>
      </c>
      <c r="J89" s="20">
        <v>284.27999999999997</v>
      </c>
      <c r="K89" s="20">
        <v>4939.1399999999994</v>
      </c>
      <c r="L89" s="20">
        <v>391.8</v>
      </c>
      <c r="M89" s="20">
        <v>0</v>
      </c>
      <c r="N89" s="20">
        <v>0</v>
      </c>
      <c r="O89" s="20">
        <v>114.28</v>
      </c>
      <c r="P89" s="20">
        <v>0</v>
      </c>
      <c r="Q89" s="20">
        <v>0</v>
      </c>
      <c r="R89" s="20">
        <v>573.32000000000005</v>
      </c>
      <c r="S89" s="10">
        <f t="shared" si="64"/>
        <v>188207.62999999998</v>
      </c>
      <c r="T89" s="1093">
        <f t="shared" si="65"/>
        <v>12457.83</v>
      </c>
      <c r="U89" s="1093">
        <f t="shared" si="65"/>
        <v>49550.259999999995</v>
      </c>
      <c r="V89" s="1093">
        <f t="shared" si="65"/>
        <v>1142.81</v>
      </c>
      <c r="W89" s="1093">
        <f t="shared" si="65"/>
        <v>4123.42</v>
      </c>
      <c r="X89" s="1093">
        <f t="shared" si="65"/>
        <v>105981.9</v>
      </c>
      <c r="Y89" s="1093">
        <f t="shared" si="66"/>
        <v>14951.41</v>
      </c>
    </row>
    <row r="90" spans="2:25">
      <c r="B90" s="2" t="s">
        <v>102</v>
      </c>
      <c r="C90" s="20">
        <v>65102.68</v>
      </c>
      <c r="D90" s="20">
        <v>134859.89000000001</v>
      </c>
      <c r="E90" s="20">
        <v>11284.81</v>
      </c>
      <c r="F90" s="20">
        <v>22274.299999999996</v>
      </c>
      <c r="G90" s="20">
        <v>729629.55</v>
      </c>
      <c r="H90" s="20">
        <v>12439.65</v>
      </c>
      <c r="I90" s="20">
        <v>14618.230000000001</v>
      </c>
      <c r="J90" s="20">
        <v>878.51</v>
      </c>
      <c r="K90" s="20">
        <v>15748.47</v>
      </c>
      <c r="L90" s="20">
        <v>3036.45</v>
      </c>
      <c r="M90" s="20">
        <v>391.8</v>
      </c>
      <c r="N90" s="20">
        <v>0</v>
      </c>
      <c r="O90" s="20">
        <v>257.13</v>
      </c>
      <c r="P90" s="20">
        <v>0</v>
      </c>
      <c r="Q90" s="20">
        <v>0</v>
      </c>
      <c r="R90" s="20">
        <v>0</v>
      </c>
      <c r="S90" s="10">
        <f t="shared" si="64"/>
        <v>1010521.47</v>
      </c>
      <c r="T90" s="1093">
        <f t="shared" si="65"/>
        <v>65102.68</v>
      </c>
      <c r="U90" s="1093">
        <f t="shared" si="65"/>
        <v>134859.89000000001</v>
      </c>
      <c r="V90" s="1093">
        <f t="shared" si="65"/>
        <v>11284.81</v>
      </c>
      <c r="W90" s="1093">
        <f t="shared" si="65"/>
        <v>22274.299999999996</v>
      </c>
      <c r="X90" s="1093">
        <f t="shared" si="65"/>
        <v>729629.55</v>
      </c>
      <c r="Y90" s="1093">
        <f t="shared" si="66"/>
        <v>47370.239999999998</v>
      </c>
    </row>
    <row r="91" spans="2:25">
      <c r="B91" s="2" t="s">
        <v>103</v>
      </c>
      <c r="C91" s="20">
        <v>31315.89</v>
      </c>
      <c r="D91" s="20">
        <v>74161.289999999994</v>
      </c>
      <c r="E91" s="20">
        <v>1542.79</v>
      </c>
      <c r="F91" s="20">
        <v>6420.43</v>
      </c>
      <c r="G91" s="20">
        <v>170433</v>
      </c>
      <c r="H91" s="20">
        <v>8619.6</v>
      </c>
      <c r="I91" s="20">
        <v>5261.84</v>
      </c>
      <c r="J91" s="20">
        <v>587.70000000000005</v>
      </c>
      <c r="K91" s="20">
        <v>8108.1200000000008</v>
      </c>
      <c r="L91" s="20">
        <v>97.95</v>
      </c>
      <c r="M91" s="20">
        <v>0</v>
      </c>
      <c r="N91" s="20">
        <v>0</v>
      </c>
      <c r="O91" s="20">
        <v>142.85</v>
      </c>
      <c r="P91" s="20">
        <v>0</v>
      </c>
      <c r="Q91" s="20">
        <v>0</v>
      </c>
      <c r="R91" s="20">
        <v>0</v>
      </c>
      <c r="S91" s="10">
        <f t="shared" si="64"/>
        <v>306691.46000000002</v>
      </c>
      <c r="T91" s="1093">
        <f t="shared" si="65"/>
        <v>31315.89</v>
      </c>
      <c r="U91" s="1093">
        <f t="shared" si="65"/>
        <v>74161.289999999994</v>
      </c>
      <c r="V91" s="1093">
        <f t="shared" si="65"/>
        <v>1542.79</v>
      </c>
      <c r="W91" s="1093">
        <f t="shared" si="65"/>
        <v>6420.43</v>
      </c>
      <c r="X91" s="1093">
        <f t="shared" si="65"/>
        <v>170433</v>
      </c>
      <c r="Y91" s="1093">
        <f t="shared" si="66"/>
        <v>22818.06</v>
      </c>
    </row>
    <row r="92" spans="2:25">
      <c r="B92" s="2" t="s">
        <v>104</v>
      </c>
      <c r="C92" s="20">
        <v>7579.08</v>
      </c>
      <c r="D92" s="20">
        <v>14237.960000000001</v>
      </c>
      <c r="E92" s="20">
        <v>1781.85</v>
      </c>
      <c r="F92" s="20">
        <v>857.36000000000013</v>
      </c>
      <c r="G92" s="20">
        <v>55635.6</v>
      </c>
      <c r="H92" s="20">
        <v>2056.9499999999998</v>
      </c>
      <c r="I92" s="20">
        <v>1758.9199999999998</v>
      </c>
      <c r="J92" s="20">
        <v>0</v>
      </c>
      <c r="K92" s="20">
        <v>1617.61</v>
      </c>
      <c r="L92" s="20">
        <v>0</v>
      </c>
      <c r="M92" s="20">
        <v>0</v>
      </c>
      <c r="N92" s="20">
        <v>0</v>
      </c>
      <c r="O92" s="20">
        <v>28.57</v>
      </c>
      <c r="P92" s="20">
        <v>0</v>
      </c>
      <c r="Q92" s="20">
        <v>0</v>
      </c>
      <c r="R92" s="20">
        <v>0</v>
      </c>
      <c r="S92" s="10">
        <f t="shared" si="64"/>
        <v>85553.900000000009</v>
      </c>
      <c r="T92" s="1093">
        <f t="shared" si="65"/>
        <v>7579.08</v>
      </c>
      <c r="U92" s="1093">
        <f t="shared" si="65"/>
        <v>14237.960000000001</v>
      </c>
      <c r="V92" s="1093">
        <f t="shared" si="65"/>
        <v>1781.85</v>
      </c>
      <c r="W92" s="1093">
        <f t="shared" si="65"/>
        <v>857.36000000000013</v>
      </c>
      <c r="X92" s="1093">
        <f t="shared" si="65"/>
        <v>55635.6</v>
      </c>
      <c r="Y92" s="1093">
        <f t="shared" si="66"/>
        <v>5462.0499999999993</v>
      </c>
    </row>
    <row r="93" spans="2:25">
      <c r="B93" s="2" t="s">
        <v>105</v>
      </c>
      <c r="C93" s="20">
        <v>84895.31</v>
      </c>
      <c r="D93" s="20">
        <v>182798.33000000002</v>
      </c>
      <c r="E93" s="20">
        <v>10175.49</v>
      </c>
      <c r="F93" s="20">
        <v>17939.090000000004</v>
      </c>
      <c r="G93" s="20">
        <v>559392.44999999995</v>
      </c>
      <c r="H93" s="20">
        <v>18414.600000000002</v>
      </c>
      <c r="I93" s="20">
        <v>20732.5</v>
      </c>
      <c r="J93" s="20">
        <v>648.9</v>
      </c>
      <c r="K93" s="20">
        <v>20197.669999999998</v>
      </c>
      <c r="L93" s="20">
        <v>1371.3</v>
      </c>
      <c r="M93" s="20">
        <v>195.9</v>
      </c>
      <c r="N93" s="20">
        <v>0</v>
      </c>
      <c r="O93" s="20">
        <v>685.68</v>
      </c>
      <c r="P93" s="20">
        <v>0</v>
      </c>
      <c r="Q93" s="20">
        <v>0</v>
      </c>
      <c r="R93" s="20">
        <v>0</v>
      </c>
      <c r="S93" s="10">
        <f t="shared" si="64"/>
        <v>917447.22000000009</v>
      </c>
      <c r="T93" s="1093">
        <f t="shared" si="65"/>
        <v>84895.31</v>
      </c>
      <c r="U93" s="1093">
        <f t="shared" si="65"/>
        <v>182798.33000000002</v>
      </c>
      <c r="V93" s="1093">
        <f t="shared" si="65"/>
        <v>10175.49</v>
      </c>
      <c r="W93" s="1093">
        <f t="shared" si="65"/>
        <v>17939.090000000004</v>
      </c>
      <c r="X93" s="1093">
        <f t="shared" si="65"/>
        <v>559392.44999999995</v>
      </c>
      <c r="Y93" s="1093">
        <f t="shared" si="66"/>
        <v>62246.55000000001</v>
      </c>
    </row>
    <row r="94" spans="2:25">
      <c r="B94" s="2" t="s">
        <v>106</v>
      </c>
      <c r="C94" s="20">
        <v>10979.38</v>
      </c>
      <c r="D94" s="20">
        <v>35259.560000000005</v>
      </c>
      <c r="E94" s="20">
        <v>749.19</v>
      </c>
      <c r="F94" s="20">
        <v>1063.4199999999998</v>
      </c>
      <c r="G94" s="20">
        <v>84237</v>
      </c>
      <c r="H94" s="20">
        <v>1665.15</v>
      </c>
      <c r="I94" s="20">
        <v>3992.3599999999997</v>
      </c>
      <c r="J94" s="20">
        <v>0</v>
      </c>
      <c r="K94" s="20">
        <v>3011.56</v>
      </c>
      <c r="L94" s="20">
        <v>0</v>
      </c>
      <c r="M94" s="20">
        <v>0</v>
      </c>
      <c r="N94" s="20">
        <v>0</v>
      </c>
      <c r="O94" s="20">
        <v>85.71</v>
      </c>
      <c r="P94" s="20">
        <v>47.62</v>
      </c>
      <c r="Q94" s="20">
        <v>0</v>
      </c>
      <c r="R94" s="20">
        <v>0</v>
      </c>
      <c r="S94" s="10">
        <f t="shared" si="64"/>
        <v>141090.94999999995</v>
      </c>
      <c r="T94" s="1093">
        <f t="shared" si="65"/>
        <v>10979.38</v>
      </c>
      <c r="U94" s="1093">
        <f t="shared" si="65"/>
        <v>35259.560000000005</v>
      </c>
      <c r="V94" s="1093">
        <f t="shared" si="65"/>
        <v>749.19</v>
      </c>
      <c r="W94" s="1093">
        <f t="shared" si="65"/>
        <v>1063.4199999999998</v>
      </c>
      <c r="X94" s="1093">
        <f t="shared" si="65"/>
        <v>84237</v>
      </c>
      <c r="Y94" s="1093">
        <f t="shared" si="66"/>
        <v>8802.4</v>
      </c>
    </row>
    <row r="95" spans="2:25">
      <c r="B95" s="2" t="s">
        <v>107</v>
      </c>
      <c r="C95" s="20">
        <v>94600.8</v>
      </c>
      <c r="D95" s="20">
        <v>158882.08999999997</v>
      </c>
      <c r="E95" s="20">
        <v>16067.07</v>
      </c>
      <c r="F95" s="20">
        <v>10848.170000000002</v>
      </c>
      <c r="G95" s="20">
        <v>890169.6</v>
      </c>
      <c r="H95" s="20">
        <v>9501.15</v>
      </c>
      <c r="I95" s="20">
        <v>19121.59</v>
      </c>
      <c r="J95" s="20">
        <v>1627.88</v>
      </c>
      <c r="K95" s="20">
        <v>19110.580000000002</v>
      </c>
      <c r="L95" s="20">
        <v>1077.45</v>
      </c>
      <c r="M95" s="20">
        <v>195.9</v>
      </c>
      <c r="N95" s="20">
        <v>0</v>
      </c>
      <c r="O95" s="20">
        <v>199.99</v>
      </c>
      <c r="P95" s="20">
        <v>0</v>
      </c>
      <c r="Q95" s="20">
        <v>0</v>
      </c>
      <c r="R95" s="20">
        <v>0</v>
      </c>
      <c r="S95" s="10">
        <f t="shared" si="64"/>
        <v>1221402.2699999998</v>
      </c>
      <c r="T95" s="1093">
        <f t="shared" si="65"/>
        <v>94600.8</v>
      </c>
      <c r="U95" s="1093">
        <f t="shared" si="65"/>
        <v>158882.08999999997</v>
      </c>
      <c r="V95" s="1093">
        <f t="shared" si="65"/>
        <v>16067.07</v>
      </c>
      <c r="W95" s="1093">
        <f t="shared" si="65"/>
        <v>10848.170000000002</v>
      </c>
      <c r="X95" s="1093">
        <f t="shared" si="65"/>
        <v>890169.6</v>
      </c>
      <c r="Y95" s="1093">
        <f t="shared" si="66"/>
        <v>50834.539999999994</v>
      </c>
    </row>
    <row r="96" spans="2:25">
      <c r="B96" s="2" t="s">
        <v>108</v>
      </c>
      <c r="C96" s="20">
        <v>6581.3</v>
      </c>
      <c r="D96" s="20">
        <v>10992.11</v>
      </c>
      <c r="E96" s="20">
        <v>403.18</v>
      </c>
      <c r="F96" s="20">
        <v>2725.59</v>
      </c>
      <c r="G96" s="20">
        <v>82963.649999999994</v>
      </c>
      <c r="H96" s="20">
        <v>2546.6999999999998</v>
      </c>
      <c r="I96" s="20">
        <v>917.48</v>
      </c>
      <c r="J96" s="20">
        <v>0</v>
      </c>
      <c r="K96" s="20">
        <v>1396.97</v>
      </c>
      <c r="L96" s="20">
        <v>489.75</v>
      </c>
      <c r="M96" s="20">
        <v>0</v>
      </c>
      <c r="N96" s="20">
        <v>0</v>
      </c>
      <c r="O96" s="20">
        <v>0</v>
      </c>
      <c r="P96" s="20">
        <v>0</v>
      </c>
      <c r="Q96" s="20">
        <v>0</v>
      </c>
      <c r="R96" s="20">
        <v>0</v>
      </c>
      <c r="S96" s="10">
        <f t="shared" si="64"/>
        <v>109016.72999999998</v>
      </c>
      <c r="T96" s="1093">
        <f t="shared" si="65"/>
        <v>6581.3</v>
      </c>
      <c r="U96" s="1093">
        <f t="shared" si="65"/>
        <v>10992.11</v>
      </c>
      <c r="V96" s="1093">
        <f t="shared" si="65"/>
        <v>403.18</v>
      </c>
      <c r="W96" s="1093">
        <f t="shared" si="65"/>
        <v>2725.59</v>
      </c>
      <c r="X96" s="1093">
        <f t="shared" si="65"/>
        <v>82963.649999999994</v>
      </c>
      <c r="Y96" s="1093">
        <f t="shared" si="66"/>
        <v>5350.9</v>
      </c>
    </row>
    <row r="97" spans="2:25">
      <c r="B97" s="2" t="s">
        <v>109</v>
      </c>
      <c r="C97" s="20">
        <v>2266.6</v>
      </c>
      <c r="D97" s="20">
        <v>240.49000000000024</v>
      </c>
      <c r="E97" s="20">
        <v>190.47</v>
      </c>
      <c r="F97" s="20">
        <v>67.380000000000024</v>
      </c>
      <c r="G97" s="20">
        <v>9795</v>
      </c>
      <c r="H97" s="20">
        <v>391.8</v>
      </c>
      <c r="I97" s="20">
        <v>156.79999999999998</v>
      </c>
      <c r="J97" s="20">
        <v>0</v>
      </c>
      <c r="K97" s="20">
        <v>124.67999999999999</v>
      </c>
      <c r="L97" s="20">
        <v>0</v>
      </c>
      <c r="M97" s="20">
        <v>0</v>
      </c>
      <c r="N97" s="20">
        <v>0</v>
      </c>
      <c r="O97" s="20">
        <v>0</v>
      </c>
      <c r="P97" s="20">
        <v>0</v>
      </c>
      <c r="Q97" s="20">
        <v>0</v>
      </c>
      <c r="R97" s="20">
        <v>0</v>
      </c>
      <c r="S97" s="10">
        <f t="shared" si="64"/>
        <v>13233.22</v>
      </c>
      <c r="T97" s="1093">
        <f t="shared" si="65"/>
        <v>2266.6</v>
      </c>
      <c r="U97" s="1093">
        <f t="shared" si="65"/>
        <v>240.49000000000024</v>
      </c>
      <c r="V97" s="1093">
        <f t="shared" si="65"/>
        <v>190.47</v>
      </c>
      <c r="W97" s="1093">
        <f t="shared" si="65"/>
        <v>67.380000000000024</v>
      </c>
      <c r="X97" s="1093">
        <f t="shared" si="65"/>
        <v>9795</v>
      </c>
      <c r="Y97" s="1093">
        <f t="shared" si="66"/>
        <v>673.28</v>
      </c>
    </row>
    <row r="98" spans="2:25">
      <c r="B98" s="2" t="s">
        <v>110</v>
      </c>
      <c r="C98" s="20">
        <v>44325.94</v>
      </c>
      <c r="D98" s="20">
        <v>106038.15</v>
      </c>
      <c r="E98" s="20">
        <v>6312.79</v>
      </c>
      <c r="F98" s="20">
        <v>7236.7300000000005</v>
      </c>
      <c r="G98" s="20">
        <v>574280.85</v>
      </c>
      <c r="H98" s="20">
        <v>11656.050000000001</v>
      </c>
      <c r="I98" s="20">
        <v>11429.35</v>
      </c>
      <c r="J98" s="20">
        <v>0</v>
      </c>
      <c r="K98" s="20">
        <v>10819.150000000001</v>
      </c>
      <c r="L98" s="20">
        <v>783.6</v>
      </c>
      <c r="M98" s="20">
        <v>195.9</v>
      </c>
      <c r="N98" s="20">
        <v>0</v>
      </c>
      <c r="O98" s="20">
        <v>228.56</v>
      </c>
      <c r="P98" s="20">
        <v>0</v>
      </c>
      <c r="Q98" s="20">
        <v>0</v>
      </c>
      <c r="R98" s="20">
        <v>0</v>
      </c>
      <c r="S98" s="10">
        <f t="shared" si="64"/>
        <v>773307.07000000007</v>
      </c>
      <c r="T98" s="1093">
        <f t="shared" si="65"/>
        <v>44325.94</v>
      </c>
      <c r="U98" s="1093">
        <f t="shared" si="65"/>
        <v>106038.15</v>
      </c>
      <c r="V98" s="1093">
        <f t="shared" si="65"/>
        <v>6312.79</v>
      </c>
      <c r="W98" s="1093">
        <f t="shared" si="65"/>
        <v>7236.7300000000005</v>
      </c>
      <c r="X98" s="1093">
        <f t="shared" si="65"/>
        <v>574280.85</v>
      </c>
      <c r="Y98" s="1093">
        <f t="shared" si="66"/>
        <v>35112.61</v>
      </c>
    </row>
    <row r="99" spans="2:25">
      <c r="B99" s="2" t="s">
        <v>111</v>
      </c>
      <c r="C99" s="20">
        <v>297847.45</v>
      </c>
      <c r="D99" s="20">
        <v>738514.14999999991</v>
      </c>
      <c r="E99" s="20">
        <v>26438.28</v>
      </c>
      <c r="F99" s="20">
        <v>82925.799999999988</v>
      </c>
      <c r="G99" s="20">
        <v>3134302.05</v>
      </c>
      <c r="H99" s="20">
        <v>50738.1</v>
      </c>
      <c r="I99" s="20">
        <v>125957.30000000002</v>
      </c>
      <c r="J99" s="20">
        <v>0</v>
      </c>
      <c r="K99" s="20">
        <v>73118.450000000012</v>
      </c>
      <c r="L99" s="20">
        <v>6072.9</v>
      </c>
      <c r="M99" s="20">
        <v>979.5</v>
      </c>
      <c r="N99" s="20">
        <v>0</v>
      </c>
      <c r="O99" s="20">
        <v>1799.91</v>
      </c>
      <c r="P99" s="20">
        <v>47.62</v>
      </c>
      <c r="Q99" s="20">
        <v>941.84</v>
      </c>
      <c r="R99" s="20">
        <v>13928.74</v>
      </c>
      <c r="S99" s="10">
        <f t="shared" si="64"/>
        <v>4553612.09</v>
      </c>
      <c r="T99" s="1093">
        <f t="shared" si="65"/>
        <v>297847.45</v>
      </c>
      <c r="U99" s="1093">
        <f t="shared" si="65"/>
        <v>738514.14999999991</v>
      </c>
      <c r="V99" s="1093">
        <f t="shared" si="65"/>
        <v>26438.28</v>
      </c>
      <c r="W99" s="1093">
        <f t="shared" si="65"/>
        <v>82925.799999999988</v>
      </c>
      <c r="X99" s="1093">
        <f t="shared" si="65"/>
        <v>3134302.05</v>
      </c>
      <c r="Y99" s="1093">
        <f t="shared" si="66"/>
        <v>273584.36000000004</v>
      </c>
    </row>
    <row r="100" spans="2:25">
      <c r="B100" s="2" t="s">
        <v>112</v>
      </c>
      <c r="C100" s="20">
        <v>9178</v>
      </c>
      <c r="D100" s="20">
        <v>23159.600000000002</v>
      </c>
      <c r="E100" s="20">
        <v>457.12</v>
      </c>
      <c r="F100" s="20">
        <v>1564.5100000000002</v>
      </c>
      <c r="G100" s="20">
        <v>74931.75</v>
      </c>
      <c r="H100" s="20">
        <v>3526.2</v>
      </c>
      <c r="I100" s="20">
        <v>2555.8599999999997</v>
      </c>
      <c r="J100" s="20">
        <v>0</v>
      </c>
      <c r="K100" s="20">
        <v>2417.9</v>
      </c>
      <c r="L100" s="20">
        <v>391.8</v>
      </c>
      <c r="M100" s="20">
        <v>0</v>
      </c>
      <c r="N100" s="20">
        <v>0</v>
      </c>
      <c r="O100" s="20">
        <v>0</v>
      </c>
      <c r="P100" s="20">
        <v>0</v>
      </c>
      <c r="Q100" s="20">
        <v>0</v>
      </c>
      <c r="R100" s="20">
        <v>518.83000000000004</v>
      </c>
      <c r="S100" s="10">
        <f t="shared" si="64"/>
        <v>118701.57</v>
      </c>
      <c r="T100" s="1093">
        <f t="shared" si="65"/>
        <v>9178</v>
      </c>
      <c r="U100" s="1093">
        <f t="shared" si="65"/>
        <v>23159.600000000002</v>
      </c>
      <c r="V100" s="1093">
        <f t="shared" si="65"/>
        <v>457.12</v>
      </c>
      <c r="W100" s="1093">
        <f t="shared" si="65"/>
        <v>1564.5100000000002</v>
      </c>
      <c r="X100" s="1093">
        <f t="shared" si="65"/>
        <v>74931.75</v>
      </c>
      <c r="Y100" s="1093">
        <f t="shared" si="66"/>
        <v>9410.5899999999983</v>
      </c>
    </row>
    <row r="101" spans="2:25">
      <c r="B101" s="2" t="s">
        <v>113</v>
      </c>
      <c r="C101" s="20">
        <v>3626.95</v>
      </c>
      <c r="D101" s="20">
        <v>12526.27</v>
      </c>
      <c r="E101" s="20">
        <v>1057.0999999999999</v>
      </c>
      <c r="F101" s="20">
        <v>1492.2999999999997</v>
      </c>
      <c r="G101" s="20">
        <v>44567.25</v>
      </c>
      <c r="H101" s="20">
        <v>1077.45</v>
      </c>
      <c r="I101" s="20">
        <v>1326.94</v>
      </c>
      <c r="J101" s="20">
        <v>0</v>
      </c>
      <c r="K101" s="20">
        <v>1872.0900000000001</v>
      </c>
      <c r="L101" s="20">
        <v>195.9</v>
      </c>
      <c r="M101" s="20">
        <v>0</v>
      </c>
      <c r="N101" s="20">
        <v>0</v>
      </c>
      <c r="O101" s="20">
        <v>0</v>
      </c>
      <c r="P101" s="20">
        <v>0</v>
      </c>
      <c r="Q101" s="20">
        <v>72.63</v>
      </c>
      <c r="R101" s="20">
        <v>0</v>
      </c>
      <c r="S101" s="10">
        <f t="shared" si="64"/>
        <v>67814.87999999999</v>
      </c>
      <c r="T101" s="1093">
        <f t="shared" si="65"/>
        <v>3626.95</v>
      </c>
      <c r="U101" s="1093">
        <f t="shared" si="65"/>
        <v>12526.27</v>
      </c>
      <c r="V101" s="1093">
        <f t="shared" si="65"/>
        <v>1057.0999999999999</v>
      </c>
      <c r="W101" s="1093">
        <f t="shared" si="65"/>
        <v>1492.2999999999997</v>
      </c>
      <c r="X101" s="1093">
        <f t="shared" si="65"/>
        <v>44567.25</v>
      </c>
      <c r="Y101" s="1093">
        <f t="shared" si="66"/>
        <v>4545.01</v>
      </c>
    </row>
    <row r="102" spans="2:25">
      <c r="B102" s="7" t="s">
        <v>37</v>
      </c>
      <c r="C102" s="6">
        <f t="shared" ref="C102:T102" si="67">SUM(C75:C101)</f>
        <v>961169.82000000007</v>
      </c>
      <c r="D102" s="6">
        <f t="shared" si="67"/>
        <v>2275000.8600000003</v>
      </c>
      <c r="E102" s="6">
        <f t="shared" si="67"/>
        <v>110215.17999999998</v>
      </c>
      <c r="F102" s="6">
        <f t="shared" si="67"/>
        <v>207191.53999999998</v>
      </c>
      <c r="G102" s="6">
        <f t="shared" si="67"/>
        <v>8767798.3499999978</v>
      </c>
      <c r="H102" s="6">
        <f t="shared" si="67"/>
        <v>182480.85000000003</v>
      </c>
      <c r="I102" s="6">
        <f t="shared" si="67"/>
        <v>298041.84999999998</v>
      </c>
      <c r="J102" s="6">
        <f t="shared" si="67"/>
        <v>7161.5199999999995</v>
      </c>
      <c r="K102" s="6">
        <f t="shared" si="67"/>
        <v>233563.65999999997</v>
      </c>
      <c r="L102" s="6">
        <f t="shared" si="67"/>
        <v>23508.000000000004</v>
      </c>
      <c r="M102" s="6">
        <f t="shared" si="67"/>
        <v>2350.8000000000002</v>
      </c>
      <c r="N102" s="6">
        <f t="shared" si="67"/>
        <v>2383.71</v>
      </c>
      <c r="O102" s="6">
        <f t="shared" si="67"/>
        <v>4714.05</v>
      </c>
      <c r="P102" s="27">
        <f t="shared" si="67"/>
        <v>95.24</v>
      </c>
      <c r="Q102" s="6">
        <f t="shared" si="67"/>
        <v>1068.24</v>
      </c>
      <c r="R102" s="6">
        <f t="shared" si="67"/>
        <v>15020.89</v>
      </c>
      <c r="S102" s="6">
        <f t="shared" si="67"/>
        <v>13091764.560000001</v>
      </c>
      <c r="T102" s="1093">
        <f t="shared" si="67"/>
        <v>961169.82000000007</v>
      </c>
      <c r="U102" s="1093">
        <f t="shared" ref="U102:Y102" si="68">SUM(U75:U101)</f>
        <v>2275000.8600000003</v>
      </c>
      <c r="V102" s="1093">
        <f t="shared" si="68"/>
        <v>110215.17999999998</v>
      </c>
      <c r="W102" s="1093">
        <f t="shared" si="68"/>
        <v>207191.53999999998</v>
      </c>
      <c r="X102" s="1093">
        <f t="shared" si="68"/>
        <v>8767798.3499999978</v>
      </c>
      <c r="Y102" s="1093">
        <f t="shared" si="68"/>
        <v>770388.81</v>
      </c>
    </row>
    <row r="103" spans="2:25">
      <c r="S103" s="1093"/>
    </row>
    <row r="104" spans="2:25">
      <c r="S104" s="1093"/>
    </row>
    <row r="105" spans="2:25">
      <c r="S105" s="1093"/>
    </row>
  </sheetData>
  <mergeCells count="48">
    <mergeCell ref="K73:K74"/>
    <mergeCell ref="L73:L74"/>
    <mergeCell ref="M73:M74"/>
    <mergeCell ref="N73:N74"/>
    <mergeCell ref="B2:S2"/>
    <mergeCell ref="Q3:R3"/>
    <mergeCell ref="Q73:R73"/>
    <mergeCell ref="I38:I39"/>
    <mergeCell ref="J38:J39"/>
    <mergeCell ref="K38:K39"/>
    <mergeCell ref="L38:L39"/>
    <mergeCell ref="M38:M39"/>
    <mergeCell ref="N38:N39"/>
    <mergeCell ref="O38:O39"/>
    <mergeCell ref="O73:O74"/>
    <mergeCell ref="H73:H74"/>
    <mergeCell ref="I73:I74"/>
    <mergeCell ref="J73:J74"/>
    <mergeCell ref="I3:I4"/>
    <mergeCell ref="J3:J4"/>
    <mergeCell ref="B73:B74"/>
    <mergeCell ref="C73:D73"/>
    <mergeCell ref="E73:F73"/>
    <mergeCell ref="G73:G74"/>
    <mergeCell ref="C3:D3"/>
    <mergeCell ref="E3:F3"/>
    <mergeCell ref="G3:G4"/>
    <mergeCell ref="H3:H4"/>
    <mergeCell ref="B38:B39"/>
    <mergeCell ref="C38:D38"/>
    <mergeCell ref="G38:G39"/>
    <mergeCell ref="H38:H39"/>
    <mergeCell ref="P3:P4"/>
    <mergeCell ref="P38:P39"/>
    <mergeCell ref="P73:P74"/>
    <mergeCell ref="S73:S74"/>
    <mergeCell ref="S3:S4"/>
    <mergeCell ref="B37:S37"/>
    <mergeCell ref="Q38:R38"/>
    <mergeCell ref="S38:S39"/>
    <mergeCell ref="B72:S72"/>
    <mergeCell ref="B3:B4"/>
    <mergeCell ref="K3:K4"/>
    <mergeCell ref="L3:L4"/>
    <mergeCell ref="M3:M4"/>
    <mergeCell ref="N3:N4"/>
    <mergeCell ref="O3:O4"/>
    <mergeCell ref="E38:F38"/>
  </mergeCells>
  <pageMargins left="0.511811024" right="0.511811024" top="0.78740157499999996" bottom="0.78740157499999996" header="0.31496062000000002" footer="0.31496062000000002"/>
  <pageSetup paperSize="9" scale="1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2:Y105"/>
  <sheetViews>
    <sheetView topLeftCell="M67" zoomScale="70" zoomScaleNormal="70" workbookViewId="0">
      <selection activeCell="T75" sqref="T75:Y10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83</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3617.5360000000001</v>
      </c>
      <c r="D5" s="20">
        <f t="shared" si="0"/>
        <v>1325.3760000000002</v>
      </c>
      <c r="E5" s="20">
        <f t="shared" si="0"/>
        <v>758.80799999999999</v>
      </c>
      <c r="F5" s="20">
        <f t="shared" si="0"/>
        <v>568.6</v>
      </c>
      <c r="G5" s="20">
        <f t="shared" si="0"/>
        <v>20765.400000000001</v>
      </c>
      <c r="H5" s="20">
        <f t="shared" si="0"/>
        <v>470.16000000000008</v>
      </c>
      <c r="I5" s="20">
        <f t="shared" si="0"/>
        <v>294.03200000000004</v>
      </c>
      <c r="J5" s="20">
        <f t="shared" si="0"/>
        <v>0</v>
      </c>
      <c r="K5" s="20">
        <f t="shared" si="0"/>
        <v>603.87200000000007</v>
      </c>
      <c r="L5" s="20">
        <f t="shared" si="0"/>
        <v>78.360000000000014</v>
      </c>
      <c r="M5" s="20">
        <f t="shared" si="0"/>
        <v>0</v>
      </c>
      <c r="N5" s="20">
        <f t="shared" si="0"/>
        <v>0</v>
      </c>
      <c r="O5" s="20">
        <f t="shared" si="0"/>
        <v>0</v>
      </c>
      <c r="P5" s="20">
        <f t="shared" si="0"/>
        <v>0</v>
      </c>
      <c r="Q5" s="20">
        <f t="shared" si="0"/>
        <v>0</v>
      </c>
      <c r="R5" s="20">
        <f t="shared" si="0"/>
        <v>0</v>
      </c>
      <c r="S5" s="10">
        <f t="shared" ref="S5:S31" si="1">SUM(C5:R5)</f>
        <v>28482.144</v>
      </c>
      <c r="T5" s="1093">
        <f>C5</f>
        <v>3617.5360000000001</v>
      </c>
      <c r="U5" s="1093">
        <f>D5</f>
        <v>1325.3760000000002</v>
      </c>
      <c r="V5" s="1093">
        <f>E5</f>
        <v>758.80799999999999</v>
      </c>
      <c r="W5" s="1093">
        <f>F5</f>
        <v>568.6</v>
      </c>
      <c r="X5" s="1093">
        <f>G5</f>
        <v>20765.400000000001</v>
      </c>
      <c r="Y5" s="1093">
        <f>SUM(H5:R5)</f>
        <v>1446.4240000000004</v>
      </c>
    </row>
    <row r="6" spans="2:25">
      <c r="B6" s="2" t="s">
        <v>88</v>
      </c>
      <c r="C6" s="20">
        <f t="shared" ref="C6:R6" si="2">C76*0.8</f>
        <v>13876.696000000004</v>
      </c>
      <c r="D6" s="20">
        <f t="shared" si="2"/>
        <v>11461.576000000001</v>
      </c>
      <c r="E6" s="20">
        <f t="shared" si="2"/>
        <v>1427.248</v>
      </c>
      <c r="F6" s="20">
        <f t="shared" si="2"/>
        <v>589.48</v>
      </c>
      <c r="G6" s="20">
        <f t="shared" si="2"/>
        <v>55635.600000000006</v>
      </c>
      <c r="H6" s="20">
        <f t="shared" si="2"/>
        <v>1018.68</v>
      </c>
      <c r="I6" s="20">
        <f t="shared" si="2"/>
        <v>2546.1520000000005</v>
      </c>
      <c r="J6" s="20">
        <f t="shared" si="2"/>
        <v>0</v>
      </c>
      <c r="K6" s="20">
        <f t="shared" si="2"/>
        <v>2307.2399999999998</v>
      </c>
      <c r="L6" s="20">
        <f t="shared" si="2"/>
        <v>156.72000000000003</v>
      </c>
      <c r="M6" s="20">
        <f t="shared" si="2"/>
        <v>0</v>
      </c>
      <c r="N6" s="20">
        <f t="shared" si="2"/>
        <v>0</v>
      </c>
      <c r="O6" s="20">
        <f t="shared" si="2"/>
        <v>0</v>
      </c>
      <c r="P6" s="20">
        <f t="shared" si="2"/>
        <v>0</v>
      </c>
      <c r="Q6" s="20">
        <f t="shared" si="2"/>
        <v>0</v>
      </c>
      <c r="R6" s="20">
        <f t="shared" si="2"/>
        <v>0</v>
      </c>
      <c r="S6" s="10">
        <f t="shared" si="1"/>
        <v>89019.392000000007</v>
      </c>
      <c r="T6" s="1093">
        <f t="shared" ref="T6:X31" si="3">C6</f>
        <v>13876.696000000004</v>
      </c>
      <c r="U6" s="1093">
        <f t="shared" si="3"/>
        <v>11461.576000000001</v>
      </c>
      <c r="V6" s="1093">
        <f t="shared" si="3"/>
        <v>1427.248</v>
      </c>
      <c r="W6" s="1093">
        <f t="shared" si="3"/>
        <v>589.48</v>
      </c>
      <c r="X6" s="1093">
        <f t="shared" si="3"/>
        <v>55635.600000000006</v>
      </c>
      <c r="Y6" s="1093">
        <f t="shared" ref="Y6:Y31" si="4">SUM(H6:R6)</f>
        <v>6028.7920000000004</v>
      </c>
    </row>
    <row r="7" spans="2:25">
      <c r="B7" s="2" t="s">
        <v>89</v>
      </c>
      <c r="C7" s="20">
        <f t="shared" ref="C7:R7" si="5">C77*0.8</f>
        <v>4392.5760000000009</v>
      </c>
      <c r="D7" s="20">
        <f t="shared" si="5"/>
        <v>4774.5280000000002</v>
      </c>
      <c r="E7" s="20">
        <f t="shared" si="5"/>
        <v>2079.904</v>
      </c>
      <c r="F7" s="20">
        <f t="shared" si="5"/>
        <v>242.01599999999999</v>
      </c>
      <c r="G7" s="20">
        <f t="shared" si="5"/>
        <v>14888.400000000001</v>
      </c>
      <c r="H7" s="20">
        <f t="shared" si="5"/>
        <v>1253.7600000000002</v>
      </c>
      <c r="I7" s="20">
        <f t="shared" si="5"/>
        <v>822.76800000000003</v>
      </c>
      <c r="J7" s="20">
        <f t="shared" si="5"/>
        <v>0</v>
      </c>
      <c r="K7" s="20">
        <f t="shared" si="5"/>
        <v>1109.1680000000001</v>
      </c>
      <c r="L7" s="20">
        <f t="shared" si="5"/>
        <v>78.360000000000014</v>
      </c>
      <c r="M7" s="20">
        <f t="shared" si="5"/>
        <v>0</v>
      </c>
      <c r="N7" s="20">
        <f t="shared" si="5"/>
        <v>0</v>
      </c>
      <c r="O7" s="20">
        <f t="shared" si="5"/>
        <v>0</v>
      </c>
      <c r="P7" s="20">
        <f t="shared" si="5"/>
        <v>0</v>
      </c>
      <c r="Q7" s="20">
        <f t="shared" si="5"/>
        <v>0</v>
      </c>
      <c r="R7" s="20">
        <f t="shared" si="5"/>
        <v>0</v>
      </c>
      <c r="S7" s="10">
        <f t="shared" si="1"/>
        <v>29641.480000000003</v>
      </c>
      <c r="T7" s="1093">
        <f t="shared" si="3"/>
        <v>4392.5760000000009</v>
      </c>
      <c r="U7" s="1093">
        <f t="shared" si="3"/>
        <v>4774.5280000000002</v>
      </c>
      <c r="V7" s="1093">
        <f t="shared" si="3"/>
        <v>2079.904</v>
      </c>
      <c r="W7" s="1093">
        <f t="shared" si="3"/>
        <v>242.01599999999999</v>
      </c>
      <c r="X7" s="1093">
        <f t="shared" si="3"/>
        <v>14888.400000000001</v>
      </c>
      <c r="Y7" s="1093">
        <f t="shared" si="4"/>
        <v>3264.0560000000005</v>
      </c>
    </row>
    <row r="8" spans="2:25">
      <c r="B8" s="2" t="s">
        <v>90</v>
      </c>
      <c r="C8" s="20">
        <f t="shared" ref="C8:P8" si="6">C78*0.8</f>
        <v>15815.928000000004</v>
      </c>
      <c r="D8" s="20">
        <f t="shared" si="6"/>
        <v>8722.3360000000011</v>
      </c>
      <c r="E8" s="20">
        <f t="shared" si="6"/>
        <v>1478.0879999999997</v>
      </c>
      <c r="F8" s="20">
        <f t="shared" si="6"/>
        <v>1795.0560000000003</v>
      </c>
      <c r="G8" s="20">
        <f t="shared" si="6"/>
        <v>50934</v>
      </c>
      <c r="H8" s="20">
        <f t="shared" si="6"/>
        <v>1802.28</v>
      </c>
      <c r="I8" s="20">
        <f t="shared" si="6"/>
        <v>1854.2399999999998</v>
      </c>
      <c r="J8" s="20">
        <f t="shared" si="6"/>
        <v>0</v>
      </c>
      <c r="K8" s="20">
        <f t="shared" si="6"/>
        <v>2885.32</v>
      </c>
      <c r="L8" s="20">
        <f t="shared" si="6"/>
        <v>156.72000000000003</v>
      </c>
      <c r="M8" s="20">
        <f t="shared" si="6"/>
        <v>1097.04</v>
      </c>
      <c r="N8" s="20">
        <f t="shared" si="6"/>
        <v>0</v>
      </c>
      <c r="O8" s="20">
        <f t="shared" si="6"/>
        <v>0</v>
      </c>
      <c r="P8" s="20">
        <f t="shared" si="6"/>
        <v>0</v>
      </c>
      <c r="Q8" s="20">
        <f>Q78</f>
        <v>0</v>
      </c>
      <c r="R8" s="20">
        <f>R78</f>
        <v>0</v>
      </c>
      <c r="S8" s="10">
        <f t="shared" si="1"/>
        <v>86541.008000000002</v>
      </c>
      <c r="T8" s="1093">
        <f t="shared" si="3"/>
        <v>15815.928000000004</v>
      </c>
      <c r="U8" s="1093">
        <f t="shared" si="3"/>
        <v>8722.3360000000011</v>
      </c>
      <c r="V8" s="1093">
        <f t="shared" si="3"/>
        <v>1478.0879999999997</v>
      </c>
      <c r="W8" s="1093">
        <f t="shared" si="3"/>
        <v>1795.0560000000003</v>
      </c>
      <c r="X8" s="1093">
        <f t="shared" si="3"/>
        <v>50934</v>
      </c>
      <c r="Y8" s="1093">
        <f t="shared" si="4"/>
        <v>7795.6</v>
      </c>
    </row>
    <row r="9" spans="2:25">
      <c r="B9" s="2" t="s">
        <v>91</v>
      </c>
      <c r="C9" s="20">
        <f t="shared" ref="C9:P9" si="7">C79*0.8</f>
        <v>42854.840000000004</v>
      </c>
      <c r="D9" s="20">
        <f t="shared" si="7"/>
        <v>18467.472000000002</v>
      </c>
      <c r="E9" s="20">
        <f t="shared" si="7"/>
        <v>6159</v>
      </c>
      <c r="F9" s="20">
        <f t="shared" si="7"/>
        <v>3076.0880000000002</v>
      </c>
      <c r="G9" s="20">
        <f t="shared" si="7"/>
        <v>146689.92000000001</v>
      </c>
      <c r="H9" s="20">
        <f t="shared" si="7"/>
        <v>4466.5199999999995</v>
      </c>
      <c r="I9" s="20">
        <f t="shared" si="7"/>
        <v>4239.5839999999998</v>
      </c>
      <c r="J9" s="20">
        <f t="shared" si="7"/>
        <v>0</v>
      </c>
      <c r="K9" s="20">
        <f t="shared" si="7"/>
        <v>7949.4640000000018</v>
      </c>
      <c r="L9" s="20">
        <f t="shared" si="7"/>
        <v>861.96</v>
      </c>
      <c r="M9" s="20">
        <f t="shared" si="7"/>
        <v>0</v>
      </c>
      <c r="N9" s="20">
        <f t="shared" si="7"/>
        <v>0</v>
      </c>
      <c r="O9" s="20">
        <f t="shared" si="7"/>
        <v>91.424000000000007</v>
      </c>
      <c r="P9" s="20">
        <f t="shared" si="7"/>
        <v>0</v>
      </c>
      <c r="Q9" s="20">
        <f t="shared" ref="Q9:R28" si="8">Q79*0.8</f>
        <v>82.240000000000009</v>
      </c>
      <c r="R9" s="20">
        <f t="shared" si="8"/>
        <v>822.32000000000016</v>
      </c>
      <c r="S9" s="10">
        <f t="shared" si="1"/>
        <v>235760.83199999999</v>
      </c>
      <c r="T9" s="1093">
        <f t="shared" si="3"/>
        <v>42854.840000000004</v>
      </c>
      <c r="U9" s="1093">
        <f t="shared" si="3"/>
        <v>18467.472000000002</v>
      </c>
      <c r="V9" s="1093">
        <f t="shared" si="3"/>
        <v>6159</v>
      </c>
      <c r="W9" s="1093">
        <f t="shared" si="3"/>
        <v>3076.0880000000002</v>
      </c>
      <c r="X9" s="1093">
        <f t="shared" si="3"/>
        <v>146689.92000000001</v>
      </c>
      <c r="Y9" s="1093">
        <f t="shared" si="4"/>
        <v>18513.511999999999</v>
      </c>
    </row>
    <row r="10" spans="2:25">
      <c r="B10" s="2" t="s">
        <v>92</v>
      </c>
      <c r="C10" s="20">
        <f t="shared" ref="C10:P10" si="9">C80*0.8</f>
        <v>24076.272000000004</v>
      </c>
      <c r="D10" s="20">
        <f t="shared" si="9"/>
        <v>8695.6320000000014</v>
      </c>
      <c r="E10" s="20">
        <f t="shared" si="9"/>
        <v>1558.0160000000003</v>
      </c>
      <c r="F10" s="20">
        <f t="shared" si="9"/>
        <v>267.24</v>
      </c>
      <c r="G10" s="20">
        <f t="shared" si="9"/>
        <v>94267.080000000016</v>
      </c>
      <c r="H10" s="20">
        <f t="shared" si="9"/>
        <v>3056.04</v>
      </c>
      <c r="I10" s="20">
        <f t="shared" si="9"/>
        <v>1908.0559999999996</v>
      </c>
      <c r="J10" s="20">
        <f t="shared" si="9"/>
        <v>705.24</v>
      </c>
      <c r="K10" s="20">
        <f t="shared" si="9"/>
        <v>3392.4720000000002</v>
      </c>
      <c r="L10" s="20">
        <f t="shared" si="9"/>
        <v>705.24</v>
      </c>
      <c r="M10" s="20">
        <f t="shared" si="9"/>
        <v>0</v>
      </c>
      <c r="N10" s="20">
        <f t="shared" si="9"/>
        <v>0</v>
      </c>
      <c r="O10" s="20">
        <f t="shared" si="9"/>
        <v>45.712000000000003</v>
      </c>
      <c r="P10" s="20">
        <f t="shared" si="9"/>
        <v>0</v>
      </c>
      <c r="Q10" s="20">
        <f t="shared" si="8"/>
        <v>0</v>
      </c>
      <c r="R10" s="20">
        <f t="shared" si="8"/>
        <v>0</v>
      </c>
      <c r="S10" s="10">
        <f t="shared" si="1"/>
        <v>138677.00000000003</v>
      </c>
      <c r="T10" s="1093">
        <f t="shared" si="3"/>
        <v>24076.272000000004</v>
      </c>
      <c r="U10" s="1093">
        <f t="shared" si="3"/>
        <v>8695.6320000000014</v>
      </c>
      <c r="V10" s="1093">
        <f t="shared" si="3"/>
        <v>1558.0160000000003</v>
      </c>
      <c r="W10" s="1093">
        <f t="shared" si="3"/>
        <v>267.24</v>
      </c>
      <c r="X10" s="1093">
        <f t="shared" si="3"/>
        <v>94267.080000000016</v>
      </c>
      <c r="Y10" s="1093">
        <f t="shared" si="4"/>
        <v>9812.7599999999984</v>
      </c>
    </row>
    <row r="11" spans="2:25">
      <c r="B11" s="2" t="s">
        <v>93</v>
      </c>
      <c r="C11" s="20">
        <f t="shared" ref="C11:P11" si="10">C81*0.8</f>
        <v>36527.928000000007</v>
      </c>
      <c r="D11" s="20">
        <f t="shared" si="10"/>
        <v>27436.368000000002</v>
      </c>
      <c r="E11" s="20">
        <f t="shared" si="10"/>
        <v>4664.6320000000005</v>
      </c>
      <c r="F11" s="20">
        <f t="shared" si="10"/>
        <v>850.36800000000005</v>
      </c>
      <c r="G11" s="20">
        <f t="shared" si="10"/>
        <v>126237.96000000002</v>
      </c>
      <c r="H11" s="20">
        <f t="shared" si="10"/>
        <v>7757.6400000000012</v>
      </c>
      <c r="I11" s="20">
        <f t="shared" si="10"/>
        <v>6554.5839999999998</v>
      </c>
      <c r="J11" s="20">
        <f t="shared" si="10"/>
        <v>235.08000000000004</v>
      </c>
      <c r="K11" s="20">
        <f t="shared" si="10"/>
        <v>7104.4800000000005</v>
      </c>
      <c r="L11" s="20">
        <f t="shared" si="10"/>
        <v>78.360000000000014</v>
      </c>
      <c r="M11" s="20">
        <f t="shared" si="10"/>
        <v>313.44000000000005</v>
      </c>
      <c r="N11" s="20">
        <f t="shared" si="10"/>
        <v>0</v>
      </c>
      <c r="O11" s="20">
        <f t="shared" si="10"/>
        <v>182.84800000000001</v>
      </c>
      <c r="P11" s="20">
        <f t="shared" si="10"/>
        <v>0</v>
      </c>
      <c r="Q11" s="20">
        <f t="shared" si="8"/>
        <v>0</v>
      </c>
      <c r="R11" s="20">
        <f t="shared" si="8"/>
        <v>0</v>
      </c>
      <c r="S11" s="10">
        <f t="shared" si="1"/>
        <v>217943.68800000005</v>
      </c>
      <c r="T11" s="1093">
        <f t="shared" si="3"/>
        <v>36527.928000000007</v>
      </c>
      <c r="U11" s="1093">
        <f t="shared" si="3"/>
        <v>27436.368000000002</v>
      </c>
      <c r="V11" s="1093">
        <f t="shared" si="3"/>
        <v>4664.6320000000005</v>
      </c>
      <c r="W11" s="1093">
        <f t="shared" si="3"/>
        <v>850.36800000000005</v>
      </c>
      <c r="X11" s="1093">
        <f t="shared" si="3"/>
        <v>126237.96000000002</v>
      </c>
      <c r="Y11" s="1093">
        <f t="shared" si="4"/>
        <v>22226.432000000004</v>
      </c>
    </row>
    <row r="12" spans="2:25">
      <c r="B12" s="2" t="s">
        <v>94</v>
      </c>
      <c r="C12" s="20">
        <f t="shared" ref="C12:P12" si="11">C82*0.8</f>
        <v>20271.847999999998</v>
      </c>
      <c r="D12" s="20">
        <f t="shared" si="11"/>
        <v>4899.3919999999998</v>
      </c>
      <c r="E12" s="20">
        <f t="shared" si="11"/>
        <v>3269.9920000000002</v>
      </c>
      <c r="F12" s="20">
        <f t="shared" si="11"/>
        <v>1792.384</v>
      </c>
      <c r="G12" s="20">
        <f t="shared" si="11"/>
        <v>102573.24</v>
      </c>
      <c r="H12" s="20">
        <f t="shared" si="11"/>
        <v>3447.84</v>
      </c>
      <c r="I12" s="20">
        <f t="shared" si="11"/>
        <v>1626.904</v>
      </c>
      <c r="J12" s="20">
        <f t="shared" si="11"/>
        <v>725.54399999999998</v>
      </c>
      <c r="K12" s="20">
        <f t="shared" si="11"/>
        <v>2951.2000000000003</v>
      </c>
      <c r="L12" s="20">
        <f t="shared" si="11"/>
        <v>705.24</v>
      </c>
      <c r="M12" s="20">
        <f t="shared" si="11"/>
        <v>156.72000000000003</v>
      </c>
      <c r="N12" s="20">
        <f t="shared" si="11"/>
        <v>0</v>
      </c>
      <c r="O12" s="20">
        <f t="shared" si="11"/>
        <v>22.856000000000002</v>
      </c>
      <c r="P12" s="20">
        <f t="shared" si="11"/>
        <v>0</v>
      </c>
      <c r="Q12" s="20">
        <f t="shared" si="8"/>
        <v>0</v>
      </c>
      <c r="R12" s="20">
        <f t="shared" si="8"/>
        <v>0</v>
      </c>
      <c r="S12" s="10">
        <f t="shared" si="1"/>
        <v>142443.16</v>
      </c>
      <c r="T12" s="1093">
        <f t="shared" si="3"/>
        <v>20271.847999999998</v>
      </c>
      <c r="U12" s="1093">
        <f t="shared" si="3"/>
        <v>4899.3919999999998</v>
      </c>
      <c r="V12" s="1093">
        <f t="shared" si="3"/>
        <v>3269.9920000000002</v>
      </c>
      <c r="W12" s="1093">
        <f t="shared" si="3"/>
        <v>1792.384</v>
      </c>
      <c r="X12" s="1093">
        <f t="shared" si="3"/>
        <v>102573.24</v>
      </c>
      <c r="Y12" s="1093">
        <f t="shared" si="4"/>
        <v>9636.3040000000001</v>
      </c>
    </row>
    <row r="13" spans="2:25">
      <c r="B13" s="2" t="s">
        <v>95</v>
      </c>
      <c r="C13" s="20">
        <f t="shared" ref="C13:P13" si="12">C83*0.8</f>
        <v>33858.735999999997</v>
      </c>
      <c r="D13" s="20">
        <f t="shared" si="12"/>
        <v>24889.543999999998</v>
      </c>
      <c r="E13" s="20">
        <f t="shared" si="12"/>
        <v>5504.5040000000008</v>
      </c>
      <c r="F13" s="20">
        <f t="shared" si="12"/>
        <v>2146.6480000000001</v>
      </c>
      <c r="G13" s="20">
        <f t="shared" si="12"/>
        <v>185556.48000000001</v>
      </c>
      <c r="H13" s="20">
        <f t="shared" si="12"/>
        <v>3761.2800000000007</v>
      </c>
      <c r="I13" s="20">
        <f t="shared" si="12"/>
        <v>5562.5360000000001</v>
      </c>
      <c r="J13" s="20">
        <f t="shared" si="12"/>
        <v>803.32</v>
      </c>
      <c r="K13" s="20">
        <f t="shared" si="12"/>
        <v>6778.7920000000004</v>
      </c>
      <c r="L13" s="20">
        <f t="shared" si="12"/>
        <v>156.72000000000003</v>
      </c>
      <c r="M13" s="20">
        <f t="shared" si="12"/>
        <v>0</v>
      </c>
      <c r="N13" s="20">
        <f t="shared" si="12"/>
        <v>0</v>
      </c>
      <c r="O13" s="20">
        <f t="shared" si="12"/>
        <v>91.424000000000007</v>
      </c>
      <c r="P13" s="20">
        <f t="shared" si="12"/>
        <v>0</v>
      </c>
      <c r="Q13" s="20">
        <f t="shared" si="8"/>
        <v>0</v>
      </c>
      <c r="R13" s="20">
        <f t="shared" si="8"/>
        <v>0</v>
      </c>
      <c r="S13" s="10">
        <f t="shared" si="1"/>
        <v>269109.984</v>
      </c>
      <c r="T13" s="1093">
        <f t="shared" si="3"/>
        <v>33858.735999999997</v>
      </c>
      <c r="U13" s="1093">
        <f t="shared" si="3"/>
        <v>24889.543999999998</v>
      </c>
      <c r="V13" s="1093">
        <f t="shared" si="3"/>
        <v>5504.5040000000008</v>
      </c>
      <c r="W13" s="1093">
        <f t="shared" si="3"/>
        <v>2146.6480000000001</v>
      </c>
      <c r="X13" s="1093">
        <f t="shared" si="3"/>
        <v>185556.48000000001</v>
      </c>
      <c r="Y13" s="1093">
        <f t="shared" si="4"/>
        <v>17154.072</v>
      </c>
    </row>
    <row r="14" spans="2:25">
      <c r="B14" s="2" t="s">
        <v>96</v>
      </c>
      <c r="C14" s="20">
        <f t="shared" ref="C14:P14" si="13">C84*0.8</f>
        <v>12190.168</v>
      </c>
      <c r="D14" s="20">
        <f t="shared" si="13"/>
        <v>7590.8959999999997</v>
      </c>
      <c r="E14" s="20">
        <f t="shared" si="13"/>
        <v>1226.6479999999999</v>
      </c>
      <c r="F14" s="20">
        <f t="shared" si="13"/>
        <v>1185.568</v>
      </c>
      <c r="G14" s="20">
        <f t="shared" si="13"/>
        <v>40825.56</v>
      </c>
      <c r="H14" s="20">
        <f t="shared" si="13"/>
        <v>2585.8800000000006</v>
      </c>
      <c r="I14" s="20">
        <f t="shared" si="13"/>
        <v>1748.4400000000003</v>
      </c>
      <c r="J14" s="20">
        <f t="shared" si="13"/>
        <v>0</v>
      </c>
      <c r="K14" s="20">
        <f t="shared" si="13"/>
        <v>1695.816</v>
      </c>
      <c r="L14" s="20">
        <f t="shared" si="13"/>
        <v>78.360000000000014</v>
      </c>
      <c r="M14" s="20">
        <f t="shared" si="13"/>
        <v>0</v>
      </c>
      <c r="N14" s="20">
        <f t="shared" si="13"/>
        <v>0</v>
      </c>
      <c r="O14" s="20">
        <f t="shared" si="13"/>
        <v>68.567999999999998</v>
      </c>
      <c r="P14" s="20">
        <f t="shared" si="13"/>
        <v>0</v>
      </c>
      <c r="Q14" s="20">
        <f t="shared" si="8"/>
        <v>0</v>
      </c>
      <c r="R14" s="20">
        <f t="shared" si="8"/>
        <v>0</v>
      </c>
      <c r="S14" s="10">
        <f t="shared" si="1"/>
        <v>69195.90400000001</v>
      </c>
      <c r="T14" s="1093">
        <f t="shared" si="3"/>
        <v>12190.168</v>
      </c>
      <c r="U14" s="1093">
        <f t="shared" si="3"/>
        <v>7590.8959999999997</v>
      </c>
      <c r="V14" s="1093">
        <f t="shared" si="3"/>
        <v>1226.6479999999999</v>
      </c>
      <c r="W14" s="1093">
        <f t="shared" si="3"/>
        <v>1185.568</v>
      </c>
      <c r="X14" s="1093">
        <f t="shared" si="3"/>
        <v>40825.56</v>
      </c>
      <c r="Y14" s="1093">
        <f t="shared" si="4"/>
        <v>6177.0640000000003</v>
      </c>
    </row>
    <row r="15" spans="2:25">
      <c r="B15" s="2" t="s">
        <v>97</v>
      </c>
      <c r="C15" s="20">
        <f t="shared" ref="C15:P15" si="14">C85*0.8</f>
        <v>24398.687999999998</v>
      </c>
      <c r="D15" s="20">
        <f t="shared" si="14"/>
        <v>14600.480000000003</v>
      </c>
      <c r="E15" s="20">
        <f t="shared" si="14"/>
        <v>2201.8320000000003</v>
      </c>
      <c r="F15" s="20">
        <f t="shared" si="14"/>
        <v>1614.5840000000001</v>
      </c>
      <c r="G15" s="20">
        <f t="shared" si="14"/>
        <v>197623.92</v>
      </c>
      <c r="H15" s="20">
        <f t="shared" si="14"/>
        <v>2899.32</v>
      </c>
      <c r="I15" s="20">
        <f t="shared" si="14"/>
        <v>2737.5920000000006</v>
      </c>
      <c r="J15" s="20">
        <f t="shared" si="14"/>
        <v>1757.5200000000002</v>
      </c>
      <c r="K15" s="20">
        <f t="shared" si="14"/>
        <v>3781.4160000000006</v>
      </c>
      <c r="L15" s="20">
        <f t="shared" si="14"/>
        <v>235.08000000000004</v>
      </c>
      <c r="M15" s="20">
        <f t="shared" si="14"/>
        <v>0</v>
      </c>
      <c r="N15" s="20">
        <f t="shared" si="14"/>
        <v>0</v>
      </c>
      <c r="O15" s="20">
        <f t="shared" si="14"/>
        <v>22.856000000000002</v>
      </c>
      <c r="P15" s="20">
        <f t="shared" si="14"/>
        <v>0</v>
      </c>
      <c r="Q15" s="20">
        <f t="shared" si="8"/>
        <v>0</v>
      </c>
      <c r="R15" s="20">
        <f t="shared" si="8"/>
        <v>0</v>
      </c>
      <c r="S15" s="10">
        <f t="shared" si="1"/>
        <v>251873.288</v>
      </c>
      <c r="T15" s="1093">
        <f t="shared" si="3"/>
        <v>24398.687999999998</v>
      </c>
      <c r="U15" s="1093">
        <f t="shared" si="3"/>
        <v>14600.480000000003</v>
      </c>
      <c r="V15" s="1093">
        <f t="shared" si="3"/>
        <v>2201.8320000000003</v>
      </c>
      <c r="W15" s="1093">
        <f t="shared" si="3"/>
        <v>1614.5840000000001</v>
      </c>
      <c r="X15" s="1093">
        <f t="shared" si="3"/>
        <v>197623.92</v>
      </c>
      <c r="Y15" s="1093">
        <f t="shared" si="4"/>
        <v>11433.784000000001</v>
      </c>
    </row>
    <row r="16" spans="2:25">
      <c r="B16" s="2" t="s">
        <v>98</v>
      </c>
      <c r="C16" s="20">
        <f t="shared" ref="C16:P16" si="15">C86*0.8</f>
        <v>21576.736000000001</v>
      </c>
      <c r="D16" s="20">
        <f t="shared" si="15"/>
        <v>18556.456000000002</v>
      </c>
      <c r="E16" s="20">
        <f t="shared" si="15"/>
        <v>3771.3199999999997</v>
      </c>
      <c r="F16" s="20">
        <f t="shared" si="15"/>
        <v>1536.5040000000001</v>
      </c>
      <c r="G16" s="20">
        <f t="shared" si="15"/>
        <v>145906.32</v>
      </c>
      <c r="H16" s="20">
        <f t="shared" si="15"/>
        <v>2194.08</v>
      </c>
      <c r="I16" s="20">
        <f t="shared" si="15"/>
        <v>4722.3840000000009</v>
      </c>
      <c r="J16" s="20">
        <f t="shared" si="15"/>
        <v>0</v>
      </c>
      <c r="K16" s="20">
        <f t="shared" si="15"/>
        <v>3799.9680000000003</v>
      </c>
      <c r="L16" s="20">
        <f t="shared" si="15"/>
        <v>313.44000000000005</v>
      </c>
      <c r="M16" s="20">
        <f t="shared" si="15"/>
        <v>0</v>
      </c>
      <c r="N16" s="20">
        <f t="shared" si="15"/>
        <v>0</v>
      </c>
      <c r="O16" s="20">
        <f t="shared" si="15"/>
        <v>22.856000000000002</v>
      </c>
      <c r="P16" s="20">
        <f t="shared" si="15"/>
        <v>0</v>
      </c>
      <c r="Q16" s="20">
        <f t="shared" si="8"/>
        <v>45.088000000000001</v>
      </c>
      <c r="R16" s="20">
        <f t="shared" si="8"/>
        <v>0</v>
      </c>
      <c r="S16" s="10">
        <f t="shared" si="1"/>
        <v>202445.15199999997</v>
      </c>
      <c r="T16" s="1093">
        <f t="shared" si="3"/>
        <v>21576.736000000001</v>
      </c>
      <c r="U16" s="1093">
        <f t="shared" si="3"/>
        <v>18556.456000000002</v>
      </c>
      <c r="V16" s="1093">
        <f t="shared" si="3"/>
        <v>3771.3199999999997</v>
      </c>
      <c r="W16" s="1093">
        <f t="shared" si="3"/>
        <v>1536.5040000000001</v>
      </c>
      <c r="X16" s="1093">
        <f t="shared" si="3"/>
        <v>145906.32</v>
      </c>
      <c r="Y16" s="1093">
        <f t="shared" si="4"/>
        <v>11097.816000000001</v>
      </c>
    </row>
    <row r="17" spans="2:25">
      <c r="B17" s="2" t="s">
        <v>99</v>
      </c>
      <c r="C17" s="20">
        <f t="shared" ref="C17:P17" si="16">C87*0.8</f>
        <v>119049.76000000001</v>
      </c>
      <c r="D17" s="20">
        <f t="shared" si="16"/>
        <v>99450.384000000005</v>
      </c>
      <c r="E17" s="20">
        <f t="shared" si="16"/>
        <v>9232.4399999999987</v>
      </c>
      <c r="F17" s="20">
        <f t="shared" si="16"/>
        <v>9004.0960000000014</v>
      </c>
      <c r="G17" s="20">
        <f t="shared" si="16"/>
        <v>368495.04000000004</v>
      </c>
      <c r="H17" s="20">
        <f t="shared" si="16"/>
        <v>9559.92</v>
      </c>
      <c r="I17" s="20">
        <f t="shared" si="16"/>
        <v>22633.103999999999</v>
      </c>
      <c r="J17" s="20">
        <f t="shared" si="16"/>
        <v>235.08000000000004</v>
      </c>
      <c r="K17" s="20">
        <f t="shared" si="16"/>
        <v>20846.744000000002</v>
      </c>
      <c r="L17" s="20">
        <f t="shared" si="16"/>
        <v>1410.48</v>
      </c>
      <c r="M17" s="20">
        <f t="shared" si="16"/>
        <v>156.72000000000003</v>
      </c>
      <c r="N17" s="20">
        <f t="shared" si="16"/>
        <v>0</v>
      </c>
      <c r="O17" s="20">
        <f t="shared" si="16"/>
        <v>137.136</v>
      </c>
      <c r="P17" s="20">
        <f t="shared" si="16"/>
        <v>0</v>
      </c>
      <c r="Q17" s="20">
        <f t="shared" si="8"/>
        <v>0</v>
      </c>
      <c r="R17" s="20">
        <f t="shared" si="8"/>
        <v>0</v>
      </c>
      <c r="S17" s="10">
        <f t="shared" si="1"/>
        <v>660210.9040000001</v>
      </c>
      <c r="T17" s="1093">
        <f t="shared" si="3"/>
        <v>119049.76000000001</v>
      </c>
      <c r="U17" s="1093">
        <f t="shared" si="3"/>
        <v>99450.384000000005</v>
      </c>
      <c r="V17" s="1093">
        <f t="shared" si="3"/>
        <v>9232.4399999999987</v>
      </c>
      <c r="W17" s="1093">
        <f t="shared" si="3"/>
        <v>9004.0960000000014</v>
      </c>
      <c r="X17" s="1093">
        <f t="shared" si="3"/>
        <v>368495.04000000004</v>
      </c>
      <c r="Y17" s="1093">
        <f t="shared" si="4"/>
        <v>54979.184000000001</v>
      </c>
    </row>
    <row r="18" spans="2:25">
      <c r="B18" s="2" t="s">
        <v>100</v>
      </c>
      <c r="C18" s="20">
        <f t="shared" ref="C18:P18" si="17">C88*0.8</f>
        <v>22207.592000000004</v>
      </c>
      <c r="D18" s="20">
        <f t="shared" si="17"/>
        <v>18437.416000000001</v>
      </c>
      <c r="E18" s="20">
        <f t="shared" si="17"/>
        <v>1657.8480000000004</v>
      </c>
      <c r="F18" s="20">
        <f t="shared" si="17"/>
        <v>1491.056</v>
      </c>
      <c r="G18" s="20">
        <f t="shared" si="17"/>
        <v>63941.760000000002</v>
      </c>
      <c r="H18" s="20">
        <f t="shared" si="17"/>
        <v>3604.56</v>
      </c>
      <c r="I18" s="20">
        <f t="shared" si="17"/>
        <v>3938.2960000000003</v>
      </c>
      <c r="J18" s="20">
        <f t="shared" si="17"/>
        <v>0</v>
      </c>
      <c r="K18" s="20">
        <f t="shared" si="17"/>
        <v>3801.16</v>
      </c>
      <c r="L18" s="20">
        <f t="shared" si="17"/>
        <v>470.16000000000008</v>
      </c>
      <c r="M18" s="20">
        <f t="shared" si="17"/>
        <v>0</v>
      </c>
      <c r="N18" s="20">
        <f t="shared" si="17"/>
        <v>0</v>
      </c>
      <c r="O18" s="20">
        <f t="shared" si="17"/>
        <v>91.424000000000007</v>
      </c>
      <c r="P18" s="20">
        <f t="shared" si="17"/>
        <v>0</v>
      </c>
      <c r="Q18" s="20">
        <f t="shared" si="8"/>
        <v>0</v>
      </c>
      <c r="R18" s="20">
        <f t="shared" si="8"/>
        <v>0</v>
      </c>
      <c r="S18" s="10">
        <f t="shared" si="1"/>
        <v>119641.272</v>
      </c>
      <c r="T18" s="1093">
        <f t="shared" si="3"/>
        <v>22207.592000000004</v>
      </c>
      <c r="U18" s="1093">
        <f t="shared" si="3"/>
        <v>18437.416000000001</v>
      </c>
      <c r="V18" s="1093">
        <f t="shared" si="3"/>
        <v>1657.8480000000004</v>
      </c>
      <c r="W18" s="1093">
        <f t="shared" si="3"/>
        <v>1491.056</v>
      </c>
      <c r="X18" s="1093">
        <f t="shared" si="3"/>
        <v>63941.760000000002</v>
      </c>
      <c r="Y18" s="1093">
        <f t="shared" si="4"/>
        <v>11905.6</v>
      </c>
    </row>
    <row r="19" spans="2:25">
      <c r="B19" s="2" t="s">
        <v>101</v>
      </c>
      <c r="C19" s="20">
        <f t="shared" ref="C19:P19" si="18">C89*0.8</f>
        <v>17378.136000000002</v>
      </c>
      <c r="D19" s="20">
        <f t="shared" si="18"/>
        <v>15281.512000000002</v>
      </c>
      <c r="E19" s="20">
        <f t="shared" si="18"/>
        <v>1447.5599999999995</v>
      </c>
      <c r="F19" s="20">
        <f t="shared" si="18"/>
        <v>2816.152</v>
      </c>
      <c r="G19" s="20">
        <f t="shared" si="18"/>
        <v>73971.840000000011</v>
      </c>
      <c r="H19" s="20">
        <f t="shared" si="18"/>
        <v>2037.36</v>
      </c>
      <c r="I19" s="20">
        <f t="shared" si="18"/>
        <v>3972.7199999999993</v>
      </c>
      <c r="J19" s="20">
        <f t="shared" si="18"/>
        <v>0</v>
      </c>
      <c r="K19" s="20">
        <f t="shared" si="18"/>
        <v>2828.5440000000003</v>
      </c>
      <c r="L19" s="20">
        <f t="shared" si="18"/>
        <v>78.360000000000014</v>
      </c>
      <c r="M19" s="20">
        <f t="shared" si="18"/>
        <v>0</v>
      </c>
      <c r="N19" s="20">
        <f t="shared" si="18"/>
        <v>0</v>
      </c>
      <c r="O19" s="20">
        <f t="shared" si="18"/>
        <v>68.567999999999998</v>
      </c>
      <c r="P19" s="20">
        <f t="shared" si="18"/>
        <v>0</v>
      </c>
      <c r="Q19" s="20">
        <f t="shared" si="8"/>
        <v>0</v>
      </c>
      <c r="R19" s="20">
        <f t="shared" si="8"/>
        <v>0</v>
      </c>
      <c r="S19" s="10">
        <f t="shared" si="1"/>
        <v>119880.75200000001</v>
      </c>
      <c r="T19" s="1093">
        <f t="shared" si="3"/>
        <v>17378.136000000002</v>
      </c>
      <c r="U19" s="1093">
        <f t="shared" si="3"/>
        <v>15281.512000000002</v>
      </c>
      <c r="V19" s="1093">
        <f t="shared" si="3"/>
        <v>1447.5599999999995</v>
      </c>
      <c r="W19" s="1093">
        <f t="shared" si="3"/>
        <v>2816.152</v>
      </c>
      <c r="X19" s="1093">
        <f t="shared" si="3"/>
        <v>73971.840000000011</v>
      </c>
      <c r="Y19" s="1093">
        <f t="shared" si="4"/>
        <v>8985.5519999999997</v>
      </c>
    </row>
    <row r="20" spans="2:25">
      <c r="B20" s="2" t="s">
        <v>102</v>
      </c>
      <c r="C20" s="20">
        <f t="shared" ref="C20:P20" si="19">C90*0.8</f>
        <v>87188.944000000018</v>
      </c>
      <c r="D20" s="20">
        <f t="shared" si="19"/>
        <v>55170.335999999988</v>
      </c>
      <c r="E20" s="20">
        <f t="shared" si="19"/>
        <v>15988.839999999997</v>
      </c>
      <c r="F20" s="20">
        <f t="shared" si="19"/>
        <v>10213.632000000001</v>
      </c>
      <c r="G20" s="20">
        <f t="shared" si="19"/>
        <v>505186.92000000004</v>
      </c>
      <c r="H20" s="20">
        <f t="shared" si="19"/>
        <v>11440.560000000001</v>
      </c>
      <c r="I20" s="20">
        <f t="shared" si="19"/>
        <v>13306.232000000002</v>
      </c>
      <c r="J20" s="20">
        <f t="shared" si="19"/>
        <v>944.40000000000009</v>
      </c>
      <c r="K20" s="20">
        <f t="shared" si="19"/>
        <v>16074.760000000002</v>
      </c>
      <c r="L20" s="20">
        <f t="shared" si="19"/>
        <v>2350.8000000000002</v>
      </c>
      <c r="M20" s="20">
        <f t="shared" si="19"/>
        <v>156.72000000000003</v>
      </c>
      <c r="N20" s="20">
        <f t="shared" si="19"/>
        <v>0</v>
      </c>
      <c r="O20" s="20">
        <f t="shared" si="19"/>
        <v>114.28</v>
      </c>
      <c r="P20" s="20">
        <f t="shared" si="19"/>
        <v>0</v>
      </c>
      <c r="Q20" s="20">
        <f t="shared" si="8"/>
        <v>0</v>
      </c>
      <c r="R20" s="20">
        <f t="shared" si="8"/>
        <v>0</v>
      </c>
      <c r="S20" s="10">
        <f t="shared" si="1"/>
        <v>718136.42400000012</v>
      </c>
      <c r="T20" s="1093">
        <f t="shared" si="3"/>
        <v>87188.944000000018</v>
      </c>
      <c r="U20" s="1093">
        <f t="shared" si="3"/>
        <v>55170.335999999988</v>
      </c>
      <c r="V20" s="1093">
        <f t="shared" si="3"/>
        <v>15988.839999999997</v>
      </c>
      <c r="W20" s="1093">
        <f t="shared" si="3"/>
        <v>10213.632000000001</v>
      </c>
      <c r="X20" s="1093">
        <f t="shared" si="3"/>
        <v>505186.92000000004</v>
      </c>
      <c r="Y20" s="1093">
        <f t="shared" si="4"/>
        <v>44387.752000000008</v>
      </c>
    </row>
    <row r="21" spans="2:25">
      <c r="B21" s="2" t="s">
        <v>103</v>
      </c>
      <c r="C21" s="20">
        <f t="shared" ref="C21:P21" si="20">C91*0.8</f>
        <v>37330.328000000001</v>
      </c>
      <c r="D21" s="20">
        <f t="shared" si="20"/>
        <v>21197.632000000001</v>
      </c>
      <c r="E21" s="20">
        <f t="shared" si="20"/>
        <v>2971.3039999999996</v>
      </c>
      <c r="F21" s="20">
        <f t="shared" si="20"/>
        <v>1931.6000000000001</v>
      </c>
      <c r="G21" s="20">
        <f t="shared" si="20"/>
        <v>127021.56000000001</v>
      </c>
      <c r="H21" s="20">
        <f t="shared" si="20"/>
        <v>4309.8</v>
      </c>
      <c r="I21" s="20">
        <f t="shared" si="20"/>
        <v>4571.7519999999995</v>
      </c>
      <c r="J21" s="20">
        <f t="shared" si="20"/>
        <v>235.08000000000004</v>
      </c>
      <c r="K21" s="20">
        <f t="shared" si="20"/>
        <v>6733.9840000000004</v>
      </c>
      <c r="L21" s="20">
        <f t="shared" si="20"/>
        <v>156.72000000000003</v>
      </c>
      <c r="M21" s="20">
        <f t="shared" si="20"/>
        <v>0</v>
      </c>
      <c r="N21" s="20">
        <f t="shared" si="20"/>
        <v>0</v>
      </c>
      <c r="O21" s="20">
        <f t="shared" si="20"/>
        <v>68.567999999999998</v>
      </c>
      <c r="P21" s="20">
        <f t="shared" si="20"/>
        <v>0</v>
      </c>
      <c r="Q21" s="20">
        <f t="shared" si="8"/>
        <v>0</v>
      </c>
      <c r="R21" s="20">
        <f t="shared" si="8"/>
        <v>0</v>
      </c>
      <c r="S21" s="10">
        <f t="shared" si="1"/>
        <v>206528.32799999998</v>
      </c>
      <c r="T21" s="1093">
        <f t="shared" si="3"/>
        <v>37330.328000000001</v>
      </c>
      <c r="U21" s="1093">
        <f t="shared" si="3"/>
        <v>21197.632000000001</v>
      </c>
      <c r="V21" s="1093">
        <f t="shared" si="3"/>
        <v>2971.3039999999996</v>
      </c>
      <c r="W21" s="1093">
        <f t="shared" si="3"/>
        <v>1931.6000000000001</v>
      </c>
      <c r="X21" s="1093">
        <f t="shared" si="3"/>
        <v>127021.56000000001</v>
      </c>
      <c r="Y21" s="1093">
        <f t="shared" si="4"/>
        <v>16075.903999999999</v>
      </c>
    </row>
    <row r="22" spans="2:25">
      <c r="B22" s="2" t="s">
        <v>104</v>
      </c>
      <c r="C22" s="20">
        <f t="shared" ref="C22:P22" si="21">C92*0.8</f>
        <v>10168.584000000001</v>
      </c>
      <c r="D22" s="20">
        <f t="shared" si="21"/>
        <v>3505.6400000000003</v>
      </c>
      <c r="E22" s="20">
        <f t="shared" si="21"/>
        <v>1760.7040000000002</v>
      </c>
      <c r="F22" s="20">
        <f t="shared" si="21"/>
        <v>419.19200000000001</v>
      </c>
      <c r="G22" s="20">
        <f t="shared" si="21"/>
        <v>37221</v>
      </c>
      <c r="H22" s="20">
        <f t="shared" si="21"/>
        <v>1802.28</v>
      </c>
      <c r="I22" s="20">
        <f t="shared" si="21"/>
        <v>796.83200000000011</v>
      </c>
      <c r="J22" s="20">
        <f t="shared" si="21"/>
        <v>0</v>
      </c>
      <c r="K22" s="20">
        <f t="shared" si="21"/>
        <v>1738.68</v>
      </c>
      <c r="L22" s="20">
        <f t="shared" si="21"/>
        <v>156.72000000000003</v>
      </c>
      <c r="M22" s="20">
        <f t="shared" si="21"/>
        <v>0</v>
      </c>
      <c r="N22" s="20">
        <f t="shared" si="21"/>
        <v>0</v>
      </c>
      <c r="O22" s="20">
        <f t="shared" si="21"/>
        <v>0</v>
      </c>
      <c r="P22" s="20">
        <f t="shared" si="21"/>
        <v>0</v>
      </c>
      <c r="Q22" s="20">
        <f t="shared" si="8"/>
        <v>0</v>
      </c>
      <c r="R22" s="20">
        <f t="shared" si="8"/>
        <v>0</v>
      </c>
      <c r="S22" s="10">
        <f t="shared" si="1"/>
        <v>57569.632000000005</v>
      </c>
      <c r="T22" s="1093">
        <f t="shared" si="3"/>
        <v>10168.584000000001</v>
      </c>
      <c r="U22" s="1093">
        <f t="shared" si="3"/>
        <v>3505.6400000000003</v>
      </c>
      <c r="V22" s="1093">
        <f t="shared" si="3"/>
        <v>1760.7040000000002</v>
      </c>
      <c r="W22" s="1093">
        <f t="shared" si="3"/>
        <v>419.19200000000001</v>
      </c>
      <c r="X22" s="1093">
        <f t="shared" si="3"/>
        <v>37221</v>
      </c>
      <c r="Y22" s="1093">
        <f t="shared" si="4"/>
        <v>4494.5120000000006</v>
      </c>
    </row>
    <row r="23" spans="2:25">
      <c r="B23" s="2" t="s">
        <v>105</v>
      </c>
      <c r="C23" s="20">
        <f t="shared" ref="C23:P23" si="22">C93*0.8</f>
        <v>121086.984</v>
      </c>
      <c r="D23" s="20">
        <f t="shared" si="22"/>
        <v>62151.256000000008</v>
      </c>
      <c r="E23" s="20">
        <f t="shared" si="22"/>
        <v>13376.352000000003</v>
      </c>
      <c r="F23" s="20">
        <f t="shared" si="22"/>
        <v>6954.9520000000011</v>
      </c>
      <c r="G23" s="20">
        <f t="shared" si="22"/>
        <v>407942.16000000003</v>
      </c>
      <c r="H23" s="20">
        <f t="shared" si="22"/>
        <v>12145.800000000001</v>
      </c>
      <c r="I23" s="20">
        <f t="shared" si="22"/>
        <v>16539.103999999999</v>
      </c>
      <c r="J23" s="20">
        <f t="shared" si="22"/>
        <v>240.512</v>
      </c>
      <c r="K23" s="20">
        <f t="shared" si="22"/>
        <v>21532.880000000001</v>
      </c>
      <c r="L23" s="20">
        <f t="shared" si="22"/>
        <v>1253.7600000000002</v>
      </c>
      <c r="M23" s="20">
        <f t="shared" si="22"/>
        <v>0</v>
      </c>
      <c r="N23" s="20">
        <f t="shared" si="22"/>
        <v>0</v>
      </c>
      <c r="O23" s="20">
        <f t="shared" si="22"/>
        <v>457.12</v>
      </c>
      <c r="P23" s="20">
        <f t="shared" si="22"/>
        <v>0</v>
      </c>
      <c r="Q23" s="20">
        <f t="shared" si="8"/>
        <v>0</v>
      </c>
      <c r="R23" s="20">
        <f t="shared" si="8"/>
        <v>0</v>
      </c>
      <c r="S23" s="10">
        <f t="shared" si="1"/>
        <v>663680.88000000012</v>
      </c>
      <c r="T23" s="1093">
        <f t="shared" si="3"/>
        <v>121086.984</v>
      </c>
      <c r="U23" s="1093">
        <f t="shared" si="3"/>
        <v>62151.256000000008</v>
      </c>
      <c r="V23" s="1093">
        <f t="shared" si="3"/>
        <v>13376.352000000003</v>
      </c>
      <c r="W23" s="1093">
        <f t="shared" si="3"/>
        <v>6954.9520000000011</v>
      </c>
      <c r="X23" s="1093">
        <f t="shared" si="3"/>
        <v>407942.16000000003</v>
      </c>
      <c r="Y23" s="1093">
        <f t="shared" si="4"/>
        <v>52169.176000000007</v>
      </c>
    </row>
    <row r="24" spans="2:25">
      <c r="B24" s="2" t="s">
        <v>106</v>
      </c>
      <c r="C24" s="20">
        <f t="shared" ref="C24:P24" si="23">C94*0.8</f>
        <v>15955.847999999998</v>
      </c>
      <c r="D24" s="20">
        <f t="shared" si="23"/>
        <v>12317.112000000001</v>
      </c>
      <c r="E24" s="20">
        <f t="shared" si="23"/>
        <v>599.35200000000009</v>
      </c>
      <c r="F24" s="20">
        <f t="shared" si="23"/>
        <v>134.56</v>
      </c>
      <c r="G24" s="20">
        <f t="shared" si="23"/>
        <v>64176.840000000004</v>
      </c>
      <c r="H24" s="20">
        <f t="shared" si="23"/>
        <v>2664.2400000000002</v>
      </c>
      <c r="I24" s="20">
        <f t="shared" si="23"/>
        <v>2597.3600000000006</v>
      </c>
      <c r="J24" s="20">
        <f t="shared" si="23"/>
        <v>0</v>
      </c>
      <c r="K24" s="20">
        <f t="shared" si="23"/>
        <v>2902.7200000000003</v>
      </c>
      <c r="L24" s="20">
        <f t="shared" si="23"/>
        <v>0</v>
      </c>
      <c r="M24" s="20">
        <f t="shared" si="23"/>
        <v>0</v>
      </c>
      <c r="N24" s="20">
        <f t="shared" si="23"/>
        <v>0</v>
      </c>
      <c r="O24" s="20">
        <f t="shared" si="23"/>
        <v>45.712000000000003</v>
      </c>
      <c r="P24" s="20">
        <f t="shared" si="23"/>
        <v>0</v>
      </c>
      <c r="Q24" s="20">
        <f t="shared" si="8"/>
        <v>0</v>
      </c>
      <c r="R24" s="20">
        <f t="shared" si="8"/>
        <v>0</v>
      </c>
      <c r="S24" s="10">
        <f t="shared" si="1"/>
        <v>101393.74400000001</v>
      </c>
      <c r="T24" s="1093">
        <f t="shared" si="3"/>
        <v>15955.847999999998</v>
      </c>
      <c r="U24" s="1093">
        <f t="shared" si="3"/>
        <v>12317.112000000001</v>
      </c>
      <c r="V24" s="1093">
        <f t="shared" si="3"/>
        <v>599.35200000000009</v>
      </c>
      <c r="W24" s="1093">
        <f t="shared" si="3"/>
        <v>134.56</v>
      </c>
      <c r="X24" s="1093">
        <f t="shared" si="3"/>
        <v>64176.840000000004</v>
      </c>
      <c r="Y24" s="1093">
        <f t="shared" si="4"/>
        <v>8210.0320000000011</v>
      </c>
    </row>
    <row r="25" spans="2:25">
      <c r="B25" s="2" t="s">
        <v>107</v>
      </c>
      <c r="C25" s="20">
        <f t="shared" ref="C25:P25" si="24">C95*0.8</f>
        <v>129152.29600000003</v>
      </c>
      <c r="D25" s="20">
        <f t="shared" si="24"/>
        <v>61135.463999999993</v>
      </c>
      <c r="E25" s="20">
        <f t="shared" si="24"/>
        <v>22386.495999999999</v>
      </c>
      <c r="F25" s="20">
        <f t="shared" si="24"/>
        <v>8250.4639999999999</v>
      </c>
      <c r="G25" s="20">
        <f t="shared" si="24"/>
        <v>628603.92000000004</v>
      </c>
      <c r="H25" s="20">
        <f t="shared" si="24"/>
        <v>3996.36</v>
      </c>
      <c r="I25" s="20">
        <f t="shared" si="24"/>
        <v>13321.632000000001</v>
      </c>
      <c r="J25" s="20">
        <f t="shared" si="24"/>
        <v>5125.2560000000003</v>
      </c>
      <c r="K25" s="20">
        <f t="shared" si="24"/>
        <v>21167.4</v>
      </c>
      <c r="L25" s="20">
        <f t="shared" si="24"/>
        <v>1410.48</v>
      </c>
      <c r="M25" s="20">
        <f t="shared" si="24"/>
        <v>0</v>
      </c>
      <c r="N25" s="20">
        <f t="shared" si="24"/>
        <v>0</v>
      </c>
      <c r="O25" s="20">
        <f t="shared" si="24"/>
        <v>319.98400000000004</v>
      </c>
      <c r="P25" s="20">
        <f t="shared" si="24"/>
        <v>0</v>
      </c>
      <c r="Q25" s="20">
        <f t="shared" si="8"/>
        <v>0</v>
      </c>
      <c r="R25" s="20">
        <f t="shared" si="8"/>
        <v>0</v>
      </c>
      <c r="S25" s="10">
        <f t="shared" si="1"/>
        <v>894869.75200000009</v>
      </c>
      <c r="T25" s="1093">
        <f t="shared" si="3"/>
        <v>129152.29600000003</v>
      </c>
      <c r="U25" s="1093">
        <f t="shared" si="3"/>
        <v>61135.463999999993</v>
      </c>
      <c r="V25" s="1093">
        <f t="shared" si="3"/>
        <v>22386.495999999999</v>
      </c>
      <c r="W25" s="1093">
        <f t="shared" si="3"/>
        <v>8250.4639999999999</v>
      </c>
      <c r="X25" s="1093">
        <f t="shared" si="3"/>
        <v>628603.92000000004</v>
      </c>
      <c r="Y25" s="1093">
        <f t="shared" si="4"/>
        <v>45341.112000000001</v>
      </c>
    </row>
    <row r="26" spans="2:25">
      <c r="B26" s="2" t="s">
        <v>108</v>
      </c>
      <c r="C26" s="20">
        <f t="shared" ref="C26:P26" si="25">C96*0.8</f>
        <v>7833.1920000000018</v>
      </c>
      <c r="D26" s="20">
        <f t="shared" si="25"/>
        <v>3785.4320000000002</v>
      </c>
      <c r="E26" s="20">
        <f t="shared" si="25"/>
        <v>932.04000000000019</v>
      </c>
      <c r="F26" s="20">
        <f t="shared" si="25"/>
        <v>217.26400000000001</v>
      </c>
      <c r="G26" s="20">
        <f t="shared" si="25"/>
        <v>65665.680000000008</v>
      </c>
      <c r="H26" s="20">
        <f t="shared" si="25"/>
        <v>1175.4000000000001</v>
      </c>
      <c r="I26" s="20">
        <f t="shared" si="25"/>
        <v>687.96</v>
      </c>
      <c r="J26" s="20">
        <f t="shared" si="25"/>
        <v>0</v>
      </c>
      <c r="K26" s="20">
        <f t="shared" si="25"/>
        <v>1094.4000000000001</v>
      </c>
      <c r="L26" s="20">
        <f t="shared" si="25"/>
        <v>235.08000000000004</v>
      </c>
      <c r="M26" s="20">
        <f t="shared" si="25"/>
        <v>0</v>
      </c>
      <c r="N26" s="20">
        <f t="shared" si="25"/>
        <v>0</v>
      </c>
      <c r="O26" s="20">
        <f t="shared" si="25"/>
        <v>0</v>
      </c>
      <c r="P26" s="20">
        <f t="shared" si="25"/>
        <v>0</v>
      </c>
      <c r="Q26" s="20">
        <f t="shared" si="8"/>
        <v>214.78400000000002</v>
      </c>
      <c r="R26" s="20">
        <f t="shared" si="8"/>
        <v>207.82399999999998</v>
      </c>
      <c r="S26" s="10">
        <f t="shared" si="1"/>
        <v>82049.055999999997</v>
      </c>
      <c r="T26" s="1093">
        <f t="shared" si="3"/>
        <v>7833.1920000000018</v>
      </c>
      <c r="U26" s="1093">
        <f t="shared" si="3"/>
        <v>3785.4320000000002</v>
      </c>
      <c r="V26" s="1093">
        <f t="shared" si="3"/>
        <v>932.04000000000019</v>
      </c>
      <c r="W26" s="1093">
        <f t="shared" si="3"/>
        <v>217.26400000000001</v>
      </c>
      <c r="X26" s="1093">
        <f t="shared" si="3"/>
        <v>65665.680000000008</v>
      </c>
      <c r="Y26" s="1093">
        <f t="shared" si="4"/>
        <v>3615.4480000000003</v>
      </c>
    </row>
    <row r="27" spans="2:25">
      <c r="B27" s="2" t="s">
        <v>109</v>
      </c>
      <c r="C27" s="20">
        <f t="shared" ref="C27:P27" si="26">C97*0.8</f>
        <v>2908.4799999999996</v>
      </c>
      <c r="D27" s="20">
        <f t="shared" si="26"/>
        <v>928.51200000000017</v>
      </c>
      <c r="E27" s="20">
        <f t="shared" si="26"/>
        <v>228.56799999999998</v>
      </c>
      <c r="F27" s="20">
        <f t="shared" si="26"/>
        <v>0</v>
      </c>
      <c r="G27" s="20">
        <f t="shared" si="26"/>
        <v>11283.84</v>
      </c>
      <c r="H27" s="20">
        <f t="shared" si="26"/>
        <v>156.72000000000003</v>
      </c>
      <c r="I27" s="20">
        <f t="shared" si="26"/>
        <v>152.21600000000001</v>
      </c>
      <c r="J27" s="20">
        <f t="shared" si="26"/>
        <v>0</v>
      </c>
      <c r="K27" s="20">
        <f t="shared" si="26"/>
        <v>453.29600000000005</v>
      </c>
      <c r="L27" s="20">
        <f t="shared" si="26"/>
        <v>0</v>
      </c>
      <c r="M27" s="20">
        <f t="shared" si="26"/>
        <v>0</v>
      </c>
      <c r="N27" s="20">
        <f t="shared" si="26"/>
        <v>0</v>
      </c>
      <c r="O27" s="20">
        <f t="shared" si="26"/>
        <v>0</v>
      </c>
      <c r="P27" s="20">
        <f t="shared" si="26"/>
        <v>0</v>
      </c>
      <c r="Q27" s="20">
        <f t="shared" si="8"/>
        <v>0</v>
      </c>
      <c r="R27" s="20">
        <f t="shared" si="8"/>
        <v>0</v>
      </c>
      <c r="S27" s="10">
        <f t="shared" si="1"/>
        <v>16111.632</v>
      </c>
      <c r="T27" s="1093">
        <f t="shared" si="3"/>
        <v>2908.4799999999996</v>
      </c>
      <c r="U27" s="1093">
        <f t="shared" si="3"/>
        <v>928.51200000000017</v>
      </c>
      <c r="V27" s="1093">
        <f t="shared" si="3"/>
        <v>228.56799999999998</v>
      </c>
      <c r="W27" s="1093">
        <f t="shared" si="3"/>
        <v>0</v>
      </c>
      <c r="X27" s="1093">
        <f t="shared" si="3"/>
        <v>11283.84</v>
      </c>
      <c r="Y27" s="1093">
        <f t="shared" si="4"/>
        <v>762.23200000000008</v>
      </c>
    </row>
    <row r="28" spans="2:25">
      <c r="B28" s="2" t="s">
        <v>110</v>
      </c>
      <c r="C28" s="20">
        <f t="shared" ref="C28:P28" si="27">C98*0.8</f>
        <v>65740.432000000015</v>
      </c>
      <c r="D28" s="20">
        <f t="shared" si="27"/>
        <v>34924.752</v>
      </c>
      <c r="E28" s="20">
        <f t="shared" si="27"/>
        <v>5332.1360000000004</v>
      </c>
      <c r="F28" s="20">
        <f t="shared" si="27"/>
        <v>4310.9360000000006</v>
      </c>
      <c r="G28" s="20">
        <f t="shared" si="27"/>
        <v>398538.96</v>
      </c>
      <c r="H28" s="20">
        <f t="shared" si="27"/>
        <v>5563.56</v>
      </c>
      <c r="I28" s="20">
        <f t="shared" si="27"/>
        <v>10471.304000000002</v>
      </c>
      <c r="J28" s="20">
        <f t="shared" si="27"/>
        <v>0</v>
      </c>
      <c r="K28" s="20">
        <f t="shared" si="27"/>
        <v>10013.040000000001</v>
      </c>
      <c r="L28" s="20">
        <f t="shared" si="27"/>
        <v>861.96</v>
      </c>
      <c r="M28" s="20">
        <f t="shared" si="27"/>
        <v>0</v>
      </c>
      <c r="N28" s="20">
        <f t="shared" si="27"/>
        <v>0</v>
      </c>
      <c r="O28" s="20">
        <f t="shared" si="27"/>
        <v>68.567999999999998</v>
      </c>
      <c r="P28" s="20">
        <f t="shared" si="27"/>
        <v>0</v>
      </c>
      <c r="Q28" s="20">
        <f t="shared" si="8"/>
        <v>0</v>
      </c>
      <c r="R28" s="20">
        <f t="shared" si="8"/>
        <v>0</v>
      </c>
      <c r="S28" s="10">
        <f t="shared" si="1"/>
        <v>535825.64799999993</v>
      </c>
      <c r="T28" s="1093">
        <f t="shared" si="3"/>
        <v>65740.432000000015</v>
      </c>
      <c r="U28" s="1093">
        <f t="shared" si="3"/>
        <v>34924.752</v>
      </c>
      <c r="V28" s="1093">
        <f t="shared" si="3"/>
        <v>5332.1360000000004</v>
      </c>
      <c r="W28" s="1093">
        <f t="shared" si="3"/>
        <v>4310.9360000000006</v>
      </c>
      <c r="X28" s="1093">
        <f t="shared" si="3"/>
        <v>398538.96</v>
      </c>
      <c r="Y28" s="1093">
        <f t="shared" si="4"/>
        <v>26978.432000000001</v>
      </c>
    </row>
    <row r="29" spans="2:25">
      <c r="B29" s="2" t="s">
        <v>111</v>
      </c>
      <c r="C29" s="20">
        <f t="shared" ref="C29:P29" si="28">C99*0.8</f>
        <v>413061.50400000002</v>
      </c>
      <c r="D29" s="20">
        <f t="shared" si="28"/>
        <v>266009.68</v>
      </c>
      <c r="E29" s="20">
        <f t="shared" si="28"/>
        <v>39511.784000000014</v>
      </c>
      <c r="F29" s="20">
        <f t="shared" si="28"/>
        <v>39898.527999999998</v>
      </c>
      <c r="G29" s="20">
        <f t="shared" si="28"/>
        <v>2160820.9760000003</v>
      </c>
      <c r="H29" s="20">
        <f t="shared" si="28"/>
        <v>31500.720000000001</v>
      </c>
      <c r="I29" s="20">
        <f t="shared" si="28"/>
        <v>85826.112000000008</v>
      </c>
      <c r="J29" s="20">
        <f t="shared" si="28"/>
        <v>0</v>
      </c>
      <c r="K29" s="20">
        <f t="shared" si="28"/>
        <v>70487.400000000009</v>
      </c>
      <c r="L29" s="20">
        <f t="shared" si="28"/>
        <v>4231.4400000000005</v>
      </c>
      <c r="M29" s="20">
        <f t="shared" si="28"/>
        <v>313.44000000000005</v>
      </c>
      <c r="N29" s="20">
        <f t="shared" si="28"/>
        <v>0</v>
      </c>
      <c r="O29" s="20">
        <f t="shared" si="28"/>
        <v>1234.2240000000002</v>
      </c>
      <c r="P29" s="20">
        <f t="shared" si="28"/>
        <v>76.263999999999996</v>
      </c>
      <c r="Q29" s="20">
        <f>Q99</f>
        <v>809.84</v>
      </c>
      <c r="R29" s="20">
        <f>R99</f>
        <v>12526.83</v>
      </c>
      <c r="S29" s="10">
        <f t="shared" si="1"/>
        <v>3126308.7420000001</v>
      </c>
      <c r="T29" s="1093">
        <f t="shared" si="3"/>
        <v>413061.50400000002</v>
      </c>
      <c r="U29" s="1093">
        <f t="shared" si="3"/>
        <v>266009.68</v>
      </c>
      <c r="V29" s="1093">
        <f t="shared" si="3"/>
        <v>39511.784000000014</v>
      </c>
      <c r="W29" s="1093">
        <f t="shared" si="3"/>
        <v>39898.527999999998</v>
      </c>
      <c r="X29" s="1093">
        <f t="shared" si="3"/>
        <v>2160820.9760000003</v>
      </c>
      <c r="Y29" s="1093">
        <f t="shared" si="4"/>
        <v>207006.27</v>
      </c>
    </row>
    <row r="30" spans="2:25">
      <c r="B30" s="2" t="s">
        <v>112</v>
      </c>
      <c r="C30" s="20">
        <f t="shared" ref="C30:P30" si="29">C100*0.8</f>
        <v>11989.376000000004</v>
      </c>
      <c r="D30" s="20">
        <f t="shared" si="29"/>
        <v>11807.264000000001</v>
      </c>
      <c r="E30" s="20">
        <f t="shared" si="29"/>
        <v>717.68000000000006</v>
      </c>
      <c r="F30" s="20">
        <f t="shared" si="29"/>
        <v>380.32799999999997</v>
      </c>
      <c r="G30" s="20">
        <f t="shared" si="29"/>
        <v>51169.08</v>
      </c>
      <c r="H30" s="20">
        <f t="shared" si="29"/>
        <v>1332.1200000000001</v>
      </c>
      <c r="I30" s="20">
        <f t="shared" si="29"/>
        <v>2728.8080000000004</v>
      </c>
      <c r="J30" s="20">
        <f t="shared" si="29"/>
        <v>0</v>
      </c>
      <c r="K30" s="20">
        <f t="shared" si="29"/>
        <v>2077.7440000000001</v>
      </c>
      <c r="L30" s="20">
        <f t="shared" si="29"/>
        <v>313.44000000000005</v>
      </c>
      <c r="M30" s="20">
        <f t="shared" si="29"/>
        <v>0</v>
      </c>
      <c r="N30" s="20">
        <f t="shared" si="29"/>
        <v>0</v>
      </c>
      <c r="O30" s="20">
        <f t="shared" si="29"/>
        <v>22.856000000000002</v>
      </c>
      <c r="P30" s="20">
        <f t="shared" si="29"/>
        <v>38.095999999999997</v>
      </c>
      <c r="Q30" s="20">
        <f>Q100*0.8</f>
        <v>0</v>
      </c>
      <c r="R30" s="20">
        <f>R100*0.8</f>
        <v>870.05600000000004</v>
      </c>
      <c r="S30" s="10">
        <f t="shared" si="1"/>
        <v>83446.848000000013</v>
      </c>
      <c r="T30" s="1093">
        <f t="shared" si="3"/>
        <v>11989.376000000004</v>
      </c>
      <c r="U30" s="1093">
        <f t="shared" si="3"/>
        <v>11807.264000000001</v>
      </c>
      <c r="V30" s="1093">
        <f t="shared" si="3"/>
        <v>717.68000000000006</v>
      </c>
      <c r="W30" s="1093">
        <f t="shared" si="3"/>
        <v>380.32799999999997</v>
      </c>
      <c r="X30" s="1093">
        <f t="shared" si="3"/>
        <v>51169.08</v>
      </c>
      <c r="Y30" s="1093">
        <f t="shared" si="4"/>
        <v>7383.1200000000008</v>
      </c>
    </row>
    <row r="31" spans="2:25">
      <c r="B31" s="2" t="s">
        <v>113</v>
      </c>
      <c r="C31" s="20">
        <f t="shared" ref="C31:P31" si="30">C101*0.8</f>
        <v>5029.0720000000001</v>
      </c>
      <c r="D31" s="20">
        <f t="shared" si="30"/>
        <v>2433.5920000000001</v>
      </c>
      <c r="E31" s="20">
        <f t="shared" si="30"/>
        <v>2034.1920000000002</v>
      </c>
      <c r="F31" s="20">
        <f t="shared" si="30"/>
        <v>1059</v>
      </c>
      <c r="G31" s="20">
        <f t="shared" si="30"/>
        <v>34713.480000000003</v>
      </c>
      <c r="H31" s="20">
        <f t="shared" si="30"/>
        <v>783.6</v>
      </c>
      <c r="I31" s="20">
        <f t="shared" si="30"/>
        <v>935.904</v>
      </c>
      <c r="J31" s="20">
        <f t="shared" si="30"/>
        <v>0</v>
      </c>
      <c r="K31" s="20">
        <f t="shared" si="30"/>
        <v>1218.096</v>
      </c>
      <c r="L31" s="20">
        <f t="shared" si="30"/>
        <v>0</v>
      </c>
      <c r="M31" s="20">
        <f t="shared" si="30"/>
        <v>0</v>
      </c>
      <c r="N31" s="20">
        <f t="shared" si="30"/>
        <v>0</v>
      </c>
      <c r="O31" s="20">
        <f t="shared" si="30"/>
        <v>0</v>
      </c>
      <c r="P31" s="20">
        <f t="shared" si="30"/>
        <v>0</v>
      </c>
      <c r="Q31" s="20">
        <f>Q101*0.8</f>
        <v>116.536</v>
      </c>
      <c r="R31" s="20">
        <f>R101*0.8</f>
        <v>0</v>
      </c>
      <c r="S31" s="10">
        <f t="shared" si="1"/>
        <v>48323.472000000002</v>
      </c>
      <c r="T31" s="1093">
        <f t="shared" si="3"/>
        <v>5029.0720000000001</v>
      </c>
      <c r="U31" s="1093">
        <f t="shared" si="3"/>
        <v>2433.5920000000001</v>
      </c>
      <c r="V31" s="1093">
        <f t="shared" si="3"/>
        <v>2034.1920000000002</v>
      </c>
      <c r="W31" s="1093">
        <f t="shared" si="3"/>
        <v>1059</v>
      </c>
      <c r="X31" s="1093">
        <f t="shared" si="3"/>
        <v>34713.480000000003</v>
      </c>
      <c r="Y31" s="1093">
        <f t="shared" si="4"/>
        <v>3054.136</v>
      </c>
    </row>
    <row r="32" spans="2:25">
      <c r="B32" s="5" t="s">
        <v>37</v>
      </c>
      <c r="C32" s="6">
        <f t="shared" ref="C32:T32" si="31">SUM(C5:C31)</f>
        <v>1319538.48</v>
      </c>
      <c r="D32" s="6">
        <f t="shared" si="31"/>
        <v>819956.0399999998</v>
      </c>
      <c r="E32" s="6">
        <f t="shared" si="31"/>
        <v>152277.288</v>
      </c>
      <c r="F32" s="6">
        <f t="shared" si="31"/>
        <v>102746.29600000002</v>
      </c>
      <c r="G32" s="6">
        <f t="shared" si="31"/>
        <v>6180656.9360000007</v>
      </c>
      <c r="H32" s="6">
        <f t="shared" si="31"/>
        <v>126786.48000000001</v>
      </c>
      <c r="I32" s="6">
        <f t="shared" si="31"/>
        <v>217096.60800000001</v>
      </c>
      <c r="J32" s="6">
        <f t="shared" si="31"/>
        <v>11007.032000000001</v>
      </c>
      <c r="K32" s="6">
        <f t="shared" si="31"/>
        <v>227330.05600000001</v>
      </c>
      <c r="L32" s="6">
        <f t="shared" si="31"/>
        <v>16533.960000000003</v>
      </c>
      <c r="M32" s="6">
        <f t="shared" si="31"/>
        <v>2194.08</v>
      </c>
      <c r="N32" s="6">
        <f t="shared" si="31"/>
        <v>0</v>
      </c>
      <c r="O32" s="6">
        <f t="shared" si="31"/>
        <v>3176.9839999999999</v>
      </c>
      <c r="P32" s="6">
        <f t="shared" si="31"/>
        <v>114.35999999999999</v>
      </c>
      <c r="Q32" s="6">
        <f t="shared" si="31"/>
        <v>1268.4880000000001</v>
      </c>
      <c r="R32" s="6">
        <f t="shared" si="31"/>
        <v>14427.03</v>
      </c>
      <c r="S32" s="6">
        <f t="shared" si="31"/>
        <v>9195110.1179999989</v>
      </c>
      <c r="T32" s="1093">
        <f t="shared" si="31"/>
        <v>1319538.48</v>
      </c>
      <c r="U32" s="1093">
        <f t="shared" ref="U32:Y32" si="32">SUM(U5:U31)</f>
        <v>819956.0399999998</v>
      </c>
      <c r="V32" s="1093">
        <f t="shared" si="32"/>
        <v>152277.288</v>
      </c>
      <c r="W32" s="1093">
        <f t="shared" si="32"/>
        <v>102746.29600000002</v>
      </c>
      <c r="X32" s="1093">
        <f t="shared" si="32"/>
        <v>6180656.9360000007</v>
      </c>
      <c r="Y32" s="1093">
        <f t="shared" si="32"/>
        <v>619935.07800000021</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84</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3">C75*0.2</f>
        <v>904.38400000000001</v>
      </c>
      <c r="D40" s="20">
        <f t="shared" si="33"/>
        <v>331.34400000000005</v>
      </c>
      <c r="E40" s="20">
        <f t="shared" si="33"/>
        <v>189.702</v>
      </c>
      <c r="F40" s="20">
        <f t="shared" si="33"/>
        <v>142.15</v>
      </c>
      <c r="G40" s="20">
        <f t="shared" si="33"/>
        <v>5191.3500000000004</v>
      </c>
      <c r="H40" s="20">
        <f t="shared" si="33"/>
        <v>117.54000000000002</v>
      </c>
      <c r="I40" s="20">
        <f t="shared" si="33"/>
        <v>73.50800000000001</v>
      </c>
      <c r="J40" s="20">
        <f t="shared" si="33"/>
        <v>0</v>
      </c>
      <c r="K40" s="20">
        <f t="shared" si="33"/>
        <v>150.96800000000002</v>
      </c>
      <c r="L40" s="20">
        <f t="shared" si="33"/>
        <v>19.590000000000003</v>
      </c>
      <c r="M40" s="20">
        <f t="shared" si="33"/>
        <v>0</v>
      </c>
      <c r="N40" s="20">
        <f t="shared" si="33"/>
        <v>0</v>
      </c>
      <c r="O40" s="20">
        <f t="shared" si="33"/>
        <v>0</v>
      </c>
      <c r="P40" s="20">
        <f t="shared" si="33"/>
        <v>0</v>
      </c>
      <c r="Q40" s="20">
        <f t="shared" si="33"/>
        <v>0</v>
      </c>
      <c r="R40" s="20">
        <f t="shared" si="33"/>
        <v>0</v>
      </c>
      <c r="S40" s="10">
        <f t="shared" ref="S40:S66" si="34">SUM(C40:R40)</f>
        <v>7120.5360000000001</v>
      </c>
      <c r="T40" s="1093">
        <f>C40</f>
        <v>904.38400000000001</v>
      </c>
      <c r="U40" s="1093">
        <f>D40</f>
        <v>331.34400000000005</v>
      </c>
      <c r="V40" s="1093">
        <f>E40</f>
        <v>189.702</v>
      </c>
      <c r="W40" s="1093">
        <f>F40</f>
        <v>142.15</v>
      </c>
      <c r="X40" s="1093">
        <f>G40</f>
        <v>5191.3500000000004</v>
      </c>
      <c r="Y40" s="1093">
        <f>SUM(H40:R40)</f>
        <v>361.60600000000011</v>
      </c>
    </row>
    <row r="41" spans="2:25">
      <c r="B41" s="2" t="s">
        <v>88</v>
      </c>
      <c r="C41" s="20">
        <f t="shared" ref="C41:R41" si="35">C76*0.2</f>
        <v>3469.1740000000009</v>
      </c>
      <c r="D41" s="20">
        <f t="shared" si="35"/>
        <v>2865.3940000000002</v>
      </c>
      <c r="E41" s="20">
        <f t="shared" si="35"/>
        <v>356.81200000000001</v>
      </c>
      <c r="F41" s="20">
        <f t="shared" si="35"/>
        <v>147.37</v>
      </c>
      <c r="G41" s="20">
        <f t="shared" si="35"/>
        <v>13908.900000000001</v>
      </c>
      <c r="H41" s="20">
        <f t="shared" si="35"/>
        <v>254.67</v>
      </c>
      <c r="I41" s="20">
        <f t="shared" si="35"/>
        <v>636.53800000000012</v>
      </c>
      <c r="J41" s="20">
        <f t="shared" si="35"/>
        <v>0</v>
      </c>
      <c r="K41" s="20">
        <f t="shared" si="35"/>
        <v>576.80999999999995</v>
      </c>
      <c r="L41" s="20">
        <f t="shared" si="35"/>
        <v>39.180000000000007</v>
      </c>
      <c r="M41" s="20">
        <f t="shared" si="35"/>
        <v>0</v>
      </c>
      <c r="N41" s="20">
        <f t="shared" si="35"/>
        <v>0</v>
      </c>
      <c r="O41" s="20">
        <f t="shared" si="35"/>
        <v>0</v>
      </c>
      <c r="P41" s="20">
        <f t="shared" si="35"/>
        <v>0</v>
      </c>
      <c r="Q41" s="20">
        <f t="shared" si="35"/>
        <v>0</v>
      </c>
      <c r="R41" s="20">
        <f t="shared" si="35"/>
        <v>0</v>
      </c>
      <c r="S41" s="10">
        <f t="shared" si="34"/>
        <v>22254.848000000002</v>
      </c>
      <c r="T41" s="1093">
        <f t="shared" ref="T41:X66" si="36">C41</f>
        <v>3469.1740000000009</v>
      </c>
      <c r="U41" s="1093">
        <f t="shared" si="36"/>
        <v>2865.3940000000002</v>
      </c>
      <c r="V41" s="1093">
        <f t="shared" si="36"/>
        <v>356.81200000000001</v>
      </c>
      <c r="W41" s="1093">
        <f t="shared" si="36"/>
        <v>147.37</v>
      </c>
      <c r="X41" s="1093">
        <f t="shared" si="36"/>
        <v>13908.900000000001</v>
      </c>
      <c r="Y41" s="1093">
        <f t="shared" ref="Y41:Y66" si="37">SUM(H41:R41)</f>
        <v>1507.1980000000001</v>
      </c>
    </row>
    <row r="42" spans="2:25">
      <c r="B42" s="2" t="s">
        <v>89</v>
      </c>
      <c r="C42" s="20">
        <f t="shared" ref="C42:R42" si="38">C77*0.2</f>
        <v>1098.1440000000002</v>
      </c>
      <c r="D42" s="20">
        <f t="shared" si="38"/>
        <v>1193.6320000000001</v>
      </c>
      <c r="E42" s="20">
        <f t="shared" si="38"/>
        <v>519.976</v>
      </c>
      <c r="F42" s="20">
        <f t="shared" si="38"/>
        <v>60.503999999999998</v>
      </c>
      <c r="G42" s="20">
        <f t="shared" si="38"/>
        <v>3722.1000000000004</v>
      </c>
      <c r="H42" s="20">
        <f t="shared" si="38"/>
        <v>313.44000000000005</v>
      </c>
      <c r="I42" s="20">
        <f t="shared" si="38"/>
        <v>205.69200000000001</v>
      </c>
      <c r="J42" s="20">
        <f t="shared" si="38"/>
        <v>0</v>
      </c>
      <c r="K42" s="20">
        <f t="shared" si="38"/>
        <v>277.29200000000003</v>
      </c>
      <c r="L42" s="20">
        <f t="shared" si="38"/>
        <v>19.590000000000003</v>
      </c>
      <c r="M42" s="20">
        <f t="shared" si="38"/>
        <v>0</v>
      </c>
      <c r="N42" s="20">
        <f t="shared" si="38"/>
        <v>0</v>
      </c>
      <c r="O42" s="20">
        <f t="shared" si="38"/>
        <v>0</v>
      </c>
      <c r="P42" s="20">
        <f t="shared" si="38"/>
        <v>0</v>
      </c>
      <c r="Q42" s="20">
        <f t="shared" si="38"/>
        <v>0</v>
      </c>
      <c r="R42" s="20">
        <f t="shared" si="38"/>
        <v>0</v>
      </c>
      <c r="S42" s="10">
        <f t="shared" si="34"/>
        <v>7410.3700000000008</v>
      </c>
      <c r="T42" s="1093">
        <f t="shared" si="36"/>
        <v>1098.1440000000002</v>
      </c>
      <c r="U42" s="1093">
        <f t="shared" si="36"/>
        <v>1193.6320000000001</v>
      </c>
      <c r="V42" s="1093">
        <f t="shared" si="36"/>
        <v>519.976</v>
      </c>
      <c r="W42" s="1093">
        <f t="shared" si="36"/>
        <v>60.503999999999998</v>
      </c>
      <c r="X42" s="1093">
        <f t="shared" si="36"/>
        <v>3722.1000000000004</v>
      </c>
      <c r="Y42" s="1093">
        <f t="shared" si="37"/>
        <v>816.01400000000012</v>
      </c>
    </row>
    <row r="43" spans="2:25">
      <c r="B43" s="2" t="s">
        <v>90</v>
      </c>
      <c r="C43" s="20">
        <f t="shared" ref="C43:P43" si="39">C78*0.2</f>
        <v>3953.9820000000009</v>
      </c>
      <c r="D43" s="20">
        <f t="shared" si="39"/>
        <v>2180.5840000000003</v>
      </c>
      <c r="E43" s="20">
        <f t="shared" si="39"/>
        <v>369.52199999999993</v>
      </c>
      <c r="F43" s="20">
        <f t="shared" si="39"/>
        <v>448.76400000000007</v>
      </c>
      <c r="G43" s="20">
        <f t="shared" si="39"/>
        <v>12733.5</v>
      </c>
      <c r="H43" s="20">
        <f t="shared" si="39"/>
        <v>450.57</v>
      </c>
      <c r="I43" s="20">
        <f t="shared" si="39"/>
        <v>463.55999999999995</v>
      </c>
      <c r="J43" s="20">
        <f t="shared" si="39"/>
        <v>0</v>
      </c>
      <c r="K43" s="20">
        <f t="shared" si="39"/>
        <v>721.33</v>
      </c>
      <c r="L43" s="20">
        <f t="shared" si="39"/>
        <v>39.180000000000007</v>
      </c>
      <c r="M43" s="20">
        <f t="shared" si="39"/>
        <v>274.26</v>
      </c>
      <c r="N43" s="20">
        <f t="shared" si="39"/>
        <v>0</v>
      </c>
      <c r="O43" s="20">
        <f t="shared" si="39"/>
        <v>0</v>
      </c>
      <c r="P43" s="20">
        <f t="shared" si="39"/>
        <v>0</v>
      </c>
      <c r="Q43" s="20">
        <v>0</v>
      </c>
      <c r="R43" s="20">
        <v>0</v>
      </c>
      <c r="S43" s="10">
        <f t="shared" si="34"/>
        <v>21635.252</v>
      </c>
      <c r="T43" s="1093">
        <f t="shared" si="36"/>
        <v>3953.9820000000009</v>
      </c>
      <c r="U43" s="1093">
        <f t="shared" si="36"/>
        <v>2180.5840000000003</v>
      </c>
      <c r="V43" s="1093">
        <f t="shared" si="36"/>
        <v>369.52199999999993</v>
      </c>
      <c r="W43" s="1093">
        <f t="shared" si="36"/>
        <v>448.76400000000007</v>
      </c>
      <c r="X43" s="1093">
        <f t="shared" si="36"/>
        <v>12733.5</v>
      </c>
      <c r="Y43" s="1093">
        <f t="shared" si="37"/>
        <v>1948.9</v>
      </c>
    </row>
    <row r="44" spans="2:25">
      <c r="B44" s="2" t="s">
        <v>91</v>
      </c>
      <c r="C44" s="20">
        <f t="shared" ref="C44:P44" si="40">C79*0.2</f>
        <v>10713.710000000001</v>
      </c>
      <c r="D44" s="20">
        <f t="shared" si="40"/>
        <v>4616.8680000000004</v>
      </c>
      <c r="E44" s="20">
        <f t="shared" si="40"/>
        <v>1539.75</v>
      </c>
      <c r="F44" s="20">
        <f t="shared" si="40"/>
        <v>769.02200000000005</v>
      </c>
      <c r="G44" s="20">
        <f t="shared" si="40"/>
        <v>36672.480000000003</v>
      </c>
      <c r="H44" s="20">
        <f t="shared" si="40"/>
        <v>1116.6299999999999</v>
      </c>
      <c r="I44" s="20">
        <f t="shared" si="40"/>
        <v>1059.896</v>
      </c>
      <c r="J44" s="20">
        <f t="shared" si="40"/>
        <v>0</v>
      </c>
      <c r="K44" s="20">
        <f t="shared" si="40"/>
        <v>1987.3660000000004</v>
      </c>
      <c r="L44" s="20">
        <f t="shared" si="40"/>
        <v>215.49</v>
      </c>
      <c r="M44" s="20">
        <f t="shared" si="40"/>
        <v>0</v>
      </c>
      <c r="N44" s="20">
        <f t="shared" si="40"/>
        <v>0</v>
      </c>
      <c r="O44" s="20">
        <f t="shared" si="40"/>
        <v>22.856000000000002</v>
      </c>
      <c r="P44" s="20">
        <f t="shared" si="40"/>
        <v>0</v>
      </c>
      <c r="Q44" s="20">
        <f t="shared" ref="Q44:R63" si="41">Q79*0.2</f>
        <v>20.560000000000002</v>
      </c>
      <c r="R44" s="20">
        <f t="shared" si="41"/>
        <v>205.58000000000004</v>
      </c>
      <c r="S44" s="10">
        <f t="shared" si="34"/>
        <v>58940.207999999999</v>
      </c>
      <c r="T44" s="1093">
        <f t="shared" si="36"/>
        <v>10713.710000000001</v>
      </c>
      <c r="U44" s="1093">
        <f t="shared" si="36"/>
        <v>4616.8680000000004</v>
      </c>
      <c r="V44" s="1093">
        <f t="shared" si="36"/>
        <v>1539.75</v>
      </c>
      <c r="W44" s="1093">
        <f t="shared" si="36"/>
        <v>769.02200000000005</v>
      </c>
      <c r="X44" s="1093">
        <f t="shared" si="36"/>
        <v>36672.480000000003</v>
      </c>
      <c r="Y44" s="1093">
        <f t="shared" si="37"/>
        <v>4628.3779999999997</v>
      </c>
    </row>
    <row r="45" spans="2:25">
      <c r="B45" s="2" t="s">
        <v>92</v>
      </c>
      <c r="C45" s="20">
        <f t="shared" ref="C45:P45" si="42">C80*0.2</f>
        <v>6019.0680000000011</v>
      </c>
      <c r="D45" s="20">
        <f t="shared" si="42"/>
        <v>2173.9080000000004</v>
      </c>
      <c r="E45" s="20">
        <f t="shared" si="42"/>
        <v>389.50400000000008</v>
      </c>
      <c r="F45" s="20">
        <f t="shared" si="42"/>
        <v>66.81</v>
      </c>
      <c r="G45" s="20">
        <f t="shared" si="42"/>
        <v>23566.770000000004</v>
      </c>
      <c r="H45" s="20">
        <f t="shared" si="42"/>
        <v>764.01</v>
      </c>
      <c r="I45" s="20">
        <f t="shared" si="42"/>
        <v>477.0139999999999</v>
      </c>
      <c r="J45" s="20">
        <f t="shared" si="42"/>
        <v>176.31</v>
      </c>
      <c r="K45" s="20">
        <f t="shared" si="42"/>
        <v>848.11800000000005</v>
      </c>
      <c r="L45" s="20">
        <f t="shared" si="42"/>
        <v>176.31</v>
      </c>
      <c r="M45" s="20">
        <f t="shared" si="42"/>
        <v>0</v>
      </c>
      <c r="N45" s="20">
        <f t="shared" si="42"/>
        <v>0</v>
      </c>
      <c r="O45" s="20">
        <f t="shared" si="42"/>
        <v>11.428000000000001</v>
      </c>
      <c r="P45" s="20">
        <f t="shared" si="42"/>
        <v>0</v>
      </c>
      <c r="Q45" s="20">
        <f t="shared" si="41"/>
        <v>0</v>
      </c>
      <c r="R45" s="20">
        <f t="shared" si="41"/>
        <v>0</v>
      </c>
      <c r="S45" s="10">
        <f t="shared" si="34"/>
        <v>34669.250000000007</v>
      </c>
      <c r="T45" s="1093">
        <f t="shared" si="36"/>
        <v>6019.0680000000011</v>
      </c>
      <c r="U45" s="1093">
        <f t="shared" si="36"/>
        <v>2173.9080000000004</v>
      </c>
      <c r="V45" s="1093">
        <f t="shared" si="36"/>
        <v>389.50400000000008</v>
      </c>
      <c r="W45" s="1093">
        <f t="shared" si="36"/>
        <v>66.81</v>
      </c>
      <c r="X45" s="1093">
        <f t="shared" si="36"/>
        <v>23566.770000000004</v>
      </c>
      <c r="Y45" s="1093">
        <f t="shared" si="37"/>
        <v>2453.1899999999996</v>
      </c>
    </row>
    <row r="46" spans="2:25">
      <c r="B46" s="2" t="s">
        <v>93</v>
      </c>
      <c r="C46" s="20">
        <f t="shared" ref="C46:P46" si="43">C81*0.2</f>
        <v>9131.9820000000018</v>
      </c>
      <c r="D46" s="20">
        <f t="shared" si="43"/>
        <v>6859.0920000000006</v>
      </c>
      <c r="E46" s="20">
        <f t="shared" si="43"/>
        <v>1166.1580000000001</v>
      </c>
      <c r="F46" s="20">
        <f t="shared" si="43"/>
        <v>212.59200000000001</v>
      </c>
      <c r="G46" s="20">
        <f t="shared" si="43"/>
        <v>31559.490000000005</v>
      </c>
      <c r="H46" s="20">
        <f t="shared" si="43"/>
        <v>1939.4100000000003</v>
      </c>
      <c r="I46" s="20">
        <f t="shared" si="43"/>
        <v>1638.646</v>
      </c>
      <c r="J46" s="20">
        <f t="shared" si="43"/>
        <v>58.77000000000001</v>
      </c>
      <c r="K46" s="20">
        <f t="shared" si="43"/>
        <v>1776.1200000000001</v>
      </c>
      <c r="L46" s="20">
        <f t="shared" si="43"/>
        <v>19.590000000000003</v>
      </c>
      <c r="M46" s="20">
        <f t="shared" si="43"/>
        <v>78.360000000000014</v>
      </c>
      <c r="N46" s="20">
        <f t="shared" si="43"/>
        <v>0</v>
      </c>
      <c r="O46" s="20">
        <f t="shared" si="43"/>
        <v>45.712000000000003</v>
      </c>
      <c r="P46" s="20">
        <f t="shared" si="43"/>
        <v>0</v>
      </c>
      <c r="Q46" s="20">
        <f t="shared" si="41"/>
        <v>0</v>
      </c>
      <c r="R46" s="20">
        <f t="shared" si="41"/>
        <v>0</v>
      </c>
      <c r="S46" s="10">
        <f t="shared" si="34"/>
        <v>54485.922000000013</v>
      </c>
      <c r="T46" s="1093">
        <f t="shared" si="36"/>
        <v>9131.9820000000018</v>
      </c>
      <c r="U46" s="1093">
        <f t="shared" si="36"/>
        <v>6859.0920000000006</v>
      </c>
      <c r="V46" s="1093">
        <f t="shared" si="36"/>
        <v>1166.1580000000001</v>
      </c>
      <c r="W46" s="1093">
        <f t="shared" si="36"/>
        <v>212.59200000000001</v>
      </c>
      <c r="X46" s="1093">
        <f t="shared" si="36"/>
        <v>31559.490000000005</v>
      </c>
      <c r="Y46" s="1093">
        <f t="shared" si="37"/>
        <v>5556.6080000000011</v>
      </c>
    </row>
    <row r="47" spans="2:25">
      <c r="B47" s="2" t="s">
        <v>94</v>
      </c>
      <c r="C47" s="20">
        <f t="shared" ref="C47:P47" si="44">C82*0.2</f>
        <v>5067.9619999999995</v>
      </c>
      <c r="D47" s="20">
        <f t="shared" si="44"/>
        <v>1224.848</v>
      </c>
      <c r="E47" s="20">
        <f t="shared" si="44"/>
        <v>817.49800000000005</v>
      </c>
      <c r="F47" s="20">
        <f t="shared" si="44"/>
        <v>448.096</v>
      </c>
      <c r="G47" s="20">
        <f t="shared" si="44"/>
        <v>25643.31</v>
      </c>
      <c r="H47" s="20">
        <f t="shared" si="44"/>
        <v>861.96</v>
      </c>
      <c r="I47" s="20">
        <f t="shared" si="44"/>
        <v>406.726</v>
      </c>
      <c r="J47" s="20">
        <f t="shared" si="44"/>
        <v>181.386</v>
      </c>
      <c r="K47" s="20">
        <f t="shared" si="44"/>
        <v>737.80000000000007</v>
      </c>
      <c r="L47" s="20">
        <f t="shared" si="44"/>
        <v>176.31</v>
      </c>
      <c r="M47" s="20">
        <f t="shared" si="44"/>
        <v>39.180000000000007</v>
      </c>
      <c r="N47" s="20">
        <f t="shared" si="44"/>
        <v>0</v>
      </c>
      <c r="O47" s="20">
        <f t="shared" si="44"/>
        <v>5.7140000000000004</v>
      </c>
      <c r="P47" s="20">
        <f t="shared" si="44"/>
        <v>0</v>
      </c>
      <c r="Q47" s="20">
        <f t="shared" si="41"/>
        <v>0</v>
      </c>
      <c r="R47" s="20">
        <f t="shared" si="41"/>
        <v>0</v>
      </c>
      <c r="S47" s="10">
        <f t="shared" si="34"/>
        <v>35610.79</v>
      </c>
      <c r="T47" s="1093">
        <f t="shared" si="36"/>
        <v>5067.9619999999995</v>
      </c>
      <c r="U47" s="1093">
        <f t="shared" si="36"/>
        <v>1224.848</v>
      </c>
      <c r="V47" s="1093">
        <f t="shared" si="36"/>
        <v>817.49800000000005</v>
      </c>
      <c r="W47" s="1093">
        <f t="shared" si="36"/>
        <v>448.096</v>
      </c>
      <c r="X47" s="1093">
        <f t="shared" si="36"/>
        <v>25643.31</v>
      </c>
      <c r="Y47" s="1093">
        <f t="shared" si="37"/>
        <v>2409.076</v>
      </c>
    </row>
    <row r="48" spans="2:25">
      <c r="B48" s="2" t="s">
        <v>95</v>
      </c>
      <c r="C48" s="20">
        <f t="shared" ref="C48:P48" si="45">C83*0.2</f>
        <v>8464.6839999999993</v>
      </c>
      <c r="D48" s="20">
        <f t="shared" si="45"/>
        <v>6222.3859999999995</v>
      </c>
      <c r="E48" s="20">
        <f t="shared" si="45"/>
        <v>1376.1260000000002</v>
      </c>
      <c r="F48" s="20">
        <f t="shared" si="45"/>
        <v>536.66200000000003</v>
      </c>
      <c r="G48" s="20">
        <f t="shared" si="45"/>
        <v>46389.120000000003</v>
      </c>
      <c r="H48" s="20">
        <f t="shared" si="45"/>
        <v>940.32000000000016</v>
      </c>
      <c r="I48" s="20">
        <f t="shared" si="45"/>
        <v>1390.634</v>
      </c>
      <c r="J48" s="20">
        <f t="shared" si="45"/>
        <v>200.83</v>
      </c>
      <c r="K48" s="20">
        <f t="shared" si="45"/>
        <v>1694.6980000000001</v>
      </c>
      <c r="L48" s="20">
        <f t="shared" si="45"/>
        <v>39.180000000000007</v>
      </c>
      <c r="M48" s="20">
        <f t="shared" si="45"/>
        <v>0</v>
      </c>
      <c r="N48" s="20">
        <f t="shared" si="45"/>
        <v>0</v>
      </c>
      <c r="O48" s="20">
        <f t="shared" si="45"/>
        <v>22.856000000000002</v>
      </c>
      <c r="P48" s="20">
        <f t="shared" si="45"/>
        <v>0</v>
      </c>
      <c r="Q48" s="20">
        <f t="shared" si="41"/>
        <v>0</v>
      </c>
      <c r="R48" s="20">
        <f t="shared" si="41"/>
        <v>0</v>
      </c>
      <c r="S48" s="10">
        <f t="shared" si="34"/>
        <v>67277.495999999999</v>
      </c>
      <c r="T48" s="1093">
        <f t="shared" si="36"/>
        <v>8464.6839999999993</v>
      </c>
      <c r="U48" s="1093">
        <f t="shared" si="36"/>
        <v>6222.3859999999995</v>
      </c>
      <c r="V48" s="1093">
        <f t="shared" si="36"/>
        <v>1376.1260000000002</v>
      </c>
      <c r="W48" s="1093">
        <f t="shared" si="36"/>
        <v>536.66200000000003</v>
      </c>
      <c r="X48" s="1093">
        <f t="shared" si="36"/>
        <v>46389.120000000003</v>
      </c>
      <c r="Y48" s="1093">
        <f t="shared" si="37"/>
        <v>4288.518</v>
      </c>
    </row>
    <row r="49" spans="2:25">
      <c r="B49" s="2" t="s">
        <v>96</v>
      </c>
      <c r="C49" s="20">
        <f t="shared" ref="C49:P49" si="46">C84*0.2</f>
        <v>3047.5419999999999</v>
      </c>
      <c r="D49" s="20">
        <f t="shared" si="46"/>
        <v>1897.7239999999999</v>
      </c>
      <c r="E49" s="20">
        <f t="shared" si="46"/>
        <v>306.66199999999998</v>
      </c>
      <c r="F49" s="20">
        <f t="shared" si="46"/>
        <v>296.392</v>
      </c>
      <c r="G49" s="20">
        <f t="shared" si="46"/>
        <v>10206.39</v>
      </c>
      <c r="H49" s="20">
        <f t="shared" si="46"/>
        <v>646.47000000000014</v>
      </c>
      <c r="I49" s="20">
        <f t="shared" si="46"/>
        <v>437.11000000000007</v>
      </c>
      <c r="J49" s="20">
        <f t="shared" si="46"/>
        <v>0</v>
      </c>
      <c r="K49" s="20">
        <f t="shared" si="46"/>
        <v>423.95400000000001</v>
      </c>
      <c r="L49" s="20">
        <f t="shared" si="46"/>
        <v>19.590000000000003</v>
      </c>
      <c r="M49" s="20">
        <f t="shared" si="46"/>
        <v>0</v>
      </c>
      <c r="N49" s="20">
        <f t="shared" si="46"/>
        <v>0</v>
      </c>
      <c r="O49" s="20">
        <f t="shared" si="46"/>
        <v>17.141999999999999</v>
      </c>
      <c r="P49" s="20">
        <f t="shared" si="46"/>
        <v>0</v>
      </c>
      <c r="Q49" s="20">
        <f t="shared" si="41"/>
        <v>0</v>
      </c>
      <c r="R49" s="20">
        <f t="shared" si="41"/>
        <v>0</v>
      </c>
      <c r="S49" s="10">
        <f t="shared" si="34"/>
        <v>17298.976000000002</v>
      </c>
      <c r="T49" s="1093">
        <f t="shared" si="36"/>
        <v>3047.5419999999999</v>
      </c>
      <c r="U49" s="1093">
        <f t="shared" si="36"/>
        <v>1897.7239999999999</v>
      </c>
      <c r="V49" s="1093">
        <f t="shared" si="36"/>
        <v>306.66199999999998</v>
      </c>
      <c r="W49" s="1093">
        <f t="shared" si="36"/>
        <v>296.392</v>
      </c>
      <c r="X49" s="1093">
        <f t="shared" si="36"/>
        <v>10206.39</v>
      </c>
      <c r="Y49" s="1093">
        <f t="shared" si="37"/>
        <v>1544.2660000000001</v>
      </c>
    </row>
    <row r="50" spans="2:25">
      <c r="B50" s="2" t="s">
        <v>97</v>
      </c>
      <c r="C50" s="20">
        <f t="shared" ref="C50:P50" si="47">C85*0.2</f>
        <v>6099.6719999999996</v>
      </c>
      <c r="D50" s="20">
        <f t="shared" si="47"/>
        <v>3650.1200000000008</v>
      </c>
      <c r="E50" s="20">
        <f t="shared" si="47"/>
        <v>550.45800000000008</v>
      </c>
      <c r="F50" s="20">
        <f t="shared" si="47"/>
        <v>403.64600000000002</v>
      </c>
      <c r="G50" s="20">
        <f t="shared" si="47"/>
        <v>49405.98</v>
      </c>
      <c r="H50" s="20">
        <f t="shared" si="47"/>
        <v>724.83</v>
      </c>
      <c r="I50" s="20">
        <f t="shared" si="47"/>
        <v>684.39800000000014</v>
      </c>
      <c r="J50" s="20">
        <f t="shared" si="47"/>
        <v>439.38000000000005</v>
      </c>
      <c r="K50" s="20">
        <f t="shared" si="47"/>
        <v>945.35400000000016</v>
      </c>
      <c r="L50" s="20">
        <f t="shared" si="47"/>
        <v>58.77000000000001</v>
      </c>
      <c r="M50" s="20">
        <f t="shared" si="47"/>
        <v>0</v>
      </c>
      <c r="N50" s="20">
        <f t="shared" si="47"/>
        <v>0</v>
      </c>
      <c r="O50" s="20">
        <f t="shared" si="47"/>
        <v>5.7140000000000004</v>
      </c>
      <c r="P50" s="20">
        <f t="shared" si="47"/>
        <v>0</v>
      </c>
      <c r="Q50" s="20">
        <f t="shared" si="41"/>
        <v>0</v>
      </c>
      <c r="R50" s="20">
        <f t="shared" si="41"/>
        <v>0</v>
      </c>
      <c r="S50" s="10">
        <f t="shared" si="34"/>
        <v>62968.322</v>
      </c>
      <c r="T50" s="1093">
        <f t="shared" si="36"/>
        <v>6099.6719999999996</v>
      </c>
      <c r="U50" s="1093">
        <f t="shared" si="36"/>
        <v>3650.1200000000008</v>
      </c>
      <c r="V50" s="1093">
        <f t="shared" si="36"/>
        <v>550.45800000000008</v>
      </c>
      <c r="W50" s="1093">
        <f t="shared" si="36"/>
        <v>403.64600000000002</v>
      </c>
      <c r="X50" s="1093">
        <f t="shared" si="36"/>
        <v>49405.98</v>
      </c>
      <c r="Y50" s="1093">
        <f t="shared" si="37"/>
        <v>2858.4460000000004</v>
      </c>
    </row>
    <row r="51" spans="2:25">
      <c r="B51" s="2" t="s">
        <v>98</v>
      </c>
      <c r="C51" s="20">
        <f t="shared" ref="C51:P51" si="48">C86*0.2</f>
        <v>5394.1840000000002</v>
      </c>
      <c r="D51" s="20">
        <f t="shared" si="48"/>
        <v>4639.1140000000005</v>
      </c>
      <c r="E51" s="20">
        <f t="shared" si="48"/>
        <v>942.82999999999993</v>
      </c>
      <c r="F51" s="20">
        <f t="shared" si="48"/>
        <v>384.12600000000003</v>
      </c>
      <c r="G51" s="20">
        <f t="shared" si="48"/>
        <v>36476.58</v>
      </c>
      <c r="H51" s="20">
        <f t="shared" si="48"/>
        <v>548.52</v>
      </c>
      <c r="I51" s="20">
        <f t="shared" si="48"/>
        <v>1180.5960000000002</v>
      </c>
      <c r="J51" s="20">
        <f t="shared" si="48"/>
        <v>0</v>
      </c>
      <c r="K51" s="20">
        <f t="shared" si="48"/>
        <v>949.99200000000008</v>
      </c>
      <c r="L51" s="20">
        <f t="shared" si="48"/>
        <v>78.360000000000014</v>
      </c>
      <c r="M51" s="20">
        <f t="shared" si="48"/>
        <v>0</v>
      </c>
      <c r="N51" s="20">
        <f t="shared" si="48"/>
        <v>0</v>
      </c>
      <c r="O51" s="20">
        <f t="shared" si="48"/>
        <v>5.7140000000000004</v>
      </c>
      <c r="P51" s="20">
        <f t="shared" si="48"/>
        <v>0</v>
      </c>
      <c r="Q51" s="20">
        <f t="shared" si="41"/>
        <v>11.272</v>
      </c>
      <c r="R51" s="20">
        <f t="shared" si="41"/>
        <v>0</v>
      </c>
      <c r="S51" s="10">
        <f t="shared" si="34"/>
        <v>50611.287999999993</v>
      </c>
      <c r="T51" s="1093">
        <f t="shared" si="36"/>
        <v>5394.1840000000002</v>
      </c>
      <c r="U51" s="1093">
        <f t="shared" si="36"/>
        <v>4639.1140000000005</v>
      </c>
      <c r="V51" s="1093">
        <f t="shared" si="36"/>
        <v>942.82999999999993</v>
      </c>
      <c r="W51" s="1093">
        <f t="shared" si="36"/>
        <v>384.12600000000003</v>
      </c>
      <c r="X51" s="1093">
        <f t="shared" si="36"/>
        <v>36476.58</v>
      </c>
      <c r="Y51" s="1093">
        <f t="shared" si="37"/>
        <v>2774.4540000000002</v>
      </c>
    </row>
    <row r="52" spans="2:25">
      <c r="B52" s="2" t="s">
        <v>99</v>
      </c>
      <c r="C52" s="20">
        <f t="shared" ref="C52:P52" si="49">C87*0.2</f>
        <v>29762.440000000002</v>
      </c>
      <c r="D52" s="20">
        <f t="shared" si="49"/>
        <v>24862.596000000001</v>
      </c>
      <c r="E52" s="20">
        <f t="shared" si="49"/>
        <v>2308.1099999999997</v>
      </c>
      <c r="F52" s="20">
        <f t="shared" si="49"/>
        <v>2251.0240000000003</v>
      </c>
      <c r="G52" s="20">
        <f t="shared" si="49"/>
        <v>92123.760000000009</v>
      </c>
      <c r="H52" s="20">
        <f t="shared" si="49"/>
        <v>2389.98</v>
      </c>
      <c r="I52" s="20">
        <f t="shared" si="49"/>
        <v>5658.2759999999998</v>
      </c>
      <c r="J52" s="20">
        <f t="shared" si="49"/>
        <v>58.77000000000001</v>
      </c>
      <c r="K52" s="20">
        <f t="shared" si="49"/>
        <v>5211.6860000000006</v>
      </c>
      <c r="L52" s="20">
        <f t="shared" si="49"/>
        <v>352.62</v>
      </c>
      <c r="M52" s="20">
        <f t="shared" si="49"/>
        <v>39.180000000000007</v>
      </c>
      <c r="N52" s="20">
        <f t="shared" si="49"/>
        <v>0</v>
      </c>
      <c r="O52" s="20">
        <f t="shared" si="49"/>
        <v>34.283999999999999</v>
      </c>
      <c r="P52" s="20">
        <f t="shared" si="49"/>
        <v>0</v>
      </c>
      <c r="Q52" s="20">
        <f t="shared" si="41"/>
        <v>0</v>
      </c>
      <c r="R52" s="20">
        <f t="shared" si="41"/>
        <v>0</v>
      </c>
      <c r="S52" s="10">
        <f t="shared" si="34"/>
        <v>165052.72600000002</v>
      </c>
      <c r="T52" s="1093">
        <f t="shared" si="36"/>
        <v>29762.440000000002</v>
      </c>
      <c r="U52" s="1093">
        <f t="shared" si="36"/>
        <v>24862.596000000001</v>
      </c>
      <c r="V52" s="1093">
        <f t="shared" si="36"/>
        <v>2308.1099999999997</v>
      </c>
      <c r="W52" s="1093">
        <f t="shared" si="36"/>
        <v>2251.0240000000003</v>
      </c>
      <c r="X52" s="1093">
        <f t="shared" si="36"/>
        <v>92123.760000000009</v>
      </c>
      <c r="Y52" s="1093">
        <f t="shared" si="37"/>
        <v>13744.796</v>
      </c>
    </row>
    <row r="53" spans="2:25">
      <c r="B53" s="2" t="s">
        <v>100</v>
      </c>
      <c r="C53" s="20">
        <f t="shared" ref="C53:P53" si="50">C88*0.2</f>
        <v>5551.898000000001</v>
      </c>
      <c r="D53" s="20">
        <f t="shared" si="50"/>
        <v>4609.3540000000003</v>
      </c>
      <c r="E53" s="20">
        <f t="shared" si="50"/>
        <v>414.4620000000001</v>
      </c>
      <c r="F53" s="20">
        <f t="shared" si="50"/>
        <v>372.76400000000001</v>
      </c>
      <c r="G53" s="20">
        <f t="shared" si="50"/>
        <v>15985.44</v>
      </c>
      <c r="H53" s="20">
        <f t="shared" si="50"/>
        <v>901.14</v>
      </c>
      <c r="I53" s="20">
        <f t="shared" si="50"/>
        <v>984.57400000000007</v>
      </c>
      <c r="J53" s="20">
        <f t="shared" si="50"/>
        <v>0</v>
      </c>
      <c r="K53" s="20">
        <f t="shared" si="50"/>
        <v>950.29</v>
      </c>
      <c r="L53" s="20">
        <f t="shared" si="50"/>
        <v>117.54000000000002</v>
      </c>
      <c r="M53" s="20">
        <f t="shared" si="50"/>
        <v>0</v>
      </c>
      <c r="N53" s="20">
        <f t="shared" si="50"/>
        <v>0</v>
      </c>
      <c r="O53" s="20">
        <f t="shared" si="50"/>
        <v>22.856000000000002</v>
      </c>
      <c r="P53" s="20">
        <f t="shared" si="50"/>
        <v>0</v>
      </c>
      <c r="Q53" s="20">
        <f t="shared" si="41"/>
        <v>0</v>
      </c>
      <c r="R53" s="20">
        <f t="shared" si="41"/>
        <v>0</v>
      </c>
      <c r="S53" s="10">
        <f t="shared" si="34"/>
        <v>29910.317999999999</v>
      </c>
      <c r="T53" s="1093">
        <f t="shared" si="36"/>
        <v>5551.898000000001</v>
      </c>
      <c r="U53" s="1093">
        <f t="shared" si="36"/>
        <v>4609.3540000000003</v>
      </c>
      <c r="V53" s="1093">
        <f t="shared" si="36"/>
        <v>414.4620000000001</v>
      </c>
      <c r="W53" s="1093">
        <f t="shared" si="36"/>
        <v>372.76400000000001</v>
      </c>
      <c r="X53" s="1093">
        <f t="shared" si="36"/>
        <v>15985.44</v>
      </c>
      <c r="Y53" s="1093">
        <f t="shared" si="37"/>
        <v>2976.4</v>
      </c>
    </row>
    <row r="54" spans="2:25">
      <c r="B54" s="2" t="s">
        <v>101</v>
      </c>
      <c r="C54" s="20">
        <f t="shared" ref="C54:P54" si="51">C89*0.2</f>
        <v>4344.5340000000006</v>
      </c>
      <c r="D54" s="20">
        <f t="shared" si="51"/>
        <v>3820.3780000000006</v>
      </c>
      <c r="E54" s="20">
        <f t="shared" si="51"/>
        <v>361.88999999999987</v>
      </c>
      <c r="F54" s="20">
        <f t="shared" si="51"/>
        <v>704.03800000000001</v>
      </c>
      <c r="G54" s="20">
        <f t="shared" si="51"/>
        <v>18492.960000000003</v>
      </c>
      <c r="H54" s="20">
        <f t="shared" si="51"/>
        <v>509.34</v>
      </c>
      <c r="I54" s="20">
        <f t="shared" si="51"/>
        <v>993.17999999999984</v>
      </c>
      <c r="J54" s="20">
        <f t="shared" si="51"/>
        <v>0</v>
      </c>
      <c r="K54" s="20">
        <f t="shared" si="51"/>
        <v>707.13600000000008</v>
      </c>
      <c r="L54" s="20">
        <f t="shared" si="51"/>
        <v>19.590000000000003</v>
      </c>
      <c r="M54" s="20">
        <f t="shared" si="51"/>
        <v>0</v>
      </c>
      <c r="N54" s="20">
        <f t="shared" si="51"/>
        <v>0</v>
      </c>
      <c r="O54" s="20">
        <f t="shared" si="51"/>
        <v>17.141999999999999</v>
      </c>
      <c r="P54" s="20">
        <f t="shared" si="51"/>
        <v>0</v>
      </c>
      <c r="Q54" s="20">
        <f t="shared" si="41"/>
        <v>0</v>
      </c>
      <c r="R54" s="20">
        <f t="shared" si="41"/>
        <v>0</v>
      </c>
      <c r="S54" s="10">
        <f t="shared" si="34"/>
        <v>29970.188000000002</v>
      </c>
      <c r="T54" s="1093">
        <f t="shared" si="36"/>
        <v>4344.5340000000006</v>
      </c>
      <c r="U54" s="1093">
        <f t="shared" si="36"/>
        <v>3820.3780000000006</v>
      </c>
      <c r="V54" s="1093">
        <f t="shared" si="36"/>
        <v>361.88999999999987</v>
      </c>
      <c r="W54" s="1093">
        <f t="shared" si="36"/>
        <v>704.03800000000001</v>
      </c>
      <c r="X54" s="1093">
        <f t="shared" si="36"/>
        <v>18492.960000000003</v>
      </c>
      <c r="Y54" s="1093">
        <f t="shared" si="37"/>
        <v>2246.3879999999999</v>
      </c>
    </row>
    <row r="55" spans="2:25">
      <c r="B55" s="2" t="s">
        <v>102</v>
      </c>
      <c r="C55" s="20">
        <f t="shared" ref="C55:P55" si="52">C90*0.2</f>
        <v>21797.236000000004</v>
      </c>
      <c r="D55" s="20">
        <f t="shared" si="52"/>
        <v>13792.583999999997</v>
      </c>
      <c r="E55" s="20">
        <f t="shared" si="52"/>
        <v>3997.2099999999991</v>
      </c>
      <c r="F55" s="20">
        <f t="shared" si="52"/>
        <v>2553.4080000000004</v>
      </c>
      <c r="G55" s="20">
        <f t="shared" si="52"/>
        <v>126296.73000000001</v>
      </c>
      <c r="H55" s="20">
        <f t="shared" si="52"/>
        <v>2860.1400000000003</v>
      </c>
      <c r="I55" s="20">
        <f t="shared" si="52"/>
        <v>3326.5580000000004</v>
      </c>
      <c r="J55" s="20">
        <f t="shared" si="52"/>
        <v>236.10000000000002</v>
      </c>
      <c r="K55" s="20">
        <f t="shared" si="52"/>
        <v>4018.6900000000005</v>
      </c>
      <c r="L55" s="20">
        <f t="shared" si="52"/>
        <v>587.70000000000005</v>
      </c>
      <c r="M55" s="20">
        <f t="shared" si="52"/>
        <v>39.180000000000007</v>
      </c>
      <c r="N55" s="20">
        <f t="shared" si="52"/>
        <v>0</v>
      </c>
      <c r="O55" s="20">
        <f t="shared" si="52"/>
        <v>28.57</v>
      </c>
      <c r="P55" s="20">
        <f t="shared" si="52"/>
        <v>0</v>
      </c>
      <c r="Q55" s="20">
        <f t="shared" si="41"/>
        <v>0</v>
      </c>
      <c r="R55" s="20">
        <f t="shared" si="41"/>
        <v>0</v>
      </c>
      <c r="S55" s="10">
        <f t="shared" si="34"/>
        <v>179534.10600000003</v>
      </c>
      <c r="T55" s="1093">
        <f t="shared" si="36"/>
        <v>21797.236000000004</v>
      </c>
      <c r="U55" s="1093">
        <f t="shared" si="36"/>
        <v>13792.583999999997</v>
      </c>
      <c r="V55" s="1093">
        <f t="shared" si="36"/>
        <v>3997.2099999999991</v>
      </c>
      <c r="W55" s="1093">
        <f t="shared" si="36"/>
        <v>2553.4080000000004</v>
      </c>
      <c r="X55" s="1093">
        <f t="shared" si="36"/>
        <v>126296.73000000001</v>
      </c>
      <c r="Y55" s="1093">
        <f t="shared" si="37"/>
        <v>11096.938000000002</v>
      </c>
    </row>
    <row r="56" spans="2:25">
      <c r="B56" s="2" t="s">
        <v>103</v>
      </c>
      <c r="C56" s="20">
        <f t="shared" ref="C56:P56" si="53">C91*0.2</f>
        <v>9332.5820000000003</v>
      </c>
      <c r="D56" s="20">
        <f t="shared" si="53"/>
        <v>5299.4080000000004</v>
      </c>
      <c r="E56" s="20">
        <f t="shared" si="53"/>
        <v>742.82599999999991</v>
      </c>
      <c r="F56" s="20">
        <f t="shared" si="53"/>
        <v>482.90000000000003</v>
      </c>
      <c r="G56" s="20">
        <f t="shared" si="53"/>
        <v>31755.390000000003</v>
      </c>
      <c r="H56" s="20">
        <f t="shared" si="53"/>
        <v>1077.45</v>
      </c>
      <c r="I56" s="20">
        <f t="shared" si="53"/>
        <v>1142.9379999999999</v>
      </c>
      <c r="J56" s="20">
        <f t="shared" si="53"/>
        <v>58.77000000000001</v>
      </c>
      <c r="K56" s="20">
        <f t="shared" si="53"/>
        <v>1683.4960000000001</v>
      </c>
      <c r="L56" s="20">
        <f t="shared" si="53"/>
        <v>39.180000000000007</v>
      </c>
      <c r="M56" s="20">
        <f t="shared" si="53"/>
        <v>0</v>
      </c>
      <c r="N56" s="20">
        <f t="shared" si="53"/>
        <v>0</v>
      </c>
      <c r="O56" s="20">
        <f t="shared" si="53"/>
        <v>17.141999999999999</v>
      </c>
      <c r="P56" s="20">
        <f t="shared" si="53"/>
        <v>0</v>
      </c>
      <c r="Q56" s="20">
        <f t="shared" si="41"/>
        <v>0</v>
      </c>
      <c r="R56" s="20">
        <f t="shared" si="41"/>
        <v>0</v>
      </c>
      <c r="S56" s="10">
        <f t="shared" si="34"/>
        <v>51632.081999999995</v>
      </c>
      <c r="T56" s="1093">
        <f t="shared" si="36"/>
        <v>9332.5820000000003</v>
      </c>
      <c r="U56" s="1093">
        <f t="shared" si="36"/>
        <v>5299.4080000000004</v>
      </c>
      <c r="V56" s="1093">
        <f t="shared" si="36"/>
        <v>742.82599999999991</v>
      </c>
      <c r="W56" s="1093">
        <f t="shared" si="36"/>
        <v>482.90000000000003</v>
      </c>
      <c r="X56" s="1093">
        <f t="shared" si="36"/>
        <v>31755.390000000003</v>
      </c>
      <c r="Y56" s="1093">
        <f t="shared" si="37"/>
        <v>4018.9759999999997</v>
      </c>
    </row>
    <row r="57" spans="2:25">
      <c r="B57" s="2" t="s">
        <v>104</v>
      </c>
      <c r="C57" s="20">
        <f t="shared" ref="C57:P57" si="54">C92*0.2</f>
        <v>2542.1460000000002</v>
      </c>
      <c r="D57" s="20">
        <f t="shared" si="54"/>
        <v>876.41000000000008</v>
      </c>
      <c r="E57" s="20">
        <f t="shared" si="54"/>
        <v>440.17600000000004</v>
      </c>
      <c r="F57" s="20">
        <f t="shared" si="54"/>
        <v>104.798</v>
      </c>
      <c r="G57" s="20">
        <f t="shared" si="54"/>
        <v>9305.25</v>
      </c>
      <c r="H57" s="20">
        <f t="shared" si="54"/>
        <v>450.57</v>
      </c>
      <c r="I57" s="20">
        <f t="shared" si="54"/>
        <v>199.20800000000003</v>
      </c>
      <c r="J57" s="20">
        <f t="shared" si="54"/>
        <v>0</v>
      </c>
      <c r="K57" s="20">
        <f t="shared" si="54"/>
        <v>434.67</v>
      </c>
      <c r="L57" s="20">
        <f t="shared" si="54"/>
        <v>39.180000000000007</v>
      </c>
      <c r="M57" s="20">
        <f t="shared" si="54"/>
        <v>0</v>
      </c>
      <c r="N57" s="20">
        <f t="shared" si="54"/>
        <v>0</v>
      </c>
      <c r="O57" s="20">
        <f t="shared" si="54"/>
        <v>0</v>
      </c>
      <c r="P57" s="20">
        <f t="shared" si="54"/>
        <v>0</v>
      </c>
      <c r="Q57" s="20">
        <f t="shared" si="41"/>
        <v>0</v>
      </c>
      <c r="R57" s="20">
        <f t="shared" si="41"/>
        <v>0</v>
      </c>
      <c r="S57" s="10">
        <f t="shared" si="34"/>
        <v>14392.408000000001</v>
      </c>
      <c r="T57" s="1093">
        <f t="shared" si="36"/>
        <v>2542.1460000000002</v>
      </c>
      <c r="U57" s="1093">
        <f t="shared" si="36"/>
        <v>876.41000000000008</v>
      </c>
      <c r="V57" s="1093">
        <f t="shared" si="36"/>
        <v>440.17600000000004</v>
      </c>
      <c r="W57" s="1093">
        <f t="shared" si="36"/>
        <v>104.798</v>
      </c>
      <c r="X57" s="1093">
        <f t="shared" si="36"/>
        <v>9305.25</v>
      </c>
      <c r="Y57" s="1093">
        <f t="shared" si="37"/>
        <v>1123.6280000000002</v>
      </c>
    </row>
    <row r="58" spans="2:25">
      <c r="B58" s="2" t="s">
        <v>105</v>
      </c>
      <c r="C58" s="20">
        <f t="shared" ref="C58:P58" si="55">C93*0.2</f>
        <v>30271.745999999999</v>
      </c>
      <c r="D58" s="20">
        <f t="shared" si="55"/>
        <v>15537.814000000002</v>
      </c>
      <c r="E58" s="20">
        <f t="shared" si="55"/>
        <v>3344.0880000000006</v>
      </c>
      <c r="F58" s="20">
        <f t="shared" si="55"/>
        <v>1738.7380000000003</v>
      </c>
      <c r="G58" s="20">
        <f t="shared" si="55"/>
        <v>101985.54000000001</v>
      </c>
      <c r="H58" s="20">
        <f t="shared" si="55"/>
        <v>3036.4500000000003</v>
      </c>
      <c r="I58" s="20">
        <f t="shared" si="55"/>
        <v>4134.7759999999998</v>
      </c>
      <c r="J58" s="20">
        <f t="shared" si="55"/>
        <v>60.128</v>
      </c>
      <c r="K58" s="20">
        <f t="shared" si="55"/>
        <v>5383.22</v>
      </c>
      <c r="L58" s="20">
        <f t="shared" si="55"/>
        <v>313.44000000000005</v>
      </c>
      <c r="M58" s="20">
        <f t="shared" si="55"/>
        <v>0</v>
      </c>
      <c r="N58" s="20">
        <f t="shared" si="55"/>
        <v>0</v>
      </c>
      <c r="O58" s="20">
        <f t="shared" si="55"/>
        <v>114.28</v>
      </c>
      <c r="P58" s="20">
        <f t="shared" si="55"/>
        <v>0</v>
      </c>
      <c r="Q58" s="20">
        <f t="shared" si="41"/>
        <v>0</v>
      </c>
      <c r="R58" s="20">
        <f t="shared" si="41"/>
        <v>0</v>
      </c>
      <c r="S58" s="10">
        <f t="shared" si="34"/>
        <v>165920.22000000003</v>
      </c>
      <c r="T58" s="1093">
        <f t="shared" si="36"/>
        <v>30271.745999999999</v>
      </c>
      <c r="U58" s="1093">
        <f t="shared" si="36"/>
        <v>15537.814000000002</v>
      </c>
      <c r="V58" s="1093">
        <f t="shared" si="36"/>
        <v>3344.0880000000006</v>
      </c>
      <c r="W58" s="1093">
        <f t="shared" si="36"/>
        <v>1738.7380000000003</v>
      </c>
      <c r="X58" s="1093">
        <f t="shared" si="36"/>
        <v>101985.54000000001</v>
      </c>
      <c r="Y58" s="1093">
        <f t="shared" si="37"/>
        <v>13042.294000000002</v>
      </c>
    </row>
    <row r="59" spans="2:25">
      <c r="B59" s="2" t="s">
        <v>106</v>
      </c>
      <c r="C59" s="20">
        <f t="shared" ref="C59:P59" si="56">C94*0.2</f>
        <v>3988.9619999999995</v>
      </c>
      <c r="D59" s="20">
        <f t="shared" si="56"/>
        <v>3079.2780000000002</v>
      </c>
      <c r="E59" s="20">
        <f t="shared" si="56"/>
        <v>149.83800000000002</v>
      </c>
      <c r="F59" s="20">
        <f t="shared" si="56"/>
        <v>33.64</v>
      </c>
      <c r="G59" s="20">
        <f t="shared" si="56"/>
        <v>16044.210000000001</v>
      </c>
      <c r="H59" s="20">
        <f t="shared" si="56"/>
        <v>666.06000000000006</v>
      </c>
      <c r="I59" s="20">
        <f t="shared" si="56"/>
        <v>649.34000000000015</v>
      </c>
      <c r="J59" s="20">
        <f t="shared" si="56"/>
        <v>0</v>
      </c>
      <c r="K59" s="20">
        <f t="shared" si="56"/>
        <v>725.68000000000006</v>
      </c>
      <c r="L59" s="20">
        <f t="shared" si="56"/>
        <v>0</v>
      </c>
      <c r="M59" s="20">
        <f t="shared" si="56"/>
        <v>0</v>
      </c>
      <c r="N59" s="20">
        <f t="shared" si="56"/>
        <v>0</v>
      </c>
      <c r="O59" s="20">
        <f t="shared" si="56"/>
        <v>11.428000000000001</v>
      </c>
      <c r="P59" s="20">
        <f t="shared" si="56"/>
        <v>0</v>
      </c>
      <c r="Q59" s="20">
        <f t="shared" si="41"/>
        <v>0</v>
      </c>
      <c r="R59" s="20">
        <f t="shared" si="41"/>
        <v>0</v>
      </c>
      <c r="S59" s="10">
        <f t="shared" si="34"/>
        <v>25348.436000000002</v>
      </c>
      <c r="T59" s="1093">
        <f t="shared" si="36"/>
        <v>3988.9619999999995</v>
      </c>
      <c r="U59" s="1093">
        <f t="shared" si="36"/>
        <v>3079.2780000000002</v>
      </c>
      <c r="V59" s="1093">
        <f t="shared" si="36"/>
        <v>149.83800000000002</v>
      </c>
      <c r="W59" s="1093">
        <f t="shared" si="36"/>
        <v>33.64</v>
      </c>
      <c r="X59" s="1093">
        <f t="shared" si="36"/>
        <v>16044.210000000001</v>
      </c>
      <c r="Y59" s="1093">
        <f t="shared" si="37"/>
        <v>2052.5080000000003</v>
      </c>
    </row>
    <row r="60" spans="2:25">
      <c r="B60" s="2" t="s">
        <v>107</v>
      </c>
      <c r="C60" s="20">
        <f t="shared" ref="C60:P60" si="57">C95*0.2</f>
        <v>32288.074000000008</v>
      </c>
      <c r="D60" s="20">
        <f t="shared" si="57"/>
        <v>15283.865999999998</v>
      </c>
      <c r="E60" s="20">
        <f t="shared" si="57"/>
        <v>5596.6239999999998</v>
      </c>
      <c r="F60" s="20">
        <f t="shared" si="57"/>
        <v>2062.616</v>
      </c>
      <c r="G60" s="20">
        <f t="shared" si="57"/>
        <v>157150.98000000001</v>
      </c>
      <c r="H60" s="20">
        <f t="shared" si="57"/>
        <v>999.09</v>
      </c>
      <c r="I60" s="20">
        <f t="shared" si="57"/>
        <v>3330.4080000000004</v>
      </c>
      <c r="J60" s="20">
        <f t="shared" si="57"/>
        <v>1281.3140000000001</v>
      </c>
      <c r="K60" s="20">
        <f t="shared" si="57"/>
        <v>5291.85</v>
      </c>
      <c r="L60" s="20">
        <f t="shared" si="57"/>
        <v>352.62</v>
      </c>
      <c r="M60" s="20">
        <f t="shared" si="57"/>
        <v>0</v>
      </c>
      <c r="N60" s="20">
        <f t="shared" si="57"/>
        <v>0</v>
      </c>
      <c r="O60" s="20">
        <f t="shared" si="57"/>
        <v>79.996000000000009</v>
      </c>
      <c r="P60" s="20">
        <f t="shared" si="57"/>
        <v>0</v>
      </c>
      <c r="Q60" s="20">
        <f t="shared" si="41"/>
        <v>0</v>
      </c>
      <c r="R60" s="20">
        <f t="shared" si="41"/>
        <v>0</v>
      </c>
      <c r="S60" s="10">
        <f t="shared" si="34"/>
        <v>223717.43800000002</v>
      </c>
      <c r="T60" s="1093">
        <f t="shared" si="36"/>
        <v>32288.074000000008</v>
      </c>
      <c r="U60" s="1093">
        <f t="shared" si="36"/>
        <v>15283.865999999998</v>
      </c>
      <c r="V60" s="1093">
        <f t="shared" si="36"/>
        <v>5596.6239999999998</v>
      </c>
      <c r="W60" s="1093">
        <f t="shared" si="36"/>
        <v>2062.616</v>
      </c>
      <c r="X60" s="1093">
        <f t="shared" si="36"/>
        <v>157150.98000000001</v>
      </c>
      <c r="Y60" s="1093">
        <f t="shared" si="37"/>
        <v>11335.278</v>
      </c>
    </row>
    <row r="61" spans="2:25">
      <c r="B61" s="2" t="s">
        <v>108</v>
      </c>
      <c r="C61" s="20">
        <f t="shared" ref="C61:P61" si="58">C96*0.2</f>
        <v>1958.2980000000005</v>
      </c>
      <c r="D61" s="20">
        <f t="shared" si="58"/>
        <v>946.35800000000006</v>
      </c>
      <c r="E61" s="20">
        <f t="shared" si="58"/>
        <v>233.01000000000005</v>
      </c>
      <c r="F61" s="20">
        <f t="shared" si="58"/>
        <v>54.316000000000003</v>
      </c>
      <c r="G61" s="20">
        <f t="shared" si="58"/>
        <v>16416.420000000002</v>
      </c>
      <c r="H61" s="20">
        <f t="shared" si="58"/>
        <v>293.85000000000002</v>
      </c>
      <c r="I61" s="20">
        <f t="shared" si="58"/>
        <v>171.99</v>
      </c>
      <c r="J61" s="20">
        <f t="shared" si="58"/>
        <v>0</v>
      </c>
      <c r="K61" s="20">
        <f t="shared" si="58"/>
        <v>273.60000000000002</v>
      </c>
      <c r="L61" s="20">
        <f t="shared" si="58"/>
        <v>58.77000000000001</v>
      </c>
      <c r="M61" s="20">
        <f t="shared" si="58"/>
        <v>0</v>
      </c>
      <c r="N61" s="20">
        <f t="shared" si="58"/>
        <v>0</v>
      </c>
      <c r="O61" s="20">
        <f t="shared" si="58"/>
        <v>0</v>
      </c>
      <c r="P61" s="20">
        <f t="shared" si="58"/>
        <v>0</v>
      </c>
      <c r="Q61" s="20">
        <f t="shared" si="41"/>
        <v>53.696000000000005</v>
      </c>
      <c r="R61" s="20">
        <f t="shared" si="41"/>
        <v>51.955999999999996</v>
      </c>
      <c r="S61" s="10">
        <f t="shared" si="34"/>
        <v>20512.263999999999</v>
      </c>
      <c r="T61" s="1093">
        <f t="shared" si="36"/>
        <v>1958.2980000000005</v>
      </c>
      <c r="U61" s="1093">
        <f t="shared" si="36"/>
        <v>946.35800000000006</v>
      </c>
      <c r="V61" s="1093">
        <f t="shared" si="36"/>
        <v>233.01000000000005</v>
      </c>
      <c r="W61" s="1093">
        <f t="shared" si="36"/>
        <v>54.316000000000003</v>
      </c>
      <c r="X61" s="1093">
        <f t="shared" si="36"/>
        <v>16416.420000000002</v>
      </c>
      <c r="Y61" s="1093">
        <f t="shared" si="37"/>
        <v>903.86200000000008</v>
      </c>
    </row>
    <row r="62" spans="2:25">
      <c r="B62" s="2" t="s">
        <v>109</v>
      </c>
      <c r="C62" s="20">
        <f t="shared" ref="C62:P62" si="59">C97*0.2</f>
        <v>727.11999999999989</v>
      </c>
      <c r="D62" s="20">
        <f t="shared" si="59"/>
        <v>232.12800000000004</v>
      </c>
      <c r="E62" s="20">
        <f t="shared" si="59"/>
        <v>57.141999999999996</v>
      </c>
      <c r="F62" s="20">
        <f t="shared" si="59"/>
        <v>0</v>
      </c>
      <c r="G62" s="20">
        <f t="shared" si="59"/>
        <v>2820.96</v>
      </c>
      <c r="H62" s="20">
        <f t="shared" si="59"/>
        <v>39.180000000000007</v>
      </c>
      <c r="I62" s="20">
        <f t="shared" si="59"/>
        <v>38.054000000000002</v>
      </c>
      <c r="J62" s="20">
        <f t="shared" si="59"/>
        <v>0</v>
      </c>
      <c r="K62" s="20">
        <f t="shared" si="59"/>
        <v>113.32400000000001</v>
      </c>
      <c r="L62" s="20">
        <f t="shared" si="59"/>
        <v>0</v>
      </c>
      <c r="M62" s="20">
        <f t="shared" si="59"/>
        <v>0</v>
      </c>
      <c r="N62" s="20">
        <f t="shared" si="59"/>
        <v>0</v>
      </c>
      <c r="O62" s="20">
        <f t="shared" si="59"/>
        <v>0</v>
      </c>
      <c r="P62" s="20">
        <f t="shared" si="59"/>
        <v>0</v>
      </c>
      <c r="Q62" s="20">
        <f t="shared" si="41"/>
        <v>0</v>
      </c>
      <c r="R62" s="20">
        <f t="shared" si="41"/>
        <v>0</v>
      </c>
      <c r="S62" s="10">
        <f t="shared" si="34"/>
        <v>4027.9079999999999</v>
      </c>
      <c r="T62" s="1093">
        <f t="shared" si="36"/>
        <v>727.11999999999989</v>
      </c>
      <c r="U62" s="1093">
        <f t="shared" si="36"/>
        <v>232.12800000000004</v>
      </c>
      <c r="V62" s="1093">
        <f t="shared" si="36"/>
        <v>57.141999999999996</v>
      </c>
      <c r="W62" s="1093">
        <f t="shared" si="36"/>
        <v>0</v>
      </c>
      <c r="X62" s="1093">
        <f t="shared" si="36"/>
        <v>2820.96</v>
      </c>
      <c r="Y62" s="1093">
        <f t="shared" si="37"/>
        <v>190.55800000000002</v>
      </c>
    </row>
    <row r="63" spans="2:25">
      <c r="B63" s="2" t="s">
        <v>110</v>
      </c>
      <c r="C63" s="20">
        <f t="shared" ref="C63:P63" si="60">C98*0.2</f>
        <v>16435.108000000004</v>
      </c>
      <c r="D63" s="20">
        <f t="shared" si="60"/>
        <v>8731.1880000000001</v>
      </c>
      <c r="E63" s="20">
        <f t="shared" si="60"/>
        <v>1333.0340000000001</v>
      </c>
      <c r="F63" s="20">
        <f t="shared" si="60"/>
        <v>1077.7340000000002</v>
      </c>
      <c r="G63" s="20">
        <f t="shared" si="60"/>
        <v>99634.74</v>
      </c>
      <c r="H63" s="20">
        <f t="shared" si="60"/>
        <v>1390.89</v>
      </c>
      <c r="I63" s="20">
        <f t="shared" si="60"/>
        <v>2617.8260000000005</v>
      </c>
      <c r="J63" s="20">
        <f t="shared" si="60"/>
        <v>0</v>
      </c>
      <c r="K63" s="20">
        <f t="shared" si="60"/>
        <v>2503.2600000000002</v>
      </c>
      <c r="L63" s="20">
        <f t="shared" si="60"/>
        <v>215.49</v>
      </c>
      <c r="M63" s="20">
        <f t="shared" si="60"/>
        <v>0</v>
      </c>
      <c r="N63" s="20">
        <f t="shared" si="60"/>
        <v>0</v>
      </c>
      <c r="O63" s="20">
        <f t="shared" si="60"/>
        <v>17.141999999999999</v>
      </c>
      <c r="P63" s="20">
        <f t="shared" si="60"/>
        <v>0</v>
      </c>
      <c r="Q63" s="20">
        <f t="shared" si="41"/>
        <v>0</v>
      </c>
      <c r="R63" s="20">
        <f t="shared" si="41"/>
        <v>0</v>
      </c>
      <c r="S63" s="10">
        <f t="shared" si="34"/>
        <v>133956.41199999998</v>
      </c>
      <c r="T63" s="1093">
        <f t="shared" si="36"/>
        <v>16435.108000000004</v>
      </c>
      <c r="U63" s="1093">
        <f t="shared" si="36"/>
        <v>8731.1880000000001</v>
      </c>
      <c r="V63" s="1093">
        <f t="shared" si="36"/>
        <v>1333.0340000000001</v>
      </c>
      <c r="W63" s="1093">
        <f t="shared" si="36"/>
        <v>1077.7340000000002</v>
      </c>
      <c r="X63" s="1093">
        <f t="shared" si="36"/>
        <v>99634.74</v>
      </c>
      <c r="Y63" s="1093">
        <f t="shared" si="37"/>
        <v>6744.6080000000002</v>
      </c>
    </row>
    <row r="64" spans="2:25">
      <c r="B64" s="2" t="s">
        <v>111</v>
      </c>
      <c r="C64" s="20">
        <f t="shared" ref="C64:P64" si="61">C99*0.2</f>
        <v>103265.376</v>
      </c>
      <c r="D64" s="20">
        <f t="shared" si="61"/>
        <v>66502.42</v>
      </c>
      <c r="E64" s="20">
        <f t="shared" si="61"/>
        <v>9877.9460000000036</v>
      </c>
      <c r="F64" s="20">
        <f t="shared" si="61"/>
        <v>9974.6319999999996</v>
      </c>
      <c r="G64" s="20">
        <f t="shared" si="61"/>
        <v>540205.24400000006</v>
      </c>
      <c r="H64" s="20">
        <f t="shared" si="61"/>
        <v>7875.18</v>
      </c>
      <c r="I64" s="20">
        <f t="shared" si="61"/>
        <v>21456.528000000002</v>
      </c>
      <c r="J64" s="20">
        <f t="shared" si="61"/>
        <v>0</v>
      </c>
      <c r="K64" s="20">
        <f t="shared" si="61"/>
        <v>17621.850000000002</v>
      </c>
      <c r="L64" s="20">
        <f t="shared" si="61"/>
        <v>1057.8600000000001</v>
      </c>
      <c r="M64" s="20">
        <f t="shared" si="61"/>
        <v>78.360000000000014</v>
      </c>
      <c r="N64" s="20">
        <f t="shared" si="61"/>
        <v>0</v>
      </c>
      <c r="O64" s="20">
        <f t="shared" si="61"/>
        <v>308.55600000000004</v>
      </c>
      <c r="P64" s="20">
        <f t="shared" si="61"/>
        <v>19.065999999999999</v>
      </c>
      <c r="Q64" s="20">
        <v>0</v>
      </c>
      <c r="R64" s="20">
        <v>0</v>
      </c>
      <c r="S64" s="10">
        <f t="shared" si="34"/>
        <v>778243.01800000004</v>
      </c>
      <c r="T64" s="1093">
        <f t="shared" si="36"/>
        <v>103265.376</v>
      </c>
      <c r="U64" s="1093">
        <f t="shared" si="36"/>
        <v>66502.42</v>
      </c>
      <c r="V64" s="1093">
        <f t="shared" si="36"/>
        <v>9877.9460000000036</v>
      </c>
      <c r="W64" s="1093">
        <f t="shared" si="36"/>
        <v>9974.6319999999996</v>
      </c>
      <c r="X64" s="1093">
        <f t="shared" si="36"/>
        <v>540205.24400000006</v>
      </c>
      <c r="Y64" s="1093">
        <f t="shared" si="37"/>
        <v>48417.4</v>
      </c>
    </row>
    <row r="65" spans="2:25">
      <c r="B65" s="2" t="s">
        <v>112</v>
      </c>
      <c r="C65" s="20">
        <f t="shared" ref="C65:P65" si="62">C100*0.2</f>
        <v>2997.344000000001</v>
      </c>
      <c r="D65" s="20">
        <f t="shared" si="62"/>
        <v>2951.8160000000003</v>
      </c>
      <c r="E65" s="20">
        <f t="shared" si="62"/>
        <v>179.42000000000002</v>
      </c>
      <c r="F65" s="20">
        <f t="shared" si="62"/>
        <v>95.081999999999994</v>
      </c>
      <c r="G65" s="20">
        <f t="shared" si="62"/>
        <v>12792.27</v>
      </c>
      <c r="H65" s="20">
        <f t="shared" si="62"/>
        <v>333.03000000000003</v>
      </c>
      <c r="I65" s="20">
        <f t="shared" si="62"/>
        <v>682.20200000000011</v>
      </c>
      <c r="J65" s="20">
        <f t="shared" si="62"/>
        <v>0</v>
      </c>
      <c r="K65" s="20">
        <f t="shared" si="62"/>
        <v>519.43600000000004</v>
      </c>
      <c r="L65" s="20">
        <f t="shared" si="62"/>
        <v>78.360000000000014</v>
      </c>
      <c r="M65" s="20">
        <f t="shared" si="62"/>
        <v>0</v>
      </c>
      <c r="N65" s="20">
        <f t="shared" si="62"/>
        <v>0</v>
      </c>
      <c r="O65" s="20">
        <f t="shared" si="62"/>
        <v>5.7140000000000004</v>
      </c>
      <c r="P65" s="20">
        <f t="shared" si="62"/>
        <v>9.5239999999999991</v>
      </c>
      <c r="Q65" s="20">
        <f>Q100*0.2</f>
        <v>0</v>
      </c>
      <c r="R65" s="20">
        <f>R100*0.2</f>
        <v>217.51400000000001</v>
      </c>
      <c r="S65" s="10">
        <f t="shared" si="34"/>
        <v>20861.712000000003</v>
      </c>
      <c r="T65" s="1093">
        <f t="shared" si="36"/>
        <v>2997.344000000001</v>
      </c>
      <c r="U65" s="1093">
        <f t="shared" si="36"/>
        <v>2951.8160000000003</v>
      </c>
      <c r="V65" s="1093">
        <f t="shared" si="36"/>
        <v>179.42000000000002</v>
      </c>
      <c r="W65" s="1093">
        <f t="shared" si="36"/>
        <v>95.081999999999994</v>
      </c>
      <c r="X65" s="1093">
        <f t="shared" si="36"/>
        <v>12792.27</v>
      </c>
      <c r="Y65" s="1093">
        <f t="shared" si="37"/>
        <v>1845.7800000000002</v>
      </c>
    </row>
    <row r="66" spans="2:25">
      <c r="B66" s="2" t="s">
        <v>113</v>
      </c>
      <c r="C66" s="20">
        <f t="shared" ref="C66:P66" si="63">C101*0.2</f>
        <v>1257.268</v>
      </c>
      <c r="D66" s="20">
        <f t="shared" si="63"/>
        <v>608.39800000000002</v>
      </c>
      <c r="E66" s="20">
        <f t="shared" si="63"/>
        <v>508.54800000000006</v>
      </c>
      <c r="F66" s="20">
        <f t="shared" si="63"/>
        <v>264.75</v>
      </c>
      <c r="G66" s="20">
        <f t="shared" si="63"/>
        <v>8678.3700000000008</v>
      </c>
      <c r="H66" s="20">
        <f t="shared" si="63"/>
        <v>195.9</v>
      </c>
      <c r="I66" s="20">
        <f t="shared" si="63"/>
        <v>233.976</v>
      </c>
      <c r="J66" s="20">
        <f t="shared" si="63"/>
        <v>0</v>
      </c>
      <c r="K66" s="20">
        <f t="shared" si="63"/>
        <v>304.524</v>
      </c>
      <c r="L66" s="20">
        <f t="shared" si="63"/>
        <v>0</v>
      </c>
      <c r="M66" s="20">
        <f t="shared" si="63"/>
        <v>0</v>
      </c>
      <c r="N66" s="20">
        <f t="shared" si="63"/>
        <v>0</v>
      </c>
      <c r="O66" s="20">
        <f t="shared" si="63"/>
        <v>0</v>
      </c>
      <c r="P66" s="20">
        <f t="shared" si="63"/>
        <v>0</v>
      </c>
      <c r="Q66" s="20">
        <f>Q101*0.2</f>
        <v>29.134</v>
      </c>
      <c r="R66" s="20">
        <f>R101*0.2</f>
        <v>0</v>
      </c>
      <c r="S66" s="10">
        <f t="shared" si="34"/>
        <v>12080.868</v>
      </c>
      <c r="T66" s="1093">
        <f t="shared" si="36"/>
        <v>1257.268</v>
      </c>
      <c r="U66" s="1093">
        <f t="shared" si="36"/>
        <v>608.39800000000002</v>
      </c>
      <c r="V66" s="1093">
        <f t="shared" si="36"/>
        <v>508.54800000000006</v>
      </c>
      <c r="W66" s="1093">
        <f t="shared" si="36"/>
        <v>264.75</v>
      </c>
      <c r="X66" s="1093">
        <f t="shared" si="36"/>
        <v>8678.3700000000008</v>
      </c>
      <c r="Y66" s="1093">
        <f t="shared" si="37"/>
        <v>763.53399999999999</v>
      </c>
    </row>
    <row r="67" spans="2:25">
      <c r="B67" s="7" t="s">
        <v>37</v>
      </c>
      <c r="C67" s="8">
        <f t="shared" ref="C67:T67" si="64">SUM(C40:C66)</f>
        <v>329884.62</v>
      </c>
      <c r="D67" s="8">
        <f t="shared" si="64"/>
        <v>204989.00999999995</v>
      </c>
      <c r="E67" s="8">
        <f t="shared" si="64"/>
        <v>38069.322</v>
      </c>
      <c r="F67" s="8">
        <f t="shared" si="64"/>
        <v>25686.574000000004</v>
      </c>
      <c r="G67" s="8">
        <f t="shared" si="64"/>
        <v>1545164.2340000002</v>
      </c>
      <c r="H67" s="8">
        <f t="shared" si="64"/>
        <v>31696.620000000003</v>
      </c>
      <c r="I67" s="8">
        <f t="shared" si="64"/>
        <v>54274.152000000002</v>
      </c>
      <c r="J67" s="8">
        <f t="shared" si="64"/>
        <v>2751.7580000000003</v>
      </c>
      <c r="K67" s="8">
        <f t="shared" si="64"/>
        <v>56832.514000000003</v>
      </c>
      <c r="L67" s="8">
        <f t="shared" si="64"/>
        <v>4133.4900000000007</v>
      </c>
      <c r="M67" s="8">
        <f t="shared" si="64"/>
        <v>548.52</v>
      </c>
      <c r="N67" s="8">
        <f t="shared" si="64"/>
        <v>0</v>
      </c>
      <c r="O67" s="8">
        <f t="shared" si="64"/>
        <v>794.24599999999998</v>
      </c>
      <c r="P67" s="8">
        <f t="shared" si="64"/>
        <v>28.589999999999996</v>
      </c>
      <c r="Q67" s="8">
        <f t="shared" si="64"/>
        <v>114.66200000000001</v>
      </c>
      <c r="R67" s="8">
        <f t="shared" si="64"/>
        <v>475.05000000000007</v>
      </c>
      <c r="S67" s="11">
        <f t="shared" si="64"/>
        <v>2295443.3619999997</v>
      </c>
      <c r="T67" s="1093">
        <f t="shared" si="64"/>
        <v>329884.62</v>
      </c>
      <c r="U67" s="1093">
        <f t="shared" ref="U67:Y67" si="65">SUM(U40:U66)</f>
        <v>204989.00999999995</v>
      </c>
      <c r="V67" s="1093">
        <f t="shared" si="65"/>
        <v>38069.322</v>
      </c>
      <c r="W67" s="1093">
        <f t="shared" si="65"/>
        <v>25686.574000000004</v>
      </c>
      <c r="X67" s="1093">
        <f t="shared" si="65"/>
        <v>1545164.2340000002</v>
      </c>
      <c r="Y67" s="1093">
        <f t="shared" si="65"/>
        <v>151649.60200000004</v>
      </c>
    </row>
    <row r="68" spans="2:25">
      <c r="B68" s="1080" t="s">
        <v>49</v>
      </c>
      <c r="C68" s="1084"/>
      <c r="D68" s="1084"/>
      <c r="E68" s="1084"/>
      <c r="F68" s="1084"/>
      <c r="G68" s="1084"/>
      <c r="H68" s="1084"/>
      <c r="I68" s="1084"/>
      <c r="J68" s="1084"/>
      <c r="K68" s="1084"/>
      <c r="L68" s="1084"/>
      <c r="M68" s="1084"/>
      <c r="N68" s="1084"/>
      <c r="O68" s="1084"/>
      <c r="P68" s="1084"/>
      <c r="Q68" s="1084"/>
      <c r="R68" s="1084"/>
      <c r="S68" s="1085" t="e">
        <f>S67+#REF!</f>
        <v>#REF!</v>
      </c>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4521.92</v>
      </c>
      <c r="D75" s="20">
        <v>1656.72</v>
      </c>
      <c r="E75" s="20">
        <v>948.51</v>
      </c>
      <c r="F75" s="20">
        <v>710.75</v>
      </c>
      <c r="G75" s="20">
        <v>25956.75</v>
      </c>
      <c r="H75" s="20">
        <v>587.70000000000005</v>
      </c>
      <c r="I75" s="20">
        <v>367.54</v>
      </c>
      <c r="J75" s="20"/>
      <c r="K75" s="20">
        <v>754.84</v>
      </c>
      <c r="L75" s="20">
        <v>97.95</v>
      </c>
      <c r="M75" s="20"/>
      <c r="N75" s="20"/>
      <c r="O75" s="20"/>
      <c r="P75" s="20"/>
      <c r="Q75" s="20"/>
      <c r="R75" s="20"/>
      <c r="S75" s="10">
        <f t="shared" ref="S75:S101" si="66">SUM(C75:R75)</f>
        <v>35602.679999999993</v>
      </c>
      <c r="T75" s="1093">
        <f>C75</f>
        <v>4521.92</v>
      </c>
      <c r="U75" s="1093">
        <f>D75</f>
        <v>1656.72</v>
      </c>
      <c r="V75" s="1093">
        <f>E75</f>
        <v>948.51</v>
      </c>
      <c r="W75" s="1093">
        <f>F75</f>
        <v>710.75</v>
      </c>
      <c r="X75" s="1093">
        <f>G75</f>
        <v>25956.75</v>
      </c>
      <c r="Y75" s="1093">
        <f>SUM(H75:R75)</f>
        <v>1808.03</v>
      </c>
    </row>
    <row r="76" spans="2:25">
      <c r="B76" s="2" t="s">
        <v>88</v>
      </c>
      <c r="C76" s="20">
        <v>17345.870000000003</v>
      </c>
      <c r="D76" s="20">
        <v>14326.97</v>
      </c>
      <c r="E76" s="20">
        <v>1784.06</v>
      </c>
      <c r="F76" s="20">
        <v>736.85</v>
      </c>
      <c r="G76" s="20">
        <v>69544.5</v>
      </c>
      <c r="H76" s="20">
        <v>1273.3499999999999</v>
      </c>
      <c r="I76" s="20">
        <v>3182.6900000000005</v>
      </c>
      <c r="J76" s="20"/>
      <c r="K76" s="20">
        <v>2884.0499999999997</v>
      </c>
      <c r="L76" s="20">
        <v>195.9</v>
      </c>
      <c r="M76" s="20"/>
      <c r="N76" s="20"/>
      <c r="O76" s="20"/>
      <c r="P76" s="20"/>
      <c r="Q76" s="20"/>
      <c r="R76" s="20"/>
      <c r="S76" s="10">
        <f t="shared" si="66"/>
        <v>111274.24000000001</v>
      </c>
      <c r="T76" s="1093">
        <f t="shared" ref="T76:X101" si="67">C76</f>
        <v>17345.870000000003</v>
      </c>
      <c r="U76" s="1093">
        <f t="shared" si="67"/>
        <v>14326.97</v>
      </c>
      <c r="V76" s="1093">
        <f t="shared" si="67"/>
        <v>1784.06</v>
      </c>
      <c r="W76" s="1093">
        <f t="shared" si="67"/>
        <v>736.85</v>
      </c>
      <c r="X76" s="1093">
        <f t="shared" si="67"/>
        <v>69544.5</v>
      </c>
      <c r="Y76" s="1093">
        <f t="shared" ref="Y76:Y101" si="68">SUM(H76:R76)</f>
        <v>7535.99</v>
      </c>
    </row>
    <row r="77" spans="2:25">
      <c r="B77" s="2" t="s">
        <v>89</v>
      </c>
      <c r="C77" s="20">
        <v>5490.7200000000012</v>
      </c>
      <c r="D77" s="20">
        <v>5968.16</v>
      </c>
      <c r="E77" s="20">
        <v>2599.88</v>
      </c>
      <c r="F77" s="20">
        <v>302.52</v>
      </c>
      <c r="G77" s="20">
        <v>18610.5</v>
      </c>
      <c r="H77" s="20">
        <v>1567.2</v>
      </c>
      <c r="I77" s="20">
        <v>1028.46</v>
      </c>
      <c r="J77" s="20"/>
      <c r="K77" s="20">
        <v>1386.46</v>
      </c>
      <c r="L77" s="20">
        <v>97.95</v>
      </c>
      <c r="M77" s="20"/>
      <c r="N77" s="20"/>
      <c r="O77" s="20"/>
      <c r="P77" s="20"/>
      <c r="Q77" s="20"/>
      <c r="R77" s="20"/>
      <c r="S77" s="10">
        <f t="shared" si="66"/>
        <v>37051.849999999991</v>
      </c>
      <c r="T77" s="1093">
        <f t="shared" si="67"/>
        <v>5490.7200000000012</v>
      </c>
      <c r="U77" s="1093">
        <f t="shared" si="67"/>
        <v>5968.16</v>
      </c>
      <c r="V77" s="1093">
        <f t="shared" si="67"/>
        <v>2599.88</v>
      </c>
      <c r="W77" s="1093">
        <f t="shared" si="67"/>
        <v>302.52</v>
      </c>
      <c r="X77" s="1093">
        <f t="shared" si="67"/>
        <v>18610.5</v>
      </c>
      <c r="Y77" s="1093">
        <f t="shared" si="68"/>
        <v>4080.0699999999997</v>
      </c>
    </row>
    <row r="78" spans="2:25">
      <c r="B78" s="2" t="s">
        <v>90</v>
      </c>
      <c r="C78" s="20">
        <v>19769.910000000003</v>
      </c>
      <c r="D78" s="20">
        <v>10902.92</v>
      </c>
      <c r="E78" s="20">
        <v>1847.6099999999997</v>
      </c>
      <c r="F78" s="20">
        <v>2243.8200000000002</v>
      </c>
      <c r="G78" s="20">
        <v>63667.5</v>
      </c>
      <c r="H78" s="20">
        <v>2252.85</v>
      </c>
      <c r="I78" s="20">
        <v>2317.7999999999997</v>
      </c>
      <c r="J78" s="20"/>
      <c r="K78" s="20">
        <v>3606.65</v>
      </c>
      <c r="L78" s="20">
        <v>195.9</v>
      </c>
      <c r="M78" s="20">
        <v>1371.3</v>
      </c>
      <c r="N78" s="20"/>
      <c r="O78" s="20"/>
      <c r="P78" s="20"/>
      <c r="Q78" s="20"/>
      <c r="R78" s="20"/>
      <c r="S78" s="10">
        <f t="shared" si="66"/>
        <v>108176.26000000001</v>
      </c>
      <c r="T78" s="1093">
        <f t="shared" si="67"/>
        <v>19769.910000000003</v>
      </c>
      <c r="U78" s="1093">
        <f t="shared" si="67"/>
        <v>10902.92</v>
      </c>
      <c r="V78" s="1093">
        <f t="shared" si="67"/>
        <v>1847.6099999999997</v>
      </c>
      <c r="W78" s="1093">
        <f t="shared" si="67"/>
        <v>2243.8200000000002</v>
      </c>
      <c r="X78" s="1093">
        <f t="shared" si="67"/>
        <v>63667.5</v>
      </c>
      <c r="Y78" s="1093">
        <f t="shared" si="68"/>
        <v>9744.4999999999982</v>
      </c>
    </row>
    <row r="79" spans="2:25">
      <c r="B79" s="2" t="s">
        <v>91</v>
      </c>
      <c r="C79" s="20">
        <v>53568.55</v>
      </c>
      <c r="D79" s="20">
        <v>23084.34</v>
      </c>
      <c r="E79" s="20">
        <v>7698.75</v>
      </c>
      <c r="F79" s="20">
        <v>3845.11</v>
      </c>
      <c r="G79" s="20">
        <v>183362.4</v>
      </c>
      <c r="H79" s="20">
        <v>5583.15</v>
      </c>
      <c r="I79" s="20">
        <v>5299.48</v>
      </c>
      <c r="J79" s="20"/>
      <c r="K79" s="20">
        <v>9936.8300000000017</v>
      </c>
      <c r="L79" s="20">
        <v>1077.45</v>
      </c>
      <c r="M79" s="20"/>
      <c r="N79" s="20"/>
      <c r="O79" s="20">
        <v>114.28</v>
      </c>
      <c r="P79" s="20"/>
      <c r="Q79" s="20">
        <v>102.8</v>
      </c>
      <c r="R79" s="20">
        <v>1027.9000000000001</v>
      </c>
      <c r="S79" s="10">
        <f t="shared" si="66"/>
        <v>294701.0400000001</v>
      </c>
      <c r="T79" s="1093">
        <f t="shared" si="67"/>
        <v>53568.55</v>
      </c>
      <c r="U79" s="1093">
        <f t="shared" si="67"/>
        <v>23084.34</v>
      </c>
      <c r="V79" s="1093">
        <f t="shared" si="67"/>
        <v>7698.75</v>
      </c>
      <c r="W79" s="1093">
        <f t="shared" si="67"/>
        <v>3845.11</v>
      </c>
      <c r="X79" s="1093">
        <f t="shared" si="67"/>
        <v>183362.4</v>
      </c>
      <c r="Y79" s="1093">
        <f t="shared" si="68"/>
        <v>23141.89</v>
      </c>
    </row>
    <row r="80" spans="2:25">
      <c r="B80" s="2" t="s">
        <v>92</v>
      </c>
      <c r="C80" s="20">
        <v>30095.340000000004</v>
      </c>
      <c r="D80" s="20">
        <v>10869.54</v>
      </c>
      <c r="E80" s="20">
        <v>1947.5200000000002</v>
      </c>
      <c r="F80" s="20">
        <v>334.05</v>
      </c>
      <c r="G80" s="20">
        <v>117833.85</v>
      </c>
      <c r="H80" s="20">
        <v>3820.0499999999997</v>
      </c>
      <c r="I80" s="20">
        <v>2385.0699999999993</v>
      </c>
      <c r="J80" s="20">
        <v>881.55</v>
      </c>
      <c r="K80" s="20">
        <v>4240.59</v>
      </c>
      <c r="L80" s="20">
        <v>881.55</v>
      </c>
      <c r="M80" s="20"/>
      <c r="N80" s="20"/>
      <c r="O80" s="20">
        <v>57.14</v>
      </c>
      <c r="P80" s="20"/>
      <c r="Q80" s="20"/>
      <c r="R80" s="20"/>
      <c r="S80" s="10">
        <f t="shared" si="66"/>
        <v>173346.25</v>
      </c>
      <c r="T80" s="1093">
        <f t="shared" si="67"/>
        <v>30095.340000000004</v>
      </c>
      <c r="U80" s="1093">
        <f t="shared" si="67"/>
        <v>10869.54</v>
      </c>
      <c r="V80" s="1093">
        <f t="shared" si="67"/>
        <v>1947.5200000000002</v>
      </c>
      <c r="W80" s="1093">
        <f t="shared" si="67"/>
        <v>334.05</v>
      </c>
      <c r="X80" s="1093">
        <f t="shared" si="67"/>
        <v>117833.85</v>
      </c>
      <c r="Y80" s="1093">
        <f t="shared" si="68"/>
        <v>12265.949999999997</v>
      </c>
    </row>
    <row r="81" spans="2:25">
      <c r="B81" s="2" t="s">
        <v>93</v>
      </c>
      <c r="C81" s="20">
        <v>45659.910000000011</v>
      </c>
      <c r="D81" s="20">
        <v>34295.46</v>
      </c>
      <c r="E81" s="20">
        <v>5830.79</v>
      </c>
      <c r="F81" s="20">
        <v>1062.96</v>
      </c>
      <c r="G81" s="20">
        <v>157797.45000000001</v>
      </c>
      <c r="H81" s="20">
        <v>9697.0500000000011</v>
      </c>
      <c r="I81" s="20">
        <v>8193.23</v>
      </c>
      <c r="J81" s="20">
        <v>293.85000000000002</v>
      </c>
      <c r="K81" s="20">
        <v>8880.6</v>
      </c>
      <c r="L81" s="20">
        <v>97.95</v>
      </c>
      <c r="M81" s="20">
        <v>391.8</v>
      </c>
      <c r="N81" s="20"/>
      <c r="O81" s="20">
        <v>228.56</v>
      </c>
      <c r="P81" s="20"/>
      <c r="Q81" s="20"/>
      <c r="R81" s="20"/>
      <c r="S81" s="10">
        <f t="shared" si="66"/>
        <v>272429.60999999993</v>
      </c>
      <c r="T81" s="1093">
        <f t="shared" si="67"/>
        <v>45659.910000000011</v>
      </c>
      <c r="U81" s="1093">
        <f t="shared" si="67"/>
        <v>34295.46</v>
      </c>
      <c r="V81" s="1093">
        <f t="shared" si="67"/>
        <v>5830.79</v>
      </c>
      <c r="W81" s="1093">
        <f t="shared" si="67"/>
        <v>1062.96</v>
      </c>
      <c r="X81" s="1093">
        <f t="shared" si="67"/>
        <v>157797.45000000001</v>
      </c>
      <c r="Y81" s="1093">
        <f t="shared" si="68"/>
        <v>27783.039999999997</v>
      </c>
    </row>
    <row r="82" spans="2:25">
      <c r="B82" s="2" t="s">
        <v>94</v>
      </c>
      <c r="C82" s="20">
        <v>25339.809999999998</v>
      </c>
      <c r="D82" s="20">
        <v>6124.24</v>
      </c>
      <c r="E82" s="20">
        <v>4087.4900000000002</v>
      </c>
      <c r="F82" s="20">
        <v>2240.48</v>
      </c>
      <c r="G82" s="20">
        <v>128216.55</v>
      </c>
      <c r="H82" s="20">
        <v>4309.8</v>
      </c>
      <c r="I82" s="20">
        <v>2033.6299999999999</v>
      </c>
      <c r="J82" s="20">
        <v>906.93</v>
      </c>
      <c r="K82" s="20">
        <v>3689</v>
      </c>
      <c r="L82" s="20">
        <v>881.55</v>
      </c>
      <c r="M82" s="20">
        <v>195.9</v>
      </c>
      <c r="N82" s="20"/>
      <c r="O82" s="20">
        <v>28.57</v>
      </c>
      <c r="P82" s="20"/>
      <c r="Q82" s="20"/>
      <c r="R82" s="20"/>
      <c r="S82" s="10">
        <f t="shared" si="66"/>
        <v>178053.94999999998</v>
      </c>
      <c r="T82" s="1093">
        <f t="shared" si="67"/>
        <v>25339.809999999998</v>
      </c>
      <c r="U82" s="1093">
        <f t="shared" si="67"/>
        <v>6124.24</v>
      </c>
      <c r="V82" s="1093">
        <f t="shared" si="67"/>
        <v>4087.4900000000002</v>
      </c>
      <c r="W82" s="1093">
        <f t="shared" si="67"/>
        <v>2240.48</v>
      </c>
      <c r="X82" s="1093">
        <f t="shared" si="67"/>
        <v>128216.55</v>
      </c>
      <c r="Y82" s="1093">
        <f t="shared" si="68"/>
        <v>12045.38</v>
      </c>
    </row>
    <row r="83" spans="2:25">
      <c r="B83" s="2" t="s">
        <v>95</v>
      </c>
      <c r="C83" s="20">
        <v>42323.42</v>
      </c>
      <c r="D83" s="20">
        <v>31111.929999999997</v>
      </c>
      <c r="E83" s="20">
        <v>6880.630000000001</v>
      </c>
      <c r="F83" s="20">
        <v>2683.31</v>
      </c>
      <c r="G83" s="20">
        <v>231945.60000000001</v>
      </c>
      <c r="H83" s="20">
        <v>4701.6000000000004</v>
      </c>
      <c r="I83" s="20">
        <v>6953.17</v>
      </c>
      <c r="J83" s="20">
        <v>1004.15</v>
      </c>
      <c r="K83" s="20">
        <v>8473.49</v>
      </c>
      <c r="L83" s="20">
        <v>195.9</v>
      </c>
      <c r="M83" s="20"/>
      <c r="N83" s="20"/>
      <c r="O83" s="20">
        <v>114.28</v>
      </c>
      <c r="P83" s="20"/>
      <c r="Q83" s="20"/>
      <c r="R83" s="20"/>
      <c r="S83" s="10">
        <f t="shared" si="66"/>
        <v>336387.48000000004</v>
      </c>
      <c r="T83" s="1093">
        <f t="shared" si="67"/>
        <v>42323.42</v>
      </c>
      <c r="U83" s="1093">
        <f t="shared" si="67"/>
        <v>31111.929999999997</v>
      </c>
      <c r="V83" s="1093">
        <f t="shared" si="67"/>
        <v>6880.630000000001</v>
      </c>
      <c r="W83" s="1093">
        <f t="shared" si="67"/>
        <v>2683.31</v>
      </c>
      <c r="X83" s="1093">
        <f t="shared" si="67"/>
        <v>231945.60000000001</v>
      </c>
      <c r="Y83" s="1093">
        <f t="shared" si="68"/>
        <v>21442.59</v>
      </c>
    </row>
    <row r="84" spans="2:25">
      <c r="B84" s="2" t="s">
        <v>96</v>
      </c>
      <c r="C84" s="20">
        <v>15237.71</v>
      </c>
      <c r="D84" s="20">
        <v>9488.619999999999</v>
      </c>
      <c r="E84" s="20">
        <v>1533.31</v>
      </c>
      <c r="F84" s="20">
        <v>1481.96</v>
      </c>
      <c r="G84" s="20">
        <v>51031.95</v>
      </c>
      <c r="H84" s="20">
        <v>3232.3500000000004</v>
      </c>
      <c r="I84" s="20">
        <v>2185.5500000000002</v>
      </c>
      <c r="J84" s="20">
        <v>0</v>
      </c>
      <c r="K84" s="20">
        <v>2119.77</v>
      </c>
      <c r="L84" s="20">
        <v>97.95</v>
      </c>
      <c r="M84" s="20"/>
      <c r="N84" s="20"/>
      <c r="O84" s="20">
        <v>85.71</v>
      </c>
      <c r="P84" s="20"/>
      <c r="Q84" s="20"/>
      <c r="R84" s="20"/>
      <c r="S84" s="10">
        <f t="shared" si="66"/>
        <v>86494.88</v>
      </c>
      <c r="T84" s="1093">
        <f t="shared" si="67"/>
        <v>15237.71</v>
      </c>
      <c r="U84" s="1093">
        <f t="shared" si="67"/>
        <v>9488.619999999999</v>
      </c>
      <c r="V84" s="1093">
        <f t="shared" si="67"/>
        <v>1533.31</v>
      </c>
      <c r="W84" s="1093">
        <f t="shared" si="67"/>
        <v>1481.96</v>
      </c>
      <c r="X84" s="1093">
        <f t="shared" si="67"/>
        <v>51031.95</v>
      </c>
      <c r="Y84" s="1093">
        <f t="shared" si="68"/>
        <v>7721.33</v>
      </c>
    </row>
    <row r="85" spans="2:25">
      <c r="B85" s="2" t="s">
        <v>97</v>
      </c>
      <c r="C85" s="20">
        <v>30498.359999999997</v>
      </c>
      <c r="D85" s="20">
        <v>18250.600000000002</v>
      </c>
      <c r="E85" s="20">
        <v>2752.2900000000004</v>
      </c>
      <c r="F85" s="20">
        <v>2018.23</v>
      </c>
      <c r="G85" s="20">
        <v>247029.9</v>
      </c>
      <c r="H85" s="20">
        <v>3624.15</v>
      </c>
      <c r="I85" s="20">
        <v>3421.9900000000002</v>
      </c>
      <c r="J85" s="20">
        <v>2196.9</v>
      </c>
      <c r="K85" s="20">
        <v>4726.7700000000004</v>
      </c>
      <c r="L85" s="20">
        <v>293.85000000000002</v>
      </c>
      <c r="M85" s="20"/>
      <c r="N85" s="20"/>
      <c r="O85" s="20">
        <v>28.57</v>
      </c>
      <c r="P85" s="20"/>
      <c r="Q85" s="20"/>
      <c r="R85" s="20"/>
      <c r="S85" s="10">
        <f t="shared" si="66"/>
        <v>314841.61000000004</v>
      </c>
      <c r="T85" s="1093">
        <f t="shared" si="67"/>
        <v>30498.359999999997</v>
      </c>
      <c r="U85" s="1093">
        <f t="shared" si="67"/>
        <v>18250.600000000002</v>
      </c>
      <c r="V85" s="1093">
        <f t="shared" si="67"/>
        <v>2752.2900000000004</v>
      </c>
      <c r="W85" s="1093">
        <f t="shared" si="67"/>
        <v>2018.23</v>
      </c>
      <c r="X85" s="1093">
        <f t="shared" si="67"/>
        <v>247029.9</v>
      </c>
      <c r="Y85" s="1093">
        <f t="shared" si="68"/>
        <v>14292.230000000001</v>
      </c>
    </row>
    <row r="86" spans="2:25">
      <c r="B86" s="2" t="s">
        <v>98</v>
      </c>
      <c r="C86" s="20">
        <v>26970.92</v>
      </c>
      <c r="D86" s="20">
        <v>23195.57</v>
      </c>
      <c r="E86" s="20">
        <v>4714.1499999999996</v>
      </c>
      <c r="F86" s="20">
        <v>1920.63</v>
      </c>
      <c r="G86" s="20">
        <v>182382.9</v>
      </c>
      <c r="H86" s="20">
        <v>2742.6</v>
      </c>
      <c r="I86" s="20">
        <v>5902.9800000000005</v>
      </c>
      <c r="J86" s="20">
        <v>0</v>
      </c>
      <c r="K86" s="20">
        <v>4749.96</v>
      </c>
      <c r="L86" s="20">
        <v>391.8</v>
      </c>
      <c r="M86" s="20"/>
      <c r="N86" s="20"/>
      <c r="O86" s="20">
        <v>28.57</v>
      </c>
      <c r="P86" s="20"/>
      <c r="Q86" s="20">
        <v>56.36</v>
      </c>
      <c r="R86" s="20"/>
      <c r="S86" s="10">
        <f t="shared" si="66"/>
        <v>253056.43999999997</v>
      </c>
      <c r="T86" s="1093">
        <f t="shared" si="67"/>
        <v>26970.92</v>
      </c>
      <c r="U86" s="1093">
        <f t="shared" si="67"/>
        <v>23195.57</v>
      </c>
      <c r="V86" s="1093">
        <f t="shared" si="67"/>
        <v>4714.1499999999996</v>
      </c>
      <c r="W86" s="1093">
        <f t="shared" si="67"/>
        <v>1920.63</v>
      </c>
      <c r="X86" s="1093">
        <f t="shared" si="67"/>
        <v>182382.9</v>
      </c>
      <c r="Y86" s="1093">
        <f t="shared" si="68"/>
        <v>13872.27</v>
      </c>
    </row>
    <row r="87" spans="2:25">
      <c r="B87" s="2" t="s">
        <v>99</v>
      </c>
      <c r="C87" s="20">
        <v>148812.20000000001</v>
      </c>
      <c r="D87" s="20">
        <v>124312.98</v>
      </c>
      <c r="E87" s="20">
        <v>11540.549999999997</v>
      </c>
      <c r="F87" s="20">
        <v>11255.12</v>
      </c>
      <c r="G87" s="20">
        <v>460618.8</v>
      </c>
      <c r="H87" s="20">
        <v>11949.9</v>
      </c>
      <c r="I87" s="20">
        <v>28291.379999999997</v>
      </c>
      <c r="J87" s="20">
        <v>293.85000000000002</v>
      </c>
      <c r="K87" s="20">
        <v>26058.43</v>
      </c>
      <c r="L87" s="20">
        <v>1763.1</v>
      </c>
      <c r="M87" s="20">
        <v>195.9</v>
      </c>
      <c r="N87" s="20"/>
      <c r="O87" s="20">
        <v>171.42</v>
      </c>
      <c r="P87" s="20"/>
      <c r="Q87" s="20"/>
      <c r="R87" s="20"/>
      <c r="S87" s="10">
        <f t="shared" si="66"/>
        <v>825263.63</v>
      </c>
      <c r="T87" s="1093">
        <f t="shared" si="67"/>
        <v>148812.20000000001</v>
      </c>
      <c r="U87" s="1093">
        <f t="shared" si="67"/>
        <v>124312.98</v>
      </c>
      <c r="V87" s="1093">
        <f t="shared" si="67"/>
        <v>11540.549999999997</v>
      </c>
      <c r="W87" s="1093">
        <f t="shared" si="67"/>
        <v>11255.12</v>
      </c>
      <c r="X87" s="1093">
        <f t="shared" si="67"/>
        <v>460618.8</v>
      </c>
      <c r="Y87" s="1093">
        <f t="shared" si="68"/>
        <v>68723.98</v>
      </c>
    </row>
    <row r="88" spans="2:25">
      <c r="B88" s="2" t="s">
        <v>100</v>
      </c>
      <c r="C88" s="20">
        <v>27759.49</v>
      </c>
      <c r="D88" s="20">
        <v>23046.77</v>
      </c>
      <c r="E88" s="20">
        <v>2072.3100000000004</v>
      </c>
      <c r="F88" s="20">
        <v>1863.82</v>
      </c>
      <c r="G88" s="20">
        <v>79927.199999999997</v>
      </c>
      <c r="H88" s="20">
        <v>4505.7</v>
      </c>
      <c r="I88" s="20">
        <v>4922.87</v>
      </c>
      <c r="J88" s="20">
        <v>0</v>
      </c>
      <c r="K88" s="20">
        <v>4751.45</v>
      </c>
      <c r="L88" s="20">
        <v>587.70000000000005</v>
      </c>
      <c r="M88" s="20"/>
      <c r="N88" s="20"/>
      <c r="O88" s="20">
        <v>114.28</v>
      </c>
      <c r="P88" s="20"/>
      <c r="Q88" s="20"/>
      <c r="R88" s="20"/>
      <c r="S88" s="10">
        <f t="shared" si="66"/>
        <v>149551.59000000003</v>
      </c>
      <c r="T88" s="1093">
        <f t="shared" si="67"/>
        <v>27759.49</v>
      </c>
      <c r="U88" s="1093">
        <f t="shared" si="67"/>
        <v>23046.77</v>
      </c>
      <c r="V88" s="1093">
        <f t="shared" si="67"/>
        <v>2072.3100000000004</v>
      </c>
      <c r="W88" s="1093">
        <f t="shared" si="67"/>
        <v>1863.82</v>
      </c>
      <c r="X88" s="1093">
        <f t="shared" si="67"/>
        <v>79927.199999999997</v>
      </c>
      <c r="Y88" s="1093">
        <f t="shared" si="68"/>
        <v>14882.000000000002</v>
      </c>
    </row>
    <row r="89" spans="2:25">
      <c r="B89" s="2" t="s">
        <v>101</v>
      </c>
      <c r="C89" s="20">
        <v>21722.670000000002</v>
      </c>
      <c r="D89" s="20">
        <v>19101.890000000003</v>
      </c>
      <c r="E89" s="20">
        <v>1809.4499999999994</v>
      </c>
      <c r="F89" s="20">
        <v>3520.19</v>
      </c>
      <c r="G89" s="20">
        <v>92464.8</v>
      </c>
      <c r="H89" s="20">
        <v>2546.6999999999998</v>
      </c>
      <c r="I89" s="20">
        <v>4965.8999999999987</v>
      </c>
      <c r="J89" s="20">
        <v>0</v>
      </c>
      <c r="K89" s="20">
        <v>3535.6800000000003</v>
      </c>
      <c r="L89" s="20">
        <v>97.95</v>
      </c>
      <c r="M89" s="20"/>
      <c r="N89" s="20"/>
      <c r="O89" s="20">
        <v>85.71</v>
      </c>
      <c r="P89" s="20"/>
      <c r="Q89" s="20"/>
      <c r="R89" s="20"/>
      <c r="S89" s="10">
        <f t="shared" si="66"/>
        <v>149850.94</v>
      </c>
      <c r="T89" s="1093">
        <f t="shared" si="67"/>
        <v>21722.670000000002</v>
      </c>
      <c r="U89" s="1093">
        <f t="shared" si="67"/>
        <v>19101.890000000003</v>
      </c>
      <c r="V89" s="1093">
        <f t="shared" si="67"/>
        <v>1809.4499999999994</v>
      </c>
      <c r="W89" s="1093">
        <f t="shared" si="67"/>
        <v>3520.19</v>
      </c>
      <c r="X89" s="1093">
        <f t="shared" si="67"/>
        <v>92464.8</v>
      </c>
      <c r="Y89" s="1093">
        <f t="shared" si="68"/>
        <v>11231.939999999999</v>
      </c>
    </row>
    <row r="90" spans="2:25">
      <c r="B90" s="2" t="s">
        <v>102</v>
      </c>
      <c r="C90" s="20">
        <v>108986.18000000002</v>
      </c>
      <c r="D90" s="20">
        <v>68962.919999999984</v>
      </c>
      <c r="E90" s="20">
        <v>19986.049999999996</v>
      </c>
      <c r="F90" s="20">
        <v>12767.04</v>
      </c>
      <c r="G90" s="20">
        <v>631483.65</v>
      </c>
      <c r="H90" s="20">
        <v>14300.7</v>
      </c>
      <c r="I90" s="20">
        <v>16632.79</v>
      </c>
      <c r="J90" s="20">
        <v>1180.5</v>
      </c>
      <c r="K90" s="20">
        <v>20093.45</v>
      </c>
      <c r="L90" s="20">
        <v>2938.5</v>
      </c>
      <c r="M90" s="20">
        <v>195.9</v>
      </c>
      <c r="N90" s="20"/>
      <c r="O90" s="20">
        <v>142.85</v>
      </c>
      <c r="P90" s="20"/>
      <c r="Q90" s="20"/>
      <c r="R90" s="20"/>
      <c r="S90" s="10">
        <f t="shared" si="66"/>
        <v>897670.53</v>
      </c>
      <c r="T90" s="1093">
        <f t="shared" si="67"/>
        <v>108986.18000000002</v>
      </c>
      <c r="U90" s="1093">
        <f t="shared" si="67"/>
        <v>68962.919999999984</v>
      </c>
      <c r="V90" s="1093">
        <f t="shared" si="67"/>
        <v>19986.049999999996</v>
      </c>
      <c r="W90" s="1093">
        <f t="shared" si="67"/>
        <v>12767.04</v>
      </c>
      <c r="X90" s="1093">
        <f t="shared" si="67"/>
        <v>631483.65</v>
      </c>
      <c r="Y90" s="1093">
        <f t="shared" si="68"/>
        <v>55484.69</v>
      </c>
    </row>
    <row r="91" spans="2:25">
      <c r="B91" s="2" t="s">
        <v>103</v>
      </c>
      <c r="C91" s="20">
        <v>46662.909999999996</v>
      </c>
      <c r="D91" s="20">
        <v>26497.040000000001</v>
      </c>
      <c r="E91" s="20">
        <v>3714.1299999999992</v>
      </c>
      <c r="F91" s="20">
        <v>2414.5</v>
      </c>
      <c r="G91" s="20">
        <v>158776.95000000001</v>
      </c>
      <c r="H91" s="20">
        <v>5387.25</v>
      </c>
      <c r="I91" s="20">
        <v>5714.69</v>
      </c>
      <c r="J91" s="20">
        <v>293.85000000000002</v>
      </c>
      <c r="K91" s="20">
        <v>8417.48</v>
      </c>
      <c r="L91" s="20">
        <v>195.9</v>
      </c>
      <c r="M91" s="20"/>
      <c r="N91" s="20"/>
      <c r="O91" s="20">
        <v>85.71</v>
      </c>
      <c r="P91" s="20"/>
      <c r="Q91" s="20"/>
      <c r="R91" s="20"/>
      <c r="S91" s="10">
        <f t="shared" si="66"/>
        <v>258160.41000000003</v>
      </c>
      <c r="T91" s="1093">
        <f t="shared" si="67"/>
        <v>46662.909999999996</v>
      </c>
      <c r="U91" s="1093">
        <f t="shared" si="67"/>
        <v>26497.040000000001</v>
      </c>
      <c r="V91" s="1093">
        <f t="shared" si="67"/>
        <v>3714.1299999999992</v>
      </c>
      <c r="W91" s="1093">
        <f t="shared" si="67"/>
        <v>2414.5</v>
      </c>
      <c r="X91" s="1093">
        <f t="shared" si="67"/>
        <v>158776.95000000001</v>
      </c>
      <c r="Y91" s="1093">
        <f t="shared" si="68"/>
        <v>20094.879999999997</v>
      </c>
    </row>
    <row r="92" spans="2:25">
      <c r="B92" s="2" t="s">
        <v>104</v>
      </c>
      <c r="C92" s="20">
        <v>12710.73</v>
      </c>
      <c r="D92" s="20">
        <v>4382.05</v>
      </c>
      <c r="E92" s="20">
        <v>2200.88</v>
      </c>
      <c r="F92" s="20">
        <v>523.99</v>
      </c>
      <c r="G92" s="20">
        <v>46526.25</v>
      </c>
      <c r="H92" s="20">
        <v>2252.85</v>
      </c>
      <c r="I92" s="20">
        <v>996.04000000000008</v>
      </c>
      <c r="J92" s="20">
        <v>0</v>
      </c>
      <c r="K92" s="20">
        <v>2173.35</v>
      </c>
      <c r="L92" s="20">
        <v>195.9</v>
      </c>
      <c r="M92" s="20"/>
      <c r="N92" s="20"/>
      <c r="O92" s="20"/>
      <c r="P92" s="20"/>
      <c r="Q92" s="20"/>
      <c r="R92" s="20"/>
      <c r="S92" s="10">
        <f t="shared" si="66"/>
        <v>71962.039999999994</v>
      </c>
      <c r="T92" s="1093">
        <f t="shared" si="67"/>
        <v>12710.73</v>
      </c>
      <c r="U92" s="1093">
        <f t="shared" si="67"/>
        <v>4382.05</v>
      </c>
      <c r="V92" s="1093">
        <f t="shared" si="67"/>
        <v>2200.88</v>
      </c>
      <c r="W92" s="1093">
        <f t="shared" si="67"/>
        <v>523.99</v>
      </c>
      <c r="X92" s="1093">
        <f t="shared" si="67"/>
        <v>46526.25</v>
      </c>
      <c r="Y92" s="1093">
        <f t="shared" si="68"/>
        <v>5618.1399999999994</v>
      </c>
    </row>
    <row r="93" spans="2:25">
      <c r="B93" s="2" t="s">
        <v>105</v>
      </c>
      <c r="C93" s="20">
        <v>151358.72999999998</v>
      </c>
      <c r="D93" s="20">
        <v>77689.070000000007</v>
      </c>
      <c r="E93" s="20">
        <v>16720.440000000002</v>
      </c>
      <c r="F93" s="20">
        <v>8693.69</v>
      </c>
      <c r="G93" s="20">
        <v>509927.7</v>
      </c>
      <c r="H93" s="20">
        <v>15182.25</v>
      </c>
      <c r="I93" s="20">
        <v>20673.879999999997</v>
      </c>
      <c r="J93" s="20">
        <v>300.64</v>
      </c>
      <c r="K93" s="20">
        <v>26916.1</v>
      </c>
      <c r="L93" s="20">
        <v>1567.2</v>
      </c>
      <c r="M93" s="20"/>
      <c r="N93" s="20"/>
      <c r="O93" s="20">
        <v>571.4</v>
      </c>
      <c r="P93" s="20"/>
      <c r="Q93" s="20"/>
      <c r="R93" s="20"/>
      <c r="S93" s="10">
        <f t="shared" si="66"/>
        <v>829601.1</v>
      </c>
      <c r="T93" s="1093">
        <f t="shared" si="67"/>
        <v>151358.72999999998</v>
      </c>
      <c r="U93" s="1093">
        <f t="shared" si="67"/>
        <v>77689.070000000007</v>
      </c>
      <c r="V93" s="1093">
        <f t="shared" si="67"/>
        <v>16720.440000000002</v>
      </c>
      <c r="W93" s="1093">
        <f t="shared" si="67"/>
        <v>8693.69</v>
      </c>
      <c r="X93" s="1093">
        <f t="shared" si="67"/>
        <v>509927.7</v>
      </c>
      <c r="Y93" s="1093">
        <f t="shared" si="68"/>
        <v>65211.469999999994</v>
      </c>
    </row>
    <row r="94" spans="2:25">
      <c r="B94" s="2" t="s">
        <v>106</v>
      </c>
      <c r="C94" s="20">
        <v>19944.809999999998</v>
      </c>
      <c r="D94" s="20">
        <v>15396.39</v>
      </c>
      <c r="E94" s="20">
        <v>749.19</v>
      </c>
      <c r="F94" s="20">
        <v>168.2</v>
      </c>
      <c r="G94" s="20">
        <v>80221.05</v>
      </c>
      <c r="H94" s="20">
        <v>3330.3</v>
      </c>
      <c r="I94" s="20">
        <v>3246.7000000000003</v>
      </c>
      <c r="J94" s="20">
        <v>0</v>
      </c>
      <c r="K94" s="20">
        <v>3628.4</v>
      </c>
      <c r="L94" s="20"/>
      <c r="M94" s="20"/>
      <c r="N94" s="20"/>
      <c r="O94" s="20">
        <v>57.14</v>
      </c>
      <c r="P94" s="20"/>
      <c r="Q94" s="20"/>
      <c r="R94" s="20"/>
      <c r="S94" s="10">
        <f t="shared" si="66"/>
        <v>126742.18</v>
      </c>
      <c r="T94" s="1093">
        <f t="shared" si="67"/>
        <v>19944.809999999998</v>
      </c>
      <c r="U94" s="1093">
        <f t="shared" si="67"/>
        <v>15396.39</v>
      </c>
      <c r="V94" s="1093">
        <f t="shared" si="67"/>
        <v>749.19</v>
      </c>
      <c r="W94" s="1093">
        <f t="shared" si="67"/>
        <v>168.2</v>
      </c>
      <c r="X94" s="1093">
        <f t="shared" si="67"/>
        <v>80221.05</v>
      </c>
      <c r="Y94" s="1093">
        <f t="shared" si="68"/>
        <v>10262.539999999999</v>
      </c>
    </row>
    <row r="95" spans="2:25">
      <c r="B95" s="2" t="s">
        <v>107</v>
      </c>
      <c r="C95" s="20">
        <v>161440.37000000002</v>
      </c>
      <c r="D95" s="20">
        <v>76419.329999999987</v>
      </c>
      <c r="E95" s="20">
        <v>27983.119999999995</v>
      </c>
      <c r="F95" s="20">
        <v>10313.08</v>
      </c>
      <c r="G95" s="20">
        <v>785754.9</v>
      </c>
      <c r="H95" s="20">
        <v>4995.45</v>
      </c>
      <c r="I95" s="20">
        <v>16652.04</v>
      </c>
      <c r="J95" s="20">
        <v>6406.57</v>
      </c>
      <c r="K95" s="20">
        <v>26459.25</v>
      </c>
      <c r="L95" s="20">
        <v>1763.1</v>
      </c>
      <c r="M95" s="20"/>
      <c r="N95" s="20"/>
      <c r="O95" s="20">
        <v>399.98</v>
      </c>
      <c r="P95" s="20"/>
      <c r="Q95" s="20"/>
      <c r="R95" s="20"/>
      <c r="S95" s="10">
        <f t="shared" si="66"/>
        <v>1118587.1900000002</v>
      </c>
      <c r="T95" s="1093">
        <f t="shared" si="67"/>
        <v>161440.37000000002</v>
      </c>
      <c r="U95" s="1093">
        <f t="shared" si="67"/>
        <v>76419.329999999987</v>
      </c>
      <c r="V95" s="1093">
        <f t="shared" si="67"/>
        <v>27983.119999999995</v>
      </c>
      <c r="W95" s="1093">
        <f t="shared" si="67"/>
        <v>10313.08</v>
      </c>
      <c r="X95" s="1093">
        <f t="shared" si="67"/>
        <v>785754.9</v>
      </c>
      <c r="Y95" s="1093">
        <f t="shared" si="68"/>
        <v>56676.39</v>
      </c>
    </row>
    <row r="96" spans="2:25">
      <c r="B96" s="2" t="s">
        <v>108</v>
      </c>
      <c r="C96" s="20">
        <v>9791.4900000000016</v>
      </c>
      <c r="D96" s="20">
        <v>4731.79</v>
      </c>
      <c r="E96" s="20">
        <v>1165.0500000000002</v>
      </c>
      <c r="F96" s="20">
        <v>271.58</v>
      </c>
      <c r="G96" s="20">
        <v>82082.100000000006</v>
      </c>
      <c r="H96" s="20">
        <v>1469.25</v>
      </c>
      <c r="I96" s="20">
        <v>859.95</v>
      </c>
      <c r="J96" s="20"/>
      <c r="K96" s="20">
        <v>1368</v>
      </c>
      <c r="L96" s="20">
        <v>293.85000000000002</v>
      </c>
      <c r="M96" s="20"/>
      <c r="N96" s="20"/>
      <c r="O96" s="20"/>
      <c r="P96" s="20"/>
      <c r="Q96" s="20">
        <v>268.48</v>
      </c>
      <c r="R96" s="20">
        <v>259.77999999999997</v>
      </c>
      <c r="S96" s="10">
        <f t="shared" si="66"/>
        <v>102561.32</v>
      </c>
      <c r="T96" s="1093">
        <f t="shared" si="67"/>
        <v>9791.4900000000016</v>
      </c>
      <c r="U96" s="1093">
        <f t="shared" si="67"/>
        <v>4731.79</v>
      </c>
      <c r="V96" s="1093">
        <f t="shared" si="67"/>
        <v>1165.0500000000002</v>
      </c>
      <c r="W96" s="1093">
        <f t="shared" si="67"/>
        <v>271.58</v>
      </c>
      <c r="X96" s="1093">
        <f t="shared" si="67"/>
        <v>82082.100000000006</v>
      </c>
      <c r="Y96" s="1093">
        <f t="shared" si="68"/>
        <v>4519.3099999999995</v>
      </c>
    </row>
    <row r="97" spans="2:25">
      <c r="B97" s="2" t="s">
        <v>109</v>
      </c>
      <c r="C97" s="20">
        <v>3635.5999999999995</v>
      </c>
      <c r="D97" s="20">
        <v>1160.6400000000001</v>
      </c>
      <c r="E97" s="20">
        <v>285.70999999999998</v>
      </c>
      <c r="F97" s="20">
        <v>0</v>
      </c>
      <c r="G97" s="20">
        <v>14104.8</v>
      </c>
      <c r="H97" s="20">
        <v>195.9</v>
      </c>
      <c r="I97" s="20">
        <v>190.27</v>
      </c>
      <c r="J97" s="20"/>
      <c r="K97" s="20">
        <v>566.62</v>
      </c>
      <c r="L97" s="20"/>
      <c r="M97" s="20"/>
      <c r="N97" s="20"/>
      <c r="O97" s="20"/>
      <c r="P97" s="20"/>
      <c r="Q97" s="20"/>
      <c r="R97" s="20"/>
      <c r="S97" s="10">
        <f t="shared" si="66"/>
        <v>20139.54</v>
      </c>
      <c r="T97" s="1093">
        <f t="shared" si="67"/>
        <v>3635.5999999999995</v>
      </c>
      <c r="U97" s="1093">
        <f t="shared" si="67"/>
        <v>1160.6400000000001</v>
      </c>
      <c r="V97" s="1093">
        <f t="shared" si="67"/>
        <v>285.70999999999998</v>
      </c>
      <c r="W97" s="1093">
        <f t="shared" si="67"/>
        <v>0</v>
      </c>
      <c r="X97" s="1093">
        <f t="shared" si="67"/>
        <v>14104.8</v>
      </c>
      <c r="Y97" s="1093">
        <f t="shared" si="68"/>
        <v>952.79</v>
      </c>
    </row>
    <row r="98" spans="2:25">
      <c r="B98" s="2" t="s">
        <v>110</v>
      </c>
      <c r="C98" s="20">
        <v>82175.540000000008</v>
      </c>
      <c r="D98" s="20">
        <v>43655.94</v>
      </c>
      <c r="E98" s="20">
        <v>6665.17</v>
      </c>
      <c r="F98" s="20">
        <v>5388.67</v>
      </c>
      <c r="G98" s="20">
        <v>498173.7</v>
      </c>
      <c r="H98" s="20">
        <v>6954.45</v>
      </c>
      <c r="I98" s="20">
        <v>13089.130000000001</v>
      </c>
      <c r="J98" s="20"/>
      <c r="K98" s="20">
        <v>12516.3</v>
      </c>
      <c r="L98" s="20">
        <v>1077.45</v>
      </c>
      <c r="M98" s="20"/>
      <c r="N98" s="20"/>
      <c r="O98" s="20">
        <v>85.71</v>
      </c>
      <c r="P98" s="20"/>
      <c r="Q98" s="20"/>
      <c r="R98" s="20"/>
      <c r="S98" s="10">
        <f t="shared" si="66"/>
        <v>669782.05999999994</v>
      </c>
      <c r="T98" s="1093">
        <f t="shared" si="67"/>
        <v>82175.540000000008</v>
      </c>
      <c r="U98" s="1093">
        <f t="shared" si="67"/>
        <v>43655.94</v>
      </c>
      <c r="V98" s="1093">
        <f t="shared" si="67"/>
        <v>6665.17</v>
      </c>
      <c r="W98" s="1093">
        <f t="shared" si="67"/>
        <v>5388.67</v>
      </c>
      <c r="X98" s="1093">
        <f t="shared" si="67"/>
        <v>498173.7</v>
      </c>
      <c r="Y98" s="1093">
        <f t="shared" si="68"/>
        <v>33723.040000000001</v>
      </c>
    </row>
    <row r="99" spans="2:25">
      <c r="B99" s="2" t="s">
        <v>111</v>
      </c>
      <c r="C99" s="20">
        <v>516326.88</v>
      </c>
      <c r="D99" s="20">
        <v>332512.09999999998</v>
      </c>
      <c r="E99" s="20">
        <v>49389.730000000018</v>
      </c>
      <c r="F99" s="20">
        <v>49873.159999999996</v>
      </c>
      <c r="G99" s="20">
        <v>2701026.22</v>
      </c>
      <c r="H99" s="20">
        <v>39375.9</v>
      </c>
      <c r="I99" s="20">
        <v>107282.64</v>
      </c>
      <c r="J99" s="20"/>
      <c r="K99" s="20">
        <v>88109.25</v>
      </c>
      <c r="L99" s="20">
        <v>5289.3</v>
      </c>
      <c r="M99" s="20">
        <v>391.8</v>
      </c>
      <c r="N99" s="20"/>
      <c r="O99" s="20">
        <v>1542.78</v>
      </c>
      <c r="P99" s="20">
        <v>95.33</v>
      </c>
      <c r="Q99" s="20">
        <v>809.84</v>
      </c>
      <c r="R99" s="20">
        <v>12526.83</v>
      </c>
      <c r="S99" s="10">
        <f t="shared" si="66"/>
        <v>3904551.76</v>
      </c>
      <c r="T99" s="1093">
        <f t="shared" si="67"/>
        <v>516326.88</v>
      </c>
      <c r="U99" s="1093">
        <f t="shared" si="67"/>
        <v>332512.09999999998</v>
      </c>
      <c r="V99" s="1093">
        <f t="shared" si="67"/>
        <v>49389.730000000018</v>
      </c>
      <c r="W99" s="1093">
        <f t="shared" si="67"/>
        <v>49873.159999999996</v>
      </c>
      <c r="X99" s="1093">
        <f t="shared" si="67"/>
        <v>2701026.22</v>
      </c>
      <c r="Y99" s="1093">
        <f t="shared" si="68"/>
        <v>255423.66999999995</v>
      </c>
    </row>
    <row r="100" spans="2:25">
      <c r="B100" s="2" t="s">
        <v>112</v>
      </c>
      <c r="C100" s="20">
        <v>14986.720000000003</v>
      </c>
      <c r="D100" s="20">
        <v>14759.08</v>
      </c>
      <c r="E100" s="20">
        <v>897.1</v>
      </c>
      <c r="F100" s="20">
        <v>475.40999999999997</v>
      </c>
      <c r="G100" s="20">
        <v>63961.35</v>
      </c>
      <c r="H100" s="20">
        <v>1665.15</v>
      </c>
      <c r="I100" s="20">
        <v>3411.01</v>
      </c>
      <c r="J100" s="20"/>
      <c r="K100" s="20">
        <v>2597.1799999999998</v>
      </c>
      <c r="L100" s="20">
        <v>391.8</v>
      </c>
      <c r="M100" s="20"/>
      <c r="N100" s="20"/>
      <c r="O100" s="20">
        <v>28.57</v>
      </c>
      <c r="P100" s="20">
        <v>47.62</v>
      </c>
      <c r="Q100" s="20"/>
      <c r="R100" s="20">
        <v>1087.57</v>
      </c>
      <c r="S100" s="10">
        <f t="shared" si="66"/>
        <v>104308.56</v>
      </c>
      <c r="T100" s="1093">
        <f t="shared" si="67"/>
        <v>14986.720000000003</v>
      </c>
      <c r="U100" s="1093">
        <f t="shared" si="67"/>
        <v>14759.08</v>
      </c>
      <c r="V100" s="1093">
        <f t="shared" si="67"/>
        <v>897.1</v>
      </c>
      <c r="W100" s="1093">
        <f t="shared" si="67"/>
        <v>475.40999999999997</v>
      </c>
      <c r="X100" s="1093">
        <f t="shared" si="67"/>
        <v>63961.35</v>
      </c>
      <c r="Y100" s="1093">
        <f t="shared" si="68"/>
        <v>9228.9</v>
      </c>
    </row>
    <row r="101" spans="2:25">
      <c r="B101" s="2" t="s">
        <v>113</v>
      </c>
      <c r="C101" s="20">
        <v>6286.34</v>
      </c>
      <c r="D101" s="20">
        <v>3041.99</v>
      </c>
      <c r="E101" s="20">
        <v>2542.7400000000002</v>
      </c>
      <c r="F101" s="20">
        <v>1323.75</v>
      </c>
      <c r="G101" s="20">
        <v>43391.85</v>
      </c>
      <c r="H101" s="20">
        <v>979.5</v>
      </c>
      <c r="I101" s="20">
        <v>1169.8799999999999</v>
      </c>
      <c r="J101" s="20"/>
      <c r="K101" s="20">
        <v>1522.62</v>
      </c>
      <c r="L101" s="20"/>
      <c r="M101" s="20"/>
      <c r="N101" s="20"/>
      <c r="O101" s="20"/>
      <c r="P101" s="20"/>
      <c r="Q101" s="20">
        <v>145.66999999999999</v>
      </c>
      <c r="R101" s="20"/>
      <c r="S101" s="10">
        <f t="shared" si="66"/>
        <v>60404.34</v>
      </c>
      <c r="T101" s="1093">
        <f t="shared" si="67"/>
        <v>6286.34</v>
      </c>
      <c r="U101" s="1093">
        <f t="shared" si="67"/>
        <v>3041.99</v>
      </c>
      <c r="V101" s="1093">
        <f t="shared" si="67"/>
        <v>2542.7400000000002</v>
      </c>
      <c r="W101" s="1093">
        <f t="shared" si="67"/>
        <v>1323.75</v>
      </c>
      <c r="X101" s="1093">
        <f t="shared" si="67"/>
        <v>43391.85</v>
      </c>
      <c r="Y101" s="1093">
        <f t="shared" si="68"/>
        <v>3817.67</v>
      </c>
    </row>
    <row r="102" spans="2:25">
      <c r="B102" s="7" t="s">
        <v>37</v>
      </c>
      <c r="C102" s="6">
        <f t="shared" ref="C102:T102" si="69">SUM(C75:C101)</f>
        <v>1649423.1</v>
      </c>
      <c r="D102" s="6">
        <f t="shared" si="69"/>
        <v>1024945.05</v>
      </c>
      <c r="E102" s="6">
        <f t="shared" si="69"/>
        <v>190346.61000000002</v>
      </c>
      <c r="F102" s="6">
        <f t="shared" si="69"/>
        <v>128432.87</v>
      </c>
      <c r="G102" s="6">
        <f t="shared" si="69"/>
        <v>7725821.1699999999</v>
      </c>
      <c r="H102" s="6">
        <f t="shared" si="69"/>
        <v>158483.09999999998</v>
      </c>
      <c r="I102" s="6">
        <f t="shared" si="69"/>
        <v>271370.76</v>
      </c>
      <c r="J102" s="6">
        <f t="shared" si="69"/>
        <v>13758.79</v>
      </c>
      <c r="K102" s="6">
        <f t="shared" si="69"/>
        <v>284162.57</v>
      </c>
      <c r="L102" s="6">
        <f t="shared" si="69"/>
        <v>20667.45</v>
      </c>
      <c r="M102" s="6">
        <f t="shared" si="69"/>
        <v>2742.6000000000004</v>
      </c>
      <c r="N102" s="6">
        <f t="shared" si="69"/>
        <v>0</v>
      </c>
      <c r="O102" s="6">
        <f t="shared" si="69"/>
        <v>3971.23</v>
      </c>
      <c r="P102" s="27">
        <f t="shared" si="69"/>
        <v>142.94999999999999</v>
      </c>
      <c r="Q102" s="6">
        <f t="shared" si="69"/>
        <v>1383.15</v>
      </c>
      <c r="R102" s="6">
        <f t="shared" si="69"/>
        <v>14902.08</v>
      </c>
      <c r="S102" s="6">
        <f t="shared" si="69"/>
        <v>11490553.479999999</v>
      </c>
      <c r="T102" s="1093">
        <f t="shared" si="69"/>
        <v>1649423.1</v>
      </c>
      <c r="U102" s="1093">
        <f t="shared" ref="U102:Y102" si="70">SUM(U75:U101)</f>
        <v>1024945.05</v>
      </c>
      <c r="V102" s="1093">
        <f t="shared" si="70"/>
        <v>190346.61000000002</v>
      </c>
      <c r="W102" s="1093">
        <f t="shared" si="70"/>
        <v>128432.87</v>
      </c>
      <c r="X102" s="1093">
        <f t="shared" si="70"/>
        <v>7725821.1699999999</v>
      </c>
      <c r="Y102" s="1093">
        <f t="shared" si="70"/>
        <v>771584.67999999993</v>
      </c>
    </row>
    <row r="103" spans="2:25">
      <c r="S103" s="1093"/>
    </row>
    <row r="104" spans="2:25">
      <c r="S104" s="1093"/>
    </row>
    <row r="105" spans="2:25">
      <c r="S105" s="1093"/>
    </row>
  </sheetData>
  <mergeCells count="48">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P38:P39"/>
    <mergeCell ref="B37:S37"/>
    <mergeCell ref="B38:B39"/>
    <mergeCell ref="C38:D38"/>
    <mergeCell ref="L38:L39"/>
    <mergeCell ref="M38:M39"/>
    <mergeCell ref="S38:S39"/>
    <mergeCell ref="Q38:R38"/>
    <mergeCell ref="E38:F38"/>
    <mergeCell ref="G38:G39"/>
    <mergeCell ref="H38:H39"/>
    <mergeCell ref="I38:I39"/>
    <mergeCell ref="J38:J39"/>
    <mergeCell ref="K38:K39"/>
    <mergeCell ref="N38:N39"/>
    <mergeCell ref="O38:O39"/>
  </mergeCells>
  <pageMargins left="0.511811024" right="0.511811024" top="0.78740157499999996" bottom="0.78740157499999996" header="0.31496062000000002" footer="0.31496062000000002"/>
  <pageSetup paperSize="9" scale="1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pageSetUpPr fitToPage="1"/>
  </sheetPr>
  <dimension ref="A2:Y105"/>
  <sheetViews>
    <sheetView topLeftCell="J61" zoomScale="70" zoomScaleNormal="70" workbookViewId="0">
      <selection sqref="A1:AC1"/>
    </sheetView>
  </sheetViews>
  <sheetFormatPr defaultRowHeight="15"/>
  <cols>
    <col min="1" max="1" width="11.5703125" style="1087" hidden="1" customWidth="1"/>
    <col min="2" max="2" width="13.14062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85</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6135.9440000000004</v>
      </c>
      <c r="D5" s="20">
        <f t="shared" si="0"/>
        <v>2157.559999999999</v>
      </c>
      <c r="E5" s="20">
        <f t="shared" si="0"/>
        <v>167.61600000000001</v>
      </c>
      <c r="F5" s="20">
        <f t="shared" si="0"/>
        <v>0</v>
      </c>
      <c r="G5" s="20">
        <f t="shared" si="0"/>
        <v>19981.800000000003</v>
      </c>
      <c r="H5" s="20">
        <f t="shared" si="0"/>
        <v>1253.7600000000002</v>
      </c>
      <c r="I5" s="20">
        <f t="shared" si="0"/>
        <v>351.99200000000002</v>
      </c>
      <c r="J5" s="20">
        <f t="shared" si="0"/>
        <v>0</v>
      </c>
      <c r="K5" s="20">
        <f t="shared" si="0"/>
        <v>513.75200000000007</v>
      </c>
      <c r="L5" s="20">
        <f t="shared" si="0"/>
        <v>470.16000000000008</v>
      </c>
      <c r="M5" s="20">
        <f t="shared" si="0"/>
        <v>0</v>
      </c>
      <c r="N5" s="20">
        <f t="shared" si="0"/>
        <v>0</v>
      </c>
      <c r="O5" s="20">
        <f t="shared" si="0"/>
        <v>0</v>
      </c>
      <c r="P5" s="20">
        <f t="shared" si="0"/>
        <v>0</v>
      </c>
      <c r="Q5" s="20">
        <f t="shared" si="0"/>
        <v>0</v>
      </c>
      <c r="R5" s="20">
        <f t="shared" si="0"/>
        <v>0</v>
      </c>
      <c r="S5" s="10">
        <f t="shared" ref="S5:S31" si="1">SUM(C5:R5)</f>
        <v>31032.583999999999</v>
      </c>
      <c r="T5" s="1093">
        <f>C5</f>
        <v>6135.9440000000004</v>
      </c>
      <c r="U5" s="1093">
        <f>D5</f>
        <v>2157.559999999999</v>
      </c>
      <c r="V5" s="1093">
        <f>E5</f>
        <v>167.61600000000001</v>
      </c>
      <c r="W5" s="1093">
        <f>F5</f>
        <v>0</v>
      </c>
      <c r="X5" s="1093">
        <f>G5</f>
        <v>19981.800000000003</v>
      </c>
      <c r="Y5" s="1093">
        <f>SUM(H5:R5)</f>
        <v>2589.6640000000007</v>
      </c>
    </row>
    <row r="6" spans="2:25">
      <c r="B6" s="2" t="s">
        <v>88</v>
      </c>
      <c r="C6" s="20">
        <f t="shared" ref="C6:R6" si="2">C76*0.8</f>
        <v>21301.232000000004</v>
      </c>
      <c r="D6" s="20">
        <f t="shared" si="2"/>
        <v>17132.072000000004</v>
      </c>
      <c r="E6" s="20">
        <f t="shared" si="2"/>
        <v>1447.5680000000002</v>
      </c>
      <c r="F6" s="20">
        <f t="shared" si="2"/>
        <v>760.60799999999983</v>
      </c>
      <c r="G6" s="20">
        <f t="shared" si="2"/>
        <v>50542.200000000004</v>
      </c>
      <c r="H6" s="20">
        <f t="shared" si="2"/>
        <v>1175.4000000000001</v>
      </c>
      <c r="I6" s="20">
        <f t="shared" si="2"/>
        <v>3733.1360000000004</v>
      </c>
      <c r="J6" s="20">
        <f t="shared" si="2"/>
        <v>0</v>
      </c>
      <c r="K6" s="20">
        <f t="shared" si="2"/>
        <v>2573.4960000000001</v>
      </c>
      <c r="L6" s="20">
        <f t="shared" si="2"/>
        <v>156.72000000000003</v>
      </c>
      <c r="M6" s="20">
        <f t="shared" si="2"/>
        <v>0</v>
      </c>
      <c r="N6" s="20">
        <f t="shared" si="2"/>
        <v>0</v>
      </c>
      <c r="O6" s="20">
        <f t="shared" si="2"/>
        <v>22.856000000000002</v>
      </c>
      <c r="P6" s="20">
        <f t="shared" si="2"/>
        <v>0</v>
      </c>
      <c r="Q6" s="20">
        <f t="shared" si="2"/>
        <v>0</v>
      </c>
      <c r="R6" s="20">
        <f t="shared" si="2"/>
        <v>0</v>
      </c>
      <c r="S6" s="10">
        <f t="shared" si="1"/>
        <v>98845.288</v>
      </c>
      <c r="T6" s="1093">
        <f t="shared" ref="T6:X31" si="3">C6</f>
        <v>21301.232000000004</v>
      </c>
      <c r="U6" s="1093">
        <f t="shared" si="3"/>
        <v>17132.072000000004</v>
      </c>
      <c r="V6" s="1093">
        <f t="shared" si="3"/>
        <v>1447.5680000000002</v>
      </c>
      <c r="W6" s="1093">
        <f t="shared" si="3"/>
        <v>760.60799999999983</v>
      </c>
      <c r="X6" s="1093">
        <f t="shared" si="3"/>
        <v>50542.200000000004</v>
      </c>
      <c r="Y6" s="1093">
        <f t="shared" ref="Y6:Y31" si="4">SUM(H6:R6)</f>
        <v>7661.6080000000002</v>
      </c>
    </row>
    <row r="7" spans="2:25">
      <c r="B7" s="2" t="s">
        <v>89</v>
      </c>
      <c r="C7" s="20">
        <f t="shared" ref="C7:R7" si="5">C77*0.8</f>
        <v>6185.6080000000002</v>
      </c>
      <c r="D7" s="20">
        <f t="shared" si="5"/>
        <v>2685.7280000000001</v>
      </c>
      <c r="E7" s="20">
        <f t="shared" si="5"/>
        <v>2064.7040000000002</v>
      </c>
      <c r="F7" s="20">
        <f t="shared" si="5"/>
        <v>330.03199999999998</v>
      </c>
      <c r="G7" s="20">
        <f t="shared" si="5"/>
        <v>21470.639999999999</v>
      </c>
      <c r="H7" s="20">
        <f t="shared" si="5"/>
        <v>1410.48</v>
      </c>
      <c r="I7" s="20">
        <f t="shared" si="5"/>
        <v>607.33600000000001</v>
      </c>
      <c r="J7" s="20">
        <f t="shared" si="5"/>
        <v>0</v>
      </c>
      <c r="K7" s="20">
        <f t="shared" si="5"/>
        <v>749.44799999999998</v>
      </c>
      <c r="L7" s="20">
        <f t="shared" si="5"/>
        <v>156.72000000000003</v>
      </c>
      <c r="M7" s="20">
        <f t="shared" si="5"/>
        <v>0</v>
      </c>
      <c r="N7" s="20">
        <f t="shared" si="5"/>
        <v>0</v>
      </c>
      <c r="O7" s="20">
        <f t="shared" si="5"/>
        <v>0</v>
      </c>
      <c r="P7" s="20">
        <f t="shared" si="5"/>
        <v>0</v>
      </c>
      <c r="Q7" s="20">
        <f t="shared" si="5"/>
        <v>0</v>
      </c>
      <c r="R7" s="20">
        <f t="shared" si="5"/>
        <v>0</v>
      </c>
      <c r="S7" s="10">
        <f t="shared" si="1"/>
        <v>35660.696000000004</v>
      </c>
      <c r="T7" s="1093">
        <f t="shared" si="3"/>
        <v>6185.6080000000002</v>
      </c>
      <c r="U7" s="1093">
        <f t="shared" si="3"/>
        <v>2685.7280000000001</v>
      </c>
      <c r="V7" s="1093">
        <f t="shared" si="3"/>
        <v>2064.7040000000002</v>
      </c>
      <c r="W7" s="1093">
        <f t="shared" si="3"/>
        <v>330.03199999999998</v>
      </c>
      <c r="X7" s="1093">
        <f t="shared" si="3"/>
        <v>21470.639999999999</v>
      </c>
      <c r="Y7" s="1093">
        <f t="shared" si="4"/>
        <v>2923.9840000000004</v>
      </c>
    </row>
    <row r="8" spans="2:25">
      <c r="B8" s="2" t="s">
        <v>90</v>
      </c>
      <c r="C8" s="20">
        <f t="shared" ref="C8:P8" si="6">C78*0.8</f>
        <v>15140.256000000001</v>
      </c>
      <c r="D8" s="20">
        <f t="shared" si="6"/>
        <v>17263.135999999999</v>
      </c>
      <c r="E8" s="20">
        <f t="shared" si="6"/>
        <v>1577.088</v>
      </c>
      <c r="F8" s="20">
        <f t="shared" si="6"/>
        <v>1848.4160000000004</v>
      </c>
      <c r="G8" s="20">
        <f t="shared" si="6"/>
        <v>41217.360000000001</v>
      </c>
      <c r="H8" s="20">
        <f t="shared" si="6"/>
        <v>2272.44</v>
      </c>
      <c r="I8" s="20">
        <f t="shared" si="6"/>
        <v>3343.5440000000003</v>
      </c>
      <c r="J8" s="20">
        <f t="shared" si="6"/>
        <v>0</v>
      </c>
      <c r="K8" s="20">
        <f t="shared" si="6"/>
        <v>2340.7440000000001</v>
      </c>
      <c r="L8" s="20">
        <f t="shared" si="6"/>
        <v>313.44000000000005</v>
      </c>
      <c r="M8" s="20">
        <f t="shared" si="6"/>
        <v>0</v>
      </c>
      <c r="N8" s="20">
        <f t="shared" si="6"/>
        <v>1944.2720000000002</v>
      </c>
      <c r="O8" s="20">
        <f t="shared" si="6"/>
        <v>22.856000000000002</v>
      </c>
      <c r="P8" s="20">
        <f t="shared" si="6"/>
        <v>0</v>
      </c>
      <c r="Q8" s="20">
        <f>Q78</f>
        <v>0</v>
      </c>
      <c r="R8" s="20">
        <f>R78</f>
        <v>0</v>
      </c>
      <c r="S8" s="10">
        <f t="shared" si="1"/>
        <v>87283.551999999996</v>
      </c>
      <c r="T8" s="1093">
        <f t="shared" si="3"/>
        <v>15140.256000000001</v>
      </c>
      <c r="U8" s="1093">
        <f t="shared" si="3"/>
        <v>17263.135999999999</v>
      </c>
      <c r="V8" s="1093">
        <f t="shared" si="3"/>
        <v>1577.088</v>
      </c>
      <c r="W8" s="1093">
        <f t="shared" si="3"/>
        <v>1848.4160000000004</v>
      </c>
      <c r="X8" s="1093">
        <f t="shared" si="3"/>
        <v>41217.360000000001</v>
      </c>
      <c r="Y8" s="1093">
        <f t="shared" si="4"/>
        <v>10237.296000000002</v>
      </c>
    </row>
    <row r="9" spans="2:25">
      <c r="B9" s="2" t="s">
        <v>91</v>
      </c>
      <c r="C9" s="20">
        <f t="shared" ref="C9:P9" si="7">C79*0.8</f>
        <v>43961.96</v>
      </c>
      <c r="D9" s="20">
        <f t="shared" si="7"/>
        <v>20282.943999999996</v>
      </c>
      <c r="E9" s="20">
        <f t="shared" si="7"/>
        <v>4921.32</v>
      </c>
      <c r="F9" s="20">
        <f t="shared" si="7"/>
        <v>3087.3120000000013</v>
      </c>
      <c r="G9" s="20">
        <f t="shared" si="7"/>
        <v>153742.32</v>
      </c>
      <c r="H9" s="20">
        <f t="shared" si="7"/>
        <v>3918</v>
      </c>
      <c r="I9" s="20">
        <f t="shared" si="7"/>
        <v>5177.3279999999995</v>
      </c>
      <c r="J9" s="20">
        <f t="shared" si="7"/>
        <v>0</v>
      </c>
      <c r="K9" s="20">
        <f t="shared" si="7"/>
        <v>5839.28</v>
      </c>
      <c r="L9" s="20">
        <f t="shared" si="7"/>
        <v>156.72000000000003</v>
      </c>
      <c r="M9" s="20">
        <f t="shared" si="7"/>
        <v>0</v>
      </c>
      <c r="N9" s="20">
        <f t="shared" si="7"/>
        <v>0</v>
      </c>
      <c r="O9" s="20">
        <f t="shared" si="7"/>
        <v>137.136</v>
      </c>
      <c r="P9" s="20">
        <f t="shared" si="7"/>
        <v>0</v>
      </c>
      <c r="Q9" s="20">
        <f t="shared" ref="Q9:R28" si="8">Q79*0.8</f>
        <v>157.86400000000003</v>
      </c>
      <c r="R9" s="20">
        <f t="shared" si="8"/>
        <v>1578.5680000000002</v>
      </c>
      <c r="S9" s="10">
        <f t="shared" si="1"/>
        <v>242960.75200000001</v>
      </c>
      <c r="T9" s="1093">
        <f t="shared" si="3"/>
        <v>43961.96</v>
      </c>
      <c r="U9" s="1093">
        <f t="shared" si="3"/>
        <v>20282.943999999996</v>
      </c>
      <c r="V9" s="1093">
        <f t="shared" si="3"/>
        <v>4921.32</v>
      </c>
      <c r="W9" s="1093">
        <f t="shared" si="3"/>
        <v>3087.3120000000013</v>
      </c>
      <c r="X9" s="1093">
        <f t="shared" si="3"/>
        <v>153742.32</v>
      </c>
      <c r="Y9" s="1093">
        <f t="shared" si="4"/>
        <v>16964.896000000001</v>
      </c>
    </row>
    <row r="10" spans="2:25">
      <c r="B10" s="2" t="s">
        <v>92</v>
      </c>
      <c r="C10" s="20">
        <f t="shared" ref="C10:P10" si="9">C80*0.8</f>
        <v>20529.264000000003</v>
      </c>
      <c r="D10" s="20">
        <f t="shared" si="9"/>
        <v>11474.439999999997</v>
      </c>
      <c r="E10" s="20">
        <f t="shared" si="9"/>
        <v>2057.056</v>
      </c>
      <c r="F10" s="20">
        <f t="shared" si="9"/>
        <v>694.87199999999984</v>
      </c>
      <c r="G10" s="20">
        <f t="shared" si="9"/>
        <v>90035.640000000014</v>
      </c>
      <c r="H10" s="20">
        <f t="shared" si="9"/>
        <v>5485.2000000000007</v>
      </c>
      <c r="I10" s="20">
        <f t="shared" si="9"/>
        <v>2526.5360000000001</v>
      </c>
      <c r="J10" s="20">
        <f t="shared" si="9"/>
        <v>235.08000000000004</v>
      </c>
      <c r="K10" s="20">
        <f t="shared" si="9"/>
        <v>2672.6080000000002</v>
      </c>
      <c r="L10" s="20">
        <f t="shared" si="9"/>
        <v>78.360000000000014</v>
      </c>
      <c r="M10" s="20">
        <f t="shared" si="9"/>
        <v>0</v>
      </c>
      <c r="N10" s="20">
        <f t="shared" si="9"/>
        <v>0</v>
      </c>
      <c r="O10" s="20">
        <f t="shared" si="9"/>
        <v>45.712000000000003</v>
      </c>
      <c r="P10" s="20">
        <f t="shared" si="9"/>
        <v>0</v>
      </c>
      <c r="Q10" s="20">
        <f t="shared" si="8"/>
        <v>0</v>
      </c>
      <c r="R10" s="20">
        <f t="shared" si="8"/>
        <v>0</v>
      </c>
      <c r="S10" s="10">
        <f t="shared" si="1"/>
        <v>135834.76799999998</v>
      </c>
      <c r="T10" s="1093">
        <f t="shared" si="3"/>
        <v>20529.264000000003</v>
      </c>
      <c r="U10" s="1093">
        <f t="shared" si="3"/>
        <v>11474.439999999997</v>
      </c>
      <c r="V10" s="1093">
        <f t="shared" si="3"/>
        <v>2057.056</v>
      </c>
      <c r="W10" s="1093">
        <f t="shared" si="3"/>
        <v>694.87199999999984</v>
      </c>
      <c r="X10" s="1093">
        <f t="shared" si="3"/>
        <v>90035.640000000014</v>
      </c>
      <c r="Y10" s="1093">
        <f t="shared" si="4"/>
        <v>11043.496000000001</v>
      </c>
    </row>
    <row r="11" spans="2:25">
      <c r="B11" s="2" t="s">
        <v>93</v>
      </c>
      <c r="C11" s="20">
        <f t="shared" ref="C11:P11" si="10">C81*0.8</f>
        <v>33431.760000000002</v>
      </c>
      <c r="D11" s="20">
        <f t="shared" si="10"/>
        <v>23338.648000000012</v>
      </c>
      <c r="E11" s="20">
        <f t="shared" si="10"/>
        <v>4893.1440000000002</v>
      </c>
      <c r="F11" s="20">
        <f t="shared" si="10"/>
        <v>2356.2720000000004</v>
      </c>
      <c r="G11" s="20">
        <f t="shared" si="10"/>
        <v>106334.52</v>
      </c>
      <c r="H11" s="20">
        <f t="shared" si="10"/>
        <v>4936.68</v>
      </c>
      <c r="I11" s="20">
        <f t="shared" si="10"/>
        <v>5401.9840000000004</v>
      </c>
      <c r="J11" s="20">
        <f t="shared" si="10"/>
        <v>0</v>
      </c>
      <c r="K11" s="20">
        <f t="shared" si="10"/>
        <v>5254.2640000000001</v>
      </c>
      <c r="L11" s="20">
        <f t="shared" si="10"/>
        <v>156.72000000000003</v>
      </c>
      <c r="M11" s="20">
        <f t="shared" si="10"/>
        <v>0</v>
      </c>
      <c r="N11" s="20">
        <f t="shared" si="10"/>
        <v>0</v>
      </c>
      <c r="O11" s="20">
        <f t="shared" si="10"/>
        <v>68.567999999999998</v>
      </c>
      <c r="P11" s="20">
        <f t="shared" si="10"/>
        <v>0</v>
      </c>
      <c r="Q11" s="20">
        <f t="shared" si="8"/>
        <v>0</v>
      </c>
      <c r="R11" s="20">
        <f t="shared" si="8"/>
        <v>0</v>
      </c>
      <c r="S11" s="10">
        <f t="shared" si="1"/>
        <v>186172.56</v>
      </c>
      <c r="T11" s="1093">
        <f t="shared" si="3"/>
        <v>33431.760000000002</v>
      </c>
      <c r="U11" s="1093">
        <f t="shared" si="3"/>
        <v>23338.648000000012</v>
      </c>
      <c r="V11" s="1093">
        <f t="shared" si="3"/>
        <v>4893.1440000000002</v>
      </c>
      <c r="W11" s="1093">
        <f t="shared" si="3"/>
        <v>2356.2720000000004</v>
      </c>
      <c r="X11" s="1093">
        <f t="shared" si="3"/>
        <v>106334.52</v>
      </c>
      <c r="Y11" s="1093">
        <f t="shared" si="4"/>
        <v>15818.215999999999</v>
      </c>
    </row>
    <row r="12" spans="2:25">
      <c r="B12" s="2" t="s">
        <v>94</v>
      </c>
      <c r="C12" s="20">
        <f t="shared" ref="C12:P12" si="11">C82*0.8</f>
        <v>31194.768</v>
      </c>
      <c r="D12" s="20">
        <f t="shared" si="11"/>
        <v>8858.6159999999982</v>
      </c>
      <c r="E12" s="20">
        <f t="shared" si="11"/>
        <v>4201.9679999999998</v>
      </c>
      <c r="F12" s="20">
        <f t="shared" si="11"/>
        <v>1743.3119999999997</v>
      </c>
      <c r="G12" s="20">
        <f t="shared" si="11"/>
        <v>98185.080000000016</v>
      </c>
      <c r="H12" s="20">
        <f t="shared" si="11"/>
        <v>7052.4000000000005</v>
      </c>
      <c r="I12" s="20">
        <f t="shared" si="11"/>
        <v>3224.2559999999999</v>
      </c>
      <c r="J12" s="20">
        <f t="shared" si="11"/>
        <v>261.21600000000001</v>
      </c>
      <c r="K12" s="20">
        <f t="shared" si="11"/>
        <v>4362.1439999999993</v>
      </c>
      <c r="L12" s="20">
        <f t="shared" si="11"/>
        <v>548.52</v>
      </c>
      <c r="M12" s="20">
        <f t="shared" si="11"/>
        <v>0</v>
      </c>
      <c r="N12" s="20">
        <f t="shared" si="11"/>
        <v>0</v>
      </c>
      <c r="O12" s="20">
        <f t="shared" si="11"/>
        <v>68.567999999999998</v>
      </c>
      <c r="P12" s="20">
        <f t="shared" si="11"/>
        <v>0</v>
      </c>
      <c r="Q12" s="20">
        <f t="shared" si="8"/>
        <v>0</v>
      </c>
      <c r="R12" s="20">
        <f t="shared" si="8"/>
        <v>0</v>
      </c>
      <c r="S12" s="10">
        <f t="shared" si="1"/>
        <v>159700.84799999997</v>
      </c>
      <c r="T12" s="1093">
        <f t="shared" si="3"/>
        <v>31194.768</v>
      </c>
      <c r="U12" s="1093">
        <f t="shared" si="3"/>
        <v>8858.6159999999982</v>
      </c>
      <c r="V12" s="1093">
        <f t="shared" si="3"/>
        <v>4201.9679999999998</v>
      </c>
      <c r="W12" s="1093">
        <f t="shared" si="3"/>
        <v>1743.3119999999997</v>
      </c>
      <c r="X12" s="1093">
        <f t="shared" si="3"/>
        <v>98185.080000000016</v>
      </c>
      <c r="Y12" s="1093">
        <f t="shared" si="4"/>
        <v>15517.103999999999</v>
      </c>
    </row>
    <row r="13" spans="2:25">
      <c r="B13" s="2" t="s">
        <v>95</v>
      </c>
      <c r="C13" s="20">
        <f t="shared" ref="C13:P13" si="12">C83*0.8</f>
        <v>34910.064000000006</v>
      </c>
      <c r="D13" s="20">
        <f t="shared" si="12"/>
        <v>32841.159999999989</v>
      </c>
      <c r="E13" s="20">
        <f t="shared" si="12"/>
        <v>3931.2960000000003</v>
      </c>
      <c r="F13" s="20">
        <f t="shared" si="12"/>
        <v>826.95999999999992</v>
      </c>
      <c r="G13" s="20">
        <f t="shared" si="12"/>
        <v>207340.56000000003</v>
      </c>
      <c r="H13" s="20">
        <f t="shared" si="12"/>
        <v>3369.4800000000005</v>
      </c>
      <c r="I13" s="20">
        <f t="shared" si="12"/>
        <v>6990.927999999999</v>
      </c>
      <c r="J13" s="20">
        <f t="shared" si="12"/>
        <v>803.32</v>
      </c>
      <c r="K13" s="20">
        <f t="shared" si="12"/>
        <v>5737.16</v>
      </c>
      <c r="L13" s="20">
        <f t="shared" si="12"/>
        <v>235.08000000000004</v>
      </c>
      <c r="M13" s="20">
        <f t="shared" si="12"/>
        <v>0</v>
      </c>
      <c r="N13" s="20">
        <f t="shared" si="12"/>
        <v>0</v>
      </c>
      <c r="O13" s="20">
        <f t="shared" si="12"/>
        <v>45.712000000000003</v>
      </c>
      <c r="P13" s="20">
        <f t="shared" si="12"/>
        <v>0</v>
      </c>
      <c r="Q13" s="20">
        <f t="shared" si="8"/>
        <v>0</v>
      </c>
      <c r="R13" s="20">
        <f t="shared" si="8"/>
        <v>0</v>
      </c>
      <c r="S13" s="10">
        <f t="shared" si="1"/>
        <v>297031.72000000003</v>
      </c>
      <c r="T13" s="1093">
        <f t="shared" si="3"/>
        <v>34910.064000000006</v>
      </c>
      <c r="U13" s="1093">
        <f t="shared" si="3"/>
        <v>32841.159999999989</v>
      </c>
      <c r="V13" s="1093">
        <f t="shared" si="3"/>
        <v>3931.2960000000003</v>
      </c>
      <c r="W13" s="1093">
        <f t="shared" si="3"/>
        <v>826.95999999999992</v>
      </c>
      <c r="X13" s="1093">
        <f t="shared" si="3"/>
        <v>207340.56000000003</v>
      </c>
      <c r="Y13" s="1093">
        <f t="shared" si="4"/>
        <v>17181.68</v>
      </c>
    </row>
    <row r="14" spans="2:25">
      <c r="B14" s="2" t="s">
        <v>96</v>
      </c>
      <c r="C14" s="20">
        <f t="shared" ref="C14:P14" si="13">C84*0.8</f>
        <v>9415.7440000000006</v>
      </c>
      <c r="D14" s="20">
        <f t="shared" si="13"/>
        <v>8651.8160000000007</v>
      </c>
      <c r="E14" s="20">
        <f t="shared" si="13"/>
        <v>1679.9360000000001</v>
      </c>
      <c r="F14" s="20">
        <f t="shared" si="13"/>
        <v>820.4079999999999</v>
      </c>
      <c r="G14" s="20">
        <f t="shared" si="13"/>
        <v>35340.36</v>
      </c>
      <c r="H14" s="20">
        <f t="shared" si="13"/>
        <v>4388.16</v>
      </c>
      <c r="I14" s="20">
        <f t="shared" si="13"/>
        <v>2044.4240000000002</v>
      </c>
      <c r="J14" s="20">
        <f t="shared" si="13"/>
        <v>0</v>
      </c>
      <c r="K14" s="20">
        <f t="shared" si="13"/>
        <v>1470.192</v>
      </c>
      <c r="L14" s="20">
        <f t="shared" si="13"/>
        <v>313.44000000000005</v>
      </c>
      <c r="M14" s="20">
        <f t="shared" si="13"/>
        <v>0</v>
      </c>
      <c r="N14" s="20">
        <f t="shared" si="13"/>
        <v>0</v>
      </c>
      <c r="O14" s="20">
        <f t="shared" si="13"/>
        <v>0</v>
      </c>
      <c r="P14" s="20">
        <f t="shared" si="13"/>
        <v>0</v>
      </c>
      <c r="Q14" s="20">
        <f t="shared" si="8"/>
        <v>0</v>
      </c>
      <c r="R14" s="20">
        <f t="shared" si="8"/>
        <v>0</v>
      </c>
      <c r="S14" s="10">
        <f t="shared" si="1"/>
        <v>64124.480000000003</v>
      </c>
      <c r="T14" s="1093">
        <f t="shared" si="3"/>
        <v>9415.7440000000006</v>
      </c>
      <c r="U14" s="1093">
        <f t="shared" si="3"/>
        <v>8651.8160000000007</v>
      </c>
      <c r="V14" s="1093">
        <f t="shared" si="3"/>
        <v>1679.9360000000001</v>
      </c>
      <c r="W14" s="1093">
        <f t="shared" si="3"/>
        <v>820.4079999999999</v>
      </c>
      <c r="X14" s="1093">
        <f t="shared" si="3"/>
        <v>35340.36</v>
      </c>
      <c r="Y14" s="1093">
        <f t="shared" si="4"/>
        <v>8216.2160000000003</v>
      </c>
    </row>
    <row r="15" spans="2:25">
      <c r="B15" s="2" t="s">
        <v>97</v>
      </c>
      <c r="C15" s="20">
        <f t="shared" ref="C15:P15" si="14">C85*0.8</f>
        <v>22283.448000000004</v>
      </c>
      <c r="D15" s="20">
        <f t="shared" si="14"/>
        <v>22111.112000000005</v>
      </c>
      <c r="E15" s="20">
        <f t="shared" si="14"/>
        <v>2565.5840000000003</v>
      </c>
      <c r="F15" s="20">
        <f t="shared" si="14"/>
        <v>4103.9920000000011</v>
      </c>
      <c r="G15" s="20">
        <f t="shared" si="14"/>
        <v>181011.6</v>
      </c>
      <c r="H15" s="20">
        <f t="shared" si="14"/>
        <v>1959</v>
      </c>
      <c r="I15" s="20">
        <f t="shared" si="14"/>
        <v>4329.6720000000005</v>
      </c>
      <c r="J15" s="20">
        <f t="shared" si="14"/>
        <v>1757.5200000000002</v>
      </c>
      <c r="K15" s="20">
        <f t="shared" si="14"/>
        <v>3984.1840000000007</v>
      </c>
      <c r="L15" s="20">
        <f t="shared" si="14"/>
        <v>313.44000000000005</v>
      </c>
      <c r="M15" s="20">
        <f t="shared" si="14"/>
        <v>0</v>
      </c>
      <c r="N15" s="20">
        <f t="shared" si="14"/>
        <v>0</v>
      </c>
      <c r="O15" s="20">
        <f t="shared" si="14"/>
        <v>22.856000000000002</v>
      </c>
      <c r="P15" s="20">
        <f t="shared" si="14"/>
        <v>0</v>
      </c>
      <c r="Q15" s="20">
        <f t="shared" si="8"/>
        <v>0</v>
      </c>
      <c r="R15" s="20">
        <f t="shared" si="8"/>
        <v>0</v>
      </c>
      <c r="S15" s="10">
        <f t="shared" si="1"/>
        <v>244442.40800000002</v>
      </c>
      <c r="T15" s="1093">
        <f t="shared" si="3"/>
        <v>22283.448000000004</v>
      </c>
      <c r="U15" s="1093">
        <f t="shared" si="3"/>
        <v>22111.112000000005</v>
      </c>
      <c r="V15" s="1093">
        <f t="shared" si="3"/>
        <v>2565.5840000000003</v>
      </c>
      <c r="W15" s="1093">
        <f t="shared" si="3"/>
        <v>4103.9920000000011</v>
      </c>
      <c r="X15" s="1093">
        <f t="shared" si="3"/>
        <v>181011.6</v>
      </c>
      <c r="Y15" s="1093">
        <f t="shared" si="4"/>
        <v>12366.672000000002</v>
      </c>
    </row>
    <row r="16" spans="2:25">
      <c r="B16" s="2" t="s">
        <v>98</v>
      </c>
      <c r="C16" s="20">
        <f t="shared" ref="C16:P16" si="15">C86*0.8</f>
        <v>20971.504000000001</v>
      </c>
      <c r="D16" s="20">
        <f t="shared" si="15"/>
        <v>15961.464</v>
      </c>
      <c r="E16" s="20">
        <f t="shared" si="15"/>
        <v>2948.4639999999999</v>
      </c>
      <c r="F16" s="20">
        <f t="shared" si="15"/>
        <v>2421.288</v>
      </c>
      <c r="G16" s="20">
        <f t="shared" si="15"/>
        <v>115972.8</v>
      </c>
      <c r="H16" s="20">
        <f t="shared" si="15"/>
        <v>1645.56</v>
      </c>
      <c r="I16" s="20">
        <f t="shared" si="15"/>
        <v>4249.4160000000002</v>
      </c>
      <c r="J16" s="20">
        <f t="shared" si="15"/>
        <v>0</v>
      </c>
      <c r="K16" s="20">
        <f t="shared" si="15"/>
        <v>2820.2560000000003</v>
      </c>
      <c r="L16" s="20">
        <f t="shared" si="15"/>
        <v>313.44000000000005</v>
      </c>
      <c r="M16" s="20">
        <f t="shared" si="15"/>
        <v>0</v>
      </c>
      <c r="N16" s="20">
        <f t="shared" si="15"/>
        <v>0</v>
      </c>
      <c r="O16" s="20">
        <f t="shared" si="15"/>
        <v>22.856000000000002</v>
      </c>
      <c r="P16" s="20">
        <f t="shared" si="15"/>
        <v>0</v>
      </c>
      <c r="Q16" s="20">
        <f t="shared" si="8"/>
        <v>83.56</v>
      </c>
      <c r="R16" s="20">
        <f t="shared" si="8"/>
        <v>0</v>
      </c>
      <c r="S16" s="10">
        <f t="shared" si="1"/>
        <v>167410.60800000001</v>
      </c>
      <c r="T16" s="1093">
        <f t="shared" si="3"/>
        <v>20971.504000000001</v>
      </c>
      <c r="U16" s="1093">
        <f t="shared" si="3"/>
        <v>15961.464</v>
      </c>
      <c r="V16" s="1093">
        <f t="shared" si="3"/>
        <v>2948.4639999999999</v>
      </c>
      <c r="W16" s="1093">
        <f t="shared" si="3"/>
        <v>2421.288</v>
      </c>
      <c r="X16" s="1093">
        <f t="shared" si="3"/>
        <v>115972.8</v>
      </c>
      <c r="Y16" s="1093">
        <f t="shared" si="4"/>
        <v>9135.0879999999997</v>
      </c>
    </row>
    <row r="17" spans="2:25">
      <c r="B17" s="2" t="s">
        <v>99</v>
      </c>
      <c r="C17" s="20">
        <f t="shared" ref="C17:P17" si="16">C87*0.8</f>
        <v>113260.73600000002</v>
      </c>
      <c r="D17" s="20">
        <f t="shared" si="16"/>
        <v>97816.09600000002</v>
      </c>
      <c r="E17" s="20">
        <f t="shared" si="16"/>
        <v>14337.936</v>
      </c>
      <c r="F17" s="20">
        <f t="shared" si="16"/>
        <v>12662.056</v>
      </c>
      <c r="G17" s="20">
        <f t="shared" si="16"/>
        <v>355676.04000000004</v>
      </c>
      <c r="H17" s="20">
        <f t="shared" si="16"/>
        <v>10421.879999999999</v>
      </c>
      <c r="I17" s="20">
        <f t="shared" si="16"/>
        <v>24169.944000000003</v>
      </c>
      <c r="J17" s="20">
        <f t="shared" si="16"/>
        <v>235.08000000000004</v>
      </c>
      <c r="K17" s="20">
        <f t="shared" si="16"/>
        <v>14791.152000000002</v>
      </c>
      <c r="L17" s="20">
        <f t="shared" si="16"/>
        <v>1488.8400000000001</v>
      </c>
      <c r="M17" s="20">
        <f t="shared" si="16"/>
        <v>313.44000000000005</v>
      </c>
      <c r="N17" s="20">
        <f t="shared" si="16"/>
        <v>1957.6720000000003</v>
      </c>
      <c r="O17" s="20">
        <f t="shared" si="16"/>
        <v>2194.2080000000001</v>
      </c>
      <c r="P17" s="20">
        <f t="shared" si="16"/>
        <v>0</v>
      </c>
      <c r="Q17" s="20">
        <f t="shared" si="8"/>
        <v>0</v>
      </c>
      <c r="R17" s="20">
        <f t="shared" si="8"/>
        <v>0</v>
      </c>
      <c r="S17" s="10">
        <f t="shared" si="1"/>
        <v>649325.07999999996</v>
      </c>
      <c r="T17" s="1093">
        <f t="shared" si="3"/>
        <v>113260.73600000002</v>
      </c>
      <c r="U17" s="1093">
        <f t="shared" si="3"/>
        <v>97816.09600000002</v>
      </c>
      <c r="V17" s="1093">
        <f t="shared" si="3"/>
        <v>14337.936</v>
      </c>
      <c r="W17" s="1093">
        <f t="shared" si="3"/>
        <v>12662.056</v>
      </c>
      <c r="X17" s="1093">
        <f t="shared" si="3"/>
        <v>355676.04000000004</v>
      </c>
      <c r="Y17" s="1093">
        <f t="shared" si="4"/>
        <v>55572.216000000008</v>
      </c>
    </row>
    <row r="18" spans="2:25">
      <c r="B18" s="2" t="s">
        <v>100</v>
      </c>
      <c r="C18" s="20">
        <f t="shared" ref="C18:P18" si="17">C88*0.8</f>
        <v>17888.232</v>
      </c>
      <c r="D18" s="20">
        <f t="shared" si="17"/>
        <v>16974.952000000001</v>
      </c>
      <c r="E18" s="20">
        <f t="shared" si="17"/>
        <v>463.608</v>
      </c>
      <c r="F18" s="20">
        <f t="shared" si="17"/>
        <v>417.36800000000005</v>
      </c>
      <c r="G18" s="20">
        <f t="shared" si="17"/>
        <v>63393.240000000005</v>
      </c>
      <c r="H18" s="20">
        <f t="shared" si="17"/>
        <v>2194.08</v>
      </c>
      <c r="I18" s="20">
        <f t="shared" si="17"/>
        <v>4246.8640000000005</v>
      </c>
      <c r="J18" s="20">
        <f t="shared" si="17"/>
        <v>0</v>
      </c>
      <c r="K18" s="20">
        <f t="shared" si="17"/>
        <v>2230.8880000000004</v>
      </c>
      <c r="L18" s="20">
        <f t="shared" si="17"/>
        <v>313.44000000000005</v>
      </c>
      <c r="M18" s="20">
        <f t="shared" si="17"/>
        <v>0</v>
      </c>
      <c r="N18" s="20">
        <f t="shared" si="17"/>
        <v>0</v>
      </c>
      <c r="O18" s="20">
        <f t="shared" si="17"/>
        <v>45.712000000000003</v>
      </c>
      <c r="P18" s="20">
        <f t="shared" si="17"/>
        <v>0</v>
      </c>
      <c r="Q18" s="20">
        <f t="shared" si="8"/>
        <v>0</v>
      </c>
      <c r="R18" s="20">
        <f t="shared" si="8"/>
        <v>0</v>
      </c>
      <c r="S18" s="10">
        <f t="shared" si="1"/>
        <v>108168.38400000002</v>
      </c>
      <c r="T18" s="1093">
        <f t="shared" si="3"/>
        <v>17888.232</v>
      </c>
      <c r="U18" s="1093">
        <f t="shared" si="3"/>
        <v>16974.952000000001</v>
      </c>
      <c r="V18" s="1093">
        <f t="shared" si="3"/>
        <v>463.608</v>
      </c>
      <c r="W18" s="1093">
        <f t="shared" si="3"/>
        <v>417.36800000000005</v>
      </c>
      <c r="X18" s="1093">
        <f t="shared" si="3"/>
        <v>63393.240000000005</v>
      </c>
      <c r="Y18" s="1093">
        <f t="shared" si="4"/>
        <v>9030.9840000000004</v>
      </c>
    </row>
    <row r="19" spans="2:25">
      <c r="B19" s="2" t="s">
        <v>101</v>
      </c>
      <c r="C19" s="20">
        <f t="shared" ref="C19:P19" si="18">C89*0.8</f>
        <v>21644.792000000001</v>
      </c>
      <c r="D19" s="20">
        <f t="shared" si="18"/>
        <v>22429.376</v>
      </c>
      <c r="E19" s="20">
        <f t="shared" si="18"/>
        <v>3847.4560000000001</v>
      </c>
      <c r="F19" s="20">
        <f t="shared" si="18"/>
        <v>1333.6480000000004</v>
      </c>
      <c r="G19" s="20">
        <f t="shared" si="18"/>
        <v>76165.919999999998</v>
      </c>
      <c r="H19" s="20">
        <f t="shared" si="18"/>
        <v>3447.84</v>
      </c>
      <c r="I19" s="20">
        <f t="shared" si="18"/>
        <v>4539.9920000000002</v>
      </c>
      <c r="J19" s="20">
        <f t="shared" si="18"/>
        <v>0</v>
      </c>
      <c r="K19" s="20">
        <f t="shared" si="18"/>
        <v>3671.5119999999997</v>
      </c>
      <c r="L19" s="20">
        <f t="shared" si="18"/>
        <v>548.52</v>
      </c>
      <c r="M19" s="20">
        <f t="shared" si="18"/>
        <v>0</v>
      </c>
      <c r="N19" s="20">
        <f t="shared" si="18"/>
        <v>0</v>
      </c>
      <c r="O19" s="20">
        <f t="shared" si="18"/>
        <v>45.712000000000003</v>
      </c>
      <c r="P19" s="20">
        <f t="shared" si="18"/>
        <v>0</v>
      </c>
      <c r="Q19" s="20">
        <f t="shared" si="8"/>
        <v>0</v>
      </c>
      <c r="R19" s="20">
        <f t="shared" si="8"/>
        <v>0</v>
      </c>
      <c r="S19" s="10">
        <f t="shared" si="1"/>
        <v>137674.76799999998</v>
      </c>
      <c r="T19" s="1093">
        <f t="shared" si="3"/>
        <v>21644.792000000001</v>
      </c>
      <c r="U19" s="1093">
        <f t="shared" si="3"/>
        <v>22429.376</v>
      </c>
      <c r="V19" s="1093">
        <f t="shared" si="3"/>
        <v>3847.4560000000001</v>
      </c>
      <c r="W19" s="1093">
        <f t="shared" si="3"/>
        <v>1333.6480000000004</v>
      </c>
      <c r="X19" s="1093">
        <f t="shared" si="3"/>
        <v>76165.919999999998</v>
      </c>
      <c r="Y19" s="1093">
        <f t="shared" si="4"/>
        <v>12253.576000000001</v>
      </c>
    </row>
    <row r="20" spans="2:25">
      <c r="B20" s="2" t="s">
        <v>102</v>
      </c>
      <c r="C20" s="20">
        <f t="shared" ref="C20:P20" si="19">C90*0.8</f>
        <v>94481.104000000007</v>
      </c>
      <c r="D20" s="20">
        <f t="shared" si="19"/>
        <v>52872.58400000001</v>
      </c>
      <c r="E20" s="20">
        <f t="shared" si="19"/>
        <v>13659.264000000003</v>
      </c>
      <c r="F20" s="20">
        <f t="shared" si="19"/>
        <v>9324.5919999999987</v>
      </c>
      <c r="G20" s="20">
        <f t="shared" si="19"/>
        <v>482854.32000000007</v>
      </c>
      <c r="H20" s="20">
        <f t="shared" si="19"/>
        <v>10735.32</v>
      </c>
      <c r="I20" s="20">
        <f t="shared" si="19"/>
        <v>12610.104000000001</v>
      </c>
      <c r="J20" s="20">
        <f t="shared" si="19"/>
        <v>0</v>
      </c>
      <c r="K20" s="20">
        <f t="shared" si="19"/>
        <v>12392.720000000001</v>
      </c>
      <c r="L20" s="20">
        <f t="shared" si="19"/>
        <v>2664.2400000000002</v>
      </c>
      <c r="M20" s="20">
        <f t="shared" si="19"/>
        <v>0</v>
      </c>
      <c r="N20" s="20">
        <f t="shared" si="19"/>
        <v>0</v>
      </c>
      <c r="O20" s="20">
        <f t="shared" si="19"/>
        <v>91.424000000000007</v>
      </c>
      <c r="P20" s="20">
        <f t="shared" si="19"/>
        <v>0</v>
      </c>
      <c r="Q20" s="20">
        <f t="shared" si="8"/>
        <v>0</v>
      </c>
      <c r="R20" s="20">
        <f t="shared" si="8"/>
        <v>0</v>
      </c>
      <c r="S20" s="10">
        <f t="shared" si="1"/>
        <v>691685.67200000002</v>
      </c>
      <c r="T20" s="1093">
        <f t="shared" si="3"/>
        <v>94481.104000000007</v>
      </c>
      <c r="U20" s="1093">
        <f t="shared" si="3"/>
        <v>52872.58400000001</v>
      </c>
      <c r="V20" s="1093">
        <f t="shared" si="3"/>
        <v>13659.264000000003</v>
      </c>
      <c r="W20" s="1093">
        <f t="shared" si="3"/>
        <v>9324.5919999999987</v>
      </c>
      <c r="X20" s="1093">
        <f t="shared" si="3"/>
        <v>482854.32000000007</v>
      </c>
      <c r="Y20" s="1093">
        <f t="shared" si="4"/>
        <v>38493.807999999997</v>
      </c>
    </row>
    <row r="21" spans="2:25">
      <c r="B21" s="2" t="s">
        <v>103</v>
      </c>
      <c r="C21" s="20">
        <f t="shared" ref="C21:P21" si="20">C91*0.8</f>
        <v>41523.808000000005</v>
      </c>
      <c r="D21" s="20">
        <f t="shared" si="20"/>
        <v>15237.856</v>
      </c>
      <c r="E21" s="20">
        <f t="shared" si="20"/>
        <v>3954.1360000000004</v>
      </c>
      <c r="F21" s="20">
        <f t="shared" si="20"/>
        <v>2184.3840000000005</v>
      </c>
      <c r="G21" s="20">
        <f t="shared" si="20"/>
        <v>125532.72</v>
      </c>
      <c r="H21" s="20">
        <f t="shared" si="20"/>
        <v>5877</v>
      </c>
      <c r="I21" s="20">
        <f t="shared" si="20"/>
        <v>3789.8719999999994</v>
      </c>
      <c r="J21" s="20">
        <f t="shared" si="20"/>
        <v>0</v>
      </c>
      <c r="K21" s="20">
        <f t="shared" si="20"/>
        <v>4867.232</v>
      </c>
      <c r="L21" s="20">
        <f t="shared" si="20"/>
        <v>1253.7600000000002</v>
      </c>
      <c r="M21" s="20">
        <f t="shared" si="20"/>
        <v>0</v>
      </c>
      <c r="N21" s="20">
        <f t="shared" si="20"/>
        <v>0</v>
      </c>
      <c r="O21" s="20">
        <f t="shared" si="20"/>
        <v>91.424000000000007</v>
      </c>
      <c r="P21" s="20">
        <f t="shared" si="20"/>
        <v>0</v>
      </c>
      <c r="Q21" s="20">
        <f t="shared" si="8"/>
        <v>0</v>
      </c>
      <c r="R21" s="20">
        <f t="shared" si="8"/>
        <v>0</v>
      </c>
      <c r="S21" s="10">
        <f t="shared" si="1"/>
        <v>204312.19200000001</v>
      </c>
      <c r="T21" s="1093">
        <f t="shared" si="3"/>
        <v>41523.808000000005</v>
      </c>
      <c r="U21" s="1093">
        <f t="shared" si="3"/>
        <v>15237.856</v>
      </c>
      <c r="V21" s="1093">
        <f t="shared" si="3"/>
        <v>3954.1360000000004</v>
      </c>
      <c r="W21" s="1093">
        <f t="shared" si="3"/>
        <v>2184.3840000000005</v>
      </c>
      <c r="X21" s="1093">
        <f t="shared" si="3"/>
        <v>125532.72</v>
      </c>
      <c r="Y21" s="1093">
        <f t="shared" si="4"/>
        <v>15879.288</v>
      </c>
    </row>
    <row r="22" spans="2:25">
      <c r="B22" s="2" t="s">
        <v>104</v>
      </c>
      <c r="C22" s="20">
        <f t="shared" ref="C22:P22" si="21">C92*0.8</f>
        <v>14427.848000000002</v>
      </c>
      <c r="D22" s="20">
        <f t="shared" si="21"/>
        <v>13957.855999999998</v>
      </c>
      <c r="E22" s="20">
        <f t="shared" si="21"/>
        <v>2059.712</v>
      </c>
      <c r="F22" s="20">
        <f t="shared" si="21"/>
        <v>2099.7920000000004</v>
      </c>
      <c r="G22" s="20">
        <f t="shared" si="21"/>
        <v>34556.76</v>
      </c>
      <c r="H22" s="20">
        <f t="shared" si="21"/>
        <v>2037.36</v>
      </c>
      <c r="I22" s="20">
        <f t="shared" si="21"/>
        <v>2237.0640000000003</v>
      </c>
      <c r="J22" s="20">
        <f t="shared" si="21"/>
        <v>914.25599999999997</v>
      </c>
      <c r="K22" s="20">
        <f t="shared" si="21"/>
        <v>3133.2080000000001</v>
      </c>
      <c r="L22" s="20">
        <f t="shared" si="21"/>
        <v>0</v>
      </c>
      <c r="M22" s="20">
        <f t="shared" si="21"/>
        <v>156.72000000000003</v>
      </c>
      <c r="N22" s="20">
        <f t="shared" si="21"/>
        <v>0</v>
      </c>
      <c r="O22" s="20">
        <f t="shared" si="21"/>
        <v>0</v>
      </c>
      <c r="P22" s="20">
        <f t="shared" si="21"/>
        <v>0</v>
      </c>
      <c r="Q22" s="20">
        <f t="shared" si="8"/>
        <v>0</v>
      </c>
      <c r="R22" s="20">
        <f t="shared" si="8"/>
        <v>0</v>
      </c>
      <c r="S22" s="10">
        <f t="shared" si="1"/>
        <v>75580.575999999986</v>
      </c>
      <c r="T22" s="1093">
        <f t="shared" si="3"/>
        <v>14427.848000000002</v>
      </c>
      <c r="U22" s="1093">
        <f t="shared" si="3"/>
        <v>13957.855999999998</v>
      </c>
      <c r="V22" s="1093">
        <f t="shared" si="3"/>
        <v>2059.712</v>
      </c>
      <c r="W22" s="1093">
        <f t="shared" si="3"/>
        <v>2099.7920000000004</v>
      </c>
      <c r="X22" s="1093">
        <f t="shared" si="3"/>
        <v>34556.76</v>
      </c>
      <c r="Y22" s="1093">
        <f t="shared" si="4"/>
        <v>8478.6080000000002</v>
      </c>
    </row>
    <row r="23" spans="2:25">
      <c r="B23" s="2" t="s">
        <v>105</v>
      </c>
      <c r="C23" s="20">
        <f t="shared" ref="C23:P23" si="22">C93*0.8</f>
        <v>122128.76000000001</v>
      </c>
      <c r="D23" s="20">
        <f t="shared" si="22"/>
        <v>60651.4</v>
      </c>
      <c r="E23" s="20">
        <f t="shared" si="22"/>
        <v>15631</v>
      </c>
      <c r="F23" s="20">
        <f t="shared" si="22"/>
        <v>9964.4239999999991</v>
      </c>
      <c r="G23" s="20">
        <f t="shared" si="22"/>
        <v>368056.92000000004</v>
      </c>
      <c r="H23" s="20">
        <f t="shared" si="22"/>
        <v>10186.800000000001</v>
      </c>
      <c r="I23" s="20">
        <f t="shared" si="22"/>
        <v>20892.792000000001</v>
      </c>
      <c r="J23" s="20">
        <f t="shared" si="22"/>
        <v>0</v>
      </c>
      <c r="K23" s="20">
        <f t="shared" si="22"/>
        <v>14179.888000000001</v>
      </c>
      <c r="L23" s="20">
        <f t="shared" si="22"/>
        <v>1880.6400000000003</v>
      </c>
      <c r="M23" s="20">
        <f t="shared" si="22"/>
        <v>0</v>
      </c>
      <c r="N23" s="20">
        <f t="shared" si="22"/>
        <v>0</v>
      </c>
      <c r="O23" s="20">
        <f t="shared" si="22"/>
        <v>342.84000000000003</v>
      </c>
      <c r="P23" s="20">
        <f t="shared" si="22"/>
        <v>0</v>
      </c>
      <c r="Q23" s="20">
        <f t="shared" si="8"/>
        <v>0</v>
      </c>
      <c r="R23" s="20">
        <f t="shared" si="8"/>
        <v>0</v>
      </c>
      <c r="S23" s="10">
        <f t="shared" si="1"/>
        <v>623915.46400000015</v>
      </c>
      <c r="T23" s="1093">
        <f t="shared" si="3"/>
        <v>122128.76000000001</v>
      </c>
      <c r="U23" s="1093">
        <f t="shared" si="3"/>
        <v>60651.4</v>
      </c>
      <c r="V23" s="1093">
        <f t="shared" si="3"/>
        <v>15631</v>
      </c>
      <c r="W23" s="1093">
        <f t="shared" si="3"/>
        <v>9964.4239999999991</v>
      </c>
      <c r="X23" s="1093">
        <f t="shared" si="3"/>
        <v>368056.92000000004</v>
      </c>
      <c r="Y23" s="1093">
        <f t="shared" si="4"/>
        <v>47482.96</v>
      </c>
    </row>
    <row r="24" spans="2:25">
      <c r="B24" s="2" t="s">
        <v>106</v>
      </c>
      <c r="C24" s="20">
        <f t="shared" ref="C24:P24" si="23">C94*0.8</f>
        <v>19058.832000000002</v>
      </c>
      <c r="D24" s="20">
        <f t="shared" si="23"/>
        <v>17731.344000000001</v>
      </c>
      <c r="E24" s="20">
        <f t="shared" si="23"/>
        <v>1249.4560000000001</v>
      </c>
      <c r="F24" s="20">
        <f t="shared" si="23"/>
        <v>126.25600000000014</v>
      </c>
      <c r="G24" s="20">
        <f t="shared" si="23"/>
        <v>63706.680000000008</v>
      </c>
      <c r="H24" s="20">
        <f t="shared" si="23"/>
        <v>2194.08</v>
      </c>
      <c r="I24" s="20">
        <f t="shared" si="23"/>
        <v>4960.4320000000007</v>
      </c>
      <c r="J24" s="20">
        <f t="shared" si="23"/>
        <v>2513.0640000000003</v>
      </c>
      <c r="K24" s="20">
        <f t="shared" si="23"/>
        <v>2405.88</v>
      </c>
      <c r="L24" s="20">
        <f t="shared" si="23"/>
        <v>156.72000000000003</v>
      </c>
      <c r="M24" s="20">
        <f t="shared" si="23"/>
        <v>0</v>
      </c>
      <c r="N24" s="20">
        <f t="shared" si="23"/>
        <v>0</v>
      </c>
      <c r="O24" s="20">
        <f t="shared" si="23"/>
        <v>45.712000000000003</v>
      </c>
      <c r="P24" s="20">
        <f t="shared" si="23"/>
        <v>0</v>
      </c>
      <c r="Q24" s="20">
        <f t="shared" si="8"/>
        <v>0</v>
      </c>
      <c r="R24" s="20">
        <f t="shared" si="8"/>
        <v>0</v>
      </c>
      <c r="S24" s="10">
        <f t="shared" si="1"/>
        <v>114148.45600000002</v>
      </c>
      <c r="T24" s="1093">
        <f t="shared" si="3"/>
        <v>19058.832000000002</v>
      </c>
      <c r="U24" s="1093">
        <f t="shared" si="3"/>
        <v>17731.344000000001</v>
      </c>
      <c r="V24" s="1093">
        <f t="shared" si="3"/>
        <v>1249.4560000000001</v>
      </c>
      <c r="W24" s="1093">
        <f t="shared" si="3"/>
        <v>126.25600000000014</v>
      </c>
      <c r="X24" s="1093">
        <f t="shared" si="3"/>
        <v>63706.680000000008</v>
      </c>
      <c r="Y24" s="1093">
        <f t="shared" si="4"/>
        <v>12275.888000000001</v>
      </c>
    </row>
    <row r="25" spans="2:25">
      <c r="B25" s="2" t="s">
        <v>107</v>
      </c>
      <c r="C25" s="20">
        <f t="shared" ref="C25:P25" si="24">C95*0.8</f>
        <v>178814.13600000003</v>
      </c>
      <c r="D25" s="20">
        <f t="shared" si="24"/>
        <v>97773.655999999988</v>
      </c>
      <c r="E25" s="20">
        <f t="shared" si="24"/>
        <v>18873.144</v>
      </c>
      <c r="F25" s="20">
        <f t="shared" si="24"/>
        <v>10486.552000000003</v>
      </c>
      <c r="G25" s="20">
        <f t="shared" si="24"/>
        <v>630562.92000000004</v>
      </c>
      <c r="H25" s="20">
        <f t="shared" si="24"/>
        <v>5641.92</v>
      </c>
      <c r="I25" s="20">
        <f t="shared" si="24"/>
        <v>22301.832000000002</v>
      </c>
      <c r="J25" s="20">
        <f t="shared" si="24"/>
        <v>0</v>
      </c>
      <c r="K25" s="20">
        <f t="shared" si="24"/>
        <v>23194.584000000003</v>
      </c>
      <c r="L25" s="20">
        <f t="shared" si="24"/>
        <v>1410.48</v>
      </c>
      <c r="M25" s="20">
        <f t="shared" si="24"/>
        <v>0</v>
      </c>
      <c r="N25" s="20">
        <f t="shared" si="24"/>
        <v>0</v>
      </c>
      <c r="O25" s="20">
        <f t="shared" si="24"/>
        <v>228.56</v>
      </c>
      <c r="P25" s="20">
        <f t="shared" si="24"/>
        <v>0</v>
      </c>
      <c r="Q25" s="20">
        <f t="shared" si="8"/>
        <v>0</v>
      </c>
      <c r="R25" s="20">
        <f t="shared" si="8"/>
        <v>0</v>
      </c>
      <c r="S25" s="10">
        <f t="shared" si="1"/>
        <v>989287.78400000022</v>
      </c>
      <c r="T25" s="1093">
        <f t="shared" si="3"/>
        <v>178814.13600000003</v>
      </c>
      <c r="U25" s="1093">
        <f t="shared" si="3"/>
        <v>97773.655999999988</v>
      </c>
      <c r="V25" s="1093">
        <f t="shared" si="3"/>
        <v>18873.144</v>
      </c>
      <c r="W25" s="1093">
        <f t="shared" si="3"/>
        <v>10486.552000000003</v>
      </c>
      <c r="X25" s="1093">
        <f t="shared" si="3"/>
        <v>630562.92000000004</v>
      </c>
      <c r="Y25" s="1093">
        <f t="shared" si="4"/>
        <v>52777.376000000004</v>
      </c>
    </row>
    <row r="26" spans="2:25">
      <c r="B26" s="2" t="s">
        <v>108</v>
      </c>
      <c r="C26" s="20">
        <f t="shared" ref="C26:P26" si="25">C96*0.8</f>
        <v>9373.4639999999999</v>
      </c>
      <c r="D26" s="20">
        <f t="shared" si="25"/>
        <v>4790.5440000000017</v>
      </c>
      <c r="E26" s="20">
        <f t="shared" si="25"/>
        <v>868.5440000000001</v>
      </c>
      <c r="F26" s="20">
        <f t="shared" si="25"/>
        <v>758.48799999999994</v>
      </c>
      <c r="G26" s="20">
        <f t="shared" si="25"/>
        <v>58064.76</v>
      </c>
      <c r="H26" s="20">
        <f t="shared" si="25"/>
        <v>1645.56</v>
      </c>
      <c r="I26" s="20">
        <f t="shared" si="25"/>
        <v>921.66400000000033</v>
      </c>
      <c r="J26" s="20">
        <f t="shared" si="25"/>
        <v>0</v>
      </c>
      <c r="K26" s="20">
        <f t="shared" si="25"/>
        <v>1326.5039999999999</v>
      </c>
      <c r="L26" s="20">
        <f t="shared" si="25"/>
        <v>78.360000000000014</v>
      </c>
      <c r="M26" s="20">
        <f t="shared" si="25"/>
        <v>0</v>
      </c>
      <c r="N26" s="20">
        <f t="shared" si="25"/>
        <v>0</v>
      </c>
      <c r="O26" s="20">
        <f t="shared" si="25"/>
        <v>0</v>
      </c>
      <c r="P26" s="20">
        <f t="shared" si="25"/>
        <v>0</v>
      </c>
      <c r="Q26" s="20">
        <f t="shared" si="8"/>
        <v>214.416</v>
      </c>
      <c r="R26" s="20">
        <f t="shared" si="8"/>
        <v>216.63200000000003</v>
      </c>
      <c r="S26" s="10">
        <f t="shared" si="1"/>
        <v>78258.936000000002</v>
      </c>
      <c r="T26" s="1093">
        <f t="shared" si="3"/>
        <v>9373.4639999999999</v>
      </c>
      <c r="U26" s="1093">
        <f t="shared" si="3"/>
        <v>4790.5440000000017</v>
      </c>
      <c r="V26" s="1093">
        <f t="shared" si="3"/>
        <v>868.5440000000001</v>
      </c>
      <c r="W26" s="1093">
        <f t="shared" si="3"/>
        <v>758.48799999999994</v>
      </c>
      <c r="X26" s="1093">
        <f t="shared" si="3"/>
        <v>58064.76</v>
      </c>
      <c r="Y26" s="1093">
        <f t="shared" si="4"/>
        <v>4403.1359999999995</v>
      </c>
    </row>
    <row r="27" spans="2:25">
      <c r="B27" s="2" t="s">
        <v>109</v>
      </c>
      <c r="C27" s="20">
        <f t="shared" ref="C27:P27" si="26">C97*0.8</f>
        <v>1173.3040000000001</v>
      </c>
      <c r="D27" s="20">
        <f t="shared" si="26"/>
        <v>489.95999999999987</v>
      </c>
      <c r="E27" s="20">
        <f t="shared" si="26"/>
        <v>219.42399999999998</v>
      </c>
      <c r="F27" s="20">
        <f t="shared" si="26"/>
        <v>0</v>
      </c>
      <c r="G27" s="20">
        <f t="shared" si="26"/>
        <v>11283.84</v>
      </c>
      <c r="H27" s="20">
        <f t="shared" si="26"/>
        <v>783.6</v>
      </c>
      <c r="I27" s="20">
        <f t="shared" si="26"/>
        <v>98.26400000000001</v>
      </c>
      <c r="J27" s="20">
        <f t="shared" si="26"/>
        <v>0</v>
      </c>
      <c r="K27" s="20">
        <f t="shared" si="26"/>
        <v>84.816000000000017</v>
      </c>
      <c r="L27" s="20">
        <f t="shared" si="26"/>
        <v>78.360000000000014</v>
      </c>
      <c r="M27" s="20">
        <f t="shared" si="26"/>
        <v>0</v>
      </c>
      <c r="N27" s="20">
        <f t="shared" si="26"/>
        <v>0</v>
      </c>
      <c r="O27" s="20">
        <f t="shared" si="26"/>
        <v>0</v>
      </c>
      <c r="P27" s="20">
        <f t="shared" si="26"/>
        <v>0</v>
      </c>
      <c r="Q27" s="20">
        <f t="shared" si="8"/>
        <v>0</v>
      </c>
      <c r="R27" s="20">
        <f t="shared" si="8"/>
        <v>0</v>
      </c>
      <c r="S27" s="10">
        <f t="shared" si="1"/>
        <v>14211.568000000001</v>
      </c>
      <c r="T27" s="1093">
        <f t="shared" si="3"/>
        <v>1173.3040000000001</v>
      </c>
      <c r="U27" s="1093">
        <f t="shared" si="3"/>
        <v>489.95999999999987</v>
      </c>
      <c r="V27" s="1093">
        <f t="shared" si="3"/>
        <v>219.42399999999998</v>
      </c>
      <c r="W27" s="1093">
        <f t="shared" si="3"/>
        <v>0</v>
      </c>
      <c r="X27" s="1093">
        <f t="shared" si="3"/>
        <v>11283.84</v>
      </c>
      <c r="Y27" s="1093">
        <f t="shared" si="4"/>
        <v>1045.04</v>
      </c>
    </row>
    <row r="28" spans="2:25">
      <c r="B28" s="2" t="s">
        <v>110</v>
      </c>
      <c r="C28" s="20">
        <f t="shared" ref="C28:P28" si="27">C98*0.8</f>
        <v>65009.616000000009</v>
      </c>
      <c r="D28" s="20">
        <f t="shared" si="27"/>
        <v>41731.792000000009</v>
      </c>
      <c r="E28" s="20">
        <f t="shared" si="27"/>
        <v>8882.6880000000001</v>
      </c>
      <c r="F28" s="20">
        <f t="shared" si="27"/>
        <v>6651.8480000000018</v>
      </c>
      <c r="G28" s="20">
        <f t="shared" si="27"/>
        <v>396423.24</v>
      </c>
      <c r="H28" s="20">
        <f t="shared" si="27"/>
        <v>5015.0400000000009</v>
      </c>
      <c r="I28" s="20">
        <f t="shared" si="27"/>
        <v>12452.944000000001</v>
      </c>
      <c r="J28" s="20">
        <f t="shared" si="27"/>
        <v>0</v>
      </c>
      <c r="K28" s="20">
        <f t="shared" si="27"/>
        <v>9216.2799999999988</v>
      </c>
      <c r="L28" s="20">
        <f t="shared" si="27"/>
        <v>705.24</v>
      </c>
      <c r="M28" s="20">
        <f t="shared" si="27"/>
        <v>313.44000000000005</v>
      </c>
      <c r="N28" s="20">
        <f t="shared" si="27"/>
        <v>0</v>
      </c>
      <c r="O28" s="20">
        <f t="shared" si="27"/>
        <v>68.567999999999998</v>
      </c>
      <c r="P28" s="20">
        <f t="shared" si="27"/>
        <v>0</v>
      </c>
      <c r="Q28" s="20">
        <f t="shared" si="8"/>
        <v>0</v>
      </c>
      <c r="R28" s="20">
        <f t="shared" si="8"/>
        <v>0</v>
      </c>
      <c r="S28" s="10">
        <f t="shared" si="1"/>
        <v>546470.69599999988</v>
      </c>
      <c r="T28" s="1093">
        <f t="shared" si="3"/>
        <v>65009.616000000009</v>
      </c>
      <c r="U28" s="1093">
        <f t="shared" si="3"/>
        <v>41731.792000000009</v>
      </c>
      <c r="V28" s="1093">
        <f t="shared" si="3"/>
        <v>8882.6880000000001</v>
      </c>
      <c r="W28" s="1093">
        <f t="shared" si="3"/>
        <v>6651.8480000000018</v>
      </c>
      <c r="X28" s="1093">
        <f t="shared" si="3"/>
        <v>396423.24</v>
      </c>
      <c r="Y28" s="1093">
        <f t="shared" si="4"/>
        <v>27771.512000000002</v>
      </c>
    </row>
    <row r="29" spans="2:25">
      <c r="B29" s="2" t="s">
        <v>111</v>
      </c>
      <c r="C29" s="20">
        <f t="shared" ref="C29:P29" si="28">C99*0.8</f>
        <v>395220.50400000002</v>
      </c>
      <c r="D29" s="20">
        <f t="shared" si="28"/>
        <v>314550.08799999993</v>
      </c>
      <c r="E29" s="20">
        <f t="shared" si="28"/>
        <v>43030.776000000005</v>
      </c>
      <c r="F29" s="20">
        <f t="shared" si="28"/>
        <v>52976.695999999996</v>
      </c>
      <c r="G29" s="20">
        <f t="shared" si="28"/>
        <v>2086570.08</v>
      </c>
      <c r="H29" s="20">
        <f t="shared" si="28"/>
        <v>27896.16</v>
      </c>
      <c r="I29" s="20">
        <f t="shared" si="28"/>
        <v>105989.63999999997</v>
      </c>
      <c r="J29" s="20">
        <f t="shared" si="28"/>
        <v>0</v>
      </c>
      <c r="K29" s="20">
        <f t="shared" si="28"/>
        <v>52458.407999999996</v>
      </c>
      <c r="L29" s="20">
        <f t="shared" si="28"/>
        <v>4701.6000000000004</v>
      </c>
      <c r="M29" s="20">
        <f t="shared" si="28"/>
        <v>470.16000000000008</v>
      </c>
      <c r="N29" s="20">
        <f t="shared" si="28"/>
        <v>0</v>
      </c>
      <c r="O29" s="20">
        <f t="shared" si="28"/>
        <v>2399.904</v>
      </c>
      <c r="P29" s="20">
        <f t="shared" si="28"/>
        <v>0</v>
      </c>
      <c r="Q29" s="20">
        <f>Q99</f>
        <v>558</v>
      </c>
      <c r="R29" s="20">
        <f>R99</f>
        <v>8676.91</v>
      </c>
      <c r="S29" s="10">
        <f t="shared" si="1"/>
        <v>3095498.9260000004</v>
      </c>
      <c r="T29" s="1093">
        <f t="shared" si="3"/>
        <v>395220.50400000002</v>
      </c>
      <c r="U29" s="1093">
        <f t="shared" si="3"/>
        <v>314550.08799999993</v>
      </c>
      <c r="V29" s="1093">
        <f t="shared" si="3"/>
        <v>43030.776000000005</v>
      </c>
      <c r="W29" s="1093">
        <f t="shared" si="3"/>
        <v>52976.695999999996</v>
      </c>
      <c r="X29" s="1093">
        <f t="shared" si="3"/>
        <v>2086570.08</v>
      </c>
      <c r="Y29" s="1093">
        <f t="shared" si="4"/>
        <v>203150.78199999998</v>
      </c>
    </row>
    <row r="30" spans="2:25">
      <c r="B30" s="2" t="s">
        <v>112</v>
      </c>
      <c r="C30" s="20">
        <f t="shared" ref="C30:P30" si="29">C100*0.8</f>
        <v>9627.0240000000013</v>
      </c>
      <c r="D30" s="20">
        <f t="shared" si="29"/>
        <v>11711.776</v>
      </c>
      <c r="E30" s="20">
        <f t="shared" si="29"/>
        <v>1112.3520000000001</v>
      </c>
      <c r="F30" s="20">
        <f t="shared" si="29"/>
        <v>487.37599999999986</v>
      </c>
      <c r="G30" s="20">
        <f t="shared" si="29"/>
        <v>47407.8</v>
      </c>
      <c r="H30" s="20">
        <f t="shared" si="29"/>
        <v>1332.1200000000001</v>
      </c>
      <c r="I30" s="20">
        <f t="shared" si="29"/>
        <v>2361.7600000000002</v>
      </c>
      <c r="J30" s="20">
        <f t="shared" si="29"/>
        <v>0</v>
      </c>
      <c r="K30" s="20">
        <f t="shared" si="29"/>
        <v>1484.8720000000003</v>
      </c>
      <c r="L30" s="20">
        <f t="shared" si="29"/>
        <v>156.72000000000003</v>
      </c>
      <c r="M30" s="20">
        <f t="shared" si="29"/>
        <v>0</v>
      </c>
      <c r="N30" s="20">
        <f t="shared" si="29"/>
        <v>0</v>
      </c>
      <c r="O30" s="20">
        <f t="shared" si="29"/>
        <v>0</v>
      </c>
      <c r="P30" s="20">
        <f t="shared" si="29"/>
        <v>0</v>
      </c>
      <c r="Q30" s="20">
        <f>Q100*0.8</f>
        <v>0</v>
      </c>
      <c r="R30" s="20">
        <f>R100*0.8</f>
        <v>280.73600000000005</v>
      </c>
      <c r="S30" s="10">
        <f t="shared" si="1"/>
        <v>75962.536000000007</v>
      </c>
      <c r="T30" s="1093">
        <f t="shared" si="3"/>
        <v>9627.0240000000013</v>
      </c>
      <c r="U30" s="1093">
        <f t="shared" si="3"/>
        <v>11711.776</v>
      </c>
      <c r="V30" s="1093">
        <f t="shared" si="3"/>
        <v>1112.3520000000001</v>
      </c>
      <c r="W30" s="1093">
        <f t="shared" si="3"/>
        <v>487.37599999999986</v>
      </c>
      <c r="X30" s="1093">
        <f t="shared" si="3"/>
        <v>47407.8</v>
      </c>
      <c r="Y30" s="1093">
        <f t="shared" si="4"/>
        <v>5616.2080000000005</v>
      </c>
    </row>
    <row r="31" spans="2:25">
      <c r="B31" s="2" t="s">
        <v>113</v>
      </c>
      <c r="C31" s="20">
        <f t="shared" ref="C31:P31" si="30">C101*0.8</f>
        <v>8374.9279999999999</v>
      </c>
      <c r="D31" s="20">
        <f t="shared" si="30"/>
        <v>2305.9839999999999</v>
      </c>
      <c r="E31" s="20">
        <f t="shared" si="30"/>
        <v>1119.952</v>
      </c>
      <c r="F31" s="20">
        <f t="shared" si="30"/>
        <v>1327.248</v>
      </c>
      <c r="G31" s="20">
        <f t="shared" si="30"/>
        <v>32911.200000000004</v>
      </c>
      <c r="H31" s="20">
        <f t="shared" si="30"/>
        <v>1018.68</v>
      </c>
      <c r="I31" s="20">
        <f t="shared" si="30"/>
        <v>813.65600000000006</v>
      </c>
      <c r="J31" s="20">
        <f t="shared" si="30"/>
        <v>0</v>
      </c>
      <c r="K31" s="20">
        <f t="shared" si="30"/>
        <v>1198.2720000000002</v>
      </c>
      <c r="L31" s="20">
        <f t="shared" si="30"/>
        <v>548.52</v>
      </c>
      <c r="M31" s="20">
        <f t="shared" si="30"/>
        <v>0</v>
      </c>
      <c r="N31" s="20">
        <f t="shared" si="30"/>
        <v>0</v>
      </c>
      <c r="O31" s="20">
        <f t="shared" si="30"/>
        <v>0</v>
      </c>
      <c r="P31" s="20">
        <f t="shared" si="30"/>
        <v>0</v>
      </c>
      <c r="Q31" s="20">
        <f>Q101*0.8</f>
        <v>0</v>
      </c>
      <c r="R31" s="20">
        <f>R101*0.8</f>
        <v>0</v>
      </c>
      <c r="S31" s="10">
        <f t="shared" si="1"/>
        <v>49618.44</v>
      </c>
      <c r="T31" s="1093">
        <f t="shared" si="3"/>
        <v>8374.9279999999999</v>
      </c>
      <c r="U31" s="1093">
        <f t="shared" si="3"/>
        <v>2305.9839999999999</v>
      </c>
      <c r="V31" s="1093">
        <f t="shared" si="3"/>
        <v>1119.952</v>
      </c>
      <c r="W31" s="1093">
        <f t="shared" si="3"/>
        <v>1327.248</v>
      </c>
      <c r="X31" s="1093">
        <f t="shared" si="3"/>
        <v>32911.200000000004</v>
      </c>
      <c r="Y31" s="1093">
        <f t="shared" si="4"/>
        <v>3579.1280000000002</v>
      </c>
    </row>
    <row r="32" spans="2:25">
      <c r="B32" s="5" t="s">
        <v>37</v>
      </c>
      <c r="C32" s="6">
        <f t="shared" ref="C32:T32" si="31">SUM(C5:C31)</f>
        <v>1377468.6400000004</v>
      </c>
      <c r="D32" s="6">
        <f t="shared" si="31"/>
        <v>953783.96</v>
      </c>
      <c r="E32" s="6">
        <f t="shared" si="31"/>
        <v>161765.19200000001</v>
      </c>
      <c r="F32" s="6">
        <f t="shared" si="31"/>
        <v>129794.2</v>
      </c>
      <c r="G32" s="6">
        <f t="shared" si="31"/>
        <v>5954341.3200000003</v>
      </c>
      <c r="H32" s="6">
        <f t="shared" si="31"/>
        <v>129294</v>
      </c>
      <c r="I32" s="6">
        <f t="shared" si="31"/>
        <v>264367.37599999999</v>
      </c>
      <c r="J32" s="6">
        <f t="shared" si="31"/>
        <v>6719.536000000001</v>
      </c>
      <c r="K32" s="6">
        <f t="shared" si="31"/>
        <v>184953.74400000004</v>
      </c>
      <c r="L32" s="6">
        <f t="shared" si="31"/>
        <v>19198.2</v>
      </c>
      <c r="M32" s="6">
        <f t="shared" si="31"/>
        <v>1253.7600000000002</v>
      </c>
      <c r="N32" s="6">
        <f t="shared" si="31"/>
        <v>3901.9440000000004</v>
      </c>
      <c r="O32" s="6">
        <f t="shared" si="31"/>
        <v>6011.1840000000002</v>
      </c>
      <c r="P32" s="6">
        <f t="shared" si="31"/>
        <v>0</v>
      </c>
      <c r="Q32" s="6">
        <f t="shared" si="31"/>
        <v>1013.84</v>
      </c>
      <c r="R32" s="6">
        <f t="shared" si="31"/>
        <v>10752.846000000001</v>
      </c>
      <c r="S32" s="6">
        <f t="shared" si="31"/>
        <v>9204619.7420000006</v>
      </c>
      <c r="T32" s="1093">
        <f t="shared" si="31"/>
        <v>1377468.6400000004</v>
      </c>
      <c r="U32" s="1093">
        <f t="shared" ref="U32:Y32" si="32">SUM(U5:U31)</f>
        <v>953783.96</v>
      </c>
      <c r="V32" s="1093">
        <f t="shared" si="32"/>
        <v>161765.19200000001</v>
      </c>
      <c r="W32" s="1093">
        <f t="shared" si="32"/>
        <v>129794.2</v>
      </c>
      <c r="X32" s="1093">
        <f t="shared" si="32"/>
        <v>5954341.3200000003</v>
      </c>
      <c r="Y32" s="1093">
        <f t="shared" si="32"/>
        <v>627466.42999999993</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86</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3">C75*0.2</f>
        <v>1533.9860000000001</v>
      </c>
      <c r="D40" s="20">
        <f t="shared" si="33"/>
        <v>539.38999999999976</v>
      </c>
      <c r="E40" s="20">
        <f t="shared" si="33"/>
        <v>41.904000000000003</v>
      </c>
      <c r="F40" s="20">
        <f t="shared" si="33"/>
        <v>0</v>
      </c>
      <c r="G40" s="20">
        <f t="shared" si="33"/>
        <v>4995.4500000000007</v>
      </c>
      <c r="H40" s="20">
        <f t="shared" si="33"/>
        <v>313.44000000000005</v>
      </c>
      <c r="I40" s="20">
        <f t="shared" si="33"/>
        <v>87.998000000000005</v>
      </c>
      <c r="J40" s="20">
        <f t="shared" si="33"/>
        <v>0</v>
      </c>
      <c r="K40" s="20">
        <f t="shared" si="33"/>
        <v>128.43800000000002</v>
      </c>
      <c r="L40" s="20">
        <f t="shared" si="33"/>
        <v>117.54000000000002</v>
      </c>
      <c r="M40" s="20">
        <f t="shared" si="33"/>
        <v>0</v>
      </c>
      <c r="N40" s="20">
        <f t="shared" si="33"/>
        <v>0</v>
      </c>
      <c r="O40" s="20">
        <f t="shared" si="33"/>
        <v>0</v>
      </c>
      <c r="P40" s="20">
        <f t="shared" si="33"/>
        <v>0</v>
      </c>
      <c r="Q40" s="20">
        <f t="shared" si="33"/>
        <v>0</v>
      </c>
      <c r="R40" s="20">
        <f t="shared" si="33"/>
        <v>0</v>
      </c>
      <c r="S40" s="10">
        <f t="shared" ref="S40:S66" si="34">SUM(C40:R40)</f>
        <v>7758.1459999999997</v>
      </c>
      <c r="T40" s="1093">
        <f>C40</f>
        <v>1533.9860000000001</v>
      </c>
      <c r="U40" s="1093">
        <f>D40</f>
        <v>539.38999999999976</v>
      </c>
      <c r="V40" s="1093">
        <f>E40</f>
        <v>41.904000000000003</v>
      </c>
      <c r="W40" s="1093">
        <f>F40</f>
        <v>0</v>
      </c>
      <c r="X40" s="1093">
        <f>G40</f>
        <v>4995.4500000000007</v>
      </c>
      <c r="Y40" s="1093">
        <f>SUM(H40:R40)</f>
        <v>647.41600000000017</v>
      </c>
    </row>
    <row r="41" spans="2:25">
      <c r="B41" s="2" t="s">
        <v>88</v>
      </c>
      <c r="C41" s="20">
        <f t="shared" ref="C41:R41" si="35">C76*0.2</f>
        <v>5325.3080000000009</v>
      </c>
      <c r="D41" s="20">
        <f t="shared" si="35"/>
        <v>4283.0180000000009</v>
      </c>
      <c r="E41" s="20">
        <f t="shared" si="35"/>
        <v>361.89200000000005</v>
      </c>
      <c r="F41" s="20">
        <f t="shared" si="35"/>
        <v>190.15199999999996</v>
      </c>
      <c r="G41" s="20">
        <f t="shared" si="35"/>
        <v>12635.550000000001</v>
      </c>
      <c r="H41" s="20">
        <f t="shared" si="35"/>
        <v>293.85000000000002</v>
      </c>
      <c r="I41" s="20">
        <f t="shared" si="35"/>
        <v>933.28400000000011</v>
      </c>
      <c r="J41" s="20">
        <f t="shared" si="35"/>
        <v>0</v>
      </c>
      <c r="K41" s="20">
        <f t="shared" si="35"/>
        <v>643.37400000000002</v>
      </c>
      <c r="L41" s="20">
        <f t="shared" si="35"/>
        <v>39.180000000000007</v>
      </c>
      <c r="M41" s="20">
        <f t="shared" si="35"/>
        <v>0</v>
      </c>
      <c r="N41" s="20">
        <f t="shared" si="35"/>
        <v>0</v>
      </c>
      <c r="O41" s="20">
        <f t="shared" si="35"/>
        <v>5.7140000000000004</v>
      </c>
      <c r="P41" s="20">
        <f t="shared" si="35"/>
        <v>0</v>
      </c>
      <c r="Q41" s="20">
        <f t="shared" si="35"/>
        <v>0</v>
      </c>
      <c r="R41" s="20">
        <f t="shared" si="35"/>
        <v>0</v>
      </c>
      <c r="S41" s="10">
        <f t="shared" si="34"/>
        <v>24711.322</v>
      </c>
      <c r="T41" s="1093">
        <f t="shared" ref="T41:X66" si="36">C41</f>
        <v>5325.3080000000009</v>
      </c>
      <c r="U41" s="1093">
        <f t="shared" si="36"/>
        <v>4283.0180000000009</v>
      </c>
      <c r="V41" s="1093">
        <f t="shared" si="36"/>
        <v>361.89200000000005</v>
      </c>
      <c r="W41" s="1093">
        <f t="shared" si="36"/>
        <v>190.15199999999996</v>
      </c>
      <c r="X41" s="1093">
        <f t="shared" si="36"/>
        <v>12635.550000000001</v>
      </c>
      <c r="Y41" s="1093">
        <f t="shared" ref="Y41:Y66" si="37">SUM(H41:R41)</f>
        <v>1915.402</v>
      </c>
    </row>
    <row r="42" spans="2:25">
      <c r="B42" s="2" t="s">
        <v>89</v>
      </c>
      <c r="C42" s="20">
        <f t="shared" ref="C42:R42" si="38">C77*0.2</f>
        <v>1546.402</v>
      </c>
      <c r="D42" s="20">
        <f t="shared" si="38"/>
        <v>671.43200000000002</v>
      </c>
      <c r="E42" s="20">
        <f t="shared" si="38"/>
        <v>516.17600000000004</v>
      </c>
      <c r="F42" s="20">
        <f t="shared" si="38"/>
        <v>82.507999999999996</v>
      </c>
      <c r="G42" s="20">
        <f t="shared" si="38"/>
        <v>5367.66</v>
      </c>
      <c r="H42" s="20">
        <f t="shared" si="38"/>
        <v>352.62</v>
      </c>
      <c r="I42" s="20">
        <f t="shared" si="38"/>
        <v>151.834</v>
      </c>
      <c r="J42" s="20">
        <f t="shared" si="38"/>
        <v>0</v>
      </c>
      <c r="K42" s="20">
        <f t="shared" si="38"/>
        <v>187.36199999999999</v>
      </c>
      <c r="L42" s="20">
        <f t="shared" si="38"/>
        <v>39.180000000000007</v>
      </c>
      <c r="M42" s="20">
        <f t="shared" si="38"/>
        <v>0</v>
      </c>
      <c r="N42" s="20">
        <f t="shared" si="38"/>
        <v>0</v>
      </c>
      <c r="O42" s="20">
        <f t="shared" si="38"/>
        <v>0</v>
      </c>
      <c r="P42" s="20">
        <f t="shared" si="38"/>
        <v>0</v>
      </c>
      <c r="Q42" s="20">
        <f t="shared" si="38"/>
        <v>0</v>
      </c>
      <c r="R42" s="20">
        <f t="shared" si="38"/>
        <v>0</v>
      </c>
      <c r="S42" s="10">
        <f t="shared" si="34"/>
        <v>8915.1740000000009</v>
      </c>
      <c r="T42" s="1093">
        <f t="shared" si="36"/>
        <v>1546.402</v>
      </c>
      <c r="U42" s="1093">
        <f t="shared" si="36"/>
        <v>671.43200000000002</v>
      </c>
      <c r="V42" s="1093">
        <f t="shared" si="36"/>
        <v>516.17600000000004</v>
      </c>
      <c r="W42" s="1093">
        <f t="shared" si="36"/>
        <v>82.507999999999996</v>
      </c>
      <c r="X42" s="1093">
        <f t="shared" si="36"/>
        <v>5367.66</v>
      </c>
      <c r="Y42" s="1093">
        <f t="shared" si="37"/>
        <v>730.99600000000009</v>
      </c>
    </row>
    <row r="43" spans="2:25">
      <c r="B43" s="2" t="s">
        <v>90</v>
      </c>
      <c r="C43" s="20">
        <f t="shared" ref="C43:P43" si="39">C78*0.2</f>
        <v>3785.0640000000003</v>
      </c>
      <c r="D43" s="20">
        <f t="shared" si="39"/>
        <v>4315.7839999999997</v>
      </c>
      <c r="E43" s="20">
        <f t="shared" si="39"/>
        <v>394.27199999999999</v>
      </c>
      <c r="F43" s="20">
        <f t="shared" si="39"/>
        <v>462.1040000000001</v>
      </c>
      <c r="G43" s="20">
        <f t="shared" si="39"/>
        <v>10304.34</v>
      </c>
      <c r="H43" s="20">
        <f t="shared" si="39"/>
        <v>568.11</v>
      </c>
      <c r="I43" s="20">
        <f t="shared" si="39"/>
        <v>835.88600000000008</v>
      </c>
      <c r="J43" s="20">
        <f t="shared" si="39"/>
        <v>0</v>
      </c>
      <c r="K43" s="20">
        <f t="shared" si="39"/>
        <v>585.18600000000004</v>
      </c>
      <c r="L43" s="20">
        <f t="shared" si="39"/>
        <v>78.360000000000014</v>
      </c>
      <c r="M43" s="20">
        <f t="shared" si="39"/>
        <v>0</v>
      </c>
      <c r="N43" s="20">
        <f t="shared" si="39"/>
        <v>486.06800000000004</v>
      </c>
      <c r="O43" s="20">
        <f t="shared" si="39"/>
        <v>5.7140000000000004</v>
      </c>
      <c r="P43" s="20">
        <f t="shared" si="39"/>
        <v>0</v>
      </c>
      <c r="Q43" s="20">
        <v>0</v>
      </c>
      <c r="R43" s="20">
        <v>0</v>
      </c>
      <c r="S43" s="10">
        <f t="shared" si="34"/>
        <v>21820.887999999999</v>
      </c>
      <c r="T43" s="1093">
        <f t="shared" si="36"/>
        <v>3785.0640000000003</v>
      </c>
      <c r="U43" s="1093">
        <f t="shared" si="36"/>
        <v>4315.7839999999997</v>
      </c>
      <c r="V43" s="1093">
        <f t="shared" si="36"/>
        <v>394.27199999999999</v>
      </c>
      <c r="W43" s="1093">
        <f t="shared" si="36"/>
        <v>462.1040000000001</v>
      </c>
      <c r="X43" s="1093">
        <f t="shared" si="36"/>
        <v>10304.34</v>
      </c>
      <c r="Y43" s="1093">
        <f t="shared" si="37"/>
        <v>2559.3240000000005</v>
      </c>
    </row>
    <row r="44" spans="2:25">
      <c r="B44" s="2" t="s">
        <v>91</v>
      </c>
      <c r="C44" s="20">
        <f t="shared" ref="C44:P44" si="40">C79*0.2</f>
        <v>10990.49</v>
      </c>
      <c r="D44" s="20">
        <f t="shared" si="40"/>
        <v>5070.735999999999</v>
      </c>
      <c r="E44" s="20">
        <f t="shared" si="40"/>
        <v>1230.33</v>
      </c>
      <c r="F44" s="20">
        <f t="shared" si="40"/>
        <v>771.82800000000032</v>
      </c>
      <c r="G44" s="20">
        <f t="shared" si="40"/>
        <v>38435.58</v>
      </c>
      <c r="H44" s="20">
        <f t="shared" si="40"/>
        <v>979.5</v>
      </c>
      <c r="I44" s="20">
        <f t="shared" si="40"/>
        <v>1294.3319999999999</v>
      </c>
      <c r="J44" s="20">
        <f t="shared" si="40"/>
        <v>0</v>
      </c>
      <c r="K44" s="20">
        <f t="shared" si="40"/>
        <v>1459.82</v>
      </c>
      <c r="L44" s="20">
        <f t="shared" si="40"/>
        <v>39.180000000000007</v>
      </c>
      <c r="M44" s="20">
        <f t="shared" si="40"/>
        <v>0</v>
      </c>
      <c r="N44" s="20">
        <f t="shared" si="40"/>
        <v>0</v>
      </c>
      <c r="O44" s="20">
        <f t="shared" si="40"/>
        <v>34.283999999999999</v>
      </c>
      <c r="P44" s="20">
        <f t="shared" si="40"/>
        <v>0</v>
      </c>
      <c r="Q44" s="20">
        <f t="shared" ref="Q44:R63" si="41">Q79*0.2</f>
        <v>39.466000000000008</v>
      </c>
      <c r="R44" s="20">
        <f t="shared" si="41"/>
        <v>394.64200000000005</v>
      </c>
      <c r="S44" s="10">
        <f t="shared" si="34"/>
        <v>60740.188000000002</v>
      </c>
      <c r="T44" s="1093">
        <f t="shared" si="36"/>
        <v>10990.49</v>
      </c>
      <c r="U44" s="1093">
        <f t="shared" si="36"/>
        <v>5070.735999999999</v>
      </c>
      <c r="V44" s="1093">
        <f t="shared" si="36"/>
        <v>1230.33</v>
      </c>
      <c r="W44" s="1093">
        <f t="shared" si="36"/>
        <v>771.82800000000032</v>
      </c>
      <c r="X44" s="1093">
        <f t="shared" si="36"/>
        <v>38435.58</v>
      </c>
      <c r="Y44" s="1093">
        <f t="shared" si="37"/>
        <v>4241.2240000000002</v>
      </c>
    </row>
    <row r="45" spans="2:25">
      <c r="B45" s="2" t="s">
        <v>92</v>
      </c>
      <c r="C45" s="20">
        <f t="shared" ref="C45:P45" si="42">C80*0.2</f>
        <v>5132.3160000000007</v>
      </c>
      <c r="D45" s="20">
        <f t="shared" si="42"/>
        <v>2868.6099999999992</v>
      </c>
      <c r="E45" s="20">
        <f t="shared" si="42"/>
        <v>514.26400000000001</v>
      </c>
      <c r="F45" s="20">
        <f t="shared" si="42"/>
        <v>173.71799999999996</v>
      </c>
      <c r="G45" s="20">
        <f t="shared" si="42"/>
        <v>22508.910000000003</v>
      </c>
      <c r="H45" s="20">
        <f t="shared" si="42"/>
        <v>1371.3000000000002</v>
      </c>
      <c r="I45" s="20">
        <f t="shared" si="42"/>
        <v>631.63400000000001</v>
      </c>
      <c r="J45" s="20">
        <f t="shared" si="42"/>
        <v>58.77000000000001</v>
      </c>
      <c r="K45" s="20">
        <f t="shared" si="42"/>
        <v>668.15200000000004</v>
      </c>
      <c r="L45" s="20">
        <f t="shared" si="42"/>
        <v>19.590000000000003</v>
      </c>
      <c r="M45" s="20">
        <f t="shared" si="42"/>
        <v>0</v>
      </c>
      <c r="N45" s="20">
        <f t="shared" si="42"/>
        <v>0</v>
      </c>
      <c r="O45" s="20">
        <f t="shared" si="42"/>
        <v>11.428000000000001</v>
      </c>
      <c r="P45" s="20">
        <f t="shared" si="42"/>
        <v>0</v>
      </c>
      <c r="Q45" s="20">
        <f t="shared" si="41"/>
        <v>0</v>
      </c>
      <c r="R45" s="20">
        <f t="shared" si="41"/>
        <v>0</v>
      </c>
      <c r="S45" s="10">
        <f t="shared" si="34"/>
        <v>33958.691999999995</v>
      </c>
      <c r="T45" s="1093">
        <f t="shared" si="36"/>
        <v>5132.3160000000007</v>
      </c>
      <c r="U45" s="1093">
        <f t="shared" si="36"/>
        <v>2868.6099999999992</v>
      </c>
      <c r="V45" s="1093">
        <f t="shared" si="36"/>
        <v>514.26400000000001</v>
      </c>
      <c r="W45" s="1093">
        <f t="shared" si="36"/>
        <v>173.71799999999996</v>
      </c>
      <c r="X45" s="1093">
        <f t="shared" si="36"/>
        <v>22508.910000000003</v>
      </c>
      <c r="Y45" s="1093">
        <f t="shared" si="37"/>
        <v>2760.8740000000003</v>
      </c>
    </row>
    <row r="46" spans="2:25">
      <c r="B46" s="2" t="s">
        <v>93</v>
      </c>
      <c r="C46" s="20">
        <f t="shared" ref="C46:P46" si="43">C81*0.2</f>
        <v>8357.94</v>
      </c>
      <c r="D46" s="20">
        <f t="shared" si="43"/>
        <v>5834.662000000003</v>
      </c>
      <c r="E46" s="20">
        <f t="shared" si="43"/>
        <v>1223.2860000000001</v>
      </c>
      <c r="F46" s="20">
        <f t="shared" si="43"/>
        <v>589.0680000000001</v>
      </c>
      <c r="G46" s="20">
        <f t="shared" si="43"/>
        <v>26583.63</v>
      </c>
      <c r="H46" s="20">
        <f t="shared" si="43"/>
        <v>1234.17</v>
      </c>
      <c r="I46" s="20">
        <f t="shared" si="43"/>
        <v>1350.4960000000001</v>
      </c>
      <c r="J46" s="20">
        <f t="shared" si="43"/>
        <v>0</v>
      </c>
      <c r="K46" s="20">
        <f t="shared" si="43"/>
        <v>1313.566</v>
      </c>
      <c r="L46" s="20">
        <f t="shared" si="43"/>
        <v>39.180000000000007</v>
      </c>
      <c r="M46" s="20">
        <f t="shared" si="43"/>
        <v>0</v>
      </c>
      <c r="N46" s="20">
        <f t="shared" si="43"/>
        <v>0</v>
      </c>
      <c r="O46" s="20">
        <f t="shared" si="43"/>
        <v>17.141999999999999</v>
      </c>
      <c r="P46" s="20">
        <f t="shared" si="43"/>
        <v>0</v>
      </c>
      <c r="Q46" s="20">
        <f t="shared" si="41"/>
        <v>0</v>
      </c>
      <c r="R46" s="20">
        <f t="shared" si="41"/>
        <v>0</v>
      </c>
      <c r="S46" s="10">
        <f t="shared" si="34"/>
        <v>46543.14</v>
      </c>
      <c r="T46" s="1093">
        <f t="shared" si="36"/>
        <v>8357.94</v>
      </c>
      <c r="U46" s="1093">
        <f t="shared" si="36"/>
        <v>5834.662000000003</v>
      </c>
      <c r="V46" s="1093">
        <f t="shared" si="36"/>
        <v>1223.2860000000001</v>
      </c>
      <c r="W46" s="1093">
        <f t="shared" si="36"/>
        <v>589.0680000000001</v>
      </c>
      <c r="X46" s="1093">
        <f t="shared" si="36"/>
        <v>26583.63</v>
      </c>
      <c r="Y46" s="1093">
        <f t="shared" si="37"/>
        <v>3954.5539999999996</v>
      </c>
    </row>
    <row r="47" spans="2:25">
      <c r="B47" s="2" t="s">
        <v>94</v>
      </c>
      <c r="C47" s="20">
        <f t="shared" ref="C47:P47" si="44">C82*0.2</f>
        <v>7798.692</v>
      </c>
      <c r="D47" s="20">
        <f t="shared" si="44"/>
        <v>2214.6539999999995</v>
      </c>
      <c r="E47" s="20">
        <f t="shared" si="44"/>
        <v>1050.492</v>
      </c>
      <c r="F47" s="20">
        <f t="shared" si="44"/>
        <v>435.82799999999992</v>
      </c>
      <c r="G47" s="20">
        <f t="shared" si="44"/>
        <v>24546.270000000004</v>
      </c>
      <c r="H47" s="20">
        <f t="shared" si="44"/>
        <v>1763.1000000000001</v>
      </c>
      <c r="I47" s="20">
        <f t="shared" si="44"/>
        <v>806.06399999999996</v>
      </c>
      <c r="J47" s="20">
        <f t="shared" si="44"/>
        <v>65.304000000000002</v>
      </c>
      <c r="K47" s="20">
        <f t="shared" si="44"/>
        <v>1090.5359999999998</v>
      </c>
      <c r="L47" s="20">
        <f t="shared" si="44"/>
        <v>137.13</v>
      </c>
      <c r="M47" s="20">
        <f t="shared" si="44"/>
        <v>0</v>
      </c>
      <c r="N47" s="20">
        <f t="shared" si="44"/>
        <v>0</v>
      </c>
      <c r="O47" s="20">
        <f t="shared" si="44"/>
        <v>17.141999999999999</v>
      </c>
      <c r="P47" s="20">
        <f t="shared" si="44"/>
        <v>0</v>
      </c>
      <c r="Q47" s="20">
        <f t="shared" si="41"/>
        <v>0</v>
      </c>
      <c r="R47" s="20">
        <f t="shared" si="41"/>
        <v>0</v>
      </c>
      <c r="S47" s="10">
        <f t="shared" si="34"/>
        <v>39925.211999999992</v>
      </c>
      <c r="T47" s="1093">
        <f t="shared" si="36"/>
        <v>7798.692</v>
      </c>
      <c r="U47" s="1093">
        <f t="shared" si="36"/>
        <v>2214.6539999999995</v>
      </c>
      <c r="V47" s="1093">
        <f t="shared" si="36"/>
        <v>1050.492</v>
      </c>
      <c r="W47" s="1093">
        <f t="shared" si="36"/>
        <v>435.82799999999992</v>
      </c>
      <c r="X47" s="1093">
        <f t="shared" si="36"/>
        <v>24546.270000000004</v>
      </c>
      <c r="Y47" s="1093">
        <f t="shared" si="37"/>
        <v>3879.2759999999998</v>
      </c>
    </row>
    <row r="48" spans="2:25">
      <c r="B48" s="2" t="s">
        <v>95</v>
      </c>
      <c r="C48" s="20">
        <f t="shared" ref="C48:P48" si="45">C83*0.2</f>
        <v>8727.5160000000014</v>
      </c>
      <c r="D48" s="20">
        <f t="shared" si="45"/>
        <v>8210.2899999999972</v>
      </c>
      <c r="E48" s="20">
        <f t="shared" si="45"/>
        <v>982.82400000000007</v>
      </c>
      <c r="F48" s="20">
        <f t="shared" si="45"/>
        <v>206.73999999999998</v>
      </c>
      <c r="G48" s="20">
        <f t="shared" si="45"/>
        <v>51835.140000000007</v>
      </c>
      <c r="H48" s="20">
        <f t="shared" si="45"/>
        <v>842.37000000000012</v>
      </c>
      <c r="I48" s="20">
        <f t="shared" si="45"/>
        <v>1747.7319999999997</v>
      </c>
      <c r="J48" s="20">
        <f t="shared" si="45"/>
        <v>200.83</v>
      </c>
      <c r="K48" s="20">
        <f t="shared" si="45"/>
        <v>1434.29</v>
      </c>
      <c r="L48" s="20">
        <f t="shared" si="45"/>
        <v>58.77000000000001</v>
      </c>
      <c r="M48" s="20">
        <f t="shared" si="45"/>
        <v>0</v>
      </c>
      <c r="N48" s="20">
        <f t="shared" si="45"/>
        <v>0</v>
      </c>
      <c r="O48" s="20">
        <f t="shared" si="45"/>
        <v>11.428000000000001</v>
      </c>
      <c r="P48" s="20">
        <f t="shared" si="45"/>
        <v>0</v>
      </c>
      <c r="Q48" s="20">
        <f t="shared" si="41"/>
        <v>0</v>
      </c>
      <c r="R48" s="20">
        <f t="shared" si="41"/>
        <v>0</v>
      </c>
      <c r="S48" s="10">
        <f t="shared" si="34"/>
        <v>74257.930000000008</v>
      </c>
      <c r="T48" s="1093">
        <f t="shared" si="36"/>
        <v>8727.5160000000014</v>
      </c>
      <c r="U48" s="1093">
        <f t="shared" si="36"/>
        <v>8210.2899999999972</v>
      </c>
      <c r="V48" s="1093">
        <f t="shared" si="36"/>
        <v>982.82400000000007</v>
      </c>
      <c r="W48" s="1093">
        <f t="shared" si="36"/>
        <v>206.73999999999998</v>
      </c>
      <c r="X48" s="1093">
        <f t="shared" si="36"/>
        <v>51835.140000000007</v>
      </c>
      <c r="Y48" s="1093">
        <f t="shared" si="37"/>
        <v>4295.42</v>
      </c>
    </row>
    <row r="49" spans="2:25">
      <c r="B49" s="2" t="s">
        <v>96</v>
      </c>
      <c r="C49" s="20">
        <f t="shared" ref="C49:P49" si="46">C84*0.2</f>
        <v>2353.9360000000001</v>
      </c>
      <c r="D49" s="20">
        <f t="shared" si="46"/>
        <v>2162.9540000000002</v>
      </c>
      <c r="E49" s="20">
        <f t="shared" si="46"/>
        <v>419.98400000000004</v>
      </c>
      <c r="F49" s="20">
        <f t="shared" si="46"/>
        <v>205.10199999999998</v>
      </c>
      <c r="G49" s="20">
        <f t="shared" si="46"/>
        <v>8835.09</v>
      </c>
      <c r="H49" s="20">
        <f t="shared" si="46"/>
        <v>1097.04</v>
      </c>
      <c r="I49" s="20">
        <f t="shared" si="46"/>
        <v>511.10600000000005</v>
      </c>
      <c r="J49" s="20">
        <f t="shared" si="46"/>
        <v>0</v>
      </c>
      <c r="K49" s="20">
        <f t="shared" si="46"/>
        <v>367.548</v>
      </c>
      <c r="L49" s="20">
        <f t="shared" si="46"/>
        <v>78.360000000000014</v>
      </c>
      <c r="M49" s="20">
        <f t="shared" si="46"/>
        <v>0</v>
      </c>
      <c r="N49" s="20">
        <f t="shared" si="46"/>
        <v>0</v>
      </c>
      <c r="O49" s="20">
        <f t="shared" si="46"/>
        <v>0</v>
      </c>
      <c r="P49" s="20">
        <f t="shared" si="46"/>
        <v>0</v>
      </c>
      <c r="Q49" s="20">
        <f t="shared" si="41"/>
        <v>0</v>
      </c>
      <c r="R49" s="20">
        <f t="shared" si="41"/>
        <v>0</v>
      </c>
      <c r="S49" s="10">
        <f t="shared" si="34"/>
        <v>16031.12</v>
      </c>
      <c r="T49" s="1093">
        <f t="shared" si="36"/>
        <v>2353.9360000000001</v>
      </c>
      <c r="U49" s="1093">
        <f t="shared" si="36"/>
        <v>2162.9540000000002</v>
      </c>
      <c r="V49" s="1093">
        <f t="shared" si="36"/>
        <v>419.98400000000004</v>
      </c>
      <c r="W49" s="1093">
        <f t="shared" si="36"/>
        <v>205.10199999999998</v>
      </c>
      <c r="X49" s="1093">
        <f t="shared" si="36"/>
        <v>8835.09</v>
      </c>
      <c r="Y49" s="1093">
        <f t="shared" si="37"/>
        <v>2054.0540000000001</v>
      </c>
    </row>
    <row r="50" spans="2:25">
      <c r="B50" s="2" t="s">
        <v>97</v>
      </c>
      <c r="C50" s="20">
        <f t="shared" ref="C50:P50" si="47">C85*0.2</f>
        <v>5570.862000000001</v>
      </c>
      <c r="D50" s="20">
        <f t="shared" si="47"/>
        <v>5527.7780000000012</v>
      </c>
      <c r="E50" s="20">
        <f t="shared" si="47"/>
        <v>641.39600000000007</v>
      </c>
      <c r="F50" s="20">
        <f t="shared" si="47"/>
        <v>1025.9980000000003</v>
      </c>
      <c r="G50" s="20">
        <f t="shared" si="47"/>
        <v>45252.9</v>
      </c>
      <c r="H50" s="20">
        <f t="shared" si="47"/>
        <v>489.75</v>
      </c>
      <c r="I50" s="20">
        <f t="shared" si="47"/>
        <v>1082.4180000000001</v>
      </c>
      <c r="J50" s="20">
        <f t="shared" si="47"/>
        <v>439.38000000000005</v>
      </c>
      <c r="K50" s="20">
        <f t="shared" si="47"/>
        <v>996.04600000000016</v>
      </c>
      <c r="L50" s="20">
        <f t="shared" si="47"/>
        <v>78.360000000000014</v>
      </c>
      <c r="M50" s="20">
        <f t="shared" si="47"/>
        <v>0</v>
      </c>
      <c r="N50" s="20">
        <f t="shared" si="47"/>
        <v>0</v>
      </c>
      <c r="O50" s="20">
        <f t="shared" si="47"/>
        <v>5.7140000000000004</v>
      </c>
      <c r="P50" s="20">
        <f t="shared" si="47"/>
        <v>0</v>
      </c>
      <c r="Q50" s="20">
        <f t="shared" si="41"/>
        <v>0</v>
      </c>
      <c r="R50" s="20">
        <f t="shared" si="41"/>
        <v>0</v>
      </c>
      <c r="S50" s="10">
        <f t="shared" si="34"/>
        <v>61110.602000000006</v>
      </c>
      <c r="T50" s="1093">
        <f t="shared" si="36"/>
        <v>5570.862000000001</v>
      </c>
      <c r="U50" s="1093">
        <f t="shared" si="36"/>
        <v>5527.7780000000012</v>
      </c>
      <c r="V50" s="1093">
        <f t="shared" si="36"/>
        <v>641.39600000000007</v>
      </c>
      <c r="W50" s="1093">
        <f t="shared" si="36"/>
        <v>1025.9980000000003</v>
      </c>
      <c r="X50" s="1093">
        <f t="shared" si="36"/>
        <v>45252.9</v>
      </c>
      <c r="Y50" s="1093">
        <f t="shared" si="37"/>
        <v>3091.6680000000006</v>
      </c>
    </row>
    <row r="51" spans="2:25">
      <c r="B51" s="2" t="s">
        <v>98</v>
      </c>
      <c r="C51" s="20">
        <f t="shared" ref="C51:P51" si="48">C86*0.2</f>
        <v>5242.8760000000002</v>
      </c>
      <c r="D51" s="20">
        <f t="shared" si="48"/>
        <v>3990.366</v>
      </c>
      <c r="E51" s="20">
        <f t="shared" si="48"/>
        <v>737.11599999999999</v>
      </c>
      <c r="F51" s="20">
        <f t="shared" si="48"/>
        <v>605.322</v>
      </c>
      <c r="G51" s="20">
        <f t="shared" si="48"/>
        <v>28993.200000000001</v>
      </c>
      <c r="H51" s="20">
        <f t="shared" si="48"/>
        <v>411.39</v>
      </c>
      <c r="I51" s="20">
        <f t="shared" si="48"/>
        <v>1062.354</v>
      </c>
      <c r="J51" s="20">
        <f t="shared" si="48"/>
        <v>0</v>
      </c>
      <c r="K51" s="20">
        <f t="shared" si="48"/>
        <v>705.06400000000008</v>
      </c>
      <c r="L51" s="20">
        <f t="shared" si="48"/>
        <v>78.360000000000014</v>
      </c>
      <c r="M51" s="20">
        <f t="shared" si="48"/>
        <v>0</v>
      </c>
      <c r="N51" s="20">
        <f t="shared" si="48"/>
        <v>0</v>
      </c>
      <c r="O51" s="20">
        <f t="shared" si="48"/>
        <v>5.7140000000000004</v>
      </c>
      <c r="P51" s="20">
        <f t="shared" si="48"/>
        <v>0</v>
      </c>
      <c r="Q51" s="20">
        <f t="shared" si="41"/>
        <v>20.89</v>
      </c>
      <c r="R51" s="20">
        <f t="shared" si="41"/>
        <v>0</v>
      </c>
      <c r="S51" s="10">
        <f t="shared" si="34"/>
        <v>41852.652000000002</v>
      </c>
      <c r="T51" s="1093">
        <f t="shared" si="36"/>
        <v>5242.8760000000002</v>
      </c>
      <c r="U51" s="1093">
        <f t="shared" si="36"/>
        <v>3990.366</v>
      </c>
      <c r="V51" s="1093">
        <f t="shared" si="36"/>
        <v>737.11599999999999</v>
      </c>
      <c r="W51" s="1093">
        <f t="shared" si="36"/>
        <v>605.322</v>
      </c>
      <c r="X51" s="1093">
        <f t="shared" si="36"/>
        <v>28993.200000000001</v>
      </c>
      <c r="Y51" s="1093">
        <f t="shared" si="37"/>
        <v>2283.7719999999999</v>
      </c>
    </row>
    <row r="52" spans="2:25">
      <c r="B52" s="2" t="s">
        <v>99</v>
      </c>
      <c r="C52" s="20">
        <f t="shared" ref="C52:P52" si="49">C87*0.2</f>
        <v>28315.184000000005</v>
      </c>
      <c r="D52" s="20">
        <f t="shared" si="49"/>
        <v>24454.024000000005</v>
      </c>
      <c r="E52" s="20">
        <f t="shared" si="49"/>
        <v>3584.4839999999999</v>
      </c>
      <c r="F52" s="20">
        <f t="shared" si="49"/>
        <v>3165.5140000000001</v>
      </c>
      <c r="G52" s="20">
        <f t="shared" si="49"/>
        <v>88919.010000000009</v>
      </c>
      <c r="H52" s="20">
        <f t="shared" si="49"/>
        <v>2605.4699999999998</v>
      </c>
      <c r="I52" s="20">
        <f t="shared" si="49"/>
        <v>6042.4860000000008</v>
      </c>
      <c r="J52" s="20">
        <f t="shared" si="49"/>
        <v>58.77000000000001</v>
      </c>
      <c r="K52" s="20">
        <f t="shared" si="49"/>
        <v>3697.7880000000005</v>
      </c>
      <c r="L52" s="20">
        <f t="shared" si="49"/>
        <v>372.21000000000004</v>
      </c>
      <c r="M52" s="20">
        <f t="shared" si="49"/>
        <v>78.360000000000014</v>
      </c>
      <c r="N52" s="20">
        <f t="shared" si="49"/>
        <v>489.41800000000006</v>
      </c>
      <c r="O52" s="20">
        <f t="shared" si="49"/>
        <v>548.55200000000002</v>
      </c>
      <c r="P52" s="20">
        <f t="shared" si="49"/>
        <v>0</v>
      </c>
      <c r="Q52" s="20">
        <f t="shared" si="41"/>
        <v>0</v>
      </c>
      <c r="R52" s="20">
        <f t="shared" si="41"/>
        <v>0</v>
      </c>
      <c r="S52" s="10">
        <f t="shared" si="34"/>
        <v>162331.26999999999</v>
      </c>
      <c r="T52" s="1093">
        <f t="shared" si="36"/>
        <v>28315.184000000005</v>
      </c>
      <c r="U52" s="1093">
        <f t="shared" si="36"/>
        <v>24454.024000000005</v>
      </c>
      <c r="V52" s="1093">
        <f t="shared" si="36"/>
        <v>3584.4839999999999</v>
      </c>
      <c r="W52" s="1093">
        <f t="shared" si="36"/>
        <v>3165.5140000000001</v>
      </c>
      <c r="X52" s="1093">
        <f t="shared" si="36"/>
        <v>88919.010000000009</v>
      </c>
      <c r="Y52" s="1093">
        <f t="shared" si="37"/>
        <v>13893.054000000002</v>
      </c>
    </row>
    <row r="53" spans="2:25">
      <c r="B53" s="2" t="s">
        <v>100</v>
      </c>
      <c r="C53" s="20">
        <f t="shared" ref="C53:P53" si="50">C88*0.2</f>
        <v>4472.058</v>
      </c>
      <c r="D53" s="20">
        <f t="shared" si="50"/>
        <v>4243.7380000000003</v>
      </c>
      <c r="E53" s="20">
        <f t="shared" si="50"/>
        <v>115.902</v>
      </c>
      <c r="F53" s="20">
        <f t="shared" si="50"/>
        <v>104.34200000000001</v>
      </c>
      <c r="G53" s="20">
        <f t="shared" si="50"/>
        <v>15848.310000000001</v>
      </c>
      <c r="H53" s="20">
        <f t="shared" si="50"/>
        <v>548.52</v>
      </c>
      <c r="I53" s="20">
        <f t="shared" si="50"/>
        <v>1061.7160000000001</v>
      </c>
      <c r="J53" s="20">
        <f t="shared" si="50"/>
        <v>0</v>
      </c>
      <c r="K53" s="20">
        <f t="shared" si="50"/>
        <v>557.72200000000009</v>
      </c>
      <c r="L53" s="20">
        <f t="shared" si="50"/>
        <v>78.360000000000014</v>
      </c>
      <c r="M53" s="20">
        <f t="shared" si="50"/>
        <v>0</v>
      </c>
      <c r="N53" s="20">
        <f t="shared" si="50"/>
        <v>0</v>
      </c>
      <c r="O53" s="20">
        <f t="shared" si="50"/>
        <v>11.428000000000001</v>
      </c>
      <c r="P53" s="20">
        <f t="shared" si="50"/>
        <v>0</v>
      </c>
      <c r="Q53" s="20">
        <f t="shared" si="41"/>
        <v>0</v>
      </c>
      <c r="R53" s="20">
        <f t="shared" si="41"/>
        <v>0</v>
      </c>
      <c r="S53" s="10">
        <f t="shared" si="34"/>
        <v>27042.096000000005</v>
      </c>
      <c r="T53" s="1093">
        <f t="shared" si="36"/>
        <v>4472.058</v>
      </c>
      <c r="U53" s="1093">
        <f t="shared" si="36"/>
        <v>4243.7380000000003</v>
      </c>
      <c r="V53" s="1093">
        <f t="shared" si="36"/>
        <v>115.902</v>
      </c>
      <c r="W53" s="1093">
        <f t="shared" si="36"/>
        <v>104.34200000000001</v>
      </c>
      <c r="X53" s="1093">
        <f t="shared" si="36"/>
        <v>15848.310000000001</v>
      </c>
      <c r="Y53" s="1093">
        <f t="shared" si="37"/>
        <v>2257.7460000000001</v>
      </c>
    </row>
    <row r="54" spans="2:25">
      <c r="B54" s="2" t="s">
        <v>101</v>
      </c>
      <c r="C54" s="20">
        <f t="shared" ref="C54:P54" si="51">C89*0.2</f>
        <v>5411.1980000000003</v>
      </c>
      <c r="D54" s="20">
        <f t="shared" si="51"/>
        <v>5607.3440000000001</v>
      </c>
      <c r="E54" s="20">
        <f t="shared" si="51"/>
        <v>961.86400000000003</v>
      </c>
      <c r="F54" s="20">
        <f t="shared" si="51"/>
        <v>333.41200000000009</v>
      </c>
      <c r="G54" s="20">
        <f t="shared" si="51"/>
        <v>19041.48</v>
      </c>
      <c r="H54" s="20">
        <f t="shared" si="51"/>
        <v>861.96</v>
      </c>
      <c r="I54" s="20">
        <f t="shared" si="51"/>
        <v>1134.998</v>
      </c>
      <c r="J54" s="20">
        <f t="shared" si="51"/>
        <v>0</v>
      </c>
      <c r="K54" s="20">
        <f t="shared" si="51"/>
        <v>917.87799999999993</v>
      </c>
      <c r="L54" s="20">
        <f t="shared" si="51"/>
        <v>137.13</v>
      </c>
      <c r="M54" s="20">
        <f t="shared" si="51"/>
        <v>0</v>
      </c>
      <c r="N54" s="20">
        <f t="shared" si="51"/>
        <v>0</v>
      </c>
      <c r="O54" s="20">
        <f t="shared" si="51"/>
        <v>11.428000000000001</v>
      </c>
      <c r="P54" s="20">
        <f t="shared" si="51"/>
        <v>0</v>
      </c>
      <c r="Q54" s="20">
        <f t="shared" si="41"/>
        <v>0</v>
      </c>
      <c r="R54" s="20">
        <f t="shared" si="41"/>
        <v>0</v>
      </c>
      <c r="S54" s="10">
        <f t="shared" si="34"/>
        <v>34418.691999999995</v>
      </c>
      <c r="T54" s="1093">
        <f t="shared" si="36"/>
        <v>5411.1980000000003</v>
      </c>
      <c r="U54" s="1093">
        <f t="shared" si="36"/>
        <v>5607.3440000000001</v>
      </c>
      <c r="V54" s="1093">
        <f t="shared" si="36"/>
        <v>961.86400000000003</v>
      </c>
      <c r="W54" s="1093">
        <f t="shared" si="36"/>
        <v>333.41200000000009</v>
      </c>
      <c r="X54" s="1093">
        <f t="shared" si="36"/>
        <v>19041.48</v>
      </c>
      <c r="Y54" s="1093">
        <f t="shared" si="37"/>
        <v>3063.3940000000002</v>
      </c>
    </row>
    <row r="55" spans="2:25">
      <c r="B55" s="2" t="s">
        <v>102</v>
      </c>
      <c r="C55" s="20">
        <f t="shared" ref="C55:P55" si="52">C90*0.2</f>
        <v>23620.276000000002</v>
      </c>
      <c r="D55" s="20">
        <f t="shared" si="52"/>
        <v>13218.146000000002</v>
      </c>
      <c r="E55" s="20">
        <f t="shared" si="52"/>
        <v>3414.8160000000007</v>
      </c>
      <c r="F55" s="20">
        <f t="shared" si="52"/>
        <v>2331.1479999999997</v>
      </c>
      <c r="G55" s="20">
        <f t="shared" si="52"/>
        <v>120713.58000000002</v>
      </c>
      <c r="H55" s="20">
        <f t="shared" si="52"/>
        <v>2683.83</v>
      </c>
      <c r="I55" s="20">
        <f t="shared" si="52"/>
        <v>3152.5260000000003</v>
      </c>
      <c r="J55" s="20">
        <f t="shared" si="52"/>
        <v>0</v>
      </c>
      <c r="K55" s="20">
        <f t="shared" si="52"/>
        <v>3098.1800000000003</v>
      </c>
      <c r="L55" s="20">
        <f t="shared" si="52"/>
        <v>666.06000000000006</v>
      </c>
      <c r="M55" s="20">
        <f t="shared" si="52"/>
        <v>0</v>
      </c>
      <c r="N55" s="20">
        <f t="shared" si="52"/>
        <v>0</v>
      </c>
      <c r="O55" s="20">
        <f t="shared" si="52"/>
        <v>22.856000000000002</v>
      </c>
      <c r="P55" s="20">
        <f t="shared" si="52"/>
        <v>0</v>
      </c>
      <c r="Q55" s="20">
        <f t="shared" si="41"/>
        <v>0</v>
      </c>
      <c r="R55" s="20">
        <f t="shared" si="41"/>
        <v>0</v>
      </c>
      <c r="S55" s="10">
        <f t="shared" si="34"/>
        <v>172921.41800000001</v>
      </c>
      <c r="T55" s="1093">
        <f t="shared" si="36"/>
        <v>23620.276000000002</v>
      </c>
      <c r="U55" s="1093">
        <f t="shared" si="36"/>
        <v>13218.146000000002</v>
      </c>
      <c r="V55" s="1093">
        <f t="shared" si="36"/>
        <v>3414.8160000000007</v>
      </c>
      <c r="W55" s="1093">
        <f t="shared" si="36"/>
        <v>2331.1479999999997</v>
      </c>
      <c r="X55" s="1093">
        <f t="shared" si="36"/>
        <v>120713.58000000002</v>
      </c>
      <c r="Y55" s="1093">
        <f t="shared" si="37"/>
        <v>9623.4519999999993</v>
      </c>
    </row>
    <row r="56" spans="2:25">
      <c r="B56" s="2" t="s">
        <v>103</v>
      </c>
      <c r="C56" s="20">
        <f t="shared" ref="C56:P56" si="53">C91*0.2</f>
        <v>10380.952000000001</v>
      </c>
      <c r="D56" s="20">
        <f t="shared" si="53"/>
        <v>3809.4639999999999</v>
      </c>
      <c r="E56" s="20">
        <f t="shared" si="53"/>
        <v>988.53400000000011</v>
      </c>
      <c r="F56" s="20">
        <f t="shared" si="53"/>
        <v>546.09600000000012</v>
      </c>
      <c r="G56" s="20">
        <f t="shared" si="53"/>
        <v>31383.18</v>
      </c>
      <c r="H56" s="20">
        <f t="shared" si="53"/>
        <v>1469.25</v>
      </c>
      <c r="I56" s="20">
        <f t="shared" si="53"/>
        <v>947.46799999999985</v>
      </c>
      <c r="J56" s="20">
        <f t="shared" si="53"/>
        <v>0</v>
      </c>
      <c r="K56" s="20">
        <f t="shared" si="53"/>
        <v>1216.808</v>
      </c>
      <c r="L56" s="20">
        <f t="shared" si="53"/>
        <v>313.44000000000005</v>
      </c>
      <c r="M56" s="20">
        <f t="shared" si="53"/>
        <v>0</v>
      </c>
      <c r="N56" s="20">
        <f t="shared" si="53"/>
        <v>0</v>
      </c>
      <c r="O56" s="20">
        <f t="shared" si="53"/>
        <v>22.856000000000002</v>
      </c>
      <c r="P56" s="20">
        <f t="shared" si="53"/>
        <v>0</v>
      </c>
      <c r="Q56" s="20">
        <f t="shared" si="41"/>
        <v>0</v>
      </c>
      <c r="R56" s="20">
        <f t="shared" si="41"/>
        <v>0</v>
      </c>
      <c r="S56" s="10">
        <f t="shared" si="34"/>
        <v>51078.048000000003</v>
      </c>
      <c r="T56" s="1093">
        <f t="shared" si="36"/>
        <v>10380.952000000001</v>
      </c>
      <c r="U56" s="1093">
        <f t="shared" si="36"/>
        <v>3809.4639999999999</v>
      </c>
      <c r="V56" s="1093">
        <f t="shared" si="36"/>
        <v>988.53400000000011</v>
      </c>
      <c r="W56" s="1093">
        <f t="shared" si="36"/>
        <v>546.09600000000012</v>
      </c>
      <c r="X56" s="1093">
        <f t="shared" si="36"/>
        <v>31383.18</v>
      </c>
      <c r="Y56" s="1093">
        <f t="shared" si="37"/>
        <v>3969.8220000000001</v>
      </c>
    </row>
    <row r="57" spans="2:25">
      <c r="B57" s="2" t="s">
        <v>104</v>
      </c>
      <c r="C57" s="20">
        <f t="shared" ref="C57:P57" si="54">C92*0.2</f>
        <v>3606.9620000000004</v>
      </c>
      <c r="D57" s="20">
        <f t="shared" si="54"/>
        <v>3489.4639999999995</v>
      </c>
      <c r="E57" s="20">
        <f t="shared" si="54"/>
        <v>514.928</v>
      </c>
      <c r="F57" s="20">
        <f t="shared" si="54"/>
        <v>524.94800000000009</v>
      </c>
      <c r="G57" s="20">
        <f t="shared" si="54"/>
        <v>8639.19</v>
      </c>
      <c r="H57" s="20">
        <f t="shared" si="54"/>
        <v>509.34</v>
      </c>
      <c r="I57" s="20">
        <f t="shared" si="54"/>
        <v>559.26600000000008</v>
      </c>
      <c r="J57" s="20">
        <f t="shared" si="54"/>
        <v>228.56399999999999</v>
      </c>
      <c r="K57" s="20">
        <f t="shared" si="54"/>
        <v>783.30200000000002</v>
      </c>
      <c r="L57" s="20">
        <f t="shared" si="54"/>
        <v>0</v>
      </c>
      <c r="M57" s="20">
        <f t="shared" si="54"/>
        <v>39.180000000000007</v>
      </c>
      <c r="N57" s="20">
        <f t="shared" si="54"/>
        <v>0</v>
      </c>
      <c r="O57" s="20">
        <f t="shared" si="54"/>
        <v>0</v>
      </c>
      <c r="P57" s="20">
        <f t="shared" si="54"/>
        <v>0</v>
      </c>
      <c r="Q57" s="20">
        <f t="shared" si="41"/>
        <v>0</v>
      </c>
      <c r="R57" s="20">
        <f t="shared" si="41"/>
        <v>0</v>
      </c>
      <c r="S57" s="10">
        <f t="shared" si="34"/>
        <v>18895.143999999997</v>
      </c>
      <c r="T57" s="1093">
        <f t="shared" si="36"/>
        <v>3606.9620000000004</v>
      </c>
      <c r="U57" s="1093">
        <f t="shared" si="36"/>
        <v>3489.4639999999995</v>
      </c>
      <c r="V57" s="1093">
        <f t="shared" si="36"/>
        <v>514.928</v>
      </c>
      <c r="W57" s="1093">
        <f t="shared" si="36"/>
        <v>524.94800000000009</v>
      </c>
      <c r="X57" s="1093">
        <f t="shared" si="36"/>
        <v>8639.19</v>
      </c>
      <c r="Y57" s="1093">
        <f t="shared" si="37"/>
        <v>2119.652</v>
      </c>
    </row>
    <row r="58" spans="2:25">
      <c r="B58" s="2" t="s">
        <v>105</v>
      </c>
      <c r="C58" s="20">
        <f t="shared" ref="C58:P58" si="55">C93*0.2</f>
        <v>30532.190000000002</v>
      </c>
      <c r="D58" s="20">
        <f t="shared" si="55"/>
        <v>15162.85</v>
      </c>
      <c r="E58" s="20">
        <f t="shared" si="55"/>
        <v>3907.75</v>
      </c>
      <c r="F58" s="20">
        <f t="shared" si="55"/>
        <v>2491.1059999999998</v>
      </c>
      <c r="G58" s="20">
        <f t="shared" si="55"/>
        <v>92014.23000000001</v>
      </c>
      <c r="H58" s="20">
        <f t="shared" si="55"/>
        <v>2546.7000000000003</v>
      </c>
      <c r="I58" s="20">
        <f t="shared" si="55"/>
        <v>5223.1980000000003</v>
      </c>
      <c r="J58" s="20">
        <f t="shared" si="55"/>
        <v>0</v>
      </c>
      <c r="K58" s="20">
        <f t="shared" si="55"/>
        <v>3544.9720000000002</v>
      </c>
      <c r="L58" s="20">
        <f t="shared" si="55"/>
        <v>470.16000000000008</v>
      </c>
      <c r="M58" s="20">
        <f t="shared" si="55"/>
        <v>0</v>
      </c>
      <c r="N58" s="20">
        <f t="shared" si="55"/>
        <v>0</v>
      </c>
      <c r="O58" s="20">
        <f t="shared" si="55"/>
        <v>85.710000000000008</v>
      </c>
      <c r="P58" s="20">
        <f t="shared" si="55"/>
        <v>0</v>
      </c>
      <c r="Q58" s="20">
        <f t="shared" si="41"/>
        <v>0</v>
      </c>
      <c r="R58" s="20">
        <f t="shared" si="41"/>
        <v>0</v>
      </c>
      <c r="S58" s="10">
        <f t="shared" si="34"/>
        <v>155978.86600000004</v>
      </c>
      <c r="T58" s="1093">
        <f t="shared" si="36"/>
        <v>30532.190000000002</v>
      </c>
      <c r="U58" s="1093">
        <f t="shared" si="36"/>
        <v>15162.85</v>
      </c>
      <c r="V58" s="1093">
        <f t="shared" si="36"/>
        <v>3907.75</v>
      </c>
      <c r="W58" s="1093">
        <f t="shared" si="36"/>
        <v>2491.1059999999998</v>
      </c>
      <c r="X58" s="1093">
        <f t="shared" si="36"/>
        <v>92014.23000000001</v>
      </c>
      <c r="Y58" s="1093">
        <f t="shared" si="37"/>
        <v>11870.74</v>
      </c>
    </row>
    <row r="59" spans="2:25">
      <c r="B59" s="2" t="s">
        <v>106</v>
      </c>
      <c r="C59" s="20">
        <f t="shared" ref="C59:P59" si="56">C94*0.2</f>
        <v>4764.7080000000005</v>
      </c>
      <c r="D59" s="20">
        <f t="shared" si="56"/>
        <v>4432.8360000000002</v>
      </c>
      <c r="E59" s="20">
        <f t="shared" si="56"/>
        <v>312.36400000000003</v>
      </c>
      <c r="F59" s="20">
        <f t="shared" si="56"/>
        <v>31.564000000000036</v>
      </c>
      <c r="G59" s="20">
        <f t="shared" si="56"/>
        <v>15926.670000000002</v>
      </c>
      <c r="H59" s="20">
        <f t="shared" si="56"/>
        <v>548.52</v>
      </c>
      <c r="I59" s="20">
        <f t="shared" si="56"/>
        <v>1240.1080000000002</v>
      </c>
      <c r="J59" s="20">
        <f t="shared" si="56"/>
        <v>628.26600000000008</v>
      </c>
      <c r="K59" s="20">
        <f t="shared" si="56"/>
        <v>601.47</v>
      </c>
      <c r="L59" s="20">
        <f t="shared" si="56"/>
        <v>39.180000000000007</v>
      </c>
      <c r="M59" s="20">
        <f t="shared" si="56"/>
        <v>0</v>
      </c>
      <c r="N59" s="20">
        <f t="shared" si="56"/>
        <v>0</v>
      </c>
      <c r="O59" s="20">
        <f t="shared" si="56"/>
        <v>11.428000000000001</v>
      </c>
      <c r="P59" s="20">
        <f t="shared" si="56"/>
        <v>0</v>
      </c>
      <c r="Q59" s="20">
        <f t="shared" si="41"/>
        <v>0</v>
      </c>
      <c r="R59" s="20">
        <f t="shared" si="41"/>
        <v>0</v>
      </c>
      <c r="S59" s="10">
        <f t="shared" si="34"/>
        <v>28537.114000000005</v>
      </c>
      <c r="T59" s="1093">
        <f t="shared" si="36"/>
        <v>4764.7080000000005</v>
      </c>
      <c r="U59" s="1093">
        <f t="shared" si="36"/>
        <v>4432.8360000000002</v>
      </c>
      <c r="V59" s="1093">
        <f t="shared" si="36"/>
        <v>312.36400000000003</v>
      </c>
      <c r="W59" s="1093">
        <f t="shared" si="36"/>
        <v>31.564000000000036</v>
      </c>
      <c r="X59" s="1093">
        <f t="shared" si="36"/>
        <v>15926.670000000002</v>
      </c>
      <c r="Y59" s="1093">
        <f t="shared" si="37"/>
        <v>3068.9720000000002</v>
      </c>
    </row>
    <row r="60" spans="2:25">
      <c r="B60" s="2" t="s">
        <v>107</v>
      </c>
      <c r="C60" s="20">
        <f t="shared" ref="C60:P60" si="57">C95*0.2</f>
        <v>44703.534000000007</v>
      </c>
      <c r="D60" s="20">
        <f t="shared" si="57"/>
        <v>24443.413999999997</v>
      </c>
      <c r="E60" s="20">
        <f t="shared" si="57"/>
        <v>4718.2860000000001</v>
      </c>
      <c r="F60" s="20">
        <f t="shared" si="57"/>
        <v>2621.6380000000008</v>
      </c>
      <c r="G60" s="20">
        <f t="shared" si="57"/>
        <v>157640.73000000001</v>
      </c>
      <c r="H60" s="20">
        <f t="shared" si="57"/>
        <v>1410.48</v>
      </c>
      <c r="I60" s="20">
        <f t="shared" si="57"/>
        <v>5575.4580000000005</v>
      </c>
      <c r="J60" s="20">
        <f t="shared" si="57"/>
        <v>0</v>
      </c>
      <c r="K60" s="20">
        <f t="shared" si="57"/>
        <v>5798.6460000000006</v>
      </c>
      <c r="L60" s="20">
        <f t="shared" si="57"/>
        <v>352.62</v>
      </c>
      <c r="M60" s="20">
        <f t="shared" si="57"/>
        <v>0</v>
      </c>
      <c r="N60" s="20">
        <f t="shared" si="57"/>
        <v>0</v>
      </c>
      <c r="O60" s="20">
        <f t="shared" si="57"/>
        <v>57.14</v>
      </c>
      <c r="P60" s="20">
        <f t="shared" si="57"/>
        <v>0</v>
      </c>
      <c r="Q60" s="20">
        <f t="shared" si="41"/>
        <v>0</v>
      </c>
      <c r="R60" s="20">
        <f t="shared" si="41"/>
        <v>0</v>
      </c>
      <c r="S60" s="10">
        <f t="shared" si="34"/>
        <v>247321.94600000005</v>
      </c>
      <c r="T60" s="1093">
        <f t="shared" si="36"/>
        <v>44703.534000000007</v>
      </c>
      <c r="U60" s="1093">
        <f t="shared" si="36"/>
        <v>24443.413999999997</v>
      </c>
      <c r="V60" s="1093">
        <f t="shared" si="36"/>
        <v>4718.2860000000001</v>
      </c>
      <c r="W60" s="1093">
        <f t="shared" si="36"/>
        <v>2621.6380000000008</v>
      </c>
      <c r="X60" s="1093">
        <f t="shared" si="36"/>
        <v>157640.73000000001</v>
      </c>
      <c r="Y60" s="1093">
        <f t="shared" si="37"/>
        <v>13194.344000000001</v>
      </c>
    </row>
    <row r="61" spans="2:25">
      <c r="B61" s="2" t="s">
        <v>108</v>
      </c>
      <c r="C61" s="20">
        <f t="shared" ref="C61:P61" si="58">C96*0.2</f>
        <v>2343.366</v>
      </c>
      <c r="D61" s="20">
        <f t="shared" si="58"/>
        <v>1197.6360000000004</v>
      </c>
      <c r="E61" s="20">
        <f t="shared" si="58"/>
        <v>217.13600000000002</v>
      </c>
      <c r="F61" s="20">
        <f t="shared" si="58"/>
        <v>189.62199999999999</v>
      </c>
      <c r="G61" s="20">
        <f t="shared" si="58"/>
        <v>14516.19</v>
      </c>
      <c r="H61" s="20">
        <f t="shared" si="58"/>
        <v>411.39</v>
      </c>
      <c r="I61" s="20">
        <f t="shared" si="58"/>
        <v>230.41600000000008</v>
      </c>
      <c r="J61" s="20">
        <f t="shared" si="58"/>
        <v>0</v>
      </c>
      <c r="K61" s="20">
        <f t="shared" si="58"/>
        <v>331.62599999999998</v>
      </c>
      <c r="L61" s="20">
        <f t="shared" si="58"/>
        <v>19.590000000000003</v>
      </c>
      <c r="M61" s="20">
        <f t="shared" si="58"/>
        <v>0</v>
      </c>
      <c r="N61" s="20">
        <f t="shared" si="58"/>
        <v>0</v>
      </c>
      <c r="O61" s="20">
        <f t="shared" si="58"/>
        <v>0</v>
      </c>
      <c r="P61" s="20">
        <f t="shared" si="58"/>
        <v>0</v>
      </c>
      <c r="Q61" s="20">
        <f t="shared" si="41"/>
        <v>53.603999999999999</v>
      </c>
      <c r="R61" s="20">
        <f t="shared" si="41"/>
        <v>54.158000000000008</v>
      </c>
      <c r="S61" s="10">
        <f t="shared" si="34"/>
        <v>19564.734</v>
      </c>
      <c r="T61" s="1093">
        <f t="shared" si="36"/>
        <v>2343.366</v>
      </c>
      <c r="U61" s="1093">
        <f t="shared" si="36"/>
        <v>1197.6360000000004</v>
      </c>
      <c r="V61" s="1093">
        <f t="shared" si="36"/>
        <v>217.13600000000002</v>
      </c>
      <c r="W61" s="1093">
        <f t="shared" si="36"/>
        <v>189.62199999999999</v>
      </c>
      <c r="X61" s="1093">
        <f t="shared" si="36"/>
        <v>14516.19</v>
      </c>
      <c r="Y61" s="1093">
        <f t="shared" si="37"/>
        <v>1100.7839999999999</v>
      </c>
    </row>
    <row r="62" spans="2:25">
      <c r="B62" s="2" t="s">
        <v>109</v>
      </c>
      <c r="C62" s="20">
        <f t="shared" ref="C62:P62" si="59">C97*0.2</f>
        <v>293.32600000000002</v>
      </c>
      <c r="D62" s="20">
        <f t="shared" si="59"/>
        <v>122.48999999999997</v>
      </c>
      <c r="E62" s="20">
        <f t="shared" si="59"/>
        <v>54.855999999999995</v>
      </c>
      <c r="F62" s="20">
        <f t="shared" si="59"/>
        <v>0</v>
      </c>
      <c r="G62" s="20">
        <f t="shared" si="59"/>
        <v>2820.96</v>
      </c>
      <c r="H62" s="20">
        <f t="shared" si="59"/>
        <v>195.9</v>
      </c>
      <c r="I62" s="20">
        <f t="shared" si="59"/>
        <v>24.566000000000003</v>
      </c>
      <c r="J62" s="20">
        <f t="shared" si="59"/>
        <v>0</v>
      </c>
      <c r="K62" s="20">
        <f t="shared" si="59"/>
        <v>21.204000000000004</v>
      </c>
      <c r="L62" s="20">
        <f t="shared" si="59"/>
        <v>19.590000000000003</v>
      </c>
      <c r="M62" s="20">
        <f t="shared" si="59"/>
        <v>0</v>
      </c>
      <c r="N62" s="20">
        <f t="shared" si="59"/>
        <v>0</v>
      </c>
      <c r="O62" s="20">
        <f t="shared" si="59"/>
        <v>0</v>
      </c>
      <c r="P62" s="20">
        <f t="shared" si="59"/>
        <v>0</v>
      </c>
      <c r="Q62" s="20">
        <f t="shared" si="41"/>
        <v>0</v>
      </c>
      <c r="R62" s="20">
        <f t="shared" si="41"/>
        <v>0</v>
      </c>
      <c r="S62" s="10">
        <f t="shared" si="34"/>
        <v>3552.8920000000003</v>
      </c>
      <c r="T62" s="1093">
        <f t="shared" si="36"/>
        <v>293.32600000000002</v>
      </c>
      <c r="U62" s="1093">
        <f t="shared" si="36"/>
        <v>122.48999999999997</v>
      </c>
      <c r="V62" s="1093">
        <f t="shared" si="36"/>
        <v>54.855999999999995</v>
      </c>
      <c r="W62" s="1093">
        <f t="shared" si="36"/>
        <v>0</v>
      </c>
      <c r="X62" s="1093">
        <f t="shared" si="36"/>
        <v>2820.96</v>
      </c>
      <c r="Y62" s="1093">
        <f t="shared" si="37"/>
        <v>261.26</v>
      </c>
    </row>
    <row r="63" spans="2:25">
      <c r="B63" s="2" t="s">
        <v>110</v>
      </c>
      <c r="C63" s="20">
        <f t="shared" ref="C63:P63" si="60">C98*0.2</f>
        <v>16252.404000000002</v>
      </c>
      <c r="D63" s="20">
        <f t="shared" si="60"/>
        <v>10432.948000000002</v>
      </c>
      <c r="E63" s="20">
        <f t="shared" si="60"/>
        <v>2220.672</v>
      </c>
      <c r="F63" s="20">
        <f t="shared" si="60"/>
        <v>1662.9620000000004</v>
      </c>
      <c r="G63" s="20">
        <f t="shared" si="60"/>
        <v>99105.81</v>
      </c>
      <c r="H63" s="20">
        <f t="shared" si="60"/>
        <v>1253.7600000000002</v>
      </c>
      <c r="I63" s="20">
        <f t="shared" si="60"/>
        <v>3113.2360000000003</v>
      </c>
      <c r="J63" s="20">
        <f t="shared" si="60"/>
        <v>0</v>
      </c>
      <c r="K63" s="20">
        <f t="shared" si="60"/>
        <v>2304.0699999999997</v>
      </c>
      <c r="L63" s="20">
        <f t="shared" si="60"/>
        <v>176.31</v>
      </c>
      <c r="M63" s="20">
        <f t="shared" si="60"/>
        <v>78.360000000000014</v>
      </c>
      <c r="N63" s="20">
        <f t="shared" si="60"/>
        <v>0</v>
      </c>
      <c r="O63" s="20">
        <f t="shared" si="60"/>
        <v>17.141999999999999</v>
      </c>
      <c r="P63" s="20">
        <f t="shared" si="60"/>
        <v>0</v>
      </c>
      <c r="Q63" s="20">
        <f t="shared" si="41"/>
        <v>0</v>
      </c>
      <c r="R63" s="20">
        <f t="shared" si="41"/>
        <v>0</v>
      </c>
      <c r="S63" s="10">
        <f t="shared" si="34"/>
        <v>136617.67399999997</v>
      </c>
      <c r="T63" s="1093">
        <f t="shared" si="36"/>
        <v>16252.404000000002</v>
      </c>
      <c r="U63" s="1093">
        <f t="shared" si="36"/>
        <v>10432.948000000002</v>
      </c>
      <c r="V63" s="1093">
        <f t="shared" si="36"/>
        <v>2220.672</v>
      </c>
      <c r="W63" s="1093">
        <f t="shared" si="36"/>
        <v>1662.9620000000004</v>
      </c>
      <c r="X63" s="1093">
        <f t="shared" si="36"/>
        <v>99105.81</v>
      </c>
      <c r="Y63" s="1093">
        <f t="shared" si="37"/>
        <v>6942.8780000000006</v>
      </c>
    </row>
    <row r="64" spans="2:25">
      <c r="B64" s="2" t="s">
        <v>111</v>
      </c>
      <c r="C64" s="20">
        <f t="shared" ref="C64:P64" si="61">C99*0.2</f>
        <v>98805.126000000004</v>
      </c>
      <c r="D64" s="20">
        <f t="shared" si="61"/>
        <v>78637.521999999983</v>
      </c>
      <c r="E64" s="20">
        <f t="shared" si="61"/>
        <v>10757.694000000001</v>
      </c>
      <c r="F64" s="20">
        <f t="shared" si="61"/>
        <v>13244.173999999999</v>
      </c>
      <c r="G64" s="20">
        <f t="shared" si="61"/>
        <v>521642.52</v>
      </c>
      <c r="H64" s="20">
        <f t="shared" si="61"/>
        <v>6974.04</v>
      </c>
      <c r="I64" s="20">
        <f t="shared" si="61"/>
        <v>26497.409999999993</v>
      </c>
      <c r="J64" s="20">
        <f t="shared" si="61"/>
        <v>0</v>
      </c>
      <c r="K64" s="20">
        <f t="shared" si="61"/>
        <v>13114.601999999999</v>
      </c>
      <c r="L64" s="20">
        <f t="shared" si="61"/>
        <v>1175.4000000000001</v>
      </c>
      <c r="M64" s="20">
        <f t="shared" si="61"/>
        <v>117.54000000000002</v>
      </c>
      <c r="N64" s="20">
        <f t="shared" si="61"/>
        <v>0</v>
      </c>
      <c r="O64" s="20">
        <f t="shared" si="61"/>
        <v>599.976</v>
      </c>
      <c r="P64" s="20">
        <f t="shared" si="61"/>
        <v>0</v>
      </c>
      <c r="Q64" s="20">
        <v>0</v>
      </c>
      <c r="R64" s="20">
        <v>0</v>
      </c>
      <c r="S64" s="10">
        <f t="shared" si="34"/>
        <v>771566.00400000007</v>
      </c>
      <c r="T64" s="1093">
        <f t="shared" si="36"/>
        <v>98805.126000000004</v>
      </c>
      <c r="U64" s="1093">
        <f t="shared" si="36"/>
        <v>78637.521999999983</v>
      </c>
      <c r="V64" s="1093">
        <f t="shared" si="36"/>
        <v>10757.694000000001</v>
      </c>
      <c r="W64" s="1093">
        <f t="shared" si="36"/>
        <v>13244.173999999999</v>
      </c>
      <c r="X64" s="1093">
        <f t="shared" si="36"/>
        <v>521642.52</v>
      </c>
      <c r="Y64" s="1093">
        <f t="shared" si="37"/>
        <v>48478.967999999993</v>
      </c>
    </row>
    <row r="65" spans="2:25">
      <c r="B65" s="2" t="s">
        <v>112</v>
      </c>
      <c r="C65" s="20">
        <f t="shared" ref="C65:P65" si="62">C100*0.2</f>
        <v>2406.7560000000003</v>
      </c>
      <c r="D65" s="20">
        <f t="shared" si="62"/>
        <v>2927.944</v>
      </c>
      <c r="E65" s="20">
        <f t="shared" si="62"/>
        <v>278.08800000000002</v>
      </c>
      <c r="F65" s="20">
        <f t="shared" si="62"/>
        <v>121.84399999999997</v>
      </c>
      <c r="G65" s="20">
        <f t="shared" si="62"/>
        <v>11851.95</v>
      </c>
      <c r="H65" s="20">
        <f t="shared" si="62"/>
        <v>333.03000000000003</v>
      </c>
      <c r="I65" s="20">
        <f t="shared" si="62"/>
        <v>590.44000000000005</v>
      </c>
      <c r="J65" s="20">
        <f t="shared" si="62"/>
        <v>0</v>
      </c>
      <c r="K65" s="20">
        <f t="shared" si="62"/>
        <v>371.21800000000007</v>
      </c>
      <c r="L65" s="20">
        <f t="shared" si="62"/>
        <v>39.180000000000007</v>
      </c>
      <c r="M65" s="20">
        <f t="shared" si="62"/>
        <v>0</v>
      </c>
      <c r="N65" s="20">
        <f t="shared" si="62"/>
        <v>0</v>
      </c>
      <c r="O65" s="20">
        <f t="shared" si="62"/>
        <v>0</v>
      </c>
      <c r="P65" s="20">
        <f t="shared" si="62"/>
        <v>0</v>
      </c>
      <c r="Q65" s="20">
        <f>Q100*0.2</f>
        <v>0</v>
      </c>
      <c r="R65" s="20">
        <f>R100*0.2</f>
        <v>70.184000000000012</v>
      </c>
      <c r="S65" s="10">
        <f t="shared" si="34"/>
        <v>18990.634000000002</v>
      </c>
      <c r="T65" s="1093">
        <f t="shared" si="36"/>
        <v>2406.7560000000003</v>
      </c>
      <c r="U65" s="1093">
        <f t="shared" si="36"/>
        <v>2927.944</v>
      </c>
      <c r="V65" s="1093">
        <f t="shared" si="36"/>
        <v>278.08800000000002</v>
      </c>
      <c r="W65" s="1093">
        <f t="shared" si="36"/>
        <v>121.84399999999997</v>
      </c>
      <c r="X65" s="1093">
        <f t="shared" si="36"/>
        <v>11851.95</v>
      </c>
      <c r="Y65" s="1093">
        <f t="shared" si="37"/>
        <v>1404.0520000000001</v>
      </c>
    </row>
    <row r="66" spans="2:25">
      <c r="B66" s="2" t="s">
        <v>113</v>
      </c>
      <c r="C66" s="20">
        <f t="shared" ref="C66:P66" si="63">C101*0.2</f>
        <v>2093.732</v>
      </c>
      <c r="D66" s="20">
        <f t="shared" si="63"/>
        <v>576.49599999999998</v>
      </c>
      <c r="E66" s="20">
        <f t="shared" si="63"/>
        <v>279.988</v>
      </c>
      <c r="F66" s="20">
        <f t="shared" si="63"/>
        <v>331.81200000000001</v>
      </c>
      <c r="G66" s="20">
        <f t="shared" si="63"/>
        <v>8227.8000000000011</v>
      </c>
      <c r="H66" s="20">
        <f t="shared" si="63"/>
        <v>254.67</v>
      </c>
      <c r="I66" s="20">
        <f t="shared" si="63"/>
        <v>203.41400000000002</v>
      </c>
      <c r="J66" s="20">
        <f t="shared" si="63"/>
        <v>0</v>
      </c>
      <c r="K66" s="20">
        <f t="shared" si="63"/>
        <v>299.56800000000004</v>
      </c>
      <c r="L66" s="20">
        <f t="shared" si="63"/>
        <v>137.13</v>
      </c>
      <c r="M66" s="20">
        <f t="shared" si="63"/>
        <v>0</v>
      </c>
      <c r="N66" s="20">
        <f t="shared" si="63"/>
        <v>0</v>
      </c>
      <c r="O66" s="20">
        <f t="shared" si="63"/>
        <v>0</v>
      </c>
      <c r="P66" s="20">
        <f t="shared" si="63"/>
        <v>0</v>
      </c>
      <c r="Q66" s="20">
        <f>Q101*0.2</f>
        <v>0</v>
      </c>
      <c r="R66" s="20">
        <f>R101*0.2</f>
        <v>0</v>
      </c>
      <c r="S66" s="10">
        <f t="shared" si="34"/>
        <v>12404.61</v>
      </c>
      <c r="T66" s="1093">
        <f t="shared" si="36"/>
        <v>2093.732</v>
      </c>
      <c r="U66" s="1093">
        <f t="shared" si="36"/>
        <v>576.49599999999998</v>
      </c>
      <c r="V66" s="1093">
        <f t="shared" si="36"/>
        <v>279.988</v>
      </c>
      <c r="W66" s="1093">
        <f t="shared" si="36"/>
        <v>331.81200000000001</v>
      </c>
      <c r="X66" s="1093">
        <f t="shared" si="36"/>
        <v>8227.8000000000011</v>
      </c>
      <c r="Y66" s="1093">
        <f t="shared" si="37"/>
        <v>894.78200000000004</v>
      </c>
    </row>
    <row r="67" spans="2:25">
      <c r="B67" s="7" t="s">
        <v>37</v>
      </c>
      <c r="C67" s="8">
        <f t="shared" ref="C67:T67" si="64">SUM(C40:C66)</f>
        <v>344367.16000000009</v>
      </c>
      <c r="D67" s="8">
        <f t="shared" si="64"/>
        <v>238445.99</v>
      </c>
      <c r="E67" s="8">
        <f t="shared" si="64"/>
        <v>40441.298000000003</v>
      </c>
      <c r="F67" s="8">
        <f t="shared" si="64"/>
        <v>32448.55</v>
      </c>
      <c r="G67" s="8">
        <f t="shared" si="64"/>
        <v>1488585.33</v>
      </c>
      <c r="H67" s="8">
        <f t="shared" si="64"/>
        <v>32323.5</v>
      </c>
      <c r="I67" s="8">
        <f t="shared" si="64"/>
        <v>66091.843999999997</v>
      </c>
      <c r="J67" s="8">
        <f t="shared" si="64"/>
        <v>1679.8840000000002</v>
      </c>
      <c r="K67" s="8">
        <f t="shared" si="64"/>
        <v>46238.436000000009</v>
      </c>
      <c r="L67" s="8">
        <f t="shared" si="64"/>
        <v>4799.55</v>
      </c>
      <c r="M67" s="8">
        <f t="shared" si="64"/>
        <v>313.44000000000005</v>
      </c>
      <c r="N67" s="8">
        <f t="shared" si="64"/>
        <v>975.4860000000001</v>
      </c>
      <c r="O67" s="8">
        <f t="shared" si="64"/>
        <v>1502.796</v>
      </c>
      <c r="P67" s="8">
        <f t="shared" si="64"/>
        <v>0</v>
      </c>
      <c r="Q67" s="8">
        <f t="shared" si="64"/>
        <v>113.96000000000001</v>
      </c>
      <c r="R67" s="8">
        <f t="shared" si="64"/>
        <v>518.98400000000004</v>
      </c>
      <c r="S67" s="11">
        <f t="shared" si="64"/>
        <v>2298846.2080000001</v>
      </c>
      <c r="T67" s="1093">
        <f t="shared" si="64"/>
        <v>344367.16000000009</v>
      </c>
      <c r="U67" s="1093">
        <f t="shared" ref="U67:Y67" si="65">SUM(U40:U66)</f>
        <v>238445.99</v>
      </c>
      <c r="V67" s="1093">
        <f t="shared" si="65"/>
        <v>40441.298000000003</v>
      </c>
      <c r="W67" s="1093">
        <f t="shared" si="65"/>
        <v>32448.55</v>
      </c>
      <c r="X67" s="1093">
        <f t="shared" si="65"/>
        <v>1488585.33</v>
      </c>
      <c r="Y67" s="1093">
        <f t="shared" si="65"/>
        <v>154557.87999999998</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7669.93</v>
      </c>
      <c r="D75" s="20">
        <v>2696.9499999999989</v>
      </c>
      <c r="E75" s="20">
        <v>209.52</v>
      </c>
      <c r="F75" s="20">
        <v>0</v>
      </c>
      <c r="G75" s="20">
        <v>24977.25</v>
      </c>
      <c r="H75" s="20">
        <v>1567.2</v>
      </c>
      <c r="I75" s="20">
        <v>439.99</v>
      </c>
      <c r="J75" s="20">
        <v>0</v>
      </c>
      <c r="K75" s="20">
        <v>642.19000000000005</v>
      </c>
      <c r="L75" s="20">
        <v>587.70000000000005</v>
      </c>
      <c r="M75" s="20">
        <v>0</v>
      </c>
      <c r="N75" s="20">
        <v>0</v>
      </c>
      <c r="O75" s="20">
        <v>0</v>
      </c>
      <c r="P75" s="20">
        <v>0</v>
      </c>
      <c r="Q75" s="20">
        <v>0</v>
      </c>
      <c r="R75" s="20">
        <v>0</v>
      </c>
      <c r="S75" s="10">
        <f t="shared" ref="S75:S101" si="66">SUM(C75:R75)</f>
        <v>38790.729999999996</v>
      </c>
      <c r="T75" s="1093">
        <f>C75</f>
        <v>7669.93</v>
      </c>
      <c r="U75" s="1093">
        <f>D75</f>
        <v>2696.9499999999989</v>
      </c>
      <c r="V75" s="1093">
        <f>E75</f>
        <v>209.52</v>
      </c>
      <c r="W75" s="1093">
        <f>F75</f>
        <v>0</v>
      </c>
      <c r="X75" s="1093">
        <f>G75</f>
        <v>24977.25</v>
      </c>
      <c r="Y75" s="1093">
        <f>SUM(H75:R75)</f>
        <v>3237.08</v>
      </c>
    </row>
    <row r="76" spans="2:25">
      <c r="B76" s="2" t="s">
        <v>88</v>
      </c>
      <c r="C76" s="20">
        <v>26626.54</v>
      </c>
      <c r="D76" s="20">
        <v>21415.090000000004</v>
      </c>
      <c r="E76" s="20">
        <v>1809.46</v>
      </c>
      <c r="F76" s="20">
        <v>950.75999999999976</v>
      </c>
      <c r="G76" s="20">
        <v>63177.75</v>
      </c>
      <c r="H76" s="20">
        <v>1469.25</v>
      </c>
      <c r="I76" s="20">
        <v>4666.42</v>
      </c>
      <c r="J76" s="20">
        <v>0</v>
      </c>
      <c r="K76" s="20">
        <v>3216.87</v>
      </c>
      <c r="L76" s="20">
        <v>195.9</v>
      </c>
      <c r="M76" s="20">
        <v>0</v>
      </c>
      <c r="N76" s="20">
        <v>0</v>
      </c>
      <c r="O76" s="20">
        <v>28.57</v>
      </c>
      <c r="P76" s="20">
        <v>0</v>
      </c>
      <c r="Q76" s="20">
        <v>0</v>
      </c>
      <c r="R76" s="20">
        <v>0</v>
      </c>
      <c r="S76" s="10">
        <f t="shared" si="66"/>
        <v>123556.61</v>
      </c>
      <c r="T76" s="1093">
        <f t="shared" ref="T76:X101" si="67">C76</f>
        <v>26626.54</v>
      </c>
      <c r="U76" s="1093">
        <f t="shared" si="67"/>
        <v>21415.090000000004</v>
      </c>
      <c r="V76" s="1093">
        <f t="shared" si="67"/>
        <v>1809.46</v>
      </c>
      <c r="W76" s="1093">
        <f t="shared" si="67"/>
        <v>950.75999999999976</v>
      </c>
      <c r="X76" s="1093">
        <f t="shared" si="67"/>
        <v>63177.75</v>
      </c>
      <c r="Y76" s="1093">
        <f t="shared" ref="Y76:Y101" si="68">SUM(H76:R76)</f>
        <v>9577.01</v>
      </c>
    </row>
    <row r="77" spans="2:25">
      <c r="B77" s="2" t="s">
        <v>89</v>
      </c>
      <c r="C77" s="20">
        <v>7732.01</v>
      </c>
      <c r="D77" s="20">
        <v>3357.16</v>
      </c>
      <c r="E77" s="20">
        <v>2580.88</v>
      </c>
      <c r="F77" s="20">
        <v>412.53999999999996</v>
      </c>
      <c r="G77" s="20">
        <v>26838.3</v>
      </c>
      <c r="H77" s="20">
        <v>1763.1</v>
      </c>
      <c r="I77" s="20">
        <v>759.17</v>
      </c>
      <c r="J77" s="20">
        <v>0</v>
      </c>
      <c r="K77" s="20">
        <v>936.81</v>
      </c>
      <c r="L77" s="20">
        <v>195.9</v>
      </c>
      <c r="M77" s="20">
        <v>0</v>
      </c>
      <c r="N77" s="20">
        <v>0</v>
      </c>
      <c r="O77" s="20">
        <v>0</v>
      </c>
      <c r="P77" s="20">
        <v>0</v>
      </c>
      <c r="Q77" s="20">
        <v>0</v>
      </c>
      <c r="R77" s="20">
        <v>0</v>
      </c>
      <c r="S77" s="10">
        <f t="shared" si="66"/>
        <v>44575.869999999995</v>
      </c>
      <c r="T77" s="1093">
        <f t="shared" si="67"/>
        <v>7732.01</v>
      </c>
      <c r="U77" s="1093">
        <f t="shared" si="67"/>
        <v>3357.16</v>
      </c>
      <c r="V77" s="1093">
        <f t="shared" si="67"/>
        <v>2580.88</v>
      </c>
      <c r="W77" s="1093">
        <f t="shared" si="67"/>
        <v>412.53999999999996</v>
      </c>
      <c r="X77" s="1093">
        <f t="shared" si="67"/>
        <v>26838.3</v>
      </c>
      <c r="Y77" s="1093">
        <f t="shared" si="68"/>
        <v>3654.98</v>
      </c>
    </row>
    <row r="78" spans="2:25">
      <c r="B78" s="2" t="s">
        <v>90</v>
      </c>
      <c r="C78" s="20">
        <v>18925.32</v>
      </c>
      <c r="D78" s="20">
        <v>21578.92</v>
      </c>
      <c r="E78" s="20">
        <v>1971.36</v>
      </c>
      <c r="F78" s="20">
        <v>2310.5200000000004</v>
      </c>
      <c r="G78" s="20">
        <v>51521.7</v>
      </c>
      <c r="H78" s="20">
        <v>2840.55</v>
      </c>
      <c r="I78" s="20">
        <v>4179.43</v>
      </c>
      <c r="J78" s="20">
        <v>0</v>
      </c>
      <c r="K78" s="20">
        <v>2925.9300000000003</v>
      </c>
      <c r="L78" s="20">
        <v>391.8</v>
      </c>
      <c r="M78" s="20">
        <v>0</v>
      </c>
      <c r="N78" s="20">
        <v>2430.34</v>
      </c>
      <c r="O78" s="20">
        <v>28.57</v>
      </c>
      <c r="P78" s="20">
        <v>0</v>
      </c>
      <c r="Q78" s="20">
        <v>0</v>
      </c>
      <c r="R78" s="20">
        <v>0</v>
      </c>
      <c r="S78" s="10">
        <f t="shared" si="66"/>
        <v>109104.43999999999</v>
      </c>
      <c r="T78" s="1093">
        <f t="shared" si="67"/>
        <v>18925.32</v>
      </c>
      <c r="U78" s="1093">
        <f t="shared" si="67"/>
        <v>21578.92</v>
      </c>
      <c r="V78" s="1093">
        <f t="shared" si="67"/>
        <v>1971.36</v>
      </c>
      <c r="W78" s="1093">
        <f t="shared" si="67"/>
        <v>2310.5200000000004</v>
      </c>
      <c r="X78" s="1093">
        <f t="shared" si="67"/>
        <v>51521.7</v>
      </c>
      <c r="Y78" s="1093">
        <f t="shared" si="68"/>
        <v>12796.619999999999</v>
      </c>
    </row>
    <row r="79" spans="2:25">
      <c r="B79" s="2" t="s">
        <v>91</v>
      </c>
      <c r="C79" s="20">
        <v>54952.45</v>
      </c>
      <c r="D79" s="20">
        <v>25353.679999999993</v>
      </c>
      <c r="E79" s="20">
        <v>6151.65</v>
      </c>
      <c r="F79" s="20">
        <v>3859.1400000000012</v>
      </c>
      <c r="G79" s="20">
        <v>192177.9</v>
      </c>
      <c r="H79" s="20">
        <v>4897.5</v>
      </c>
      <c r="I79" s="20">
        <v>6471.6599999999989</v>
      </c>
      <c r="J79" s="20">
        <v>0</v>
      </c>
      <c r="K79" s="20">
        <v>7299.0999999999995</v>
      </c>
      <c r="L79" s="20">
        <v>195.9</v>
      </c>
      <c r="M79" s="20">
        <v>0</v>
      </c>
      <c r="N79" s="20">
        <v>0</v>
      </c>
      <c r="O79" s="20">
        <v>171.42</v>
      </c>
      <c r="P79" s="20">
        <v>0</v>
      </c>
      <c r="Q79" s="20">
        <v>197.33</v>
      </c>
      <c r="R79" s="20">
        <v>1973.21</v>
      </c>
      <c r="S79" s="10">
        <f t="shared" si="66"/>
        <v>303700.93999999994</v>
      </c>
      <c r="T79" s="1093">
        <f t="shared" si="67"/>
        <v>54952.45</v>
      </c>
      <c r="U79" s="1093">
        <f t="shared" si="67"/>
        <v>25353.679999999993</v>
      </c>
      <c r="V79" s="1093">
        <f t="shared" si="67"/>
        <v>6151.65</v>
      </c>
      <c r="W79" s="1093">
        <f t="shared" si="67"/>
        <v>3859.1400000000012</v>
      </c>
      <c r="X79" s="1093">
        <f t="shared" si="67"/>
        <v>192177.9</v>
      </c>
      <c r="Y79" s="1093">
        <f t="shared" si="68"/>
        <v>21206.12</v>
      </c>
    </row>
    <row r="80" spans="2:25">
      <c r="B80" s="2" t="s">
        <v>92</v>
      </c>
      <c r="C80" s="20">
        <v>25661.58</v>
      </c>
      <c r="D80" s="20">
        <v>14343.049999999996</v>
      </c>
      <c r="E80" s="20">
        <v>2571.3200000000002</v>
      </c>
      <c r="F80" s="20">
        <v>868.58999999999969</v>
      </c>
      <c r="G80" s="20">
        <v>112544.55</v>
      </c>
      <c r="H80" s="20">
        <v>6856.5000000000009</v>
      </c>
      <c r="I80" s="20">
        <v>3158.17</v>
      </c>
      <c r="J80" s="20">
        <v>293.85000000000002</v>
      </c>
      <c r="K80" s="20">
        <v>3340.7599999999998</v>
      </c>
      <c r="L80" s="20">
        <v>97.95</v>
      </c>
      <c r="M80" s="20">
        <v>0</v>
      </c>
      <c r="N80" s="20">
        <v>0</v>
      </c>
      <c r="O80" s="20">
        <v>57.14</v>
      </c>
      <c r="P80" s="20">
        <v>0</v>
      </c>
      <c r="Q80" s="20">
        <v>0</v>
      </c>
      <c r="R80" s="20">
        <v>0</v>
      </c>
      <c r="S80" s="10">
        <f t="shared" si="66"/>
        <v>169793.46000000005</v>
      </c>
      <c r="T80" s="1093">
        <f t="shared" si="67"/>
        <v>25661.58</v>
      </c>
      <c r="U80" s="1093">
        <f t="shared" si="67"/>
        <v>14343.049999999996</v>
      </c>
      <c r="V80" s="1093">
        <f t="shared" si="67"/>
        <v>2571.3200000000002</v>
      </c>
      <c r="W80" s="1093">
        <f t="shared" si="67"/>
        <v>868.58999999999969</v>
      </c>
      <c r="X80" s="1093">
        <f t="shared" si="67"/>
        <v>112544.55</v>
      </c>
      <c r="Y80" s="1093">
        <f t="shared" si="68"/>
        <v>13804.370000000003</v>
      </c>
    </row>
    <row r="81" spans="2:25">
      <c r="B81" s="2" t="s">
        <v>93</v>
      </c>
      <c r="C81" s="20">
        <v>41789.699999999997</v>
      </c>
      <c r="D81" s="20">
        <v>29173.310000000012</v>
      </c>
      <c r="E81" s="20">
        <v>6116.43</v>
      </c>
      <c r="F81" s="20">
        <v>2945.34</v>
      </c>
      <c r="G81" s="20">
        <v>132918.15</v>
      </c>
      <c r="H81" s="20">
        <v>6170.85</v>
      </c>
      <c r="I81" s="20">
        <v>6752.4800000000005</v>
      </c>
      <c r="J81" s="20">
        <v>0</v>
      </c>
      <c r="K81" s="20">
        <v>6567.83</v>
      </c>
      <c r="L81" s="20">
        <v>195.9</v>
      </c>
      <c r="M81" s="20">
        <v>0</v>
      </c>
      <c r="N81" s="20">
        <v>0</v>
      </c>
      <c r="O81" s="20">
        <v>85.71</v>
      </c>
      <c r="P81" s="20">
        <v>0</v>
      </c>
      <c r="Q81" s="20">
        <v>0</v>
      </c>
      <c r="R81" s="20">
        <v>0</v>
      </c>
      <c r="S81" s="10">
        <f t="shared" si="66"/>
        <v>232715.69999999998</v>
      </c>
      <c r="T81" s="1093">
        <f t="shared" si="67"/>
        <v>41789.699999999997</v>
      </c>
      <c r="U81" s="1093">
        <f t="shared" si="67"/>
        <v>29173.310000000012</v>
      </c>
      <c r="V81" s="1093">
        <f t="shared" si="67"/>
        <v>6116.43</v>
      </c>
      <c r="W81" s="1093">
        <f t="shared" si="67"/>
        <v>2945.34</v>
      </c>
      <c r="X81" s="1093">
        <f t="shared" si="67"/>
        <v>132918.15</v>
      </c>
      <c r="Y81" s="1093">
        <f t="shared" si="68"/>
        <v>19772.770000000004</v>
      </c>
    </row>
    <row r="82" spans="2:25">
      <c r="B82" s="2" t="s">
        <v>94</v>
      </c>
      <c r="C82" s="20">
        <v>38993.46</v>
      </c>
      <c r="D82" s="20">
        <v>11073.269999999997</v>
      </c>
      <c r="E82" s="20">
        <v>5252.46</v>
      </c>
      <c r="F82" s="20">
        <v>2179.1399999999994</v>
      </c>
      <c r="G82" s="20">
        <v>122731.35</v>
      </c>
      <c r="H82" s="20">
        <v>8815.5</v>
      </c>
      <c r="I82" s="20">
        <v>4030.3199999999997</v>
      </c>
      <c r="J82" s="20">
        <v>326.52</v>
      </c>
      <c r="K82" s="20">
        <v>5452.6799999999994</v>
      </c>
      <c r="L82" s="20">
        <v>685.65</v>
      </c>
      <c r="M82" s="20">
        <v>0</v>
      </c>
      <c r="N82" s="20">
        <v>0</v>
      </c>
      <c r="O82" s="20">
        <v>85.71</v>
      </c>
      <c r="P82" s="20">
        <v>0</v>
      </c>
      <c r="Q82" s="20">
        <v>0</v>
      </c>
      <c r="R82" s="20">
        <v>0</v>
      </c>
      <c r="S82" s="10">
        <f t="shared" si="66"/>
        <v>199626.05999999997</v>
      </c>
      <c r="T82" s="1093">
        <f t="shared" si="67"/>
        <v>38993.46</v>
      </c>
      <c r="U82" s="1093">
        <f t="shared" si="67"/>
        <v>11073.269999999997</v>
      </c>
      <c r="V82" s="1093">
        <f t="shared" si="67"/>
        <v>5252.46</v>
      </c>
      <c r="W82" s="1093">
        <f t="shared" si="67"/>
        <v>2179.1399999999994</v>
      </c>
      <c r="X82" s="1093">
        <f t="shared" si="67"/>
        <v>122731.35</v>
      </c>
      <c r="Y82" s="1093">
        <f t="shared" si="68"/>
        <v>19396.38</v>
      </c>
    </row>
    <row r="83" spans="2:25">
      <c r="B83" s="2" t="s">
        <v>95</v>
      </c>
      <c r="C83" s="20">
        <v>43637.58</v>
      </c>
      <c r="D83" s="20">
        <v>41051.449999999983</v>
      </c>
      <c r="E83" s="20">
        <v>4914.12</v>
      </c>
      <c r="F83" s="20">
        <v>1033.6999999999998</v>
      </c>
      <c r="G83" s="20">
        <v>259175.7</v>
      </c>
      <c r="H83" s="20">
        <v>4211.8500000000004</v>
      </c>
      <c r="I83" s="20">
        <v>8738.659999999998</v>
      </c>
      <c r="J83" s="20">
        <v>1004.15</v>
      </c>
      <c r="K83" s="20">
        <v>7171.4499999999989</v>
      </c>
      <c r="L83" s="20">
        <v>293.85000000000002</v>
      </c>
      <c r="M83" s="20">
        <v>0</v>
      </c>
      <c r="N83" s="20">
        <v>0</v>
      </c>
      <c r="O83" s="20">
        <v>57.14</v>
      </c>
      <c r="P83" s="20">
        <v>0</v>
      </c>
      <c r="Q83" s="20">
        <v>0</v>
      </c>
      <c r="R83" s="20">
        <v>0</v>
      </c>
      <c r="S83" s="10">
        <f t="shared" si="66"/>
        <v>371289.64999999997</v>
      </c>
      <c r="T83" s="1093">
        <f t="shared" si="67"/>
        <v>43637.58</v>
      </c>
      <c r="U83" s="1093">
        <f t="shared" si="67"/>
        <v>41051.449999999983</v>
      </c>
      <c r="V83" s="1093">
        <f t="shared" si="67"/>
        <v>4914.12</v>
      </c>
      <c r="W83" s="1093">
        <f t="shared" si="67"/>
        <v>1033.6999999999998</v>
      </c>
      <c r="X83" s="1093">
        <f t="shared" si="67"/>
        <v>259175.7</v>
      </c>
      <c r="Y83" s="1093">
        <f t="shared" si="68"/>
        <v>21477.099999999995</v>
      </c>
    </row>
    <row r="84" spans="2:25">
      <c r="B84" s="2" t="s">
        <v>96</v>
      </c>
      <c r="C84" s="20">
        <v>11769.68</v>
      </c>
      <c r="D84" s="20">
        <v>10814.77</v>
      </c>
      <c r="E84" s="20">
        <v>2099.92</v>
      </c>
      <c r="F84" s="20">
        <v>1025.5099999999998</v>
      </c>
      <c r="G84" s="20">
        <v>44175.45</v>
      </c>
      <c r="H84" s="20">
        <v>5485.2</v>
      </c>
      <c r="I84" s="20">
        <v>2555.5300000000002</v>
      </c>
      <c r="J84" s="20">
        <v>0</v>
      </c>
      <c r="K84" s="20">
        <v>1837.74</v>
      </c>
      <c r="L84" s="20">
        <v>391.8</v>
      </c>
      <c r="M84" s="20">
        <v>0</v>
      </c>
      <c r="N84" s="20">
        <v>0</v>
      </c>
      <c r="O84" s="20">
        <v>0</v>
      </c>
      <c r="P84" s="20">
        <v>0</v>
      </c>
      <c r="Q84" s="20">
        <v>0</v>
      </c>
      <c r="R84" s="20">
        <v>0</v>
      </c>
      <c r="S84" s="10">
        <f t="shared" si="66"/>
        <v>80155.600000000006</v>
      </c>
      <c r="T84" s="1093">
        <f t="shared" si="67"/>
        <v>11769.68</v>
      </c>
      <c r="U84" s="1093">
        <f t="shared" si="67"/>
        <v>10814.77</v>
      </c>
      <c r="V84" s="1093">
        <f t="shared" si="67"/>
        <v>2099.92</v>
      </c>
      <c r="W84" s="1093">
        <f t="shared" si="67"/>
        <v>1025.5099999999998</v>
      </c>
      <c r="X84" s="1093">
        <f t="shared" si="67"/>
        <v>44175.45</v>
      </c>
      <c r="Y84" s="1093">
        <f t="shared" si="68"/>
        <v>10270.269999999999</v>
      </c>
    </row>
    <row r="85" spans="2:25">
      <c r="B85" s="2" t="s">
        <v>97</v>
      </c>
      <c r="C85" s="20">
        <v>27854.31</v>
      </c>
      <c r="D85" s="20">
        <v>27638.890000000003</v>
      </c>
      <c r="E85" s="20">
        <v>3206.98</v>
      </c>
      <c r="F85" s="20">
        <v>5129.9900000000016</v>
      </c>
      <c r="G85" s="20">
        <v>226264.5</v>
      </c>
      <c r="H85" s="20">
        <v>2448.75</v>
      </c>
      <c r="I85" s="20">
        <v>5412.09</v>
      </c>
      <c r="J85" s="20">
        <v>2196.9</v>
      </c>
      <c r="K85" s="20">
        <v>4980.2300000000005</v>
      </c>
      <c r="L85" s="20">
        <v>391.8</v>
      </c>
      <c r="M85" s="20">
        <v>0</v>
      </c>
      <c r="N85" s="20">
        <v>0</v>
      </c>
      <c r="O85" s="20">
        <v>28.57</v>
      </c>
      <c r="P85" s="20">
        <v>0</v>
      </c>
      <c r="Q85" s="20">
        <v>0</v>
      </c>
      <c r="R85" s="20">
        <v>0</v>
      </c>
      <c r="S85" s="10">
        <f t="shared" si="66"/>
        <v>305553.01000000007</v>
      </c>
      <c r="T85" s="1093">
        <f t="shared" si="67"/>
        <v>27854.31</v>
      </c>
      <c r="U85" s="1093">
        <f t="shared" si="67"/>
        <v>27638.890000000003</v>
      </c>
      <c r="V85" s="1093">
        <f t="shared" si="67"/>
        <v>3206.98</v>
      </c>
      <c r="W85" s="1093">
        <f t="shared" si="67"/>
        <v>5129.9900000000016</v>
      </c>
      <c r="X85" s="1093">
        <f t="shared" si="67"/>
        <v>226264.5</v>
      </c>
      <c r="Y85" s="1093">
        <f t="shared" si="68"/>
        <v>15458.34</v>
      </c>
    </row>
    <row r="86" spans="2:25">
      <c r="B86" s="2" t="s">
        <v>98</v>
      </c>
      <c r="C86" s="20">
        <v>26214.38</v>
      </c>
      <c r="D86" s="20">
        <v>19951.829999999998</v>
      </c>
      <c r="E86" s="20">
        <v>3685.58</v>
      </c>
      <c r="F86" s="20">
        <v>3026.6099999999997</v>
      </c>
      <c r="G86" s="20">
        <v>144966</v>
      </c>
      <c r="H86" s="20">
        <v>2056.9499999999998</v>
      </c>
      <c r="I86" s="20">
        <v>5311.7699999999995</v>
      </c>
      <c r="J86" s="20">
        <v>0</v>
      </c>
      <c r="K86" s="20">
        <v>3525.32</v>
      </c>
      <c r="L86" s="20">
        <v>391.8</v>
      </c>
      <c r="M86" s="20">
        <v>0</v>
      </c>
      <c r="N86" s="20">
        <v>0</v>
      </c>
      <c r="O86" s="20">
        <v>28.57</v>
      </c>
      <c r="P86" s="20">
        <v>0</v>
      </c>
      <c r="Q86" s="20">
        <v>104.45</v>
      </c>
      <c r="R86" s="20">
        <v>0</v>
      </c>
      <c r="S86" s="10">
        <f t="shared" si="66"/>
        <v>209263.26</v>
      </c>
      <c r="T86" s="1093">
        <f t="shared" si="67"/>
        <v>26214.38</v>
      </c>
      <c r="U86" s="1093">
        <f t="shared" si="67"/>
        <v>19951.829999999998</v>
      </c>
      <c r="V86" s="1093">
        <f t="shared" si="67"/>
        <v>3685.58</v>
      </c>
      <c r="W86" s="1093">
        <f t="shared" si="67"/>
        <v>3026.6099999999997</v>
      </c>
      <c r="X86" s="1093">
        <f t="shared" si="67"/>
        <v>144966</v>
      </c>
      <c r="Y86" s="1093">
        <f t="shared" si="68"/>
        <v>11418.859999999999</v>
      </c>
    </row>
    <row r="87" spans="2:25">
      <c r="B87" s="2" t="s">
        <v>99</v>
      </c>
      <c r="C87" s="20">
        <v>141575.92000000001</v>
      </c>
      <c r="D87" s="20">
        <v>122270.12000000002</v>
      </c>
      <c r="E87" s="20">
        <v>17922.419999999998</v>
      </c>
      <c r="F87" s="20">
        <v>15827.57</v>
      </c>
      <c r="G87" s="20">
        <v>444595.05</v>
      </c>
      <c r="H87" s="20">
        <v>13027.349999999999</v>
      </c>
      <c r="I87" s="20">
        <v>30212.43</v>
      </c>
      <c r="J87" s="20">
        <v>293.85000000000002</v>
      </c>
      <c r="K87" s="20">
        <v>18488.940000000002</v>
      </c>
      <c r="L87" s="20">
        <v>1861.05</v>
      </c>
      <c r="M87" s="20">
        <v>391.8</v>
      </c>
      <c r="N87" s="20">
        <v>2447.09</v>
      </c>
      <c r="O87" s="20">
        <v>2742.76</v>
      </c>
      <c r="P87" s="20">
        <v>0</v>
      </c>
      <c r="Q87" s="20">
        <v>0</v>
      </c>
      <c r="R87" s="20">
        <v>0</v>
      </c>
      <c r="S87" s="10">
        <f t="shared" si="66"/>
        <v>811656.35000000021</v>
      </c>
      <c r="T87" s="1093">
        <f t="shared" si="67"/>
        <v>141575.92000000001</v>
      </c>
      <c r="U87" s="1093">
        <f t="shared" si="67"/>
        <v>122270.12000000002</v>
      </c>
      <c r="V87" s="1093">
        <f t="shared" si="67"/>
        <v>17922.419999999998</v>
      </c>
      <c r="W87" s="1093">
        <f t="shared" si="67"/>
        <v>15827.57</v>
      </c>
      <c r="X87" s="1093">
        <f t="shared" si="67"/>
        <v>444595.05</v>
      </c>
      <c r="Y87" s="1093">
        <f t="shared" si="68"/>
        <v>69465.27</v>
      </c>
    </row>
    <row r="88" spans="2:25">
      <c r="B88" s="2" t="s">
        <v>100</v>
      </c>
      <c r="C88" s="20">
        <v>22360.29</v>
      </c>
      <c r="D88" s="20">
        <v>21218.690000000002</v>
      </c>
      <c r="E88" s="20">
        <v>579.51</v>
      </c>
      <c r="F88" s="20">
        <v>521.71</v>
      </c>
      <c r="G88" s="20">
        <v>79241.55</v>
      </c>
      <c r="H88" s="20">
        <v>2742.6</v>
      </c>
      <c r="I88" s="20">
        <v>5308.5800000000008</v>
      </c>
      <c r="J88" s="20">
        <v>0</v>
      </c>
      <c r="K88" s="20">
        <v>2788.61</v>
      </c>
      <c r="L88" s="20">
        <v>391.8</v>
      </c>
      <c r="M88" s="20">
        <v>0</v>
      </c>
      <c r="N88" s="20">
        <v>0</v>
      </c>
      <c r="O88" s="20">
        <v>57.14</v>
      </c>
      <c r="P88" s="20">
        <v>0</v>
      </c>
      <c r="Q88" s="20">
        <v>0</v>
      </c>
      <c r="R88" s="20">
        <v>0</v>
      </c>
      <c r="S88" s="10">
        <f t="shared" si="66"/>
        <v>135210.47999999998</v>
      </c>
      <c r="T88" s="1093">
        <f t="shared" si="67"/>
        <v>22360.29</v>
      </c>
      <c r="U88" s="1093">
        <f t="shared" si="67"/>
        <v>21218.690000000002</v>
      </c>
      <c r="V88" s="1093">
        <f t="shared" si="67"/>
        <v>579.51</v>
      </c>
      <c r="W88" s="1093">
        <f t="shared" si="67"/>
        <v>521.71</v>
      </c>
      <c r="X88" s="1093">
        <f t="shared" si="67"/>
        <v>79241.55</v>
      </c>
      <c r="Y88" s="1093">
        <f t="shared" si="68"/>
        <v>11288.73</v>
      </c>
    </row>
    <row r="89" spans="2:25">
      <c r="B89" s="2" t="s">
        <v>101</v>
      </c>
      <c r="C89" s="20">
        <v>27055.99</v>
      </c>
      <c r="D89" s="20">
        <v>28036.719999999998</v>
      </c>
      <c r="E89" s="20">
        <v>4809.32</v>
      </c>
      <c r="F89" s="20">
        <v>1667.0600000000004</v>
      </c>
      <c r="G89" s="20">
        <v>95207.4</v>
      </c>
      <c r="H89" s="20">
        <v>4309.8</v>
      </c>
      <c r="I89" s="20">
        <v>5674.99</v>
      </c>
      <c r="J89" s="20">
        <v>0</v>
      </c>
      <c r="K89" s="20">
        <v>4589.3899999999994</v>
      </c>
      <c r="L89" s="20">
        <v>685.65</v>
      </c>
      <c r="M89" s="20">
        <v>0</v>
      </c>
      <c r="N89" s="20">
        <v>0</v>
      </c>
      <c r="O89" s="20">
        <v>57.14</v>
      </c>
      <c r="P89" s="20">
        <v>0</v>
      </c>
      <c r="Q89" s="20">
        <v>0</v>
      </c>
      <c r="R89" s="20">
        <v>0</v>
      </c>
      <c r="S89" s="10">
        <f t="shared" si="66"/>
        <v>172093.46</v>
      </c>
      <c r="T89" s="1093">
        <f t="shared" si="67"/>
        <v>27055.99</v>
      </c>
      <c r="U89" s="1093">
        <f t="shared" si="67"/>
        <v>28036.719999999998</v>
      </c>
      <c r="V89" s="1093">
        <f t="shared" si="67"/>
        <v>4809.32</v>
      </c>
      <c r="W89" s="1093">
        <f t="shared" si="67"/>
        <v>1667.0600000000004</v>
      </c>
      <c r="X89" s="1093">
        <f t="shared" si="67"/>
        <v>95207.4</v>
      </c>
      <c r="Y89" s="1093">
        <f t="shared" si="68"/>
        <v>15316.97</v>
      </c>
    </row>
    <row r="90" spans="2:25">
      <c r="B90" s="2" t="s">
        <v>102</v>
      </c>
      <c r="C90" s="20">
        <v>118101.38</v>
      </c>
      <c r="D90" s="20">
        <v>66090.73000000001</v>
      </c>
      <c r="E90" s="20">
        <v>17074.080000000002</v>
      </c>
      <c r="F90" s="20">
        <v>11655.739999999998</v>
      </c>
      <c r="G90" s="20">
        <v>603567.9</v>
      </c>
      <c r="H90" s="20">
        <v>13419.15</v>
      </c>
      <c r="I90" s="20">
        <v>15762.630000000001</v>
      </c>
      <c r="J90" s="20">
        <v>0</v>
      </c>
      <c r="K90" s="20">
        <v>15490.900000000001</v>
      </c>
      <c r="L90" s="20">
        <v>3330.3</v>
      </c>
      <c r="M90" s="20">
        <v>0</v>
      </c>
      <c r="N90" s="20">
        <v>0</v>
      </c>
      <c r="O90" s="20">
        <v>114.28</v>
      </c>
      <c r="P90" s="20">
        <v>0</v>
      </c>
      <c r="Q90" s="20">
        <v>0</v>
      </c>
      <c r="R90" s="20">
        <v>0</v>
      </c>
      <c r="S90" s="10">
        <f t="shared" si="66"/>
        <v>864607.0900000002</v>
      </c>
      <c r="T90" s="1093">
        <f t="shared" si="67"/>
        <v>118101.38</v>
      </c>
      <c r="U90" s="1093">
        <f t="shared" si="67"/>
        <v>66090.73000000001</v>
      </c>
      <c r="V90" s="1093">
        <f t="shared" si="67"/>
        <v>17074.080000000002</v>
      </c>
      <c r="W90" s="1093">
        <f t="shared" si="67"/>
        <v>11655.739999999998</v>
      </c>
      <c r="X90" s="1093">
        <f t="shared" si="67"/>
        <v>603567.9</v>
      </c>
      <c r="Y90" s="1093">
        <f t="shared" si="68"/>
        <v>48117.26</v>
      </c>
    </row>
    <row r="91" spans="2:25">
      <c r="B91" s="2" t="s">
        <v>103</v>
      </c>
      <c r="C91" s="20">
        <v>51904.76</v>
      </c>
      <c r="D91" s="20">
        <v>19047.32</v>
      </c>
      <c r="E91" s="20">
        <v>4942.67</v>
      </c>
      <c r="F91" s="20">
        <v>2730.4800000000005</v>
      </c>
      <c r="G91" s="20">
        <v>156915.9</v>
      </c>
      <c r="H91" s="20">
        <v>7346.25</v>
      </c>
      <c r="I91" s="20">
        <v>4737.3399999999992</v>
      </c>
      <c r="J91" s="20">
        <v>0</v>
      </c>
      <c r="K91" s="20">
        <v>6084.04</v>
      </c>
      <c r="L91" s="20">
        <v>1567.2</v>
      </c>
      <c r="M91" s="20">
        <v>0</v>
      </c>
      <c r="N91" s="20">
        <v>0</v>
      </c>
      <c r="O91" s="20">
        <v>114.28</v>
      </c>
      <c r="P91" s="20">
        <v>0</v>
      </c>
      <c r="Q91" s="20">
        <v>0</v>
      </c>
      <c r="R91" s="20">
        <v>0</v>
      </c>
      <c r="S91" s="10">
        <f t="shared" si="66"/>
        <v>255390.24000000002</v>
      </c>
      <c r="T91" s="1093">
        <f t="shared" si="67"/>
        <v>51904.76</v>
      </c>
      <c r="U91" s="1093">
        <f t="shared" si="67"/>
        <v>19047.32</v>
      </c>
      <c r="V91" s="1093">
        <f t="shared" si="67"/>
        <v>4942.67</v>
      </c>
      <c r="W91" s="1093">
        <f t="shared" si="67"/>
        <v>2730.4800000000005</v>
      </c>
      <c r="X91" s="1093">
        <f t="shared" si="67"/>
        <v>156915.9</v>
      </c>
      <c r="Y91" s="1093">
        <f t="shared" si="68"/>
        <v>19849.11</v>
      </c>
    </row>
    <row r="92" spans="2:25">
      <c r="B92" s="2" t="s">
        <v>104</v>
      </c>
      <c r="C92" s="20">
        <v>18034.810000000001</v>
      </c>
      <c r="D92" s="20">
        <v>17447.319999999996</v>
      </c>
      <c r="E92" s="20">
        <v>2574.64</v>
      </c>
      <c r="F92" s="20">
        <v>2624.7400000000002</v>
      </c>
      <c r="G92" s="20">
        <v>43195.95</v>
      </c>
      <c r="H92" s="20">
        <v>2546.6999999999998</v>
      </c>
      <c r="I92" s="20">
        <v>2796.3300000000004</v>
      </c>
      <c r="J92" s="20">
        <v>1142.82</v>
      </c>
      <c r="K92" s="20">
        <v>3916.5099999999998</v>
      </c>
      <c r="L92" s="20">
        <v>0</v>
      </c>
      <c r="M92" s="20">
        <v>195.9</v>
      </c>
      <c r="N92" s="20">
        <v>0</v>
      </c>
      <c r="O92" s="20">
        <v>0</v>
      </c>
      <c r="P92" s="20">
        <v>0</v>
      </c>
      <c r="Q92" s="20">
        <v>0</v>
      </c>
      <c r="R92" s="20">
        <v>0</v>
      </c>
      <c r="S92" s="10">
        <f t="shared" si="66"/>
        <v>94475.719999999987</v>
      </c>
      <c r="T92" s="1093">
        <f t="shared" si="67"/>
        <v>18034.810000000001</v>
      </c>
      <c r="U92" s="1093">
        <f t="shared" si="67"/>
        <v>17447.319999999996</v>
      </c>
      <c r="V92" s="1093">
        <f t="shared" si="67"/>
        <v>2574.64</v>
      </c>
      <c r="W92" s="1093">
        <f t="shared" si="67"/>
        <v>2624.7400000000002</v>
      </c>
      <c r="X92" s="1093">
        <f t="shared" si="67"/>
        <v>43195.95</v>
      </c>
      <c r="Y92" s="1093">
        <f t="shared" si="68"/>
        <v>10598.26</v>
      </c>
    </row>
    <row r="93" spans="2:25">
      <c r="B93" s="2" t="s">
        <v>105</v>
      </c>
      <c r="C93" s="20">
        <v>152660.95000000001</v>
      </c>
      <c r="D93" s="20">
        <v>75814.25</v>
      </c>
      <c r="E93" s="20">
        <v>19538.75</v>
      </c>
      <c r="F93" s="20">
        <v>12455.529999999999</v>
      </c>
      <c r="G93" s="20">
        <v>460071.15</v>
      </c>
      <c r="H93" s="20">
        <v>12733.5</v>
      </c>
      <c r="I93" s="20">
        <v>26115.99</v>
      </c>
      <c r="J93" s="20">
        <v>0</v>
      </c>
      <c r="K93" s="20">
        <v>17724.86</v>
      </c>
      <c r="L93" s="20">
        <v>2350.8000000000002</v>
      </c>
      <c r="M93" s="20">
        <v>0</v>
      </c>
      <c r="N93" s="20">
        <v>0</v>
      </c>
      <c r="O93" s="20">
        <v>428.55</v>
      </c>
      <c r="P93" s="20">
        <v>0</v>
      </c>
      <c r="Q93" s="20">
        <v>0</v>
      </c>
      <c r="R93" s="20">
        <v>0</v>
      </c>
      <c r="S93" s="10">
        <f t="shared" si="66"/>
        <v>779894.33000000007</v>
      </c>
      <c r="T93" s="1093">
        <f t="shared" si="67"/>
        <v>152660.95000000001</v>
      </c>
      <c r="U93" s="1093">
        <f t="shared" si="67"/>
        <v>75814.25</v>
      </c>
      <c r="V93" s="1093">
        <f t="shared" si="67"/>
        <v>19538.75</v>
      </c>
      <c r="W93" s="1093">
        <f t="shared" si="67"/>
        <v>12455.529999999999</v>
      </c>
      <c r="X93" s="1093">
        <f t="shared" si="67"/>
        <v>460071.15</v>
      </c>
      <c r="Y93" s="1093">
        <f t="shared" si="68"/>
        <v>59353.700000000012</v>
      </c>
    </row>
    <row r="94" spans="2:25">
      <c r="B94" s="2" t="s">
        <v>106</v>
      </c>
      <c r="C94" s="20">
        <v>23823.54</v>
      </c>
      <c r="D94" s="20">
        <v>22164.18</v>
      </c>
      <c r="E94" s="20">
        <v>1561.82</v>
      </c>
      <c r="F94" s="20">
        <v>157.82000000000016</v>
      </c>
      <c r="G94" s="20">
        <v>79633.350000000006</v>
      </c>
      <c r="H94" s="20">
        <v>2742.6</v>
      </c>
      <c r="I94" s="20">
        <v>6200.54</v>
      </c>
      <c r="J94" s="20">
        <v>3141.33</v>
      </c>
      <c r="K94" s="20">
        <v>3007.35</v>
      </c>
      <c r="L94" s="20">
        <v>195.9</v>
      </c>
      <c r="M94" s="20">
        <v>0</v>
      </c>
      <c r="N94" s="20">
        <v>0</v>
      </c>
      <c r="O94" s="20">
        <v>57.14</v>
      </c>
      <c r="P94" s="20">
        <v>0</v>
      </c>
      <c r="Q94" s="20">
        <v>0</v>
      </c>
      <c r="R94" s="20">
        <v>0</v>
      </c>
      <c r="S94" s="10">
        <f t="shared" si="66"/>
        <v>142685.57</v>
      </c>
      <c r="T94" s="1093">
        <f t="shared" si="67"/>
        <v>23823.54</v>
      </c>
      <c r="U94" s="1093">
        <f t="shared" si="67"/>
        <v>22164.18</v>
      </c>
      <c r="V94" s="1093">
        <f t="shared" si="67"/>
        <v>1561.82</v>
      </c>
      <c r="W94" s="1093">
        <f t="shared" si="67"/>
        <v>157.82000000000016</v>
      </c>
      <c r="X94" s="1093">
        <f t="shared" si="67"/>
        <v>79633.350000000006</v>
      </c>
      <c r="Y94" s="1093">
        <f t="shared" si="68"/>
        <v>15344.859999999999</v>
      </c>
    </row>
    <row r="95" spans="2:25">
      <c r="B95" s="2" t="s">
        <v>107</v>
      </c>
      <c r="C95" s="20">
        <v>223517.67</v>
      </c>
      <c r="D95" s="20">
        <v>122217.06999999998</v>
      </c>
      <c r="E95" s="20">
        <v>23591.43</v>
      </c>
      <c r="F95" s="20">
        <v>13108.190000000002</v>
      </c>
      <c r="G95" s="20">
        <v>788203.65</v>
      </c>
      <c r="H95" s="20">
        <v>7052.4</v>
      </c>
      <c r="I95" s="20">
        <v>27877.29</v>
      </c>
      <c r="J95" s="20">
        <v>0</v>
      </c>
      <c r="K95" s="20">
        <v>28993.23</v>
      </c>
      <c r="L95" s="20">
        <v>1763.1</v>
      </c>
      <c r="M95" s="20">
        <v>0</v>
      </c>
      <c r="N95" s="20">
        <v>0</v>
      </c>
      <c r="O95" s="20">
        <v>285.7</v>
      </c>
      <c r="P95" s="20">
        <v>0</v>
      </c>
      <c r="Q95" s="20">
        <v>0</v>
      </c>
      <c r="R95" s="20">
        <v>0</v>
      </c>
      <c r="S95" s="10">
        <f t="shared" si="66"/>
        <v>1236609.73</v>
      </c>
      <c r="T95" s="1093">
        <f t="shared" si="67"/>
        <v>223517.67</v>
      </c>
      <c r="U95" s="1093">
        <f t="shared" si="67"/>
        <v>122217.06999999998</v>
      </c>
      <c r="V95" s="1093">
        <f t="shared" si="67"/>
        <v>23591.43</v>
      </c>
      <c r="W95" s="1093">
        <f t="shared" si="67"/>
        <v>13108.190000000002</v>
      </c>
      <c r="X95" s="1093">
        <f t="shared" si="67"/>
        <v>788203.65</v>
      </c>
      <c r="Y95" s="1093">
        <f t="shared" si="68"/>
        <v>65971.72</v>
      </c>
    </row>
    <row r="96" spans="2:25">
      <c r="B96" s="2" t="s">
        <v>108</v>
      </c>
      <c r="C96" s="20">
        <v>11716.83</v>
      </c>
      <c r="D96" s="20">
        <v>5988.1800000000021</v>
      </c>
      <c r="E96" s="20">
        <v>1085.68</v>
      </c>
      <c r="F96" s="20">
        <v>948.1099999999999</v>
      </c>
      <c r="G96" s="20">
        <v>72580.95</v>
      </c>
      <c r="H96" s="20">
        <v>2056.9499999999998</v>
      </c>
      <c r="I96" s="20">
        <v>1152.0800000000004</v>
      </c>
      <c r="J96" s="20">
        <v>0</v>
      </c>
      <c r="K96" s="20">
        <v>1658.1299999999999</v>
      </c>
      <c r="L96" s="20">
        <v>97.95</v>
      </c>
      <c r="M96" s="20">
        <v>0</v>
      </c>
      <c r="N96" s="20">
        <v>0</v>
      </c>
      <c r="O96" s="20">
        <v>0</v>
      </c>
      <c r="P96" s="20">
        <v>0</v>
      </c>
      <c r="Q96" s="20">
        <v>268.02</v>
      </c>
      <c r="R96" s="20">
        <v>270.79000000000002</v>
      </c>
      <c r="S96" s="10">
        <f t="shared" si="66"/>
        <v>97823.67</v>
      </c>
      <c r="T96" s="1093">
        <f t="shared" si="67"/>
        <v>11716.83</v>
      </c>
      <c r="U96" s="1093">
        <f t="shared" si="67"/>
        <v>5988.1800000000021</v>
      </c>
      <c r="V96" s="1093">
        <f t="shared" si="67"/>
        <v>1085.68</v>
      </c>
      <c r="W96" s="1093">
        <f t="shared" si="67"/>
        <v>948.1099999999999</v>
      </c>
      <c r="X96" s="1093">
        <f t="shared" si="67"/>
        <v>72580.95</v>
      </c>
      <c r="Y96" s="1093">
        <f t="shared" si="68"/>
        <v>5503.9199999999992</v>
      </c>
    </row>
    <row r="97" spans="2:25">
      <c r="B97" s="2" t="s">
        <v>109</v>
      </c>
      <c r="C97" s="20">
        <v>1466.63</v>
      </c>
      <c r="D97" s="20">
        <v>612.44999999999982</v>
      </c>
      <c r="E97" s="20">
        <v>274.27999999999997</v>
      </c>
      <c r="F97" s="20">
        <v>0</v>
      </c>
      <c r="G97" s="20">
        <v>14104.8</v>
      </c>
      <c r="H97" s="20">
        <v>979.5</v>
      </c>
      <c r="I97" s="20">
        <v>122.83000000000001</v>
      </c>
      <c r="J97" s="20">
        <v>0</v>
      </c>
      <c r="K97" s="20">
        <v>106.02000000000001</v>
      </c>
      <c r="L97" s="20">
        <v>97.95</v>
      </c>
      <c r="M97" s="20">
        <v>0</v>
      </c>
      <c r="N97" s="20">
        <v>0</v>
      </c>
      <c r="O97" s="20">
        <v>0</v>
      </c>
      <c r="P97" s="20">
        <v>0</v>
      </c>
      <c r="Q97" s="20">
        <v>0</v>
      </c>
      <c r="R97" s="20">
        <v>0</v>
      </c>
      <c r="S97" s="10">
        <f t="shared" si="66"/>
        <v>17764.460000000003</v>
      </c>
      <c r="T97" s="1093">
        <f t="shared" si="67"/>
        <v>1466.63</v>
      </c>
      <c r="U97" s="1093">
        <f t="shared" si="67"/>
        <v>612.44999999999982</v>
      </c>
      <c r="V97" s="1093">
        <f t="shared" si="67"/>
        <v>274.27999999999997</v>
      </c>
      <c r="W97" s="1093">
        <f t="shared" si="67"/>
        <v>0</v>
      </c>
      <c r="X97" s="1093">
        <f t="shared" si="67"/>
        <v>14104.8</v>
      </c>
      <c r="Y97" s="1093">
        <f t="shared" si="68"/>
        <v>1306.3</v>
      </c>
    </row>
    <row r="98" spans="2:25">
      <c r="B98" s="2" t="s">
        <v>110</v>
      </c>
      <c r="C98" s="20">
        <v>81262.02</v>
      </c>
      <c r="D98" s="20">
        <v>52164.740000000005</v>
      </c>
      <c r="E98" s="20">
        <v>11103.36</v>
      </c>
      <c r="F98" s="20">
        <v>8314.8100000000013</v>
      </c>
      <c r="G98" s="20">
        <v>495529.05</v>
      </c>
      <c r="H98" s="20">
        <v>6268.8</v>
      </c>
      <c r="I98" s="20">
        <v>15566.18</v>
      </c>
      <c r="J98" s="20">
        <v>0</v>
      </c>
      <c r="K98" s="20">
        <v>11520.349999999999</v>
      </c>
      <c r="L98" s="20">
        <v>881.55</v>
      </c>
      <c r="M98" s="20">
        <v>391.8</v>
      </c>
      <c r="N98" s="20">
        <v>0</v>
      </c>
      <c r="O98" s="20">
        <v>85.71</v>
      </c>
      <c r="P98" s="20">
        <v>0</v>
      </c>
      <c r="Q98" s="20">
        <v>0</v>
      </c>
      <c r="R98" s="20">
        <v>0</v>
      </c>
      <c r="S98" s="10">
        <f t="shared" si="66"/>
        <v>683088.37000000011</v>
      </c>
      <c r="T98" s="1093">
        <f t="shared" si="67"/>
        <v>81262.02</v>
      </c>
      <c r="U98" s="1093">
        <f t="shared" si="67"/>
        <v>52164.740000000005</v>
      </c>
      <c r="V98" s="1093">
        <f t="shared" si="67"/>
        <v>11103.36</v>
      </c>
      <c r="W98" s="1093">
        <f t="shared" si="67"/>
        <v>8314.8100000000013</v>
      </c>
      <c r="X98" s="1093">
        <f t="shared" si="67"/>
        <v>495529.05</v>
      </c>
      <c r="Y98" s="1093">
        <f t="shared" si="68"/>
        <v>34714.390000000007</v>
      </c>
    </row>
    <row r="99" spans="2:25">
      <c r="B99" s="2" t="s">
        <v>111</v>
      </c>
      <c r="C99" s="20">
        <v>494025.63</v>
      </c>
      <c r="D99" s="20">
        <v>393187.60999999987</v>
      </c>
      <c r="E99" s="20">
        <v>53788.47</v>
      </c>
      <c r="F99" s="20">
        <v>66220.87</v>
      </c>
      <c r="G99" s="20">
        <v>2608212.6</v>
      </c>
      <c r="H99" s="20">
        <v>34870.199999999997</v>
      </c>
      <c r="I99" s="20">
        <v>132487.04999999996</v>
      </c>
      <c r="J99" s="20">
        <v>0</v>
      </c>
      <c r="K99" s="20">
        <v>65573.009999999995</v>
      </c>
      <c r="L99" s="20">
        <v>5877</v>
      </c>
      <c r="M99" s="20">
        <v>587.70000000000005</v>
      </c>
      <c r="N99" s="20">
        <v>0</v>
      </c>
      <c r="O99" s="20">
        <v>2999.88</v>
      </c>
      <c r="P99" s="20">
        <v>0</v>
      </c>
      <c r="Q99" s="20">
        <v>558</v>
      </c>
      <c r="R99" s="20">
        <v>8676.91</v>
      </c>
      <c r="S99" s="10">
        <f t="shared" si="66"/>
        <v>3867064.9299999997</v>
      </c>
      <c r="T99" s="1093">
        <f t="shared" si="67"/>
        <v>494025.63</v>
      </c>
      <c r="U99" s="1093">
        <f t="shared" si="67"/>
        <v>393187.60999999987</v>
      </c>
      <c r="V99" s="1093">
        <f t="shared" si="67"/>
        <v>53788.47</v>
      </c>
      <c r="W99" s="1093">
        <f t="shared" si="67"/>
        <v>66220.87</v>
      </c>
      <c r="X99" s="1093">
        <f t="shared" si="67"/>
        <v>2608212.6</v>
      </c>
      <c r="Y99" s="1093">
        <f t="shared" si="68"/>
        <v>251629.74999999997</v>
      </c>
    </row>
    <row r="100" spans="2:25">
      <c r="B100" s="2" t="s">
        <v>112</v>
      </c>
      <c r="C100" s="20">
        <v>12033.78</v>
      </c>
      <c r="D100" s="20">
        <v>14639.72</v>
      </c>
      <c r="E100" s="20">
        <v>1390.44</v>
      </c>
      <c r="F100" s="20">
        <v>609.2199999999998</v>
      </c>
      <c r="G100" s="20">
        <v>59259.75</v>
      </c>
      <c r="H100" s="20">
        <v>1665.15</v>
      </c>
      <c r="I100" s="20">
        <v>2952.2000000000003</v>
      </c>
      <c r="J100" s="20">
        <v>0</v>
      </c>
      <c r="K100" s="20">
        <v>1856.0900000000001</v>
      </c>
      <c r="L100" s="20">
        <v>195.9</v>
      </c>
      <c r="M100" s="20">
        <v>0</v>
      </c>
      <c r="N100" s="20">
        <v>0</v>
      </c>
      <c r="O100" s="20">
        <v>0</v>
      </c>
      <c r="P100" s="20">
        <v>0</v>
      </c>
      <c r="Q100" s="20">
        <v>0</v>
      </c>
      <c r="R100" s="20">
        <v>350.92</v>
      </c>
      <c r="S100" s="10">
        <f t="shared" si="66"/>
        <v>94953.169999999984</v>
      </c>
      <c r="T100" s="1093">
        <f t="shared" si="67"/>
        <v>12033.78</v>
      </c>
      <c r="U100" s="1093">
        <f t="shared" si="67"/>
        <v>14639.72</v>
      </c>
      <c r="V100" s="1093">
        <f t="shared" si="67"/>
        <v>1390.44</v>
      </c>
      <c r="W100" s="1093">
        <f t="shared" si="67"/>
        <v>609.2199999999998</v>
      </c>
      <c r="X100" s="1093">
        <f t="shared" si="67"/>
        <v>59259.75</v>
      </c>
      <c r="Y100" s="1093">
        <f t="shared" si="68"/>
        <v>7020.26</v>
      </c>
    </row>
    <row r="101" spans="2:25">
      <c r="B101" s="2" t="s">
        <v>113</v>
      </c>
      <c r="C101" s="20">
        <v>10468.66</v>
      </c>
      <c r="D101" s="20">
        <v>2882.4799999999996</v>
      </c>
      <c r="E101" s="20">
        <v>1399.94</v>
      </c>
      <c r="F101" s="20">
        <v>1659.06</v>
      </c>
      <c r="G101" s="20">
        <v>41139</v>
      </c>
      <c r="H101" s="20">
        <v>1273.3499999999999</v>
      </c>
      <c r="I101" s="20">
        <v>1017.07</v>
      </c>
      <c r="J101" s="20">
        <v>0</v>
      </c>
      <c r="K101" s="20">
        <v>1497.8400000000001</v>
      </c>
      <c r="L101" s="20">
        <v>685.65</v>
      </c>
      <c r="M101" s="20">
        <v>0</v>
      </c>
      <c r="N101" s="20">
        <v>0</v>
      </c>
      <c r="O101" s="20">
        <v>0</v>
      </c>
      <c r="P101" s="20">
        <v>0</v>
      </c>
      <c r="Q101" s="20">
        <v>0</v>
      </c>
      <c r="R101" s="20">
        <v>0</v>
      </c>
      <c r="S101" s="10">
        <f t="shared" si="66"/>
        <v>62023.049999999996</v>
      </c>
      <c r="T101" s="1093">
        <f t="shared" si="67"/>
        <v>10468.66</v>
      </c>
      <c r="U101" s="1093">
        <f t="shared" si="67"/>
        <v>2882.4799999999996</v>
      </c>
      <c r="V101" s="1093">
        <f t="shared" si="67"/>
        <v>1399.94</v>
      </c>
      <c r="W101" s="1093">
        <f t="shared" si="67"/>
        <v>1659.06</v>
      </c>
      <c r="X101" s="1093">
        <f t="shared" si="67"/>
        <v>41139</v>
      </c>
      <c r="Y101" s="1093">
        <f t="shared" si="68"/>
        <v>4473.91</v>
      </c>
    </row>
    <row r="102" spans="2:25">
      <c r="B102" s="7" t="s">
        <v>37</v>
      </c>
      <c r="C102" s="6">
        <f t="shared" ref="C102:T102" si="69">SUM(C75:C101)</f>
        <v>1721835.7999999998</v>
      </c>
      <c r="D102" s="6">
        <f t="shared" si="69"/>
        <v>1192229.95</v>
      </c>
      <c r="E102" s="6">
        <f t="shared" si="69"/>
        <v>202206.49000000002</v>
      </c>
      <c r="F102" s="6">
        <f t="shared" si="69"/>
        <v>162242.75</v>
      </c>
      <c r="G102" s="6">
        <f t="shared" si="69"/>
        <v>7442926.6500000004</v>
      </c>
      <c r="H102" s="6">
        <f t="shared" si="69"/>
        <v>161617.49999999997</v>
      </c>
      <c r="I102" s="6">
        <f t="shared" si="69"/>
        <v>330459.21999999997</v>
      </c>
      <c r="J102" s="6">
        <f t="shared" si="69"/>
        <v>8399.42</v>
      </c>
      <c r="K102" s="6">
        <f t="shared" si="69"/>
        <v>231192.18</v>
      </c>
      <c r="L102" s="6">
        <f t="shared" si="69"/>
        <v>23997.750000000004</v>
      </c>
      <c r="M102" s="6">
        <f t="shared" si="69"/>
        <v>1567.2</v>
      </c>
      <c r="N102" s="6">
        <f t="shared" si="69"/>
        <v>4877.43</v>
      </c>
      <c r="O102" s="6">
        <f t="shared" si="69"/>
        <v>7513.9800000000005</v>
      </c>
      <c r="P102" s="27">
        <f t="shared" si="69"/>
        <v>0</v>
      </c>
      <c r="Q102" s="6">
        <f t="shared" si="69"/>
        <v>1127.8</v>
      </c>
      <c r="R102" s="6">
        <f t="shared" si="69"/>
        <v>11271.83</v>
      </c>
      <c r="S102" s="6">
        <f t="shared" si="69"/>
        <v>11503465.950000001</v>
      </c>
      <c r="T102" s="1093">
        <f t="shared" si="69"/>
        <v>1721835.7999999998</v>
      </c>
      <c r="U102" s="1093">
        <f t="shared" ref="U102:Y102" si="70">SUM(U75:U101)</f>
        <v>1192229.95</v>
      </c>
      <c r="V102" s="1093">
        <f t="shared" si="70"/>
        <v>202206.49000000002</v>
      </c>
      <c r="W102" s="1093">
        <f t="shared" si="70"/>
        <v>162242.75</v>
      </c>
      <c r="X102" s="1093">
        <f t="shared" si="70"/>
        <v>7442926.6500000004</v>
      </c>
      <c r="Y102" s="1093">
        <f t="shared" si="70"/>
        <v>782024.31</v>
      </c>
    </row>
    <row r="103" spans="2:25">
      <c r="S103" s="1093"/>
    </row>
    <row r="104" spans="2:25">
      <c r="S104" s="1093"/>
    </row>
    <row r="105" spans="2:25">
      <c r="S105" s="1093"/>
    </row>
  </sheetData>
  <mergeCells count="48">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s>
  <pageMargins left="0.511811024" right="0.511811024" top="0.78740157499999996" bottom="0.78740157499999996" header="0.31496062000000002" footer="0.31496062000000002"/>
  <pageSetup paperSize="9" scale="2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2:V109"/>
  <sheetViews>
    <sheetView topLeftCell="I67" zoomScale="70" zoomScaleNormal="70" zoomScaleSheetLayoutView="90" workbookViewId="0">
      <selection sqref="A1:AC1"/>
    </sheetView>
  </sheetViews>
  <sheetFormatPr defaultRowHeight="15"/>
  <cols>
    <col min="1" max="1" width="29.5703125" style="1087" bestFit="1" customWidth="1"/>
    <col min="2" max="18" width="20.85546875" style="1087" customWidth="1"/>
    <col min="19" max="20" width="16.28515625" style="1087" customWidth="1"/>
    <col min="21" max="21" width="14.140625" style="1087" bestFit="1" customWidth="1"/>
    <col min="22" max="16384" width="9.140625" style="1087"/>
  </cols>
  <sheetData>
    <row r="2" spans="1:21" ht="46.5">
      <c r="A2" s="1235" t="s">
        <v>1109</v>
      </c>
      <c r="B2" s="1236"/>
      <c r="C2" s="1236"/>
      <c r="D2" s="1236"/>
      <c r="E2" s="1236"/>
      <c r="F2" s="1236"/>
      <c r="G2" s="1236"/>
      <c r="H2" s="1236"/>
      <c r="I2" s="1236"/>
      <c r="J2" s="1236"/>
      <c r="K2" s="1236"/>
      <c r="L2" s="1236"/>
      <c r="M2" s="1236"/>
      <c r="N2" s="1236"/>
      <c r="O2" s="1236"/>
      <c r="P2" s="1236"/>
      <c r="Q2" s="1236"/>
      <c r="R2" s="1237"/>
    </row>
    <row r="3" spans="1:21" ht="35.1" customHeight="1">
      <c r="A3" s="1238" t="s">
        <v>33</v>
      </c>
      <c r="B3" s="1240" t="s">
        <v>27</v>
      </c>
      <c r="C3" s="1241"/>
      <c r="D3" s="1240" t="s">
        <v>29</v>
      </c>
      <c r="E3" s="1241"/>
      <c r="F3" s="1238" t="s">
        <v>28</v>
      </c>
      <c r="G3" s="1238" t="s">
        <v>36</v>
      </c>
      <c r="H3" s="1238" t="s">
        <v>30</v>
      </c>
      <c r="I3" s="1238" t="s">
        <v>31</v>
      </c>
      <c r="J3" s="1238" t="s">
        <v>32</v>
      </c>
      <c r="K3" s="1238" t="s">
        <v>35</v>
      </c>
      <c r="L3" s="1238" t="s">
        <v>40</v>
      </c>
      <c r="M3" s="1238" t="s">
        <v>42</v>
      </c>
      <c r="N3" s="1238" t="s">
        <v>45</v>
      </c>
      <c r="O3" s="1238" t="s">
        <v>411</v>
      </c>
      <c r="P3" s="1240" t="s">
        <v>51</v>
      </c>
      <c r="Q3" s="1241"/>
      <c r="R3" s="1238" t="s">
        <v>34</v>
      </c>
    </row>
    <row r="4" spans="1:21" ht="35.1" customHeight="1">
      <c r="A4" s="1239"/>
      <c r="B4" s="28" t="s">
        <v>43</v>
      </c>
      <c r="C4" s="1076" t="s">
        <v>44</v>
      </c>
      <c r="D4" s="28" t="s">
        <v>43</v>
      </c>
      <c r="E4" s="1076" t="s">
        <v>44</v>
      </c>
      <c r="F4" s="1239"/>
      <c r="G4" s="1239"/>
      <c r="H4" s="1239"/>
      <c r="I4" s="1239"/>
      <c r="J4" s="1239"/>
      <c r="K4" s="1239"/>
      <c r="L4" s="1239"/>
      <c r="M4" s="1239"/>
      <c r="N4" s="1239"/>
      <c r="O4" s="1239"/>
      <c r="P4" s="1075" t="s">
        <v>52</v>
      </c>
      <c r="Q4" s="1075" t="s">
        <v>53</v>
      </c>
      <c r="R4" s="1239"/>
      <c r="T4" s="1087" t="s">
        <v>279</v>
      </c>
    </row>
    <row r="5" spans="1:21">
      <c r="A5" s="16" t="s">
        <v>0</v>
      </c>
      <c r="B5" s="25">
        <f>JAN!B5+JAN!S5+FEV!B5+FEV!S5+MAR!B5+MAR!S5+ABR!B5+ABR!S5+MAI!C5+JUN!C5+JUL!C5+AGO!C5+SET!C5+OUT!C5+NOV!C5+DEZ!C5</f>
        <v>122266.952</v>
      </c>
      <c r="C5" s="25">
        <f>JAN!C5+JAN!T5+FEV!C5+FEV!T5+MAR!C5+MAR!T5+ABR!C5+ABR!T5+MAI!D5+JUN!D5+JUL!D5+AGO!D5+SET!D5+OUT!D5+NOV!D5+DEZ!D5</f>
        <v>35448.703999999998</v>
      </c>
      <c r="D5" s="25">
        <f>JAN!D5+JAN!U5+FEV!D5+FEV!U5+MAR!D5+MAR!U5+ABR!D5+ABR!U5+MAI!E5+JUN!E5+JUL!E5+AGO!E5+SET!E5+OUT!E5+NOV!E5+DEZ!E5</f>
        <v>18856.16</v>
      </c>
      <c r="E5" s="25">
        <f>JAN!E5+JAN!V5+FEV!E5+FEV!V5+MAR!E5+MAR!V5+ABR!E5+ABR!V5+MAI!F5+JUN!F5+JUL!F5+AGO!F5+SET!F5+OUT!F5+NOV!F5+DEZ!F5</f>
        <v>5183.0800000000008</v>
      </c>
      <c r="F5" s="25">
        <f>JAN!F5+JAN!W5+FEV!F5+FEV!W5+MAR!F5+MAR!W5+ABR!F5+ABR!W5+MAI!G5+JUN!G5+JUL!G5+AGO!G5+SET!G5+OUT!G5+NOV!G5+DEZ!G5</f>
        <v>209327.03200000001</v>
      </c>
      <c r="G5" s="25">
        <f>JAN!G5+JAN!X5+FEV!G5+FEV!X5+MAR!G5+MAR!X5+ABR!G5+ABR!X5+MAI!H5+JUN!H5+JUL!H5+AGO!H5+SET!H5+OUT!H5+NOV!H5+DEZ!H5</f>
        <v>10656.960000000001</v>
      </c>
      <c r="H5" s="25">
        <f>JAN!H5+JAN!Y5+FEV!Y5+FEV!H5+MAR!H5+MAR!Y5+ABR!Y5+ABR!H5+MAI!I5+JUN!I5+JUL!I5+AGO!I5+SET!I5+OUT!I5+NOV!I5+DEZ!I5</f>
        <v>3761.712</v>
      </c>
      <c r="I5" s="25">
        <f>JAN!I5+JAN!Z5+FEV!I5+FEV!Z5+MAR!I5+MAR!Z5+ABR!I5+ABR!Z5+MAI!J5+JUN!J5+JUL!J5+AGO!J5+SET!J5+OUT!J5+NOV!J5+DEZ!J5</f>
        <v>0</v>
      </c>
      <c r="J5" s="25">
        <f>JAN!J5+JAN!AA5+FEV!J5+FEV!AA5+MAR!J5+MAR!AA5+ABR!J5+ABR!AA5+MAI!K5+JUN!K5+JUL!K5+AGO!K5+SET!K5+OUT!K5+NOV!K5+DEZ!K5</f>
        <v>6360.376000000002</v>
      </c>
      <c r="K5" s="25">
        <f>JAN!K5+JAN!AB5+FEV!K5+FEV!AB5+MAR!K5+MAR!AB5+ABR!K5+ABR!AB5+MAI!L5+JUN!L5+JUL!L5+AGO!L5+SET!L5+OUT!L5+NOV!L5+DEZ!L5</f>
        <v>3837.0880000000006</v>
      </c>
      <c r="L5" s="25">
        <f>JAN!L5+JAN!AC5+FEV!L5+FEV!AC5+MAR!L5+MAR!AC5+ABR!L5+ABR!AC5+MAI!M5+JUN!M5+JUL!M5+AGO!M5+SET!M5+OUT!M5+NOV!M5+DEZ!M5</f>
        <v>0</v>
      </c>
      <c r="M5" s="25">
        <f>JAN!M5+JAN!AD5+FEV!M5+FEV!AD5+MAR!M5+MAR!AD5+ABR!M5+ABR!AD5+MAI!N5+JUN!N5+JUL!N5+AGO!N5+SET!N5+OUT!N5+NOV!N5+DEZ!N5</f>
        <v>0</v>
      </c>
      <c r="N5" s="25">
        <f>JAN!N5+JAN!AE5+FEV!N5+FEV!AE5+MAR!N5+MAR!AE5+ABR!N5+ABR!AE5+MAI!O5+JUN!O5+JUL!O5+AGO!O5+SET!O5+OUT!O5+NOV!O5+DEZ!O5</f>
        <v>22.856000000000002</v>
      </c>
      <c r="O5" s="25">
        <f>AGO!P5+SET!P5+OUT!P5+NOV!P5+DEZ!P5</f>
        <v>0</v>
      </c>
      <c r="P5" s="25">
        <f>JAN!AF5+FEV!AF5+MAR!AF5+ABR!AG5+MAI!Q5+JUN!Q5+JUL!Q5+AGO!Q5+SET!Q5+OUT!Q5+NOV!Q5+DEZ!Q5</f>
        <v>0</v>
      </c>
      <c r="Q5" s="25">
        <f>JAN!AG5+FEV!AG5+MAR!AG5+ABR!AH5+MAI!R5+JUN!R5+JUL!R5+AGO!R5+SET!R5+OUT!R5+NOV!R5+DEZ!R5</f>
        <v>0</v>
      </c>
      <c r="R5" s="26">
        <f t="shared" ref="R5:R31" si="0">SUM(B5:Q5)</f>
        <v>415720.92000000004</v>
      </c>
      <c r="S5" s="1093">
        <f>SUM(G5:Q5)</f>
        <v>24638.992000000002</v>
      </c>
      <c r="T5" s="1093">
        <f>SUM(G5:Q5)</f>
        <v>24638.992000000002</v>
      </c>
      <c r="U5" s="1093"/>
    </row>
    <row r="6" spans="1:21">
      <c r="A6" s="16" t="s">
        <v>1</v>
      </c>
      <c r="B6" s="25">
        <f>JAN!B6+JAN!S6+FEV!B6+FEV!S6+MAR!B6+MAR!S6+ABR!B6+ABR!S6+MAI!C6+JUN!C6+JUL!C6+AGO!C6+SET!C6+OUT!C6+NOV!C6+DEZ!C6</f>
        <v>417683.984</v>
      </c>
      <c r="C6" s="25">
        <f>JAN!C6+JAN!T6+FEV!C6+FEV!T6+MAR!C6+MAR!T6+ABR!C6+ABR!T6+MAI!D6+JUN!D6+JUL!D6+AGO!D6+SET!D6+OUT!D6+NOV!D6+DEZ!D6</f>
        <v>182611.66400000002</v>
      </c>
      <c r="D6" s="25">
        <f>JAN!D6+JAN!U6+FEV!D6+FEV!U6+MAR!D6+MAR!U6+ABR!D6+ABR!U6+MAI!E6+JUN!E6+JUL!E6+AGO!E6+SET!E6+OUT!E6+NOV!E6+DEZ!E6</f>
        <v>25644.928</v>
      </c>
      <c r="E6" s="25">
        <f>JAN!E6+JAN!V6+FEV!E6+FEV!V6+MAR!E6+MAR!V6+ABR!E6+ABR!V6+MAI!F6+JUN!F6+JUL!F6+AGO!F6+SET!F6+OUT!F6+NOV!F6+DEZ!F6</f>
        <v>5401.768</v>
      </c>
      <c r="F6" s="25">
        <f>JAN!F6+JAN!W6+FEV!F6+FEV!W6+MAR!F6+MAR!W6+ABR!F6+ABR!W6+MAI!G6+JUN!G6+JUL!G6+AGO!G6+SET!G6+OUT!G6+NOV!G6+DEZ!G6</f>
        <v>521406.68800000002</v>
      </c>
      <c r="G6" s="25">
        <f>JAN!G6+JAN!X6+FEV!G6+FEV!X6+MAR!G6+MAR!X6+ABR!G6+ABR!X6+MAI!H6+JUN!H6+JUL!H6+AGO!H6+SET!H6+OUT!H6+NOV!H6+DEZ!H6</f>
        <v>9630.6239999999998</v>
      </c>
      <c r="H6" s="25">
        <f>JAN!H6+JAN!Y6+FEV!Y6+FEV!H6+MAR!H6+MAR!Y6+ABR!Y6+ABR!H6+MAI!I6+JUN!I6+JUL!I6+AGO!I6+SET!I6+OUT!I6+NOV!I6+DEZ!I6</f>
        <v>31077.760000000002</v>
      </c>
      <c r="I6" s="25">
        <f>JAN!I6+JAN!Z6+FEV!I6+FEV!Z6+MAR!I6+MAR!Z6+ABR!I6+ABR!Z6+MAI!J6+JUN!J6+JUL!J6+AGO!J6+SET!J6+OUT!J6+NOV!J6+DEZ!J6</f>
        <v>1576.6559999999999</v>
      </c>
      <c r="J6" s="25">
        <f>JAN!J6+JAN!AA6+FEV!J6+FEV!AA6+MAR!J6+MAR!AA6+ABR!J6+ABR!AA6+MAI!K6+JUN!K6+JUL!K6+AGO!K6+SET!K6+OUT!K6+NOV!K6+DEZ!K6</f>
        <v>21719.871999999996</v>
      </c>
      <c r="K6" s="25">
        <f>JAN!K6+JAN!AB6+FEV!K6+FEV!AB6+MAR!K6+MAR!AB6+ABR!K6+ABR!AB6+MAI!L6+JUN!L6+JUL!L6+AGO!L6+SET!L6+OUT!L6+NOV!L6+DEZ!L6</f>
        <v>705.24000000000012</v>
      </c>
      <c r="L6" s="25">
        <f>JAN!L6+JAN!AC6+FEV!L6+FEV!AC6+MAR!L6+MAR!AC6+ABR!L6+ABR!AC6+MAI!M6+JUN!M6+JUL!M6+AGO!M6+SET!M6+OUT!M6+NOV!M6+DEZ!M6</f>
        <v>0</v>
      </c>
      <c r="M6" s="25">
        <f>JAN!M6+JAN!AD6+FEV!M6+FEV!AD6+MAR!M6+MAR!AD6+ABR!M6+ABR!AD6+MAI!N6+JUN!N6+JUL!N6+AGO!N6+SET!N6+OUT!N6+NOV!N6+DEZ!N6</f>
        <v>0</v>
      </c>
      <c r="N6" s="25">
        <f>JAN!N6+JAN!AE6+FEV!N6+FEV!AE6+MAR!N6+MAR!AE6+ABR!N6+ABR!AE6+MAI!O6+JUN!O6+JUL!O6+AGO!O6+SET!O6+OUT!O6+NOV!O6+DEZ!O6</f>
        <v>457.12</v>
      </c>
      <c r="O6" s="25">
        <f>AGO!P6+SET!P6+OUT!P6+NOV!P6+DEZ!P6</f>
        <v>0</v>
      </c>
      <c r="P6" s="25">
        <f>JAN!AF6+FEV!AF6+MAR!AF6+ABR!AG6+MAI!Q6+JUN!Q6+JUL!Q6+AGO!Q6+SET!Q6+OUT!Q6+NOV!Q6+DEZ!Q6</f>
        <v>0</v>
      </c>
      <c r="Q6" s="25">
        <f>JAN!AG6+FEV!AG6+MAR!AG6+ABR!AH6+MAI!R6+JUN!R6+JUL!R6+AGO!R6+SET!R6+OUT!R6+NOV!R6+DEZ!R6</f>
        <v>0</v>
      </c>
      <c r="R6" s="26">
        <f t="shared" si="0"/>
        <v>1217916.3040000002</v>
      </c>
      <c r="S6" s="1093">
        <f t="shared" ref="S6:S32" si="1">SUM(G6:Q6)</f>
        <v>65167.272000000004</v>
      </c>
      <c r="T6" s="1093">
        <f t="shared" ref="T6:T31" si="2">SUM(G6:Q6)</f>
        <v>65167.272000000004</v>
      </c>
      <c r="U6" s="1093"/>
    </row>
    <row r="7" spans="1:21">
      <c r="A7" s="16" t="s">
        <v>2</v>
      </c>
      <c r="B7" s="25">
        <f>JAN!B7+JAN!S7+FEV!B7+FEV!S7+MAR!B7+MAR!S7+ABR!B7+ABR!S7+MAI!C7+JUN!C7+JUL!C7+AGO!C7+SET!C7+OUT!C7+NOV!C7+DEZ!C7</f>
        <v>146661.62400000001</v>
      </c>
      <c r="C7" s="25">
        <f>JAN!C7+JAN!T7+FEV!C7+FEV!T7+MAR!C7+MAR!T7+ABR!C7+ABR!T7+MAI!D7+JUN!D7+JUL!D7+AGO!D7+SET!D7+OUT!D7+NOV!D7+DEZ!D7</f>
        <v>62251.96</v>
      </c>
      <c r="D7" s="25">
        <f>JAN!D7+JAN!U7+FEV!D7+FEV!U7+MAR!D7+MAR!U7+ABR!D7+ABR!U7+MAI!E7+JUN!E7+JUL!E7+AGO!E7+SET!E7+OUT!E7+NOV!E7+DEZ!E7</f>
        <v>29426.504000000001</v>
      </c>
      <c r="E7" s="25">
        <f>JAN!E7+JAN!V7+FEV!E7+FEV!V7+MAR!E7+MAR!V7+ABR!E7+ABR!V7+MAI!F7+JUN!F7+JUL!F7+AGO!F7+SET!F7+OUT!F7+NOV!F7+DEZ!F7</f>
        <v>11039.032000000001</v>
      </c>
      <c r="F7" s="25">
        <f>JAN!F7+JAN!W7+FEV!F7+FEV!W7+MAR!F7+MAR!W7+ABR!F7+ABR!W7+MAI!G7+JUN!G7+JUL!G7+AGO!G7+SET!G7+OUT!G7+NOV!G7+DEZ!G7</f>
        <v>260006.50400000002</v>
      </c>
      <c r="G7" s="25">
        <f>JAN!G7+JAN!X7+FEV!G7+FEV!X7+MAR!G7+MAR!X7+ABR!G7+ABR!X7+MAI!H7+JUN!H7+JUL!H7+AGO!H7+SET!H7+OUT!H7+NOV!H7+DEZ!H7</f>
        <v>10892.04</v>
      </c>
      <c r="H7" s="25">
        <f>JAN!H7+JAN!Y7+FEV!Y7+FEV!H7+MAR!H7+MAR!Y7+ABR!Y7+ABR!H7+MAI!I7+JUN!I7+JUL!I7+AGO!I7+SET!I7+OUT!I7+NOV!I7+DEZ!I7</f>
        <v>8650.5679999999993</v>
      </c>
      <c r="I7" s="25">
        <f>JAN!I7+JAN!Z7+FEV!I7+FEV!Z7+MAR!I7+MAR!Z7+ABR!I7+ABR!Z7+MAI!J7+JUN!J7+JUL!J7+AGO!J7+SET!J7+OUT!J7+NOV!J7+DEZ!J7</f>
        <v>227.42399999999998</v>
      </c>
      <c r="J7" s="25">
        <f>JAN!J7+JAN!AA7+FEV!J7+FEV!AA7+MAR!J7+MAR!AA7+ABR!J7+ABR!AA7+MAI!K7+JUN!K7+JUL!K7+AGO!K7+SET!K7+OUT!K7+NOV!K7+DEZ!K7</f>
        <v>10433.856000000002</v>
      </c>
      <c r="K7" s="25">
        <f>JAN!K7+JAN!AB7+FEV!K7+FEV!AB7+MAR!K7+MAR!AB7+ABR!K7+ABR!AB7+MAI!L7+JUN!L7+JUL!L7+AGO!L7+SET!L7+OUT!L7+NOV!L7+DEZ!L7</f>
        <v>2350.8000000000002</v>
      </c>
      <c r="L7" s="25">
        <f>JAN!L7+JAN!AC7+FEV!L7+FEV!AC7+MAR!L7+MAR!AC7+ABR!L7+ABR!AC7+MAI!M7+JUN!M7+JUL!M7+AGO!M7+SET!M7+OUT!M7+NOV!M7+DEZ!M7</f>
        <v>0</v>
      </c>
      <c r="M7" s="25">
        <f>JAN!M7+JAN!AD7+FEV!M7+FEV!AD7+MAR!M7+MAR!AD7+ABR!M7+ABR!AD7+MAI!N7+JUN!N7+JUL!N7+AGO!N7+SET!N7+OUT!N7+NOV!N7+DEZ!N7</f>
        <v>0</v>
      </c>
      <c r="N7" s="25">
        <f>JAN!N7+JAN!AE7+FEV!N7+FEV!AE7+MAR!N7+MAR!AE7+ABR!N7+ABR!AE7+MAI!O7+JUN!O7+JUL!O7+AGO!O7+SET!O7+OUT!O7+NOV!O7+DEZ!O7</f>
        <v>68.568000000000012</v>
      </c>
      <c r="O7" s="25">
        <f>AGO!P7+SET!P7+OUT!P7+NOV!P7+DEZ!P7</f>
        <v>0</v>
      </c>
      <c r="P7" s="25">
        <f>JAN!AF7+FEV!AF7+MAR!AF7+ABR!AG7+MAI!Q7+JUN!Q7+JUL!Q7+AGO!Q7+SET!Q7+OUT!Q7+NOV!Q7+DEZ!Q7</f>
        <v>0</v>
      </c>
      <c r="Q7" s="25">
        <f>JAN!AG7+FEV!AG7+MAR!AG7+ABR!AH7+MAI!R7+JUN!R7+JUL!R7+AGO!R7+SET!R7+OUT!R7+NOV!R7+DEZ!R7</f>
        <v>0</v>
      </c>
      <c r="R7" s="26">
        <f t="shared" si="0"/>
        <v>542008.88</v>
      </c>
      <c r="S7" s="1093">
        <f t="shared" si="1"/>
        <v>32623.255999999998</v>
      </c>
      <c r="T7" s="1093">
        <f t="shared" si="2"/>
        <v>32623.255999999998</v>
      </c>
      <c r="U7" s="1093"/>
    </row>
    <row r="8" spans="1:21">
      <c r="A8" s="16" t="s">
        <v>3</v>
      </c>
      <c r="B8" s="25">
        <f>JAN!B8+JAN!S8+FEV!B8+FEV!S8+MAR!B8+MAR!S8+ABR!B8+ABR!S8+MAI!C8+JUN!C8+JUL!C8+AGO!C8+SET!C8+OUT!C8+NOV!C8+DEZ!C8</f>
        <v>396572.79200000002</v>
      </c>
      <c r="C8" s="25">
        <f>JAN!C8+JAN!T8+FEV!C8+FEV!T8+MAR!C8+MAR!T8+ABR!C8+ABR!T8+MAI!D8+JUN!D8+JUL!D8+AGO!D8+SET!D8+OUT!D8+NOV!D8+DEZ!D8</f>
        <v>178100.65600000002</v>
      </c>
      <c r="D8" s="25">
        <f>JAN!D8+JAN!U8+FEV!D8+FEV!U8+MAR!D8+MAR!U8+ABR!D8+ABR!U8+MAI!E8+JUN!E8+JUL!E8+AGO!E8+SET!E8+OUT!E8+NOV!E8+DEZ!E8</f>
        <v>37945.152000000002</v>
      </c>
      <c r="E8" s="25">
        <f>JAN!E8+JAN!V8+FEV!E8+FEV!V8+MAR!E8+MAR!V8+ABR!E8+ABR!V8+MAI!F8+JUN!F8+JUL!F8+AGO!F8+SET!F8+OUT!F8+NOV!F8+DEZ!F8</f>
        <v>18235.488000000001</v>
      </c>
      <c r="F8" s="25">
        <f>JAN!F8+JAN!W8+FEV!F8+FEV!W8+MAR!F8+MAR!W8+ABR!F8+ABR!W8+MAI!G8+JUN!G8+JUL!G8+AGO!G8+SET!G8+OUT!G8+NOV!G8+DEZ!G8</f>
        <v>488603.72000000009</v>
      </c>
      <c r="G8" s="25">
        <f>JAN!G8+JAN!X8+FEV!G8+FEV!X8+MAR!G8+MAR!X8+ABR!G8+ABR!X8+MAI!H8+JUN!H8+JUL!H8+AGO!H8+SET!H8+OUT!H8+NOV!H8+DEZ!H8</f>
        <v>13632.088000000002</v>
      </c>
      <c r="H8" s="25">
        <f>JAN!H8+JAN!Y8+FEV!Y8+FEV!H8+MAR!H8+MAR!Y8+ABR!Y8+ABR!H8+MAI!I8+JUN!I8+JUL!I8+AGO!I8+SET!I8+OUT!I8+NOV!I8+DEZ!I8</f>
        <v>26969.752</v>
      </c>
      <c r="I8" s="25">
        <f>JAN!I8+JAN!Z8+FEV!I8+FEV!Z8+MAR!I8+MAR!Z8+ABR!I8+ABR!Z8+MAI!J8+JUN!J8+JUL!J8+AGO!J8+SET!J8+OUT!J8+NOV!J8+DEZ!J8</f>
        <v>0</v>
      </c>
      <c r="J8" s="25">
        <f>JAN!J8+JAN!AA8+FEV!J8+FEV!AA8+MAR!J8+MAR!AA8+ABR!J8+ABR!AA8+MAI!K8+JUN!K8+JUL!K8+AGO!K8+SET!K8+OUT!K8+NOV!K8+DEZ!K8</f>
        <v>23715</v>
      </c>
      <c r="K8" s="25">
        <f>JAN!K8+JAN!AB8+FEV!K8+FEV!AB8+MAR!K8+MAR!AB8+ABR!K8+ABR!AB8+MAI!L8+JUN!L8+JUL!L8+AGO!L8+SET!L8+OUT!L8+NOV!L8+DEZ!L8</f>
        <v>3526.2000000000003</v>
      </c>
      <c r="L8" s="25">
        <f>JAN!L8+JAN!AC8+FEV!L8+FEV!AC8+MAR!L8+MAR!AC8+ABR!L8+ABR!AC8+MAI!M8+JUN!M8+JUL!M8+AGO!M8+SET!M8+OUT!M8+NOV!M8+DEZ!M8</f>
        <v>1097.04</v>
      </c>
      <c r="M8" s="25">
        <f>JAN!M8+JAN!AD8+FEV!M8+FEV!AD8+MAR!M8+MAR!AD8+ABR!M8+ABR!AD8+MAI!N8+JUN!N8+JUL!N8+AGO!N8+SET!N8+OUT!N8+NOV!N8+DEZ!N8</f>
        <v>5763.616</v>
      </c>
      <c r="N8" s="25">
        <f>JAN!N8+JAN!AE8+FEV!N8+FEV!AE8+MAR!N8+MAR!AE8+ABR!N8+ABR!AE8+MAI!O8+JUN!O8+JUL!O8+AGO!O8+SET!O8+OUT!O8+NOV!O8+DEZ!O8</f>
        <v>182.10399999999998</v>
      </c>
      <c r="O8" s="25">
        <f>AGO!P8+SET!P8+OUT!P8+NOV!P8+DEZ!P8</f>
        <v>0</v>
      </c>
      <c r="P8" s="25">
        <f>JAN!AF8+FEV!AF8+MAR!AF8+ABR!AG8+MAI!Q8+JUN!Q8+JUL!Q8+AGO!Q8+SET!Q8+OUT!Q8+NOV!Q8+DEZ!Q8</f>
        <v>51.61</v>
      </c>
      <c r="Q8" s="25">
        <f>JAN!AG8+FEV!AG8+MAR!AG8+ABR!AH8+MAI!R8+JUN!R8+JUL!R8+AGO!R8+SET!R8+OUT!R8+NOV!R8+DEZ!R8</f>
        <v>516.08000000000004</v>
      </c>
      <c r="R8" s="26">
        <f t="shared" si="0"/>
        <v>1194911.2980000004</v>
      </c>
      <c r="S8" s="1093">
        <f t="shared" si="1"/>
        <v>75453.490000000005</v>
      </c>
      <c r="T8" s="1093">
        <f t="shared" si="2"/>
        <v>75453.490000000005</v>
      </c>
      <c r="U8" s="1093"/>
    </row>
    <row r="9" spans="1:21">
      <c r="A9" s="16" t="s">
        <v>4</v>
      </c>
      <c r="B9" s="25">
        <f>JAN!B9+JAN!S9+FEV!B9+FEV!S9+MAR!B9+MAR!S9+ABR!B9+ABR!S9+MAI!C9+JUN!C9+JUL!C9+AGO!C9+SET!C9+OUT!C9+NOV!C9+DEZ!C9</f>
        <v>1294521.3040000002</v>
      </c>
      <c r="C9" s="25">
        <f>JAN!C9+JAN!T9+FEV!C9+FEV!T9+MAR!C9+MAR!T9+ABR!C9+ABR!T9+MAI!D9+JUN!D9+JUL!D9+AGO!D9+SET!D9+OUT!D9+NOV!D9+DEZ!D9</f>
        <v>360788.64000000007</v>
      </c>
      <c r="D9" s="25">
        <f>JAN!D9+JAN!U9+FEV!D9+FEV!U9+MAR!D9+MAR!U9+ABR!D9+ABR!U9+MAI!E9+JUN!E9+JUL!E9+AGO!E9+SET!E9+OUT!E9+NOV!E9+DEZ!E9</f>
        <v>163260.00799999997</v>
      </c>
      <c r="E9" s="25">
        <f>JAN!E9+JAN!V9+FEV!E9+FEV!V9+MAR!E9+MAR!V9+ABR!E9+ABR!V9+MAI!F9+JUN!F9+JUL!F9+AGO!F9+SET!F9+OUT!F9+NOV!F9+DEZ!F9</f>
        <v>33370.375999999997</v>
      </c>
      <c r="F9" s="25">
        <f>JAN!F9+JAN!W9+FEV!F9+FEV!W9+MAR!F9+MAR!W9+ABR!F9+ABR!W9+MAI!G9+JUN!G9+JUL!G9+AGO!G9+SET!G9+OUT!G9+NOV!G9+DEZ!G9</f>
        <v>1382643.584</v>
      </c>
      <c r="G9" s="25">
        <f>JAN!G9+JAN!X9+FEV!G9+FEV!X9+MAR!G9+MAR!X9+ABR!G9+ABR!X9+MAI!H9+JUN!H9+JUL!H9+AGO!H9+SET!H9+OUT!H9+NOV!H9+DEZ!H9</f>
        <v>32597.840000000004</v>
      </c>
      <c r="H9" s="25">
        <f>JAN!H9+JAN!Y9+FEV!Y9+FEV!H9+MAR!H9+MAR!Y9+ABR!Y9+ABR!H9+MAI!I9+JUN!I9+JUL!I9+AGO!I9+SET!I9+OUT!I9+NOV!I9+DEZ!I9</f>
        <v>54372.184000000001</v>
      </c>
      <c r="I9" s="25">
        <f>JAN!I9+JAN!Z9+FEV!I9+FEV!Z9+MAR!I9+MAR!Z9+ABR!I9+ABR!Z9+MAI!J9+JUN!J9+JUL!J9+AGO!J9+SET!J9+OUT!J9+NOV!J9+DEZ!J9</f>
        <v>0</v>
      </c>
      <c r="J9" s="25">
        <f>JAN!J9+JAN!AA9+FEV!J9+FEV!AA9+MAR!J9+MAR!AA9+ABR!J9+ABR!AA9+MAI!K9+JUN!K9+JUL!K9+AGO!K9+SET!K9+OUT!K9+NOV!K9+DEZ!K9</f>
        <v>59292.847999999991</v>
      </c>
      <c r="K9" s="25">
        <f>JAN!K9+JAN!AB9+FEV!K9+FEV!AB9+MAR!K9+MAR!AB9+ABR!K9+ABR!AB9+MAI!L9+JUN!L9+JUL!L9+AGO!L9+SET!L9+OUT!L9+NOV!L9+DEZ!L9</f>
        <v>4231.4400000000005</v>
      </c>
      <c r="L9" s="25">
        <f>JAN!L9+JAN!AC9+FEV!L9+FEV!AC9+MAR!L9+MAR!AC9+ABR!L9+ABR!AC9+MAI!M9+JUN!M9+JUL!M9+AGO!M9+SET!M9+OUT!M9+NOV!M9+DEZ!M9</f>
        <v>151.61600000000001</v>
      </c>
      <c r="M9" s="25">
        <f>JAN!M9+JAN!AD9+FEV!M9+FEV!AD9+MAR!M9+MAR!AD9+ABR!M9+ABR!AD9+MAI!N9+JUN!N9+JUL!N9+AGO!N9+SET!N9+OUT!N9+NOV!N9+DEZ!N9</f>
        <v>0</v>
      </c>
      <c r="N9" s="25">
        <f>JAN!N9+JAN!AE9+FEV!N9+FEV!AE9+MAR!N9+MAR!AE9+ABR!N9+ABR!AE9+MAI!O9+JUN!O9+JUL!O9+AGO!O9+SET!O9+OUT!O9+NOV!O9+DEZ!O9</f>
        <v>1027.7759999999998</v>
      </c>
      <c r="O9" s="25">
        <f>AGO!P9+SET!P9+OUT!P9+NOV!P9+DEZ!P9</f>
        <v>0</v>
      </c>
      <c r="P9" s="25">
        <f>JAN!AF9+FEV!AF9+MAR!AF9+ABR!AG9+MAI!Q9+JUN!Q9+JUL!Q9+AGO!Q9+SET!Q9+OUT!Q9+NOV!Q9+DEZ!Q9</f>
        <v>353.15200000000004</v>
      </c>
      <c r="Q9" s="25">
        <f>JAN!AG9+FEV!AG9+MAR!AG9+ABR!AH9+MAI!R9+JUN!R9+JUL!R9+AGO!R9+SET!R9+OUT!R9+NOV!R9+DEZ!R9</f>
        <v>3531.4000000000005</v>
      </c>
      <c r="R9" s="26">
        <f t="shared" si="0"/>
        <v>3390142.1679999996</v>
      </c>
      <c r="S9" s="1093">
        <f t="shared" si="1"/>
        <v>155558.25600000002</v>
      </c>
      <c r="T9" s="1093">
        <f t="shared" si="2"/>
        <v>155558.25600000002</v>
      </c>
      <c r="U9" s="1093"/>
    </row>
    <row r="10" spans="1:21">
      <c r="A10" s="16" t="s">
        <v>5</v>
      </c>
      <c r="B10" s="25">
        <f>JAN!B10+JAN!S10+FEV!B10+FEV!S10+MAR!B10+MAR!S10+ABR!B10+ABR!S10+MAI!C10+JUN!C10+JUL!C10+AGO!C10+SET!C10+OUT!C10+NOV!C10+DEZ!C10</f>
        <v>786417.12000000023</v>
      </c>
      <c r="C10" s="25">
        <f>JAN!C10+JAN!T10+FEV!C10+FEV!T10+MAR!C10+MAR!T10+ABR!C10+ABR!T10+MAI!D10+JUN!D10+JUL!D10+AGO!D10+SET!D10+OUT!D10+NOV!D10+DEZ!D10</f>
        <v>171491.20000000001</v>
      </c>
      <c r="D10" s="25">
        <f>JAN!D10+JAN!U10+FEV!D10+FEV!U10+MAR!D10+MAR!U10+ABR!D10+ABR!U10+MAI!E10+JUN!E10+JUL!E10+AGO!E10+SET!E10+OUT!E10+NOV!E10+DEZ!E10</f>
        <v>75934.504000000015</v>
      </c>
      <c r="E10" s="25">
        <f>JAN!E10+JAN!V10+FEV!E10+FEV!V10+MAR!E10+MAR!V10+ABR!E10+ABR!V10+MAI!F10+JUN!F10+JUL!F10+AGO!F10+SET!F10+OUT!F10+NOV!F10+DEZ!F10</f>
        <v>7642.0319999999992</v>
      </c>
      <c r="F10" s="25">
        <f>JAN!F10+JAN!W10+FEV!F10+FEV!W10+MAR!F10+MAR!W10+ABR!F10+ABR!W10+MAI!G10+JUN!G10+JUL!G10+AGO!G10+SET!G10+OUT!G10+NOV!G10+DEZ!G10</f>
        <v>879120.08800000011</v>
      </c>
      <c r="G10" s="25">
        <f>JAN!G10+JAN!X10+FEV!G10+FEV!X10+MAR!G10+MAR!X10+ABR!G10+ABR!X10+MAI!H10+JUN!H10+JUL!H10+AGO!H10+SET!H10+OUT!H10+NOV!H10+DEZ!H10</f>
        <v>29445.496000000003</v>
      </c>
      <c r="H10" s="25">
        <f>JAN!H10+JAN!Y10+FEV!Y10+FEV!H10+MAR!H10+MAR!Y10+ABR!Y10+ABR!H10+MAI!I10+JUN!I10+JUL!I10+AGO!I10+SET!I10+OUT!I10+NOV!I10+DEZ!I10</f>
        <v>23820.792000000001</v>
      </c>
      <c r="I10" s="25">
        <f>JAN!I10+JAN!Z10+FEV!I10+FEV!Z10+MAR!I10+MAR!Z10+ABR!I10+ABR!Z10+MAI!J10+JUN!J10+JUL!J10+AGO!J10+SET!J10+OUT!J10+NOV!J10+DEZ!J10</f>
        <v>14097.967999999999</v>
      </c>
      <c r="J10" s="25">
        <f>JAN!J10+JAN!AA10+FEV!J10+FEV!AA10+MAR!J10+MAR!AA10+ABR!J10+ABR!AA10+MAI!K10+JUN!K10+JUL!K10+AGO!K10+SET!K10+OUT!K10+NOV!K10+DEZ!K10</f>
        <v>27725.096000000005</v>
      </c>
      <c r="K10" s="25">
        <f>JAN!K10+JAN!AB10+FEV!K10+FEV!AB10+MAR!K10+MAR!AB10+ABR!K10+ABR!AB10+MAI!L10+JUN!L10+JUL!L10+AGO!L10+SET!L10+OUT!L10+NOV!L10+DEZ!L10</f>
        <v>3447.8400000000006</v>
      </c>
      <c r="L10" s="25">
        <f>JAN!L10+JAN!AC10+FEV!L10+FEV!AC10+MAR!L10+MAR!AC10+ABR!L10+ABR!AC10+MAI!M10+JUN!M10+JUL!M10+AGO!M10+SET!M10+OUT!M10+NOV!M10+DEZ!M10</f>
        <v>470.16000000000008</v>
      </c>
      <c r="M10" s="25">
        <f>JAN!M10+JAN!AD10+FEV!M10+FEV!AD10+MAR!M10+MAR!AD10+ABR!M10+ABR!AD10+MAI!N10+JUN!N10+JUL!N10+AGO!N10+SET!N10+OUT!N10+NOV!N10+DEZ!N10</f>
        <v>0</v>
      </c>
      <c r="N10" s="25">
        <f>JAN!N10+JAN!AE10+FEV!N10+FEV!AE10+MAR!N10+MAR!AE10+ABR!N10+ABR!AE10+MAI!O10+JUN!O10+JUL!O10+AGO!O10+SET!O10+OUT!O10+NOV!O10+DEZ!O10</f>
        <v>502.83199999999994</v>
      </c>
      <c r="O10" s="25">
        <f>AGO!P10+SET!P10+OUT!P10+NOV!P10+DEZ!P10</f>
        <v>0</v>
      </c>
      <c r="P10" s="25">
        <f>JAN!AF10+FEV!AF10+MAR!AF10+ABR!AG10+MAI!Q10+JUN!Q10+JUL!Q10+AGO!Q10+SET!Q10+OUT!Q10+NOV!Q10+DEZ!Q10</f>
        <v>0</v>
      </c>
      <c r="Q10" s="25">
        <f>JAN!AG10+FEV!AG10+MAR!AG10+ABR!AH10+MAI!R10+JUN!R10+JUL!R10+AGO!R10+SET!R10+OUT!R10+NOV!R10+DEZ!R10</f>
        <v>0</v>
      </c>
      <c r="R10" s="26">
        <f t="shared" si="0"/>
        <v>2020115.1280000003</v>
      </c>
      <c r="S10" s="1093">
        <f t="shared" si="1"/>
        <v>99510.183999999994</v>
      </c>
      <c r="T10" s="1093">
        <f t="shared" si="2"/>
        <v>99510.183999999994</v>
      </c>
      <c r="U10" s="1093"/>
    </row>
    <row r="11" spans="1:21">
      <c r="A11" s="16" t="s">
        <v>6</v>
      </c>
      <c r="B11" s="25">
        <f>JAN!B11+JAN!S11+FEV!B11+FEV!S11+MAR!B11+MAR!S11+ABR!B11+ABR!S11+MAI!C11+JUN!C11+JUL!C11+AGO!C11+SET!C11+OUT!C11+NOV!C11+DEZ!C11</f>
        <v>1414428.9920000003</v>
      </c>
      <c r="C11" s="25">
        <f>JAN!C11+JAN!T11+FEV!C11+FEV!T11+MAR!C11+MAR!T11+ABR!C11+ABR!T11+MAI!D11+JUN!D11+JUL!D11+AGO!D11+SET!D11+OUT!D11+NOV!D11+DEZ!D11</f>
        <v>453876.95199999999</v>
      </c>
      <c r="D11" s="25">
        <f>JAN!D11+JAN!U11+FEV!D11+FEV!U11+MAR!D11+MAR!U11+ABR!D11+ABR!U11+MAI!E11+JUN!E11+JUL!E11+AGO!E11+SET!E11+OUT!E11+NOV!E11+DEZ!E11</f>
        <v>126929.92</v>
      </c>
      <c r="E11" s="25">
        <f>JAN!E11+JAN!V11+FEV!E11+FEV!V11+MAR!E11+MAR!V11+ABR!E11+ABR!V11+MAI!F11+JUN!F11+JUL!F11+AGO!F11+SET!F11+OUT!F11+NOV!F11+DEZ!F11</f>
        <v>27478.191999999999</v>
      </c>
      <c r="F11" s="25">
        <f>JAN!F11+JAN!W11+FEV!F11+FEV!W11+MAR!F11+MAR!W11+ABR!F11+ABR!W11+MAI!G11+JUN!G11+JUL!G11+AGO!G11+SET!G11+OUT!G11+NOV!G11+DEZ!G11</f>
        <v>1237583.1600000001</v>
      </c>
      <c r="G11" s="25">
        <f>JAN!G11+JAN!X11+FEV!G11+FEV!X11+MAR!G11+MAR!X11+ABR!G11+ABR!X11+MAI!H11+JUN!H11+JUL!H11+AGO!H11+SET!H11+OUT!H11+NOV!H11+DEZ!H11</f>
        <v>42620.184000000001</v>
      </c>
      <c r="H11" s="25">
        <f>JAN!H11+JAN!Y11+FEV!Y11+FEV!H11+MAR!H11+MAR!Y11+ABR!Y11+ABR!H11+MAI!I11+JUN!I11+JUL!I11+AGO!I11+SET!I11+OUT!I11+NOV!I11+DEZ!I11</f>
        <v>75631.808000000005</v>
      </c>
      <c r="I11" s="25">
        <f>JAN!I11+JAN!Z11+FEV!I11+FEV!Z11+MAR!I11+MAR!Z11+ABR!I11+ABR!Z11+MAI!J11+JUN!J11+JUL!J11+AGO!J11+SET!J11+OUT!J11+NOV!J11+DEZ!J11</f>
        <v>5362.7040000000006</v>
      </c>
      <c r="J11" s="25">
        <f>JAN!J11+JAN!AA11+FEV!J11+FEV!AA11+MAR!J11+MAR!AA11+ABR!J11+ABR!AA11+MAI!K11+JUN!K11+JUL!K11+AGO!K11+SET!K11+OUT!K11+NOV!K11+DEZ!K11</f>
        <v>62059.248000000007</v>
      </c>
      <c r="K11" s="25">
        <f>JAN!K11+JAN!AB11+FEV!K11+FEV!AB11+MAR!K11+MAR!AB11+ABR!K11+ABR!AB11+MAI!L11+JUN!L11+JUL!L11+AGO!L11+SET!L11+OUT!L11+NOV!L11+DEZ!L11</f>
        <v>6109.5280000000002</v>
      </c>
      <c r="L11" s="25">
        <f>JAN!L11+JAN!AC11+FEV!L11+FEV!AC11+MAR!L11+MAR!AC11+ABR!L11+ABR!AC11+MAI!M11+JUN!M11+JUL!M11+AGO!M11+SET!M11+OUT!M11+NOV!M11+DEZ!M11</f>
        <v>626.88000000000011</v>
      </c>
      <c r="M11" s="25">
        <f>JAN!M11+JAN!AD11+FEV!M11+FEV!AD11+MAR!M11+MAR!AD11+ABR!M11+ABR!AD11+MAI!N11+JUN!N11+JUL!N11+AGO!N11+SET!N11+OUT!N11+NOV!N11+DEZ!N11</f>
        <v>0</v>
      </c>
      <c r="N11" s="25">
        <f>JAN!N11+JAN!AE11+FEV!N11+FEV!AE11+MAR!N11+MAR!AE11+ABR!N11+ABR!AE11+MAI!O11+JUN!O11+JUL!O11+AGO!O11+SET!O11+OUT!O11+NOV!O11+DEZ!O11</f>
        <v>1116.9679999999998</v>
      </c>
      <c r="O11" s="25">
        <f>AGO!P11+SET!P11+OUT!P11+NOV!P11+DEZ!P11</f>
        <v>0</v>
      </c>
      <c r="P11" s="25">
        <f>JAN!AF11+FEV!AF11+MAR!AF11+ABR!AG11+MAI!Q11+JUN!Q11+JUL!Q11+AGO!Q11+SET!Q11+OUT!Q11+NOV!Q11+DEZ!Q11</f>
        <v>0</v>
      </c>
      <c r="Q11" s="25">
        <f>JAN!AG11+FEV!AG11+MAR!AG11+ABR!AH11+MAI!R11+JUN!R11+JUL!R11+AGO!R11+SET!R11+OUT!R11+NOV!R11+DEZ!R11</f>
        <v>0</v>
      </c>
      <c r="R11" s="26">
        <f t="shared" si="0"/>
        <v>3453824.5360000003</v>
      </c>
      <c r="S11" s="1093">
        <f t="shared" si="1"/>
        <v>193527.32</v>
      </c>
      <c r="T11" s="1093">
        <f t="shared" si="2"/>
        <v>193527.32</v>
      </c>
      <c r="U11" s="1093"/>
    </row>
    <row r="12" spans="1:21">
      <c r="A12" s="16" t="s">
        <v>7</v>
      </c>
      <c r="B12" s="25">
        <f>JAN!B12+JAN!S12+FEV!B12+FEV!S12+MAR!B12+MAR!S12+ABR!B12+ABR!S12+MAI!C12+JUN!C12+JUL!C12+AGO!C12+SET!C12+OUT!C12+NOV!C12+DEZ!C12</f>
        <v>1024352.368</v>
      </c>
      <c r="C12" s="25">
        <f>JAN!C12+JAN!T12+FEV!C12+FEV!T12+MAR!C12+MAR!T12+ABR!C12+ABR!T12+MAI!D12+JUN!D12+JUL!D12+AGO!D12+SET!D12+OUT!D12+NOV!D12+DEZ!D12</f>
        <v>156727.40800000002</v>
      </c>
      <c r="D12" s="25">
        <f>JAN!D12+JAN!U12+FEV!D12+FEV!U12+MAR!D12+MAR!U12+ABR!D12+ABR!U12+MAI!E12+JUN!E12+JUL!E12+AGO!E12+SET!E12+OUT!E12+NOV!E12+DEZ!E12</f>
        <v>120009.32</v>
      </c>
      <c r="E12" s="25">
        <f>JAN!E12+JAN!V12+FEV!E12+FEV!V12+MAR!E12+MAR!V12+ABR!E12+ABR!V12+MAI!F12+JUN!F12+JUL!F12+AGO!F12+SET!F12+OUT!F12+NOV!F12+DEZ!F12</f>
        <v>26498.400000000001</v>
      </c>
      <c r="F12" s="25">
        <f>JAN!F12+JAN!W12+FEV!F12+FEV!W12+MAR!F12+MAR!W12+ABR!F12+ABR!W12+MAI!G12+JUN!G12+JUL!G12+AGO!G12+SET!G12+OUT!G12+NOV!G12+DEZ!G12</f>
        <v>1054006.0960000001</v>
      </c>
      <c r="G12" s="25">
        <f>JAN!G12+JAN!X12+FEV!G12+FEV!X12+MAR!G12+MAR!X12+ABR!G12+ABR!X12+MAI!H12+JUN!H12+JUL!H12+AGO!H12+SET!H12+OUT!H12+NOV!H12+DEZ!H12</f>
        <v>28828.824000000004</v>
      </c>
      <c r="H12" s="25">
        <f>JAN!H12+JAN!Y12+FEV!Y12+FEV!H12+MAR!H12+MAR!Y12+ABR!Y12+ABR!H12+MAI!I12+JUN!I12+JUL!I12+AGO!I12+SET!I12+OUT!I12+NOV!I12+DEZ!I12</f>
        <v>35946.015999999996</v>
      </c>
      <c r="I12" s="25">
        <f>JAN!I12+JAN!Z12+FEV!I12+FEV!Z12+MAR!I12+MAR!Z12+ABR!I12+ABR!Z12+MAI!J12+JUN!J12+JUL!J12+AGO!J12+SET!J12+OUT!J12+NOV!J12+DEZ!J12</f>
        <v>11515.848</v>
      </c>
      <c r="J12" s="25">
        <f>JAN!J12+JAN!AA12+FEV!J12+FEV!AA12+MAR!J12+MAR!AA12+ABR!J12+ABR!AA12+MAI!K12+JUN!K12+JUL!K12+AGO!K12+SET!K12+OUT!K12+NOV!K12+DEZ!K12</f>
        <v>22031.008000000002</v>
      </c>
      <c r="K12" s="25">
        <f>JAN!K12+JAN!AB12+FEV!K12+FEV!AB12+MAR!K12+MAR!AB12+ABR!K12+ABR!AB12+MAI!L12+JUN!L12+JUL!L12+AGO!L12+SET!L12+OUT!L12+NOV!L12+DEZ!L12</f>
        <v>4069.6160000000004</v>
      </c>
      <c r="L12" s="25">
        <f>JAN!L12+JAN!AC12+FEV!L12+FEV!AC12+MAR!L12+MAR!AC12+ABR!L12+ABR!AC12+MAI!M12+JUN!M12+JUL!M12+AGO!M12+SET!M12+OUT!M12+NOV!M12+DEZ!M12</f>
        <v>470.16000000000008</v>
      </c>
      <c r="M12" s="25">
        <f>JAN!M12+JAN!AD12+FEV!M12+FEV!AD12+MAR!M12+MAR!AD12+ABR!M12+ABR!AD12+MAI!N12+JUN!N12+JUL!N12+AGO!N12+SET!N12+OUT!N12+NOV!N12+DEZ!N12</f>
        <v>0</v>
      </c>
      <c r="N12" s="25">
        <f>JAN!N12+JAN!AE12+FEV!N12+FEV!AE12+MAR!N12+MAR!AE12+ABR!N12+ABR!AE12+MAI!O12+JUN!O12+JUL!O12+AGO!O12+SET!O12+OUT!O12+NOV!O12+DEZ!O12</f>
        <v>411.40799999999996</v>
      </c>
      <c r="O12" s="25">
        <f>AGO!P12+SET!P12+OUT!P12+NOV!P12+DEZ!P12</f>
        <v>0</v>
      </c>
      <c r="P12" s="25">
        <f>JAN!AF12+FEV!AF12+MAR!AF12+ABR!AG12+MAI!Q12+JUN!Q12+JUL!Q12+AGO!Q12+SET!Q12+OUT!Q12+NOV!Q12+DEZ!Q12</f>
        <v>0</v>
      </c>
      <c r="Q12" s="25">
        <f>JAN!AG12+FEV!AG12+MAR!AG12+ABR!AH12+MAI!R12+JUN!R12+JUL!R12+AGO!R12+SET!R12+OUT!R12+NOV!R12+DEZ!R12</f>
        <v>0</v>
      </c>
      <c r="R12" s="26">
        <f t="shared" si="0"/>
        <v>2484866.4720000001</v>
      </c>
      <c r="S12" s="1093">
        <f t="shared" si="1"/>
        <v>103272.87999999999</v>
      </c>
      <c r="T12" s="1093">
        <f t="shared" si="2"/>
        <v>103272.87999999999</v>
      </c>
      <c r="U12" s="1093"/>
    </row>
    <row r="13" spans="1:21">
      <c r="A13" s="16" t="s">
        <v>8</v>
      </c>
      <c r="B13" s="25">
        <f>JAN!B13+JAN!S13+FEV!B13+FEV!S13+MAR!B13+MAR!S13+ABR!B13+ABR!S13+MAI!C13+JUN!C13+JUL!C13+AGO!C13+SET!C13+OUT!C13+NOV!C13+DEZ!C13</f>
        <v>1027458.144</v>
      </c>
      <c r="C13" s="25">
        <f>JAN!C13+JAN!T13+FEV!C13+FEV!T13+MAR!C13+MAR!T13+ABR!C13+ABR!T13+MAI!D13+JUN!D13+JUL!D13+AGO!D13+SET!D13+OUT!D13+NOV!D13+DEZ!D13</f>
        <v>347601.92800000001</v>
      </c>
      <c r="D13" s="25">
        <f>JAN!D13+JAN!U13+FEV!D13+FEV!U13+MAR!D13+MAR!U13+ABR!D13+ABR!U13+MAI!E13+JUN!E13+JUL!E13+AGO!E13+SET!E13+OUT!E13+NOV!E13+DEZ!E13</f>
        <v>132923.22400000002</v>
      </c>
      <c r="E13" s="25">
        <f>JAN!E13+JAN!V13+FEV!E13+FEV!V13+MAR!E13+MAR!V13+ABR!E13+ABR!V13+MAI!F13+JUN!F13+JUL!F13+AGO!F13+SET!F13+OUT!F13+NOV!F13+DEZ!F13</f>
        <v>34313.144</v>
      </c>
      <c r="F13" s="25">
        <f>JAN!F13+JAN!W13+FEV!F13+FEV!W13+MAR!F13+MAR!W13+ABR!F13+ABR!W13+MAI!G13+JUN!G13+JUL!G13+AGO!G13+SET!G13+OUT!G13+NOV!G13+DEZ!G13</f>
        <v>2215100.4400000004</v>
      </c>
      <c r="G13" s="25">
        <f>JAN!G13+JAN!X13+FEV!G13+FEV!X13+MAR!G13+MAR!X13+ABR!G13+ABR!X13+MAI!H13+JUN!H13+JUL!H13+AGO!H13+SET!H13+OUT!H13+NOV!H13+DEZ!H13</f>
        <v>31179.624</v>
      </c>
      <c r="H13" s="25">
        <f>JAN!H13+JAN!Y13+FEV!Y13+FEV!H13+MAR!H13+MAR!Y13+ABR!Y13+ABR!H13+MAI!I13+JUN!I13+JUL!I13+AGO!I13+SET!I13+OUT!I13+NOV!I13+DEZ!I13</f>
        <v>62055.304000000004</v>
      </c>
      <c r="I13" s="25">
        <f>JAN!I13+JAN!Z13+FEV!I13+FEV!Z13+MAR!I13+MAR!Z13+ABR!I13+ABR!Z13+MAI!J13+JUN!J13+JUL!J13+AGO!J13+SET!J13+OUT!J13+NOV!J13+DEZ!J13</f>
        <v>19298.607999999997</v>
      </c>
      <c r="J13" s="25">
        <f>JAN!J13+JAN!AA13+FEV!J13+FEV!AA13+MAR!J13+MAR!AA13+ABR!J13+ABR!AA13+MAI!K13+JUN!K13+JUL!K13+AGO!K13+SET!K13+OUT!K13+NOV!K13+DEZ!K13</f>
        <v>50164.063999999998</v>
      </c>
      <c r="K13" s="25">
        <f>JAN!K13+JAN!AB13+FEV!K13+FEV!AB13+MAR!K13+MAR!AB13+ABR!K13+ABR!AB13+MAI!L13+JUN!L13+JUL!L13+AGO!L13+SET!L13+OUT!L13+NOV!L13+DEZ!L13</f>
        <v>2350.8000000000002</v>
      </c>
      <c r="L13" s="25">
        <f>JAN!L13+JAN!AC13+FEV!L13+FEV!AC13+MAR!L13+MAR!AC13+ABR!L13+ABR!AC13+MAI!M13+JUN!M13+JUL!M13+AGO!M13+SET!M13+OUT!M13+NOV!M13+DEZ!M13</f>
        <v>156.72000000000003</v>
      </c>
      <c r="M13" s="25">
        <f>JAN!M13+JAN!AD13+FEV!M13+FEV!AD13+MAR!M13+MAR!AD13+ABR!M13+ABR!AD13+MAI!N13+JUN!N13+JUL!N13+AGO!N13+SET!N13+OUT!N13+NOV!N13+DEZ!N13</f>
        <v>0</v>
      </c>
      <c r="N13" s="25">
        <f>JAN!N13+JAN!AE13+FEV!N13+FEV!AE13+MAR!N13+MAR!AE13+ABR!N13+ABR!AE13+MAI!O13+JUN!O13+JUL!O13+AGO!O13+SET!O13+OUT!O13+NOV!O13+DEZ!O13</f>
        <v>822.07199999999989</v>
      </c>
      <c r="O13" s="25">
        <f>AGO!P13+SET!P13+OUT!P13+NOV!P13+DEZ!P13</f>
        <v>0</v>
      </c>
      <c r="P13" s="25">
        <f>JAN!AF13+FEV!AF13+MAR!AF13+ABR!AG13+MAI!Q13+JUN!Q13+JUL!Q13+AGO!Q13+SET!Q13+OUT!Q13+NOV!Q13+DEZ!Q13</f>
        <v>0</v>
      </c>
      <c r="Q13" s="25">
        <f>JAN!AG13+FEV!AG13+MAR!AG13+ABR!AH13+MAI!R13+JUN!R13+JUL!R13+AGO!R13+SET!R13+OUT!R13+NOV!R13+DEZ!R13</f>
        <v>0</v>
      </c>
      <c r="R13" s="26">
        <f t="shared" si="0"/>
        <v>3923424.0720000002</v>
      </c>
      <c r="S13" s="1093">
        <f t="shared" si="1"/>
        <v>166027.19199999995</v>
      </c>
      <c r="T13" s="1093">
        <f t="shared" si="2"/>
        <v>166027.19199999995</v>
      </c>
      <c r="U13" s="1093"/>
    </row>
    <row r="14" spans="1:21">
      <c r="A14" s="16" t="s">
        <v>9</v>
      </c>
      <c r="B14" s="25">
        <f>JAN!B14+JAN!S14+FEV!B14+FEV!S14+MAR!B14+MAR!S14+ABR!B14+ABR!S14+MAI!C14+JUN!C14+JUL!C14+AGO!C14+SET!C14+OUT!C14+NOV!C14+DEZ!C14</f>
        <v>344353.32800000004</v>
      </c>
      <c r="C14" s="25">
        <f>JAN!C14+JAN!T14+FEV!C14+FEV!T14+MAR!C14+MAR!T14+ABR!C14+ABR!T14+MAI!D14+JUN!D14+JUL!D14+AGO!D14+SET!D14+OUT!D14+NOV!D14+DEZ!D14</f>
        <v>178005.09600000002</v>
      </c>
      <c r="D14" s="25">
        <f>JAN!D14+JAN!U14+FEV!D14+FEV!U14+MAR!D14+MAR!U14+ABR!D14+ABR!U14+MAI!E14+JUN!E14+JUL!E14+AGO!E14+SET!E14+OUT!E14+NOV!E14+DEZ!E14</f>
        <v>31513.328000000009</v>
      </c>
      <c r="E14" s="25">
        <f>JAN!E14+JAN!V14+FEV!E14+FEV!V14+MAR!E14+MAR!V14+ABR!E14+ABR!V14+MAI!F14+JUN!F14+JUL!F14+AGO!F14+SET!F14+OUT!F14+NOV!F14+DEZ!F14</f>
        <v>8980.1920000000009</v>
      </c>
      <c r="F14" s="25">
        <f>JAN!F14+JAN!W14+FEV!F14+FEV!W14+MAR!F14+MAR!W14+ABR!F14+ABR!W14+MAI!G14+JUN!G14+JUL!G14+AGO!G14+SET!G14+OUT!G14+NOV!G14+DEZ!G14</f>
        <v>384952.05599999998</v>
      </c>
      <c r="G14" s="25">
        <f>JAN!G14+JAN!X14+FEV!G14+FEV!X14+MAR!G14+MAR!X14+ABR!G14+ABR!X14+MAI!H14+JUN!H14+JUL!H14+AGO!H14+SET!H14+OUT!H14+NOV!H14+DEZ!H14</f>
        <v>15515.280000000002</v>
      </c>
      <c r="H14" s="25">
        <f>JAN!H14+JAN!Y14+FEV!Y14+FEV!H14+MAR!H14+MAR!Y14+ABR!Y14+ABR!H14+MAI!I14+JUN!I14+JUL!I14+AGO!I14+SET!I14+OUT!I14+NOV!I14+DEZ!I14</f>
        <v>26041.088</v>
      </c>
      <c r="I14" s="25">
        <f>JAN!I14+JAN!Z14+FEV!I14+FEV!Z14+MAR!I14+MAR!Z14+ABR!I14+ABR!Z14+MAI!J14+JUN!J14+JUL!J14+AGO!J14+SET!J14+OUT!J14+NOV!J14+DEZ!J14</f>
        <v>0</v>
      </c>
      <c r="J14" s="25">
        <f>JAN!J14+JAN!AA14+FEV!J14+FEV!AA14+MAR!J14+MAR!AA14+ABR!J14+ABR!AA14+MAI!K14+JUN!K14+JUL!K14+AGO!K14+SET!K14+OUT!K14+NOV!K14+DEZ!K14</f>
        <v>21723.808000000001</v>
      </c>
      <c r="K14" s="25">
        <f>JAN!K14+JAN!AB14+FEV!K14+FEV!AB14+MAR!K14+MAR!AB14+ABR!K14+ABR!AB14+MAI!L14+JUN!L14+JUL!L14+AGO!L14+SET!L14+OUT!L14+NOV!L14+DEZ!L14</f>
        <v>3212.7600000000007</v>
      </c>
      <c r="L14" s="25">
        <f>JAN!L14+JAN!AC14+FEV!L14+FEV!AC14+MAR!L14+MAR!AC14+ABR!L14+ABR!AC14+MAI!M14+JUN!M14+JUL!M14+AGO!M14+SET!M14+OUT!M14+NOV!M14+DEZ!M14</f>
        <v>156.72000000000003</v>
      </c>
      <c r="M14" s="25">
        <f>JAN!M14+JAN!AD14+FEV!M14+FEV!AD14+MAR!M14+MAR!AD14+ABR!M14+ABR!AD14+MAI!N14+JUN!N14+JUL!N14+AGO!N14+SET!N14+OUT!N14+NOV!N14+DEZ!N14</f>
        <v>0</v>
      </c>
      <c r="N14" s="25">
        <f>JAN!N14+JAN!AE14+FEV!N14+FEV!AE14+MAR!N14+MAR!AE14+ABR!N14+ABR!AE14+MAI!O14+JUN!O14+JUL!O14+AGO!O14+SET!O14+OUT!O14+NOV!O14+DEZ!O14</f>
        <v>204.95999999999998</v>
      </c>
      <c r="O14" s="25">
        <f>AGO!P14+SET!P14+OUT!P14+NOV!P14+DEZ!P14</f>
        <v>0</v>
      </c>
      <c r="P14" s="25">
        <f>JAN!AF14+FEV!AF14+MAR!AF14+ABR!AG14+MAI!Q14+JUN!Q14+JUL!Q14+AGO!Q14+SET!Q14+OUT!Q14+NOV!Q14+DEZ!Q14</f>
        <v>0</v>
      </c>
      <c r="Q14" s="25">
        <f>JAN!AG14+FEV!AG14+MAR!AG14+ABR!AH14+MAI!R14+JUN!R14+JUL!R14+AGO!R14+SET!R14+OUT!R14+NOV!R14+DEZ!R14</f>
        <v>0</v>
      </c>
      <c r="R14" s="26">
        <f t="shared" si="0"/>
        <v>1014658.616</v>
      </c>
      <c r="S14" s="1093">
        <f t="shared" si="1"/>
        <v>66854.616000000009</v>
      </c>
      <c r="T14" s="1093">
        <f t="shared" si="2"/>
        <v>66854.616000000009</v>
      </c>
      <c r="U14" s="1093"/>
    </row>
    <row r="15" spans="1:21">
      <c r="A15" s="16" t="s">
        <v>10</v>
      </c>
      <c r="B15" s="25">
        <f>JAN!B15+JAN!S15+FEV!B15+FEV!S15+MAR!B15+MAR!S15+ABR!B15+ABR!S15+MAI!C15+JUN!C15+JUL!C15+AGO!C15+SET!C15+OUT!C15+NOV!C15+DEZ!C15</f>
        <v>802645.91199999989</v>
      </c>
      <c r="C15" s="25">
        <f>JAN!C15+JAN!T15+FEV!C15+FEV!T15+MAR!C15+MAR!T15+ABR!C15+ABR!T15+MAI!D15+JUN!D15+JUL!D15+AGO!D15+SET!D15+OUT!D15+NOV!D15+DEZ!D15</f>
        <v>267001.57600000006</v>
      </c>
      <c r="D15" s="25">
        <f>JAN!D15+JAN!U15+FEV!D15+FEV!U15+MAR!D15+MAR!U15+ABR!D15+ABR!U15+MAI!E15+JUN!E15+JUL!E15+AGO!E15+SET!E15+OUT!E15+NOV!E15+DEZ!E15</f>
        <v>98877.48000000001</v>
      </c>
      <c r="E15" s="25">
        <f>JAN!E15+JAN!V15+FEV!E15+FEV!V15+MAR!E15+MAR!V15+ABR!E15+ABR!V15+MAI!F15+JUN!F15+JUL!F15+AGO!F15+SET!F15+OUT!F15+NOV!F15+DEZ!F15</f>
        <v>35888.976000000002</v>
      </c>
      <c r="F15" s="25">
        <f>JAN!F15+JAN!W15+FEV!F15+FEV!W15+MAR!F15+MAR!W15+ABR!F15+ABR!W15+MAI!G15+JUN!G15+JUL!G15+AGO!G15+SET!G15+OUT!G15+NOV!G15+DEZ!G15</f>
        <v>2337413.4960000003</v>
      </c>
      <c r="G15" s="25">
        <f>JAN!G15+JAN!X15+FEV!G15+FEV!X15+MAR!G15+MAR!X15+ABR!G15+ABR!X15+MAI!H15+JUN!H15+JUL!H15+AGO!H15+SET!H15+OUT!H15+NOV!H15+DEZ!H15</f>
        <v>25138.080000000002</v>
      </c>
      <c r="H15" s="25">
        <f>JAN!H15+JAN!Y15+FEV!Y15+FEV!H15+MAR!H15+MAR!Y15+ABR!Y15+ABR!H15+MAI!I15+JUN!I15+JUL!I15+AGO!I15+SET!I15+OUT!I15+NOV!I15+DEZ!I15</f>
        <v>40239.575999999994</v>
      </c>
      <c r="I15" s="25">
        <f>JAN!I15+JAN!Z15+FEV!I15+FEV!Z15+MAR!I15+MAR!Z15+ABR!I15+ABR!Z15+MAI!J15+JUN!J15+JUL!J15+AGO!J15+SET!J15+OUT!J15+NOV!J15+DEZ!J15</f>
        <v>5822.0160000000005</v>
      </c>
      <c r="J15" s="25">
        <f>JAN!J15+JAN!AA15+FEV!J15+FEV!AA15+MAR!J15+MAR!AA15+ABR!J15+ABR!AA15+MAI!K15+JUN!K15+JUL!K15+AGO!K15+SET!K15+OUT!K15+NOV!K15+DEZ!K15</f>
        <v>36069.376000000004</v>
      </c>
      <c r="K15" s="25">
        <f>JAN!K15+JAN!AB15+FEV!K15+FEV!AB15+MAR!K15+MAR!AB15+ABR!K15+ABR!AB15+MAI!L15+JUN!L15+JUL!L15+AGO!L15+SET!L15+OUT!L15+NOV!L15+DEZ!L15</f>
        <v>5015.0400000000009</v>
      </c>
      <c r="L15" s="25">
        <f>JAN!L15+JAN!AC15+FEV!L15+FEV!AC15+MAR!L15+MAR!AC15+ABR!L15+ABR!AC15+MAI!M15+JUN!M15+JUL!M15+AGO!M15+SET!M15+OUT!M15+NOV!M15+DEZ!M15</f>
        <v>313.44000000000005</v>
      </c>
      <c r="M15" s="25">
        <f>JAN!M15+JAN!AD15+FEV!M15+FEV!AD15+MAR!M15+MAR!AD15+ABR!M15+ABR!AD15+MAI!N15+JUN!N15+JUL!N15+AGO!N15+SET!N15+OUT!N15+NOV!N15+DEZ!N15</f>
        <v>0</v>
      </c>
      <c r="N15" s="25">
        <f>JAN!N15+JAN!AE15+FEV!N15+FEV!AE15+MAR!N15+MAR!AE15+ABR!N15+ABR!AE15+MAI!O15+JUN!O15+JUL!O15+AGO!O15+SET!O15+OUT!O15+NOV!O15+DEZ!O15</f>
        <v>411.40799999999996</v>
      </c>
      <c r="O15" s="25">
        <f>AGO!P15+SET!P15+OUT!P15+NOV!P15+DEZ!P15</f>
        <v>0</v>
      </c>
      <c r="P15" s="25">
        <f>JAN!AF15+FEV!AF15+MAR!AF15+ABR!AG15+MAI!Q15+JUN!Q15+JUL!Q15+AGO!Q15+SET!Q15+OUT!Q15+NOV!Q15+DEZ!Q15</f>
        <v>0</v>
      </c>
      <c r="Q15" s="25">
        <f>JAN!AG15+FEV!AG15+MAR!AG15+ABR!AH15+MAI!R15+JUN!R15+JUL!R15+AGO!R15+SET!R15+OUT!R15+NOV!R15+DEZ!R15</f>
        <v>0</v>
      </c>
      <c r="R15" s="26">
        <f t="shared" si="0"/>
        <v>3654836.3760000002</v>
      </c>
      <c r="S15" s="1093">
        <f t="shared" si="1"/>
        <v>113008.93599999999</v>
      </c>
      <c r="T15" s="1093">
        <f t="shared" si="2"/>
        <v>113008.93599999999</v>
      </c>
      <c r="U15" s="1093"/>
    </row>
    <row r="16" spans="1:21">
      <c r="A16" s="16" t="s">
        <v>11</v>
      </c>
      <c r="B16" s="25">
        <f>JAN!B16+JAN!S16+FEV!B16+FEV!S16+MAR!B16+MAR!S16+ABR!B16+ABR!S16+MAI!C16+JUN!C16+JUL!C16+AGO!C16+SET!C16+OUT!C16+NOV!C16+DEZ!C16</f>
        <v>658269.41599999997</v>
      </c>
      <c r="C16" s="25">
        <f>JAN!C16+JAN!T16+FEV!C16+FEV!T16+MAR!C16+MAR!T16+ABR!C16+ABR!T16+MAI!D16+JUN!D16+JUL!D16+AGO!D16+SET!D16+OUT!D16+NOV!D16+DEZ!D16</f>
        <v>228300.79200000004</v>
      </c>
      <c r="D16" s="25">
        <f>JAN!D16+JAN!U16+FEV!D16+FEV!U16+MAR!D16+MAR!U16+ABR!D16+ABR!U16+MAI!E16+JUN!E16+JUL!E16+AGO!E16+SET!E16+OUT!E16+NOV!E16+DEZ!E16</f>
        <v>107677.84000000003</v>
      </c>
      <c r="E16" s="25">
        <f>JAN!E16+JAN!V16+FEV!E16+FEV!V16+MAR!E16+MAR!V16+ABR!E16+ABR!V16+MAI!F16+JUN!F16+JUL!F16+AGO!F16+SET!F16+OUT!F16+NOV!F16+DEZ!F16</f>
        <v>32443.696000000007</v>
      </c>
      <c r="F16" s="25">
        <f>JAN!F16+JAN!W16+FEV!F16+FEV!W16+MAR!F16+MAR!W16+ABR!F16+ABR!W16+MAI!G16+JUN!G16+JUL!G16+AGO!G16+SET!G16+OUT!G16+NOV!G16+DEZ!G16</f>
        <v>1530480.8640000001</v>
      </c>
      <c r="G16" s="25">
        <f>JAN!G16+JAN!X16+FEV!G16+FEV!X16+MAR!G16+MAR!X16+ABR!G16+ABR!X16+MAI!H16+JUN!H16+JUL!H16+AGO!H16+SET!H16+OUT!H16+NOV!H16+DEZ!H16</f>
        <v>19511.640000000003</v>
      </c>
      <c r="H16" s="25">
        <f>JAN!H16+JAN!Y16+FEV!Y16+FEV!H16+MAR!H16+MAR!Y16+ABR!Y16+ABR!H16+MAI!I16+JUN!I16+JUL!I16+AGO!I16+SET!I16+OUT!I16+NOV!I16+DEZ!I16</f>
        <v>46113.743999999999</v>
      </c>
      <c r="I16" s="25">
        <f>JAN!I16+JAN!Z16+FEV!I16+FEV!Z16+MAR!I16+MAR!Z16+ABR!I16+ABR!Z16+MAI!J16+JUN!J16+JUL!J16+AGO!J16+SET!J16+OUT!J16+NOV!J16+DEZ!J16</f>
        <v>2739.6480000000001</v>
      </c>
      <c r="J16" s="25">
        <f>JAN!J16+JAN!AA16+FEV!J16+FEV!AA16+MAR!J16+MAR!AA16+ABR!J16+ABR!AA16+MAI!K16+JUN!K16+JUL!K16+AGO!K16+SET!K16+OUT!K16+NOV!K16+DEZ!K16</f>
        <v>31928.280000000006</v>
      </c>
      <c r="K16" s="25">
        <f>JAN!K16+JAN!AB16+FEV!K16+FEV!AB16+MAR!K16+MAR!AB16+ABR!K16+ABR!AB16+MAI!L16+JUN!L16+JUL!L16+AGO!L16+SET!L16+OUT!L16+NOV!L16+DEZ!L16</f>
        <v>5952.8080000000009</v>
      </c>
      <c r="L16" s="25">
        <f>JAN!L16+JAN!AC16+FEV!L16+FEV!AC16+MAR!L16+MAR!AC16+ABR!L16+ABR!AC16+MAI!M16+JUN!M16+JUL!M16+AGO!M16+SET!M16+OUT!M16+NOV!M16+DEZ!M16</f>
        <v>0</v>
      </c>
      <c r="M16" s="25">
        <f>JAN!M16+JAN!AD16+FEV!M16+FEV!AD16+MAR!M16+MAR!AD16+ABR!M16+ABR!AD16+MAI!N16+JUN!N16+JUL!N16+AGO!N16+SET!N16+OUT!N16+NOV!N16+DEZ!N16</f>
        <v>5336.6959999999999</v>
      </c>
      <c r="N16" s="25">
        <f>JAN!N16+JAN!AE16+FEV!N16+FEV!AE16+MAR!N16+MAR!AE16+ABR!N16+ABR!AE16+MAI!O16+JUN!O16+JUL!O16+AGO!O16+SET!O16+OUT!O16+NOV!O16+DEZ!O16</f>
        <v>546.3119999999999</v>
      </c>
      <c r="O16" s="25">
        <f>AGO!P16+SET!P16+OUT!P16+NOV!P16+DEZ!P16</f>
        <v>0</v>
      </c>
      <c r="P16" s="25">
        <f>JAN!AF16+FEV!AF16+MAR!AF16+ABR!AG16+MAI!Q16+JUN!Q16+JUL!Q16+AGO!Q16+SET!Q16+OUT!Q16+NOV!Q16+DEZ!Q16</f>
        <v>328.29600000000005</v>
      </c>
      <c r="Q16" s="25">
        <f>JAN!AG16+FEV!AG16+MAR!AG16+ABR!AH16+MAI!R16+JUN!R16+JUL!R16+AGO!R16+SET!R16+OUT!R16+NOV!R16+DEZ!R16</f>
        <v>0</v>
      </c>
      <c r="R16" s="26">
        <f t="shared" si="0"/>
        <v>2669630.0320000001</v>
      </c>
      <c r="S16" s="1093">
        <f t="shared" si="1"/>
        <v>112457.42400000001</v>
      </c>
      <c r="T16" s="1093">
        <f t="shared" si="2"/>
        <v>112457.42400000001</v>
      </c>
      <c r="U16" s="1093"/>
    </row>
    <row r="17" spans="1:21">
      <c r="A17" s="16" t="s">
        <v>12</v>
      </c>
      <c r="B17" s="25">
        <f>JAN!B17+JAN!S17+FEV!B17+FEV!S17+MAR!B17+MAR!S17+ABR!B17+ABR!S17+MAI!C17+JUN!C17+JUL!C17+AGO!C17+SET!C17+OUT!C17+NOV!C17+DEZ!C17</f>
        <v>3664133.1760000004</v>
      </c>
      <c r="C17" s="25">
        <f>JAN!C17+JAN!T17+FEV!C17+FEV!T17+MAR!C17+MAR!T17+ABR!C17+ABR!T17+MAI!D17+JUN!D17+JUL!D17+AGO!D17+SET!D17+OUT!D17+NOV!D17+DEZ!D17</f>
        <v>1347251.92</v>
      </c>
      <c r="D17" s="25">
        <f>JAN!D17+JAN!U17+FEV!D17+FEV!U17+MAR!D17+MAR!U17+ABR!D17+ABR!U17+MAI!E17+JUN!E17+JUL!E17+AGO!E17+SET!E17+OUT!E17+NOV!E17+DEZ!E17</f>
        <v>406662.56</v>
      </c>
      <c r="E17" s="25">
        <f>JAN!E17+JAN!V17+FEV!E17+FEV!V17+MAR!E17+MAR!V17+ABR!E17+ABR!V17+MAI!F17+JUN!F17+JUL!F17+AGO!F17+SET!F17+OUT!F17+NOV!F17+DEZ!F17</f>
        <v>163626.35200000001</v>
      </c>
      <c r="F17" s="25">
        <f>JAN!F17+JAN!W17+FEV!F17+FEV!W17+MAR!F17+MAR!W17+ABR!F17+ABR!W17+MAI!G17+JUN!G17+JUL!G17+AGO!G17+SET!G17+OUT!G17+NOV!G17+DEZ!G17</f>
        <v>3909885.6560000004</v>
      </c>
      <c r="G17" s="25">
        <f>JAN!G17+JAN!X17+FEV!G17+FEV!X17+MAR!G17+MAR!X17+ABR!G17+ABR!X17+MAI!H17+JUN!H17+JUL!H17+AGO!H17+SET!H17+OUT!H17+NOV!H17+DEZ!H17</f>
        <v>69346.04800000001</v>
      </c>
      <c r="H17" s="25">
        <f>JAN!H17+JAN!Y17+FEV!Y17+FEV!H17+MAR!H17+MAR!Y17+ABR!Y17+ABR!H17+MAI!I17+JUN!I17+JUL!I17+AGO!I17+SET!I17+OUT!I17+NOV!I17+DEZ!I17</f>
        <v>248221.55199999997</v>
      </c>
      <c r="I17" s="25">
        <f>JAN!I17+JAN!Z17+FEV!I17+FEV!Z17+MAR!I17+MAR!Z17+ABR!I17+ABR!Z17+MAI!J17+JUN!J17+JUL!J17+AGO!J17+SET!J17+OUT!J17+NOV!J17+DEZ!J17</f>
        <v>470.16000000000008</v>
      </c>
      <c r="J17" s="25">
        <f>JAN!J17+JAN!AA17+FEV!J17+FEV!AA17+MAR!J17+MAR!AA17+ABR!J17+ABR!AA17+MAI!K17+JUN!K17+JUL!K17+AGO!K17+SET!K17+OUT!K17+NOV!K17+DEZ!K17</f>
        <v>167362.40800000002</v>
      </c>
      <c r="K17" s="25">
        <f>JAN!K17+JAN!AB17+FEV!K17+FEV!AB17+MAR!K17+MAR!AB17+ABR!K17+ABR!AB17+MAI!L17+JUN!L17+JUL!L17+AGO!L17+SET!L17+OUT!L17+NOV!L17+DEZ!L17</f>
        <v>31177.072000000004</v>
      </c>
      <c r="L17" s="25">
        <f>JAN!L17+JAN!AC17+FEV!L17+FEV!AC17+MAR!L17+MAR!AC17+ABR!L17+ABR!AC17+MAI!M17+JUN!M17+JUL!M17+AGO!M17+SET!M17+OUT!M17+NOV!M17+DEZ!M17</f>
        <v>1880.64</v>
      </c>
      <c r="M17" s="25">
        <f>JAN!M17+JAN!AD17+FEV!M17+FEV!AD17+MAR!M17+MAR!AD17+ABR!M17+ABR!AD17+MAI!N17+JUN!N17+JUL!N17+AGO!N17+SET!N17+OUT!N17+NOV!N17+DEZ!N17</f>
        <v>5614.6959999999999</v>
      </c>
      <c r="N17" s="25">
        <f>JAN!N17+JAN!AE17+FEV!N17+FEV!AE17+MAR!N17+MAR!AE17+ABR!N17+ABR!AE17+MAI!O17+JUN!O17+JUL!O17+AGO!O17+SET!O17+OUT!O17+NOV!O17+DEZ!O17</f>
        <v>4835.8320000000003</v>
      </c>
      <c r="O17" s="25">
        <f>AGO!P17+SET!P17+OUT!P17+NOV!P17+DEZ!P17</f>
        <v>0</v>
      </c>
      <c r="P17" s="25">
        <f>JAN!AF17+FEV!AF17+MAR!AF17+ABR!AG17+MAI!Q17+JUN!Q17+JUL!Q17+AGO!Q17+SET!Q17+OUT!Q17+NOV!Q17+DEZ!Q17</f>
        <v>0</v>
      </c>
      <c r="Q17" s="25">
        <f>JAN!AG17+FEV!AG17+MAR!AG17+ABR!AH17+MAI!R17+JUN!R17+JUL!R17+AGO!R17+SET!R17+OUT!R17+NOV!R17+DEZ!R17</f>
        <v>0</v>
      </c>
      <c r="R17" s="26">
        <f t="shared" si="0"/>
        <v>10020468.072000002</v>
      </c>
      <c r="S17" s="1093">
        <f t="shared" si="1"/>
        <v>528908.40799999994</v>
      </c>
      <c r="T17" s="1093">
        <f t="shared" si="2"/>
        <v>528908.40799999994</v>
      </c>
      <c r="U17" s="1093"/>
    </row>
    <row r="18" spans="1:21">
      <c r="A18" s="16" t="s">
        <v>15</v>
      </c>
      <c r="B18" s="25">
        <f>JAN!B18+JAN!S18+FEV!B18+FEV!S18+MAR!B18+MAR!S18+ABR!B18+ABR!S18+MAI!C18+JUN!C18+JUL!C18+AGO!C18+SET!C18+OUT!C18+NOV!C18+DEZ!C18</f>
        <v>532980.34399999992</v>
      </c>
      <c r="C18" s="25">
        <f>JAN!C18+JAN!T18+FEV!C18+FEV!T18+MAR!C18+MAR!T18+ABR!C18+ABR!T18+MAI!D18+JUN!D18+JUL!D18+AGO!D18+SET!D18+OUT!D18+NOV!D18+DEZ!D18</f>
        <v>285816.85600000003</v>
      </c>
      <c r="D18" s="25">
        <f>JAN!D18+JAN!U18+FEV!D18+FEV!U18+MAR!D18+MAR!U18+ABR!D18+ABR!U18+MAI!E18+JUN!E18+JUL!E18+AGO!E18+SET!E18+OUT!E18+NOV!E18+DEZ!E18</f>
        <v>52117.567999999999</v>
      </c>
      <c r="E18" s="25">
        <f>JAN!E18+JAN!V18+FEV!E18+FEV!V18+MAR!E18+MAR!V18+ABR!E18+ABR!V18+MAI!F18+JUN!F18+JUL!F18+AGO!F18+SET!F18+OUT!F18+NOV!F18+DEZ!F18</f>
        <v>14935.704000000002</v>
      </c>
      <c r="F18" s="25">
        <f>JAN!F18+JAN!W18+FEV!F18+FEV!W18+MAR!F18+MAR!W18+ABR!F18+ABR!W18+MAI!G18+JUN!G18+JUL!G18+AGO!G18+SET!G18+OUT!G18+NOV!G18+DEZ!G18</f>
        <v>614760.76800000004</v>
      </c>
      <c r="G18" s="25">
        <f>JAN!G18+JAN!X18+FEV!G18+FEV!X18+MAR!G18+MAR!X18+ABR!G18+ABR!X18+MAI!H18+JUN!H18+JUL!H18+AGO!H18+SET!H18+OUT!H18+NOV!H18+DEZ!H18</f>
        <v>23404.120000000003</v>
      </c>
      <c r="H18" s="25">
        <f>JAN!H18+JAN!Y18+FEV!Y18+FEV!H18+MAR!H18+MAR!Y18+ABR!Y18+ABR!H18+MAI!I18+JUN!I18+JUL!I18+AGO!I18+SET!I18+OUT!I18+NOV!I18+DEZ!I18</f>
        <v>50056.928000000007</v>
      </c>
      <c r="I18" s="25">
        <f>JAN!I18+JAN!Z18+FEV!I18+FEV!Z18+MAR!I18+MAR!Z18+ABR!I18+ABR!Z18+MAI!J18+JUN!J18+JUL!J18+AGO!J18+SET!J18+OUT!J18+NOV!J18+DEZ!J18</f>
        <v>0</v>
      </c>
      <c r="J18" s="25">
        <f>JAN!J18+JAN!AA18+FEV!J18+FEV!AA18+MAR!J18+MAR!AA18+ABR!J18+ABR!AA18+MAI!K18+JUN!K18+JUL!K18+AGO!K18+SET!K18+OUT!K18+NOV!K18+DEZ!K18</f>
        <v>31266.784000000003</v>
      </c>
      <c r="K18" s="25">
        <f>JAN!K18+JAN!AB18+FEV!K18+FEV!AB18+MAR!K18+MAR!AB18+ABR!K18+ABR!AB18+MAI!L18+JUN!L18+JUL!L18+AGO!L18+SET!L18+OUT!L18+NOV!L18+DEZ!L18</f>
        <v>4542.3280000000013</v>
      </c>
      <c r="L18" s="25">
        <f>JAN!L18+JAN!AC18+FEV!L18+FEV!AC18+MAR!L18+MAR!AC18+ABR!L18+ABR!AC18+MAI!M18+JUN!M18+JUL!M18+AGO!M18+SET!M18+OUT!M18+NOV!M18+DEZ!M18</f>
        <v>0</v>
      </c>
      <c r="M18" s="25">
        <f>JAN!M18+JAN!AD18+FEV!M18+FEV!AD18+MAR!M18+MAR!AD18+ABR!M18+ABR!AD18+MAI!N18+JUN!N18+JUL!N18+AGO!N18+SET!N18+OUT!N18+NOV!N18+DEZ!N18</f>
        <v>0</v>
      </c>
      <c r="N18" s="25">
        <f>JAN!N18+JAN!AE18+FEV!N18+FEV!AE18+MAR!N18+MAR!AE18+ABR!N18+ABR!AE18+MAI!O18+JUN!O18+JUL!O18+AGO!O18+SET!O18+OUT!O18+NOV!O18+DEZ!O18</f>
        <v>617.11199999999997</v>
      </c>
      <c r="O18" s="25">
        <f>AGO!P18+SET!P18+OUT!P18+NOV!P18+DEZ!P18</f>
        <v>0</v>
      </c>
      <c r="P18" s="25">
        <f>JAN!AF18+FEV!AF18+MAR!AF18+ABR!AG18+MAI!Q18+JUN!Q18+JUL!Q18+AGO!Q18+SET!Q18+OUT!Q18+NOV!Q18+DEZ!Q18</f>
        <v>0</v>
      </c>
      <c r="Q18" s="25">
        <f>JAN!AG18+FEV!AG18+MAR!AG18+ABR!AH18+MAI!R18+JUN!R18+JUL!R18+AGO!R18+SET!R18+OUT!R18+NOV!R18+DEZ!R18</f>
        <v>0</v>
      </c>
      <c r="R18" s="26">
        <f t="shared" si="0"/>
        <v>1610498.5120000001</v>
      </c>
      <c r="S18" s="1093">
        <f t="shared" si="1"/>
        <v>109887.272</v>
      </c>
      <c r="T18" s="1093">
        <f t="shared" si="2"/>
        <v>109887.272</v>
      </c>
      <c r="U18" s="1093"/>
    </row>
    <row r="19" spans="1:21">
      <c r="A19" s="16" t="s">
        <v>14</v>
      </c>
      <c r="B19" s="25">
        <f>JAN!B19+JAN!S19+FEV!B19+FEV!S19+MAR!B19+MAR!S19+ABR!B19+ABR!S19+MAI!C19+JUN!C19+JUL!C19+AGO!C19+SET!C19+OUT!C19+NOV!C19+DEZ!C19</f>
        <v>558335.76800000016</v>
      </c>
      <c r="C19" s="25">
        <f>JAN!C19+JAN!T19+FEV!C19+FEV!T19+MAR!C19+MAR!T19+ABR!C19+ABR!T19+MAI!D19+JUN!D19+JUL!D19+AGO!D19+SET!D19+OUT!D19+NOV!D19+DEZ!D19</f>
        <v>257480.97599999997</v>
      </c>
      <c r="D19" s="25">
        <f>JAN!D19+JAN!U19+FEV!D19+FEV!U19+MAR!D19+MAR!U19+ABR!D19+ABR!U19+MAI!E19+JUN!E19+JUL!E19+AGO!E19+SET!E19+OUT!E19+NOV!E19+DEZ!E19</f>
        <v>49680.295999999995</v>
      </c>
      <c r="E19" s="25">
        <f>JAN!E19+JAN!V19+FEV!E19+FEV!V19+MAR!E19+MAR!V19+ABR!E19+ABR!V19+MAI!F19+JUN!F19+JUL!F19+AGO!F19+SET!F19+OUT!F19+NOV!F19+DEZ!F19</f>
        <v>21381.648000000001</v>
      </c>
      <c r="F19" s="25">
        <f>JAN!F19+JAN!W19+FEV!F19+FEV!W19+MAR!F19+MAR!W19+ABR!F19+ABR!W19+MAI!G19+JUN!G19+JUL!G19+AGO!G19+SET!G19+OUT!G19+NOV!G19+DEZ!G19</f>
        <v>732697.67200000002</v>
      </c>
      <c r="G19" s="25">
        <f>JAN!G19+JAN!X19+FEV!G19+FEV!X19+MAR!G19+MAR!X19+ABR!G19+ABR!X19+MAI!H19+JUN!H19+JUL!H19+AGO!H19+SET!H19+OUT!H19+NOV!H19+DEZ!H19</f>
        <v>13940.424000000003</v>
      </c>
      <c r="H19" s="25">
        <f>JAN!H19+JAN!Y19+FEV!Y19+FEV!H19+MAR!H19+MAR!Y19+ABR!Y19+ABR!H19+MAI!I19+JUN!I19+JUL!I19+AGO!I19+SET!I19+OUT!I19+NOV!I19+DEZ!I19</f>
        <v>41153.64</v>
      </c>
      <c r="I19" s="25">
        <f>JAN!I19+JAN!Z19+FEV!I19+FEV!Z19+MAR!I19+MAR!Z19+ABR!I19+ABR!Z19+MAI!J19+JUN!J19+JUL!J19+AGO!J19+SET!J19+OUT!J19+NOV!J19+DEZ!J19</f>
        <v>691.46399999999994</v>
      </c>
      <c r="J19" s="25">
        <f>JAN!J19+JAN!AA19+FEV!J19+FEV!AA19+MAR!J19+MAR!AA19+ABR!J19+ABR!AA19+MAI!K19+JUN!K19+JUL!K19+AGO!K19+SET!K19+OUT!K19+NOV!K19+DEZ!K19</f>
        <v>31346.2</v>
      </c>
      <c r="K19" s="25">
        <f>JAN!K19+JAN!AB19+FEV!K19+FEV!AB19+MAR!K19+MAR!AB19+ABR!K19+ABR!AB19+MAI!L19+JUN!L19+JUL!L19+AGO!L19+SET!L19+OUT!L19+NOV!L19+DEZ!L19</f>
        <v>2272.4400000000005</v>
      </c>
      <c r="L19" s="25">
        <f>JAN!L19+JAN!AC19+FEV!L19+FEV!AC19+MAR!L19+MAR!AC19+ABR!L19+ABR!AC19+MAI!M19+JUN!M19+JUL!M19+AGO!M19+SET!M19+OUT!M19+NOV!M19+DEZ!M19</f>
        <v>0</v>
      </c>
      <c r="M19" s="25">
        <f>JAN!M19+JAN!AD19+FEV!M19+FEV!AD19+MAR!M19+MAR!AD19+ABR!M19+ABR!AD19+MAI!N19+JUN!N19+JUL!N19+AGO!N19+SET!N19+OUT!N19+NOV!N19+DEZ!N19</f>
        <v>0</v>
      </c>
      <c r="N19" s="25">
        <f>JAN!N19+JAN!AE19+FEV!N19+FEV!AE19+MAR!N19+MAR!AE19+ABR!N19+ABR!AE19+MAI!O19+JUN!O19+JUL!O19+AGO!O19+SET!O19+OUT!O19+NOV!O19+DEZ!O19</f>
        <v>594.25599999999997</v>
      </c>
      <c r="O19" s="25">
        <f>AGO!P19+SET!P19+OUT!P19+NOV!P19+DEZ!P19</f>
        <v>0</v>
      </c>
      <c r="P19" s="25">
        <f>JAN!AF19+FEV!AF19+MAR!AF19+ABR!AG19+MAI!Q19+JUN!Q19+JUL!Q19+AGO!Q19+SET!Q19+OUT!Q19+NOV!Q19+DEZ!Q19</f>
        <v>0</v>
      </c>
      <c r="Q19" s="25">
        <f>JAN!AG19+FEV!AG19+MAR!AG19+ABR!AH19+MAI!R19+JUN!R19+JUL!R19+AGO!R19+SET!R19+OUT!R19+NOV!R19+DEZ!R19</f>
        <v>575.37600000000009</v>
      </c>
      <c r="R19" s="26">
        <f t="shared" si="0"/>
        <v>1710150.1600000001</v>
      </c>
      <c r="S19" s="1093">
        <f t="shared" si="1"/>
        <v>90573.8</v>
      </c>
      <c r="T19" s="1093">
        <f t="shared" si="2"/>
        <v>90573.8</v>
      </c>
      <c r="U19" s="1093"/>
    </row>
    <row r="20" spans="1:21">
      <c r="A20" s="16" t="s">
        <v>13</v>
      </c>
      <c r="B20" s="25">
        <f>JAN!B20+JAN!S20+FEV!B20+FEV!S20+MAR!B20+MAR!S20+ABR!B20+ABR!S20+MAI!C20+JUN!C20+JUL!C20+AGO!C20+SET!C20+OUT!C20+NOV!C20+DEZ!C20</f>
        <v>3094576</v>
      </c>
      <c r="C20" s="25">
        <f>JAN!C20+JAN!T20+FEV!C20+FEV!T20+MAR!C20+MAR!T20+ABR!C20+ABR!T20+MAI!D20+JUN!D20+JUL!D20+AGO!D20+SET!D20+OUT!D20+NOV!D20+DEZ!D20</f>
        <v>977570.23200000008</v>
      </c>
      <c r="D20" s="25">
        <f>JAN!D20+JAN!U20+FEV!D20+FEV!U20+MAR!D20+MAR!U20+ABR!D20+ABR!U20+MAI!E20+JUN!E20+JUL!E20+AGO!E20+SET!E20+OUT!E20+NOV!E20+DEZ!E20</f>
        <v>581652.55999999994</v>
      </c>
      <c r="E20" s="25">
        <f>JAN!E20+JAN!V20+FEV!E20+FEV!V20+MAR!E20+MAR!V20+ABR!E20+ABR!V20+MAI!F20+JUN!F20+JUL!F20+AGO!F20+SET!F20+OUT!F20+NOV!F20+DEZ!F20</f>
        <v>233059.16000000003</v>
      </c>
      <c r="F20" s="25">
        <f>JAN!F20+JAN!W20+FEV!F20+FEV!W20+MAR!F20+MAR!W20+ABR!F20+ABR!W20+MAI!G20+JUN!G20+JUL!G20+AGO!G20+SET!G20+OUT!G20+NOV!G20+DEZ!G20</f>
        <v>5699577.9440000001</v>
      </c>
      <c r="G20" s="25">
        <f>JAN!G20+JAN!X20+FEV!G20+FEV!X20+MAR!G20+MAR!X20+ABR!G20+ABR!X20+MAI!H20+JUN!H20+JUL!H20+AGO!H20+SET!H20+OUT!H20+NOV!H20+DEZ!H20</f>
        <v>101233.46400000001</v>
      </c>
      <c r="H20" s="25">
        <f>JAN!H20+JAN!Y20+FEV!Y20+FEV!H20+MAR!H20+MAR!Y20+ABR!Y20+ABR!H20+MAI!I20+JUN!I20+JUL!I20+AGO!I20+SET!I20+OUT!I20+NOV!I20+DEZ!I20</f>
        <v>169448.128</v>
      </c>
      <c r="I20" s="25">
        <f>JAN!I20+JAN!Z20+FEV!I20+FEV!Z20+MAR!I20+MAR!Z20+ABR!I20+ABR!Z20+MAI!J20+JUN!J20+JUL!J20+AGO!J20+SET!J20+OUT!J20+NOV!J20+DEZ!J20</f>
        <v>4456.7920000000004</v>
      </c>
      <c r="J20" s="25">
        <f>JAN!J20+JAN!AA20+FEV!J20+FEV!AA20+MAR!J20+MAR!AA20+ABR!J20+ABR!AA20+MAI!K20+JUN!K20+JUL!K20+AGO!K20+SET!K20+OUT!K20+NOV!K20+DEZ!K20</f>
        <v>150000.568</v>
      </c>
      <c r="K20" s="25">
        <f>JAN!K20+JAN!AB20+FEV!K20+FEV!AB20+MAR!K20+MAR!AB20+ABR!K20+ABR!AB20+MAI!L20+JUN!L20+JUL!L20+AGO!L20+SET!L20+OUT!L20+NOV!L20+DEZ!L20</f>
        <v>33280.031999999999</v>
      </c>
      <c r="L20" s="25">
        <f>JAN!L20+JAN!AC20+FEV!L20+FEV!AC20+MAR!L20+MAR!AC20+ABR!L20+ABR!AC20+MAI!M20+JUN!M20+JUL!M20+AGO!M20+SET!M20+OUT!M20+NOV!M20+DEZ!M20</f>
        <v>1723.9200000000003</v>
      </c>
      <c r="M20" s="25">
        <f>JAN!M20+JAN!AD20+FEV!M20+FEV!AD20+MAR!M20+MAR!AD20+ABR!M20+ABR!AD20+MAI!N20+JUN!N20+JUL!N20+AGO!N20+SET!N20+OUT!N20+NOV!N20+DEZ!N20</f>
        <v>0</v>
      </c>
      <c r="N20" s="25">
        <f>JAN!N20+JAN!AE20+FEV!N20+FEV!AE20+MAR!N20+MAR!AE20+ABR!N20+ABR!AE20+MAI!O20+JUN!O20+JUL!O20+AGO!O20+SET!O20+OUT!O20+NOV!O20+DEZ!O20</f>
        <v>1824.7599999999998</v>
      </c>
      <c r="O20" s="25">
        <f>AGO!P20+SET!P20+OUT!P20+NOV!P20+DEZ!P20</f>
        <v>0</v>
      </c>
      <c r="P20" s="25">
        <f>JAN!AF20+FEV!AF20+MAR!AF20+ABR!AG20+MAI!Q20+JUN!Q20+JUL!Q20+AGO!Q20+SET!Q20+OUT!Q20+NOV!Q20+DEZ!Q20</f>
        <v>0</v>
      </c>
      <c r="Q20" s="25">
        <f>JAN!AG20+FEV!AG20+MAR!AG20+ABR!AH20+MAI!R20+JUN!R20+JUL!R20+AGO!R20+SET!R20+OUT!R20+NOV!R20+DEZ!R20</f>
        <v>0</v>
      </c>
      <c r="R20" s="26">
        <f t="shared" si="0"/>
        <v>11048403.559999999</v>
      </c>
      <c r="S20" s="1093">
        <f t="shared" si="1"/>
        <v>461967.66400000005</v>
      </c>
      <c r="T20" s="1093">
        <f t="shared" si="2"/>
        <v>461967.66400000005</v>
      </c>
      <c r="U20" s="1093"/>
    </row>
    <row r="21" spans="1:21">
      <c r="A21" s="16" t="s">
        <v>16</v>
      </c>
      <c r="B21" s="25">
        <f>JAN!B21+JAN!S21+FEV!B21+FEV!S21+MAR!B21+MAR!S21+ABR!B21+ABR!S21+MAI!C21+JUN!C21+JUL!C21+AGO!C21+SET!C21+OUT!C21+NOV!C21+DEZ!C21</f>
        <v>1066023.8159999999</v>
      </c>
      <c r="C21" s="25">
        <f>JAN!C21+JAN!T21+FEV!C21+FEV!T21+MAR!C21+MAR!T21+ABR!C21+ABR!T21+MAI!D21+JUN!D21+JUL!D21+AGO!D21+SET!D21+OUT!D21+NOV!D21+DEZ!D21</f>
        <v>362496.12800000003</v>
      </c>
      <c r="D21" s="25">
        <f>JAN!D21+JAN!U21+FEV!D21+FEV!U21+MAR!D21+MAR!U21+ABR!D21+ABR!U21+MAI!E21+JUN!E21+JUL!E21+AGO!E21+SET!E21+OUT!E21+NOV!E21+DEZ!E21</f>
        <v>113434.568</v>
      </c>
      <c r="E21" s="25">
        <f>JAN!E21+JAN!V21+FEV!E21+FEV!V21+MAR!E21+MAR!V21+ABR!E21+ABR!V21+MAI!F21+JUN!F21+JUL!F21+AGO!F21+SET!F21+OUT!F21+NOV!F21+DEZ!F21</f>
        <v>31026.512000000002</v>
      </c>
      <c r="F21" s="25">
        <f>JAN!F21+JAN!W21+FEV!F21+FEV!W21+MAR!F21+MAR!W21+ABR!F21+ABR!W21+MAI!G21+JUN!G21+JUL!G21+AGO!G21+SET!G21+OUT!G21+NOV!G21+DEZ!G21</f>
        <v>1184538.544</v>
      </c>
      <c r="G21" s="25">
        <f>JAN!G21+JAN!X21+FEV!G21+FEV!X21+MAR!G21+MAR!X21+ABR!G21+ABR!X21+MAI!H21+JUN!H21+JUL!H21+AGO!H21+SET!H21+OUT!H21+NOV!H21+DEZ!H21</f>
        <v>34086.6</v>
      </c>
      <c r="H21" s="25">
        <f>JAN!H21+JAN!Y21+FEV!Y21+FEV!H21+MAR!H21+MAR!Y21+ABR!Y21+ABR!H21+MAI!I21+JUN!I21+JUL!I21+AGO!I21+SET!I21+OUT!I21+NOV!I21+DEZ!I21</f>
        <v>53643.176000000007</v>
      </c>
      <c r="I21" s="25">
        <f>JAN!I21+JAN!Z21+FEV!I21+FEV!Z21+MAR!I21+MAR!Z21+ABR!I21+ABR!Z21+MAI!J21+JUN!J21+JUL!J21+AGO!J21+SET!J21+OUT!J21+NOV!J21+DEZ!J21</f>
        <v>3416.7359999999999</v>
      </c>
      <c r="J21" s="25">
        <f>JAN!J21+JAN!AA21+FEV!J21+FEV!AA21+MAR!J21+MAR!AA21+ABR!J21+ABR!AA21+MAI!K21+JUN!K21+JUL!K21+AGO!K21+SET!K21+OUT!K21+NOV!K21+DEZ!K21</f>
        <v>62345.240000000005</v>
      </c>
      <c r="K21" s="25">
        <f>JAN!K21+JAN!AB21+FEV!K21+FEV!AB21+MAR!K21+MAR!AB21+ABR!K21+ABR!AB21+MAI!L21+JUN!L21+JUL!L21+AGO!L21+SET!L21+OUT!L21+NOV!L21+DEZ!L21</f>
        <v>5015.04</v>
      </c>
      <c r="L21" s="25">
        <f>JAN!L21+JAN!AC21+FEV!L21+FEV!AC21+MAR!L21+MAR!AC21+ABR!L21+ABR!AC21+MAI!M21+JUN!M21+JUL!M21+AGO!M21+SET!M21+OUT!M21+NOV!M21+DEZ!M21</f>
        <v>0</v>
      </c>
      <c r="M21" s="25">
        <f>JAN!M21+JAN!AD21+FEV!M21+FEV!AD21+MAR!M21+MAR!AD21+ABR!M21+ABR!AD21+MAI!N21+JUN!N21+JUL!N21+AGO!N21+SET!N21+OUT!N21+NOV!N21+DEZ!N21</f>
        <v>0</v>
      </c>
      <c r="N21" s="25">
        <f>JAN!N21+JAN!AE21+FEV!N21+FEV!AE21+MAR!N21+MAR!AE21+ABR!N21+ABR!AE21+MAI!O21+JUN!O21+JUL!O21+AGO!O21+SET!O21+OUT!O21+NOV!O21+DEZ!O21</f>
        <v>936.35199999999986</v>
      </c>
      <c r="O21" s="25">
        <f>AGO!P21+SET!P21+OUT!P21+NOV!P21+DEZ!P21</f>
        <v>0</v>
      </c>
      <c r="P21" s="25">
        <f>JAN!AF21+FEV!AF21+MAR!AF21+ABR!AG21+MAI!Q21+JUN!Q21+JUL!Q21+AGO!Q21+SET!Q21+OUT!Q21+NOV!Q21+DEZ!Q21</f>
        <v>0</v>
      </c>
      <c r="Q21" s="25">
        <f>JAN!AG21+FEV!AG21+MAR!AG21+ABR!AH21+MAI!R21+JUN!R21+JUL!R21+AGO!R21+SET!R21+OUT!R21+NOV!R21+DEZ!R21</f>
        <v>0</v>
      </c>
      <c r="R21" s="26">
        <f t="shared" si="0"/>
        <v>2916962.7120000003</v>
      </c>
      <c r="S21" s="1093">
        <f t="shared" si="1"/>
        <v>159443.14400000006</v>
      </c>
      <c r="T21" s="1093">
        <f t="shared" si="2"/>
        <v>159443.14400000006</v>
      </c>
      <c r="U21" s="1093"/>
    </row>
    <row r="22" spans="1:21">
      <c r="A22" s="16" t="s">
        <v>17</v>
      </c>
      <c r="B22" s="25">
        <f>JAN!B22+JAN!S22+FEV!B22+FEV!S22+MAR!B22+MAR!S22+ABR!B22+ABR!S22+MAI!C22+JUN!C22+JUL!C22+AGO!C22+SET!C22+OUT!C22+NOV!C22+DEZ!C22</f>
        <v>294695.696</v>
      </c>
      <c r="C22" s="25">
        <f>JAN!C22+JAN!T22+FEV!C22+FEV!T22+MAR!C22+MAR!T22+ABR!C22+ABR!T22+MAI!D22+JUN!D22+JUL!D22+AGO!D22+SET!D22+OUT!D22+NOV!D22+DEZ!D22</f>
        <v>82142.800000000017</v>
      </c>
      <c r="D22" s="25">
        <f>JAN!D22+JAN!U22+FEV!D22+FEV!U22+MAR!D22+MAR!U22+ABR!D22+ABR!U22+MAI!E22+JUN!E22+JUL!E22+AGO!E22+SET!E22+OUT!E22+NOV!E22+DEZ!E22</f>
        <v>42071.16</v>
      </c>
      <c r="E22" s="25">
        <f>JAN!E22+JAN!V22+FEV!E22+FEV!V22+MAR!E22+MAR!V22+ABR!E22+ABR!V22+MAI!F22+JUN!F22+JUL!F22+AGO!F22+SET!F22+OUT!F22+NOV!F22+DEZ!F22</f>
        <v>12088.040000000005</v>
      </c>
      <c r="F22" s="25">
        <f>JAN!F22+JAN!W22+FEV!F22+FEV!W22+MAR!F22+MAR!W22+ABR!F22+ABR!W22+MAI!G22+JUN!G22+JUL!G22+AGO!G22+SET!G22+OUT!G22+NOV!G22+DEZ!G22</f>
        <v>348988.08800000005</v>
      </c>
      <c r="G22" s="25">
        <f>JAN!G22+JAN!X22+FEV!G22+FEV!X22+MAR!G22+MAR!X22+ABR!G22+ABR!X22+MAI!H22+JUN!H22+JUL!H22+AGO!H22+SET!H22+OUT!H22+NOV!H22+DEZ!H22</f>
        <v>12061.320000000002</v>
      </c>
      <c r="H22" s="25">
        <f>JAN!H22+JAN!Y22+FEV!Y22+FEV!H22+MAR!H22+MAR!Y22+ABR!Y22+ABR!H22+MAI!I22+JUN!I22+JUL!I22+AGO!I22+SET!I22+OUT!I22+NOV!I22+DEZ!I22</f>
        <v>11908.944</v>
      </c>
      <c r="I22" s="25">
        <f>JAN!I22+JAN!Z22+FEV!I22+FEV!Z22+MAR!I22+MAR!Z22+ABR!I22+ABR!Z22+MAI!J22+JUN!J22+JUL!J22+AGO!J22+SET!J22+OUT!J22+NOV!J22+DEZ!J22</f>
        <v>2063.5920000000001</v>
      </c>
      <c r="J22" s="25">
        <f>JAN!J22+JAN!AA22+FEV!J22+FEV!AA22+MAR!J22+MAR!AA22+ABR!J22+ABR!AA22+MAI!K22+JUN!K22+JUL!K22+AGO!K22+SET!K22+OUT!K22+NOV!K22+DEZ!K22</f>
        <v>16214.976000000004</v>
      </c>
      <c r="K22" s="25">
        <f>JAN!K22+JAN!AB22+FEV!K22+FEV!AB22+MAR!K22+MAR!AB22+ABR!K22+ABR!AB22+MAI!L22+JUN!L22+JUL!L22+AGO!L22+SET!L22+OUT!L22+NOV!L22+DEZ!L22</f>
        <v>235.08000000000004</v>
      </c>
      <c r="L22" s="25">
        <f>JAN!L22+JAN!AC22+FEV!L22+FEV!AC22+MAR!L22+MAR!AC22+ABR!L22+ABR!AC22+MAI!M22+JUN!M22+JUL!M22+AGO!M22+SET!M22+OUT!M22+NOV!M22+DEZ!M22</f>
        <v>313.44000000000005</v>
      </c>
      <c r="M22" s="25">
        <f>JAN!M22+JAN!AD22+FEV!M22+FEV!AD22+MAR!M22+MAR!AD22+ABR!M22+ABR!AD22+MAI!N22+JUN!N22+JUL!N22+AGO!N22+SET!N22+OUT!N22+NOV!N22+DEZ!N22</f>
        <v>0</v>
      </c>
      <c r="N22" s="25">
        <f>JAN!N22+JAN!AE22+FEV!N22+FEV!AE22+MAR!N22+MAR!AE22+ABR!N22+ABR!AE22+MAI!O22+JUN!O22+JUL!O22+AGO!O22+SET!O22+OUT!O22+NOV!O22+DEZ!O22</f>
        <v>113.536</v>
      </c>
      <c r="O22" s="25">
        <f>AGO!P22+SET!P22+OUT!P22+NOV!P22+DEZ!P22</f>
        <v>0</v>
      </c>
      <c r="P22" s="25">
        <f>JAN!AF22+FEV!AF22+MAR!AF22+ABR!AG22+MAI!Q22+JUN!Q22+JUL!Q22+AGO!Q22+SET!Q22+OUT!Q22+NOV!Q22+DEZ!Q22</f>
        <v>0</v>
      </c>
      <c r="Q22" s="25">
        <f>JAN!AG22+FEV!AG22+MAR!AG22+ABR!AH22+MAI!R22+JUN!R22+JUL!R22+AGO!R22+SET!R22+OUT!R22+NOV!R22+DEZ!R22</f>
        <v>0</v>
      </c>
      <c r="R22" s="26">
        <f t="shared" si="0"/>
        <v>822896.6719999999</v>
      </c>
      <c r="S22" s="1093">
        <f t="shared" si="1"/>
        <v>42910.888000000014</v>
      </c>
      <c r="T22" s="1093">
        <f t="shared" si="2"/>
        <v>42910.888000000014</v>
      </c>
      <c r="U22" s="1093"/>
    </row>
    <row r="23" spans="1:21">
      <c r="A23" s="16" t="s">
        <v>18</v>
      </c>
      <c r="B23" s="25">
        <f>JAN!B23+JAN!S23+FEV!B23+FEV!S23+MAR!B23+MAR!S23+ABR!B23+ABR!S23+MAI!C23+JUN!C23+JUL!C23+AGO!C23+SET!C23+OUT!C23+NOV!C23+DEZ!C23</f>
        <v>3952588.0640000002</v>
      </c>
      <c r="C23" s="25">
        <f>JAN!C23+JAN!T23+FEV!C23+FEV!T23+MAR!C23+MAR!T23+ABR!C23+ABR!T23+MAI!D23+JUN!D23+JUL!D23+AGO!D23+SET!D23+OUT!D23+NOV!D23+DEZ!D23</f>
        <v>991405.28800000006</v>
      </c>
      <c r="D23" s="25">
        <f>JAN!D23+JAN!U23+FEV!D23+FEV!U23+MAR!D23+MAR!U23+ABR!D23+ABR!U23+MAI!E23+JUN!E23+JUL!E23+AGO!E23+SET!E23+OUT!E23+NOV!E23+DEZ!E23</f>
        <v>569134.29599999986</v>
      </c>
      <c r="E23" s="25">
        <f>JAN!E23+JAN!V23+FEV!E23+FEV!V23+MAR!E23+MAR!V23+ABR!E23+ABR!V23+MAI!F23+JUN!F23+JUL!F23+AGO!F23+SET!F23+OUT!F23+NOV!F23+DEZ!F23</f>
        <v>123888.24</v>
      </c>
      <c r="F23" s="25">
        <f>JAN!F23+JAN!W23+FEV!F23+FEV!W23+MAR!F23+MAR!W23+ABR!F23+ABR!W23+MAI!G23+JUN!G23+JUL!G23+AGO!G23+SET!G23+OUT!G23+NOV!G23+DEZ!G23</f>
        <v>3812455.0720000006</v>
      </c>
      <c r="G23" s="25">
        <f>JAN!G23+JAN!X23+FEV!G23+FEV!X23+MAR!G23+MAR!X23+ABR!G23+ABR!X23+MAI!H23+JUN!H23+JUL!H23+AGO!H23+SET!H23+OUT!H23+NOV!H23+DEZ!H23</f>
        <v>123744.344</v>
      </c>
      <c r="H23" s="25">
        <f>JAN!H23+JAN!Y23+FEV!Y23+FEV!H23+MAR!H23+MAR!Y23+ABR!Y23+ABR!H23+MAI!I23+JUN!I23+JUL!I23+AGO!I23+SET!I23+OUT!I23+NOV!I23+DEZ!I23</f>
        <v>218412.46399999998</v>
      </c>
      <c r="I23" s="25">
        <f>JAN!I23+JAN!Z23+FEV!I23+FEV!Z23+MAR!I23+MAR!Z23+ABR!I23+ABR!Z23+MAI!J23+JUN!J23+JUL!J23+AGO!J23+SET!J23+OUT!J23+NOV!J23+DEZ!J23</f>
        <v>11478.408000000001</v>
      </c>
      <c r="J23" s="25">
        <f>JAN!J23+JAN!AA23+FEV!J23+FEV!AA23+MAR!J23+MAR!AA23+ABR!J23+ABR!AA23+MAI!K23+JUN!K23+JUL!K23+AGO!K23+SET!K23+OUT!K23+NOV!K23+DEZ!K23</f>
        <v>143591</v>
      </c>
      <c r="K23" s="25">
        <f>JAN!K23+JAN!AB23+FEV!K23+FEV!AB23+MAR!K23+MAR!AB23+ABR!K23+ABR!AB23+MAI!L23+JUN!L23+JUL!L23+AGO!L23+SET!L23+OUT!L23+NOV!L23+DEZ!L23</f>
        <v>14810.04</v>
      </c>
      <c r="L23" s="25">
        <f>JAN!L23+JAN!AC23+FEV!L23+FEV!AC23+MAR!L23+MAR!AC23+ABR!L23+ABR!AC23+MAI!M23+JUN!M23+JUL!M23+AGO!M23+SET!M23+OUT!M23+NOV!M23+DEZ!M23</f>
        <v>1723.9200000000003</v>
      </c>
      <c r="M23" s="25">
        <f>JAN!M23+JAN!AD23+FEV!M23+FEV!AD23+MAR!M23+MAR!AD23+ABR!M23+ABR!AD23+MAI!N23+JUN!N23+JUL!N23+AGO!N23+SET!N23+OUT!N23+NOV!N23+DEZ!N23</f>
        <v>0</v>
      </c>
      <c r="N23" s="25">
        <f>JAN!N23+JAN!AE23+FEV!N23+FEV!AE23+MAR!N23+MAR!AE23+ABR!N23+ABR!AE23+MAI!O23+JUN!O23+JUL!O23+AGO!O23+SET!O23+OUT!O23+NOV!O23+DEZ!O23</f>
        <v>4970.7040000000006</v>
      </c>
      <c r="O23" s="25">
        <f>AGO!P23+SET!P23+OUT!P23+NOV!P23+DEZ!P23</f>
        <v>0</v>
      </c>
      <c r="P23" s="25">
        <f>JAN!AF23+FEV!AF23+MAR!AF23+ABR!AG23+MAI!Q23+JUN!Q23+JUL!Q23+AGO!Q23+SET!Q23+OUT!Q23+NOV!Q23+DEZ!Q23</f>
        <v>0</v>
      </c>
      <c r="Q23" s="25">
        <f>JAN!AG23+FEV!AG23+MAR!AG23+ABR!AH23+MAI!R23+JUN!R23+JUL!R23+AGO!R23+SET!R23+OUT!R23+NOV!R23+DEZ!R23</f>
        <v>0</v>
      </c>
      <c r="R23" s="26">
        <f t="shared" si="0"/>
        <v>9968201.8399999999</v>
      </c>
      <c r="S23" s="1093">
        <f t="shared" si="1"/>
        <v>518730.87999999995</v>
      </c>
      <c r="T23" s="1093">
        <f t="shared" si="2"/>
        <v>518730.87999999995</v>
      </c>
      <c r="U23" s="1093"/>
    </row>
    <row r="24" spans="1:21">
      <c r="A24" s="16" t="s">
        <v>20</v>
      </c>
      <c r="B24" s="25">
        <f>JAN!B24+JAN!S24+FEV!B24+FEV!S24+MAR!B24+MAR!S24+ABR!B24+ABR!S24+MAI!C24+JUN!C24+JUL!C24+AGO!C24+SET!C24+OUT!C24+NOV!C24+DEZ!C24</f>
        <v>538060.95199999993</v>
      </c>
      <c r="C24" s="25">
        <f>JAN!C24+JAN!T24+FEV!C24+FEV!T24+MAR!C24+MAR!T24+ABR!C24+ABR!T24+MAI!D24+JUN!D24+JUL!D24+AGO!D24+SET!D24+OUT!D24+NOV!D24+DEZ!D24</f>
        <v>249700.10400000005</v>
      </c>
      <c r="D24" s="25">
        <f>JAN!D24+JAN!U24+FEV!D24+FEV!U24+MAR!D24+MAR!U24+ABR!D24+ABR!U24+MAI!E24+JUN!E24+JUL!E24+AGO!E24+SET!E24+OUT!E24+NOV!E24+DEZ!E24</f>
        <v>40339.616000000002</v>
      </c>
      <c r="E24" s="25">
        <f>JAN!E24+JAN!V24+FEV!E24+FEV!V24+MAR!E24+MAR!V24+ABR!E24+ABR!V24+MAI!F24+JUN!F24+JUL!F24+AGO!F24+SET!F24+OUT!F24+NOV!F24+DEZ!F24</f>
        <v>10941.432000000001</v>
      </c>
      <c r="F24" s="25">
        <f>JAN!F24+JAN!W24+FEV!F24+FEV!W24+MAR!F24+MAR!W24+ABR!F24+ABR!W24+MAI!G24+JUN!G24+JUL!G24+AGO!G24+SET!G24+OUT!G24+NOV!G24+DEZ!G24</f>
        <v>629055.46400000004</v>
      </c>
      <c r="G24" s="25">
        <f>JAN!G24+JAN!X24+FEV!G24+FEV!X24+MAR!G24+MAR!X24+ABR!G24+ABR!X24+MAI!H24+JUN!H24+JUL!H24+AGO!H24+SET!H24+OUT!H24+NOV!H24+DEZ!H24</f>
        <v>15350.904</v>
      </c>
      <c r="H24" s="25">
        <f>JAN!H24+JAN!Y24+FEV!Y24+FEV!H24+MAR!H24+MAR!Y24+ABR!Y24+ABR!H24+MAI!I24+JUN!I24+JUL!I24+AGO!I24+SET!I24+OUT!I24+NOV!I24+DEZ!I24</f>
        <v>41412.735999999997</v>
      </c>
      <c r="I24" s="25">
        <f>JAN!I24+JAN!Z24+FEV!I24+FEV!Z24+MAR!I24+MAR!Z24+ABR!I24+ABR!Z24+MAI!J24+JUN!J24+JUL!J24+AGO!J24+SET!J24+OUT!J24+NOV!J24+DEZ!J24</f>
        <v>3195.3360000000002</v>
      </c>
      <c r="J24" s="25">
        <f>JAN!J24+JAN!AA24+FEV!J24+FEV!AA24+MAR!J24+MAR!AA24+ABR!J24+ABR!AA24+MAI!K24+JUN!K24+JUL!K24+AGO!K24+SET!K24+OUT!K24+NOV!K24+DEZ!K24</f>
        <v>28868.680000000004</v>
      </c>
      <c r="K24" s="25">
        <f>JAN!K24+JAN!AB24+FEV!K24+FEV!AB24+MAR!K24+MAR!AB24+ABR!K24+ABR!AB24+MAI!L24+JUN!L24+JUL!L24+AGO!L24+SET!L24+OUT!L24+NOV!L24+DEZ!L24</f>
        <v>783.60000000000014</v>
      </c>
      <c r="L24" s="25">
        <f>JAN!L24+JAN!AC24+FEV!L24+FEV!AC24+MAR!L24+MAR!AC24+ABR!L24+ABR!AC24+MAI!M24+JUN!M24+JUL!M24+AGO!M24+SET!M24+OUT!M24+NOV!M24+DEZ!M24</f>
        <v>0</v>
      </c>
      <c r="M24" s="25">
        <f>JAN!M24+JAN!AD24+FEV!M24+FEV!AD24+MAR!M24+MAR!AD24+ABR!M24+ABR!AD24+MAI!N24+JUN!N24+JUL!N24+AGO!N24+SET!N24+OUT!N24+NOV!N24+DEZ!N24</f>
        <v>0</v>
      </c>
      <c r="N24" s="25">
        <f>JAN!N24+JAN!AE24+FEV!N24+FEV!AE24+MAR!N24+MAR!AE24+ABR!N24+ABR!AE24+MAI!O24+JUN!O24+JUL!O24+AGO!O24+SET!O24+OUT!O24+NOV!O24+DEZ!O24</f>
        <v>478.48799999999994</v>
      </c>
      <c r="O24" s="25">
        <f>AGO!P24+SET!P24+OUT!P24+NOV!P24+DEZ!P24</f>
        <v>38.095999999999997</v>
      </c>
      <c r="P24" s="25">
        <f>JAN!AF24+FEV!AF24+MAR!AF24+ABR!AG24+MAI!Q24+JUN!Q24+JUL!Q24+AGO!Q24+SET!Q24+OUT!Q24+NOV!Q24+DEZ!Q24</f>
        <v>0</v>
      </c>
      <c r="Q24" s="25">
        <f>JAN!AG24+FEV!AG24+MAR!AG24+ABR!AH24+MAI!R24+JUN!R24+JUL!R24+AGO!R24+SET!R24+OUT!R24+NOV!R24+DEZ!R24</f>
        <v>0</v>
      </c>
      <c r="R24" s="26">
        <f t="shared" si="0"/>
        <v>1558225.4079999998</v>
      </c>
      <c r="S24" s="1093">
        <f t="shared" si="1"/>
        <v>90127.840000000011</v>
      </c>
      <c r="T24" s="1093">
        <f t="shared" si="2"/>
        <v>90127.840000000011</v>
      </c>
      <c r="U24" s="1093"/>
    </row>
    <row r="25" spans="1:21">
      <c r="A25" s="16" t="s">
        <v>19</v>
      </c>
      <c r="B25" s="25">
        <f>JAN!B25+JAN!S25+FEV!B25+FEV!S25+MAR!B25+MAR!S25+ABR!B25+ABR!S25+MAI!C25+JUN!C25+JUL!C25+AGO!C25+SET!C25+OUT!C25+NOV!C25+DEZ!C25</f>
        <v>3963520.0160000008</v>
      </c>
      <c r="C25" s="25">
        <f>JAN!C25+JAN!T25+FEV!C25+FEV!T25+MAR!C25+MAR!T25+ABR!C25+ABR!T25+MAI!D25+JUN!D25+JUL!D25+AGO!D25+SET!D25+OUT!D25+NOV!D25+DEZ!D25</f>
        <v>973907.08799999999</v>
      </c>
      <c r="D25" s="25">
        <f>JAN!D25+JAN!U25+FEV!D25+FEV!U25+MAR!D25+MAR!U25+ABR!D25+ABR!U25+MAI!E25+JUN!E25+JUL!E25+AGO!E25+SET!E25+OUT!E25+NOV!E25+DEZ!E25</f>
        <v>556269.75199999998</v>
      </c>
      <c r="E25" s="25">
        <f>JAN!E25+JAN!V25+FEV!E25+FEV!V25+MAR!E25+MAR!V25+ABR!E25+ABR!V25+MAI!F25+JUN!F25+JUL!F25+AGO!F25+SET!F25+OUT!F25+NOV!F25+DEZ!F25</f>
        <v>176156.84800000003</v>
      </c>
      <c r="F25" s="25">
        <f>JAN!F25+JAN!W25+FEV!F25+FEV!W25+MAR!F25+MAR!W25+ABR!F25+ABR!W25+MAI!G25+JUN!G25+JUL!G25+AGO!G25+SET!G25+OUT!G25+NOV!G25+DEZ!G25</f>
        <v>6715767.8319999995</v>
      </c>
      <c r="G25" s="25">
        <f>JAN!G25+JAN!X25+FEV!G25+FEV!X25+MAR!G25+MAR!X25+ABR!G25+ABR!X25+MAI!H25+JUN!H25+JUL!H25+AGO!H25+SET!H25+OUT!H25+NOV!H25+DEZ!H25</f>
        <v>62202.527999999998</v>
      </c>
      <c r="H25" s="25">
        <f>JAN!H25+JAN!Y25+FEV!Y25+FEV!H25+MAR!H25+MAR!Y25+ABR!Y25+ABR!H25+MAI!I25+JUN!I25+JUL!I25+AGO!I25+SET!I25+OUT!I25+NOV!I25+DEZ!I25</f>
        <v>172362.46400000001</v>
      </c>
      <c r="I25" s="25">
        <f>JAN!I25+JAN!Z25+FEV!I25+FEV!Z25+MAR!I25+MAR!Z25+ABR!I25+ABR!Z25+MAI!J25+JUN!J25+JUL!J25+AGO!J25+SET!J25+OUT!J25+NOV!J25+DEZ!J25</f>
        <v>12417.640000000001</v>
      </c>
      <c r="J25" s="25">
        <f>JAN!J25+JAN!AA25+FEV!J25+FEV!AA25+MAR!J25+MAR!AA25+ABR!J25+ABR!AA25+MAI!K25+JUN!K25+JUL!K25+AGO!K25+SET!K25+OUT!K25+NOV!K25+DEZ!K25</f>
        <v>153527.92000000001</v>
      </c>
      <c r="K25" s="25">
        <f>JAN!K25+JAN!AB25+FEV!K25+FEV!AB25+MAR!K25+MAR!AB25+ABR!K25+ABR!AB25+MAI!L25+JUN!L25+JUL!L25+AGO!L25+SET!L25+OUT!L25+NOV!L25+DEZ!L25</f>
        <v>24056.52</v>
      </c>
      <c r="L25" s="25">
        <f>JAN!L25+JAN!AC25+FEV!L25+FEV!AC25+MAR!L25+MAR!AC25+ABR!L25+ABR!AC25+MAI!M25+JUN!M25+JUL!M25+AGO!M25+SET!M25+OUT!M25+NOV!M25+DEZ!M25</f>
        <v>1567.2000000000003</v>
      </c>
      <c r="M25" s="25">
        <f>JAN!M25+JAN!AD25+FEV!M25+FEV!AD25+MAR!M25+MAR!AD25+ABR!M25+ABR!AD25+MAI!N25+JUN!N25+JUL!N25+AGO!N25+SET!N25+OUT!N25+NOV!N25+DEZ!N25</f>
        <v>2459.7440000000001</v>
      </c>
      <c r="N25" s="25">
        <f>JAN!N25+JAN!AE25+FEV!N25+FEV!AE25+MAR!N25+MAR!AE25+ABR!N25+ABR!AE25+MAI!O25+JUN!O25+JUL!O25+AGO!O25+SET!O25+OUT!O25+NOV!O25+DEZ!O25</f>
        <v>1939.7839999999997</v>
      </c>
      <c r="O25" s="25">
        <f>AGO!P25+SET!P25+OUT!P25+NOV!P25+DEZ!P25</f>
        <v>0</v>
      </c>
      <c r="P25" s="25">
        <f>JAN!AF25+FEV!AF25+MAR!AF25+ABR!AG25+MAI!Q25+JUN!Q25+JUL!Q25+AGO!Q25+SET!Q25+OUT!Q25+NOV!Q25+DEZ!Q25</f>
        <v>0</v>
      </c>
      <c r="Q25" s="25">
        <f>JAN!AG25+FEV!AG25+MAR!AG25+ABR!AH25+MAI!R25+JUN!R25+JUL!R25+AGO!R25+SET!R25+OUT!R25+NOV!R25+DEZ!R25</f>
        <v>0</v>
      </c>
      <c r="R25" s="26">
        <f t="shared" si="0"/>
        <v>12816155.336000001</v>
      </c>
      <c r="S25" s="1093">
        <f t="shared" si="1"/>
        <v>430533.80000000005</v>
      </c>
      <c r="T25" s="1093">
        <f t="shared" si="2"/>
        <v>430533.80000000005</v>
      </c>
      <c r="U25" s="1093"/>
    </row>
    <row r="26" spans="1:21">
      <c r="A26" s="16" t="s">
        <v>21</v>
      </c>
      <c r="B26" s="25">
        <f>JAN!B26+JAN!S26+FEV!B26+FEV!S26+MAR!B26+MAR!S26+ABR!B26+ABR!S26+MAI!C26+JUN!C26+JUL!C26+AGO!C26+SET!C26+OUT!C26+NOV!C26+DEZ!C26</f>
        <v>251457.01600000003</v>
      </c>
      <c r="C26" s="25">
        <f>JAN!C26+JAN!T26+FEV!C26+FEV!T26+MAR!C26+MAR!T26+ABR!C26+ABR!T26+MAI!D26+JUN!D26+JUL!D26+AGO!D26+SET!D26+OUT!D26+NOV!D26+DEZ!D26</f>
        <v>72366.208000000013</v>
      </c>
      <c r="D26" s="25">
        <f>JAN!D26+JAN!U26+FEV!D26+FEV!U26+MAR!D26+MAR!U26+ABR!D26+ABR!U26+MAI!E26+JUN!E26+JUL!E26+AGO!E26+SET!E26+OUT!E26+NOV!E26+DEZ!E26</f>
        <v>29699.384000000005</v>
      </c>
      <c r="E26" s="25">
        <f>JAN!E26+JAN!V26+FEV!E26+FEV!V26+MAR!E26+MAR!V26+ABR!E26+ABR!V26+MAI!F26+JUN!F26+JUL!F26+AGO!F26+SET!F26+OUT!F26+NOV!F26+DEZ!F26</f>
        <v>12175.887999999999</v>
      </c>
      <c r="F26" s="25">
        <f>JAN!F26+JAN!W26+FEV!F26+FEV!W26+MAR!F26+MAR!W26+ABR!F26+ABR!W26+MAI!G26+JUN!G26+JUL!G26+AGO!G26+SET!G26+OUT!G26+NOV!G26+DEZ!G26</f>
        <v>741770.32000000007</v>
      </c>
      <c r="G26" s="25">
        <f>JAN!G26+JAN!X26+FEV!G26+FEV!X26+MAR!G26+MAR!X26+ABR!G26+ABR!X26+MAI!H26+JUN!H26+JUL!H26+AGO!H26+SET!H26+OUT!H26+NOV!H26+DEZ!H26</f>
        <v>12224.16</v>
      </c>
      <c r="H26" s="25">
        <f>JAN!H26+JAN!Y26+FEV!Y26+FEV!H26+MAR!H26+MAR!Y26+ABR!Y26+ABR!H26+MAI!I26+JUN!I26+JUL!I26+AGO!I26+SET!I26+OUT!I26+NOV!I26+DEZ!I26</f>
        <v>9466.648000000001</v>
      </c>
      <c r="I26" s="25">
        <f>JAN!I26+JAN!Z26+FEV!I26+FEV!Z26+MAR!I26+MAR!Z26+ABR!I26+ABR!Z26+MAI!J26+JUN!J26+JUL!J26+AGO!J26+SET!J26+OUT!J26+NOV!J26+DEZ!J26</f>
        <v>0</v>
      </c>
      <c r="J26" s="25">
        <f>JAN!J26+JAN!AA26+FEV!J26+FEV!AA26+MAR!J26+MAR!AA26+ABR!J26+ABR!AA26+MAI!K26+JUN!K26+JUL!K26+AGO!K26+SET!K26+OUT!K26+NOV!K26+DEZ!K26</f>
        <v>12890.175999999999</v>
      </c>
      <c r="K26" s="25">
        <f>JAN!K26+JAN!AB26+FEV!K26+FEV!AB26+MAR!K26+MAR!AB26+ABR!K26+ABR!AB26+MAI!L26+JUN!L26+JUL!L26+AGO!L26+SET!L26+OUT!L26+NOV!L26+DEZ!L26</f>
        <v>2664.2400000000002</v>
      </c>
      <c r="L26" s="25">
        <f>JAN!L26+JAN!AC26+FEV!L26+FEV!AC26+MAR!L26+MAR!AC26+ABR!L26+ABR!AC26+MAI!M26+JUN!M26+JUL!M26+AGO!M26+SET!M26+OUT!M26+NOV!M26+DEZ!M26</f>
        <v>0</v>
      </c>
      <c r="M26" s="25">
        <f>JAN!M26+JAN!AD26+FEV!M26+FEV!AD26+MAR!M26+MAR!AD26+ABR!M26+ABR!AD26+MAI!N26+JUN!N26+JUL!N26+AGO!N26+SET!N26+OUT!N26+NOV!N26+DEZ!N26</f>
        <v>0</v>
      </c>
      <c r="N26" s="25">
        <f>JAN!N26+JAN!AE26+FEV!N26+FEV!AE26+MAR!N26+MAR!AE26+ABR!N26+ABR!AE26+MAI!O26+JUN!O26+JUL!O26+AGO!O26+SET!O26+OUT!O26+NOV!O26+DEZ!O26</f>
        <v>137.136</v>
      </c>
      <c r="O26" s="25">
        <f>AGO!P26+SET!P26+OUT!P26+NOV!P26+DEZ!P26</f>
        <v>0</v>
      </c>
      <c r="P26" s="25">
        <f>JAN!AF26+FEV!AF26+MAR!AF26+ABR!AG26+MAI!Q26+JUN!Q26+JUL!Q26+AGO!Q26+SET!Q26+OUT!Q26+NOV!Q26+DEZ!Q26</f>
        <v>479.06400000000002</v>
      </c>
      <c r="Q26" s="25">
        <f>JAN!AG26+FEV!AG26+MAR!AG26+ABR!AH26+MAI!R26+JUN!R26+JUL!R26+AGO!R26+SET!R26+OUT!R26+NOV!R26+DEZ!R26</f>
        <v>1292.6720000000003</v>
      </c>
      <c r="R26" s="26">
        <f t="shared" si="0"/>
        <v>1146622.912</v>
      </c>
      <c r="S26" s="1093">
        <f t="shared" si="1"/>
        <v>39154.09599999999</v>
      </c>
      <c r="T26" s="1093">
        <f t="shared" si="2"/>
        <v>39154.09599999999</v>
      </c>
      <c r="U26" s="1093"/>
    </row>
    <row r="27" spans="1:21">
      <c r="A27" s="16" t="s">
        <v>22</v>
      </c>
      <c r="B27" s="25">
        <f>JAN!B27+JAN!S27+FEV!B27+FEV!S27+MAR!B27+MAR!S27+ABR!B27+ABR!S27+MAI!C27+JUN!C27+JUL!C27+AGO!C27+SET!C27+OUT!C27+NOV!C27+DEZ!C27</f>
        <v>44995.703999999998</v>
      </c>
      <c r="C27" s="25">
        <f>JAN!C27+JAN!T27+FEV!C27+FEV!T27+MAR!C27+MAR!T27+ABR!C27+ABR!T27+MAI!D27+JUN!D27+JUL!D27+AGO!D27+SET!D27+OUT!D27+NOV!D27+DEZ!D27</f>
        <v>5967.0240000000003</v>
      </c>
      <c r="D27" s="25">
        <f>JAN!D27+JAN!U27+FEV!D27+FEV!U27+MAR!D27+MAR!U27+ABR!D27+ABR!U27+MAI!E27+JUN!E27+JUL!E27+AGO!E27+SET!E27+OUT!E27+NOV!E27+DEZ!E27</f>
        <v>6940.7520000000004</v>
      </c>
      <c r="E27" s="25">
        <f>JAN!E27+JAN!V27+FEV!E27+FEV!V27+MAR!E27+MAR!V27+ABR!E27+ABR!V27+MAI!F27+JUN!F27+JUL!F27+AGO!F27+SET!F27+OUT!F27+NOV!F27+DEZ!F27</f>
        <v>1822.8400000000001</v>
      </c>
      <c r="F27" s="25">
        <f>JAN!F27+JAN!W27+FEV!F27+FEV!W27+MAR!F27+MAR!W27+ABR!F27+ABR!W27+MAI!G27+JUN!G27+JUL!G27+AGO!G27+SET!G27+OUT!G27+NOV!G27+DEZ!G27</f>
        <v>94797.736000000004</v>
      </c>
      <c r="G27" s="25">
        <f>JAN!G27+JAN!X27+FEV!G27+FEV!X27+MAR!G27+MAR!X27+ABR!G27+ABR!X27+MAI!H27+JUN!H27+JUL!H27+AGO!H27+SET!H27+OUT!H27+NOV!H27+DEZ!H27</f>
        <v>2350.8000000000002</v>
      </c>
      <c r="H27" s="25">
        <f>JAN!H27+JAN!Y27+FEV!Y27+FEV!H27+MAR!H27+MAR!Y27+ABR!Y27+ABR!H27+MAI!I27+JUN!I27+JUL!I27+AGO!I27+SET!I27+OUT!I27+NOV!I27+DEZ!I27</f>
        <v>987.44</v>
      </c>
      <c r="I27" s="25">
        <f>JAN!I27+JAN!Z27+FEV!I27+FEV!Z27+MAR!I27+MAR!Z27+ABR!I27+ABR!Z27+MAI!J27+JUN!J27+JUL!J27+AGO!J27+SET!J27+OUT!J27+NOV!J27+DEZ!J27</f>
        <v>0</v>
      </c>
      <c r="J27" s="25">
        <f>JAN!J27+JAN!AA27+FEV!J27+FEV!AA27+MAR!J27+MAR!AA27+ABR!J27+ABR!AA27+MAI!K27+JUN!K27+JUL!K27+AGO!K27+SET!K27+OUT!K27+NOV!K27+DEZ!K27</f>
        <v>1787.7439999999999</v>
      </c>
      <c r="K27" s="25">
        <f>JAN!K27+JAN!AB27+FEV!K27+FEV!AB27+MAR!K27+MAR!AB27+ABR!K27+ABR!AB27+MAI!L27+JUN!L27+JUL!L27+AGO!L27+SET!L27+OUT!L27+NOV!L27+DEZ!L27</f>
        <v>78.360000000000014</v>
      </c>
      <c r="L27" s="25">
        <f>JAN!L27+JAN!AC27+FEV!L27+FEV!AC27+MAR!L27+MAR!AC27+ABR!L27+ABR!AC27+MAI!M27+JUN!M27+JUL!M27+AGO!M27+SET!M27+OUT!M27+NOV!M27+DEZ!M27</f>
        <v>0</v>
      </c>
      <c r="M27" s="25">
        <f>JAN!M27+JAN!AD27+FEV!M27+FEV!AD27+MAR!M27+MAR!AD27+ABR!M27+ABR!AD27+MAI!N27+JUN!N27+JUL!N27+AGO!N27+SET!N27+OUT!N27+NOV!N27+DEZ!N27</f>
        <v>0</v>
      </c>
      <c r="N27" s="25">
        <f>JAN!N27+JAN!AE27+FEV!N27+FEV!AE27+MAR!N27+MAR!AE27+ABR!N27+ABR!AE27+MAI!O27+JUN!O27+JUL!O27+AGO!O27+SET!O27+OUT!O27+NOV!O27+DEZ!O27</f>
        <v>0</v>
      </c>
      <c r="O27" s="25">
        <f>AGO!P27+SET!P27+OUT!P27+NOV!P27+DEZ!P27</f>
        <v>0</v>
      </c>
      <c r="P27" s="25">
        <f>JAN!AF27+FEV!AF27+MAR!AF27+ABR!AG27+MAI!Q27+JUN!Q27+JUL!Q27+AGO!Q27+SET!Q27+OUT!Q27+NOV!Q27+DEZ!Q27</f>
        <v>0</v>
      </c>
      <c r="Q27" s="25">
        <f>JAN!AG27+FEV!AG27+MAR!AG27+ABR!AH27+MAI!R27+JUN!R27+JUL!R27+AGO!R27+SET!R27+OUT!R27+NOV!R27+DEZ!R27</f>
        <v>0</v>
      </c>
      <c r="R27" s="26">
        <f t="shared" si="0"/>
        <v>159728.39999999997</v>
      </c>
      <c r="S27" s="1093">
        <f t="shared" si="1"/>
        <v>5204.3440000000001</v>
      </c>
      <c r="T27" s="1093">
        <f t="shared" si="2"/>
        <v>5204.3440000000001</v>
      </c>
      <c r="U27" s="1093"/>
    </row>
    <row r="28" spans="1:21">
      <c r="A28" s="16" t="s">
        <v>23</v>
      </c>
      <c r="B28" s="25">
        <f>JAN!B28+JAN!S28+FEV!B28+FEV!S28+MAR!B28+MAR!S28+ABR!B28+ABR!S28+MAI!C28+JUN!C28+JUL!C28+AGO!C28+SET!C28+OUT!C28+NOV!C28+DEZ!C28</f>
        <v>2614275.8080000002</v>
      </c>
      <c r="C28" s="25">
        <f>JAN!C28+JAN!T28+FEV!C28+FEV!T28+MAR!C28+MAR!T28+ABR!C28+ABR!T28+MAI!D28+JUN!D28+JUL!D28+AGO!D28+SET!D28+OUT!D28+NOV!D28+DEZ!D28</f>
        <v>484391.45600000006</v>
      </c>
      <c r="D28" s="25">
        <f>JAN!D28+JAN!U28+FEV!D28+FEV!U28+MAR!D28+MAR!U28+ABR!D28+ABR!U28+MAI!E28+JUN!E28+JUL!E28+AGO!E28+SET!E28+OUT!E28+NOV!E28+DEZ!E28</f>
        <v>352642.75200000009</v>
      </c>
      <c r="E28" s="25">
        <f>JAN!E28+JAN!V28+FEV!E28+FEV!V28+MAR!E28+MAR!V28+ABR!E28+ABR!V28+MAI!F28+JUN!F28+JUL!F28+AGO!F28+SET!F28+OUT!F28+NOV!F28+DEZ!F28</f>
        <v>65958.895999999993</v>
      </c>
      <c r="F28" s="25">
        <f>JAN!F28+JAN!W28+FEV!F28+FEV!W28+MAR!F28+MAR!W28+ABR!F28+ABR!W28+MAI!G28+JUN!G28+JUL!G28+AGO!G28+SET!G28+OUT!G28+NOV!G28+DEZ!G28</f>
        <v>4293732.0880000005</v>
      </c>
      <c r="G28" s="25">
        <f>JAN!G28+JAN!X28+FEV!G28+FEV!X28+MAR!G28+MAR!X28+ABR!G28+ABR!X28+MAI!H28+JUN!H28+JUL!H28+AGO!H28+SET!H28+OUT!H28+NOV!H28+DEZ!H28</f>
        <v>51323.248000000007</v>
      </c>
      <c r="H28" s="25">
        <f>JAN!H28+JAN!Y28+FEV!Y28+FEV!H28+MAR!H28+MAR!Y28+ABR!Y28+ABR!H28+MAI!I28+JUN!I28+JUL!I28+AGO!I28+SET!I28+OUT!I28+NOV!I28+DEZ!I28</f>
        <v>84920.000000000015</v>
      </c>
      <c r="I28" s="25">
        <f>JAN!I28+JAN!Z28+FEV!I28+FEV!Z28+MAR!I28+MAR!Z28+ABR!I28+ABR!Z28+MAI!J28+JUN!J28+JUL!J28+AGO!J28+SET!J28+OUT!J28+NOV!J28+DEZ!J28</f>
        <v>2135.1200000000003</v>
      </c>
      <c r="J28" s="25">
        <f>JAN!J28+JAN!AA28+FEV!J28+FEV!AA28+MAR!J28+MAR!AA28+ABR!J28+ABR!AA28+MAI!K28+JUN!K28+JUL!K28+AGO!K28+SET!K28+OUT!K28+NOV!K28+DEZ!K28</f>
        <v>78706.687999999995</v>
      </c>
      <c r="K28" s="25">
        <f>JAN!K28+JAN!AB28+FEV!K28+FEV!AB28+MAR!K28+MAR!AB28+ABR!K28+ABR!AB28+MAI!L28+JUN!L28+JUL!L28+AGO!L28+SET!L28+OUT!L28+NOV!L28+DEZ!L28</f>
        <v>11983.976000000001</v>
      </c>
      <c r="L28" s="25">
        <f>JAN!L28+JAN!AC28+FEV!L28+FEV!AC28+MAR!L28+MAR!AC28+ABR!L28+ABR!AC28+MAI!M28+JUN!M28+JUL!M28+AGO!M28+SET!M28+OUT!M28+NOV!M28+DEZ!M28</f>
        <v>940.32000000000016</v>
      </c>
      <c r="M28" s="25">
        <f>JAN!M28+JAN!AD28+FEV!M28+FEV!AD28+MAR!M28+MAR!AD28+ABR!M28+ABR!AD28+MAI!N28+JUN!N28+JUL!N28+AGO!N28+SET!N28+OUT!N28+NOV!N28+DEZ!N28</f>
        <v>0</v>
      </c>
      <c r="N28" s="25">
        <f>JAN!N28+JAN!AE28+FEV!N28+FEV!AE28+MAR!N28+MAR!AE28+ABR!N28+ABR!AE28+MAI!O28+JUN!O28+JUL!O28+AGO!O28+SET!O28+OUT!O28+NOV!O28+DEZ!O28</f>
        <v>1094.856</v>
      </c>
      <c r="O28" s="25">
        <f>AGO!P28+SET!P28+OUT!P28+NOV!P28+DEZ!P28</f>
        <v>0</v>
      </c>
      <c r="P28" s="25">
        <f>JAN!AF28+FEV!AF28+MAR!AF28+ABR!AG28+MAI!Q28+JUN!Q28+JUL!Q28+AGO!Q28+SET!Q28+OUT!Q28+NOV!Q28+DEZ!Q28</f>
        <v>0</v>
      </c>
      <c r="Q28" s="25">
        <f>JAN!AG28+FEV!AG28+MAR!AG28+ABR!AH28+MAI!R28+JUN!R28+JUL!R28+AGO!R28+SET!R28+OUT!R28+NOV!R28+DEZ!R28</f>
        <v>0</v>
      </c>
      <c r="R28" s="26">
        <f t="shared" si="0"/>
        <v>8042105.2080000015</v>
      </c>
      <c r="S28" s="1093">
        <f t="shared" si="1"/>
        <v>231104.20800000001</v>
      </c>
      <c r="T28" s="1093">
        <f t="shared" si="2"/>
        <v>231104.20800000001</v>
      </c>
      <c r="U28" s="1093"/>
    </row>
    <row r="29" spans="1:21">
      <c r="A29" s="16" t="s">
        <v>25</v>
      </c>
      <c r="B29" s="25">
        <f>JAN!B29+JAN!S29+FEV!B29+FEV!S29+MAR!B29+MAR!S29+ABR!B29+ABR!S29+MAI!C29+JUN!C29+JUL!C29+AGO!C29+SET!C29+OUT!C29+NOV!C29+DEZ!C29</f>
        <v>14346806.248000003</v>
      </c>
      <c r="C29" s="25">
        <f>JAN!C29+JAN!T29+FEV!C29+FEV!T29+MAR!C29+MAR!T29+ABR!C29+ABR!T29+MAI!D29+JUN!D29+JUL!D29+AGO!D29+SET!D29+OUT!D29+NOV!D29+DEZ!D29</f>
        <v>4338347.7039999999</v>
      </c>
      <c r="D29" s="25">
        <f>JAN!D29+JAN!U29+FEV!D29+FEV!U29+MAR!D29+MAR!U29+ABR!D29+ABR!U29+MAI!E29+JUN!E29+JUL!E29+AGO!E29+SET!E29+OUT!E29+NOV!E29+DEZ!E29</f>
        <v>1750933.5360000001</v>
      </c>
      <c r="E29" s="25">
        <f>JAN!E29+JAN!V29+FEV!E29+FEV!V29+MAR!E29+MAR!V29+ABR!E29+ABR!V29+MAI!F29+JUN!F29+JUL!F29+AGO!F29+SET!F29+OUT!F29+NOV!F29+DEZ!F29</f>
        <v>574729.56000000006</v>
      </c>
      <c r="F29" s="25">
        <f>JAN!F29+JAN!W29+FEV!F29+FEV!W29+MAR!F29+MAR!W29+ABR!F29+ABR!W29+MAI!G29+JUN!G29+JUL!G29+AGO!G29+SET!G29+OUT!G29+NOV!G29+DEZ!G29</f>
        <v>22973868.832000002</v>
      </c>
      <c r="G29" s="25">
        <f>JAN!G29+JAN!X29+FEV!G29+FEV!X29+MAR!G29+MAR!X29+ABR!G29+ABR!X29+MAI!H29+JUN!H29+JUL!H29+AGO!H29+SET!H29+OUT!H29+NOV!H29+DEZ!H29</f>
        <v>275736.08</v>
      </c>
      <c r="H29" s="25">
        <f>JAN!H29+JAN!Y29+FEV!Y29+FEV!H29+MAR!H29+MAR!Y29+ABR!Y29+ABR!H29+MAI!I29+JUN!I29+JUL!I29+AGO!I29+SET!I29+OUT!I29+NOV!I29+DEZ!I29</f>
        <v>1003442.224</v>
      </c>
      <c r="I29" s="25">
        <f>JAN!I29+JAN!Z29+FEV!I29+FEV!Z29+MAR!I29+MAR!Z29+ABR!I29+ABR!Z29+MAI!J29+JUN!J29+JUL!J29+AGO!J29+SET!J29+OUT!J29+NOV!J29+DEZ!J29</f>
        <v>14770.800000000001</v>
      </c>
      <c r="J29" s="25">
        <f>JAN!J29+JAN!AA29+FEV!J29+FEV!AA29+MAR!J29+MAR!AA29+ABR!J29+ABR!AA29+MAI!K29+JUN!K29+JUL!K29+AGO!K29+SET!K29+OUT!K29+NOV!K29+DEZ!K29</f>
        <v>551340.66400000011</v>
      </c>
      <c r="K29" s="25">
        <f>JAN!K29+JAN!AB29+FEV!K29+FEV!AB29+MAR!K29+MAR!AB29+ABR!K29+ABR!AB29+MAI!L29+JUN!L29+JUL!L29+AGO!L29+SET!L29+OUT!L29+NOV!L29+DEZ!L29</f>
        <v>57273.504000000001</v>
      </c>
      <c r="L29" s="25">
        <f>JAN!L29+JAN!AC29+FEV!L29+FEV!AC29+MAR!L29+MAR!AC29+ABR!L29+ABR!AC29+MAI!M29+JUN!M29+JUL!M29+AGO!M29+SET!M29+OUT!M29+NOV!M29+DEZ!M29</f>
        <v>4853.2160000000003</v>
      </c>
      <c r="M29" s="25">
        <f>JAN!M29+JAN!AD29+FEV!M29+FEV!AD29+MAR!M29+MAR!AD29+ABR!M29+ABR!AD29+MAI!N29+JUN!N29+JUL!N29+AGO!N29+SET!N29+OUT!N29+NOV!N29+DEZ!N29</f>
        <v>544</v>
      </c>
      <c r="N29" s="25">
        <f>JAN!N29+JAN!AE29+FEV!N29+FEV!AE29+MAR!N29+MAR!AE29+ABR!N29+ABR!AE29+MAI!O29+JUN!O29+JUL!O29+AGO!O29+SET!O29+OUT!O29+NOV!O29+DEZ!O29</f>
        <v>15948.096000000001</v>
      </c>
      <c r="O29" s="25">
        <f>JUL!P29+AGO!P29+SET!P29+OUT!P29+NOV!P29+DEZ!P29</f>
        <v>190.55199999999996</v>
      </c>
      <c r="P29" s="25">
        <f>JAN!AF29+FEV!AF29+MAR!AF29+ABR!AG29+MAI!Q29+JUN!Q29+JUL!Q29+AGO!Q29+SET!Q29+OUT!Q29+NOV!Q29+DEZ!Q29</f>
        <v>7972.4600000000009</v>
      </c>
      <c r="Q29" s="25">
        <f>JAN!AG29+FEV!AG29+MAR!AG29+ABR!AH29+MAI!R29+JUN!R29+JUL!R29+AGO!R29+SET!R29+OUT!R29+NOV!R29+DEZ!R29</f>
        <v>95167.02</v>
      </c>
      <c r="R29" s="26">
        <f t="shared" si="0"/>
        <v>46011924.495999999</v>
      </c>
      <c r="S29" s="1093">
        <f t="shared" si="1"/>
        <v>2027238.6159999999</v>
      </c>
      <c r="T29" s="1093">
        <f t="shared" si="2"/>
        <v>2027238.6159999999</v>
      </c>
      <c r="U29" s="1093"/>
    </row>
    <row r="30" spans="1:21">
      <c r="A30" s="16" t="s">
        <v>24</v>
      </c>
      <c r="B30" s="25">
        <f>JAN!B30+JAN!S30+FEV!B30+FEV!S30+MAR!B30+MAR!S30+ABR!B30+ABR!S30+MAI!C30+JUN!C30+JUL!C30+AGO!C30+SET!C30+OUT!C30+NOV!C30+DEZ!C30</f>
        <v>329185.56</v>
      </c>
      <c r="C30" s="25">
        <f>JAN!C30+JAN!T30+FEV!C30+FEV!T30+MAR!C30+MAR!T30+ABR!C30+ABR!T30+MAI!D30+JUN!D30+JUL!D30+AGO!D30+SET!D30+OUT!D30+NOV!D30+DEZ!D30</f>
        <v>129505.38399999999</v>
      </c>
      <c r="D30" s="25">
        <f>JAN!D30+JAN!U30+FEV!D30+FEV!U30+MAR!D30+MAR!U30+ABR!D30+ABR!U30+MAI!E30+JUN!E30+JUL!E30+AGO!E30+SET!E30+OUT!E30+NOV!E30+DEZ!E30</f>
        <v>29891.24</v>
      </c>
      <c r="E30" s="25">
        <f>JAN!E30+JAN!V30+FEV!E30+FEV!V30+MAR!E30+MAR!V30+ABR!E30+ABR!V30+MAI!F30+JUN!F30+JUL!F30+AGO!F30+SET!F30+OUT!F30+NOV!F30+DEZ!F30</f>
        <v>6979.48</v>
      </c>
      <c r="F30" s="25">
        <f>JAN!F30+JAN!W30+FEV!F30+FEV!W30+MAR!F30+MAR!W30+ABR!F30+ABR!W30+MAI!G30+JUN!G30+JUL!G30+AGO!G30+SET!G30+OUT!G30+NOV!G30+DEZ!G30</f>
        <v>523260.00800000009</v>
      </c>
      <c r="G30" s="25">
        <f>JAN!G30+JAN!X30+FEV!G30+FEV!X30+MAR!G30+MAR!X30+ABR!G30+ABR!X30+MAI!H30+JUN!H30+JUL!H30+AGO!H30+SET!H30+OUT!H30+NOV!H30+DEZ!H30</f>
        <v>14418.240000000002</v>
      </c>
      <c r="H30" s="25">
        <f>JAN!H30+JAN!Y30+FEV!Y30+FEV!H30+MAR!H30+MAR!Y30+ABR!Y30+ABR!H30+MAI!I30+JUN!I30+JUL!I30+AGO!I30+SET!I30+OUT!I30+NOV!I30+DEZ!I30</f>
        <v>17454.696000000004</v>
      </c>
      <c r="I30" s="25">
        <f>JAN!I30+JAN!Z30+FEV!I30+FEV!Z30+MAR!I30+MAR!Z30+ABR!I30+ABR!Z30+MAI!J30+JUN!J30+JUL!J30+AGO!J30+SET!J30+OUT!J30+NOV!J30+DEZ!J30</f>
        <v>2046.816</v>
      </c>
      <c r="J30" s="25">
        <f>JAN!J30+JAN!AA30+FEV!J30+FEV!AA30+MAR!J30+MAR!AA30+ABR!J30+ABR!AA30+MAI!K30+JUN!K30+JUL!K30+AGO!K30+SET!K30+OUT!K30+NOV!K30+DEZ!K30</f>
        <v>18649.727999999999</v>
      </c>
      <c r="K30" s="25">
        <f>JAN!K30+JAN!AB30+FEV!K30+FEV!AB30+MAR!K30+MAR!AB30+ABR!K30+ABR!AB30+MAI!L30+JUN!L30+JUL!L30+AGO!L30+SET!L30+OUT!L30+NOV!L30+DEZ!L30</f>
        <v>2742.6000000000004</v>
      </c>
      <c r="L30" s="25">
        <f>JAN!L30+JAN!AC30+FEV!L30+FEV!AC30+MAR!L30+MAR!AC30+ABR!L30+ABR!AC30+MAI!M30+JUN!M30+JUL!M30+AGO!M30+SET!M30+OUT!M30+NOV!M30+DEZ!M30</f>
        <v>0</v>
      </c>
      <c r="M30" s="25">
        <f>JAN!M30+JAN!AD30+FEV!M30+FEV!AD30+MAR!M30+MAR!AD30+ABR!M30+ABR!AD30+MAI!N30+JUN!N30+JUL!N30+AGO!N30+SET!N30+OUT!N30+NOV!N30+DEZ!N30</f>
        <v>0</v>
      </c>
      <c r="N30" s="25">
        <f>JAN!N30+JAN!AE30+FEV!N30+FEV!AE30+MAR!N30+MAR!AE30+ABR!N30+ABR!AE30+MAI!O30+JUN!O30+JUL!O30+AGO!O30+SET!O30+OUT!O30+NOV!O30+DEZ!O30</f>
        <v>114.28</v>
      </c>
      <c r="O30" s="25">
        <f>AGO!P30+SET!P30+OUT!P30+NOV!P30+DEZ!P30</f>
        <v>38.095999999999997</v>
      </c>
      <c r="P30" s="25">
        <f>JAN!AF30+FEV!AF30+MAR!AF30+ABR!AG30+MAI!Q30+JUN!Q30+JUL!Q30+AGO!Q30+SET!Q30+OUT!Q30+NOV!Q30+DEZ!Q30</f>
        <v>0</v>
      </c>
      <c r="Q30" s="25">
        <f>JAN!AG30+FEV!AG30+MAR!AG30+ABR!AH30+MAI!R30+JUN!R30+JUL!R30+AGO!R30+SET!R30+OUT!R30+NOV!R30+DEZ!R30</f>
        <v>2132.672</v>
      </c>
      <c r="R30" s="26">
        <f t="shared" si="0"/>
        <v>1076418.8</v>
      </c>
      <c r="S30" s="1093">
        <f t="shared" si="1"/>
        <v>57597.128000000004</v>
      </c>
      <c r="T30" s="1093">
        <f t="shared" si="2"/>
        <v>57597.128000000004</v>
      </c>
      <c r="U30" s="1093"/>
    </row>
    <row r="31" spans="1:21">
      <c r="A31" s="16" t="s">
        <v>26</v>
      </c>
      <c r="B31" s="25">
        <f>JAN!B31+JAN!S31+FEV!B31+FEV!S31+MAR!B31+MAR!S31+ABR!B31+ABR!S31+MAI!C31+JUN!C31+JUL!C31+AGO!C31+SET!C31+OUT!C31+NOV!C31+DEZ!C31</f>
        <v>170759.19200000004</v>
      </c>
      <c r="C31" s="25">
        <f>JAN!C31+JAN!T31+FEV!C31+FEV!T31+MAR!C31+MAR!T31+ABR!C31+ABR!T31+MAI!D31+JUN!D31+JUL!D31+AGO!D31+SET!D31+OUT!D31+NOV!D31+DEZ!D31</f>
        <v>71531.088000000003</v>
      </c>
      <c r="D31" s="25">
        <f>JAN!D31+JAN!U31+FEV!D31+FEV!U31+MAR!D31+MAR!U31+ABR!D31+ABR!U31+MAI!E31+JUN!E31+JUL!E31+AGO!E31+SET!E31+OUT!E31+NOV!E31+DEZ!E31</f>
        <v>24965.488000000001</v>
      </c>
      <c r="E31" s="25">
        <f>JAN!E31+JAN!V31+FEV!E31+FEV!V31+MAR!E31+MAR!V31+ABR!E31+ABR!V31+MAI!F31+JUN!F31+JUL!F31+AGO!F31+SET!F31+OUT!F31+NOV!F31+DEZ!F31</f>
        <v>13609.960000000001</v>
      </c>
      <c r="F31" s="25">
        <f>JAN!F31+JAN!W31+FEV!F31+FEV!W31+MAR!F31+MAR!W31+ABR!F31+ABR!W31+MAI!G31+JUN!G31+JUL!G31+AGO!G31+SET!G31+OUT!G31+NOV!G31+DEZ!G31</f>
        <v>354995.56800000003</v>
      </c>
      <c r="G31" s="25">
        <f>JAN!G31+JAN!X31+FEV!G31+FEV!X31+MAR!G31+MAR!X31+ABR!G31+ABR!X31+MAI!H31+JUN!H31+JUL!H31+AGO!H31+SET!H31+OUT!H31+NOV!H31+DEZ!H31</f>
        <v>7757.64</v>
      </c>
      <c r="H31" s="25">
        <f>JAN!H31+JAN!Y31+FEV!Y31+FEV!H31+MAR!H31+MAR!Y31+ABR!Y31+ABR!H31+MAI!I31+JUN!I31+JUL!I31+AGO!I31+SET!I31+OUT!I31+NOV!I31+DEZ!I31</f>
        <v>11903.176000000001</v>
      </c>
      <c r="I31" s="25">
        <f>JAN!I31+JAN!Z31+FEV!I31+FEV!Z31+MAR!I31+MAR!Z31+ABR!I31+ABR!Z31+MAI!J31+JUN!J31+JUL!J31+AGO!J31+SET!J31+OUT!J31+NOV!J31+DEZ!J31</f>
        <v>665.12800000000004</v>
      </c>
      <c r="J31" s="25">
        <f>JAN!J31+JAN!AA31+FEV!J31+FEV!AA31+MAR!J31+MAR!AA31+ABR!J31+ABR!AA31+MAI!K31+JUN!K31+JUL!K31+AGO!K31+SET!K31+OUT!K31+NOV!K31+DEZ!K31</f>
        <v>11240.496000000001</v>
      </c>
      <c r="K31" s="25">
        <f>JAN!K31+JAN!AB31+FEV!K31+FEV!AB31+MAR!K31+MAR!AB31+ABR!K31+ABR!AB31+MAI!L31+JUN!L31+JUL!L31+AGO!L31+SET!L31+OUT!L31+NOV!L31+DEZ!L31</f>
        <v>2585.88</v>
      </c>
      <c r="L31" s="25">
        <f>JAN!L31+JAN!AC31+FEV!L31+FEV!AC31+MAR!L31+MAR!AC31+ABR!L31+ABR!AC31+MAI!M31+JUN!M31+JUL!M31+AGO!M31+SET!M31+OUT!M31+NOV!M31+DEZ!M31</f>
        <v>0</v>
      </c>
      <c r="M31" s="25">
        <f>JAN!M31+JAN!AD31+FEV!M31+FEV!AD31+MAR!M31+MAR!AD31+ABR!M31+ABR!AD31+MAI!N31+JUN!N31+JUL!N31+AGO!N31+SET!N31+OUT!N31+NOV!N31+DEZ!N31</f>
        <v>0</v>
      </c>
      <c r="N31" s="25">
        <f>JAN!N31+JAN!AE31+FEV!N31+FEV!AE31+MAR!N31+MAR!AE31+ABR!N31+ABR!AE31+MAI!O31+JUN!O31+JUL!O31+AGO!O31+SET!O31+OUT!O31+NOV!O31+DEZ!O31</f>
        <v>68.568000000000012</v>
      </c>
      <c r="O31" s="25">
        <f>AGO!P31+SET!P31+OUT!P31+NOV!P31+DEZ!P31</f>
        <v>0</v>
      </c>
      <c r="P31" s="25">
        <f>JAN!AF31+FEV!AF31+MAR!AF31+ABR!AG31+MAI!Q31+JUN!Q31+JUL!Q31+AGO!Q31+SET!Q31+OUT!Q31+NOV!Q31+DEZ!Q31</f>
        <v>203.64</v>
      </c>
      <c r="Q31" s="25">
        <f>JAN!AG31+FEV!AG31+MAR!AG31+ABR!AH31+MAI!R31+JUN!R31+JUL!R31+AGO!R31+SET!R31+OUT!R31+NOV!R31+DEZ!R31</f>
        <v>289.96800000000002</v>
      </c>
      <c r="R31" s="26">
        <f t="shared" si="0"/>
        <v>670575.79200000013</v>
      </c>
      <c r="S31" s="1093">
        <f t="shared" si="1"/>
        <v>34714.495999999999</v>
      </c>
      <c r="T31" s="1093">
        <f t="shared" si="2"/>
        <v>34714.495999999999</v>
      </c>
      <c r="U31" s="1093"/>
    </row>
    <row r="32" spans="1:21">
      <c r="A32" s="5" t="s">
        <v>37</v>
      </c>
      <c r="B32" s="6">
        <f t="shared" ref="B32:R32" si="3">SUM(B5:B31)</f>
        <v>43858025.296000004</v>
      </c>
      <c r="C32" s="6">
        <f t="shared" si="3"/>
        <v>13252086.831999997</v>
      </c>
      <c r="D32" s="6">
        <f t="shared" si="3"/>
        <v>5575433.8960000006</v>
      </c>
      <c r="E32" s="6">
        <f t="shared" si="3"/>
        <v>1708854.936</v>
      </c>
      <c r="F32" s="6">
        <f t="shared" si="3"/>
        <v>65130795.320000008</v>
      </c>
      <c r="G32" s="6">
        <f t="shared" si="3"/>
        <v>1088828.6000000001</v>
      </c>
      <c r="H32" s="6">
        <f t="shared" si="3"/>
        <v>2569474.52</v>
      </c>
      <c r="I32" s="6">
        <f t="shared" si="3"/>
        <v>118448.864</v>
      </c>
      <c r="J32" s="6">
        <f t="shared" si="3"/>
        <v>1832362.1040000001</v>
      </c>
      <c r="K32" s="6">
        <f t="shared" si="3"/>
        <v>238309.872</v>
      </c>
      <c r="L32" s="6">
        <f t="shared" si="3"/>
        <v>16445.392</v>
      </c>
      <c r="M32" s="6">
        <f t="shared" si="3"/>
        <v>19718.752</v>
      </c>
      <c r="N32" s="6">
        <f t="shared" si="3"/>
        <v>39448.144</v>
      </c>
      <c r="O32" s="6">
        <f t="shared" si="3"/>
        <v>266.74399999999997</v>
      </c>
      <c r="P32" s="6">
        <f t="shared" si="3"/>
        <v>9388.2219999999998</v>
      </c>
      <c r="Q32" s="6">
        <f t="shared" si="3"/>
        <v>103505.18800000001</v>
      </c>
      <c r="R32" s="6">
        <f t="shared" si="3"/>
        <v>135561392.68200001</v>
      </c>
      <c r="S32" s="1093">
        <f t="shared" si="1"/>
        <v>6036196.4020000016</v>
      </c>
      <c r="T32" s="1093">
        <f>SUM(T5:T31)</f>
        <v>6036196.4019999988</v>
      </c>
      <c r="U32" s="1093"/>
    </row>
    <row r="33" spans="1:20">
      <c r="A33" s="1108"/>
      <c r="B33" s="1093">
        <f>B32-SUM('Dados - Receita e Qntd'!E4:E30)</f>
        <v>0</v>
      </c>
      <c r="C33" s="1109"/>
      <c r="D33" s="1109"/>
      <c r="E33" s="1109"/>
      <c r="F33" s="1109"/>
      <c r="G33" s="1112">
        <f>SUM(G32:Q32)</f>
        <v>6036196.4020000016</v>
      </c>
      <c r="H33" s="1197">
        <f>G33-G34</f>
        <v>2466386.1220000014</v>
      </c>
      <c r="I33" s="1109"/>
      <c r="J33" s="1109"/>
      <c r="K33" s="1109"/>
      <c r="L33" s="1109"/>
      <c r="M33" s="1109"/>
      <c r="N33" s="1109"/>
      <c r="O33" s="1109"/>
      <c r="P33" s="1109"/>
      <c r="Q33" s="1109"/>
      <c r="R33" s="1093"/>
    </row>
    <row r="34" spans="1:20">
      <c r="A34" s="1098"/>
      <c r="B34" s="1098"/>
      <c r="C34" s="1099"/>
      <c r="D34" s="1099"/>
      <c r="E34" s="1099"/>
      <c r="F34" s="1099"/>
      <c r="G34" s="1101">
        <f>SUM(JAN!X32:AG32)+SUM(FEV!X32:AG32)+SUM(MAR!X32:AG32)+SUM(ABR!X32:AH32)+SUM(MAI!H32:R32)+SUM(JUN!H32:R32)+SUM(JUL!H32:R32)+SUM(AGO!H32:R32)</f>
        <v>3569810.2800000003</v>
      </c>
      <c r="H34" s="1099"/>
      <c r="I34" s="1099"/>
      <c r="J34" s="1099"/>
      <c r="K34" s="1099"/>
      <c r="L34" s="1099"/>
      <c r="M34" s="1099"/>
      <c r="N34" s="1099"/>
      <c r="O34" s="1099"/>
      <c r="P34" s="1099"/>
      <c r="Q34" s="1099"/>
      <c r="R34" s="1100"/>
    </row>
    <row r="35" spans="1:20" ht="46.5">
      <c r="A35" s="1235" t="s">
        <v>1110</v>
      </c>
      <c r="B35" s="1236"/>
      <c r="C35" s="1236"/>
      <c r="D35" s="1236"/>
      <c r="E35" s="1236"/>
      <c r="F35" s="1236"/>
      <c r="G35" s="1236"/>
      <c r="H35" s="1236"/>
      <c r="I35" s="1236"/>
      <c r="J35" s="1236"/>
      <c r="K35" s="1236"/>
      <c r="L35" s="1236"/>
      <c r="M35" s="1236"/>
      <c r="N35" s="1236"/>
      <c r="O35" s="1236"/>
      <c r="P35" s="1236"/>
      <c r="Q35" s="1236"/>
      <c r="R35" s="1237"/>
    </row>
    <row r="36" spans="1:20" ht="35.1" customHeight="1">
      <c r="A36" s="1238" t="s">
        <v>33</v>
      </c>
      <c r="B36" s="1240" t="s">
        <v>27</v>
      </c>
      <c r="C36" s="1241"/>
      <c r="D36" s="1240" t="s">
        <v>29</v>
      </c>
      <c r="E36" s="1241"/>
      <c r="F36" s="1238" t="s">
        <v>28</v>
      </c>
      <c r="G36" s="1238" t="s">
        <v>36</v>
      </c>
      <c r="H36" s="1238" t="s">
        <v>30</v>
      </c>
      <c r="I36" s="1238" t="s">
        <v>31</v>
      </c>
      <c r="J36" s="1238" t="s">
        <v>32</v>
      </c>
      <c r="K36" s="1238" t="s">
        <v>35</v>
      </c>
      <c r="L36" s="1238" t="s">
        <v>40</v>
      </c>
      <c r="M36" s="1238" t="s">
        <v>42</v>
      </c>
      <c r="N36" s="1238" t="s">
        <v>45</v>
      </c>
      <c r="O36" s="1238" t="s">
        <v>411</v>
      </c>
      <c r="P36" s="1240" t="s">
        <v>51</v>
      </c>
      <c r="Q36" s="1241"/>
      <c r="R36" s="1238" t="s">
        <v>34</v>
      </c>
    </row>
    <row r="37" spans="1:20" ht="35.1" customHeight="1">
      <c r="A37" s="1239"/>
      <c r="B37" s="28" t="s">
        <v>43</v>
      </c>
      <c r="C37" s="1076" t="s">
        <v>44</v>
      </c>
      <c r="D37" s="28" t="s">
        <v>43</v>
      </c>
      <c r="E37" s="1076" t="s">
        <v>44</v>
      </c>
      <c r="F37" s="1239"/>
      <c r="G37" s="1239"/>
      <c r="H37" s="1239"/>
      <c r="I37" s="1239"/>
      <c r="J37" s="1239"/>
      <c r="K37" s="1239"/>
      <c r="L37" s="1239"/>
      <c r="M37" s="1239"/>
      <c r="N37" s="1239"/>
      <c r="O37" s="1239"/>
      <c r="P37" s="1075" t="s">
        <v>52</v>
      </c>
      <c r="Q37" s="1075" t="s">
        <v>53</v>
      </c>
      <c r="R37" s="1239"/>
      <c r="T37" s="1104" t="s">
        <v>279</v>
      </c>
    </row>
    <row r="38" spans="1:20">
      <c r="A38" s="1" t="s">
        <v>0</v>
      </c>
      <c r="B38" s="24">
        <f>JAN!B40+JAN!S40+FEV!S40+FEV!B40+MAR!S40+MAR!B40+ABR!S40+ABR!B40+MAI!C40+JUN!C40+JUL!C40+AGO!C40+SET!C40+OUT!C40+NOV!C40+DEZ!C40</f>
        <v>30566.738000000001</v>
      </c>
      <c r="C38" s="24">
        <f>JAN!C40+JAN!T40+FEV!T40+FEV!C40+MAR!T40+MAR!C40+ABR!T40+ABR!C40+MAI!D40+JUN!D40+JUL!D40+AGO!D40+SET!D40+OUT!D40+NOV!D40+DEZ!D40</f>
        <v>8862.1759999999995</v>
      </c>
      <c r="D38" s="24">
        <f>JAN!D40+JAN!U40+FEV!U40+FEV!D40+MAR!U40+MAR!D40+ABR!U40+ABR!D40+MAI!E40+JUN!E40+JUL!E40+AGO!E40+SET!E40+OUT!E40+NOV!E40+DEZ!E40</f>
        <v>4714.04</v>
      </c>
      <c r="E38" s="24">
        <f>JAN!E40+JAN!V40+FEV!V40+FEV!E40+MAR!V40+MAR!E40+ABR!V40+ABR!E40+MAI!F40+JUN!F40+JUL!F40+AGO!F40+SET!F40+OUT!F40+NOV!F40+DEZ!F40</f>
        <v>1295.7700000000002</v>
      </c>
      <c r="F38" s="24">
        <f>JAN!F40+JAN!W40+FEV!W40+FEV!F40+MAR!W40+MAR!F40+ABR!W40+ABR!F40+MAI!G40+JUN!G40+JUL!G40+AGO!G40+SET!G40+OUT!G40+NOV!G40+DEZ!G40</f>
        <v>52331.758000000002</v>
      </c>
      <c r="G38" s="24">
        <f>JAN!G40+JAN!X40+FEV!X40+FEV!G40+MAR!X40+MAR!G40+ABR!X40+ABR!G40+MAI!H40+JUN!H40+JUL!H40+AGO!H40+SET!H40+OUT!H40+NOV!H40+DEZ!H40</f>
        <v>2664.2400000000002</v>
      </c>
      <c r="H38" s="24">
        <f>JAN!H40+JAN!Y40+FEV!H40+FEV!Y40+MAR!H40+MAR!Y40+ABR!Y40+ABR!H40+MAI!I40+JUN!I40+JUL!I40+AGO!I40+SET!I40+OUT!I40+NOV!I40+DEZ!I40</f>
        <v>940.428</v>
      </c>
      <c r="I38" s="24">
        <f>JAN!I40+JAN!Z40+FEV!Z40+FEV!I40+MAR!Z40+MAR!I40+ABR!Z40+ABR!I40+MAI!J40+JUN!J40+JUL!J40+AGO!J40+SET!J40+OUT!J40+NOV!J40+DEZ!J40</f>
        <v>0</v>
      </c>
      <c r="J38" s="24">
        <f>JAN!J40+JAN!AA40+FEV!AA40+FEV!J40+MAR!AA40+MAR!J40+ABR!AA40+ABR!J40+MAI!K40+JUN!K40+JUL!K40+AGO!K40+SET!K40+OUT!K40+NOV!K40+DEZ!K40</f>
        <v>1590.0940000000005</v>
      </c>
      <c r="K38" s="24">
        <f>JAN!K40+JAN!AB40+FEV!AB40+FEV!K40+MAR!AB40+MAR!K40+ABR!AB40+ABR!K40+MAI!L40+JUN!L40+JUL!L40+AGO!L40+SET!L40+OUT!L40+NOV!L40+DEZ!L40</f>
        <v>959.27200000000016</v>
      </c>
      <c r="L38" s="24">
        <f>JAN!L40+JAN!AC40+FEV!AC40+FEV!L40+MAR!AC40+MAR!L40+ABR!AC40+ABR!L40+MAI!M40+JUN!M40+JUL!M40+AGO!M40+SET!M40+OUT!M40+NOV!M40+DEZ!M40</f>
        <v>0</v>
      </c>
      <c r="M38" s="24">
        <f>JAN!M40+JAN!AD40+FEV!AD40+FEV!M40+MAR!AD40+MAR!M40+ABR!AD40+ABR!M40+MAI!N40+JUN!N40+JUL!N40+AGO!N40+SET!N40+OUT!N40+NOV!N40+DEZ!N40</f>
        <v>0</v>
      </c>
      <c r="N38" s="24">
        <f>JAN!N40+JAN!AE40+FEV!AE40+FEV!N40+MAR!AE40+MAR!N40+ABR!AE40+ABR!N40+MAI!O40+JUN!O40+JUL!O40+AGO!O40+SET!O40+OUT!O40+NOV!O40+DEZ!O40</f>
        <v>5.7140000000000004</v>
      </c>
      <c r="O38" s="24">
        <f>JUL!P75+AGO!P40+SET!P40+OUT!P40+NOV!P40+DEZ!P40</f>
        <v>0</v>
      </c>
      <c r="P38" s="24">
        <f>JAN!AF40+FEV!AF40+MAR!AF40+ABR!AG40+MAI!Q40+JUN!Q40+JUL!Q40+AGO!Q40+SET!Q40+OUT!Q40+NOV!Q40+DEZ!Q40</f>
        <v>0</v>
      </c>
      <c r="Q38" s="24">
        <f>JAN!AG40+FEV!AG40+MAR!AG40+ABR!AH40+MAI!R40+JUN!R40+JUL!R40+AGO!R40+SET!R40+OUT!R40+NOV!R40+DEZ!R40</f>
        <v>0</v>
      </c>
      <c r="R38" s="4">
        <f t="shared" ref="R38:R64" si="4">SUM(B38:Q38)</f>
        <v>103930.23000000001</v>
      </c>
      <c r="S38" s="1111">
        <f>R38/R71</f>
        <v>0.19999999999999998</v>
      </c>
      <c r="T38" s="1093">
        <f>SUM(G38:Q38)</f>
        <v>6159.7480000000005</v>
      </c>
    </row>
    <row r="39" spans="1:20">
      <c r="A39" s="1" t="s">
        <v>1</v>
      </c>
      <c r="B39" s="24">
        <f>JAN!B41+JAN!S41+FEV!S41+FEV!B41+MAR!S41+MAR!B41+ABR!S41+ABR!B41+MAI!C41+JUN!C41+JUL!C41+AGO!C41+SET!C41+OUT!C41+NOV!C41+DEZ!C41</f>
        <v>104420.996</v>
      </c>
      <c r="C39" s="24">
        <f>JAN!C41+JAN!T41+FEV!T41+FEV!C41+MAR!T41+MAR!C41+ABR!T41+ABR!C41+MAI!D41+JUN!D41+JUL!D41+AGO!D41+SET!D41+OUT!D41+NOV!D41+DEZ!D41</f>
        <v>45652.916000000005</v>
      </c>
      <c r="D39" s="24">
        <f>JAN!D41+JAN!U41+FEV!U41+FEV!D41+MAR!U41+MAR!D41+ABR!U41+ABR!D41+MAI!E41+JUN!E41+JUL!E41+AGO!E41+SET!E41+OUT!E41+NOV!E41+DEZ!E41</f>
        <v>6411.232</v>
      </c>
      <c r="E39" s="24">
        <f>JAN!E41+JAN!V41+FEV!V41+FEV!E41+MAR!V41+MAR!E41+ABR!V41+ABR!E41+MAI!F41+JUN!F41+JUL!F41+AGO!F41+SET!F41+OUT!F41+NOV!F41+DEZ!F41</f>
        <v>1350.442</v>
      </c>
      <c r="F39" s="24">
        <f>JAN!F41+JAN!W41+FEV!W41+FEV!F41+MAR!W41+MAR!F41+ABR!W41+ABR!F41+MAI!G41+JUN!G41+JUL!G41+AGO!G41+SET!G41+OUT!G41+NOV!G41+DEZ!G41</f>
        <v>130351.67200000001</v>
      </c>
      <c r="G39" s="24">
        <f>JAN!G41+JAN!X41+FEV!X41+FEV!G41+MAR!X41+MAR!G41+ABR!X41+ABR!G41+MAI!H41+JUN!H41+JUL!H41+AGO!H41+SET!H41+OUT!H41+NOV!H41+DEZ!H41</f>
        <v>2407.6559999999999</v>
      </c>
      <c r="H39" s="24">
        <f>JAN!H41+JAN!Y41+FEV!H41+FEV!Y41+MAR!H41+MAR!Y41+ABR!Y41+ABR!H41+MAI!I41+JUN!I41+JUL!I41+AGO!I41+SET!I41+OUT!I41+NOV!I41+DEZ!I41</f>
        <v>7769.4400000000005</v>
      </c>
      <c r="I39" s="24">
        <f>JAN!I41+JAN!Z41+FEV!Z41+FEV!I41+MAR!Z41+MAR!I41+ABR!Z41+ABR!I41+MAI!J41+JUN!J41+JUL!J41+AGO!J41+SET!J41+OUT!J41+NOV!J41+DEZ!J41</f>
        <v>394.16399999999999</v>
      </c>
      <c r="J39" s="24">
        <f>JAN!J41+JAN!AA41+FEV!AA41+FEV!J41+MAR!AA41+MAR!J41+ABR!AA41+ABR!J41+MAI!K41+JUN!K41+JUL!K41+AGO!K41+SET!K41+OUT!K41+NOV!K41+DEZ!K41</f>
        <v>5429.9679999999989</v>
      </c>
      <c r="K39" s="24">
        <f>JAN!K41+JAN!AB41+FEV!AB41+FEV!K41+MAR!AB41+MAR!K41+ABR!AB41+ABR!K41+MAI!L41+JUN!L41+JUL!L41+AGO!L41+SET!L41+OUT!L41+NOV!L41+DEZ!L41</f>
        <v>176.31000000000003</v>
      </c>
      <c r="L39" s="24">
        <f>JAN!L41+JAN!AC41+FEV!AC41+FEV!L41+MAR!AC41+MAR!L41+ABR!AC41+ABR!L41+MAI!M41+JUN!M41+JUL!M41+AGO!M41+SET!M41+OUT!M41+NOV!M41+DEZ!M41</f>
        <v>0</v>
      </c>
      <c r="M39" s="24">
        <f>JAN!M41+JAN!AD41+FEV!AD41+FEV!M41+MAR!AD41+MAR!M41+ABR!AD41+ABR!M41+MAI!N41+JUN!N41+JUL!N41+AGO!N41+SET!N41+OUT!N41+NOV!N41+DEZ!N41</f>
        <v>0</v>
      </c>
      <c r="N39" s="24">
        <f>JAN!N41+JAN!AE41+FEV!AE41+FEV!N41+MAR!AE41+MAR!N41+ABR!AE41+ABR!N41+MAI!O41+JUN!O41+JUL!O41+AGO!O41+SET!O41+OUT!O41+NOV!O41+DEZ!O41</f>
        <v>114.28</v>
      </c>
      <c r="O39" s="24">
        <f>JUL!P76+AGO!P41+SET!P41+OUT!P41+NOV!P41+DEZ!P41</f>
        <v>0</v>
      </c>
      <c r="P39" s="24">
        <f>JAN!AF41+FEV!AF41+MAR!AF41+ABR!AG41+MAI!Q41+JUN!Q41+JUL!Q41+AGO!Q41+SET!Q41+OUT!Q41+NOV!Q41+DEZ!Q41</f>
        <v>0</v>
      </c>
      <c r="Q39" s="24">
        <f>JAN!AG41+FEV!AG41+MAR!AG41+ABR!AH41+MAI!R41+JUN!R41+JUL!R41+AGO!R41+SET!R41+OUT!R41+NOV!R41+DEZ!R41</f>
        <v>0</v>
      </c>
      <c r="R39" s="4">
        <f t="shared" si="4"/>
        <v>304479.07600000006</v>
      </c>
      <c r="S39" s="1111">
        <f t="shared" ref="S39:S64" si="5">R39/R72</f>
        <v>0.2</v>
      </c>
      <c r="T39" s="1093">
        <f t="shared" ref="T39:T64" si="6">SUM(G39:Q39)</f>
        <v>16291.818000000001</v>
      </c>
    </row>
    <row r="40" spans="1:20">
      <c r="A40" s="16" t="s">
        <v>2</v>
      </c>
      <c r="B40" s="24">
        <f>JAN!B42+JAN!S42+FEV!S42+FEV!B42+MAR!S42+MAR!B42+ABR!S42+ABR!B42+MAI!C42+JUN!C42+JUL!C42+AGO!C42+SET!C42+OUT!C42+NOV!C42+DEZ!C42</f>
        <v>36665.406000000003</v>
      </c>
      <c r="C40" s="24">
        <f>JAN!C42+JAN!T42+FEV!T42+FEV!C42+MAR!T42+MAR!C42+ABR!T42+ABR!C42+MAI!D42+JUN!D42+JUL!D42+AGO!D42+SET!D42+OUT!D42+NOV!D42+DEZ!D42</f>
        <v>15562.99</v>
      </c>
      <c r="D40" s="24">
        <f>JAN!D42+JAN!U42+FEV!U42+FEV!D42+MAR!U42+MAR!D42+ABR!U42+ABR!D42+MAI!E42+JUN!E42+JUL!E42+AGO!E42+SET!E42+OUT!E42+NOV!E42+DEZ!E42</f>
        <v>7356.6260000000002</v>
      </c>
      <c r="E40" s="24">
        <f>JAN!E42+JAN!V42+FEV!V42+FEV!E42+MAR!V42+MAR!E42+ABR!V42+ABR!E42+MAI!F42+JUN!F42+JUL!F42+AGO!F42+SET!F42+OUT!F42+NOV!F42+DEZ!F42</f>
        <v>2759.7580000000003</v>
      </c>
      <c r="F40" s="24">
        <f>JAN!F42+JAN!W42+FEV!W42+FEV!F42+MAR!W42+MAR!F42+ABR!W42+ABR!F42+MAI!G42+JUN!G42+JUL!G42+AGO!G42+SET!G42+OUT!G42+NOV!G42+DEZ!G42</f>
        <v>65001.626000000004</v>
      </c>
      <c r="G40" s="24">
        <f>JAN!G42+JAN!X42+FEV!X42+FEV!G42+MAR!X42+MAR!G42+ABR!X42+ABR!G42+MAI!H42+JUN!H42+JUL!H42+AGO!H42+SET!H42+OUT!H42+NOV!H42+DEZ!H42</f>
        <v>2723.01</v>
      </c>
      <c r="H40" s="24">
        <f>JAN!H42+JAN!Y42+FEV!H42+FEV!Y42+MAR!H42+MAR!Y42+ABR!Y42+ABR!H42+MAI!I42+JUN!I42+JUL!I42+AGO!I42+SET!I42+OUT!I42+NOV!I42+DEZ!I42</f>
        <v>2162.6419999999998</v>
      </c>
      <c r="I40" s="24">
        <f>JAN!I42+JAN!Z42+FEV!Z42+FEV!I42+MAR!Z42+MAR!I42+ABR!Z42+ABR!I42+MAI!J42+JUN!J42+JUL!J42+AGO!J42+SET!J42+OUT!J42+NOV!J42+DEZ!J42</f>
        <v>56.855999999999995</v>
      </c>
      <c r="J40" s="24">
        <f>JAN!J42+JAN!AA42+FEV!AA42+FEV!J42+MAR!AA42+MAR!J42+ABR!AA42+ABR!J42+MAI!K42+JUN!K42+JUL!K42+AGO!K42+SET!K42+OUT!K42+NOV!K42+DEZ!K42</f>
        <v>2608.4640000000004</v>
      </c>
      <c r="K40" s="24">
        <f>JAN!K42+JAN!AB42+FEV!AB42+FEV!K42+MAR!AB42+MAR!K42+ABR!AB42+ABR!K42+MAI!L42+JUN!L42+JUL!L42+AGO!L42+SET!L42+OUT!L42+NOV!L42+DEZ!L42</f>
        <v>587.70000000000005</v>
      </c>
      <c r="L40" s="24">
        <f>JAN!L42+JAN!AC42+FEV!AC42+FEV!L42+MAR!AC42+MAR!L42+ABR!AC42+ABR!L42+MAI!M42+JUN!M42+JUL!M42+AGO!M42+SET!M42+OUT!M42+NOV!M42+DEZ!M42</f>
        <v>0</v>
      </c>
      <c r="M40" s="24">
        <f>JAN!M42+JAN!AD42+FEV!AD42+FEV!M42+MAR!AD42+MAR!M42+ABR!AD42+ABR!M42+MAI!N42+JUN!N42+JUL!N42+AGO!N42+SET!N42+OUT!N42+NOV!N42+DEZ!N42</f>
        <v>0</v>
      </c>
      <c r="N40" s="24">
        <f>JAN!N42+JAN!AE42+FEV!AE42+FEV!N42+MAR!AE42+MAR!N42+ABR!AE42+ABR!N42+MAI!O42+JUN!O42+JUL!O42+AGO!O42+SET!O42+OUT!O42+NOV!O42+DEZ!O42</f>
        <v>17.142000000000003</v>
      </c>
      <c r="O40" s="24">
        <f>JUL!P77+AGO!P42+SET!P42+OUT!P42+NOV!P42+DEZ!P42</f>
        <v>0</v>
      </c>
      <c r="P40" s="24">
        <f>JAN!AF42+FEV!AF42+MAR!AF42+ABR!AG42+MAI!Q42+JUN!Q42+JUL!Q42+AGO!Q42+SET!Q42+OUT!Q42+NOV!Q42+DEZ!Q42</f>
        <v>0</v>
      </c>
      <c r="Q40" s="24">
        <f>JAN!AG42+FEV!AG42+MAR!AG42+ABR!AH42+MAI!R42+JUN!R42+JUL!R42+AGO!R42+SET!R42+OUT!R42+NOV!R42+DEZ!R42</f>
        <v>0</v>
      </c>
      <c r="R40" s="4">
        <f t="shared" si="4"/>
        <v>135502.22</v>
      </c>
      <c r="S40" s="1111">
        <f t="shared" si="5"/>
        <v>0.2</v>
      </c>
      <c r="T40" s="1093">
        <f t="shared" si="6"/>
        <v>8155.8139999999994</v>
      </c>
    </row>
    <row r="41" spans="1:20">
      <c r="A41" s="2" t="s">
        <v>3</v>
      </c>
      <c r="B41" s="24">
        <f>JAN!B43+JAN!S43+FEV!S43+FEV!B43+MAR!S43+MAR!B43+ABR!S43+ABR!B43+MAI!C43+JUN!C43+JUL!C43+AGO!C43+SET!C43+OUT!C43+NOV!C43+DEZ!C43</f>
        <v>99143.198000000004</v>
      </c>
      <c r="C41" s="24">
        <f>JAN!C43+JAN!T43+FEV!T43+FEV!C43+MAR!T43+MAR!C43+ABR!T43+ABR!C43+MAI!D43+JUN!D43+JUL!D43+AGO!D43+SET!D43+OUT!D43+NOV!D43+DEZ!D43</f>
        <v>44525.164000000004</v>
      </c>
      <c r="D41" s="24">
        <f>JAN!D43+JAN!U43+FEV!U43+FEV!D43+MAR!U43+MAR!D43+ABR!U43+ABR!D43+MAI!E43+JUN!E43+JUL!E43+AGO!E43+SET!E43+OUT!E43+NOV!E43+DEZ!E43</f>
        <v>9486.2880000000005</v>
      </c>
      <c r="E41" s="24">
        <f>JAN!E43+JAN!V43+FEV!V43+FEV!E43+MAR!V43+MAR!E43+ABR!V43+ABR!E43+MAI!F43+JUN!F43+JUL!F43+AGO!F43+SET!F43+OUT!F43+NOV!F43+DEZ!F43</f>
        <v>4558.8720000000003</v>
      </c>
      <c r="F41" s="24">
        <f>JAN!F43+JAN!W43+FEV!W43+FEV!F43+MAR!W43+MAR!F43+ABR!W43+ABR!F43+MAI!G43+JUN!G43+JUL!G43+AGO!G43+SET!G43+OUT!G43+NOV!G43+DEZ!G43</f>
        <v>122150.93000000002</v>
      </c>
      <c r="G41" s="24">
        <f>JAN!G43+JAN!X43+FEV!X43+FEV!G43+MAR!X43+MAR!G43+ABR!X43+ABR!G43+MAI!H43+JUN!H43+JUL!H43+AGO!H43+SET!H43+OUT!H43+NOV!H43+DEZ!H43</f>
        <v>3408.0220000000004</v>
      </c>
      <c r="H41" s="24">
        <f>JAN!H43+JAN!Y43+FEV!H43+FEV!Y43+MAR!H43+MAR!Y43+ABR!Y43+ABR!H43+MAI!I43+JUN!I43+JUL!I43+AGO!I43+SET!I43+OUT!I43+NOV!I43+DEZ!I43</f>
        <v>6742.4380000000001</v>
      </c>
      <c r="I41" s="24">
        <f>JAN!I43+JAN!Z43+FEV!Z43+FEV!I43+MAR!Z43+MAR!I43+ABR!Z43+ABR!I43+MAI!J43+JUN!J43+JUL!J43+AGO!J43+SET!J43+OUT!J43+NOV!J43+DEZ!J43</f>
        <v>0</v>
      </c>
      <c r="J41" s="24">
        <f>JAN!J43+JAN!AA43+FEV!AA43+FEV!J43+MAR!AA43+MAR!J43+ABR!AA43+ABR!J43+MAI!K43+JUN!K43+JUL!K43+AGO!K43+SET!K43+OUT!K43+NOV!K43+DEZ!K43</f>
        <v>5928.75</v>
      </c>
      <c r="K41" s="24">
        <f>JAN!K43+JAN!AB43+FEV!AB43+FEV!K43+MAR!AB43+MAR!K43+ABR!AB43+ABR!K43+MAI!L43+JUN!L43+JUL!L43+AGO!L43+SET!L43+OUT!L43+NOV!L43+DEZ!L43</f>
        <v>881.55000000000007</v>
      </c>
      <c r="L41" s="24">
        <f>JAN!L43+JAN!AC43+FEV!AC43+FEV!L43+MAR!AC43+MAR!L43+ABR!AC43+ABR!L43+MAI!M43+JUN!M43+JUL!M43+AGO!M43+SET!M43+OUT!M43+NOV!M43+DEZ!M43</f>
        <v>274.26</v>
      </c>
      <c r="M41" s="24">
        <f>JAN!M43+JAN!AD43+FEV!AD43+FEV!M43+MAR!AD43+MAR!M43+ABR!AD43+ABR!M43+MAI!N43+JUN!N43+JUL!N43+AGO!N43+SET!N43+OUT!N43+NOV!N43+DEZ!N43</f>
        <v>1440.904</v>
      </c>
      <c r="N41" s="24">
        <f>JAN!N43+JAN!AE43+FEV!AE43+FEV!N43+MAR!AE43+MAR!N43+ABR!AE43+ABR!N43+MAI!O43+JUN!O43+JUL!O43+AGO!O43+SET!O43+OUT!O43+NOV!O43+DEZ!O43</f>
        <v>45.525999999999996</v>
      </c>
      <c r="O41" s="24">
        <f>JUL!P78+AGO!P43+SET!P43+OUT!P43+NOV!P43+DEZ!P43</f>
        <v>0</v>
      </c>
      <c r="P41" s="24">
        <f>JAN!AF43+FEV!AF43+MAR!AF43+ABR!AG43+MAI!Q43+JUN!Q43+JUL!Q43+AGO!Q43+SET!Q43+OUT!Q43+NOV!Q43+DEZ!Q43</f>
        <v>0</v>
      </c>
      <c r="Q41" s="24">
        <f>JAN!AG43+FEV!AG43+MAR!AG43+ABR!AH43+MAI!R43+JUN!R43+JUL!R43+AGO!R43+SET!R43+OUT!R43+NOV!R43+DEZ!R43</f>
        <v>0</v>
      </c>
      <c r="R41" s="4">
        <f t="shared" si="4"/>
        <v>298585.90200000006</v>
      </c>
      <c r="S41" s="1111">
        <f t="shared" si="5"/>
        <v>0.19992397843129533</v>
      </c>
      <c r="T41" s="1093">
        <f t="shared" si="6"/>
        <v>18721.45</v>
      </c>
    </row>
    <row r="42" spans="1:20">
      <c r="A42" s="1" t="s">
        <v>4</v>
      </c>
      <c r="B42" s="24">
        <f>JAN!B44+JAN!S44+FEV!S44+FEV!B44+MAR!S44+MAR!B44+ABR!S44+ABR!B44+MAI!C44+JUN!C44+JUL!C44+AGO!C44+SET!C44+OUT!C44+NOV!C44+DEZ!C44</f>
        <v>323630.32600000006</v>
      </c>
      <c r="C42" s="24">
        <f>JAN!C44+JAN!T44+FEV!T44+FEV!C44+MAR!T44+MAR!C44+ABR!T44+ABR!C44+MAI!D44+JUN!D44+JUL!D44+AGO!D44+SET!D44+OUT!D44+NOV!D44+DEZ!D44</f>
        <v>90197.160000000018</v>
      </c>
      <c r="D42" s="24">
        <f>JAN!D44+JAN!U44+FEV!U44+FEV!D44+MAR!U44+MAR!D44+ABR!U44+ABR!D44+MAI!E44+JUN!E44+JUL!E44+AGO!E44+SET!E44+OUT!E44+NOV!E44+DEZ!E44</f>
        <v>40815.001999999993</v>
      </c>
      <c r="E42" s="24">
        <f>JAN!E44+JAN!V44+FEV!V44+FEV!E44+MAR!V44+MAR!E44+ABR!V44+ABR!E44+MAI!F44+JUN!F44+JUL!F44+AGO!F44+SET!F44+OUT!F44+NOV!F44+DEZ!F44</f>
        <v>8342.5939999999991</v>
      </c>
      <c r="F42" s="24">
        <f>JAN!F44+JAN!W44+FEV!W44+FEV!F44+MAR!W44+MAR!F44+ABR!W44+ABR!F44+MAI!G44+JUN!G44+JUL!G44+AGO!G44+SET!G44+OUT!G44+NOV!G44+DEZ!G44</f>
        <v>345660.89600000001</v>
      </c>
      <c r="G42" s="24">
        <f>JAN!G44+JAN!X44+FEV!X44+FEV!G44+MAR!X44+MAR!G44+ABR!X44+ABR!G44+MAI!H44+JUN!H44+JUL!H44+AGO!H44+SET!H44+OUT!H44+NOV!H44+DEZ!H44</f>
        <v>8149.4600000000009</v>
      </c>
      <c r="H42" s="24">
        <f>JAN!H44+JAN!Y44+FEV!H44+FEV!Y44+MAR!H44+MAR!Y44+ABR!Y44+ABR!H44+MAI!I44+JUN!I44+JUL!I44+AGO!I44+SET!I44+OUT!I44+NOV!I44+DEZ!I44</f>
        <v>13593.046</v>
      </c>
      <c r="I42" s="24">
        <f>JAN!I44+JAN!Z44+FEV!Z44+FEV!I44+MAR!Z44+MAR!I44+ABR!Z44+ABR!I44+MAI!J44+JUN!J44+JUL!J44+AGO!J44+SET!J44+OUT!J44+NOV!J44+DEZ!J44</f>
        <v>0</v>
      </c>
      <c r="J42" s="24">
        <f>JAN!J44+JAN!AA44+FEV!AA44+FEV!J44+MAR!AA44+MAR!J44+ABR!AA44+ABR!J44+MAI!K44+JUN!K44+JUL!K44+AGO!K44+SET!K44+OUT!K44+NOV!K44+DEZ!K44</f>
        <v>14823.211999999998</v>
      </c>
      <c r="K42" s="24">
        <f>JAN!K44+JAN!AB44+FEV!AB44+FEV!K44+MAR!AB44+MAR!K44+ABR!AB44+ABR!K44+MAI!L44+JUN!L44+JUL!L44+AGO!L44+SET!L44+OUT!L44+NOV!L44+DEZ!L44</f>
        <v>1057.8600000000001</v>
      </c>
      <c r="L42" s="24">
        <f>JAN!L44+JAN!AC44+FEV!AC44+FEV!L44+MAR!AC44+MAR!L44+ABR!AC44+ABR!L44+MAI!M44+JUN!M44+JUL!M44+AGO!M44+SET!M44+OUT!M44+NOV!M44+DEZ!M44</f>
        <v>37.904000000000003</v>
      </c>
      <c r="M42" s="24">
        <f>JAN!M44+JAN!AD44+FEV!AD44+FEV!M44+MAR!AD44+MAR!M44+ABR!AD44+ABR!M44+MAI!N44+JUN!N44+JUL!N44+AGO!N44+SET!N44+OUT!N44+NOV!N44+DEZ!N44</f>
        <v>0</v>
      </c>
      <c r="N42" s="24">
        <f>JAN!N44+JAN!AE44+FEV!AE44+FEV!N44+MAR!AE44+MAR!N44+ABR!AE44+ABR!N44+MAI!O44+JUN!O44+JUL!O44+AGO!O44+SET!O44+OUT!O44+NOV!O44+DEZ!O44</f>
        <v>256.94399999999996</v>
      </c>
      <c r="O42" s="24">
        <f>JUL!P79+AGO!P44+SET!P44+OUT!P44+NOV!P44+DEZ!P44</f>
        <v>0</v>
      </c>
      <c r="P42" s="24">
        <f>JAN!AF44+FEV!AF44+MAR!AF44+ABR!AG44+MAI!Q44+JUN!Q44+JUL!Q44+AGO!Q44+SET!Q44+OUT!Q44+NOV!Q44+DEZ!Q44</f>
        <v>88.288000000000011</v>
      </c>
      <c r="Q42" s="24">
        <f>JAN!AG44+FEV!AG44+MAR!AG44+ABR!AH44+MAI!R44+JUN!R44+JUL!R44+AGO!R44+SET!R44+OUT!R44+NOV!R44+DEZ!R44</f>
        <v>882.85000000000014</v>
      </c>
      <c r="R42" s="4">
        <f t="shared" si="4"/>
        <v>847535.5419999999</v>
      </c>
      <c r="S42" s="1111">
        <f t="shared" si="5"/>
        <v>0.19999999999999998</v>
      </c>
      <c r="T42" s="1093">
        <f t="shared" si="6"/>
        <v>38889.564000000006</v>
      </c>
    </row>
    <row r="43" spans="1:20">
      <c r="A43" s="1" t="s">
        <v>5</v>
      </c>
      <c r="B43" s="24">
        <f>JAN!B45+JAN!S45+FEV!S45+FEV!B45+MAR!S45+MAR!B45+ABR!S45+ABR!B45+MAI!C45+JUN!C45+JUL!C45+AGO!C45+SET!C45+OUT!C45+NOV!C45+DEZ!C45</f>
        <v>196604.28000000006</v>
      </c>
      <c r="C43" s="24">
        <f>JAN!C45+JAN!T45+FEV!T45+FEV!C45+MAR!T45+MAR!C45+ABR!T45+ABR!C45+MAI!D45+JUN!D45+JUL!D45+AGO!D45+SET!D45+OUT!D45+NOV!D45+DEZ!D45</f>
        <v>42872.800000000003</v>
      </c>
      <c r="D43" s="24">
        <f>JAN!D45+JAN!U45+FEV!U45+FEV!D45+MAR!U45+MAR!D45+ABR!U45+ABR!D45+MAI!E45+JUN!E45+JUL!E45+AGO!E45+SET!E45+OUT!E45+NOV!E45+DEZ!E45</f>
        <v>18983.626000000004</v>
      </c>
      <c r="E43" s="24">
        <f>JAN!E45+JAN!V45+FEV!V45+FEV!E45+MAR!V45+MAR!E45+ABR!V45+ABR!E45+MAI!F45+JUN!F45+JUL!F45+AGO!F45+SET!F45+OUT!F45+NOV!F45+DEZ!F45</f>
        <v>1910.5079999999998</v>
      </c>
      <c r="F43" s="24">
        <f>JAN!F45+JAN!W45+FEV!W45+FEV!F45+MAR!W45+MAR!F45+ABR!W45+ABR!F45+MAI!G45+JUN!G45+JUL!G45+AGO!G45+SET!G45+OUT!G45+NOV!G45+DEZ!G45</f>
        <v>219780.02200000003</v>
      </c>
      <c r="G43" s="24">
        <f>JAN!G45+JAN!X45+FEV!X45+FEV!G45+MAR!X45+MAR!G45+ABR!X45+ABR!G45+MAI!H45+JUN!H45+JUL!H45+AGO!H45+SET!H45+OUT!H45+NOV!H45+DEZ!H45</f>
        <v>7361.3740000000007</v>
      </c>
      <c r="H43" s="24">
        <f>JAN!H45+JAN!Y45+FEV!H45+FEV!Y45+MAR!H45+MAR!Y45+ABR!Y45+ABR!H45+MAI!I45+JUN!I45+JUL!I45+AGO!I45+SET!I45+OUT!I45+NOV!I45+DEZ!I45</f>
        <v>5955.1980000000003</v>
      </c>
      <c r="I43" s="24">
        <f>JAN!I45+JAN!Z45+FEV!Z45+FEV!I45+MAR!Z45+MAR!I45+ABR!Z45+ABR!I45+MAI!J45+JUN!J45+JUL!J45+AGO!J45+SET!J45+OUT!J45+NOV!J45+DEZ!J45</f>
        <v>3524.4919999999997</v>
      </c>
      <c r="J43" s="24">
        <f>JAN!J45+JAN!AA45+FEV!AA45+FEV!J45+MAR!AA45+MAR!J45+ABR!AA45+ABR!J45+MAI!K45+JUN!K45+JUL!K45+AGO!K45+SET!K45+OUT!K45+NOV!K45+DEZ!K45</f>
        <v>6931.2740000000013</v>
      </c>
      <c r="K43" s="24">
        <f>JAN!K45+JAN!AB45+FEV!AB45+FEV!K45+MAR!AB45+MAR!K45+ABR!AB45+ABR!K45+MAI!L45+JUN!L45+JUL!L45+AGO!L45+SET!L45+OUT!L45+NOV!L45+DEZ!L45</f>
        <v>861.96000000000015</v>
      </c>
      <c r="L43" s="24">
        <f>JAN!L45+JAN!AC45+FEV!AC45+FEV!L45+MAR!AC45+MAR!L45+ABR!AC45+ABR!L45+MAI!M45+JUN!M45+JUL!M45+AGO!M45+SET!M45+OUT!M45+NOV!M45+DEZ!M45</f>
        <v>117.54000000000002</v>
      </c>
      <c r="M43" s="24">
        <f>JAN!M45+JAN!AD45+FEV!AD45+FEV!M45+MAR!AD45+MAR!M45+ABR!AD45+ABR!M45+MAI!N45+JUN!N45+JUL!N45+AGO!N45+SET!N45+OUT!N45+NOV!N45+DEZ!N45</f>
        <v>0</v>
      </c>
      <c r="N43" s="24">
        <f>JAN!N45+JAN!AE45+FEV!AE45+FEV!N45+MAR!AE45+MAR!N45+ABR!AE45+ABR!N45+MAI!O45+JUN!O45+JUL!O45+AGO!O45+SET!O45+OUT!O45+NOV!O45+DEZ!O45</f>
        <v>125.70799999999998</v>
      </c>
      <c r="O43" s="24">
        <f>JUL!P80+AGO!P45+SET!P45+OUT!P45+NOV!P45+DEZ!P45</f>
        <v>0</v>
      </c>
      <c r="P43" s="24">
        <f>JAN!AF45+FEV!AF45+MAR!AF45+ABR!AG45+MAI!Q45+JUN!Q45+JUL!Q45+AGO!Q45+SET!Q45+OUT!Q45+NOV!Q45+DEZ!Q45</f>
        <v>0</v>
      </c>
      <c r="Q43" s="24">
        <f>JAN!AG45+FEV!AG45+MAR!AG45+ABR!AH45+MAI!R45+JUN!R45+JUL!R45+AGO!R45+SET!R45+OUT!R45+NOV!R45+DEZ!R45</f>
        <v>0</v>
      </c>
      <c r="R43" s="4">
        <f t="shared" si="4"/>
        <v>505028.78200000006</v>
      </c>
      <c r="S43" s="1111">
        <f t="shared" si="5"/>
        <v>0.19999999999999993</v>
      </c>
      <c r="T43" s="1093">
        <f t="shared" si="6"/>
        <v>24877.545999999998</v>
      </c>
    </row>
    <row r="44" spans="1:20">
      <c r="A44" s="1" t="s">
        <v>6</v>
      </c>
      <c r="B44" s="24">
        <f>JAN!B46+JAN!S46+FEV!S46+FEV!B46+MAR!S46+MAR!B46+ABR!S46+ABR!B46+MAI!C46+JUN!C46+JUL!C46+AGO!C46+SET!C46+OUT!C46+NOV!C46+DEZ!C46</f>
        <v>353607.24800000008</v>
      </c>
      <c r="C44" s="24">
        <f>JAN!C46+JAN!T46+FEV!T46+FEV!C46+MAR!T46+MAR!C46+ABR!T46+ABR!C46+MAI!D46+JUN!D46+JUL!D46+AGO!D46+SET!D46+OUT!D46+NOV!D46+DEZ!D46</f>
        <v>113469.238</v>
      </c>
      <c r="D44" s="24">
        <f>JAN!D46+JAN!U46+FEV!U46+FEV!D46+MAR!U46+MAR!D46+ABR!U46+ABR!D46+MAI!E46+JUN!E46+JUL!E46+AGO!E46+SET!E46+OUT!E46+NOV!E46+DEZ!E46</f>
        <v>31732.48</v>
      </c>
      <c r="E44" s="24">
        <f>JAN!E46+JAN!V46+FEV!V46+FEV!E46+MAR!V46+MAR!E46+ABR!V46+ABR!E46+MAI!F46+JUN!F46+JUL!F46+AGO!F46+SET!F46+OUT!F46+NOV!F46+DEZ!F46</f>
        <v>6869.5479999999998</v>
      </c>
      <c r="F44" s="24">
        <f>JAN!F46+JAN!W46+FEV!W46+FEV!F46+MAR!W46+MAR!F46+ABR!W46+ABR!F46+MAI!G46+JUN!G46+JUL!G46+AGO!G46+SET!G46+OUT!G46+NOV!G46+DEZ!G46</f>
        <v>309395.79000000004</v>
      </c>
      <c r="G44" s="24">
        <f>JAN!G46+JAN!X46+FEV!X46+FEV!G46+MAR!X46+MAR!G46+ABR!X46+ABR!G46+MAI!H46+JUN!H46+JUL!H46+AGO!H46+SET!H46+OUT!H46+NOV!H46+DEZ!H46</f>
        <v>10655.046</v>
      </c>
      <c r="H44" s="24">
        <f>JAN!H46+JAN!Y46+FEV!H46+FEV!Y46+MAR!H46+MAR!Y46+ABR!Y46+ABR!H46+MAI!I46+JUN!I46+JUL!I46+AGO!I46+SET!I46+OUT!I46+NOV!I46+DEZ!I46</f>
        <v>18907.952000000001</v>
      </c>
      <c r="I44" s="24">
        <f>JAN!I46+JAN!Z46+FEV!Z46+FEV!I46+MAR!Z46+MAR!I46+ABR!Z46+ABR!I46+MAI!J46+JUN!J46+JUL!J46+AGO!J46+SET!J46+OUT!J46+NOV!J46+DEZ!J46</f>
        <v>1340.6760000000002</v>
      </c>
      <c r="J44" s="24">
        <f>JAN!J46+JAN!AA46+FEV!AA46+FEV!J46+MAR!AA46+MAR!J46+ABR!AA46+ABR!J46+MAI!K46+JUN!K46+JUL!K46+AGO!K46+SET!K46+OUT!K46+NOV!K46+DEZ!K46</f>
        <v>15514.812000000002</v>
      </c>
      <c r="K44" s="24">
        <f>JAN!K46+JAN!AB46+FEV!AB46+FEV!K46+MAR!AB46+MAR!K46+ABR!AB46+ABR!K46+MAI!L46+JUN!L46+JUL!L46+AGO!L46+SET!L46+OUT!L46+NOV!L46+DEZ!L46</f>
        <v>1527.3820000000001</v>
      </c>
      <c r="L44" s="24">
        <f>JAN!L46+JAN!AC46+FEV!AC46+FEV!L46+MAR!AC46+MAR!L46+ABR!AC46+ABR!L46+MAI!M46+JUN!M46+JUL!M46+AGO!M46+SET!M46+OUT!M46+NOV!M46+DEZ!M46</f>
        <v>156.72000000000003</v>
      </c>
      <c r="M44" s="24">
        <f>JAN!M46+JAN!AD46+FEV!AD46+FEV!M46+MAR!AD46+MAR!M46+ABR!AD46+ABR!M46+MAI!N46+JUN!N46+JUL!N46+AGO!N46+SET!N46+OUT!N46+NOV!N46+DEZ!N46</f>
        <v>0</v>
      </c>
      <c r="N44" s="24">
        <f>JAN!N46+JAN!AE46+FEV!AE46+FEV!N46+MAR!AE46+MAR!N46+ABR!AE46+ABR!N46+MAI!O46+JUN!O46+JUL!O46+AGO!O46+SET!O46+OUT!O46+NOV!O46+DEZ!O46</f>
        <v>279.24199999999996</v>
      </c>
      <c r="O44" s="24">
        <f>JUL!P81+AGO!P46+SET!P46+OUT!P46+NOV!P46+DEZ!P46</f>
        <v>0</v>
      </c>
      <c r="P44" s="24">
        <f>JAN!AF46+FEV!AF46+MAR!AF46+ABR!AG46+MAI!Q46+JUN!Q46+JUL!Q46+AGO!Q46+SET!Q46+OUT!Q46+NOV!Q46+DEZ!Q46</f>
        <v>0</v>
      </c>
      <c r="Q44" s="24">
        <f>JAN!AG46+FEV!AG46+MAR!AG46+ABR!AH46+MAI!R46+JUN!R46+JUL!R46+AGO!R46+SET!R46+OUT!R46+NOV!R46+DEZ!R46</f>
        <v>0</v>
      </c>
      <c r="R44" s="4">
        <f t="shared" si="4"/>
        <v>863456.13400000008</v>
      </c>
      <c r="S44" s="1111">
        <f t="shared" si="5"/>
        <v>0.2</v>
      </c>
      <c r="T44" s="1093">
        <f t="shared" si="6"/>
        <v>48381.83</v>
      </c>
    </row>
    <row r="45" spans="1:20">
      <c r="A45" s="1" t="s">
        <v>7</v>
      </c>
      <c r="B45" s="24">
        <f>JAN!B47+JAN!S47+FEV!S47+FEV!B47+MAR!S47+MAR!B47+ABR!S47+ABR!B47+MAI!C47+JUN!C47+JUL!C47+AGO!C47+SET!C47+OUT!C47+NOV!C47+DEZ!C47</f>
        <v>256088.092</v>
      </c>
      <c r="C45" s="24">
        <f>JAN!C47+JAN!T47+FEV!T47+FEV!C47+MAR!T47+MAR!C47+ABR!T47+ABR!C47+MAI!D47+JUN!D47+JUL!D47+AGO!D47+SET!D47+OUT!D47+NOV!D47+DEZ!D47</f>
        <v>39181.852000000006</v>
      </c>
      <c r="D45" s="24">
        <f>JAN!D47+JAN!U47+FEV!U47+FEV!D47+MAR!U47+MAR!D47+ABR!U47+ABR!D47+MAI!E47+JUN!E47+JUL!E47+AGO!E47+SET!E47+OUT!E47+NOV!E47+DEZ!E47</f>
        <v>30002.33</v>
      </c>
      <c r="E45" s="24">
        <f>JAN!E47+JAN!V47+FEV!V47+FEV!E47+MAR!V47+MAR!E47+ABR!V47+ABR!E47+MAI!F47+JUN!F47+JUL!F47+AGO!F47+SET!F47+OUT!F47+NOV!F47+DEZ!F47</f>
        <v>6624.6</v>
      </c>
      <c r="F45" s="24">
        <f>JAN!F47+JAN!W47+FEV!W47+FEV!F47+MAR!W47+MAR!F47+ABR!W47+ABR!F47+MAI!G47+JUN!G47+JUL!G47+AGO!G47+SET!G47+OUT!G47+NOV!G47+DEZ!G47</f>
        <v>263501.52400000003</v>
      </c>
      <c r="G45" s="24">
        <f>JAN!G47+JAN!X47+FEV!X47+FEV!G47+MAR!X47+MAR!G47+ABR!X47+ABR!G47+MAI!H47+JUN!H47+JUL!H47+AGO!H47+SET!H47+OUT!H47+NOV!H47+DEZ!H47</f>
        <v>7207.206000000001</v>
      </c>
      <c r="H45" s="24">
        <f>JAN!H47+JAN!Y47+FEV!H47+FEV!Y47+MAR!H47+MAR!Y47+ABR!Y47+ABR!H47+MAI!I47+JUN!I47+JUL!I47+AGO!I47+SET!I47+OUT!I47+NOV!I47+DEZ!I47</f>
        <v>8986.503999999999</v>
      </c>
      <c r="I45" s="24">
        <f>JAN!I47+JAN!Z47+FEV!Z47+FEV!I47+MAR!Z47+MAR!I47+ABR!Z47+ABR!I47+MAI!J47+JUN!J47+JUL!J47+AGO!J47+SET!J47+OUT!J47+NOV!J47+DEZ!J47</f>
        <v>2878.962</v>
      </c>
      <c r="J45" s="24">
        <f>JAN!J47+JAN!AA47+FEV!AA47+FEV!J47+MAR!AA47+MAR!J47+ABR!AA47+ABR!J47+MAI!K47+JUN!K47+JUL!K47+AGO!K47+SET!K47+OUT!K47+NOV!K47+DEZ!K47</f>
        <v>5507.7520000000004</v>
      </c>
      <c r="K45" s="24">
        <f>JAN!K47+JAN!AB47+FEV!AB47+FEV!K47+MAR!AB47+MAR!K47+ABR!AB47+ABR!K47+MAI!L47+JUN!L47+JUL!L47+AGO!L47+SET!L47+OUT!L47+NOV!L47+DEZ!L47</f>
        <v>1017.4040000000001</v>
      </c>
      <c r="L45" s="24">
        <f>JAN!L47+JAN!AC47+FEV!AC47+FEV!L47+MAR!AC47+MAR!L47+ABR!AC47+ABR!L47+MAI!M47+JUN!M47+JUL!M47+AGO!M47+SET!M47+OUT!M47+NOV!M47+DEZ!M47</f>
        <v>117.54000000000002</v>
      </c>
      <c r="M45" s="24">
        <f>JAN!M47+JAN!AD47+FEV!AD47+FEV!M47+MAR!AD47+MAR!M47+ABR!AD47+ABR!M47+MAI!N47+JUN!N47+JUL!N47+AGO!N47+SET!N47+OUT!N47+NOV!N47+DEZ!N47</f>
        <v>0</v>
      </c>
      <c r="N45" s="24">
        <f>JAN!N47+JAN!AE47+FEV!AE47+FEV!N47+MAR!AE47+MAR!N47+ABR!AE47+ABR!N47+MAI!O47+JUN!O47+JUL!O47+AGO!O47+SET!O47+OUT!O47+NOV!O47+DEZ!O47</f>
        <v>102.85199999999999</v>
      </c>
      <c r="O45" s="24">
        <f>JUL!P82+AGO!P47+SET!P47+OUT!P47+NOV!P47+DEZ!P47</f>
        <v>0</v>
      </c>
      <c r="P45" s="24">
        <f>JAN!AF47+FEV!AF47+MAR!AF47+ABR!AG47+MAI!Q47+JUN!Q47+JUL!Q47+AGO!Q47+SET!Q47+OUT!Q47+NOV!Q47+DEZ!Q47</f>
        <v>0</v>
      </c>
      <c r="Q45" s="24">
        <f>JAN!AG47+FEV!AG47+MAR!AG47+ABR!AH47+MAI!R47+JUN!R47+JUL!R47+AGO!R47+SET!R47+OUT!R47+NOV!R47+DEZ!R47</f>
        <v>0</v>
      </c>
      <c r="R45" s="4">
        <f t="shared" si="4"/>
        <v>621216.61800000002</v>
      </c>
      <c r="S45" s="1111">
        <f t="shared" si="5"/>
        <v>0.2</v>
      </c>
      <c r="T45" s="1093">
        <f t="shared" si="6"/>
        <v>25818.219999999998</v>
      </c>
    </row>
    <row r="46" spans="1:20">
      <c r="A46" s="1" t="s">
        <v>8</v>
      </c>
      <c r="B46" s="24">
        <f>JAN!B48+JAN!S48+FEV!S48+FEV!B48+MAR!S48+MAR!B48+ABR!S48+ABR!B48+MAI!C48+JUN!C48+JUL!C48+AGO!C48+SET!C48+OUT!C48+NOV!C48+DEZ!C48</f>
        <v>256864.53599999999</v>
      </c>
      <c r="C46" s="24">
        <f>JAN!C48+JAN!T48+FEV!T48+FEV!C48+MAR!T48+MAR!C48+ABR!T48+ABR!C48+MAI!D48+JUN!D48+JUL!D48+AGO!D48+SET!D48+OUT!D48+NOV!D48+DEZ!D48</f>
        <v>86900.482000000004</v>
      </c>
      <c r="D46" s="24">
        <f>JAN!D48+JAN!U48+FEV!U48+FEV!D48+MAR!U48+MAR!D48+ABR!U48+ABR!D48+MAI!E48+JUN!E48+JUL!E48+AGO!E48+SET!E48+OUT!E48+NOV!E48+DEZ!E48</f>
        <v>33230.806000000004</v>
      </c>
      <c r="E46" s="24">
        <f>JAN!E48+JAN!V48+FEV!V48+FEV!E48+MAR!V48+MAR!E48+ABR!V48+ABR!E48+MAI!F48+JUN!F48+JUL!F48+AGO!F48+SET!F48+OUT!F48+NOV!F48+DEZ!F48</f>
        <v>8578.2860000000001</v>
      </c>
      <c r="F46" s="24">
        <f>JAN!F48+JAN!W48+FEV!W48+FEV!F48+MAR!W48+MAR!F48+ABR!W48+ABR!F48+MAI!G48+JUN!G48+JUL!G48+AGO!G48+SET!G48+OUT!G48+NOV!G48+DEZ!G48</f>
        <v>553775.1100000001</v>
      </c>
      <c r="G46" s="24">
        <f>JAN!G48+JAN!X48+FEV!X48+FEV!G48+MAR!X48+MAR!G48+ABR!X48+ABR!G48+MAI!H48+JUN!H48+JUL!H48+AGO!H48+SET!H48+OUT!H48+NOV!H48+DEZ!H48</f>
        <v>7794.9059999999999</v>
      </c>
      <c r="H46" s="24">
        <f>JAN!H48+JAN!Y48+FEV!H48+FEV!Y48+MAR!H48+MAR!Y48+ABR!Y48+ABR!H48+MAI!I48+JUN!I48+JUL!I48+AGO!I48+SET!I48+OUT!I48+NOV!I48+DEZ!I48</f>
        <v>15513.826000000001</v>
      </c>
      <c r="I46" s="24">
        <f>JAN!I48+JAN!Z48+FEV!Z48+FEV!I48+MAR!Z48+MAR!I48+ABR!Z48+ABR!I48+MAI!J48+JUN!J48+JUL!J48+AGO!J48+SET!J48+OUT!J48+NOV!J48+DEZ!J48</f>
        <v>4824.6519999999991</v>
      </c>
      <c r="J46" s="24">
        <f>JAN!J48+JAN!AA48+FEV!AA48+FEV!J48+MAR!AA48+MAR!J48+ABR!AA48+ABR!J48+MAI!K48+JUN!K48+JUL!K48+AGO!K48+SET!K48+OUT!K48+NOV!K48+DEZ!K48</f>
        <v>12541.016</v>
      </c>
      <c r="K46" s="24">
        <f>JAN!K48+JAN!AB48+FEV!AB48+FEV!K48+MAR!AB48+MAR!K48+ABR!AB48+ABR!K48+MAI!L48+JUN!L48+JUL!L48+AGO!L48+SET!L48+OUT!L48+NOV!L48+DEZ!L48</f>
        <v>587.70000000000005</v>
      </c>
      <c r="L46" s="24">
        <f>JAN!L48+JAN!AC48+FEV!AC48+FEV!L48+MAR!AC48+MAR!L48+ABR!AC48+ABR!L48+MAI!M48+JUN!M48+JUL!M48+AGO!M48+SET!M48+OUT!M48+NOV!M48+DEZ!M48</f>
        <v>39.180000000000007</v>
      </c>
      <c r="M46" s="24">
        <f>JAN!M48+JAN!AD48+FEV!AD48+FEV!M48+MAR!AD48+MAR!M48+ABR!AD48+ABR!M48+MAI!N48+JUN!N48+JUL!N48+AGO!N48+SET!N48+OUT!N48+NOV!N48+DEZ!N48</f>
        <v>0</v>
      </c>
      <c r="N46" s="24">
        <f>JAN!N48+JAN!AE48+FEV!AE48+FEV!N48+MAR!AE48+MAR!N48+ABR!AE48+ABR!N48+MAI!O48+JUN!O48+JUL!O48+AGO!O48+SET!O48+OUT!O48+NOV!O48+DEZ!O48</f>
        <v>205.51799999999997</v>
      </c>
      <c r="O46" s="24">
        <f>JUL!P83+AGO!P48+SET!P48+OUT!P48+NOV!P48+DEZ!P48</f>
        <v>0</v>
      </c>
      <c r="P46" s="24">
        <f>JAN!AF48+FEV!AF48+MAR!AF48+ABR!AG48+MAI!Q48+JUN!Q48+JUL!Q48+AGO!Q48+SET!Q48+OUT!Q48+NOV!Q48+DEZ!Q48</f>
        <v>0</v>
      </c>
      <c r="Q46" s="24">
        <f>JAN!AG48+FEV!AG48+MAR!AG48+ABR!AH48+MAI!R48+JUN!R48+JUL!R48+AGO!R48+SET!R48+OUT!R48+NOV!R48+DEZ!R48</f>
        <v>0</v>
      </c>
      <c r="R46" s="4">
        <f t="shared" si="4"/>
        <v>980856.01800000004</v>
      </c>
      <c r="S46" s="1111">
        <f t="shared" si="5"/>
        <v>0.19999999999999998</v>
      </c>
      <c r="T46" s="1093">
        <f t="shared" si="6"/>
        <v>41506.797999999988</v>
      </c>
    </row>
    <row r="47" spans="1:20">
      <c r="A47" s="2" t="s">
        <v>9</v>
      </c>
      <c r="B47" s="24">
        <f>JAN!B49+JAN!S49+FEV!S49+FEV!B49+MAR!S49+MAR!B49+ABR!S49+ABR!B49+MAI!C49+JUN!C49+JUL!C49+AGO!C49+SET!C49+OUT!C49+NOV!C49+DEZ!C49</f>
        <v>86088.332000000009</v>
      </c>
      <c r="C47" s="24">
        <f>JAN!C49+JAN!T49+FEV!T49+FEV!C49+MAR!T49+MAR!C49+ABR!T49+ABR!C49+MAI!D49+JUN!D49+JUL!D49+AGO!D49+SET!D49+OUT!D49+NOV!D49+DEZ!D49</f>
        <v>44501.274000000005</v>
      </c>
      <c r="D47" s="24">
        <f>JAN!D49+JAN!U49+FEV!U49+FEV!D49+MAR!U49+MAR!D49+ABR!U49+ABR!D49+MAI!E49+JUN!E49+JUL!E49+AGO!E49+SET!E49+OUT!E49+NOV!E49+DEZ!E49</f>
        <v>7878.3320000000022</v>
      </c>
      <c r="E47" s="24">
        <f>JAN!E49+JAN!V49+FEV!V49+FEV!E49+MAR!V49+MAR!E49+ABR!V49+ABR!E49+MAI!F49+JUN!F49+JUL!F49+AGO!F49+SET!F49+OUT!F49+NOV!F49+DEZ!F49</f>
        <v>2245.0480000000002</v>
      </c>
      <c r="F47" s="24">
        <f>JAN!F49+JAN!W49+FEV!W49+FEV!F49+MAR!W49+MAR!F49+ABR!W49+ABR!F49+MAI!G49+JUN!G49+JUL!G49+AGO!G49+SET!G49+OUT!G49+NOV!G49+DEZ!G49</f>
        <v>96238.013999999996</v>
      </c>
      <c r="G47" s="24">
        <f>JAN!G49+JAN!X49+FEV!X49+FEV!G49+MAR!X49+MAR!G49+ABR!X49+ABR!G49+MAI!H49+JUN!H49+JUL!H49+AGO!H49+SET!H49+OUT!H49+NOV!H49+DEZ!H49</f>
        <v>3878.8200000000006</v>
      </c>
      <c r="H47" s="24">
        <f>JAN!H49+JAN!Y49+FEV!H49+FEV!Y49+MAR!H49+MAR!Y49+ABR!Y49+ABR!H49+MAI!I49+JUN!I49+JUL!I49+AGO!I49+SET!I49+OUT!I49+NOV!I49+DEZ!I49</f>
        <v>6510.2719999999999</v>
      </c>
      <c r="I47" s="24">
        <f>JAN!I49+JAN!Z49+FEV!Z49+FEV!I49+MAR!Z49+MAR!I49+ABR!Z49+ABR!I49+MAI!J49+JUN!J49+JUL!J49+AGO!J49+SET!J49+OUT!J49+NOV!J49+DEZ!J49</f>
        <v>0</v>
      </c>
      <c r="J47" s="24">
        <f>JAN!J49+JAN!AA49+FEV!AA49+FEV!J49+MAR!AA49+MAR!J49+ABR!AA49+ABR!J49+MAI!K49+JUN!K49+JUL!K49+AGO!K49+SET!K49+OUT!K49+NOV!K49+DEZ!K49</f>
        <v>5430.9520000000002</v>
      </c>
      <c r="K47" s="24">
        <f>JAN!K49+JAN!AB49+FEV!AB49+FEV!K49+MAR!AB49+MAR!K49+ABR!AB49+ABR!K49+MAI!L49+JUN!L49+JUL!L49+AGO!L49+SET!L49+OUT!L49+NOV!L49+DEZ!L49</f>
        <v>803.19000000000017</v>
      </c>
      <c r="L47" s="24">
        <f>JAN!L49+JAN!AC49+FEV!AC49+FEV!L49+MAR!AC49+MAR!L49+ABR!AC49+ABR!L49+MAI!M49+JUN!M49+JUL!M49+AGO!M49+SET!M49+OUT!M49+NOV!M49+DEZ!M49</f>
        <v>39.180000000000007</v>
      </c>
      <c r="M47" s="24">
        <f>JAN!M49+JAN!AD49+FEV!AD49+FEV!M49+MAR!AD49+MAR!M49+ABR!AD49+ABR!M49+MAI!N49+JUN!N49+JUL!N49+AGO!N49+SET!N49+OUT!N49+NOV!N49+DEZ!N49</f>
        <v>0</v>
      </c>
      <c r="N47" s="24">
        <f>JAN!N49+JAN!AE49+FEV!AE49+FEV!N49+MAR!AE49+MAR!N49+ABR!AE49+ABR!N49+MAI!O49+JUN!O49+JUL!O49+AGO!O49+SET!O49+OUT!O49+NOV!O49+DEZ!O49</f>
        <v>51.239999999999995</v>
      </c>
      <c r="O47" s="24">
        <f>JUL!P84+AGO!P49+SET!P49+OUT!P49+NOV!P49+DEZ!P49</f>
        <v>0</v>
      </c>
      <c r="P47" s="24">
        <f>JAN!AF49+FEV!AF49+MAR!AF49+ABR!AG49+MAI!Q49+JUN!Q49+JUL!Q49+AGO!Q49+SET!Q49+OUT!Q49+NOV!Q49+DEZ!Q49</f>
        <v>0</v>
      </c>
      <c r="Q47" s="24">
        <f>JAN!AG49+FEV!AG49+MAR!AG49+ABR!AH49+MAI!R49+JUN!R49+JUL!R49+AGO!R49+SET!R49+OUT!R49+NOV!R49+DEZ!R49</f>
        <v>0</v>
      </c>
      <c r="R47" s="4">
        <f t="shared" si="4"/>
        <v>253664.65400000001</v>
      </c>
      <c r="S47" s="1111">
        <f t="shared" si="5"/>
        <v>0.2</v>
      </c>
      <c r="T47" s="1093">
        <f t="shared" si="6"/>
        <v>16713.654000000002</v>
      </c>
    </row>
    <row r="48" spans="1:20">
      <c r="A48" s="16" t="s">
        <v>10</v>
      </c>
      <c r="B48" s="24">
        <f>JAN!B50+JAN!S50+FEV!S50+FEV!B50+MAR!S50+MAR!B50+ABR!S50+ABR!B50+MAI!C50+JUN!C50+JUL!C50+AGO!C50+SET!C50+OUT!C50+NOV!C50+DEZ!C50</f>
        <v>200661.47799999997</v>
      </c>
      <c r="C48" s="24">
        <f>JAN!C50+JAN!T50+FEV!T50+FEV!C50+MAR!T50+MAR!C50+ABR!T50+ABR!C50+MAI!D50+JUN!D50+JUL!D50+AGO!D50+SET!D50+OUT!D50+NOV!D50+DEZ!D50</f>
        <v>66750.394000000015</v>
      </c>
      <c r="D48" s="24">
        <f>JAN!D50+JAN!U50+FEV!U50+FEV!D50+MAR!U50+MAR!D50+ABR!U50+ABR!D50+MAI!E50+JUN!E50+JUL!E50+AGO!E50+SET!E50+OUT!E50+NOV!E50+DEZ!E50</f>
        <v>24719.370000000003</v>
      </c>
      <c r="E48" s="24">
        <f>JAN!E50+JAN!V50+FEV!V50+FEV!E50+MAR!V50+MAR!E50+ABR!V50+ABR!E50+MAI!F50+JUN!F50+JUL!F50+AGO!F50+SET!F50+OUT!F50+NOV!F50+DEZ!F50</f>
        <v>8972.2440000000006</v>
      </c>
      <c r="F48" s="24">
        <f>JAN!F50+JAN!W50+FEV!W50+FEV!F50+MAR!W50+MAR!F50+ABR!W50+ABR!F50+MAI!G50+JUN!G50+JUL!G50+AGO!G50+SET!G50+OUT!G50+NOV!G50+DEZ!G50</f>
        <v>584353.37400000007</v>
      </c>
      <c r="G48" s="24">
        <f>JAN!G50+JAN!X50+FEV!X50+FEV!G50+MAR!X50+MAR!G50+ABR!X50+ABR!G50+MAI!H50+JUN!H50+JUL!H50+AGO!H50+SET!H50+OUT!H50+NOV!H50+DEZ!H50</f>
        <v>6284.52</v>
      </c>
      <c r="H48" s="24">
        <f>JAN!H50+JAN!Y50+FEV!H50+FEV!Y50+MAR!H50+MAR!Y50+ABR!Y50+ABR!H50+MAI!I50+JUN!I50+JUL!I50+AGO!I50+SET!I50+OUT!I50+NOV!I50+DEZ!I50</f>
        <v>10059.893999999998</v>
      </c>
      <c r="I48" s="24">
        <f>JAN!I50+JAN!Z50+FEV!Z50+FEV!I50+MAR!Z50+MAR!I50+ABR!Z50+ABR!I50+MAI!J50+JUN!J50+JUL!J50+AGO!J50+SET!J50+OUT!J50+NOV!J50+DEZ!J50</f>
        <v>1455.5040000000001</v>
      </c>
      <c r="J48" s="24">
        <f>JAN!J50+JAN!AA50+FEV!AA50+FEV!J50+MAR!AA50+MAR!J50+ABR!AA50+ABR!J50+MAI!K50+JUN!K50+JUL!K50+AGO!K50+SET!K50+OUT!K50+NOV!K50+DEZ!K50</f>
        <v>9017.344000000001</v>
      </c>
      <c r="K48" s="24">
        <f>JAN!K50+JAN!AB50+FEV!AB50+FEV!K50+MAR!AB50+MAR!K50+ABR!AB50+ABR!K50+MAI!L50+JUN!L50+JUL!L50+AGO!L50+SET!L50+OUT!L50+NOV!L50+DEZ!L50</f>
        <v>1253.7600000000002</v>
      </c>
      <c r="L48" s="24">
        <f>JAN!L50+JAN!AC50+FEV!AC50+FEV!L50+MAR!AC50+MAR!L50+ABR!AC50+ABR!L50+MAI!M50+JUN!M50+JUL!M50+AGO!M50+SET!M50+OUT!M50+NOV!M50+DEZ!M50</f>
        <v>78.360000000000014</v>
      </c>
      <c r="M48" s="24">
        <f>JAN!M50+JAN!AD50+FEV!AD50+FEV!M50+MAR!AD50+MAR!M50+ABR!AD50+ABR!M50+MAI!N50+JUN!N50+JUL!N50+AGO!N50+SET!N50+OUT!N50+NOV!N50+DEZ!N50</f>
        <v>0</v>
      </c>
      <c r="N48" s="24">
        <f>JAN!N50+JAN!AE50+FEV!AE50+FEV!N50+MAR!AE50+MAR!N50+ABR!AE50+ABR!N50+MAI!O50+JUN!O50+JUL!O50+AGO!O50+SET!O50+OUT!O50+NOV!O50+DEZ!O50</f>
        <v>102.85199999999999</v>
      </c>
      <c r="O48" s="24">
        <f>JUL!P85+AGO!P50+SET!P50+OUT!P50+NOV!P50+DEZ!P50</f>
        <v>0</v>
      </c>
      <c r="P48" s="24">
        <f>JAN!AF50+FEV!AF50+MAR!AF50+ABR!AG50+MAI!Q50+JUN!Q50+JUL!Q50+AGO!Q50+SET!Q50+OUT!Q50+NOV!Q50+DEZ!Q50</f>
        <v>0</v>
      </c>
      <c r="Q48" s="24">
        <f>JAN!AG50+FEV!AG50+MAR!AG50+ABR!AH50+MAI!R50+JUN!R50+JUL!R50+AGO!R50+SET!R50+OUT!R50+NOV!R50+DEZ!R50</f>
        <v>0</v>
      </c>
      <c r="R48" s="4">
        <f t="shared" si="4"/>
        <v>913709.09400000004</v>
      </c>
      <c r="S48" s="1111">
        <f t="shared" si="5"/>
        <v>0.20000000000000009</v>
      </c>
      <c r="T48" s="1093">
        <f t="shared" si="6"/>
        <v>28252.233999999997</v>
      </c>
    </row>
    <row r="49" spans="1:20">
      <c r="A49" s="1" t="s">
        <v>11</v>
      </c>
      <c r="B49" s="24">
        <f>JAN!B51+JAN!S51+FEV!S51+FEV!B51+MAR!S51+MAR!B51+ABR!S51+ABR!B51+MAI!C51+JUN!C51+JUL!C51+AGO!C51+SET!C51+OUT!C51+NOV!C51+DEZ!C51</f>
        <v>164567.35399999999</v>
      </c>
      <c r="C49" s="24">
        <f>JAN!C51+JAN!T51+FEV!T51+FEV!C51+MAR!T51+MAR!C51+ABR!T51+ABR!C51+MAI!D51+JUN!D51+JUL!D51+AGO!D51+SET!D51+OUT!D51+NOV!D51+DEZ!D51</f>
        <v>57075.198000000011</v>
      </c>
      <c r="D49" s="24">
        <f>JAN!D51+JAN!U51+FEV!U51+FEV!D51+MAR!U51+MAR!D51+ABR!U51+ABR!D51+MAI!E51+JUN!E51+JUL!E51+AGO!E51+SET!E51+OUT!E51+NOV!E51+DEZ!E51</f>
        <v>26919.460000000006</v>
      </c>
      <c r="E49" s="24">
        <f>JAN!E51+JAN!V51+FEV!V51+FEV!E51+MAR!V51+MAR!E51+ABR!V51+ABR!E51+MAI!F51+JUN!F51+JUL!F51+AGO!F51+SET!F51+OUT!F51+NOV!F51+DEZ!F51</f>
        <v>8110.9240000000018</v>
      </c>
      <c r="F49" s="24">
        <f>JAN!F51+JAN!W51+FEV!W51+FEV!F51+MAR!W51+MAR!F51+ABR!W51+ABR!F51+MAI!G51+JUN!G51+JUL!G51+AGO!G51+SET!G51+OUT!G51+NOV!G51+DEZ!G51</f>
        <v>382620.21600000001</v>
      </c>
      <c r="G49" s="24">
        <f>JAN!G51+JAN!X51+FEV!X51+FEV!G51+MAR!X51+MAR!G51+ABR!X51+ABR!G51+MAI!H51+JUN!H51+JUL!H51+AGO!H51+SET!H51+OUT!H51+NOV!H51+DEZ!H51</f>
        <v>4877.9100000000008</v>
      </c>
      <c r="H49" s="24">
        <f>JAN!H51+JAN!Y51+FEV!H51+FEV!Y51+MAR!H51+MAR!Y51+ABR!Y51+ABR!H51+MAI!I51+JUN!I51+JUL!I51+AGO!I51+SET!I51+OUT!I51+NOV!I51+DEZ!I51</f>
        <v>11528.436</v>
      </c>
      <c r="I49" s="24">
        <f>JAN!I51+JAN!Z51+FEV!Z51+FEV!I51+MAR!Z51+MAR!I51+ABR!Z51+ABR!I51+MAI!J51+JUN!J51+JUL!J51+AGO!J51+SET!J51+OUT!J51+NOV!J51+DEZ!J51</f>
        <v>684.91200000000003</v>
      </c>
      <c r="J49" s="24">
        <f>JAN!J51+JAN!AA51+FEV!AA51+FEV!J51+MAR!AA51+MAR!J51+ABR!AA51+ABR!J51+MAI!K51+JUN!K51+JUL!K51+AGO!K51+SET!K51+OUT!K51+NOV!K51+DEZ!K51</f>
        <v>7982.0700000000015</v>
      </c>
      <c r="K49" s="24">
        <f>JAN!K51+JAN!AB51+FEV!AB51+FEV!K51+MAR!AB51+MAR!K51+ABR!AB51+ABR!K51+MAI!L51+JUN!L51+JUL!L51+AGO!L51+SET!L51+OUT!L51+NOV!L51+DEZ!L51</f>
        <v>1488.2020000000002</v>
      </c>
      <c r="L49" s="24">
        <f>JAN!L51+JAN!AC51+FEV!AC51+FEV!L51+MAR!AC51+MAR!L51+ABR!AC51+ABR!L51+MAI!M51+JUN!M51+JUL!M51+AGO!M51+SET!M51+OUT!M51+NOV!M51+DEZ!M51</f>
        <v>0</v>
      </c>
      <c r="M49" s="24">
        <f>JAN!M51+JAN!AD51+FEV!AD51+FEV!M51+MAR!AD51+MAR!M51+ABR!AD51+ABR!M51+MAI!N51+JUN!N51+JUL!N51+AGO!N51+SET!N51+OUT!N51+NOV!N51+DEZ!N51</f>
        <v>1334.174</v>
      </c>
      <c r="N49" s="24">
        <f>JAN!N51+JAN!AE51+FEV!AE51+FEV!N51+MAR!AE51+MAR!N51+ABR!AE51+ABR!N51+MAI!O51+JUN!O51+JUL!O51+AGO!O51+SET!O51+OUT!O51+NOV!O51+DEZ!O51</f>
        <v>136.57799999999997</v>
      </c>
      <c r="O49" s="24">
        <f>JUL!P86+AGO!P51+SET!P51+OUT!P51+NOV!P51+DEZ!P51</f>
        <v>0</v>
      </c>
      <c r="P49" s="24">
        <f>JAN!AF51+FEV!AF51+MAR!AF51+ABR!AG51+MAI!Q51+JUN!Q51+JUL!Q51+AGO!Q51+SET!Q51+OUT!Q51+NOV!Q51+DEZ!Q51</f>
        <v>82.074000000000012</v>
      </c>
      <c r="Q49" s="24">
        <f>JAN!AG51+FEV!AG51+MAR!AG51+ABR!AH51+MAI!R51+JUN!R51+JUL!R51+AGO!R51+SET!R51+OUT!R51+NOV!R51+DEZ!R51</f>
        <v>0</v>
      </c>
      <c r="R49" s="4">
        <f t="shared" si="4"/>
        <v>667407.50800000003</v>
      </c>
      <c r="S49" s="1111">
        <f t="shared" si="5"/>
        <v>0.19999999999999998</v>
      </c>
      <c r="T49" s="1093">
        <f t="shared" si="6"/>
        <v>28114.356000000003</v>
      </c>
    </row>
    <row r="50" spans="1:20">
      <c r="A50" s="1" t="s">
        <v>12</v>
      </c>
      <c r="B50" s="24">
        <f>JAN!B52+JAN!S52+FEV!S52+FEV!B52+MAR!S52+MAR!B52+ABR!S52+ABR!B52+MAI!C52+JUN!C52+JUL!C52+AGO!C52+SET!C52+OUT!C52+NOV!C52+DEZ!C52</f>
        <v>916033.29400000011</v>
      </c>
      <c r="C50" s="24">
        <f>JAN!C52+JAN!T52+FEV!T52+FEV!C52+MAR!T52+MAR!C52+ABR!T52+ABR!C52+MAI!D52+JUN!D52+JUL!D52+AGO!D52+SET!D52+OUT!D52+NOV!D52+DEZ!D52</f>
        <v>336812.98</v>
      </c>
      <c r="D50" s="24">
        <f>JAN!D52+JAN!U52+FEV!U52+FEV!D52+MAR!U52+MAR!D52+ABR!U52+ABR!D52+MAI!E52+JUN!E52+JUL!E52+AGO!E52+SET!E52+OUT!E52+NOV!E52+DEZ!E52</f>
        <v>101665.64</v>
      </c>
      <c r="E50" s="24">
        <f>JAN!E52+JAN!V52+FEV!V52+FEV!E52+MAR!V52+MAR!E52+ABR!V52+ABR!E52+MAI!F52+JUN!F52+JUL!F52+AGO!F52+SET!F52+OUT!F52+NOV!F52+DEZ!F52</f>
        <v>40906.588000000003</v>
      </c>
      <c r="F50" s="24">
        <f>JAN!F52+JAN!W52+FEV!W52+FEV!F52+MAR!W52+MAR!F52+ABR!W52+ABR!F52+MAI!G52+JUN!G52+JUL!G52+AGO!G52+SET!G52+OUT!G52+NOV!G52+DEZ!G52</f>
        <v>977471.41400000011</v>
      </c>
      <c r="G50" s="24">
        <f>JAN!G52+JAN!X52+FEV!X52+FEV!G52+MAR!X52+MAR!G52+ABR!X52+ABR!G52+MAI!H52+JUN!H52+JUL!H52+AGO!H52+SET!H52+OUT!H52+NOV!H52+DEZ!H52</f>
        <v>17336.512000000002</v>
      </c>
      <c r="H50" s="24">
        <f>JAN!H52+JAN!Y52+FEV!H52+FEV!Y52+MAR!H52+MAR!Y52+ABR!Y52+ABR!H52+MAI!I52+JUN!I52+JUL!I52+AGO!I52+SET!I52+OUT!I52+NOV!I52+DEZ!I52</f>
        <v>62055.387999999992</v>
      </c>
      <c r="I50" s="24">
        <f>JAN!I52+JAN!Z52+FEV!Z52+FEV!I52+MAR!Z52+MAR!I52+ABR!Z52+ABR!I52+MAI!J52+JUN!J52+JUL!J52+AGO!J52+SET!J52+OUT!J52+NOV!J52+DEZ!J52</f>
        <v>117.54000000000002</v>
      </c>
      <c r="J50" s="24">
        <f>JAN!J52+JAN!AA52+FEV!AA52+FEV!J52+MAR!AA52+MAR!J52+ABR!AA52+ABR!J52+MAI!K52+JUN!K52+JUL!K52+AGO!K52+SET!K52+OUT!K52+NOV!K52+DEZ!K52</f>
        <v>41840.602000000006</v>
      </c>
      <c r="K50" s="24">
        <f>JAN!K52+JAN!AB52+FEV!AB52+FEV!K52+MAR!AB52+MAR!K52+ABR!AB52+ABR!K52+MAI!L52+JUN!L52+JUL!L52+AGO!L52+SET!L52+OUT!L52+NOV!L52+DEZ!L52</f>
        <v>7794.2680000000009</v>
      </c>
      <c r="L50" s="24">
        <f>JAN!L52+JAN!AC52+FEV!AC52+FEV!L52+MAR!AC52+MAR!L52+ABR!AC52+ABR!L52+MAI!M52+JUN!M52+JUL!M52+AGO!M52+SET!M52+OUT!M52+NOV!M52+DEZ!M52</f>
        <v>470.16</v>
      </c>
      <c r="M50" s="24">
        <f>JAN!M52+JAN!AD52+FEV!AD52+FEV!M52+MAR!AD52+MAR!M52+ABR!AD52+ABR!M52+MAI!N52+JUN!N52+JUL!N52+AGO!N52+SET!N52+OUT!N52+NOV!N52+DEZ!N52</f>
        <v>1403.674</v>
      </c>
      <c r="N50" s="24">
        <f>JAN!N52+JAN!AE52+FEV!AE52+FEV!N52+MAR!AE52+MAR!N52+ABR!AE52+ABR!N52+MAI!O52+JUN!O52+JUL!O52+AGO!O52+SET!O52+OUT!O52+NOV!O52+DEZ!O52</f>
        <v>1208.9580000000001</v>
      </c>
      <c r="O50" s="24">
        <f>JUL!P87+AGO!P52+SET!P52+OUT!P52+NOV!P52+DEZ!P52</f>
        <v>0</v>
      </c>
      <c r="P50" s="24">
        <f>JAN!AF52+FEV!AF52+MAR!AF52+ABR!AG52+MAI!Q52+JUN!Q52+JUL!Q52+AGO!Q52+SET!Q52+OUT!Q52+NOV!Q52+DEZ!Q52</f>
        <v>0</v>
      </c>
      <c r="Q50" s="24">
        <f>JAN!AG52+FEV!AG52+MAR!AG52+ABR!AH52+MAI!R52+JUN!R52+JUL!R52+AGO!R52+SET!R52+OUT!R52+NOV!R52+DEZ!R52</f>
        <v>0</v>
      </c>
      <c r="R50" s="4">
        <f t="shared" si="4"/>
        <v>2505117.0180000006</v>
      </c>
      <c r="S50" s="1111">
        <f t="shared" si="5"/>
        <v>0.20000000000000004</v>
      </c>
      <c r="T50" s="1093">
        <f t="shared" si="6"/>
        <v>132227.10199999998</v>
      </c>
    </row>
    <row r="51" spans="1:20">
      <c r="A51" s="1" t="s">
        <v>15</v>
      </c>
      <c r="B51" s="24">
        <f>JAN!B53+JAN!S53+FEV!S53+FEV!B53+MAR!S53+MAR!B53+ABR!S53+ABR!B53+MAI!C53+JUN!C53+JUL!C53+AGO!C53+SET!C53+OUT!C53+NOV!C53+DEZ!C53</f>
        <v>133245.08599999998</v>
      </c>
      <c r="C51" s="24">
        <f>JAN!C53+JAN!T53+FEV!T53+FEV!C53+MAR!T53+MAR!C53+ABR!T53+ABR!C53+MAI!D53+JUN!D53+JUL!D53+AGO!D53+SET!D53+OUT!D53+NOV!D53+DEZ!D53</f>
        <v>71454.214000000007</v>
      </c>
      <c r="D51" s="24">
        <f>JAN!D53+JAN!U53+FEV!U53+FEV!D53+MAR!U53+MAR!D53+ABR!U53+ABR!D53+MAI!E53+JUN!E53+JUL!E53+AGO!E53+SET!E53+OUT!E53+NOV!E53+DEZ!E53</f>
        <v>13029.392</v>
      </c>
      <c r="E51" s="24">
        <f>JAN!E53+JAN!V53+FEV!V53+FEV!E53+MAR!V53+MAR!E53+ABR!V53+ABR!E53+MAI!F53+JUN!F53+JUL!F53+AGO!F53+SET!F53+OUT!F53+NOV!F53+DEZ!F53</f>
        <v>3733.9260000000004</v>
      </c>
      <c r="F51" s="24">
        <f>JAN!F53+JAN!W53+FEV!W53+FEV!F53+MAR!W53+MAR!F53+ABR!W53+ABR!F53+MAI!G53+JUN!G53+JUL!G53+AGO!G53+SET!G53+OUT!G53+NOV!G53+DEZ!G53</f>
        <v>153690.19200000001</v>
      </c>
      <c r="G51" s="24">
        <f>JAN!G53+JAN!X53+FEV!X53+FEV!G53+MAR!X53+MAR!G53+ABR!X53+ABR!G53+MAI!H53+JUN!H53+JUL!H53+AGO!H53+SET!H53+OUT!H53+NOV!H53+DEZ!H53</f>
        <v>5851.0300000000007</v>
      </c>
      <c r="H51" s="24">
        <f>JAN!H53+JAN!Y53+FEV!H53+FEV!Y53+MAR!H53+MAR!Y53+ABR!Y53+ABR!H53+MAI!I53+JUN!I53+JUL!I53+AGO!I53+SET!I53+OUT!I53+NOV!I53+DEZ!I53</f>
        <v>12514.232000000002</v>
      </c>
      <c r="I51" s="24">
        <f>JAN!I53+JAN!Z53+FEV!Z53+FEV!I53+MAR!Z53+MAR!I53+ABR!Z53+ABR!I53+MAI!J53+JUN!J53+JUL!J53+AGO!J53+SET!J53+OUT!J53+NOV!J53+DEZ!J53</f>
        <v>0</v>
      </c>
      <c r="J51" s="24">
        <f>JAN!J53+JAN!AA53+FEV!AA53+FEV!J53+MAR!AA53+MAR!J53+ABR!AA53+ABR!J53+MAI!K53+JUN!K53+JUL!K53+AGO!K53+SET!K53+OUT!K53+NOV!K53+DEZ!K53</f>
        <v>7816.6960000000008</v>
      </c>
      <c r="K51" s="24">
        <f>JAN!K53+JAN!AB53+FEV!AB53+FEV!K53+MAR!AB53+MAR!K53+ABR!AB53+ABR!K53+MAI!L53+JUN!L53+JUL!L53+AGO!L53+SET!L53+OUT!L53+NOV!L53+DEZ!L53</f>
        <v>1135.5820000000003</v>
      </c>
      <c r="L51" s="24">
        <f>JAN!L53+JAN!AC53+FEV!AC53+FEV!L53+MAR!AC53+MAR!L53+ABR!AC53+ABR!L53+MAI!M53+JUN!M53+JUL!M53+AGO!M53+SET!M53+OUT!M53+NOV!M53+DEZ!M53</f>
        <v>0</v>
      </c>
      <c r="M51" s="24">
        <f>JAN!M53+JAN!AD53+FEV!AD53+FEV!M53+MAR!AD53+MAR!M53+ABR!AD53+ABR!M53+MAI!N53+JUN!N53+JUL!N53+AGO!N53+SET!N53+OUT!N53+NOV!N53+DEZ!N53</f>
        <v>0</v>
      </c>
      <c r="N51" s="24">
        <f>JAN!N53+JAN!AE53+FEV!AE53+FEV!N53+MAR!AE53+MAR!N53+ABR!AE53+ABR!N53+MAI!O53+JUN!O53+JUL!O53+AGO!O53+SET!O53+OUT!O53+NOV!O53+DEZ!O53</f>
        <v>154.27799999999999</v>
      </c>
      <c r="O51" s="24">
        <f>JUL!P88+AGO!P53+SET!P53+OUT!P53+NOV!P53+DEZ!P53</f>
        <v>0</v>
      </c>
      <c r="P51" s="24">
        <f>JAN!AF53+FEV!AF53+MAR!AF53+ABR!AG53+MAI!Q53+JUN!Q53+JUL!Q53+AGO!Q53+SET!Q53+OUT!Q53+NOV!Q53+DEZ!Q53</f>
        <v>0</v>
      </c>
      <c r="Q51" s="24">
        <f>JAN!AG53+FEV!AG53+MAR!AG53+ABR!AH53+MAI!R53+JUN!R53+JUL!R53+AGO!R53+SET!R53+OUT!R53+NOV!R53+DEZ!R53</f>
        <v>0</v>
      </c>
      <c r="R51" s="4">
        <f t="shared" si="4"/>
        <v>402624.62800000003</v>
      </c>
      <c r="S51" s="1111">
        <f t="shared" si="5"/>
        <v>0.20000000000000007</v>
      </c>
      <c r="T51" s="1093">
        <f t="shared" si="6"/>
        <v>27471.817999999999</v>
      </c>
    </row>
    <row r="52" spans="1:20">
      <c r="A52" s="1" t="s">
        <v>14</v>
      </c>
      <c r="B52" s="24">
        <f>JAN!B54+JAN!S54+FEV!S54+FEV!B54+MAR!S54+MAR!B54+ABR!S54+ABR!B54+MAI!C54+JUN!C54+JUL!C54+AGO!C54+SET!C54+OUT!C54+NOV!C54+DEZ!C54</f>
        <v>139583.94200000004</v>
      </c>
      <c r="C52" s="24">
        <f>JAN!C54+JAN!T54+FEV!T54+FEV!C54+MAR!T54+MAR!C54+ABR!T54+ABR!C54+MAI!D54+JUN!D54+JUL!D54+AGO!D54+SET!D54+OUT!D54+NOV!D54+DEZ!D54</f>
        <v>64370.243999999992</v>
      </c>
      <c r="D52" s="24">
        <f>JAN!D54+JAN!U54+FEV!U54+FEV!D54+MAR!U54+MAR!D54+ABR!U54+ABR!D54+MAI!E54+JUN!E54+JUL!E54+AGO!E54+SET!E54+OUT!E54+NOV!E54+DEZ!E54</f>
        <v>12420.073999999999</v>
      </c>
      <c r="E52" s="24">
        <f>JAN!E54+JAN!V54+FEV!V54+FEV!E54+MAR!V54+MAR!E54+ABR!V54+ABR!E54+MAI!F54+JUN!F54+JUL!F54+AGO!F54+SET!F54+OUT!F54+NOV!F54+DEZ!F54</f>
        <v>5345.4120000000003</v>
      </c>
      <c r="F52" s="24">
        <f>JAN!F54+JAN!W54+FEV!W54+FEV!F54+MAR!W54+MAR!F54+ABR!W54+ABR!F54+MAI!G54+JUN!G54+JUL!G54+AGO!G54+SET!G54+OUT!G54+NOV!G54+DEZ!G54</f>
        <v>183174.41800000001</v>
      </c>
      <c r="G52" s="24">
        <f>JAN!G54+JAN!X54+FEV!X54+FEV!G54+MAR!X54+MAR!G54+ABR!X54+ABR!G54+MAI!H54+JUN!H54+JUL!H54+AGO!H54+SET!H54+OUT!H54+NOV!H54+DEZ!H54</f>
        <v>3485.1060000000007</v>
      </c>
      <c r="H52" s="24">
        <f>JAN!H54+JAN!Y54+FEV!H54+FEV!Y54+MAR!H54+MAR!Y54+ABR!Y54+ABR!H54+MAI!I54+JUN!I54+JUL!I54+AGO!I54+SET!I54+OUT!I54+NOV!I54+DEZ!I54</f>
        <v>10288.41</v>
      </c>
      <c r="I52" s="24">
        <f>JAN!I54+JAN!Z54+FEV!Z54+FEV!I54+MAR!Z54+MAR!I54+ABR!Z54+ABR!I54+MAI!J54+JUN!J54+JUL!J54+AGO!J54+SET!J54+OUT!J54+NOV!J54+DEZ!J54</f>
        <v>172.86599999999999</v>
      </c>
      <c r="J52" s="24">
        <f>JAN!J54+JAN!AA54+FEV!AA54+FEV!J54+MAR!AA54+MAR!J54+ABR!AA54+ABR!J54+MAI!K54+JUN!K54+JUL!K54+AGO!K54+SET!K54+OUT!K54+NOV!K54+DEZ!K54</f>
        <v>7836.55</v>
      </c>
      <c r="K52" s="24">
        <f>JAN!K54+JAN!AB54+FEV!AB54+FEV!K54+MAR!AB54+MAR!K54+ABR!AB54+ABR!K54+MAI!L54+JUN!L54+JUL!L54+AGO!L54+SET!L54+OUT!L54+NOV!L54+DEZ!L54</f>
        <v>568.11000000000013</v>
      </c>
      <c r="L52" s="24">
        <f>JAN!L54+JAN!AC54+FEV!AC54+FEV!L54+MAR!AC54+MAR!L54+ABR!AC54+ABR!L54+MAI!M54+JUN!M54+JUL!M54+AGO!M54+SET!M54+OUT!M54+NOV!M54+DEZ!M54</f>
        <v>0</v>
      </c>
      <c r="M52" s="24">
        <f>JAN!M54+JAN!AD54+FEV!AD54+FEV!M54+MAR!AD54+MAR!M54+ABR!AD54+ABR!M54+MAI!N54+JUN!N54+JUL!N54+AGO!N54+SET!N54+OUT!N54+NOV!N54+DEZ!N54</f>
        <v>0</v>
      </c>
      <c r="N52" s="24">
        <f>JAN!N54+JAN!AE54+FEV!AE54+FEV!N54+MAR!AE54+MAR!N54+ABR!AE54+ABR!N54+MAI!O54+JUN!O54+JUL!O54+AGO!O54+SET!O54+OUT!O54+NOV!O54+DEZ!O54</f>
        <v>148.56399999999999</v>
      </c>
      <c r="O52" s="24">
        <f>JUL!P89+AGO!P54+SET!P54+OUT!P54+NOV!P54+DEZ!P54</f>
        <v>0</v>
      </c>
      <c r="P52" s="24">
        <f>JAN!AF54+FEV!AF54+MAR!AF54+ABR!AG54+MAI!Q54+JUN!Q54+JUL!Q54+AGO!Q54+SET!Q54+OUT!Q54+NOV!Q54+DEZ!Q54</f>
        <v>0</v>
      </c>
      <c r="Q52" s="24">
        <f>JAN!AG54+FEV!AG54+MAR!AG54+ABR!AH54+MAI!R54+JUN!R54+JUL!R54+AGO!R54+SET!R54+OUT!R54+NOV!R54+DEZ!R54</f>
        <v>143.84400000000002</v>
      </c>
      <c r="R52" s="4">
        <f t="shared" si="4"/>
        <v>427537.54000000004</v>
      </c>
      <c r="S52" s="1111">
        <f t="shared" si="5"/>
        <v>0.2</v>
      </c>
      <c r="T52" s="1093">
        <f t="shared" si="6"/>
        <v>22643.45</v>
      </c>
    </row>
    <row r="53" spans="1:20">
      <c r="A53" s="16" t="s">
        <v>13</v>
      </c>
      <c r="B53" s="24">
        <f>JAN!B55+JAN!S55+FEV!S55+FEV!B55+MAR!S55+MAR!B55+ABR!S55+ABR!B55+MAI!C55+JUN!C55+JUL!C55+AGO!C55+SET!C55+OUT!C55+NOV!C55+DEZ!C55</f>
        <v>773644</v>
      </c>
      <c r="C53" s="24">
        <f>JAN!C55+JAN!T55+FEV!T55+FEV!C55+MAR!T55+MAR!C55+ABR!T55+ABR!C55+MAI!D55+JUN!D55+JUL!D55+AGO!D55+SET!D55+OUT!D55+NOV!D55+DEZ!D55</f>
        <v>244392.55800000002</v>
      </c>
      <c r="D53" s="24">
        <f>JAN!D55+JAN!U55+FEV!U55+FEV!D55+MAR!U55+MAR!D55+ABR!U55+ABR!D55+MAI!E55+JUN!E55+JUL!E55+AGO!E55+SET!E55+OUT!E55+NOV!E55+DEZ!E55</f>
        <v>145413.13999999998</v>
      </c>
      <c r="E53" s="24">
        <f>JAN!E55+JAN!V55+FEV!V55+FEV!E55+MAR!V55+MAR!E55+ABR!V55+ABR!E55+MAI!F55+JUN!F55+JUL!F55+AGO!F55+SET!F55+OUT!F55+NOV!F55+DEZ!F55</f>
        <v>58264.790000000008</v>
      </c>
      <c r="F53" s="24">
        <f>JAN!F55+JAN!W55+FEV!W55+FEV!F55+MAR!W55+MAR!F55+ABR!W55+ABR!F55+MAI!G55+JUN!G55+JUL!G55+AGO!G55+SET!G55+OUT!G55+NOV!G55+DEZ!G55</f>
        <v>1424894.486</v>
      </c>
      <c r="G53" s="24">
        <f>JAN!G55+JAN!X55+FEV!X55+FEV!G55+MAR!X55+MAR!G55+ABR!X55+ABR!G55+MAI!H55+JUN!H55+JUL!H55+AGO!H55+SET!H55+OUT!H55+NOV!H55+DEZ!H55</f>
        <v>25308.366000000002</v>
      </c>
      <c r="H53" s="24">
        <f>JAN!H55+JAN!Y55+FEV!H55+FEV!Y55+MAR!H55+MAR!Y55+ABR!Y55+ABR!H55+MAI!I55+JUN!I55+JUL!I55+AGO!I55+SET!I55+OUT!I55+NOV!I55+DEZ!I55</f>
        <v>42362.031999999999</v>
      </c>
      <c r="I53" s="24">
        <f>JAN!I55+JAN!Z55+FEV!Z55+FEV!I55+MAR!Z55+MAR!I55+ABR!Z55+ABR!I55+MAI!J55+JUN!J55+JUL!J55+AGO!J55+SET!J55+OUT!J55+NOV!J55+DEZ!J55</f>
        <v>1114.1980000000001</v>
      </c>
      <c r="J53" s="24">
        <f>JAN!J55+JAN!AA55+FEV!AA55+FEV!J55+MAR!AA55+MAR!J55+ABR!AA55+ABR!J55+MAI!K55+JUN!K55+JUL!K55+AGO!K55+SET!K55+OUT!K55+NOV!K55+DEZ!K55</f>
        <v>37500.142</v>
      </c>
      <c r="K53" s="24">
        <f>JAN!K55+JAN!AB55+FEV!AB55+FEV!K55+MAR!AB55+MAR!K55+ABR!AB55+ABR!K55+MAI!L55+JUN!L55+JUL!L55+AGO!L55+SET!L55+OUT!L55+NOV!L55+DEZ!L55</f>
        <v>8320.0079999999998</v>
      </c>
      <c r="L53" s="24">
        <f>JAN!L55+JAN!AC55+FEV!AC55+FEV!L55+MAR!AC55+MAR!L55+ABR!AC55+ABR!L55+MAI!M55+JUN!M55+JUL!M55+AGO!M55+SET!M55+OUT!M55+NOV!M55+DEZ!M55</f>
        <v>430.98000000000008</v>
      </c>
      <c r="M53" s="24">
        <f>JAN!M55+JAN!AD55+FEV!AD55+FEV!M55+MAR!AD55+MAR!M55+ABR!AD55+ABR!M55+MAI!N55+JUN!N55+JUL!N55+AGO!N55+SET!N55+OUT!N55+NOV!N55+DEZ!N55</f>
        <v>0</v>
      </c>
      <c r="N53" s="24">
        <f>JAN!N55+JAN!AE55+FEV!AE55+FEV!N55+MAR!AE55+MAR!N55+ABR!AE55+ABR!N55+MAI!O55+JUN!O55+JUL!O55+AGO!O55+SET!O55+OUT!O55+NOV!O55+DEZ!O55</f>
        <v>456.18999999999994</v>
      </c>
      <c r="O53" s="24">
        <f>JUL!P90+AGO!P55+SET!P55+OUT!P55+NOV!P55+DEZ!P55</f>
        <v>0</v>
      </c>
      <c r="P53" s="24">
        <f>JAN!AF55+FEV!AF55+MAR!AF55+ABR!AG55+MAI!Q55+JUN!Q55+JUL!Q55+AGO!Q55+SET!Q55+OUT!Q55+NOV!Q55+DEZ!Q55</f>
        <v>0</v>
      </c>
      <c r="Q53" s="24">
        <f>JAN!AG55+FEV!AG55+MAR!AG55+ABR!AH55+MAI!R55+JUN!R55+JUL!R55+AGO!R55+SET!R55+OUT!R55+NOV!R55+DEZ!R55</f>
        <v>0</v>
      </c>
      <c r="R53" s="4">
        <f t="shared" si="4"/>
        <v>2762100.8899999997</v>
      </c>
      <c r="S53" s="1111">
        <f t="shared" si="5"/>
        <v>0.19999999999999996</v>
      </c>
      <c r="T53" s="1093">
        <f t="shared" si="6"/>
        <v>115491.91600000001</v>
      </c>
    </row>
    <row r="54" spans="1:20">
      <c r="A54" s="1" t="s">
        <v>16</v>
      </c>
      <c r="B54" s="24">
        <f>JAN!B56+JAN!S56+FEV!S56+FEV!B56+MAR!S56+MAR!B56+ABR!S56+ABR!B56+MAI!C56+JUN!C56+JUL!C56+AGO!C56+SET!C56+OUT!C56+NOV!C56+DEZ!C56</f>
        <v>266505.95399999997</v>
      </c>
      <c r="C54" s="24">
        <f>JAN!C56+JAN!T56+FEV!T56+FEV!C56+MAR!T56+MAR!C56+ABR!T56+ABR!C56+MAI!D56+JUN!D56+JUL!D56+AGO!D56+SET!D56+OUT!D56+NOV!D56+DEZ!D56</f>
        <v>90624.032000000007</v>
      </c>
      <c r="D54" s="24">
        <f>JAN!D56+JAN!U56+FEV!U56+FEV!D56+MAR!U56+MAR!D56+ABR!U56+ABR!D56+MAI!E56+JUN!E56+JUL!E56+AGO!E56+SET!E56+OUT!E56+NOV!E56+DEZ!E56</f>
        <v>28358.642</v>
      </c>
      <c r="E54" s="24">
        <f>JAN!E56+JAN!V56+FEV!V56+FEV!E56+MAR!V56+MAR!E56+ABR!V56+ABR!E56+MAI!F56+JUN!F56+JUL!F56+AGO!F56+SET!F56+OUT!F56+NOV!F56+DEZ!F56</f>
        <v>7756.6280000000006</v>
      </c>
      <c r="F54" s="24">
        <f>JAN!F56+JAN!W56+FEV!W56+FEV!F56+MAR!W56+MAR!F56+ABR!W56+ABR!F56+MAI!G56+JUN!G56+JUL!G56+AGO!G56+SET!G56+OUT!G56+NOV!G56+DEZ!G56</f>
        <v>296134.636</v>
      </c>
      <c r="G54" s="24">
        <f>JAN!G56+JAN!X56+FEV!X56+FEV!G56+MAR!X56+MAR!G56+ABR!X56+ABR!G56+MAI!H56+JUN!H56+JUL!H56+AGO!H56+SET!H56+OUT!H56+NOV!H56+DEZ!H56</f>
        <v>8521.65</v>
      </c>
      <c r="H54" s="24">
        <f>JAN!H56+JAN!Y56+FEV!H56+FEV!Y56+MAR!H56+MAR!Y56+ABR!Y56+ABR!H56+MAI!I56+JUN!I56+JUL!I56+AGO!I56+SET!I56+OUT!I56+NOV!I56+DEZ!I56</f>
        <v>13410.794000000002</v>
      </c>
      <c r="I54" s="24">
        <f>JAN!I56+JAN!Z56+FEV!Z56+FEV!I56+MAR!Z56+MAR!I56+ABR!Z56+ABR!I56+MAI!J56+JUN!J56+JUL!J56+AGO!J56+SET!J56+OUT!J56+NOV!J56+DEZ!J56</f>
        <v>854.18399999999997</v>
      </c>
      <c r="J54" s="24">
        <f>JAN!J56+JAN!AA56+FEV!AA56+FEV!J56+MAR!AA56+MAR!J56+ABR!AA56+ABR!J56+MAI!K56+JUN!K56+JUL!K56+AGO!K56+SET!K56+OUT!K56+NOV!K56+DEZ!K56</f>
        <v>15586.310000000001</v>
      </c>
      <c r="K54" s="24">
        <f>JAN!K56+JAN!AB56+FEV!AB56+FEV!K56+MAR!AB56+MAR!K56+ABR!AB56+ABR!K56+MAI!L56+JUN!L56+JUL!L56+AGO!L56+SET!L56+OUT!L56+NOV!L56+DEZ!L56</f>
        <v>1253.76</v>
      </c>
      <c r="L54" s="24">
        <f>JAN!L56+JAN!AC56+FEV!AC56+FEV!L56+MAR!AC56+MAR!L56+ABR!AC56+ABR!L56+MAI!M56+JUN!M56+JUL!M56+AGO!M56+SET!M56+OUT!M56+NOV!M56+DEZ!M56</f>
        <v>0</v>
      </c>
      <c r="M54" s="24">
        <f>JAN!M56+JAN!AD56+FEV!AD56+FEV!M56+MAR!AD56+MAR!M56+ABR!AD56+ABR!M56+MAI!N56+JUN!N56+JUL!N56+AGO!N56+SET!N56+OUT!N56+NOV!N56+DEZ!N56</f>
        <v>0</v>
      </c>
      <c r="N54" s="24">
        <f>JAN!N56+JAN!AE56+FEV!AE56+FEV!N56+MAR!AE56+MAR!N56+ABR!AE56+ABR!N56+MAI!O56+JUN!O56+JUL!O56+AGO!O56+SET!O56+OUT!O56+NOV!O56+DEZ!O56</f>
        <v>234.08799999999997</v>
      </c>
      <c r="O54" s="24">
        <f>JUL!P91+AGO!P56+SET!P56+OUT!P56+NOV!P56+DEZ!P56</f>
        <v>0</v>
      </c>
      <c r="P54" s="24">
        <f>JAN!AF56+FEV!AF56+MAR!AF56+ABR!AG56+MAI!Q56+JUN!Q56+JUL!Q56+AGO!Q56+SET!Q56+OUT!Q56+NOV!Q56+DEZ!Q56</f>
        <v>0</v>
      </c>
      <c r="Q54" s="24">
        <f>JAN!AG56+FEV!AG56+MAR!AG56+ABR!AH56+MAI!R56+JUN!R56+JUL!R56+AGO!R56+SET!R56+OUT!R56+NOV!R56+DEZ!R56</f>
        <v>0</v>
      </c>
      <c r="R54" s="4">
        <f t="shared" si="4"/>
        <v>729240.67800000007</v>
      </c>
      <c r="S54" s="1111">
        <f t="shared" si="5"/>
        <v>0.20000000000000007</v>
      </c>
      <c r="T54" s="1093">
        <f t="shared" si="6"/>
        <v>39860.786000000015</v>
      </c>
    </row>
    <row r="55" spans="1:20">
      <c r="A55" s="1" t="s">
        <v>17</v>
      </c>
      <c r="B55" s="24">
        <f>JAN!B57+JAN!S57+FEV!S57+FEV!B57+MAR!S57+MAR!B57+ABR!S57+ABR!B57+MAI!C57+JUN!C57+JUL!C57+AGO!C57+SET!C57+OUT!C57+NOV!C57+DEZ!C57</f>
        <v>73673.923999999999</v>
      </c>
      <c r="C55" s="24">
        <f>JAN!C57+JAN!T57+FEV!T57+FEV!C57+MAR!T57+MAR!C57+ABR!T57+ABR!C57+MAI!D57+JUN!D57+JUL!D57+AGO!D57+SET!D57+OUT!D57+NOV!D57+DEZ!D57</f>
        <v>20535.700000000004</v>
      </c>
      <c r="D55" s="24">
        <f>JAN!D57+JAN!U57+FEV!U57+FEV!D57+MAR!U57+MAR!D57+ABR!U57+ABR!D57+MAI!E57+JUN!E57+JUL!E57+AGO!E57+SET!E57+OUT!E57+NOV!E57+DEZ!E57</f>
        <v>10517.79</v>
      </c>
      <c r="E55" s="24">
        <f>JAN!E57+JAN!V57+FEV!V57+FEV!E57+MAR!V57+MAR!E57+ABR!V57+ABR!E57+MAI!F57+JUN!F57+JUL!F57+AGO!F57+SET!F57+OUT!F57+NOV!F57+DEZ!F57</f>
        <v>3022.0100000000011</v>
      </c>
      <c r="F55" s="24">
        <f>JAN!F57+JAN!W57+FEV!W57+FEV!F57+MAR!W57+MAR!F57+ABR!W57+ABR!F57+MAI!G57+JUN!G57+JUL!G57+AGO!G57+SET!G57+OUT!G57+NOV!G57+DEZ!G57</f>
        <v>87247.022000000012</v>
      </c>
      <c r="G55" s="24">
        <f>JAN!G57+JAN!X57+FEV!X57+FEV!G57+MAR!X57+MAR!G57+ABR!X57+ABR!G57+MAI!H57+JUN!H57+JUL!H57+AGO!H57+SET!H57+OUT!H57+NOV!H57+DEZ!H57</f>
        <v>3015.3300000000004</v>
      </c>
      <c r="H55" s="24">
        <f>JAN!H57+JAN!Y57+FEV!H57+FEV!Y57+MAR!H57+MAR!Y57+ABR!Y57+ABR!H57+MAI!I57+JUN!I57+JUL!I57+AGO!I57+SET!I57+OUT!I57+NOV!I57+DEZ!I57</f>
        <v>2977.2359999999999</v>
      </c>
      <c r="I55" s="24">
        <f>JAN!I57+JAN!Z57+FEV!Z57+FEV!I57+MAR!Z57+MAR!I57+ABR!Z57+ABR!I57+MAI!J57+JUN!J57+JUL!J57+AGO!J57+SET!J57+OUT!J57+NOV!J57+DEZ!J57</f>
        <v>515.89800000000002</v>
      </c>
      <c r="J55" s="24">
        <f>JAN!J57+JAN!AA57+FEV!AA57+FEV!J57+MAR!AA57+MAR!J57+ABR!AA57+ABR!J57+MAI!K57+JUN!K57+JUL!K57+AGO!K57+SET!K57+OUT!K57+NOV!K57+DEZ!K57</f>
        <v>4053.7440000000011</v>
      </c>
      <c r="K55" s="24">
        <f>JAN!K57+JAN!AB57+FEV!AB57+FEV!K57+MAR!AB57+MAR!K57+ABR!AB57+ABR!K57+MAI!L57+JUN!L57+JUL!L57+AGO!L57+SET!L57+OUT!L57+NOV!L57+DEZ!L57</f>
        <v>58.77000000000001</v>
      </c>
      <c r="L55" s="24">
        <f>JAN!L57+JAN!AC57+FEV!AC57+FEV!L57+MAR!AC57+MAR!L57+ABR!AC57+ABR!L57+MAI!M57+JUN!M57+JUL!M57+AGO!M57+SET!M57+OUT!M57+NOV!M57+DEZ!M57</f>
        <v>78.360000000000014</v>
      </c>
      <c r="M55" s="24">
        <f>JAN!M57+JAN!AD57+FEV!AD57+FEV!M57+MAR!AD57+MAR!M57+ABR!AD57+ABR!M57+MAI!N57+JUN!N57+JUL!N57+AGO!N57+SET!N57+OUT!N57+NOV!N57+DEZ!N57</f>
        <v>0</v>
      </c>
      <c r="N55" s="24">
        <f>JAN!N57+JAN!AE57+FEV!AE57+FEV!N57+MAR!AE57+MAR!N57+ABR!AE57+ABR!N57+MAI!O57+JUN!O57+JUL!O57+AGO!O57+SET!O57+OUT!O57+NOV!O57+DEZ!O57</f>
        <v>28.384</v>
      </c>
      <c r="O55" s="24">
        <f>JUL!P92+AGO!P57+SET!P57+OUT!P57+NOV!P57+DEZ!P57</f>
        <v>0</v>
      </c>
      <c r="P55" s="24">
        <f>JAN!AF57+FEV!AF57+MAR!AF57+ABR!AG57+MAI!Q57+JUN!Q57+JUL!Q57+AGO!Q57+SET!Q57+OUT!Q57+NOV!Q57+DEZ!Q57</f>
        <v>0</v>
      </c>
      <c r="Q55" s="24">
        <f>JAN!AG57+FEV!AG57+MAR!AG57+ABR!AH57+MAI!R57+JUN!R57+JUL!R57+AGO!R57+SET!R57+OUT!R57+NOV!R57+DEZ!R57</f>
        <v>0</v>
      </c>
      <c r="R55" s="4">
        <f t="shared" si="4"/>
        <v>205724.16799999998</v>
      </c>
      <c r="S55" s="1111">
        <f t="shared" si="5"/>
        <v>0.19999999999999996</v>
      </c>
      <c r="T55" s="1093">
        <f t="shared" si="6"/>
        <v>10727.722000000003</v>
      </c>
    </row>
    <row r="56" spans="1:20">
      <c r="A56" s="1" t="s">
        <v>18</v>
      </c>
      <c r="B56" s="24">
        <f>JAN!B58+JAN!S58+FEV!S58+FEV!B58+MAR!S58+MAR!B58+ABR!S58+ABR!B58+MAI!C58+JUN!C58+JUL!C58+AGO!C58+SET!C58+OUT!C58+NOV!C58+DEZ!C58</f>
        <v>988147.01600000006</v>
      </c>
      <c r="C56" s="24">
        <f>JAN!C58+JAN!T58+FEV!T58+FEV!C58+MAR!T58+MAR!C58+ABR!T58+ABR!C58+MAI!D58+JUN!D58+JUL!D58+AGO!D58+SET!D58+OUT!D58+NOV!D58+DEZ!D58</f>
        <v>247851.32200000001</v>
      </c>
      <c r="D56" s="24">
        <f>JAN!D58+JAN!U58+FEV!U58+FEV!D58+MAR!U58+MAR!D58+ABR!U58+ABR!D58+MAI!E58+JUN!E58+JUL!E58+AGO!E58+SET!E58+OUT!E58+NOV!E58+DEZ!E58</f>
        <v>142283.57399999996</v>
      </c>
      <c r="E56" s="24">
        <f>JAN!E58+JAN!V58+FEV!V58+FEV!E58+MAR!V58+MAR!E58+ABR!V58+ABR!E58+MAI!F58+JUN!F58+JUL!F58+AGO!F58+SET!F58+OUT!F58+NOV!F58+DEZ!F58</f>
        <v>30972.06</v>
      </c>
      <c r="F56" s="24">
        <f>JAN!F58+JAN!W58+FEV!W58+FEV!F58+MAR!W58+MAR!F58+ABR!W58+ABR!F58+MAI!G58+JUN!G58+JUL!G58+AGO!G58+SET!G58+OUT!G58+NOV!G58+DEZ!G58</f>
        <v>953113.76800000016</v>
      </c>
      <c r="G56" s="24">
        <f>JAN!G58+JAN!X58+FEV!X58+FEV!G58+MAR!X58+MAR!G58+ABR!X58+ABR!G58+MAI!H58+JUN!H58+JUL!H58+AGO!H58+SET!H58+OUT!H58+NOV!H58+DEZ!H58</f>
        <v>30936.085999999999</v>
      </c>
      <c r="H56" s="24">
        <f>JAN!H58+JAN!Y58+FEV!H58+FEV!Y58+MAR!H58+MAR!Y58+ABR!Y58+ABR!H58+MAI!I58+JUN!I58+JUL!I58+AGO!I58+SET!I58+OUT!I58+NOV!I58+DEZ!I58</f>
        <v>54603.115999999995</v>
      </c>
      <c r="I56" s="24">
        <f>JAN!I58+JAN!Z58+FEV!Z58+FEV!I58+MAR!Z58+MAR!I58+ABR!Z58+ABR!I58+MAI!J58+JUN!J58+JUL!J58+AGO!J58+SET!J58+OUT!J58+NOV!J58+DEZ!J58</f>
        <v>2869.6020000000003</v>
      </c>
      <c r="J56" s="24">
        <f>JAN!J58+JAN!AA58+FEV!AA58+FEV!J58+MAR!AA58+MAR!J58+ABR!AA58+ABR!J58+MAI!K58+JUN!K58+JUL!K58+AGO!K58+SET!K58+OUT!K58+NOV!K58+DEZ!K58</f>
        <v>35897.75</v>
      </c>
      <c r="K56" s="24">
        <f>JAN!K58+JAN!AB58+FEV!AB58+FEV!K58+MAR!AB58+MAR!K58+ABR!AB58+ABR!K58+MAI!L58+JUN!L58+JUL!L58+AGO!L58+SET!L58+OUT!L58+NOV!L58+DEZ!L58</f>
        <v>3702.51</v>
      </c>
      <c r="L56" s="24">
        <f>JAN!L58+JAN!AC58+FEV!AC58+FEV!L58+MAR!AC58+MAR!L58+ABR!AC58+ABR!L58+MAI!M58+JUN!M58+JUL!M58+AGO!M58+SET!M58+OUT!M58+NOV!M58+DEZ!M58</f>
        <v>430.98000000000008</v>
      </c>
      <c r="M56" s="24">
        <f>JAN!M58+JAN!AD58+FEV!AD58+FEV!M58+MAR!AD58+MAR!M58+ABR!AD58+ABR!M58+MAI!N58+JUN!N58+JUL!N58+AGO!N58+SET!N58+OUT!N58+NOV!N58+DEZ!N58</f>
        <v>0</v>
      </c>
      <c r="N56" s="24">
        <f>JAN!N58+JAN!AE58+FEV!AE58+FEV!N58+MAR!AE58+MAR!N58+ABR!AE58+ABR!N58+MAI!O58+JUN!O58+JUL!O58+AGO!O58+SET!O58+OUT!O58+NOV!O58+DEZ!O58</f>
        <v>1242.6760000000002</v>
      </c>
      <c r="O56" s="24">
        <f>JUL!P93+AGO!P58+SET!P58+OUT!P58+NOV!P58+DEZ!P58</f>
        <v>0</v>
      </c>
      <c r="P56" s="24">
        <f>JAN!AF58+FEV!AF58+MAR!AF58+ABR!AG58+MAI!Q58+JUN!Q58+JUL!Q58+AGO!Q58+SET!Q58+OUT!Q58+NOV!Q58+DEZ!Q58</f>
        <v>0</v>
      </c>
      <c r="Q56" s="24">
        <f>JAN!AG58+FEV!AG58+MAR!AG58+ABR!AH58+MAI!R58+JUN!R58+JUL!R58+AGO!R58+SET!R58+OUT!R58+NOV!R58+DEZ!R58</f>
        <v>0</v>
      </c>
      <c r="R56" s="4">
        <f t="shared" si="4"/>
        <v>2492050.46</v>
      </c>
      <c r="S56" s="1111">
        <f t="shared" si="5"/>
        <v>0.19999999999999996</v>
      </c>
      <c r="T56" s="1093">
        <f t="shared" si="6"/>
        <v>129682.71999999999</v>
      </c>
    </row>
    <row r="57" spans="1:20">
      <c r="A57" s="1" t="s">
        <v>20</v>
      </c>
      <c r="B57" s="24">
        <f>JAN!B59+JAN!S59+FEV!S59+FEV!B59+MAR!S59+MAR!B59+ABR!S59+ABR!B59+MAI!C59+JUN!C59+JUL!C59+AGO!C59+SET!C59+OUT!C59+NOV!C59+DEZ!C59</f>
        <v>134515.23799999998</v>
      </c>
      <c r="C57" s="24">
        <f>JAN!C59+JAN!T59+FEV!T59+FEV!C59+MAR!T59+MAR!C59+ABR!T59+ABR!C59+MAI!D59+JUN!D59+JUL!D59+AGO!D59+SET!D59+OUT!D59+NOV!D59+DEZ!D59</f>
        <v>62425.026000000013</v>
      </c>
      <c r="D57" s="24">
        <f>JAN!D59+JAN!U59+FEV!U59+FEV!D59+MAR!U59+MAR!D59+ABR!U59+ABR!D59+MAI!E59+JUN!E59+JUL!E59+AGO!E59+SET!E59+OUT!E59+NOV!E59+DEZ!E59</f>
        <v>10084.904</v>
      </c>
      <c r="E57" s="24">
        <f>JAN!E59+JAN!V59+FEV!V59+FEV!E59+MAR!V59+MAR!E59+ABR!V59+ABR!E59+MAI!F59+JUN!F59+JUL!F59+AGO!F59+SET!F59+OUT!F59+NOV!F59+DEZ!F59</f>
        <v>2735.3580000000002</v>
      </c>
      <c r="F57" s="24">
        <f>JAN!F59+JAN!W59+FEV!W59+FEV!F59+MAR!W59+MAR!F59+ABR!W59+ABR!F59+MAI!G59+JUN!G59+JUL!G59+AGO!G59+SET!G59+OUT!G59+NOV!G59+DEZ!G59</f>
        <v>157263.86600000001</v>
      </c>
      <c r="G57" s="24">
        <f>JAN!G59+JAN!X59+FEV!X59+FEV!G59+MAR!X59+MAR!G59+ABR!X59+ABR!G59+MAI!H59+JUN!H59+JUL!H59+AGO!H59+SET!H59+OUT!H59+NOV!H59+DEZ!H59</f>
        <v>3837.7260000000001</v>
      </c>
      <c r="H57" s="24">
        <f>JAN!H59+JAN!Y59+FEV!H59+FEV!Y59+MAR!H59+MAR!Y59+ABR!Y59+ABR!H59+MAI!I59+JUN!I59+JUL!I59+AGO!I59+SET!I59+OUT!I59+NOV!I59+DEZ!I59</f>
        <v>10353.183999999999</v>
      </c>
      <c r="I57" s="24">
        <f>JAN!I59+JAN!Z59+FEV!Z59+FEV!I59+MAR!Z59+MAR!I59+ABR!Z59+ABR!I59+MAI!J59+JUN!J59+JUL!J59+AGO!J59+SET!J59+OUT!J59+NOV!J59+DEZ!J59</f>
        <v>798.83400000000006</v>
      </c>
      <c r="J57" s="24">
        <f>JAN!J59+JAN!AA59+FEV!AA59+FEV!J59+MAR!AA59+MAR!J59+ABR!AA59+ABR!J59+MAI!K59+JUN!K59+JUL!K59+AGO!K59+SET!K59+OUT!K59+NOV!K59+DEZ!K59</f>
        <v>7217.170000000001</v>
      </c>
      <c r="K57" s="24">
        <f>JAN!K59+JAN!AB59+FEV!AB59+FEV!K59+MAR!AB59+MAR!K59+ABR!AB59+ABR!K59+MAI!L59+JUN!L59+JUL!L59+AGO!L59+SET!L59+OUT!L59+NOV!L59+DEZ!L59</f>
        <v>195.90000000000003</v>
      </c>
      <c r="L57" s="24">
        <f>JAN!L59+JAN!AC59+FEV!AC59+FEV!L59+MAR!AC59+MAR!L59+ABR!AC59+ABR!L59+MAI!M59+JUN!M59+JUL!M59+AGO!M59+SET!M59+OUT!M59+NOV!M59+DEZ!M59</f>
        <v>0</v>
      </c>
      <c r="M57" s="24">
        <f>JAN!M59+JAN!AD59+FEV!AD59+FEV!M59+MAR!AD59+MAR!M59+ABR!AD59+ABR!M59+MAI!N59+JUN!N59+JUL!N59+AGO!N59+SET!N59+OUT!N59+NOV!N59+DEZ!N59</f>
        <v>0</v>
      </c>
      <c r="N57" s="24">
        <f>JAN!N59+JAN!AE59+FEV!AE59+FEV!N59+MAR!AE59+MAR!N59+ABR!AE59+ABR!N59+MAI!O59+JUN!O59+JUL!O59+AGO!O59+SET!O59+OUT!O59+NOV!O59+DEZ!O59</f>
        <v>119.62199999999999</v>
      </c>
      <c r="O57" s="24">
        <f>JUL!P94+AGO!P59+SET!P59+OUT!P59+NOV!P59+DEZ!P59</f>
        <v>9.5239999999999991</v>
      </c>
      <c r="P57" s="24">
        <f>JAN!AF59+FEV!AF59+MAR!AF59+ABR!AG59+MAI!Q59+JUN!Q59+JUL!Q59+AGO!Q59+SET!Q59+OUT!Q59+NOV!Q59+DEZ!Q59</f>
        <v>0</v>
      </c>
      <c r="Q57" s="24">
        <f>JAN!AG59+FEV!AG59+MAR!AG59+ABR!AH59+MAI!R59+JUN!R59+JUL!R59+AGO!R59+SET!R59+OUT!R59+NOV!R59+DEZ!R59</f>
        <v>0</v>
      </c>
      <c r="R57" s="4">
        <f t="shared" si="4"/>
        <v>389556.35199999996</v>
      </c>
      <c r="S57" s="1111">
        <f t="shared" si="5"/>
        <v>0.19999999999999996</v>
      </c>
      <c r="T57" s="1093">
        <f t="shared" si="6"/>
        <v>22531.960000000003</v>
      </c>
    </row>
    <row r="58" spans="1:20">
      <c r="A58" s="1" t="s">
        <v>19</v>
      </c>
      <c r="B58" s="24">
        <f>JAN!B60+JAN!S60+FEV!S60+FEV!B60+MAR!S60+MAR!B60+ABR!S60+ABR!B60+MAI!C60+JUN!C60+JUL!C60+AGO!C60+SET!C60+OUT!C60+NOV!C60+DEZ!C60</f>
        <v>990880.00400000019</v>
      </c>
      <c r="C58" s="24">
        <f>JAN!C60+JAN!T60+FEV!T60+FEV!C60+MAR!T60+MAR!C60+ABR!T60+ABR!C60+MAI!D60+JUN!D60+JUL!D60+AGO!D60+SET!D60+OUT!D60+NOV!D60+DEZ!D60</f>
        <v>243476.772</v>
      </c>
      <c r="D58" s="24">
        <f>JAN!D60+JAN!U60+FEV!U60+FEV!D60+MAR!U60+MAR!D60+ABR!U60+ABR!D60+MAI!E60+JUN!E60+JUL!E60+AGO!E60+SET!E60+OUT!E60+NOV!E60+DEZ!E60</f>
        <v>139067.43799999999</v>
      </c>
      <c r="E58" s="24">
        <f>JAN!E60+JAN!V60+FEV!V60+FEV!E60+MAR!V60+MAR!E60+ABR!V60+ABR!E60+MAI!F60+JUN!F60+JUL!F60+AGO!F60+SET!F60+OUT!F60+NOV!F60+DEZ!F60</f>
        <v>44039.212000000007</v>
      </c>
      <c r="F58" s="24">
        <f>JAN!F60+JAN!W60+FEV!W60+FEV!F60+MAR!W60+MAR!F60+ABR!W60+ABR!F60+MAI!G60+JUN!G60+JUL!G60+AGO!G60+SET!G60+OUT!G60+NOV!G60+DEZ!G60</f>
        <v>1678941.9579999999</v>
      </c>
      <c r="G58" s="24">
        <f>JAN!G60+JAN!X60+FEV!X60+FEV!G60+MAR!X60+MAR!G60+ABR!X60+ABR!G60+MAI!H60+JUN!H60+JUL!H60+AGO!H60+SET!H60+OUT!H60+NOV!H60+DEZ!H60</f>
        <v>15550.632</v>
      </c>
      <c r="H58" s="24">
        <f>JAN!H60+JAN!Y60+FEV!H60+FEV!Y60+MAR!H60+MAR!Y60+ABR!Y60+ABR!H60+MAI!I60+JUN!I60+JUL!I60+AGO!I60+SET!I60+OUT!I60+NOV!I60+DEZ!I60</f>
        <v>43090.616000000002</v>
      </c>
      <c r="I58" s="24">
        <f>JAN!I60+JAN!Z60+FEV!Z60+FEV!I60+MAR!Z60+MAR!I60+ABR!Z60+ABR!I60+MAI!J60+JUN!J60+JUL!J60+AGO!J60+SET!J60+OUT!J60+NOV!J60+DEZ!J60</f>
        <v>3104.4100000000003</v>
      </c>
      <c r="J58" s="24">
        <f>JAN!J60+JAN!AA60+FEV!AA60+FEV!J60+MAR!AA60+MAR!J60+ABR!AA60+ABR!J60+MAI!K60+JUN!K60+JUL!K60+AGO!K60+SET!K60+OUT!K60+NOV!K60+DEZ!K60</f>
        <v>38381.980000000003</v>
      </c>
      <c r="K58" s="24">
        <f>JAN!K60+JAN!AB60+FEV!AB60+FEV!K60+MAR!AB60+MAR!K60+ABR!AB60+ABR!K60+MAI!L60+JUN!L60+JUL!L60+AGO!L60+SET!L60+OUT!L60+NOV!L60+DEZ!L60</f>
        <v>6014.13</v>
      </c>
      <c r="L58" s="24">
        <f>JAN!L60+JAN!AC60+FEV!AC60+FEV!L60+MAR!AC60+MAR!L60+ABR!AC60+ABR!L60+MAI!M60+JUN!M60+JUL!M60+AGO!M60+SET!M60+OUT!M60+NOV!M60+DEZ!M60</f>
        <v>391.80000000000007</v>
      </c>
      <c r="M58" s="24">
        <f>JAN!M60+JAN!AD60+FEV!AD60+FEV!M60+MAR!AD60+MAR!M60+ABR!AD60+ABR!M60+MAI!N60+JUN!N60+JUL!N60+AGO!N60+SET!N60+OUT!N60+NOV!N60+DEZ!N60</f>
        <v>614.93600000000004</v>
      </c>
      <c r="N58" s="24">
        <f>JAN!N60+JAN!AE60+FEV!AE60+FEV!N60+MAR!AE60+MAR!N60+ABR!AE60+ABR!N60+MAI!O60+JUN!O60+JUL!O60+AGO!O60+SET!O60+OUT!O60+NOV!O60+DEZ!O60</f>
        <v>484.94599999999991</v>
      </c>
      <c r="O58" s="24">
        <f>JUL!P95+AGO!P60+SET!P60+OUT!P60+NOV!P60+DEZ!P60</f>
        <v>0</v>
      </c>
      <c r="P58" s="24">
        <f>JAN!AF60+FEV!AF60+MAR!AF60+ABR!AG60+MAI!Q60+JUN!Q60+JUL!Q60+AGO!Q60+SET!Q60+OUT!Q60+NOV!Q60+DEZ!Q60</f>
        <v>0</v>
      </c>
      <c r="Q58" s="24">
        <f>JAN!AG60+FEV!AG60+MAR!AG60+ABR!AH60+MAI!R60+JUN!R60+JUL!R60+AGO!R60+SET!R60+OUT!R60+NOV!R60+DEZ!R60</f>
        <v>0</v>
      </c>
      <c r="R58" s="4">
        <f t="shared" si="4"/>
        <v>3204038.8340000003</v>
      </c>
      <c r="S58" s="1111">
        <f t="shared" si="5"/>
        <v>0.2</v>
      </c>
      <c r="T58" s="1093">
        <f t="shared" si="6"/>
        <v>107633.45000000001</v>
      </c>
    </row>
    <row r="59" spans="1:20">
      <c r="A59" s="16" t="s">
        <v>21</v>
      </c>
      <c r="B59" s="24">
        <f>JAN!B61+JAN!S61+FEV!S61+FEV!B61+MAR!S61+MAR!B61+ABR!S61+ABR!B61+MAI!C61+JUN!C61+JUL!C61+AGO!C61+SET!C61+OUT!C61+NOV!C61+DEZ!C61</f>
        <v>62864.254000000008</v>
      </c>
      <c r="C59" s="24">
        <f>JAN!C61+JAN!T61+FEV!T61+FEV!C61+MAR!T61+MAR!C61+ABR!T61+ABR!C61+MAI!D61+JUN!D61+JUL!D61+AGO!D61+SET!D61+OUT!D61+NOV!D61+DEZ!D61</f>
        <v>18091.552000000003</v>
      </c>
      <c r="D59" s="24">
        <f>JAN!D61+JAN!U61+FEV!U61+FEV!D61+MAR!U61+MAR!D61+ABR!U61+ABR!D61+MAI!E61+JUN!E61+JUL!E61+AGO!E61+SET!E61+OUT!E61+NOV!E61+DEZ!E61</f>
        <v>7424.8460000000014</v>
      </c>
      <c r="E59" s="24">
        <f>JAN!E61+JAN!V61+FEV!V61+FEV!E61+MAR!V61+MAR!E61+ABR!V61+ABR!E61+MAI!F61+JUN!F61+JUL!F61+AGO!F61+SET!F61+OUT!F61+NOV!F61+DEZ!F61</f>
        <v>3043.9719999999998</v>
      </c>
      <c r="F59" s="24">
        <f>JAN!F61+JAN!W61+FEV!W61+FEV!F61+MAR!W61+MAR!F61+ABR!W61+ABR!F61+MAI!G61+JUN!G61+JUL!G61+AGO!G61+SET!G61+OUT!G61+NOV!G61+DEZ!G61</f>
        <v>185442.58000000002</v>
      </c>
      <c r="G59" s="24">
        <f>JAN!G61+JAN!X61+FEV!X61+FEV!G61+MAR!X61+MAR!G61+ABR!X61+ABR!G61+MAI!H61+JUN!H61+JUL!H61+AGO!H61+SET!H61+OUT!H61+NOV!H61+DEZ!H61</f>
        <v>3056.04</v>
      </c>
      <c r="H59" s="24">
        <f>JAN!H61+JAN!Y61+FEV!H61+FEV!Y61+MAR!H61+MAR!Y61+ABR!Y61+ABR!H61+MAI!I61+JUN!I61+JUL!I61+AGO!I61+SET!I61+OUT!I61+NOV!I61+DEZ!I61</f>
        <v>2366.6620000000003</v>
      </c>
      <c r="I59" s="24">
        <f>JAN!I61+JAN!Z61+FEV!Z61+FEV!I61+MAR!Z61+MAR!I61+ABR!Z61+ABR!I61+MAI!J61+JUN!J61+JUL!J61+AGO!J61+SET!J61+OUT!J61+NOV!J61+DEZ!J61</f>
        <v>0</v>
      </c>
      <c r="J59" s="24">
        <f>JAN!J61+JAN!AA61+FEV!AA61+FEV!J61+MAR!AA61+MAR!J61+ABR!AA61+ABR!J61+MAI!K61+JUN!K61+JUL!K61+AGO!K61+SET!K61+OUT!K61+NOV!K61+DEZ!K61</f>
        <v>3222.5439999999999</v>
      </c>
      <c r="K59" s="24">
        <f>JAN!K61+JAN!AB61+FEV!AB61+FEV!K61+MAR!AB61+MAR!K61+ABR!AB61+ABR!K61+MAI!L61+JUN!L61+JUL!L61+AGO!L61+SET!L61+OUT!L61+NOV!L61+DEZ!L61</f>
        <v>666.06000000000006</v>
      </c>
      <c r="L59" s="24">
        <f>JAN!L61+JAN!AC61+FEV!AC61+FEV!L61+MAR!AC61+MAR!L61+ABR!AC61+ABR!L61+MAI!M61+JUN!M61+JUL!M61+AGO!M61+SET!M61+OUT!M61+NOV!M61+DEZ!M61</f>
        <v>0</v>
      </c>
      <c r="M59" s="24">
        <f>JAN!M61+JAN!AD61+FEV!AD61+FEV!M61+MAR!AD61+MAR!M61+ABR!AD61+ABR!M61+MAI!N61+JUN!N61+JUL!N61+AGO!N61+SET!N61+OUT!N61+NOV!N61+DEZ!N61</f>
        <v>0</v>
      </c>
      <c r="N59" s="24">
        <f>JAN!N61+JAN!AE61+FEV!AE61+FEV!N61+MAR!AE61+MAR!N61+ABR!AE61+ABR!N61+MAI!O61+JUN!O61+JUL!O61+AGO!O61+SET!O61+OUT!O61+NOV!O61+DEZ!O61</f>
        <v>34.283999999999999</v>
      </c>
      <c r="O59" s="24">
        <f>JUL!P96+AGO!P61+SET!P61+OUT!P61+NOV!P61+DEZ!P61</f>
        <v>0</v>
      </c>
      <c r="P59" s="24">
        <f>JAN!AF61+FEV!AF61+MAR!AF61+ABR!AG61+MAI!Q61+JUN!Q61+JUL!Q61+AGO!Q61+SET!Q61+OUT!Q61+NOV!Q61+DEZ!Q61</f>
        <v>119.76600000000001</v>
      </c>
      <c r="Q59" s="24">
        <f>JAN!AG61+FEV!AG61+MAR!AG61+ABR!AH61+MAI!R61+JUN!R61+JUL!R61+AGO!R61+SET!R61+OUT!R61+NOV!R61+DEZ!R61</f>
        <v>323.16800000000006</v>
      </c>
      <c r="R59" s="4">
        <f t="shared" si="4"/>
        <v>286655.728</v>
      </c>
      <c r="S59" s="1111">
        <f t="shared" si="5"/>
        <v>0.19999999999999998</v>
      </c>
      <c r="T59" s="1093">
        <f t="shared" si="6"/>
        <v>9788.5239999999976</v>
      </c>
    </row>
    <row r="60" spans="1:20">
      <c r="A60" s="2" t="s">
        <v>22</v>
      </c>
      <c r="B60" s="24">
        <f>JAN!B62+JAN!S62+FEV!S62+FEV!B62+MAR!S62+MAR!B62+ABR!S62+ABR!B62+MAI!C62+JUN!C62+JUL!C62+AGO!C62+SET!C62+OUT!C62+NOV!C62+DEZ!C62</f>
        <v>11248.925999999999</v>
      </c>
      <c r="C60" s="24">
        <f>JAN!C62+JAN!T62+FEV!T62+FEV!C62+MAR!T62+MAR!C62+ABR!T62+ABR!C62+MAI!D62+JUN!D62+JUL!D62+AGO!D62+SET!D62+OUT!D62+NOV!D62+DEZ!D62</f>
        <v>1491.7560000000001</v>
      </c>
      <c r="D60" s="24">
        <f>JAN!D62+JAN!U62+FEV!U62+FEV!D62+MAR!U62+MAR!D62+ABR!U62+ABR!D62+MAI!E62+JUN!E62+JUL!E62+AGO!E62+SET!E62+OUT!E62+NOV!E62+DEZ!E62</f>
        <v>1735.1880000000001</v>
      </c>
      <c r="E60" s="24">
        <f>JAN!E62+JAN!V62+FEV!V62+FEV!E62+MAR!V62+MAR!E62+ABR!V62+ABR!E62+MAI!F62+JUN!F62+JUL!F62+AGO!F62+SET!F62+OUT!F62+NOV!F62+DEZ!F62</f>
        <v>455.71000000000004</v>
      </c>
      <c r="F60" s="24">
        <f>JAN!F62+JAN!W62+FEV!W62+FEV!F62+MAR!W62+MAR!F62+ABR!W62+ABR!F62+MAI!G62+JUN!G62+JUL!G62+AGO!G62+SET!G62+OUT!G62+NOV!G62+DEZ!G62</f>
        <v>23699.434000000001</v>
      </c>
      <c r="G60" s="24">
        <f>JAN!G62+JAN!X62+FEV!X62+FEV!G62+MAR!X62+MAR!G62+ABR!X62+ABR!G62+MAI!H62+JUN!H62+JUL!H62+AGO!H62+SET!H62+OUT!H62+NOV!H62+DEZ!H62</f>
        <v>587.70000000000005</v>
      </c>
      <c r="H60" s="24">
        <f>JAN!H62+JAN!Y62+FEV!H62+FEV!Y62+MAR!H62+MAR!Y62+ABR!Y62+ABR!H62+MAI!I62+JUN!I62+JUL!I62+AGO!I62+SET!I62+OUT!I62+NOV!I62+DEZ!I62</f>
        <v>246.86</v>
      </c>
      <c r="I60" s="24">
        <f>JAN!I62+JAN!Z62+FEV!Z62+FEV!I62+MAR!Z62+MAR!I62+ABR!Z62+ABR!I62+MAI!J62+JUN!J62+JUL!J62+AGO!J62+SET!J62+OUT!J62+NOV!J62+DEZ!J62</f>
        <v>0</v>
      </c>
      <c r="J60" s="24">
        <f>JAN!J62+JAN!AA62+FEV!AA62+FEV!J62+MAR!AA62+MAR!J62+ABR!AA62+ABR!J62+MAI!K62+JUN!K62+JUL!K62+AGO!K62+SET!K62+OUT!K62+NOV!K62+DEZ!K62</f>
        <v>446.93599999999998</v>
      </c>
      <c r="K60" s="24">
        <f>JAN!K62+JAN!AB62+FEV!AB62+FEV!K62+MAR!AB62+MAR!K62+ABR!AB62+ABR!K62+MAI!L62+JUN!L62+JUL!L62+AGO!L62+SET!L62+OUT!L62+NOV!L62+DEZ!L62</f>
        <v>19.590000000000003</v>
      </c>
      <c r="L60" s="24">
        <f>JAN!L62+JAN!AC62+FEV!AC62+FEV!L62+MAR!AC62+MAR!L62+ABR!AC62+ABR!L62+MAI!M62+JUN!M62+JUL!M62+AGO!M62+SET!M62+OUT!M62+NOV!M62+DEZ!M62</f>
        <v>0</v>
      </c>
      <c r="M60" s="24">
        <f>JAN!M62+JAN!AD62+FEV!AD62+FEV!M62+MAR!AD62+MAR!M62+ABR!AD62+ABR!M62+MAI!N62+JUN!N62+JUL!N62+AGO!N62+SET!N62+OUT!N62+NOV!N62+DEZ!N62</f>
        <v>0</v>
      </c>
      <c r="N60" s="24">
        <f>JAN!N62+JAN!AE62+FEV!AE62+FEV!N62+MAR!AE62+MAR!N62+ABR!AE62+ABR!N62+MAI!O62+JUN!O62+JUL!O62+AGO!O62+SET!O62+OUT!O62+NOV!O62+DEZ!O62</f>
        <v>0</v>
      </c>
      <c r="O60" s="24">
        <f>JUL!P97+AGO!P62+SET!P62+OUT!P62+NOV!P62+DEZ!P62</f>
        <v>0</v>
      </c>
      <c r="P60" s="24">
        <f>JAN!AF62+FEV!AF62+MAR!AF62+ABR!AG62+MAI!Q62+JUN!Q62+JUL!Q62+AGO!Q62+SET!Q62+OUT!Q62+NOV!Q62+DEZ!Q62</f>
        <v>0</v>
      </c>
      <c r="Q60" s="24">
        <f>JAN!AG62+FEV!AG62+MAR!AG62+ABR!AH62+MAI!R62+JUN!R62+JUL!R62+AGO!R62+SET!R62+OUT!R62+NOV!R62+DEZ!R62</f>
        <v>0</v>
      </c>
      <c r="R60" s="4">
        <f t="shared" si="4"/>
        <v>39932.099999999991</v>
      </c>
      <c r="S60" s="1111">
        <f t="shared" si="5"/>
        <v>0.19999999999999996</v>
      </c>
      <c r="T60" s="1093">
        <f t="shared" si="6"/>
        <v>1301.086</v>
      </c>
    </row>
    <row r="61" spans="1:20">
      <c r="A61" s="1" t="s">
        <v>23</v>
      </c>
      <c r="B61" s="24">
        <f>JAN!B63+JAN!S63+FEV!S63+FEV!B63+MAR!S63+MAR!B63+ABR!S63+ABR!B63+MAI!C63+JUN!C63+JUL!C63+AGO!C63+SET!C63+OUT!C63+NOV!C63+DEZ!C63</f>
        <v>653568.95200000005</v>
      </c>
      <c r="C61" s="24">
        <f>JAN!C63+JAN!T63+FEV!T63+FEV!C63+MAR!T63+MAR!C63+ABR!T63+ABR!C63+MAI!D63+JUN!D63+JUL!D63+AGO!D63+SET!D63+OUT!D63+NOV!D63+DEZ!D63</f>
        <v>121097.86400000002</v>
      </c>
      <c r="D61" s="24">
        <f>JAN!D63+JAN!U63+FEV!U63+FEV!D63+MAR!U63+MAR!D63+ABR!U63+ABR!D63+MAI!E63+JUN!E63+JUL!E63+AGO!E63+SET!E63+OUT!E63+NOV!E63+DEZ!E63</f>
        <v>88160.688000000024</v>
      </c>
      <c r="E61" s="24">
        <f>JAN!E63+JAN!V63+FEV!V63+FEV!E63+MAR!V63+MAR!E63+ABR!V63+ABR!E63+MAI!F63+JUN!F63+JUL!F63+AGO!F63+SET!F63+OUT!F63+NOV!F63+DEZ!F63</f>
        <v>16489.723999999998</v>
      </c>
      <c r="F61" s="24">
        <f>JAN!F63+JAN!W63+FEV!W63+FEV!F63+MAR!W63+MAR!F63+ABR!W63+ABR!F63+MAI!G63+JUN!G63+JUL!G63+AGO!G63+SET!G63+OUT!G63+NOV!G63+DEZ!G63</f>
        <v>1073433.0220000001</v>
      </c>
      <c r="G61" s="24">
        <f>JAN!G63+JAN!X63+FEV!X63+FEV!G63+MAR!X63+MAR!G63+ABR!X63+ABR!G63+MAI!H63+JUN!H63+JUL!H63+AGO!H63+SET!H63+OUT!H63+NOV!H63+DEZ!H63</f>
        <v>12830.812000000002</v>
      </c>
      <c r="H61" s="24">
        <f>JAN!H63+JAN!Y63+FEV!H63+FEV!Y63+MAR!H63+MAR!Y63+ABR!Y63+ABR!H63+MAI!I63+JUN!I63+JUL!I63+AGO!I63+SET!I63+OUT!I63+NOV!I63+DEZ!I63</f>
        <v>21230.000000000004</v>
      </c>
      <c r="I61" s="24">
        <f>JAN!I63+JAN!Z63+FEV!Z63+FEV!I63+MAR!Z63+MAR!I63+ABR!Z63+ABR!I63+MAI!J63+JUN!J63+JUL!J63+AGO!J63+SET!J63+OUT!J63+NOV!J63+DEZ!J63</f>
        <v>533.78000000000009</v>
      </c>
      <c r="J61" s="24">
        <f>JAN!J63+JAN!AA63+FEV!AA63+FEV!J63+MAR!AA63+MAR!J63+ABR!AA63+ABR!J63+MAI!K63+JUN!K63+JUL!K63+AGO!K63+SET!K63+OUT!K63+NOV!K63+DEZ!K63</f>
        <v>19676.671999999999</v>
      </c>
      <c r="K61" s="24">
        <f>JAN!K63+JAN!AB63+FEV!AB63+FEV!K63+MAR!AB63+MAR!K63+ABR!AB63+ABR!K63+MAI!L63+JUN!L63+JUL!L63+AGO!L63+SET!L63+OUT!L63+NOV!L63+DEZ!L63</f>
        <v>2995.9940000000001</v>
      </c>
      <c r="L61" s="24">
        <f>JAN!L63+JAN!AC63+FEV!AC63+FEV!L63+MAR!AC63+MAR!L63+ABR!AC63+ABR!L63+MAI!M63+JUN!M63+JUL!M63+AGO!M63+SET!M63+OUT!M63+NOV!M63+DEZ!M63</f>
        <v>235.08000000000004</v>
      </c>
      <c r="M61" s="24">
        <f>JAN!M63+JAN!AD63+FEV!AD63+FEV!M63+MAR!AD63+MAR!M63+ABR!AD63+ABR!M63+MAI!N63+JUN!N63+JUL!N63+AGO!N63+SET!N63+OUT!N63+NOV!N63+DEZ!N63</f>
        <v>0</v>
      </c>
      <c r="N61" s="24">
        <f>JAN!N63+JAN!AE63+FEV!AE63+FEV!N63+MAR!AE63+MAR!N63+ABR!AE63+ABR!N63+MAI!O63+JUN!O63+JUL!O63+AGO!O63+SET!O63+OUT!O63+NOV!O63+DEZ!O63</f>
        <v>273.714</v>
      </c>
      <c r="O61" s="24">
        <f>JUL!P98+AGO!P63+SET!P63+OUT!P63+NOV!P63+DEZ!P63</f>
        <v>0</v>
      </c>
      <c r="P61" s="24">
        <f>JAN!AF63+FEV!AF63+MAR!AF63+ABR!AG63+MAI!Q63+JUN!Q63+JUL!Q63+AGO!Q63+SET!Q63+OUT!Q63+NOV!Q63+DEZ!Q63</f>
        <v>0</v>
      </c>
      <c r="Q61" s="24">
        <f>JAN!AG63+FEV!AG63+MAR!AG63+ABR!AH63+MAI!R63+JUN!R63+JUL!R63+AGO!R63+SET!R63+OUT!R63+NOV!R63+DEZ!R63</f>
        <v>0</v>
      </c>
      <c r="R61" s="4">
        <f t="shared" si="4"/>
        <v>2010526.3020000004</v>
      </c>
      <c r="S61" s="1111">
        <f t="shared" si="5"/>
        <v>0.2</v>
      </c>
      <c r="T61" s="1093">
        <f t="shared" si="6"/>
        <v>57776.052000000003</v>
      </c>
    </row>
    <row r="62" spans="1:20">
      <c r="A62" s="1" t="s">
        <v>25</v>
      </c>
      <c r="B62" s="24">
        <f>JAN!B64+JAN!S64+FEV!S64+FEV!B64+MAR!S64+MAR!B64+ABR!S64+ABR!B64+MAI!C64+JUN!C64+JUL!C64+AGO!C64+SET!C64+OUT!C64+NOV!C64+DEZ!C64</f>
        <v>3586701.5620000008</v>
      </c>
      <c r="C62" s="24">
        <f>JAN!C64+JAN!T64+FEV!T64+FEV!C64+MAR!T64+MAR!C64+ABR!T64+ABR!C64+MAI!D64+JUN!D64+JUL!D64+AGO!D64+SET!D64+OUT!D64+NOV!D64+DEZ!D64</f>
        <v>1084586.926</v>
      </c>
      <c r="D62" s="24">
        <f>JAN!D64+JAN!U64+FEV!U64+FEV!D64+MAR!U64+MAR!D64+ABR!U64+ABR!D64+MAI!E64+JUN!E64+JUL!E64+AGO!E64+SET!E64+OUT!E64+NOV!E64+DEZ!E64</f>
        <v>437733.38400000002</v>
      </c>
      <c r="E62" s="24">
        <f>JAN!E64+JAN!V64+FEV!V64+FEV!E64+MAR!V64+MAR!E64+ABR!V64+ABR!E64+MAI!F64+JUN!F64+JUL!F64+AGO!F64+SET!F64+OUT!F64+NOV!F64+DEZ!F64</f>
        <v>143682.39000000001</v>
      </c>
      <c r="F62" s="24">
        <f>JAN!F64+JAN!W64+FEV!W64+FEV!F64+MAR!W64+MAR!F64+ABR!W64+ABR!F64+MAI!G64+JUN!G64+JUL!G64+AGO!G64+SET!G64+OUT!G64+NOV!G64+DEZ!G64</f>
        <v>5743467.2080000006</v>
      </c>
      <c r="G62" s="24">
        <f>JAN!G64+JAN!X64+FEV!X64+FEV!G64+MAR!X64+MAR!G64+ABR!X64+ABR!G64+MAI!H64+JUN!H64+JUL!H64+AGO!H64+SET!H64+OUT!H64+NOV!H64+DEZ!H64</f>
        <v>68934.02</v>
      </c>
      <c r="H62" s="24">
        <f>JAN!H64+JAN!Y64+FEV!H64+FEV!Y64+MAR!H64+MAR!Y64+ABR!Y64+ABR!H64+MAI!I64+JUN!I64+JUL!I64+AGO!I64+SET!I64+OUT!I64+NOV!I64+DEZ!I64</f>
        <v>250860.55600000001</v>
      </c>
      <c r="I62" s="24">
        <f>JAN!I64+JAN!Z64+FEV!Z64+FEV!I64+MAR!Z64+MAR!I64+ABR!Z64+ABR!I64+MAI!J64+JUN!J64+JUL!J64+AGO!J64+SET!J64+OUT!J64+NOV!J64+DEZ!J64</f>
        <v>3692.7000000000003</v>
      </c>
      <c r="J62" s="24">
        <f>JAN!J64+JAN!AA64+FEV!AA64+FEV!J64+MAR!AA64+MAR!J64+ABR!AA64+ABR!J64+MAI!K64+JUN!K64+JUL!K64+AGO!K64+SET!K64+OUT!K64+NOV!K64+DEZ!K64</f>
        <v>137835.16600000003</v>
      </c>
      <c r="K62" s="24">
        <f>JAN!K64+JAN!AB64+FEV!AB64+FEV!K64+MAR!AB64+MAR!K64+ABR!AB64+ABR!K64+MAI!L64+JUN!L64+JUL!L64+AGO!L64+SET!L64+OUT!L64+NOV!L64+DEZ!L64</f>
        <v>14318.376</v>
      </c>
      <c r="L62" s="24">
        <f>JAN!L64+JAN!AC64+FEV!AC64+FEV!L64+MAR!AC64+MAR!L64+ABR!AC64+ABR!L64+MAI!M64+JUN!M64+JUL!M64+AGO!M64+SET!M64+OUT!M64+NOV!M64+DEZ!M64</f>
        <v>1213.3040000000001</v>
      </c>
      <c r="M62" s="24">
        <f>JAN!M64+JAN!AD64+FEV!AD64+FEV!M64+MAR!AD64+MAR!M64+ABR!AD64+ABR!M64+MAI!N64+JUN!N64+JUL!N64+AGO!N64+SET!N64+OUT!N64+NOV!N64+DEZ!N64</f>
        <v>136</v>
      </c>
      <c r="N62" s="24">
        <f>JAN!N64+JAN!AE64+FEV!AE64+FEV!N64+MAR!AE64+MAR!N64+ABR!AE64+ABR!N64+MAI!O64+JUN!O64+JUL!O64+AGO!O64+SET!O64+OUT!O64+NOV!O64+DEZ!O64</f>
        <v>3987.0240000000003</v>
      </c>
      <c r="O62" s="24">
        <f>JUL!P64+AGO!P64+SET!P64+OUT!P64+NOV!P64+DEZ!P64</f>
        <v>47.637999999999991</v>
      </c>
      <c r="P62" s="24">
        <f>JAN!AF64+FEV!AF64+MAR!AF64+ABR!AG64+MAI!Q64+JUN!Q64+JUL!Q64+AGO!Q64+SET!Q64+OUT!Q64+NOV!Q64+DEZ!Q64</f>
        <v>0</v>
      </c>
      <c r="Q62" s="24">
        <f>JAN!AG64+FEV!AG64+MAR!AG64+ABR!AH64+MAI!R64+JUN!R64+JUL!R64+AGO!R64+SET!R64+OUT!R64+NOV!R64+DEZ!R64</f>
        <v>0</v>
      </c>
      <c r="R62" s="4">
        <f t="shared" si="4"/>
        <v>11477196.253999999</v>
      </c>
      <c r="S62" s="1111">
        <f t="shared" si="5"/>
        <v>0.19964118609345746</v>
      </c>
      <c r="T62" s="1093">
        <f t="shared" si="6"/>
        <v>481024.78399999999</v>
      </c>
    </row>
    <row r="63" spans="1:20">
      <c r="A63" s="1" t="s">
        <v>24</v>
      </c>
      <c r="B63" s="24">
        <f>JAN!B65+JAN!S65+FEV!S65+FEV!B65+MAR!S65+MAR!B65+ABR!S65+ABR!B65+MAI!C65+JUN!C65+JUL!C65+AGO!C65+SET!C65+OUT!C65+NOV!C65+DEZ!C65</f>
        <v>82296.39</v>
      </c>
      <c r="C63" s="24">
        <f>JAN!C65+JAN!T65+FEV!T65+FEV!C65+MAR!T65+MAR!C65+ABR!T65+ABR!C65+MAI!D65+JUN!D65+JUL!D65+AGO!D65+SET!D65+OUT!D65+NOV!D65+DEZ!D65</f>
        <v>32376.345999999998</v>
      </c>
      <c r="D63" s="24">
        <f>JAN!D65+JAN!U65+FEV!U65+FEV!D65+MAR!U65+MAR!D65+ABR!U65+ABR!D65+MAI!E65+JUN!E65+JUL!E65+AGO!E65+SET!E65+OUT!E65+NOV!E65+DEZ!E65</f>
        <v>7472.81</v>
      </c>
      <c r="E63" s="24">
        <f>JAN!E65+JAN!V65+FEV!V65+FEV!E65+MAR!V65+MAR!E65+ABR!V65+ABR!E65+MAI!F65+JUN!F65+JUL!F65+AGO!F65+SET!F65+OUT!F65+NOV!F65+DEZ!F65</f>
        <v>1744.87</v>
      </c>
      <c r="F63" s="24">
        <f>JAN!F65+JAN!W65+FEV!W65+FEV!F65+MAR!W65+MAR!F65+ABR!W65+ABR!F65+MAI!G65+JUN!G65+JUL!G65+AGO!G65+SET!G65+OUT!G65+NOV!G65+DEZ!G65</f>
        <v>130815.00200000002</v>
      </c>
      <c r="G63" s="24">
        <f>JAN!G65+JAN!X65+FEV!X65+FEV!G65+MAR!X65+MAR!G65+ABR!X65+ABR!G65+MAI!H65+JUN!H65+JUL!H65+AGO!H65+SET!H65+OUT!H65+NOV!H65+DEZ!H65</f>
        <v>3604.5600000000004</v>
      </c>
      <c r="H63" s="24">
        <f>JAN!H65+JAN!Y65+FEV!H65+FEV!Y65+MAR!H65+MAR!Y65+ABR!Y65+ABR!H65+MAI!I65+JUN!I65+JUL!I65+AGO!I65+SET!I65+OUT!I65+NOV!I65+DEZ!I65</f>
        <v>4363.6740000000009</v>
      </c>
      <c r="I63" s="24">
        <f>JAN!I65+JAN!Z65+FEV!Z65+FEV!I65+MAR!Z65+MAR!I65+ABR!Z65+ABR!I65+MAI!J65+JUN!J65+JUL!J65+AGO!J65+SET!J65+OUT!J65+NOV!J65+DEZ!J65</f>
        <v>511.70400000000001</v>
      </c>
      <c r="J63" s="24">
        <f>JAN!J65+JAN!AA65+FEV!AA65+FEV!J65+MAR!AA65+MAR!J65+ABR!AA65+ABR!J65+MAI!K65+JUN!K65+JUL!K65+AGO!K65+SET!K65+OUT!K65+NOV!K65+DEZ!K65</f>
        <v>4662.4319999999998</v>
      </c>
      <c r="K63" s="24">
        <f>JAN!K65+JAN!AB65+FEV!AB65+FEV!K65+MAR!AB65+MAR!K65+ABR!AB65+ABR!K65+MAI!L65+JUN!L65+JUL!L65+AGO!L65+SET!L65+OUT!L65+NOV!L65+DEZ!L65</f>
        <v>685.65000000000009</v>
      </c>
      <c r="L63" s="24">
        <f>JAN!L65+JAN!AC65+FEV!AC65+FEV!L65+MAR!AC65+MAR!L65+ABR!AC65+ABR!L65+MAI!M65+JUN!M65+JUL!M65+AGO!M65+SET!M65+OUT!M65+NOV!M65+DEZ!M65</f>
        <v>0</v>
      </c>
      <c r="M63" s="24">
        <f>JAN!M65+JAN!AD65+FEV!AD65+FEV!M65+MAR!AD65+MAR!M65+ABR!AD65+ABR!M65+MAI!N65+JUN!N65+JUL!N65+AGO!N65+SET!N65+OUT!N65+NOV!N65+DEZ!N65</f>
        <v>0</v>
      </c>
      <c r="N63" s="24">
        <f>JAN!N65+JAN!AE65+FEV!AE65+FEV!N65+MAR!AE65+MAR!N65+ABR!AE65+ABR!N65+MAI!O65+JUN!O65+JUL!O65+AGO!O65+SET!O65+OUT!O65+NOV!O65+DEZ!O65</f>
        <v>28.57</v>
      </c>
      <c r="O63" s="24">
        <f>JUL!P100+AGO!P65+SET!P65+OUT!P65+NOV!P65+DEZ!P65</f>
        <v>9.5239999999999991</v>
      </c>
      <c r="P63" s="24">
        <f>JAN!AF65+FEV!AF65+MAR!AF65+ABR!AG65+MAI!Q65+JUN!Q65+JUL!Q65+AGO!Q65+SET!Q65+OUT!Q65+NOV!Q65+DEZ!Q65</f>
        <v>0</v>
      </c>
      <c r="Q63" s="24">
        <f>JAN!AG65+FEV!AG65+MAR!AG65+ABR!AH65+MAI!R65+JUN!R65+JUL!R65+AGO!R65+SET!R65+OUT!R65+NOV!R65+DEZ!R65</f>
        <v>533.16800000000001</v>
      </c>
      <c r="R63" s="4">
        <f t="shared" si="4"/>
        <v>269104.7</v>
      </c>
      <c r="S63" s="1111">
        <f t="shared" si="5"/>
        <v>0.19999999999999993</v>
      </c>
      <c r="T63" s="1093">
        <f t="shared" si="6"/>
        <v>14399.282000000001</v>
      </c>
    </row>
    <row r="64" spans="1:20">
      <c r="A64" s="1" t="s">
        <v>26</v>
      </c>
      <c r="B64" s="24">
        <f>JAN!B66+JAN!S66+FEV!S66+FEV!B66+MAR!S66+MAR!B66+ABR!S66+ABR!B66+MAI!C66+JUN!C66+JUL!C66+AGO!C66+SET!C66+OUT!C66+NOV!C66+DEZ!C66</f>
        <v>42689.79800000001</v>
      </c>
      <c r="C64" s="24">
        <f>JAN!C66+JAN!T66+FEV!T66+FEV!C66+MAR!T66+MAR!C66+ABR!T66+ABR!C66+MAI!D66+JUN!D66+JUL!D66+AGO!D66+SET!D66+OUT!D66+NOV!D66+DEZ!D66</f>
        <v>17882.772000000001</v>
      </c>
      <c r="D64" s="24">
        <f>JAN!D66+JAN!U66+FEV!U66+FEV!D66+MAR!U66+MAR!D66+ABR!U66+ABR!D66+MAI!E66+JUN!E66+JUL!E66+AGO!E66+SET!E66+OUT!E66+NOV!E66+DEZ!E66</f>
        <v>6241.3720000000003</v>
      </c>
      <c r="E64" s="24">
        <f>JAN!E66+JAN!V66+FEV!V66+FEV!E66+MAR!V66+MAR!E66+ABR!V66+ABR!E66+MAI!F66+JUN!F66+JUL!F66+AGO!F66+SET!F66+OUT!F66+NOV!F66+DEZ!F66</f>
        <v>3402.4900000000002</v>
      </c>
      <c r="F64" s="24">
        <f>JAN!F66+JAN!W66+FEV!W66+FEV!F66+MAR!W66+MAR!F66+ABR!W66+ABR!F66+MAI!G66+JUN!G66+JUL!G66+AGO!G66+SET!G66+OUT!G66+NOV!G66+DEZ!G66</f>
        <v>88748.892000000007</v>
      </c>
      <c r="G64" s="24">
        <f>JAN!G66+JAN!X66+FEV!X66+FEV!G66+MAR!X66+MAR!G66+ABR!X66+ABR!G66+MAI!H66+JUN!H66+JUL!H66+AGO!H66+SET!H66+OUT!H66+NOV!H66+DEZ!H66</f>
        <v>1939.41</v>
      </c>
      <c r="H64" s="24">
        <f>JAN!H66+JAN!Y66+FEV!H66+FEV!Y66+MAR!H66+MAR!Y66+ABR!Y66+ABR!H66+MAI!I66+JUN!I66+JUL!I66+AGO!I66+SET!I66+OUT!I66+NOV!I66+DEZ!I66</f>
        <v>2975.7940000000003</v>
      </c>
      <c r="I64" s="24">
        <f>JAN!I66+JAN!Z66+FEV!Z66+FEV!I66+MAR!Z66+MAR!I66+ABR!Z66+ABR!I66+MAI!J66+JUN!J66+JUL!J66+AGO!J66+SET!J66+OUT!J66+NOV!J66+DEZ!J66</f>
        <v>166.28200000000001</v>
      </c>
      <c r="J64" s="24">
        <f>JAN!J66+JAN!AA66+FEV!AA66+FEV!J66+MAR!AA66+MAR!J66+ABR!AA66+ABR!J66+MAI!K66+JUN!K66+JUL!K66+AGO!K66+SET!K66+OUT!K66+NOV!K66+DEZ!K66</f>
        <v>2810.1240000000003</v>
      </c>
      <c r="K64" s="24">
        <f>JAN!K66+JAN!AB66+FEV!AB66+FEV!K66+MAR!AB66+MAR!K66+ABR!AB66+ABR!K66+MAI!L66+JUN!L66+JUL!L66+AGO!L66+SET!L66+OUT!L66+NOV!L66+DEZ!L66</f>
        <v>646.47</v>
      </c>
      <c r="L64" s="24">
        <f>JAN!L66+JAN!AC66+FEV!AC66+FEV!L66+MAR!AC66+MAR!L66+ABR!AC66+ABR!L66+MAI!M66+JUN!M66+JUL!M66+AGO!M66+SET!M66+OUT!M66+NOV!M66+DEZ!M66</f>
        <v>0</v>
      </c>
      <c r="M64" s="24">
        <f>JAN!M66+JAN!AD66+FEV!AD66+FEV!M66+MAR!AD66+MAR!M66+ABR!AD66+ABR!M66+MAI!N66+JUN!N66+JUL!N66+AGO!N66+SET!N66+OUT!N66+NOV!N66+DEZ!N66</f>
        <v>0</v>
      </c>
      <c r="N64" s="24">
        <f>JAN!N66+JAN!AE66+FEV!AE66+FEV!N66+MAR!AE66+MAR!N66+ABR!AE66+ABR!N66+MAI!O66+JUN!O66+JUL!O66+AGO!O66+SET!O66+OUT!O66+NOV!O66+DEZ!O66</f>
        <v>17.142000000000003</v>
      </c>
      <c r="O64" s="24">
        <f>JUL!P101+AGO!P66+SET!P66+OUT!P66+NOV!P66+DEZ!P66</f>
        <v>0</v>
      </c>
      <c r="P64" s="24">
        <f>JAN!AF66+FEV!AF66+MAR!AF66+ABR!AG66+MAI!Q66+JUN!Q66+JUL!Q66+AGO!Q66+SET!Q66+OUT!Q66+NOV!Q66+DEZ!Q66</f>
        <v>50.91</v>
      </c>
      <c r="Q64" s="24">
        <f>JAN!AG66+FEV!AG66+MAR!AG66+ABR!AH66+MAI!R66+JUN!R66+JUL!R66+AGO!R66+SET!R66+OUT!R66+NOV!R66+DEZ!R66</f>
        <v>72.492000000000004</v>
      </c>
      <c r="R64" s="4">
        <f t="shared" si="4"/>
        <v>167643.94800000003</v>
      </c>
      <c r="S64" s="1111">
        <f t="shared" si="5"/>
        <v>0.2</v>
      </c>
      <c r="T64" s="1093">
        <f t="shared" si="6"/>
        <v>8678.6239999999998</v>
      </c>
    </row>
    <row r="65" spans="1:22">
      <c r="A65" s="7" t="s">
        <v>37</v>
      </c>
      <c r="B65" s="8">
        <f t="shared" ref="B65:R65" si="7">SUM(B38:B64)</f>
        <v>10964506.324000001</v>
      </c>
      <c r="C65" s="8">
        <f t="shared" si="7"/>
        <v>3313021.7079999992</v>
      </c>
      <c r="D65" s="8">
        <f t="shared" si="7"/>
        <v>1393858.4740000002</v>
      </c>
      <c r="E65" s="8">
        <f t="shared" si="7"/>
        <v>427213.734</v>
      </c>
      <c r="F65" s="8">
        <f t="shared" si="7"/>
        <v>16282698.830000002</v>
      </c>
      <c r="G65" s="8">
        <f t="shared" si="7"/>
        <v>272207.15000000002</v>
      </c>
      <c r="H65" s="8">
        <f t="shared" si="7"/>
        <v>642368.63</v>
      </c>
      <c r="I65" s="8">
        <f t="shared" si="7"/>
        <v>29612.216</v>
      </c>
      <c r="J65" s="8">
        <f t="shared" si="7"/>
        <v>458090.52600000001</v>
      </c>
      <c r="K65" s="8">
        <f t="shared" si="7"/>
        <v>59577.468000000001</v>
      </c>
      <c r="L65" s="8">
        <f t="shared" si="7"/>
        <v>4111.348</v>
      </c>
      <c r="M65" s="8">
        <f t="shared" si="7"/>
        <v>4929.6880000000001</v>
      </c>
      <c r="N65" s="8">
        <f t="shared" si="7"/>
        <v>9862.0360000000001</v>
      </c>
      <c r="O65" s="8">
        <f t="shared" si="7"/>
        <v>66.685999999999993</v>
      </c>
      <c r="P65" s="8">
        <f t="shared" si="7"/>
        <v>341.03800000000001</v>
      </c>
      <c r="Q65" s="8">
        <f t="shared" si="7"/>
        <v>1955.5220000000002</v>
      </c>
      <c r="R65" s="11">
        <f t="shared" si="7"/>
        <v>33864421.378000006</v>
      </c>
      <c r="T65" s="1093">
        <f>SUM(T38:T64)</f>
        <v>1483122.3079999997</v>
      </c>
    </row>
    <row r="66" spans="1:22">
      <c r="G66" s="1112">
        <f>SUM(G65:Q65)</f>
        <v>1483122.3080000004</v>
      </c>
      <c r="H66" s="1193">
        <f>G66-G67</f>
        <v>603001.36800000048</v>
      </c>
      <c r="R66" s="605"/>
    </row>
    <row r="67" spans="1:22">
      <c r="G67" s="1101">
        <f>SUM(JAN!X67:AG67)+SUM(FEV!X67:AG67)+SUM(MAR!X67:AG67)+SUM(ABR!X67:AH67)+SUM(MAI!H67:R67)+SUM(JUN!H67:R67)+SUM(JUL!H67:R67)+SUM(AGO!H67:R67)</f>
        <v>880120.94</v>
      </c>
    </row>
    <row r="68" spans="1:22" ht="46.5">
      <c r="A68" s="1235" t="s">
        <v>38</v>
      </c>
      <c r="B68" s="1236"/>
      <c r="C68" s="1236"/>
      <c r="D68" s="1236"/>
      <c r="E68" s="1236"/>
      <c r="F68" s="1236"/>
      <c r="G68" s="1236"/>
      <c r="H68" s="1236"/>
      <c r="I68" s="1236"/>
      <c r="J68" s="1236"/>
      <c r="K68" s="1236"/>
      <c r="L68" s="1236"/>
      <c r="M68" s="1236"/>
      <c r="N68" s="1236"/>
      <c r="O68" s="1236"/>
      <c r="P68" s="1236"/>
      <c r="Q68" s="1236"/>
      <c r="R68" s="1237"/>
    </row>
    <row r="69" spans="1:22" s="1104" customFormat="1" ht="35.1" customHeight="1">
      <c r="A69" s="1238" t="s">
        <v>33</v>
      </c>
      <c r="B69" s="1240" t="s">
        <v>27</v>
      </c>
      <c r="C69" s="1241"/>
      <c r="D69" s="1240" t="s">
        <v>29</v>
      </c>
      <c r="E69" s="1241"/>
      <c r="F69" s="1238" t="s">
        <v>28</v>
      </c>
      <c r="G69" s="1238" t="s">
        <v>36</v>
      </c>
      <c r="H69" s="1238" t="s">
        <v>30</v>
      </c>
      <c r="I69" s="1238" t="s">
        <v>31</v>
      </c>
      <c r="J69" s="1238" t="s">
        <v>32</v>
      </c>
      <c r="K69" s="1238" t="s">
        <v>35</v>
      </c>
      <c r="L69" s="1238" t="s">
        <v>40</v>
      </c>
      <c r="M69" s="1238" t="s">
        <v>42</v>
      </c>
      <c r="N69" s="1238" t="s">
        <v>45</v>
      </c>
      <c r="O69" s="1238" t="s">
        <v>411</v>
      </c>
      <c r="P69" s="1240" t="s">
        <v>51</v>
      </c>
      <c r="Q69" s="1241"/>
      <c r="R69" s="1238" t="s">
        <v>34</v>
      </c>
    </row>
    <row r="70" spans="1:22" s="1104" customFormat="1" ht="35.1" customHeight="1">
      <c r="A70" s="1239"/>
      <c r="B70" s="28" t="s">
        <v>43</v>
      </c>
      <c r="C70" s="1076" t="s">
        <v>44</v>
      </c>
      <c r="D70" s="28" t="s">
        <v>43</v>
      </c>
      <c r="E70" s="1076" t="s">
        <v>44</v>
      </c>
      <c r="F70" s="1239"/>
      <c r="G70" s="1239"/>
      <c r="H70" s="1239"/>
      <c r="I70" s="1239"/>
      <c r="J70" s="1239"/>
      <c r="K70" s="1239"/>
      <c r="L70" s="1239"/>
      <c r="M70" s="1239"/>
      <c r="N70" s="1239"/>
      <c r="O70" s="1239"/>
      <c r="P70" s="1075" t="s">
        <v>52</v>
      </c>
      <c r="Q70" s="1075" t="s">
        <v>53</v>
      </c>
      <c r="R70" s="1239"/>
      <c r="T70" s="1104" t="s">
        <v>279</v>
      </c>
    </row>
    <row r="71" spans="1:22">
      <c r="A71" s="1" t="s">
        <v>0</v>
      </c>
      <c r="B71" s="20">
        <f t="shared" ref="B71:Q71" si="8">B5+B38</f>
        <v>152833.69</v>
      </c>
      <c r="C71" s="20">
        <f t="shared" si="8"/>
        <v>44310.879999999997</v>
      </c>
      <c r="D71" s="20">
        <f t="shared" si="8"/>
        <v>23570.2</v>
      </c>
      <c r="E71" s="20">
        <f t="shared" si="8"/>
        <v>6478.8500000000013</v>
      </c>
      <c r="F71" s="20">
        <f t="shared" si="8"/>
        <v>261658.79</v>
      </c>
      <c r="G71" s="20">
        <f t="shared" si="8"/>
        <v>13321.2</v>
      </c>
      <c r="H71" s="20">
        <f t="shared" si="8"/>
        <v>4702.1400000000003</v>
      </c>
      <c r="I71" s="20">
        <f t="shared" si="8"/>
        <v>0</v>
      </c>
      <c r="J71" s="20">
        <f t="shared" si="8"/>
        <v>7950.470000000003</v>
      </c>
      <c r="K71" s="20">
        <f t="shared" si="8"/>
        <v>4796.3600000000006</v>
      </c>
      <c r="L71" s="20">
        <f t="shared" si="8"/>
        <v>0</v>
      </c>
      <c r="M71" s="20">
        <f t="shared" si="8"/>
        <v>0</v>
      </c>
      <c r="N71" s="20">
        <f t="shared" si="8"/>
        <v>28.57</v>
      </c>
      <c r="O71" s="20">
        <f t="shared" si="8"/>
        <v>0</v>
      </c>
      <c r="P71" s="20">
        <f t="shared" si="8"/>
        <v>0</v>
      </c>
      <c r="Q71" s="20">
        <f t="shared" si="8"/>
        <v>0</v>
      </c>
      <c r="R71" s="10">
        <f t="shared" ref="R71:R97" si="9">SUM(B71:Q71)</f>
        <v>519651.15000000008</v>
      </c>
      <c r="T71" s="1093">
        <f>SUM(G71:Q71)</f>
        <v>30798.740000000005</v>
      </c>
      <c r="V71" s="1193"/>
    </row>
    <row r="72" spans="1:22">
      <c r="A72" s="1" t="s">
        <v>1</v>
      </c>
      <c r="B72" s="20">
        <f t="shared" ref="B72:Q72" si="10">B6+B39</f>
        <v>522104.98</v>
      </c>
      <c r="C72" s="20">
        <f t="shared" si="10"/>
        <v>228264.58000000002</v>
      </c>
      <c r="D72" s="20">
        <f t="shared" si="10"/>
        <v>32056.16</v>
      </c>
      <c r="E72" s="20">
        <f t="shared" si="10"/>
        <v>6752.21</v>
      </c>
      <c r="F72" s="20">
        <f t="shared" si="10"/>
        <v>651758.36</v>
      </c>
      <c r="G72" s="20">
        <f t="shared" si="10"/>
        <v>12038.279999999999</v>
      </c>
      <c r="H72" s="20">
        <f t="shared" si="10"/>
        <v>38847.200000000004</v>
      </c>
      <c r="I72" s="20">
        <f t="shared" si="10"/>
        <v>1970.82</v>
      </c>
      <c r="J72" s="20">
        <f t="shared" si="10"/>
        <v>27149.839999999997</v>
      </c>
      <c r="K72" s="20">
        <f t="shared" si="10"/>
        <v>881.55000000000018</v>
      </c>
      <c r="L72" s="20">
        <f t="shared" si="10"/>
        <v>0</v>
      </c>
      <c r="M72" s="20">
        <f t="shared" si="10"/>
        <v>0</v>
      </c>
      <c r="N72" s="20">
        <f t="shared" si="10"/>
        <v>571.4</v>
      </c>
      <c r="O72" s="20">
        <f t="shared" si="10"/>
        <v>0</v>
      </c>
      <c r="P72" s="20">
        <f t="shared" si="10"/>
        <v>0</v>
      </c>
      <c r="Q72" s="20">
        <f t="shared" si="10"/>
        <v>0</v>
      </c>
      <c r="R72" s="10">
        <f t="shared" si="9"/>
        <v>1522395.3800000001</v>
      </c>
      <c r="T72" s="1093">
        <f t="shared" ref="T72:T97" si="11">SUM(G72:Q72)</f>
        <v>81459.09</v>
      </c>
      <c r="V72" s="1193"/>
    </row>
    <row r="73" spans="1:22">
      <c r="A73" s="16" t="s">
        <v>2</v>
      </c>
      <c r="B73" s="20">
        <f t="shared" ref="B73:Q73" si="12">B7+B40</f>
        <v>183327.03000000003</v>
      </c>
      <c r="C73" s="20">
        <f t="shared" si="12"/>
        <v>77814.95</v>
      </c>
      <c r="D73" s="20">
        <f t="shared" si="12"/>
        <v>36783.130000000005</v>
      </c>
      <c r="E73" s="20">
        <f t="shared" si="12"/>
        <v>13798.79</v>
      </c>
      <c r="F73" s="20">
        <f t="shared" si="12"/>
        <v>325008.13</v>
      </c>
      <c r="G73" s="20">
        <f t="shared" si="12"/>
        <v>13615.050000000001</v>
      </c>
      <c r="H73" s="20">
        <f t="shared" si="12"/>
        <v>10813.21</v>
      </c>
      <c r="I73" s="20">
        <f t="shared" si="12"/>
        <v>284.27999999999997</v>
      </c>
      <c r="J73" s="20">
        <f t="shared" si="12"/>
        <v>13042.320000000002</v>
      </c>
      <c r="K73" s="20">
        <f t="shared" si="12"/>
        <v>2938.5</v>
      </c>
      <c r="L73" s="20">
        <f t="shared" si="12"/>
        <v>0</v>
      </c>
      <c r="M73" s="20">
        <f t="shared" si="12"/>
        <v>0</v>
      </c>
      <c r="N73" s="20">
        <f t="shared" si="12"/>
        <v>85.710000000000008</v>
      </c>
      <c r="O73" s="20">
        <f t="shared" si="12"/>
        <v>0</v>
      </c>
      <c r="P73" s="20">
        <f t="shared" si="12"/>
        <v>0</v>
      </c>
      <c r="Q73" s="20">
        <f t="shared" si="12"/>
        <v>0</v>
      </c>
      <c r="R73" s="10">
        <f t="shared" si="9"/>
        <v>677511.1</v>
      </c>
      <c r="T73" s="1093">
        <f t="shared" si="11"/>
        <v>40779.07</v>
      </c>
      <c r="V73" s="1193"/>
    </row>
    <row r="74" spans="1:22">
      <c r="A74" s="2" t="s">
        <v>3</v>
      </c>
      <c r="B74" s="20">
        <f t="shared" ref="B74:Q74" si="13">B8+B41</f>
        <v>495715.99</v>
      </c>
      <c r="C74" s="20">
        <f t="shared" si="13"/>
        <v>222625.82</v>
      </c>
      <c r="D74" s="20">
        <f t="shared" si="13"/>
        <v>47431.44</v>
      </c>
      <c r="E74" s="20">
        <f t="shared" si="13"/>
        <v>22794.36</v>
      </c>
      <c r="F74" s="20">
        <f t="shared" si="13"/>
        <v>610754.65000000014</v>
      </c>
      <c r="G74" s="20">
        <f t="shared" si="13"/>
        <v>17040.11</v>
      </c>
      <c r="H74" s="20">
        <f t="shared" si="13"/>
        <v>33712.19</v>
      </c>
      <c r="I74" s="20">
        <f t="shared" si="13"/>
        <v>0</v>
      </c>
      <c r="J74" s="20">
        <f t="shared" si="13"/>
        <v>29643.75</v>
      </c>
      <c r="K74" s="20">
        <f t="shared" si="13"/>
        <v>4407.75</v>
      </c>
      <c r="L74" s="20">
        <f t="shared" si="13"/>
        <v>1371.3</v>
      </c>
      <c r="M74" s="20">
        <f t="shared" si="13"/>
        <v>7204.52</v>
      </c>
      <c r="N74" s="20">
        <f t="shared" si="13"/>
        <v>227.63</v>
      </c>
      <c r="O74" s="20">
        <f t="shared" si="13"/>
        <v>0</v>
      </c>
      <c r="P74" s="20">
        <f t="shared" si="13"/>
        <v>51.61</v>
      </c>
      <c r="Q74" s="20">
        <f t="shared" si="13"/>
        <v>516.08000000000004</v>
      </c>
      <c r="R74" s="10">
        <f t="shared" si="9"/>
        <v>1493497.2000000004</v>
      </c>
      <c r="T74" s="1093">
        <f t="shared" si="11"/>
        <v>94174.940000000017</v>
      </c>
      <c r="V74" s="1193"/>
    </row>
    <row r="75" spans="1:22">
      <c r="A75" s="1" t="s">
        <v>4</v>
      </c>
      <c r="B75" s="20">
        <f t="shared" ref="B75:Q75" si="14">B9+B42</f>
        <v>1618151.6300000004</v>
      </c>
      <c r="C75" s="20">
        <f t="shared" si="14"/>
        <v>450985.8000000001</v>
      </c>
      <c r="D75" s="20">
        <f t="shared" si="14"/>
        <v>204075.00999999995</v>
      </c>
      <c r="E75" s="20">
        <f t="shared" si="14"/>
        <v>41712.969999999994</v>
      </c>
      <c r="F75" s="20">
        <f t="shared" si="14"/>
        <v>1728304.48</v>
      </c>
      <c r="G75" s="20">
        <f t="shared" si="14"/>
        <v>40747.300000000003</v>
      </c>
      <c r="H75" s="20">
        <f t="shared" si="14"/>
        <v>67965.23</v>
      </c>
      <c r="I75" s="20">
        <f t="shared" si="14"/>
        <v>0</v>
      </c>
      <c r="J75" s="20">
        <f t="shared" si="14"/>
        <v>74116.059999999983</v>
      </c>
      <c r="K75" s="20">
        <f t="shared" si="14"/>
        <v>5289.3000000000011</v>
      </c>
      <c r="L75" s="20">
        <f t="shared" si="14"/>
        <v>189.52</v>
      </c>
      <c r="M75" s="20">
        <f t="shared" si="14"/>
        <v>0</v>
      </c>
      <c r="N75" s="20">
        <f t="shared" si="14"/>
        <v>1284.7199999999998</v>
      </c>
      <c r="O75" s="20">
        <f t="shared" si="14"/>
        <v>0</v>
      </c>
      <c r="P75" s="20">
        <f t="shared" si="14"/>
        <v>441.44000000000005</v>
      </c>
      <c r="Q75" s="20">
        <f t="shared" si="14"/>
        <v>4414.2500000000009</v>
      </c>
      <c r="R75" s="10">
        <f t="shared" si="9"/>
        <v>4237677.71</v>
      </c>
      <c r="T75" s="1093">
        <f t="shared" si="11"/>
        <v>194447.81999999995</v>
      </c>
      <c r="V75" s="1193"/>
    </row>
    <row r="76" spans="1:22">
      <c r="A76" s="1" t="s">
        <v>5</v>
      </c>
      <c r="B76" s="20">
        <f t="shared" ref="B76:Q76" si="15">B10+B43</f>
        <v>983021.40000000026</v>
      </c>
      <c r="C76" s="20">
        <f t="shared" si="15"/>
        <v>214364</v>
      </c>
      <c r="D76" s="20">
        <f t="shared" si="15"/>
        <v>94918.130000000019</v>
      </c>
      <c r="E76" s="20">
        <f t="shared" si="15"/>
        <v>9552.5399999999991</v>
      </c>
      <c r="F76" s="20">
        <f t="shared" si="15"/>
        <v>1098900.1100000001</v>
      </c>
      <c r="G76" s="20">
        <f t="shared" si="15"/>
        <v>36806.870000000003</v>
      </c>
      <c r="H76" s="20">
        <f t="shared" si="15"/>
        <v>29775.99</v>
      </c>
      <c r="I76" s="20">
        <f t="shared" si="15"/>
        <v>17622.46</v>
      </c>
      <c r="J76" s="20">
        <f t="shared" si="15"/>
        <v>34656.37000000001</v>
      </c>
      <c r="K76" s="20">
        <f t="shared" si="15"/>
        <v>4309.8000000000011</v>
      </c>
      <c r="L76" s="20">
        <f t="shared" si="15"/>
        <v>587.70000000000005</v>
      </c>
      <c r="M76" s="20">
        <f t="shared" si="15"/>
        <v>0</v>
      </c>
      <c r="N76" s="20">
        <f t="shared" si="15"/>
        <v>628.54</v>
      </c>
      <c r="O76" s="20">
        <f t="shared" si="15"/>
        <v>0</v>
      </c>
      <c r="P76" s="20">
        <f t="shared" si="15"/>
        <v>0</v>
      </c>
      <c r="Q76" s="20">
        <f t="shared" si="15"/>
        <v>0</v>
      </c>
      <c r="R76" s="10">
        <f t="shared" si="9"/>
        <v>2525143.9100000011</v>
      </c>
      <c r="T76" s="1093">
        <f t="shared" si="11"/>
        <v>124387.73000000001</v>
      </c>
      <c r="V76" s="1193"/>
    </row>
    <row r="77" spans="1:22">
      <c r="A77" s="1" t="s">
        <v>6</v>
      </c>
      <c r="B77" s="20">
        <f t="shared" ref="B77:Q77" si="16">B11+B44</f>
        <v>1768036.2400000005</v>
      </c>
      <c r="C77" s="20">
        <f t="shared" si="16"/>
        <v>567346.18999999994</v>
      </c>
      <c r="D77" s="20">
        <f t="shared" si="16"/>
        <v>158662.39999999999</v>
      </c>
      <c r="E77" s="20">
        <f t="shared" si="16"/>
        <v>34347.74</v>
      </c>
      <c r="F77" s="20">
        <f t="shared" si="16"/>
        <v>1546978.9500000002</v>
      </c>
      <c r="G77" s="20">
        <f t="shared" si="16"/>
        <v>53275.23</v>
      </c>
      <c r="H77" s="20">
        <f t="shared" si="16"/>
        <v>94539.760000000009</v>
      </c>
      <c r="I77" s="20">
        <f t="shared" si="16"/>
        <v>6703.380000000001</v>
      </c>
      <c r="J77" s="20">
        <f t="shared" si="16"/>
        <v>77574.060000000012</v>
      </c>
      <c r="K77" s="20">
        <f t="shared" si="16"/>
        <v>7636.91</v>
      </c>
      <c r="L77" s="20">
        <f t="shared" si="16"/>
        <v>783.60000000000014</v>
      </c>
      <c r="M77" s="20">
        <f t="shared" si="16"/>
        <v>0</v>
      </c>
      <c r="N77" s="20">
        <f t="shared" si="16"/>
        <v>1396.2099999999998</v>
      </c>
      <c r="O77" s="20">
        <f t="shared" si="16"/>
        <v>0</v>
      </c>
      <c r="P77" s="20">
        <f t="shared" si="16"/>
        <v>0</v>
      </c>
      <c r="Q77" s="20">
        <f t="shared" si="16"/>
        <v>0</v>
      </c>
      <c r="R77" s="10">
        <f t="shared" si="9"/>
        <v>4317280.67</v>
      </c>
      <c r="T77" s="1093">
        <f t="shared" si="11"/>
        <v>241909.15000000005</v>
      </c>
      <c r="V77" s="1193"/>
    </row>
    <row r="78" spans="1:22">
      <c r="A78" s="1" t="s">
        <v>7</v>
      </c>
      <c r="B78" s="20">
        <f t="shared" ref="B78:Q78" si="17">B12+B45</f>
        <v>1280440.46</v>
      </c>
      <c r="C78" s="20">
        <f t="shared" si="17"/>
        <v>195909.26000000004</v>
      </c>
      <c r="D78" s="20">
        <f t="shared" si="17"/>
        <v>150011.65000000002</v>
      </c>
      <c r="E78" s="20">
        <f t="shared" si="17"/>
        <v>33123</v>
      </c>
      <c r="F78" s="20">
        <f t="shared" si="17"/>
        <v>1317507.6200000001</v>
      </c>
      <c r="G78" s="20">
        <f t="shared" si="17"/>
        <v>36036.030000000006</v>
      </c>
      <c r="H78" s="20">
        <f t="shared" si="17"/>
        <v>44932.52</v>
      </c>
      <c r="I78" s="20">
        <f t="shared" si="17"/>
        <v>14394.81</v>
      </c>
      <c r="J78" s="20">
        <f t="shared" si="17"/>
        <v>27538.760000000002</v>
      </c>
      <c r="K78" s="20">
        <f t="shared" si="17"/>
        <v>5087.0200000000004</v>
      </c>
      <c r="L78" s="20">
        <f t="shared" si="17"/>
        <v>587.70000000000005</v>
      </c>
      <c r="M78" s="20">
        <f t="shared" si="17"/>
        <v>0</v>
      </c>
      <c r="N78" s="20">
        <f t="shared" si="17"/>
        <v>514.26</v>
      </c>
      <c r="O78" s="20">
        <f t="shared" si="17"/>
        <v>0</v>
      </c>
      <c r="P78" s="20">
        <f t="shared" si="17"/>
        <v>0</v>
      </c>
      <c r="Q78" s="20">
        <f t="shared" si="17"/>
        <v>0</v>
      </c>
      <c r="R78" s="10">
        <f t="shared" si="9"/>
        <v>3106083.09</v>
      </c>
      <c r="T78" s="1093">
        <f t="shared" si="11"/>
        <v>129091.09999999999</v>
      </c>
      <c r="V78" s="1193"/>
    </row>
    <row r="79" spans="1:22">
      <c r="A79" s="1" t="s">
        <v>8</v>
      </c>
      <c r="B79" s="20">
        <f t="shared" ref="B79:Q79" si="18">B13+B46</f>
        <v>1284322.68</v>
      </c>
      <c r="C79" s="20">
        <f t="shared" si="18"/>
        <v>434502.41000000003</v>
      </c>
      <c r="D79" s="20">
        <f t="shared" si="18"/>
        <v>166154.03000000003</v>
      </c>
      <c r="E79" s="20">
        <f t="shared" si="18"/>
        <v>42891.43</v>
      </c>
      <c r="F79" s="20">
        <f t="shared" si="18"/>
        <v>2768875.5500000007</v>
      </c>
      <c r="G79" s="20">
        <f t="shared" si="18"/>
        <v>38974.53</v>
      </c>
      <c r="H79" s="20">
        <f t="shared" si="18"/>
        <v>77569.13</v>
      </c>
      <c r="I79" s="20">
        <f t="shared" si="18"/>
        <v>24123.259999999995</v>
      </c>
      <c r="J79" s="20">
        <f t="shared" si="18"/>
        <v>62705.08</v>
      </c>
      <c r="K79" s="20">
        <f t="shared" si="18"/>
        <v>2938.5</v>
      </c>
      <c r="L79" s="20">
        <f t="shared" si="18"/>
        <v>195.90000000000003</v>
      </c>
      <c r="M79" s="20">
        <f t="shared" si="18"/>
        <v>0</v>
      </c>
      <c r="N79" s="20">
        <f t="shared" si="18"/>
        <v>1027.5899999999999</v>
      </c>
      <c r="O79" s="20">
        <f t="shared" si="18"/>
        <v>0</v>
      </c>
      <c r="P79" s="20">
        <f t="shared" si="18"/>
        <v>0</v>
      </c>
      <c r="Q79" s="20">
        <f t="shared" si="18"/>
        <v>0</v>
      </c>
      <c r="R79" s="10">
        <f t="shared" si="9"/>
        <v>4904280.0900000008</v>
      </c>
      <c r="T79" s="1093">
        <f t="shared" si="11"/>
        <v>207533.99</v>
      </c>
      <c r="V79" s="1193"/>
    </row>
    <row r="80" spans="1:22">
      <c r="A80" s="2" t="s">
        <v>9</v>
      </c>
      <c r="B80" s="20">
        <f t="shared" ref="B80:Q80" si="19">B14+B47</f>
        <v>430441.66000000003</v>
      </c>
      <c r="C80" s="20">
        <f t="shared" si="19"/>
        <v>222506.37000000002</v>
      </c>
      <c r="D80" s="20">
        <f t="shared" si="19"/>
        <v>39391.660000000011</v>
      </c>
      <c r="E80" s="20">
        <f t="shared" si="19"/>
        <v>11225.240000000002</v>
      </c>
      <c r="F80" s="20">
        <f t="shared" si="19"/>
        <v>481190.06999999995</v>
      </c>
      <c r="G80" s="20">
        <f t="shared" si="19"/>
        <v>19394.100000000002</v>
      </c>
      <c r="H80" s="20">
        <f t="shared" si="19"/>
        <v>32551.360000000001</v>
      </c>
      <c r="I80" s="20">
        <f t="shared" si="19"/>
        <v>0</v>
      </c>
      <c r="J80" s="20">
        <f t="shared" si="19"/>
        <v>27154.760000000002</v>
      </c>
      <c r="K80" s="20">
        <f t="shared" si="19"/>
        <v>4015.9500000000007</v>
      </c>
      <c r="L80" s="20">
        <f t="shared" si="19"/>
        <v>195.90000000000003</v>
      </c>
      <c r="M80" s="20">
        <f t="shared" si="19"/>
        <v>0</v>
      </c>
      <c r="N80" s="20">
        <f t="shared" si="19"/>
        <v>256.2</v>
      </c>
      <c r="O80" s="20">
        <f t="shared" si="19"/>
        <v>0</v>
      </c>
      <c r="P80" s="20">
        <f t="shared" si="19"/>
        <v>0</v>
      </c>
      <c r="Q80" s="20">
        <f t="shared" si="19"/>
        <v>0</v>
      </c>
      <c r="R80" s="10">
        <f t="shared" si="9"/>
        <v>1268323.27</v>
      </c>
      <c r="T80" s="1093">
        <f t="shared" si="11"/>
        <v>83568.26999999999</v>
      </c>
      <c r="V80" s="1193"/>
    </row>
    <row r="81" spans="1:22">
      <c r="A81" s="16" t="s">
        <v>10</v>
      </c>
      <c r="B81" s="20">
        <f t="shared" ref="B81:Q81" si="20">B15+B48</f>
        <v>1003307.3899999999</v>
      </c>
      <c r="C81" s="20">
        <f t="shared" si="20"/>
        <v>333751.97000000009</v>
      </c>
      <c r="D81" s="20">
        <f t="shared" si="20"/>
        <v>123596.85</v>
      </c>
      <c r="E81" s="20">
        <f t="shared" si="20"/>
        <v>44861.22</v>
      </c>
      <c r="F81" s="20">
        <f t="shared" si="20"/>
        <v>2921766.87</v>
      </c>
      <c r="G81" s="20">
        <f t="shared" si="20"/>
        <v>31422.600000000002</v>
      </c>
      <c r="H81" s="20">
        <f t="shared" si="20"/>
        <v>50299.469999999994</v>
      </c>
      <c r="I81" s="20">
        <f t="shared" si="20"/>
        <v>7277.52</v>
      </c>
      <c r="J81" s="20">
        <f t="shared" si="20"/>
        <v>45086.720000000001</v>
      </c>
      <c r="K81" s="20">
        <f t="shared" si="20"/>
        <v>6268.8000000000011</v>
      </c>
      <c r="L81" s="20">
        <f t="shared" si="20"/>
        <v>391.80000000000007</v>
      </c>
      <c r="M81" s="20">
        <f t="shared" si="20"/>
        <v>0</v>
      </c>
      <c r="N81" s="20">
        <f t="shared" si="20"/>
        <v>514.26</v>
      </c>
      <c r="O81" s="20">
        <f t="shared" si="20"/>
        <v>0</v>
      </c>
      <c r="P81" s="20">
        <f t="shared" si="20"/>
        <v>0</v>
      </c>
      <c r="Q81" s="20">
        <f t="shared" si="20"/>
        <v>0</v>
      </c>
      <c r="R81" s="10">
        <f t="shared" si="9"/>
        <v>4568545.4699999979</v>
      </c>
      <c r="T81" s="1093">
        <f t="shared" si="11"/>
        <v>141261.16999999998</v>
      </c>
      <c r="V81" s="1193"/>
    </row>
    <row r="82" spans="1:22">
      <c r="A82" s="1" t="s">
        <v>11</v>
      </c>
      <c r="B82" s="20">
        <f t="shared" ref="B82:Q82" si="21">B16+B49</f>
        <v>822836.77</v>
      </c>
      <c r="C82" s="20">
        <f t="shared" si="21"/>
        <v>285375.99000000005</v>
      </c>
      <c r="D82" s="20">
        <f t="shared" si="21"/>
        <v>134597.30000000005</v>
      </c>
      <c r="E82" s="20">
        <f t="shared" si="21"/>
        <v>40554.62000000001</v>
      </c>
      <c r="F82" s="20">
        <f t="shared" si="21"/>
        <v>1913101.08</v>
      </c>
      <c r="G82" s="20">
        <f t="shared" si="21"/>
        <v>24389.550000000003</v>
      </c>
      <c r="H82" s="20">
        <f t="shared" si="21"/>
        <v>57642.18</v>
      </c>
      <c r="I82" s="20">
        <f t="shared" si="21"/>
        <v>3424.5600000000004</v>
      </c>
      <c r="J82" s="20">
        <f t="shared" si="21"/>
        <v>39910.350000000006</v>
      </c>
      <c r="K82" s="20">
        <f t="shared" si="21"/>
        <v>7441.0100000000011</v>
      </c>
      <c r="L82" s="20">
        <f t="shared" si="21"/>
        <v>0</v>
      </c>
      <c r="M82" s="20">
        <f t="shared" si="21"/>
        <v>6670.87</v>
      </c>
      <c r="N82" s="20">
        <f t="shared" si="21"/>
        <v>682.88999999999987</v>
      </c>
      <c r="O82" s="20">
        <f t="shared" si="21"/>
        <v>0</v>
      </c>
      <c r="P82" s="20">
        <f t="shared" si="21"/>
        <v>410.37000000000006</v>
      </c>
      <c r="Q82" s="20">
        <f t="shared" si="21"/>
        <v>0</v>
      </c>
      <c r="R82" s="10">
        <f t="shared" si="9"/>
        <v>3337037.5400000005</v>
      </c>
      <c r="T82" s="1093">
        <f t="shared" si="11"/>
        <v>140571.78000000003</v>
      </c>
      <c r="V82" s="1193"/>
    </row>
    <row r="83" spans="1:22">
      <c r="A83" s="1" t="s">
        <v>12</v>
      </c>
      <c r="B83" s="20">
        <f t="shared" ref="B83:Q83" si="22">B17+B50</f>
        <v>4580166.4700000007</v>
      </c>
      <c r="C83" s="20">
        <f t="shared" si="22"/>
        <v>1684064.9</v>
      </c>
      <c r="D83" s="20">
        <f t="shared" si="22"/>
        <v>508328.2</v>
      </c>
      <c r="E83" s="20">
        <f t="shared" si="22"/>
        <v>204532.94</v>
      </c>
      <c r="F83" s="20">
        <f t="shared" si="22"/>
        <v>4887357.07</v>
      </c>
      <c r="G83" s="20">
        <f t="shared" si="22"/>
        <v>86682.560000000012</v>
      </c>
      <c r="H83" s="20">
        <f t="shared" si="22"/>
        <v>310276.93999999994</v>
      </c>
      <c r="I83" s="20">
        <f t="shared" si="22"/>
        <v>587.70000000000005</v>
      </c>
      <c r="J83" s="20">
        <f t="shared" si="22"/>
        <v>209203.01000000004</v>
      </c>
      <c r="K83" s="20">
        <f t="shared" si="22"/>
        <v>38971.340000000004</v>
      </c>
      <c r="L83" s="20">
        <f t="shared" si="22"/>
        <v>2350.8000000000002</v>
      </c>
      <c r="M83" s="20">
        <f t="shared" si="22"/>
        <v>7018.37</v>
      </c>
      <c r="N83" s="20">
        <f t="shared" si="22"/>
        <v>6044.7900000000009</v>
      </c>
      <c r="O83" s="20">
        <f t="shared" si="22"/>
        <v>0</v>
      </c>
      <c r="P83" s="20">
        <f t="shared" si="22"/>
        <v>0</v>
      </c>
      <c r="Q83" s="20">
        <f t="shared" si="22"/>
        <v>0</v>
      </c>
      <c r="R83" s="10">
        <f t="shared" si="9"/>
        <v>12525585.09</v>
      </c>
      <c r="T83" s="1093">
        <f t="shared" si="11"/>
        <v>661135.51</v>
      </c>
      <c r="V83" s="1193"/>
    </row>
    <row r="84" spans="1:22">
      <c r="A84" s="1" t="s">
        <v>15</v>
      </c>
      <c r="B84" s="20">
        <f t="shared" ref="B84:Q84" si="23">B18+B51</f>
        <v>666225.42999999993</v>
      </c>
      <c r="C84" s="20">
        <f t="shared" si="23"/>
        <v>357271.07000000007</v>
      </c>
      <c r="D84" s="20">
        <f t="shared" si="23"/>
        <v>65146.96</v>
      </c>
      <c r="E84" s="20">
        <f t="shared" si="23"/>
        <v>18669.63</v>
      </c>
      <c r="F84" s="20">
        <f t="shared" si="23"/>
        <v>768450.96000000008</v>
      </c>
      <c r="G84" s="20">
        <f t="shared" si="23"/>
        <v>29255.15</v>
      </c>
      <c r="H84" s="20">
        <f t="shared" si="23"/>
        <v>62571.160000000011</v>
      </c>
      <c r="I84" s="20">
        <f t="shared" si="23"/>
        <v>0</v>
      </c>
      <c r="J84" s="20">
        <f t="shared" si="23"/>
        <v>39083.480000000003</v>
      </c>
      <c r="K84" s="20">
        <f t="shared" si="23"/>
        <v>5677.9100000000017</v>
      </c>
      <c r="L84" s="20">
        <f t="shared" si="23"/>
        <v>0</v>
      </c>
      <c r="M84" s="20">
        <f t="shared" si="23"/>
        <v>0</v>
      </c>
      <c r="N84" s="20">
        <f t="shared" si="23"/>
        <v>771.39</v>
      </c>
      <c r="O84" s="20">
        <f t="shared" si="23"/>
        <v>0</v>
      </c>
      <c r="P84" s="20">
        <f t="shared" si="23"/>
        <v>0</v>
      </c>
      <c r="Q84" s="20">
        <f t="shared" si="23"/>
        <v>0</v>
      </c>
      <c r="R84" s="10">
        <f t="shared" si="9"/>
        <v>2013123.1399999994</v>
      </c>
      <c r="T84" s="1093">
        <f t="shared" si="11"/>
        <v>137359.09000000003</v>
      </c>
      <c r="V84" s="1193"/>
    </row>
    <row r="85" spans="1:22">
      <c r="A85" s="1" t="s">
        <v>14</v>
      </c>
      <c r="B85" s="20">
        <f t="shared" ref="B85:Q85" si="24">B19+B52</f>
        <v>697919.7100000002</v>
      </c>
      <c r="C85" s="20">
        <f t="shared" si="24"/>
        <v>321851.21999999997</v>
      </c>
      <c r="D85" s="20">
        <f t="shared" si="24"/>
        <v>62100.369999999995</v>
      </c>
      <c r="E85" s="20">
        <f t="shared" si="24"/>
        <v>26727.06</v>
      </c>
      <c r="F85" s="20">
        <f t="shared" si="24"/>
        <v>915872.09000000008</v>
      </c>
      <c r="G85" s="20">
        <f t="shared" si="24"/>
        <v>17425.530000000002</v>
      </c>
      <c r="H85" s="20">
        <f t="shared" si="24"/>
        <v>51442.05</v>
      </c>
      <c r="I85" s="20">
        <f t="shared" si="24"/>
        <v>864.32999999999993</v>
      </c>
      <c r="J85" s="20">
        <f t="shared" si="24"/>
        <v>39182.75</v>
      </c>
      <c r="K85" s="20">
        <f t="shared" si="24"/>
        <v>2840.5500000000006</v>
      </c>
      <c r="L85" s="20">
        <f t="shared" si="24"/>
        <v>0</v>
      </c>
      <c r="M85" s="20">
        <f t="shared" si="24"/>
        <v>0</v>
      </c>
      <c r="N85" s="20">
        <f t="shared" si="24"/>
        <v>742.81999999999994</v>
      </c>
      <c r="O85" s="20">
        <f t="shared" si="24"/>
        <v>0</v>
      </c>
      <c r="P85" s="20">
        <f t="shared" si="24"/>
        <v>0</v>
      </c>
      <c r="Q85" s="20">
        <f t="shared" si="24"/>
        <v>719.22000000000014</v>
      </c>
      <c r="R85" s="10">
        <f t="shared" si="9"/>
        <v>2137687.7000000002</v>
      </c>
      <c r="T85" s="1093">
        <f t="shared" si="11"/>
        <v>113217.25000000001</v>
      </c>
      <c r="V85" s="1193"/>
    </row>
    <row r="86" spans="1:22">
      <c r="A86" s="16" t="s">
        <v>13</v>
      </c>
      <c r="B86" s="20">
        <f t="shared" ref="B86:Q86" si="25">B20+B53</f>
        <v>3868220</v>
      </c>
      <c r="C86" s="20">
        <f t="shared" si="25"/>
        <v>1221962.79</v>
      </c>
      <c r="D86" s="20">
        <f t="shared" si="25"/>
        <v>727065.7</v>
      </c>
      <c r="E86" s="20">
        <f t="shared" si="25"/>
        <v>291323.95000000007</v>
      </c>
      <c r="F86" s="20">
        <f t="shared" si="25"/>
        <v>7124472.4299999997</v>
      </c>
      <c r="G86" s="20">
        <f t="shared" si="25"/>
        <v>126541.83000000002</v>
      </c>
      <c r="H86" s="20">
        <f t="shared" si="25"/>
        <v>211810.16</v>
      </c>
      <c r="I86" s="20">
        <f t="shared" si="25"/>
        <v>5570.9900000000007</v>
      </c>
      <c r="J86" s="20">
        <f t="shared" si="25"/>
        <v>187500.71</v>
      </c>
      <c r="K86" s="20">
        <f t="shared" si="25"/>
        <v>41600.04</v>
      </c>
      <c r="L86" s="20">
        <f t="shared" si="25"/>
        <v>2154.9000000000005</v>
      </c>
      <c r="M86" s="20">
        <f t="shared" si="25"/>
        <v>0</v>
      </c>
      <c r="N86" s="20">
        <f t="shared" si="25"/>
        <v>2280.9499999999998</v>
      </c>
      <c r="O86" s="20">
        <f t="shared" si="25"/>
        <v>0</v>
      </c>
      <c r="P86" s="20">
        <f t="shared" si="25"/>
        <v>0</v>
      </c>
      <c r="Q86" s="20">
        <f t="shared" si="25"/>
        <v>0</v>
      </c>
      <c r="R86" s="10">
        <f t="shared" si="9"/>
        <v>13810504.450000001</v>
      </c>
      <c r="T86" s="1093">
        <f t="shared" si="11"/>
        <v>577459.57999999996</v>
      </c>
      <c r="V86" s="1193"/>
    </row>
    <row r="87" spans="1:22">
      <c r="A87" s="1" t="s">
        <v>16</v>
      </c>
      <c r="B87" s="20">
        <f t="shared" ref="B87:Q87" si="26">B21+B54</f>
        <v>1332529.7699999998</v>
      </c>
      <c r="C87" s="20">
        <f t="shared" si="26"/>
        <v>453120.16000000003</v>
      </c>
      <c r="D87" s="20">
        <f t="shared" si="26"/>
        <v>141793.21</v>
      </c>
      <c r="E87" s="20">
        <f t="shared" si="26"/>
        <v>38783.14</v>
      </c>
      <c r="F87" s="20">
        <f t="shared" si="26"/>
        <v>1480673.18</v>
      </c>
      <c r="G87" s="20">
        <f t="shared" si="26"/>
        <v>42608.25</v>
      </c>
      <c r="H87" s="20">
        <f t="shared" si="26"/>
        <v>67053.97</v>
      </c>
      <c r="I87" s="20">
        <f t="shared" si="26"/>
        <v>4270.92</v>
      </c>
      <c r="J87" s="20">
        <f t="shared" si="26"/>
        <v>77931.55</v>
      </c>
      <c r="K87" s="20">
        <f t="shared" si="26"/>
        <v>6268.8</v>
      </c>
      <c r="L87" s="20">
        <f t="shared" si="26"/>
        <v>0</v>
      </c>
      <c r="M87" s="20">
        <f t="shared" si="26"/>
        <v>0</v>
      </c>
      <c r="N87" s="20">
        <f t="shared" si="26"/>
        <v>1170.4399999999998</v>
      </c>
      <c r="O87" s="20">
        <f t="shared" si="26"/>
        <v>0</v>
      </c>
      <c r="P87" s="20">
        <f t="shared" si="26"/>
        <v>0</v>
      </c>
      <c r="Q87" s="20">
        <f t="shared" si="26"/>
        <v>0</v>
      </c>
      <c r="R87" s="10">
        <f t="shared" si="9"/>
        <v>3646203.3899999992</v>
      </c>
      <c r="T87" s="1093">
        <f t="shared" si="11"/>
        <v>199303.93</v>
      </c>
      <c r="V87" s="1193"/>
    </row>
    <row r="88" spans="1:22">
      <c r="A88" s="1" t="s">
        <v>17</v>
      </c>
      <c r="B88" s="20">
        <f t="shared" ref="B88:Q88" si="27">B22+B55</f>
        <v>368369.62</v>
      </c>
      <c r="C88" s="20">
        <f t="shared" si="27"/>
        <v>102678.50000000003</v>
      </c>
      <c r="D88" s="20">
        <f t="shared" si="27"/>
        <v>52588.950000000004</v>
      </c>
      <c r="E88" s="20">
        <f t="shared" si="27"/>
        <v>15110.050000000007</v>
      </c>
      <c r="F88" s="20">
        <f t="shared" si="27"/>
        <v>436235.11000000004</v>
      </c>
      <c r="G88" s="20">
        <f t="shared" si="27"/>
        <v>15076.650000000001</v>
      </c>
      <c r="H88" s="20">
        <f t="shared" si="27"/>
        <v>14886.18</v>
      </c>
      <c r="I88" s="20">
        <f t="shared" si="27"/>
        <v>2579.4900000000002</v>
      </c>
      <c r="J88" s="20">
        <f t="shared" si="27"/>
        <v>20268.720000000005</v>
      </c>
      <c r="K88" s="20">
        <f t="shared" si="27"/>
        <v>293.85000000000002</v>
      </c>
      <c r="L88" s="20">
        <f t="shared" si="27"/>
        <v>391.80000000000007</v>
      </c>
      <c r="M88" s="20">
        <f t="shared" si="27"/>
        <v>0</v>
      </c>
      <c r="N88" s="20">
        <f t="shared" si="27"/>
        <v>141.92000000000002</v>
      </c>
      <c r="O88" s="20">
        <f t="shared" si="27"/>
        <v>0</v>
      </c>
      <c r="P88" s="20">
        <f t="shared" si="27"/>
        <v>0</v>
      </c>
      <c r="Q88" s="20">
        <f t="shared" si="27"/>
        <v>0</v>
      </c>
      <c r="R88" s="10">
        <f t="shared" si="9"/>
        <v>1028620.8400000001</v>
      </c>
      <c r="T88" s="1093">
        <f t="shared" si="11"/>
        <v>53638.610000000008</v>
      </c>
      <c r="V88" s="1193"/>
    </row>
    <row r="89" spans="1:22">
      <c r="A89" s="1" t="s">
        <v>18</v>
      </c>
      <c r="B89" s="20">
        <f t="shared" ref="B89:Q89" si="28">B23+B56</f>
        <v>4940735.08</v>
      </c>
      <c r="C89" s="20">
        <f t="shared" si="28"/>
        <v>1239256.6100000001</v>
      </c>
      <c r="D89" s="20">
        <f t="shared" si="28"/>
        <v>711417.86999999988</v>
      </c>
      <c r="E89" s="20">
        <f t="shared" si="28"/>
        <v>154860.30000000002</v>
      </c>
      <c r="F89" s="20">
        <f t="shared" si="28"/>
        <v>4765568.8400000008</v>
      </c>
      <c r="G89" s="20">
        <f t="shared" si="28"/>
        <v>154680.43</v>
      </c>
      <c r="H89" s="20">
        <f t="shared" si="28"/>
        <v>273015.57999999996</v>
      </c>
      <c r="I89" s="20">
        <f t="shared" si="28"/>
        <v>14348.010000000002</v>
      </c>
      <c r="J89" s="20">
        <f t="shared" si="28"/>
        <v>179488.75</v>
      </c>
      <c r="K89" s="20">
        <f t="shared" si="28"/>
        <v>18512.550000000003</v>
      </c>
      <c r="L89" s="20">
        <f t="shared" si="28"/>
        <v>2154.9000000000005</v>
      </c>
      <c r="M89" s="20">
        <f t="shared" si="28"/>
        <v>0</v>
      </c>
      <c r="N89" s="20">
        <f t="shared" si="28"/>
        <v>6213.380000000001</v>
      </c>
      <c r="O89" s="20">
        <f t="shared" si="28"/>
        <v>0</v>
      </c>
      <c r="P89" s="20">
        <f t="shared" si="28"/>
        <v>0</v>
      </c>
      <c r="Q89" s="20">
        <f t="shared" si="28"/>
        <v>0</v>
      </c>
      <c r="R89" s="10">
        <f t="shared" si="9"/>
        <v>12460252.300000003</v>
      </c>
      <c r="T89" s="1093">
        <f t="shared" si="11"/>
        <v>648413.60000000009</v>
      </c>
      <c r="V89" s="1193"/>
    </row>
    <row r="90" spans="1:22">
      <c r="A90" s="1" t="s">
        <v>20</v>
      </c>
      <c r="B90" s="20">
        <f t="shared" ref="B90:Q90" si="29">B24+B57</f>
        <v>672576.19</v>
      </c>
      <c r="C90" s="20">
        <f t="shared" si="29"/>
        <v>312125.13000000006</v>
      </c>
      <c r="D90" s="20">
        <f t="shared" si="29"/>
        <v>50424.520000000004</v>
      </c>
      <c r="E90" s="20">
        <f t="shared" si="29"/>
        <v>13676.79</v>
      </c>
      <c r="F90" s="20">
        <f t="shared" si="29"/>
        <v>786319.33000000007</v>
      </c>
      <c r="G90" s="20">
        <f t="shared" si="29"/>
        <v>19188.63</v>
      </c>
      <c r="H90" s="20">
        <f t="shared" si="29"/>
        <v>51765.919999999998</v>
      </c>
      <c r="I90" s="20">
        <f t="shared" si="29"/>
        <v>3994.17</v>
      </c>
      <c r="J90" s="20">
        <f t="shared" si="29"/>
        <v>36085.850000000006</v>
      </c>
      <c r="K90" s="20">
        <f t="shared" si="29"/>
        <v>979.50000000000023</v>
      </c>
      <c r="L90" s="20">
        <f t="shared" si="29"/>
        <v>0</v>
      </c>
      <c r="M90" s="20">
        <f t="shared" si="29"/>
        <v>0</v>
      </c>
      <c r="N90" s="20">
        <f t="shared" si="29"/>
        <v>598.1099999999999</v>
      </c>
      <c r="O90" s="20">
        <f t="shared" si="29"/>
        <v>47.62</v>
      </c>
      <c r="P90" s="20">
        <f t="shared" si="29"/>
        <v>0</v>
      </c>
      <c r="Q90" s="20">
        <f t="shared" si="29"/>
        <v>0</v>
      </c>
      <c r="R90" s="10">
        <f t="shared" si="9"/>
        <v>1947781.7600000002</v>
      </c>
      <c r="T90" s="1093">
        <f t="shared" si="11"/>
        <v>112659.8</v>
      </c>
      <c r="V90" s="1193"/>
    </row>
    <row r="91" spans="1:22">
      <c r="A91" s="1" t="s">
        <v>19</v>
      </c>
      <c r="B91" s="20">
        <f t="shared" ref="B91:Q91" si="30">B25+B58</f>
        <v>4954400.0200000014</v>
      </c>
      <c r="C91" s="20">
        <f t="shared" si="30"/>
        <v>1217383.8599999999</v>
      </c>
      <c r="D91" s="20">
        <f t="shared" si="30"/>
        <v>695337.19</v>
      </c>
      <c r="E91" s="20">
        <f t="shared" si="30"/>
        <v>220196.06000000003</v>
      </c>
      <c r="F91" s="20">
        <f t="shared" si="30"/>
        <v>8394709.7899999991</v>
      </c>
      <c r="G91" s="20">
        <f t="shared" si="30"/>
        <v>77753.16</v>
      </c>
      <c r="H91" s="20">
        <f t="shared" si="30"/>
        <v>215453.08000000002</v>
      </c>
      <c r="I91" s="20">
        <f t="shared" si="30"/>
        <v>15522.050000000001</v>
      </c>
      <c r="J91" s="20">
        <f t="shared" si="30"/>
        <v>191909.90000000002</v>
      </c>
      <c r="K91" s="20">
        <f t="shared" si="30"/>
        <v>30070.65</v>
      </c>
      <c r="L91" s="20">
        <f t="shared" si="30"/>
        <v>1959.0000000000005</v>
      </c>
      <c r="M91" s="20">
        <f t="shared" si="30"/>
        <v>3074.6800000000003</v>
      </c>
      <c r="N91" s="20">
        <f t="shared" si="30"/>
        <v>2424.7299999999996</v>
      </c>
      <c r="O91" s="20">
        <f t="shared" si="30"/>
        <v>0</v>
      </c>
      <c r="P91" s="20">
        <f t="shared" si="30"/>
        <v>0</v>
      </c>
      <c r="Q91" s="20">
        <f t="shared" si="30"/>
        <v>0</v>
      </c>
      <c r="R91" s="10">
        <f t="shared" si="9"/>
        <v>16020194.17</v>
      </c>
      <c r="T91" s="1093">
        <f t="shared" si="11"/>
        <v>538167.25</v>
      </c>
      <c r="V91" s="1193"/>
    </row>
    <row r="92" spans="1:22">
      <c r="A92" s="16" t="s">
        <v>21</v>
      </c>
      <c r="B92" s="20">
        <f t="shared" ref="B92:Q92" si="31">B26+B59</f>
        <v>314321.27</v>
      </c>
      <c r="C92" s="20">
        <f t="shared" si="31"/>
        <v>90457.760000000009</v>
      </c>
      <c r="D92" s="20">
        <f t="shared" si="31"/>
        <v>37124.23000000001</v>
      </c>
      <c r="E92" s="20">
        <f t="shared" si="31"/>
        <v>15219.859999999999</v>
      </c>
      <c r="F92" s="20">
        <f t="shared" si="31"/>
        <v>927212.90000000014</v>
      </c>
      <c r="G92" s="20">
        <f t="shared" si="31"/>
        <v>15280.2</v>
      </c>
      <c r="H92" s="20">
        <f t="shared" si="31"/>
        <v>11833.310000000001</v>
      </c>
      <c r="I92" s="20">
        <f t="shared" si="31"/>
        <v>0</v>
      </c>
      <c r="J92" s="20">
        <f t="shared" si="31"/>
        <v>16112.72</v>
      </c>
      <c r="K92" s="20">
        <f t="shared" si="31"/>
        <v>3330.3</v>
      </c>
      <c r="L92" s="20">
        <f t="shared" si="31"/>
        <v>0</v>
      </c>
      <c r="M92" s="20">
        <f t="shared" si="31"/>
        <v>0</v>
      </c>
      <c r="N92" s="20">
        <f t="shared" si="31"/>
        <v>171.42</v>
      </c>
      <c r="O92" s="20">
        <f t="shared" si="31"/>
        <v>0</v>
      </c>
      <c r="P92" s="20">
        <f t="shared" si="31"/>
        <v>598.83000000000004</v>
      </c>
      <c r="Q92" s="20">
        <f t="shared" si="31"/>
        <v>1615.8400000000004</v>
      </c>
      <c r="R92" s="10">
        <f t="shared" si="9"/>
        <v>1433278.6400000001</v>
      </c>
      <c r="T92" s="1093">
        <f t="shared" si="11"/>
        <v>48942.62000000001</v>
      </c>
      <c r="V92" s="1193"/>
    </row>
    <row r="93" spans="1:22">
      <c r="A93" s="2" t="s">
        <v>22</v>
      </c>
      <c r="B93" s="20">
        <f t="shared" ref="B93:Q93" si="32">B27+B60</f>
        <v>56244.63</v>
      </c>
      <c r="C93" s="20">
        <f t="shared" si="32"/>
        <v>7458.7800000000007</v>
      </c>
      <c r="D93" s="20">
        <f t="shared" si="32"/>
        <v>8675.94</v>
      </c>
      <c r="E93" s="20">
        <f t="shared" si="32"/>
        <v>2278.5500000000002</v>
      </c>
      <c r="F93" s="20">
        <f t="shared" si="32"/>
        <v>118497.17000000001</v>
      </c>
      <c r="G93" s="20">
        <f t="shared" si="32"/>
        <v>2938.5</v>
      </c>
      <c r="H93" s="20">
        <f t="shared" si="32"/>
        <v>1234.3000000000002</v>
      </c>
      <c r="I93" s="20">
        <f t="shared" si="32"/>
        <v>0</v>
      </c>
      <c r="J93" s="20">
        <f t="shared" si="32"/>
        <v>2234.6799999999998</v>
      </c>
      <c r="K93" s="20">
        <f t="shared" si="32"/>
        <v>97.950000000000017</v>
      </c>
      <c r="L93" s="20">
        <f t="shared" si="32"/>
        <v>0</v>
      </c>
      <c r="M93" s="20">
        <f t="shared" si="32"/>
        <v>0</v>
      </c>
      <c r="N93" s="20">
        <f t="shared" si="32"/>
        <v>0</v>
      </c>
      <c r="O93" s="20">
        <f t="shared" si="32"/>
        <v>0</v>
      </c>
      <c r="P93" s="20">
        <f t="shared" si="32"/>
        <v>0</v>
      </c>
      <c r="Q93" s="20">
        <f t="shared" si="32"/>
        <v>0</v>
      </c>
      <c r="R93" s="10">
        <f t="shared" si="9"/>
        <v>199660.5</v>
      </c>
      <c r="T93" s="1093">
        <f t="shared" si="11"/>
        <v>6505.4299999999994</v>
      </c>
      <c r="V93" s="1193"/>
    </row>
    <row r="94" spans="1:22">
      <c r="A94" s="1" t="s">
        <v>23</v>
      </c>
      <c r="B94" s="20">
        <f t="shared" ref="B94:Q94" si="33">B28+B61</f>
        <v>3267844.7600000002</v>
      </c>
      <c r="C94" s="20">
        <f t="shared" si="33"/>
        <v>605489.32000000007</v>
      </c>
      <c r="D94" s="20">
        <f t="shared" si="33"/>
        <v>440803.44000000012</v>
      </c>
      <c r="E94" s="20">
        <f t="shared" si="33"/>
        <v>82448.62</v>
      </c>
      <c r="F94" s="20">
        <f t="shared" si="33"/>
        <v>5367165.1100000003</v>
      </c>
      <c r="G94" s="20">
        <f t="shared" si="33"/>
        <v>64154.060000000012</v>
      </c>
      <c r="H94" s="20">
        <f t="shared" si="33"/>
        <v>106150.00000000001</v>
      </c>
      <c r="I94" s="20">
        <f t="shared" si="33"/>
        <v>2668.9000000000005</v>
      </c>
      <c r="J94" s="20">
        <f t="shared" si="33"/>
        <v>98383.359999999986</v>
      </c>
      <c r="K94" s="20">
        <f t="shared" si="33"/>
        <v>14979.970000000001</v>
      </c>
      <c r="L94" s="20">
        <f t="shared" si="33"/>
        <v>1175.4000000000001</v>
      </c>
      <c r="M94" s="20">
        <f t="shared" si="33"/>
        <v>0</v>
      </c>
      <c r="N94" s="20">
        <f t="shared" si="33"/>
        <v>1368.57</v>
      </c>
      <c r="O94" s="20">
        <f t="shared" si="33"/>
        <v>0</v>
      </c>
      <c r="P94" s="20">
        <f t="shared" si="33"/>
        <v>0</v>
      </c>
      <c r="Q94" s="20">
        <f t="shared" si="33"/>
        <v>0</v>
      </c>
      <c r="R94" s="10">
        <f t="shared" si="9"/>
        <v>10052631.510000002</v>
      </c>
      <c r="T94" s="1093">
        <f t="shared" si="11"/>
        <v>288880.26000000007</v>
      </c>
      <c r="V94" s="1193"/>
    </row>
    <row r="95" spans="1:22">
      <c r="A95" s="1" t="s">
        <v>25</v>
      </c>
      <c r="B95" s="20">
        <f t="shared" ref="B95:Q95" si="34">B29+B62</f>
        <v>17933507.810000002</v>
      </c>
      <c r="C95" s="20">
        <f t="shared" si="34"/>
        <v>5422934.6299999999</v>
      </c>
      <c r="D95" s="20">
        <f t="shared" si="34"/>
        <v>2188666.92</v>
      </c>
      <c r="E95" s="20">
        <f t="shared" si="34"/>
        <v>718411.95000000007</v>
      </c>
      <c r="F95" s="20">
        <f t="shared" si="34"/>
        <v>28717336.040000003</v>
      </c>
      <c r="G95" s="20">
        <f t="shared" si="34"/>
        <v>344670.10000000003</v>
      </c>
      <c r="H95" s="20">
        <f t="shared" si="34"/>
        <v>1254302.78</v>
      </c>
      <c r="I95" s="20">
        <f t="shared" si="34"/>
        <v>18463.5</v>
      </c>
      <c r="J95" s="20">
        <f t="shared" si="34"/>
        <v>689175.83000000007</v>
      </c>
      <c r="K95" s="20">
        <f t="shared" si="34"/>
        <v>71591.88</v>
      </c>
      <c r="L95" s="20">
        <f t="shared" si="34"/>
        <v>6066.52</v>
      </c>
      <c r="M95" s="20">
        <f t="shared" si="34"/>
        <v>680</v>
      </c>
      <c r="N95" s="20">
        <f t="shared" si="34"/>
        <v>19935.120000000003</v>
      </c>
      <c r="O95" s="20">
        <f t="shared" si="34"/>
        <v>238.18999999999994</v>
      </c>
      <c r="P95" s="20">
        <f t="shared" si="34"/>
        <v>7972.4600000000009</v>
      </c>
      <c r="Q95" s="20">
        <f t="shared" si="34"/>
        <v>95167.02</v>
      </c>
      <c r="R95" s="10">
        <f>SUM(B95:Q95)</f>
        <v>57489120.750000007</v>
      </c>
      <c r="T95" s="1093">
        <f t="shared" si="11"/>
        <v>2508263.4</v>
      </c>
      <c r="V95" s="1193"/>
    </row>
    <row r="96" spans="1:22">
      <c r="A96" s="1" t="s">
        <v>24</v>
      </c>
      <c r="B96" s="20">
        <f t="shared" ref="B96:Q96" si="35">B30+B63</f>
        <v>411481.95</v>
      </c>
      <c r="C96" s="20">
        <f t="shared" si="35"/>
        <v>161881.72999999998</v>
      </c>
      <c r="D96" s="20">
        <f t="shared" si="35"/>
        <v>37364.050000000003</v>
      </c>
      <c r="E96" s="20">
        <f t="shared" si="35"/>
        <v>8724.3499999999985</v>
      </c>
      <c r="F96" s="20">
        <f t="shared" si="35"/>
        <v>654075.01000000013</v>
      </c>
      <c r="G96" s="20">
        <f t="shared" si="35"/>
        <v>18022.800000000003</v>
      </c>
      <c r="H96" s="20">
        <f t="shared" si="35"/>
        <v>21818.370000000003</v>
      </c>
      <c r="I96" s="20">
        <f t="shared" si="35"/>
        <v>2558.52</v>
      </c>
      <c r="J96" s="20">
        <f t="shared" si="35"/>
        <v>23312.16</v>
      </c>
      <c r="K96" s="20">
        <f t="shared" si="35"/>
        <v>3428.2500000000005</v>
      </c>
      <c r="L96" s="20">
        <f t="shared" si="35"/>
        <v>0</v>
      </c>
      <c r="M96" s="20">
        <f t="shared" si="35"/>
        <v>0</v>
      </c>
      <c r="N96" s="20">
        <f t="shared" si="35"/>
        <v>142.85</v>
      </c>
      <c r="O96" s="20">
        <f t="shared" si="35"/>
        <v>47.62</v>
      </c>
      <c r="P96" s="20">
        <f t="shared" si="35"/>
        <v>0</v>
      </c>
      <c r="Q96" s="20">
        <f t="shared" si="35"/>
        <v>2665.84</v>
      </c>
      <c r="R96" s="10">
        <f t="shared" si="9"/>
        <v>1345523.5000000005</v>
      </c>
      <c r="T96" s="1093">
        <f t="shared" si="11"/>
        <v>71996.41</v>
      </c>
      <c r="V96" s="1193"/>
    </row>
    <row r="97" spans="1:22">
      <c r="A97" s="1" t="s">
        <v>26</v>
      </c>
      <c r="B97" s="20">
        <f t="shared" ref="B97:Q97" si="36">B31+B64</f>
        <v>213448.99000000005</v>
      </c>
      <c r="C97" s="20">
        <f t="shared" si="36"/>
        <v>89413.86</v>
      </c>
      <c r="D97" s="20">
        <f t="shared" si="36"/>
        <v>31206.86</v>
      </c>
      <c r="E97" s="20">
        <f t="shared" si="36"/>
        <v>17012.45</v>
      </c>
      <c r="F97" s="20">
        <f t="shared" si="36"/>
        <v>443744.46</v>
      </c>
      <c r="G97" s="20">
        <f t="shared" si="36"/>
        <v>9697.0500000000011</v>
      </c>
      <c r="H97" s="20">
        <f t="shared" si="36"/>
        <v>14878.970000000001</v>
      </c>
      <c r="I97" s="20">
        <f t="shared" si="36"/>
        <v>831.41000000000008</v>
      </c>
      <c r="J97" s="20">
        <f t="shared" si="36"/>
        <v>14050.62</v>
      </c>
      <c r="K97" s="20">
        <f t="shared" si="36"/>
        <v>3232.3500000000004</v>
      </c>
      <c r="L97" s="20">
        <f t="shared" si="36"/>
        <v>0</v>
      </c>
      <c r="M97" s="20">
        <f t="shared" si="36"/>
        <v>0</v>
      </c>
      <c r="N97" s="20">
        <f t="shared" si="36"/>
        <v>85.710000000000008</v>
      </c>
      <c r="O97" s="20">
        <f t="shared" si="36"/>
        <v>0</v>
      </c>
      <c r="P97" s="20">
        <f t="shared" si="36"/>
        <v>254.54999999999998</v>
      </c>
      <c r="Q97" s="20">
        <f t="shared" si="36"/>
        <v>362.46000000000004</v>
      </c>
      <c r="R97" s="10">
        <f t="shared" si="9"/>
        <v>838219.74000000011</v>
      </c>
      <c r="T97" s="1093">
        <f t="shared" si="11"/>
        <v>43393.120000000003</v>
      </c>
      <c r="V97" s="1193"/>
    </row>
    <row r="98" spans="1:22">
      <c r="A98" s="7" t="s">
        <v>37</v>
      </c>
      <c r="B98" s="21">
        <f t="shared" ref="B98:R98" si="37">SUM(B71:B97)</f>
        <v>54822531.620000005</v>
      </c>
      <c r="C98" s="21">
        <f t="shared" si="37"/>
        <v>16565108.539999999</v>
      </c>
      <c r="D98" s="21">
        <f t="shared" si="37"/>
        <v>6969292.370000002</v>
      </c>
      <c r="E98" s="21">
        <f t="shared" si="37"/>
        <v>2136068.6700000009</v>
      </c>
      <c r="F98" s="21">
        <f t="shared" si="37"/>
        <v>81413494.150000006</v>
      </c>
      <c r="G98" s="21">
        <f t="shared" si="37"/>
        <v>1361035.7500000002</v>
      </c>
      <c r="H98" s="21">
        <f t="shared" si="37"/>
        <v>3211843.1500000004</v>
      </c>
      <c r="I98" s="21">
        <f t="shared" si="37"/>
        <v>148061.07999999999</v>
      </c>
      <c r="J98" s="21">
        <f t="shared" si="37"/>
        <v>2290452.6300000004</v>
      </c>
      <c r="K98" s="21">
        <f t="shared" si="37"/>
        <v>297887.33999999997</v>
      </c>
      <c r="L98" s="21">
        <f t="shared" si="37"/>
        <v>20556.739999999998</v>
      </c>
      <c r="M98" s="21">
        <f t="shared" si="37"/>
        <v>24648.44</v>
      </c>
      <c r="N98" s="14">
        <f t="shared" si="37"/>
        <v>49310.179999999993</v>
      </c>
      <c r="O98" s="14">
        <f t="shared" si="37"/>
        <v>333.42999999999995</v>
      </c>
      <c r="P98" s="14">
        <f t="shared" si="37"/>
        <v>9729.26</v>
      </c>
      <c r="Q98" s="14">
        <f t="shared" si="37"/>
        <v>105460.71</v>
      </c>
      <c r="R98" s="6">
        <f t="shared" si="37"/>
        <v>169425814.06000003</v>
      </c>
      <c r="T98" s="1093">
        <f>SUM(T71:T97)</f>
        <v>7519318.71</v>
      </c>
      <c r="V98" s="1193"/>
    </row>
    <row r="99" spans="1:22">
      <c r="B99" s="1093">
        <f>B98-'ARRECADAÇÃO MENSAL POR RECEITA'!B17</f>
        <v>0</v>
      </c>
      <c r="C99" s="1093">
        <f>C98-'ARRECADAÇÃO MENSAL POR RECEITA'!C17</f>
        <v>0</v>
      </c>
      <c r="D99" s="1093">
        <f>D98-'ARRECADAÇÃO MENSAL POR RECEITA'!D17</f>
        <v>0</v>
      </c>
      <c r="E99" s="1093">
        <f>E98-'ARRECADAÇÃO MENSAL POR RECEITA'!E17</f>
        <v>0</v>
      </c>
      <c r="F99" s="1093">
        <f>F98-'ARRECADAÇÃO MENSAL POR RECEITA'!F17</f>
        <v>0</v>
      </c>
      <c r="G99" s="1093">
        <f>G98-'ARRECADAÇÃO MENSAL POR RECEITA'!G17</f>
        <v>0</v>
      </c>
      <c r="H99" s="1093">
        <f>H98-'ARRECADAÇÃO MENSAL POR RECEITA'!H17</f>
        <v>0</v>
      </c>
      <c r="I99" s="1093">
        <f>I98-'ARRECADAÇÃO MENSAL POR RECEITA'!I17</f>
        <v>0</v>
      </c>
      <c r="J99" s="1093">
        <f>J98-'ARRECADAÇÃO MENSAL POR RECEITA'!J17</f>
        <v>0</v>
      </c>
      <c r="K99" s="1093">
        <f>K98-'ARRECADAÇÃO MENSAL POR RECEITA'!K17</f>
        <v>0</v>
      </c>
      <c r="L99" s="1093">
        <f>L98-'ARRECADAÇÃO MENSAL POR RECEITA'!L17</f>
        <v>0</v>
      </c>
      <c r="M99" s="1093">
        <f>M98-'ARRECADAÇÃO MENSAL POR RECEITA'!M17</f>
        <v>0</v>
      </c>
      <c r="N99" s="1093">
        <f>N98-'ARRECADAÇÃO MENSAL POR RECEITA'!N17</f>
        <v>0</v>
      </c>
      <c r="O99" s="1093">
        <f>O98-'ARRECADAÇÃO MENSAL POR RECEITA'!O17</f>
        <v>0</v>
      </c>
      <c r="P99" s="1093">
        <f>P98-'ARRECADAÇÃO MENSAL POR RECEITA'!P17</f>
        <v>0</v>
      </c>
      <c r="Q99" s="1093">
        <f>Q98-'ARRECADAÇÃO MENSAL POR RECEITA'!Q17</f>
        <v>0</v>
      </c>
      <c r="R99" s="196">
        <f>R98-'ARRECADAÇÃO MENSAL POR RECEITA'!R17</f>
        <v>0</v>
      </c>
    </row>
    <row r="100" spans="1:22">
      <c r="A100" s="1101"/>
      <c r="B100" s="1101"/>
      <c r="C100" s="1101"/>
      <c r="D100" s="1101"/>
      <c r="E100" s="1101"/>
      <c r="F100" s="1101"/>
      <c r="G100" s="1101"/>
      <c r="H100" s="1101"/>
      <c r="I100" s="1101"/>
      <c r="J100" s="1101"/>
      <c r="K100" s="1101"/>
      <c r="L100" s="1101"/>
      <c r="M100" s="1101"/>
      <c r="N100" s="1101"/>
      <c r="O100" s="1101"/>
      <c r="P100" s="1101"/>
      <c r="Q100" s="1101"/>
      <c r="R100" s="1101"/>
    </row>
    <row r="101" spans="1:22">
      <c r="A101" s="1101"/>
      <c r="B101" s="1101"/>
      <c r="C101" s="1101"/>
      <c r="D101" s="1101"/>
      <c r="E101" s="1101"/>
      <c r="F101" s="1101"/>
      <c r="G101" s="1101"/>
      <c r="H101" s="1101"/>
      <c r="I101" s="1101"/>
      <c r="J101" s="1101"/>
      <c r="K101" s="1101"/>
      <c r="L101" s="1101"/>
      <c r="M101" s="1101"/>
      <c r="N101" s="1101"/>
      <c r="O101" s="1101"/>
      <c r="P101" s="1101"/>
      <c r="Q101" s="1101"/>
      <c r="R101" s="1101"/>
    </row>
    <row r="102" spans="1:22">
      <c r="A102" s="1101"/>
      <c r="B102" s="1101"/>
      <c r="C102" s="1101"/>
      <c r="D102" s="1101"/>
      <c r="E102" s="1101"/>
      <c r="F102" s="1101"/>
      <c r="G102" s="1101"/>
      <c r="H102" s="1101"/>
      <c r="I102" s="1101"/>
      <c r="J102" s="1101"/>
      <c r="K102" s="1101"/>
      <c r="L102" s="1101"/>
      <c r="M102" s="1101"/>
      <c r="N102" s="1101"/>
      <c r="O102" s="1101"/>
      <c r="P102" s="1101"/>
      <c r="Q102" s="1101"/>
      <c r="R102" s="1101"/>
    </row>
    <row r="103" spans="1:22">
      <c r="A103" s="1101"/>
      <c r="B103" s="1101"/>
      <c r="C103" s="1101"/>
      <c r="D103" s="1101"/>
      <c r="E103" s="1101"/>
      <c r="F103" s="1101"/>
      <c r="G103" s="1101"/>
      <c r="H103" s="1101"/>
      <c r="I103" s="1101"/>
      <c r="J103" s="1101"/>
      <c r="K103" s="1101"/>
      <c r="L103" s="1101"/>
      <c r="M103" s="1101"/>
      <c r="N103" s="1101"/>
      <c r="O103" s="1101"/>
      <c r="P103" s="1101"/>
      <c r="Q103" s="1101"/>
      <c r="R103" s="1101"/>
    </row>
    <row r="104" spans="1:22">
      <c r="A104" s="1101"/>
      <c r="B104" s="1101"/>
      <c r="C104" s="1101"/>
      <c r="D104" s="1101"/>
      <c r="E104" s="1101"/>
      <c r="F104" s="1101"/>
      <c r="G104" s="1101"/>
      <c r="H104" s="1101"/>
      <c r="I104" s="1101"/>
      <c r="J104" s="1101"/>
      <c r="K104" s="1101"/>
      <c r="L104" s="1101"/>
      <c r="M104" s="1101"/>
      <c r="N104" s="1101"/>
      <c r="O104" s="1101"/>
      <c r="P104" s="1101"/>
      <c r="Q104" s="1101"/>
      <c r="R104" s="1101"/>
    </row>
    <row r="105" spans="1:22">
      <c r="A105" s="1101"/>
      <c r="B105" s="1101"/>
      <c r="C105" s="1101"/>
      <c r="D105" s="1101"/>
      <c r="E105" s="1101"/>
      <c r="F105" s="1101"/>
      <c r="G105" s="1101"/>
      <c r="H105" s="1101"/>
      <c r="I105" s="1101"/>
      <c r="J105" s="1101"/>
      <c r="K105" s="1101"/>
      <c r="L105" s="1101"/>
      <c r="M105" s="1101"/>
      <c r="N105" s="1101"/>
      <c r="O105" s="1101"/>
      <c r="P105" s="1101"/>
      <c r="Q105" s="1101"/>
      <c r="R105" s="1101"/>
    </row>
    <row r="106" spans="1:22">
      <c r="A106" s="1101"/>
      <c r="B106" s="1101"/>
      <c r="C106" s="1101"/>
      <c r="D106" s="1101"/>
      <c r="E106" s="1101"/>
      <c r="F106" s="1101"/>
      <c r="G106" s="1101"/>
      <c r="H106" s="1101"/>
      <c r="I106" s="1101"/>
      <c r="J106" s="1101"/>
      <c r="K106" s="1101"/>
      <c r="L106" s="1101"/>
      <c r="M106" s="1101"/>
      <c r="N106" s="1101"/>
      <c r="O106" s="1101"/>
      <c r="P106" s="1101"/>
      <c r="Q106" s="1101"/>
      <c r="R106" s="1101"/>
    </row>
    <row r="107" spans="1:22">
      <c r="A107" s="1101"/>
      <c r="B107" s="1101"/>
      <c r="C107" s="1101"/>
      <c r="D107" s="1101"/>
      <c r="E107" s="1101"/>
      <c r="F107" s="1101"/>
      <c r="G107" s="1101"/>
      <c r="H107" s="1101"/>
      <c r="I107" s="1101"/>
      <c r="J107" s="1101"/>
      <c r="K107" s="1101"/>
      <c r="L107" s="1101"/>
      <c r="M107" s="1101"/>
      <c r="N107" s="1101"/>
      <c r="O107" s="1101"/>
      <c r="P107" s="1101"/>
      <c r="Q107" s="1101"/>
      <c r="R107" s="1101"/>
    </row>
    <row r="108" spans="1:22">
      <c r="A108" s="1101"/>
      <c r="B108" s="1101"/>
      <c r="C108" s="1101"/>
      <c r="D108" s="1101"/>
      <c r="E108" s="1101"/>
      <c r="F108" s="1101"/>
      <c r="G108" s="1101"/>
      <c r="H108" s="1101"/>
      <c r="I108" s="1101"/>
      <c r="J108" s="1101"/>
      <c r="K108" s="1101"/>
      <c r="L108" s="1101"/>
      <c r="M108" s="1101"/>
      <c r="N108" s="1101"/>
      <c r="O108" s="1101"/>
      <c r="P108" s="1101"/>
      <c r="Q108" s="1101"/>
      <c r="R108" s="1101"/>
      <c r="S108" s="1193"/>
    </row>
    <row r="109" spans="1:22">
      <c r="A109" s="1101"/>
      <c r="B109" s="1101"/>
      <c r="C109" s="1101"/>
      <c r="D109" s="1101"/>
      <c r="E109" s="1101"/>
      <c r="F109" s="1101"/>
      <c r="G109" s="1101"/>
      <c r="H109" s="1101"/>
      <c r="I109" s="1101"/>
      <c r="J109" s="1101"/>
      <c r="K109" s="1101"/>
      <c r="L109" s="1101"/>
      <c r="M109" s="1101"/>
      <c r="N109" s="1101"/>
      <c r="O109" s="1101"/>
      <c r="P109" s="1101"/>
      <c r="Q109" s="1101"/>
      <c r="R109" s="1101"/>
    </row>
  </sheetData>
  <mergeCells count="48">
    <mergeCell ref="A68:R68"/>
    <mergeCell ref="A69:A70"/>
    <mergeCell ref="B69:C69"/>
    <mergeCell ref="D69:E69"/>
    <mergeCell ref="F69:F70"/>
    <mergeCell ref="G69:G70"/>
    <mergeCell ref="H69:H70"/>
    <mergeCell ref="I69:I70"/>
    <mergeCell ref="J69:J70"/>
    <mergeCell ref="K69:K70"/>
    <mergeCell ref="L69:L70"/>
    <mergeCell ref="M69:M70"/>
    <mergeCell ref="N69:N70"/>
    <mergeCell ref="R69:R70"/>
    <mergeCell ref="P69:Q69"/>
    <mergeCell ref="O69:O70"/>
    <mergeCell ref="A35:R35"/>
    <mergeCell ref="A36:A37"/>
    <mergeCell ref="B36:C36"/>
    <mergeCell ref="D36:E36"/>
    <mergeCell ref="F36:F37"/>
    <mergeCell ref="G36:G37"/>
    <mergeCell ref="H36:H37"/>
    <mergeCell ref="I36:I37"/>
    <mergeCell ref="J36:J37"/>
    <mergeCell ref="K36:K37"/>
    <mergeCell ref="L36:L37"/>
    <mergeCell ref="M36:M37"/>
    <mergeCell ref="N36:N37"/>
    <mergeCell ref="R36:R37"/>
    <mergeCell ref="P36:Q36"/>
    <mergeCell ref="O36:O37"/>
    <mergeCell ref="A2:R2"/>
    <mergeCell ref="A3:A4"/>
    <mergeCell ref="B3:C3"/>
    <mergeCell ref="D3:E3"/>
    <mergeCell ref="F3:F4"/>
    <mergeCell ref="G3:G4"/>
    <mergeCell ref="H3:H4"/>
    <mergeCell ref="I3:I4"/>
    <mergeCell ref="J3:J4"/>
    <mergeCell ref="K3:K4"/>
    <mergeCell ref="L3:L4"/>
    <mergeCell ref="M3:M4"/>
    <mergeCell ref="N3:N4"/>
    <mergeCell ref="R3:R4"/>
    <mergeCell ref="P3:Q3"/>
    <mergeCell ref="O3:O4"/>
  </mergeCells>
  <pageMargins left="0.511811024" right="0.511811024" top="0.78740157499999996" bottom="0.78740157499999996" header="0.31496062000000002" footer="0.31496062000000002"/>
  <pageSetup paperSize="9" scale="50" fitToHeight="0" orientation="landscape" verticalDpi="0" r:id="rId1"/>
  <rowBreaks count="2" manualBreakCount="2">
    <brk id="33" max="16383" man="1"/>
    <brk id="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T32"/>
  <sheetViews>
    <sheetView zoomScale="70" zoomScaleNormal="70" zoomScaleSheetLayoutView="80" workbookViewId="0">
      <selection sqref="A1:AC1"/>
    </sheetView>
  </sheetViews>
  <sheetFormatPr defaultRowHeight="15"/>
  <cols>
    <col min="1" max="1" width="19.5703125" style="12" bestFit="1" customWidth="1"/>
    <col min="2" max="20" width="21.28515625" style="12" customWidth="1"/>
    <col min="21" max="16384" width="9.140625" style="12"/>
  </cols>
  <sheetData>
    <row r="1" spans="1:20" ht="15.75" thickBot="1"/>
    <row r="2" spans="1:20" ht="47.25" thickBot="1">
      <c r="A2" s="1244" t="s">
        <v>39</v>
      </c>
      <c r="B2" s="1245"/>
      <c r="C2" s="1245"/>
      <c r="D2" s="1245"/>
      <c r="E2" s="1245"/>
      <c r="F2" s="1245"/>
      <c r="G2" s="1245"/>
      <c r="H2" s="1245"/>
      <c r="I2" s="1245"/>
      <c r="J2" s="1245"/>
      <c r="K2" s="1245"/>
      <c r="L2" s="1245"/>
      <c r="M2" s="1245"/>
      <c r="N2" s="1245"/>
      <c r="O2" s="1245"/>
      <c r="P2" s="1245"/>
      <c r="Q2" s="1245"/>
      <c r="R2" s="1246"/>
    </row>
    <row r="3" spans="1:20" s="1087" customFormat="1" ht="35.1" customHeight="1">
      <c r="A3" s="1242" t="s">
        <v>33</v>
      </c>
      <c r="B3" s="1247" t="s">
        <v>27</v>
      </c>
      <c r="C3" s="1248"/>
      <c r="D3" s="1247" t="s">
        <v>29</v>
      </c>
      <c r="E3" s="1248"/>
      <c r="F3" s="1242" t="s">
        <v>28</v>
      </c>
      <c r="G3" s="1242" t="s">
        <v>36</v>
      </c>
      <c r="H3" s="1242" t="s">
        <v>30</v>
      </c>
      <c r="I3" s="1242" t="s">
        <v>31</v>
      </c>
      <c r="J3" s="1242" t="s">
        <v>32</v>
      </c>
      <c r="K3" s="1242" t="s">
        <v>35</v>
      </c>
      <c r="L3" s="1242" t="s">
        <v>40</v>
      </c>
      <c r="M3" s="1242" t="s">
        <v>42</v>
      </c>
      <c r="N3" s="1242" t="s">
        <v>45</v>
      </c>
      <c r="O3" s="1238" t="s">
        <v>411</v>
      </c>
      <c r="P3" s="1240" t="s">
        <v>51</v>
      </c>
      <c r="Q3" s="1241"/>
      <c r="R3" s="1242" t="s">
        <v>34</v>
      </c>
    </row>
    <row r="4" spans="1:20" s="1087" customFormat="1" ht="35.1" customHeight="1">
      <c r="A4" s="1239"/>
      <c r="B4" s="28" t="s">
        <v>43</v>
      </c>
      <c r="C4" s="1076" t="s">
        <v>44</v>
      </c>
      <c r="D4" s="28" t="s">
        <v>43</v>
      </c>
      <c r="E4" s="1076" t="s">
        <v>44</v>
      </c>
      <c r="F4" s="1239"/>
      <c r="G4" s="1239"/>
      <c r="H4" s="1239"/>
      <c r="I4" s="1239"/>
      <c r="J4" s="1239"/>
      <c r="K4" s="1239"/>
      <c r="L4" s="1239"/>
      <c r="M4" s="1239"/>
      <c r="N4" s="1239"/>
      <c r="O4" s="1239"/>
      <c r="P4" s="1075" t="s">
        <v>52</v>
      </c>
      <c r="Q4" s="1075" t="s">
        <v>53</v>
      </c>
      <c r="R4" s="1239"/>
    </row>
    <row r="5" spans="1:20" s="1087" customFormat="1">
      <c r="A5" s="15" t="s">
        <v>434</v>
      </c>
      <c r="B5" s="20">
        <f>JAN!L135</f>
        <v>11752892.600000001</v>
      </c>
      <c r="C5" s="20">
        <f>JAN!M135</f>
        <v>2232851.5199999996</v>
      </c>
      <c r="D5" s="20">
        <f>JAN!N135</f>
        <v>1353434.86</v>
      </c>
      <c r="E5" s="20">
        <f>JAN!O135</f>
        <v>320293.44</v>
      </c>
      <c r="F5" s="20">
        <f>JAN!P135</f>
        <v>6095755.0300000012</v>
      </c>
      <c r="G5" s="20">
        <f>JAN!Q135</f>
        <v>96499.93</v>
      </c>
      <c r="H5" s="20">
        <f>JAN!R135</f>
        <v>324968.28000000003</v>
      </c>
      <c r="I5" s="20">
        <f>JAN!S135</f>
        <v>19142.980000000003</v>
      </c>
      <c r="J5" s="20">
        <f>JAN!T135</f>
        <v>345575.94999999995</v>
      </c>
      <c r="K5" s="20">
        <f>JAN!U135</f>
        <v>18338.04</v>
      </c>
      <c r="L5" s="20">
        <f>JAN!V135</f>
        <v>2338.04</v>
      </c>
      <c r="M5" s="20">
        <f>JAN!W135</f>
        <v>1019.5699999999999</v>
      </c>
      <c r="N5" s="20">
        <f>JAN!X135</f>
        <v>7769.329999999999</v>
      </c>
      <c r="O5" s="20">
        <v>0</v>
      </c>
      <c r="P5" s="20">
        <f>JAN!Y135</f>
        <v>531.65</v>
      </c>
      <c r="Q5" s="20">
        <f>JAN!Z135</f>
        <v>4976.8</v>
      </c>
      <c r="R5" s="10">
        <f t="shared" ref="R5:R16" si="0">SUM(B5:Q5)</f>
        <v>22576388.02</v>
      </c>
      <c r="S5" s="1113">
        <f>JAN!$AH$102</f>
        <v>22576388.02</v>
      </c>
      <c r="T5" s="91" t="b">
        <f>S5=R5</f>
        <v>1</v>
      </c>
    </row>
    <row r="6" spans="1:20" s="1087" customFormat="1">
      <c r="A6" s="15" t="s">
        <v>435</v>
      </c>
      <c r="B6" s="20">
        <f>FEV!L135</f>
        <v>10989944.309999997</v>
      </c>
      <c r="C6" s="20">
        <f>FEV!M135</f>
        <v>1726374.8700000003</v>
      </c>
      <c r="D6" s="20">
        <f>FEV!N135</f>
        <v>1666209.47</v>
      </c>
      <c r="E6" s="20">
        <f>FEV!O135</f>
        <v>251289.02</v>
      </c>
      <c r="F6" s="20">
        <f>FEV!P135</f>
        <v>6486719.6100000013</v>
      </c>
      <c r="G6" s="20">
        <f>FEV!Q135</f>
        <v>103752.81000000003</v>
      </c>
      <c r="H6" s="20">
        <f>FEV!R135</f>
        <v>290266.30000000005</v>
      </c>
      <c r="I6" s="20">
        <f>FEV!S135</f>
        <v>21292.43</v>
      </c>
      <c r="J6" s="20">
        <f>FEV!T135</f>
        <v>222055.50999999998</v>
      </c>
      <c r="K6" s="20">
        <f>FEV!U135</f>
        <v>22920.299999999996</v>
      </c>
      <c r="L6" s="20">
        <f>FEV!V135</f>
        <v>391.8</v>
      </c>
      <c r="M6" s="20">
        <f>FEV!W135</f>
        <v>1823.72</v>
      </c>
      <c r="N6" s="20">
        <f>FEV!X135</f>
        <v>5456.87</v>
      </c>
      <c r="O6" s="20">
        <v>0</v>
      </c>
      <c r="P6" s="20">
        <f>FEV!Y135</f>
        <v>266.95</v>
      </c>
      <c r="Q6" s="20">
        <f>FEV!Z135</f>
        <v>2299.87</v>
      </c>
      <c r="R6" s="10">
        <f t="shared" si="0"/>
        <v>21791063.840000004</v>
      </c>
      <c r="S6" s="1113">
        <f>FEV!$AH$102</f>
        <v>21791063.839999996</v>
      </c>
      <c r="T6" s="91" t="b">
        <f t="shared" ref="T6:T17" si="1">S6=R6</f>
        <v>1</v>
      </c>
    </row>
    <row r="7" spans="1:20" s="1087" customFormat="1">
      <c r="A7" s="15" t="s">
        <v>436</v>
      </c>
      <c r="B7" s="20">
        <f>MAR!L135</f>
        <v>5937512.1400000006</v>
      </c>
      <c r="C7" s="20">
        <f>MAR!M135</f>
        <v>1590749.9899999998</v>
      </c>
      <c r="D7" s="20">
        <f>MAR!N135</f>
        <v>836933.33000000007</v>
      </c>
      <c r="E7" s="20">
        <f>MAR!O135</f>
        <v>235766.97</v>
      </c>
      <c r="F7" s="20">
        <f>MAR!P135</f>
        <v>6574574.5700000003</v>
      </c>
      <c r="G7" s="20">
        <f>MAR!Q135</f>
        <v>99909.000000000015</v>
      </c>
      <c r="H7" s="20">
        <f>MAR!R135</f>
        <v>288834.28999999998</v>
      </c>
      <c r="I7" s="20">
        <f>MAR!S135</f>
        <v>17967.099999999999</v>
      </c>
      <c r="J7" s="20">
        <f>MAR!T135</f>
        <v>193432.43999999994</v>
      </c>
      <c r="K7" s="20">
        <f>MAR!U135</f>
        <v>22332.6</v>
      </c>
      <c r="L7" s="20">
        <f>MAR!V135</f>
        <v>1959</v>
      </c>
      <c r="M7" s="20">
        <f>MAR!W135</f>
        <v>1615.5</v>
      </c>
      <c r="N7" s="20">
        <f>MAR!X135</f>
        <v>3428.4000000000005</v>
      </c>
      <c r="O7" s="20">
        <v>0</v>
      </c>
      <c r="P7" s="20">
        <f>MAR!Y135</f>
        <v>318.33999999999997</v>
      </c>
      <c r="Q7" s="20">
        <f>MAR!Z135</f>
        <v>6169.5199999999995</v>
      </c>
      <c r="R7" s="10">
        <f t="shared" si="0"/>
        <v>15811503.189999999</v>
      </c>
      <c r="S7" s="1113">
        <f>MAR!AH102</f>
        <v>15811503.190000001</v>
      </c>
      <c r="T7" s="91" t="b">
        <f t="shared" si="1"/>
        <v>1</v>
      </c>
    </row>
    <row r="8" spans="1:20" s="1087" customFormat="1">
      <c r="A8" s="15" t="s">
        <v>437</v>
      </c>
      <c r="B8" s="20">
        <f>ABR!L135</f>
        <v>2597418.4999999995</v>
      </c>
      <c r="C8" s="20">
        <f>ABR!M135</f>
        <v>927376.00000000012</v>
      </c>
      <c r="D8" s="20">
        <f>ABR!N135</f>
        <v>343340.64999999997</v>
      </c>
      <c r="E8" s="20">
        <f>ABR!O135</f>
        <v>117016.25999999998</v>
      </c>
      <c r="F8" s="20">
        <f>ABR!P135</f>
        <v>3768137.8999999994</v>
      </c>
      <c r="G8" s="20">
        <f>ABR!Q135</f>
        <v>69838.349999999991</v>
      </c>
      <c r="H8" s="20">
        <f>ABR!R135</f>
        <v>180820.44</v>
      </c>
      <c r="I8" s="20">
        <f>ABR!S135</f>
        <v>14197.5</v>
      </c>
      <c r="J8" s="20">
        <f>ABR!T135</f>
        <v>96250.810000000027</v>
      </c>
      <c r="K8" s="20">
        <f>ABR!U135</f>
        <v>18708.45</v>
      </c>
      <c r="L8" s="20">
        <f>ABR!V135</f>
        <v>1567.2</v>
      </c>
      <c r="M8" s="20">
        <f>ABR!W135</f>
        <v>3936.95</v>
      </c>
      <c r="N8" s="20">
        <f>ABR!X135</f>
        <v>2142.7500000000005</v>
      </c>
      <c r="O8" s="20">
        <f>ABR!AF102</f>
        <v>0</v>
      </c>
      <c r="P8" s="20">
        <f>ABR!Y135</f>
        <v>101.47999999999999</v>
      </c>
      <c r="Q8" s="20">
        <f>ABR!Z135</f>
        <v>1016.9499999999999</v>
      </c>
      <c r="R8" s="10">
        <f>SUM(B8:Q8)</f>
        <v>8141870.1899999995</v>
      </c>
      <c r="S8" s="1113">
        <f>ABR!AI102</f>
        <v>8141870.1899999985</v>
      </c>
      <c r="T8" s="91" t="b">
        <f t="shared" si="1"/>
        <v>1</v>
      </c>
    </row>
    <row r="9" spans="1:20" s="1087" customFormat="1">
      <c r="A9" s="15" t="s">
        <v>438</v>
      </c>
      <c r="B9" s="20">
        <f>MAI!C102</f>
        <v>2276549.46</v>
      </c>
      <c r="C9" s="20">
        <f>MAI!D102</f>
        <v>821413.83000000019</v>
      </c>
      <c r="D9" s="20">
        <f>MAI!E102</f>
        <v>288865.99</v>
      </c>
      <c r="E9" s="20">
        <f>MAI!F102</f>
        <v>107057.12</v>
      </c>
      <c r="F9" s="20">
        <f>MAI!G102</f>
        <v>4810422.45</v>
      </c>
      <c r="G9" s="20">
        <f>MAI!H102</f>
        <v>65319.750000000007</v>
      </c>
      <c r="H9" s="20">
        <f>MAI!I102</f>
        <v>161239.35000000003</v>
      </c>
      <c r="I9" s="20">
        <f>MAI!J102</f>
        <v>9818.1600000000017</v>
      </c>
      <c r="J9" s="20">
        <f>MAI!K102</f>
        <v>77931.049999999988</v>
      </c>
      <c r="K9" s="20">
        <f>MAI!L102</f>
        <v>32911.199999999997</v>
      </c>
      <c r="L9" s="20">
        <f>MAI!M102</f>
        <v>979.5</v>
      </c>
      <c r="M9" s="20">
        <f>MAI!N102</f>
        <v>3419.48</v>
      </c>
      <c r="N9" s="20">
        <f>MAI!O102</f>
        <v>1828.48</v>
      </c>
      <c r="O9" s="20">
        <f>MAI!P102</f>
        <v>0</v>
      </c>
      <c r="P9" s="20">
        <f>MAI!Q102</f>
        <v>73.28</v>
      </c>
      <c r="Q9" s="20">
        <f>MAI!R102</f>
        <v>876.79</v>
      </c>
      <c r="R9" s="10">
        <f t="shared" si="0"/>
        <v>8658705.8900000006</v>
      </c>
      <c r="S9" s="1113">
        <f>MAI!S102</f>
        <v>8658705.8900000006</v>
      </c>
      <c r="T9" s="91" t="b">
        <f t="shared" si="1"/>
        <v>1</v>
      </c>
    </row>
    <row r="10" spans="1:20" s="1087" customFormat="1">
      <c r="A10" s="15" t="s">
        <v>439</v>
      </c>
      <c r="B10" s="20">
        <f>JUN!C102</f>
        <v>3518472.1999999988</v>
      </c>
      <c r="C10" s="20">
        <f>JUN!D102</f>
        <v>1054654.23</v>
      </c>
      <c r="D10" s="20">
        <f>JUN!E102</f>
        <v>449344.10000000009</v>
      </c>
      <c r="E10" s="20">
        <f>JUN!F102</f>
        <v>144949.47000000003</v>
      </c>
      <c r="F10" s="20">
        <f>JUN!G102</f>
        <v>6235594.9500000002</v>
      </c>
      <c r="G10" s="20">
        <f>JUN!H102</f>
        <v>75705.81</v>
      </c>
      <c r="H10" s="20">
        <f>JUN!I102</f>
        <v>210921.41000000003</v>
      </c>
      <c r="I10" s="20">
        <f>JUN!J102</f>
        <v>15473.249999999998</v>
      </c>
      <c r="J10" s="20">
        <f>JUN!K102</f>
        <v>106432.42</v>
      </c>
      <c r="K10" s="20">
        <f>JUN!L102</f>
        <v>30266.550000000003</v>
      </c>
      <c r="L10" s="20">
        <f>JUN!M102</f>
        <v>1763.1000000000001</v>
      </c>
      <c r="M10" s="20">
        <f>JUN!N102</f>
        <v>851.29</v>
      </c>
      <c r="N10" s="20">
        <f>JUN!O102</f>
        <v>1771.34</v>
      </c>
      <c r="O10" s="20">
        <f>JUN!P102</f>
        <v>0</v>
      </c>
      <c r="P10" s="20">
        <f>JUN!Q102</f>
        <v>536.07000000000005</v>
      </c>
      <c r="Q10" s="20">
        <f>JUN!R102</f>
        <v>5500.6900000000005</v>
      </c>
      <c r="R10" s="10">
        <f t="shared" si="0"/>
        <v>11852236.879999999</v>
      </c>
      <c r="S10" s="1113">
        <f>JUN!S102</f>
        <v>11852236.880000001</v>
      </c>
      <c r="T10" s="91" t="b">
        <f t="shared" si="1"/>
        <v>1</v>
      </c>
    </row>
    <row r="11" spans="1:20" s="1087" customFormat="1">
      <c r="A11" s="15" t="s">
        <v>440</v>
      </c>
      <c r="B11" s="20">
        <f>JUL!C102</f>
        <v>5389885.9299999997</v>
      </c>
      <c r="C11" s="20">
        <f>JUL!D102</f>
        <v>1228828.0899999999</v>
      </c>
      <c r="D11" s="20">
        <f>JUL!E102</f>
        <v>540262.66</v>
      </c>
      <c r="E11" s="20">
        <f>JUL!F102</f>
        <v>165957.5</v>
      </c>
      <c r="F11" s="20">
        <f>JUL!G102</f>
        <v>7568698.5499999989</v>
      </c>
      <c r="G11" s="20">
        <f>JUL!H102</f>
        <v>72776.850000000006</v>
      </c>
      <c r="H11" s="20">
        <f>JUL!I102</f>
        <v>270671.71000000002</v>
      </c>
      <c r="I11" s="20">
        <f>JUL!J102</f>
        <v>5754.51</v>
      </c>
      <c r="J11" s="20">
        <f>JUL!K102</f>
        <v>119861.8</v>
      </c>
      <c r="K11" s="20">
        <f>JUL!L102</f>
        <v>32813.25</v>
      </c>
      <c r="L11" s="20">
        <f>JUL!M102</f>
        <v>979.5</v>
      </c>
      <c r="M11" s="20">
        <f>JUL!N102</f>
        <v>1168.54</v>
      </c>
      <c r="N11" s="20">
        <f>JUL!O102</f>
        <v>3028.4200000000005</v>
      </c>
      <c r="O11" s="20">
        <f>JUL!P102</f>
        <v>47.62</v>
      </c>
      <c r="P11" s="20">
        <f>JUL!Q102</f>
        <v>1257.97</v>
      </c>
      <c r="Q11" s="20">
        <f>JUL!R102</f>
        <v>12646.470000000001</v>
      </c>
      <c r="R11" s="10">
        <f t="shared" si="0"/>
        <v>15414639.369999999</v>
      </c>
      <c r="S11" s="1113">
        <f>JUL!S102</f>
        <v>15414639.369999999</v>
      </c>
      <c r="T11" s="91" t="b">
        <f t="shared" si="1"/>
        <v>1</v>
      </c>
    </row>
    <row r="12" spans="1:20" s="1087" customFormat="1">
      <c r="A12" s="15" t="s">
        <v>441</v>
      </c>
      <c r="B12" s="20">
        <f>AGO!C102</f>
        <v>5743531.919999999</v>
      </c>
      <c r="C12" s="20">
        <f>AGO!D102</f>
        <v>1246749.4700000004</v>
      </c>
      <c r="D12" s="20">
        <f>AGO!E102</f>
        <v>739083.66</v>
      </c>
      <c r="E12" s="20">
        <f>AGO!F102</f>
        <v>157061.48000000001</v>
      </c>
      <c r="F12" s="20">
        <f>AGO!G102</f>
        <v>8022684.9199999999</v>
      </c>
      <c r="G12" s="20">
        <f>AGO!H102</f>
        <v>84628.799999999988</v>
      </c>
      <c r="H12" s="20">
        <f>AGO!I102</f>
        <v>282689.10000000003</v>
      </c>
      <c r="I12" s="20">
        <f>AGO!J102</f>
        <v>9034.6099999999988</v>
      </c>
      <c r="J12" s="20">
        <f>AGO!K102</f>
        <v>177045.65999999997</v>
      </c>
      <c r="K12" s="20">
        <f>AGO!L102</f>
        <v>33400.950000000004</v>
      </c>
      <c r="L12" s="20">
        <f>AGO!M102</f>
        <v>1763.1000000000001</v>
      </c>
      <c r="M12" s="20">
        <f>AGO!N102</f>
        <v>1168.54</v>
      </c>
      <c r="N12" s="20">
        <f>AGO!O102</f>
        <v>3542.68</v>
      </c>
      <c r="O12" s="20">
        <f>AGO!P102</f>
        <v>0</v>
      </c>
      <c r="P12" s="20">
        <f>AGO!Q102</f>
        <v>1558.38</v>
      </c>
      <c r="Q12" s="20">
        <f>AGO!R102</f>
        <v>14239.59</v>
      </c>
      <c r="R12" s="10">
        <f t="shared" si="0"/>
        <v>16518182.859999998</v>
      </c>
      <c r="S12" s="1113">
        <f>AGO!S102</f>
        <v>16518182.860000003</v>
      </c>
      <c r="T12" s="91" t="b">
        <f t="shared" si="1"/>
        <v>1</v>
      </c>
    </row>
    <row r="13" spans="1:20" s="1087" customFormat="1">
      <c r="A13" s="15" t="s">
        <v>442</v>
      </c>
      <c r="B13" s="20">
        <f>SET!C102</f>
        <v>2283895.84</v>
      </c>
      <c r="C13" s="20">
        <f>SET!D102</f>
        <v>1243934.6799999997</v>
      </c>
      <c r="D13" s="20">
        <f>SET!E102</f>
        <v>249049.36999999997</v>
      </c>
      <c r="E13" s="20">
        <f>SET!F102</f>
        <v>138810.25</v>
      </c>
      <c r="F13" s="20">
        <f>SET!G102</f>
        <v>7914359.9999999991</v>
      </c>
      <c r="G13" s="20">
        <f>SET!H102</f>
        <v>190023</v>
      </c>
      <c r="H13" s="20">
        <f>SET!I102</f>
        <v>301560.44</v>
      </c>
      <c r="I13" s="20">
        <f>SET!J102</f>
        <v>6060.81</v>
      </c>
      <c r="J13" s="20">
        <f>SET!K102</f>
        <v>202948.58000000002</v>
      </c>
      <c r="K13" s="20">
        <f>SET!L102</f>
        <v>18022.800000000003</v>
      </c>
      <c r="L13" s="20">
        <f>SET!M102</f>
        <v>2154.9</v>
      </c>
      <c r="M13" s="20">
        <f>SET!N102</f>
        <v>2383.71</v>
      </c>
      <c r="N13" s="20">
        <f>SET!O102</f>
        <v>4142.6499999999996</v>
      </c>
      <c r="O13" s="20">
        <f>SET!P102</f>
        <v>47.62</v>
      </c>
      <c r="P13" s="20">
        <f>SET!Q102</f>
        <v>1505.95</v>
      </c>
      <c r="Q13" s="20">
        <f>SET!R102</f>
        <v>16539.23</v>
      </c>
      <c r="R13" s="10">
        <f t="shared" si="0"/>
        <v>12575439.83</v>
      </c>
      <c r="S13" s="1113">
        <f>SET!S102</f>
        <v>12575439.830000002</v>
      </c>
      <c r="T13" s="91" t="b">
        <f t="shared" si="1"/>
        <v>1</v>
      </c>
    </row>
    <row r="14" spans="1:20" s="1087" customFormat="1">
      <c r="A14" s="15" t="s">
        <v>443</v>
      </c>
      <c r="B14" s="20">
        <f>OUT!C102</f>
        <v>961169.82000000007</v>
      </c>
      <c r="C14" s="20">
        <f>OUT!D102</f>
        <v>2275000.8600000003</v>
      </c>
      <c r="D14" s="20">
        <f>OUT!E102</f>
        <v>110215.17999999998</v>
      </c>
      <c r="E14" s="20">
        <f>OUT!F102</f>
        <v>207191.53999999998</v>
      </c>
      <c r="F14" s="20">
        <f>OUT!G102</f>
        <v>8767798.3499999978</v>
      </c>
      <c r="G14" s="20">
        <f>OUT!H102</f>
        <v>182480.85000000003</v>
      </c>
      <c r="H14" s="20">
        <f>OUT!I102</f>
        <v>298041.84999999998</v>
      </c>
      <c r="I14" s="20">
        <f>OUT!J102</f>
        <v>7161.5199999999995</v>
      </c>
      <c r="J14" s="20">
        <f>OUT!K102</f>
        <v>233563.65999999997</v>
      </c>
      <c r="K14" s="20">
        <f>OUT!L102</f>
        <v>23508.000000000004</v>
      </c>
      <c r="L14" s="20">
        <f>OUT!M102</f>
        <v>2350.8000000000002</v>
      </c>
      <c r="M14" s="20">
        <f>OUT!N102</f>
        <v>2383.71</v>
      </c>
      <c r="N14" s="20">
        <f>OUT!O102</f>
        <v>4714.05</v>
      </c>
      <c r="O14" s="20">
        <f>OUT!P102</f>
        <v>95.24</v>
      </c>
      <c r="P14" s="20">
        <f>OUT!Q102</f>
        <v>1068.24</v>
      </c>
      <c r="Q14" s="20">
        <f>OUT!R102</f>
        <v>15020.89</v>
      </c>
      <c r="R14" s="10">
        <f t="shared" si="0"/>
        <v>13091764.560000001</v>
      </c>
      <c r="S14" s="1113">
        <f>OUT!S102</f>
        <v>13091764.560000001</v>
      </c>
      <c r="T14" s="91" t="b">
        <f t="shared" si="1"/>
        <v>1</v>
      </c>
    </row>
    <row r="15" spans="1:20" s="1087" customFormat="1">
      <c r="A15" s="15" t="s">
        <v>444</v>
      </c>
      <c r="B15" s="20">
        <f>NOV!C102</f>
        <v>1649423.1</v>
      </c>
      <c r="C15" s="20">
        <f>NOV!D102</f>
        <v>1024945.05</v>
      </c>
      <c r="D15" s="20">
        <f>NOV!E102</f>
        <v>190346.61000000002</v>
      </c>
      <c r="E15" s="20">
        <f>NOV!F102</f>
        <v>128432.87</v>
      </c>
      <c r="F15" s="20">
        <f>NOV!G102</f>
        <v>7725821.1699999999</v>
      </c>
      <c r="G15" s="20">
        <f>NOV!H102</f>
        <v>158483.09999999998</v>
      </c>
      <c r="H15" s="20">
        <f>NOV!I102</f>
        <v>271370.76</v>
      </c>
      <c r="I15" s="20">
        <f>NOV!J102</f>
        <v>13758.79</v>
      </c>
      <c r="J15" s="20">
        <f>NOV!K102</f>
        <v>284162.57</v>
      </c>
      <c r="K15" s="20">
        <f>NOV!L102</f>
        <v>20667.45</v>
      </c>
      <c r="L15" s="20">
        <f>NOV!M102</f>
        <v>2742.6000000000004</v>
      </c>
      <c r="M15" s="20">
        <f>NOV!N102</f>
        <v>0</v>
      </c>
      <c r="N15" s="20">
        <f>NOV!O102</f>
        <v>3971.23</v>
      </c>
      <c r="O15" s="20">
        <f>NOV!P102</f>
        <v>142.94999999999999</v>
      </c>
      <c r="P15" s="20">
        <f>NOV!Q102</f>
        <v>1383.15</v>
      </c>
      <c r="Q15" s="20">
        <f>NOV!R102</f>
        <v>14902.08</v>
      </c>
      <c r="R15" s="10">
        <f t="shared" si="0"/>
        <v>11490553.479999999</v>
      </c>
      <c r="S15" s="1113">
        <f>NOV!S102</f>
        <v>11490553.479999999</v>
      </c>
      <c r="T15" s="91" t="b">
        <f t="shared" si="1"/>
        <v>1</v>
      </c>
    </row>
    <row r="16" spans="1:20" s="1087" customFormat="1">
      <c r="A16" s="15" t="s">
        <v>445</v>
      </c>
      <c r="B16" s="20">
        <f>DEZ!C102</f>
        <v>1721835.7999999998</v>
      </c>
      <c r="C16" s="20">
        <f>DEZ!D102</f>
        <v>1192229.95</v>
      </c>
      <c r="D16" s="20">
        <f>DEZ!E102</f>
        <v>202206.49000000002</v>
      </c>
      <c r="E16" s="20">
        <f>DEZ!F102</f>
        <v>162242.75</v>
      </c>
      <c r="F16" s="20">
        <f>DEZ!G102</f>
        <v>7442926.6500000004</v>
      </c>
      <c r="G16" s="20">
        <f>DEZ!H102</f>
        <v>161617.49999999997</v>
      </c>
      <c r="H16" s="20">
        <f>DEZ!I102</f>
        <v>330459.21999999997</v>
      </c>
      <c r="I16" s="20">
        <f>DEZ!J102</f>
        <v>8399.42</v>
      </c>
      <c r="J16" s="20">
        <f>DEZ!K102</f>
        <v>231192.18</v>
      </c>
      <c r="K16" s="20">
        <f>DEZ!L102</f>
        <v>23997.750000000004</v>
      </c>
      <c r="L16" s="20">
        <f>DEZ!M102</f>
        <v>1567.2</v>
      </c>
      <c r="M16" s="20">
        <f>DEZ!N102</f>
        <v>4877.43</v>
      </c>
      <c r="N16" s="20">
        <f>DEZ!O102</f>
        <v>7513.9800000000005</v>
      </c>
      <c r="O16" s="20">
        <f>DEZ!P102</f>
        <v>0</v>
      </c>
      <c r="P16" s="20">
        <f>DEZ!Q102</f>
        <v>1127.8</v>
      </c>
      <c r="Q16" s="20">
        <f>DEZ!R102</f>
        <v>11271.83</v>
      </c>
      <c r="R16" s="10">
        <f t="shared" si="0"/>
        <v>11503465.950000001</v>
      </c>
      <c r="S16" s="1113">
        <f>DEZ!S102</f>
        <v>11503465.950000001</v>
      </c>
      <c r="T16" s="91" t="b">
        <f t="shared" si="1"/>
        <v>1</v>
      </c>
    </row>
    <row r="17" spans="1:20" s="1087" customFormat="1">
      <c r="A17" s="17" t="s">
        <v>446</v>
      </c>
      <c r="B17" s="22">
        <f t="shared" ref="B17:R17" si="2">SUM(B5:B16)</f>
        <v>54822531.61999999</v>
      </c>
      <c r="C17" s="22">
        <f t="shared" si="2"/>
        <v>16565108.539999999</v>
      </c>
      <c r="D17" s="22">
        <f t="shared" si="2"/>
        <v>6969292.370000001</v>
      </c>
      <c r="E17" s="22">
        <f t="shared" si="2"/>
        <v>2136068.67</v>
      </c>
      <c r="F17" s="22">
        <f t="shared" si="2"/>
        <v>81413494.150000006</v>
      </c>
      <c r="G17" s="22">
        <f t="shared" si="2"/>
        <v>1361035.75</v>
      </c>
      <c r="H17" s="22">
        <f t="shared" si="2"/>
        <v>3211843.1500000004</v>
      </c>
      <c r="I17" s="22">
        <f t="shared" si="2"/>
        <v>148061.08000000002</v>
      </c>
      <c r="J17" s="22">
        <f t="shared" si="2"/>
        <v>2290452.63</v>
      </c>
      <c r="K17" s="22">
        <f t="shared" si="2"/>
        <v>297887.34000000003</v>
      </c>
      <c r="L17" s="22">
        <f t="shared" si="2"/>
        <v>20556.740000000002</v>
      </c>
      <c r="M17" s="22">
        <f t="shared" si="2"/>
        <v>24648.44</v>
      </c>
      <c r="N17" s="22">
        <f t="shared" si="2"/>
        <v>49310.180000000008</v>
      </c>
      <c r="O17" s="22">
        <f t="shared" si="2"/>
        <v>333.42999999999995</v>
      </c>
      <c r="P17" s="22">
        <f t="shared" si="2"/>
        <v>9729.2599999999984</v>
      </c>
      <c r="Q17" s="22">
        <f t="shared" si="2"/>
        <v>105460.71</v>
      </c>
      <c r="R17" s="22">
        <f t="shared" si="2"/>
        <v>169425814.05999997</v>
      </c>
      <c r="S17" s="1113">
        <f>SUM(S5:S16)</f>
        <v>169425814.05999997</v>
      </c>
      <c r="T17" s="91" t="b">
        <f t="shared" si="1"/>
        <v>1</v>
      </c>
    </row>
    <row r="18" spans="1:20" s="1087" customFormat="1">
      <c r="B18" s="1093"/>
      <c r="C18" s="1093"/>
      <c r="D18" s="1093"/>
      <c r="E18" s="1093"/>
      <c r="F18" s="1093"/>
      <c r="G18" s="1093"/>
      <c r="H18" s="1093"/>
      <c r="I18" s="1093"/>
      <c r="J18" s="1093"/>
      <c r="K18" s="1093"/>
      <c r="L18" s="1093"/>
      <c r="M18" s="1093"/>
      <c r="N18" s="1093"/>
      <c r="O18" s="1093"/>
      <c r="P18" s="1093"/>
      <c r="Q18" s="1093"/>
      <c r="R18" s="1093"/>
    </row>
    <row r="19" spans="1:20" s="1087" customFormat="1">
      <c r="F19" s="91"/>
      <c r="G19" s="1243" t="s">
        <v>142</v>
      </c>
      <c r="H19" s="1243"/>
      <c r="I19" s="1243"/>
      <c r="J19" s="1243"/>
      <c r="K19" s="1243"/>
      <c r="L19" s="1243"/>
      <c r="M19" s="1243"/>
      <c r="N19" s="1243"/>
      <c r="O19" s="1243"/>
      <c r="P19" s="1243"/>
      <c r="Q19" s="1243"/>
    </row>
    <row r="20" spans="1:20" s="1087" customFormat="1">
      <c r="F20" s="15" t="s">
        <v>434</v>
      </c>
      <c r="G20" s="1114">
        <f>SUM(G5:Q5)</f>
        <v>821160.57</v>
      </c>
    </row>
    <row r="21" spans="1:20" s="1087" customFormat="1">
      <c r="F21" s="15" t="s">
        <v>435</v>
      </c>
      <c r="G21" s="1114">
        <f t="shared" ref="G21:G31" si="3">SUM(G6:Q6)</f>
        <v>670526.56000000006</v>
      </c>
    </row>
    <row r="22" spans="1:20" s="1087" customFormat="1">
      <c r="F22" s="15" t="s">
        <v>436</v>
      </c>
      <c r="G22" s="1114">
        <f t="shared" si="3"/>
        <v>635966.18999999983</v>
      </c>
    </row>
    <row r="23" spans="1:20" s="1087" customFormat="1">
      <c r="F23" s="15" t="s">
        <v>437</v>
      </c>
      <c r="G23" s="1114">
        <f t="shared" si="3"/>
        <v>388580.88</v>
      </c>
    </row>
    <row r="24" spans="1:20" s="1087" customFormat="1">
      <c r="F24" s="15" t="s">
        <v>438</v>
      </c>
      <c r="G24" s="1114">
        <f t="shared" si="3"/>
        <v>354397.04000000004</v>
      </c>
    </row>
    <row r="25" spans="1:20" s="1087" customFormat="1">
      <c r="F25" s="15" t="s">
        <v>439</v>
      </c>
      <c r="G25" s="1114">
        <f t="shared" si="3"/>
        <v>449221.93</v>
      </c>
    </row>
    <row r="26" spans="1:20" s="1087" customFormat="1">
      <c r="F26" s="15" t="s">
        <v>440</v>
      </c>
      <c r="G26" s="1114">
        <f t="shared" si="3"/>
        <v>521006.64</v>
      </c>
    </row>
    <row r="27" spans="1:20" s="1087" customFormat="1">
      <c r="F27" s="15" t="s">
        <v>441</v>
      </c>
      <c r="G27" s="1114">
        <f t="shared" si="3"/>
        <v>609071.40999999992</v>
      </c>
    </row>
    <row r="28" spans="1:20" s="1087" customFormat="1">
      <c r="F28" s="15" t="s">
        <v>442</v>
      </c>
      <c r="G28" s="1114">
        <f t="shared" si="3"/>
        <v>745389.69000000006</v>
      </c>
    </row>
    <row r="29" spans="1:20" s="1087" customFormat="1">
      <c r="F29" s="15" t="s">
        <v>443</v>
      </c>
      <c r="G29" s="1114">
        <f t="shared" si="3"/>
        <v>770388.81</v>
      </c>
    </row>
    <row r="30" spans="1:20" s="1087" customFormat="1">
      <c r="F30" s="15" t="s">
        <v>444</v>
      </c>
      <c r="G30" s="1114">
        <f t="shared" si="3"/>
        <v>771584.67999999982</v>
      </c>
    </row>
    <row r="31" spans="1:20" s="1087" customFormat="1">
      <c r="F31" s="15" t="s">
        <v>445</v>
      </c>
      <c r="G31" s="1114">
        <f t="shared" si="3"/>
        <v>782024.30999999994</v>
      </c>
    </row>
    <row r="32" spans="1:20" s="1087" customFormat="1">
      <c r="F32" s="17" t="s">
        <v>446</v>
      </c>
      <c r="G32" s="1115">
        <f>SUM(G20:G31)</f>
        <v>7519318.71</v>
      </c>
    </row>
  </sheetData>
  <mergeCells count="17">
    <mergeCell ref="A2:R2"/>
    <mergeCell ref="A3:A4"/>
    <mergeCell ref="B3:C3"/>
    <mergeCell ref="D3:E3"/>
    <mergeCell ref="F3:F4"/>
    <mergeCell ref="G3:G4"/>
    <mergeCell ref="H3:H4"/>
    <mergeCell ref="I3:I4"/>
    <mergeCell ref="J3:J4"/>
    <mergeCell ref="K3:K4"/>
    <mergeCell ref="L3:L4"/>
    <mergeCell ref="N3:N4"/>
    <mergeCell ref="P3:Q3"/>
    <mergeCell ref="O3:O4"/>
    <mergeCell ref="M3:M4"/>
    <mergeCell ref="G19:Q19"/>
    <mergeCell ref="R3:R4"/>
  </mergeCells>
  <conditionalFormatting sqref="T5:T17">
    <cfRule type="cellIs" dxfId="239" priority="1" operator="equal">
      <formula>FALSE</formula>
    </cfRule>
    <cfRule type="cellIs" dxfId="238" priority="2" operator="equal">
      <formula>TRUE</formula>
    </cfRule>
  </conditionalFormatting>
  <pageMargins left="0.25" right="0.25" top="0.75" bottom="0.75" header="0.3" footer="0.3"/>
  <pageSetup paperSize="9"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FF0000"/>
    <pageSetUpPr fitToPage="1"/>
  </sheetPr>
  <dimension ref="A1:AI35"/>
  <sheetViews>
    <sheetView showGridLines="0" zoomScale="70" zoomScaleNormal="70" workbookViewId="0">
      <selection sqref="A1:AC1"/>
    </sheetView>
  </sheetViews>
  <sheetFormatPr defaultRowHeight="15"/>
  <cols>
    <col min="1" max="1" width="10.5703125" customWidth="1"/>
    <col min="2" max="3" width="17" customWidth="1"/>
    <col min="4" max="27" width="15.7109375" hidden="1" customWidth="1"/>
    <col min="28" max="29" width="17.28515625" customWidth="1"/>
    <col min="30" max="31" width="15" customWidth="1"/>
    <col min="32" max="33" width="17" customWidth="1"/>
    <col min="34" max="34" width="12.85546875" customWidth="1"/>
    <col min="35" max="35" width="12.5703125" customWidth="1"/>
    <col min="37" max="58" width="0" hidden="1" customWidth="1"/>
  </cols>
  <sheetData>
    <row r="1" spans="1:35" ht="46.5">
      <c r="A1" s="1254" t="s">
        <v>452</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row>
    <row r="2" spans="1:35" s="1122" customFormat="1" ht="35.1" customHeight="1">
      <c r="A2" s="1250" t="s">
        <v>182</v>
      </c>
      <c r="B2" s="1252" t="s">
        <v>453</v>
      </c>
      <c r="C2" s="1249"/>
      <c r="D2" s="1253" t="s">
        <v>116</v>
      </c>
      <c r="E2" s="1253"/>
      <c r="F2" s="1249" t="s">
        <v>117</v>
      </c>
      <c r="G2" s="1249"/>
      <c r="H2" s="1249" t="s">
        <v>118</v>
      </c>
      <c r="I2" s="1249"/>
      <c r="J2" s="1249" t="s">
        <v>119</v>
      </c>
      <c r="K2" s="1249"/>
      <c r="L2" s="1249" t="s">
        <v>120</v>
      </c>
      <c r="M2" s="1249"/>
      <c r="N2" s="1249" t="s">
        <v>121</v>
      </c>
      <c r="O2" s="1249"/>
      <c r="P2" s="1249" t="s">
        <v>122</v>
      </c>
      <c r="Q2" s="1249"/>
      <c r="R2" s="1249" t="s">
        <v>123</v>
      </c>
      <c r="S2" s="1249"/>
      <c r="T2" s="1249" t="s">
        <v>124</v>
      </c>
      <c r="U2" s="1249"/>
      <c r="V2" s="1249" t="s">
        <v>125</v>
      </c>
      <c r="W2" s="1249"/>
      <c r="X2" s="1249" t="s">
        <v>126</v>
      </c>
      <c r="Y2" s="1249"/>
      <c r="Z2" s="1249" t="s">
        <v>127</v>
      </c>
      <c r="AA2" s="1249"/>
      <c r="AB2" s="1249" t="s">
        <v>1146</v>
      </c>
      <c r="AC2" s="1249"/>
      <c r="AD2" s="1249" t="s">
        <v>454</v>
      </c>
      <c r="AE2" s="1249"/>
      <c r="AF2" s="1249" t="s">
        <v>455</v>
      </c>
      <c r="AG2" s="1249"/>
    </row>
    <row r="3" spans="1:35" s="1119" customFormat="1">
      <c r="A3" s="1251"/>
      <c r="B3" s="1120" t="s">
        <v>183</v>
      </c>
      <c r="C3" s="1121" t="s">
        <v>184</v>
      </c>
      <c r="D3" s="1121" t="s">
        <v>183</v>
      </c>
      <c r="E3" s="1121" t="s">
        <v>184</v>
      </c>
      <c r="F3" s="1121" t="s">
        <v>183</v>
      </c>
      <c r="G3" s="1121" t="s">
        <v>184</v>
      </c>
      <c r="H3" s="1121" t="s">
        <v>183</v>
      </c>
      <c r="I3" s="1121" t="s">
        <v>184</v>
      </c>
      <c r="J3" s="1121" t="s">
        <v>183</v>
      </c>
      <c r="K3" s="1121" t="s">
        <v>184</v>
      </c>
      <c r="L3" s="1121" t="s">
        <v>183</v>
      </c>
      <c r="M3" s="1121" t="s">
        <v>184</v>
      </c>
      <c r="N3" s="1121" t="s">
        <v>183</v>
      </c>
      <c r="O3" s="1121" t="s">
        <v>184</v>
      </c>
      <c r="P3" s="1121" t="s">
        <v>183</v>
      </c>
      <c r="Q3" s="1121" t="s">
        <v>184</v>
      </c>
      <c r="R3" s="1121" t="s">
        <v>183</v>
      </c>
      <c r="S3" s="1121" t="s">
        <v>184</v>
      </c>
      <c r="T3" s="1121" t="s">
        <v>183</v>
      </c>
      <c r="U3" s="1121" t="s">
        <v>184</v>
      </c>
      <c r="V3" s="1121" t="s">
        <v>183</v>
      </c>
      <c r="W3" s="1121" t="s">
        <v>184</v>
      </c>
      <c r="X3" s="1121" t="s">
        <v>183</v>
      </c>
      <c r="Y3" s="1121" t="s">
        <v>184</v>
      </c>
      <c r="Z3" s="1121" t="s">
        <v>183</v>
      </c>
      <c r="AA3" s="1121" t="s">
        <v>184</v>
      </c>
      <c r="AB3" s="1121" t="s">
        <v>183</v>
      </c>
      <c r="AC3" s="1121" t="s">
        <v>184</v>
      </c>
      <c r="AD3" s="1121" t="s">
        <v>183</v>
      </c>
      <c r="AE3" s="1121" t="s">
        <v>184</v>
      </c>
      <c r="AF3" s="1121" t="s">
        <v>183</v>
      </c>
      <c r="AG3" s="1121" t="s">
        <v>184</v>
      </c>
    </row>
    <row r="4" spans="1:35" s="91" customFormat="1">
      <c r="A4" s="70" t="s">
        <v>87</v>
      </c>
      <c r="B4" s="71">
        <v>19126.64</v>
      </c>
      <c r="C4" s="72">
        <v>2763.9080000000004</v>
      </c>
      <c r="D4" s="73">
        <f>JAN!T5</f>
        <v>3850.3919999999998</v>
      </c>
      <c r="E4" s="73">
        <f>JAN!V5</f>
        <v>420.52800000000002</v>
      </c>
      <c r="F4" s="73">
        <f>FEV!T5</f>
        <v>3351.2480000000005</v>
      </c>
      <c r="G4" s="73">
        <f>FEV!V5</f>
        <v>693.88800000000003</v>
      </c>
      <c r="H4" s="73">
        <f>MAR!T5</f>
        <v>3421.1040000000003</v>
      </c>
      <c r="I4" s="73">
        <f>MAR!V5</f>
        <v>295.952</v>
      </c>
      <c r="J4" s="73">
        <f>ABR!T5</f>
        <v>1214.288</v>
      </c>
      <c r="K4" s="73">
        <f>ABR!V5</f>
        <v>184.584</v>
      </c>
      <c r="L4" s="73">
        <f>MAI!D5</f>
        <v>1032.5040000000001</v>
      </c>
      <c r="M4" s="73">
        <f>MAI!F5</f>
        <v>439.20000000000005</v>
      </c>
      <c r="N4" s="73">
        <f>JUN!D5</f>
        <v>1915.1120000000001</v>
      </c>
      <c r="O4" s="73">
        <f>JUN!F5</f>
        <v>295.49600000000004</v>
      </c>
      <c r="P4" s="73">
        <f>JUL!D5</f>
        <v>1261.7439999999974</v>
      </c>
      <c r="Q4" s="73">
        <f>JUL!F5</f>
        <v>0</v>
      </c>
      <c r="R4" s="73">
        <f>AGO!D5</f>
        <v>4474.0639999999985</v>
      </c>
      <c r="S4" s="73">
        <f>AGO!F5</f>
        <v>0</v>
      </c>
      <c r="T4" s="73">
        <f>SET!D5</f>
        <v>3106.2000000000016</v>
      </c>
      <c r="U4" s="73">
        <f>SET!F5</f>
        <v>527.64800000000002</v>
      </c>
      <c r="V4" s="73">
        <f>OUT!D5</f>
        <v>8339.1119999999992</v>
      </c>
      <c r="W4" s="73">
        <f>OUT!F5</f>
        <v>1757.1840000000002</v>
      </c>
      <c r="X4" s="73">
        <f>NOV!D5</f>
        <v>1325.3760000000002</v>
      </c>
      <c r="Y4" s="73">
        <f>NOV!F5</f>
        <v>568.6</v>
      </c>
      <c r="Z4" s="73">
        <f>DEZ!D5</f>
        <v>2157.559999999999</v>
      </c>
      <c r="AA4" s="73">
        <f>DEZ!F5</f>
        <v>0</v>
      </c>
      <c r="AB4" s="1116">
        <f>D4+F4+H4+J4+L4+N4+P4+R4+T4+V4+X4+Z4</f>
        <v>35448.703999999998</v>
      </c>
      <c r="AC4" s="1117">
        <f>E4+G4+I4+K4+M4+O4+Q4+S4+U4+W4+Y4+AA4</f>
        <v>5183.0800000000008</v>
      </c>
      <c r="AD4" s="74">
        <f>IFERROR((AB4/B4),0)</f>
        <v>1.853368077194949</v>
      </c>
      <c r="AE4" s="75">
        <f t="shared" ref="AD4:AE33" si="0">IFERROR((AC4/C4),0)</f>
        <v>1.875272259423975</v>
      </c>
      <c r="AF4" s="1116"/>
      <c r="AG4" s="1117"/>
      <c r="AH4" s="1118"/>
      <c r="AI4" s="1118"/>
    </row>
    <row r="5" spans="1:35" s="91" customFormat="1">
      <c r="A5" s="76" t="s">
        <v>88</v>
      </c>
      <c r="B5" s="71">
        <v>144042.57</v>
      </c>
      <c r="C5" s="72">
        <v>5192.82</v>
      </c>
      <c r="D5" s="73">
        <f>JAN!T6</f>
        <v>25126.440000000002</v>
      </c>
      <c r="E5" s="73">
        <f>JAN!V6</f>
        <v>1131.8399999999999</v>
      </c>
      <c r="F5" s="73">
        <f>FEV!T6</f>
        <v>16464.688000000002</v>
      </c>
      <c r="G5" s="73">
        <f>FEV!V6</f>
        <v>568</v>
      </c>
      <c r="H5" s="73">
        <f>MAR!T6</f>
        <v>13770.735999999999</v>
      </c>
      <c r="I5" s="73">
        <f>MAR!V6</f>
        <v>325.03200000000004</v>
      </c>
      <c r="J5" s="73">
        <f>ABR!T6</f>
        <v>10478.880000000001</v>
      </c>
      <c r="K5" s="73">
        <f>ABR!V6</f>
        <v>506.52800000000002</v>
      </c>
      <c r="L5" s="73">
        <f>MAI!D6</f>
        <v>8710.2320000000018</v>
      </c>
      <c r="M5" s="73">
        <f>MAI!F6</f>
        <v>233.80799999999999</v>
      </c>
      <c r="N5" s="73">
        <f>JUN!D6</f>
        <v>10994.336000000001</v>
      </c>
      <c r="O5" s="73">
        <f>JUN!F6</f>
        <v>297.44</v>
      </c>
      <c r="P5" s="73">
        <f>JUL!D6</f>
        <v>14140.256000000001</v>
      </c>
      <c r="Q5" s="73">
        <f>JUL!F6</f>
        <v>254.14399999999989</v>
      </c>
      <c r="R5" s="73">
        <f>AGO!D6</f>
        <v>14468.976000000002</v>
      </c>
      <c r="S5" s="73">
        <f>AGO!F6</f>
        <v>64.247999999999962</v>
      </c>
      <c r="T5" s="73">
        <f>SET!D6</f>
        <v>13769.927999999998</v>
      </c>
      <c r="U5" s="73">
        <f>SET!F6</f>
        <v>335.32799999999992</v>
      </c>
      <c r="V5" s="73">
        <f>OUT!D6</f>
        <v>26093.544000000005</v>
      </c>
      <c r="W5" s="73">
        <f>OUT!F6</f>
        <v>335.31200000000007</v>
      </c>
      <c r="X5" s="73">
        <f>NOV!D6</f>
        <v>11461.576000000001</v>
      </c>
      <c r="Y5" s="73">
        <f>NOV!F6</f>
        <v>589.48</v>
      </c>
      <c r="Z5" s="73">
        <f>DEZ!D6</f>
        <v>17132.072000000004</v>
      </c>
      <c r="AA5" s="73">
        <f>DEZ!F6</f>
        <v>760.60799999999983</v>
      </c>
      <c r="AB5" s="1116">
        <f t="shared" ref="AB5:AC30" si="1">D5+F5+H5+J5+L5+N5+P5+R5+T5+V5+X5+Z5</f>
        <v>182611.66400000002</v>
      </c>
      <c r="AC5" s="1117">
        <f t="shared" si="1"/>
        <v>5401.768</v>
      </c>
      <c r="AD5" s="74">
        <f t="shared" si="0"/>
        <v>1.2677617734812703</v>
      </c>
      <c r="AE5" s="75">
        <f t="shared" si="0"/>
        <v>1.0402378669008363</v>
      </c>
      <c r="AF5" s="1116"/>
      <c r="AG5" s="1117"/>
      <c r="AH5" s="1118"/>
      <c r="AI5" s="1118"/>
    </row>
    <row r="6" spans="1:35" s="91" customFormat="1">
      <c r="A6" s="77" t="s">
        <v>89</v>
      </c>
      <c r="B6" s="71">
        <v>28698.84</v>
      </c>
      <c r="C6" s="72">
        <v>6948.27</v>
      </c>
      <c r="D6" s="73">
        <f>JAN!T7</f>
        <v>6473.5680000000002</v>
      </c>
      <c r="E6" s="73">
        <f>JAN!V7</f>
        <v>3040.6640000000002</v>
      </c>
      <c r="F6" s="73">
        <f>FEV!T7</f>
        <v>5700.0400000000009</v>
      </c>
      <c r="G6" s="73">
        <f>FEV!V7</f>
        <v>793.95200000000011</v>
      </c>
      <c r="H6" s="73">
        <f>MAR!T7</f>
        <v>3919.8559999999998</v>
      </c>
      <c r="I6" s="73">
        <f>MAR!V7</f>
        <v>1394.96</v>
      </c>
      <c r="J6" s="73">
        <f>ABR!T7</f>
        <v>3079.4400000000005</v>
      </c>
      <c r="K6" s="73">
        <f>ABR!V7</f>
        <v>871.51200000000017</v>
      </c>
      <c r="L6" s="73">
        <f>MAI!D7</f>
        <v>3016.1759999999999</v>
      </c>
      <c r="M6" s="73">
        <f>MAI!F7</f>
        <v>311.56799999999998</v>
      </c>
      <c r="N6" s="73">
        <f>JUN!D7</f>
        <v>3764.2160000000003</v>
      </c>
      <c r="O6" s="73">
        <f>JUN!F7</f>
        <v>435.63200000000001</v>
      </c>
      <c r="P6" s="73">
        <f>JUL!D7</f>
        <v>6781.24</v>
      </c>
      <c r="Q6" s="73">
        <f>JUL!F7</f>
        <v>1225.992</v>
      </c>
      <c r="R6" s="73">
        <f>AGO!D7</f>
        <v>7456.7600000000011</v>
      </c>
      <c r="S6" s="73">
        <f>AGO!F7</f>
        <v>659.17599999999948</v>
      </c>
      <c r="T6" s="73">
        <f>SET!D7</f>
        <v>4516.3840000000009</v>
      </c>
      <c r="U6" s="73">
        <f>SET!F7</f>
        <v>511.61599999999999</v>
      </c>
      <c r="V6" s="73">
        <f>OUT!D7</f>
        <v>10084.023999999999</v>
      </c>
      <c r="W6" s="73">
        <f>OUT!F7</f>
        <v>1221.912</v>
      </c>
      <c r="X6" s="73">
        <f>NOV!D7</f>
        <v>4774.5280000000002</v>
      </c>
      <c r="Y6" s="73">
        <f>NOV!F7</f>
        <v>242.01599999999999</v>
      </c>
      <c r="Z6" s="73">
        <f>DEZ!D7</f>
        <v>2685.7280000000001</v>
      </c>
      <c r="AA6" s="73">
        <f>DEZ!F7</f>
        <v>330.03199999999998</v>
      </c>
      <c r="AB6" s="1116">
        <f t="shared" si="1"/>
        <v>62251.96</v>
      </c>
      <c r="AC6" s="1117">
        <f t="shared" si="1"/>
        <v>11039.032000000001</v>
      </c>
      <c r="AD6" s="74">
        <f t="shared" si="0"/>
        <v>2.1691455125015504</v>
      </c>
      <c r="AE6" s="75">
        <f t="shared" si="0"/>
        <v>1.5887453999340844</v>
      </c>
      <c r="AF6" s="1116"/>
      <c r="AG6" s="1117"/>
      <c r="AH6" s="1118"/>
      <c r="AI6" s="1118"/>
    </row>
    <row r="7" spans="1:35" s="91" customFormat="1">
      <c r="A7" s="78" t="s">
        <v>90</v>
      </c>
      <c r="B7" s="71">
        <v>134347.413</v>
      </c>
      <c r="C7" s="72">
        <v>15180.37</v>
      </c>
      <c r="D7" s="73">
        <f>JAN!T8</f>
        <v>20675.456000000002</v>
      </c>
      <c r="E7" s="73">
        <f>JAN!V8</f>
        <v>1523.9760000000001</v>
      </c>
      <c r="F7" s="73">
        <f>FEV!T8</f>
        <v>13188.688000000002</v>
      </c>
      <c r="G7" s="73">
        <f>FEV!V8</f>
        <v>2352.4320000000002</v>
      </c>
      <c r="H7" s="73">
        <f>MAR!T8</f>
        <v>14358.808000000003</v>
      </c>
      <c r="I7" s="73">
        <f>MAR!V8</f>
        <v>4690.424</v>
      </c>
      <c r="J7" s="73">
        <f>ABR!T8</f>
        <v>7205.8640000000005</v>
      </c>
      <c r="K7" s="73">
        <f>ABR!V8</f>
        <v>824.24</v>
      </c>
      <c r="L7" s="73">
        <f>MAI!D8</f>
        <v>10934.152000000002</v>
      </c>
      <c r="M7" s="73">
        <f>MAI!F8</f>
        <v>801.37600000000009</v>
      </c>
      <c r="N7" s="73">
        <f>JUN!D8</f>
        <v>18924.511999999999</v>
      </c>
      <c r="O7" s="73">
        <f>JUN!F8</f>
        <v>0</v>
      </c>
      <c r="P7" s="73">
        <f>JUL!D8</f>
        <v>16617.168000000001</v>
      </c>
      <c r="Q7" s="73">
        <f>JUL!F8</f>
        <v>1741.2720000000002</v>
      </c>
      <c r="R7" s="73">
        <f>AGO!D8</f>
        <v>15477.903999999993</v>
      </c>
      <c r="S7" s="73">
        <f>AGO!F8</f>
        <v>412.20799999999946</v>
      </c>
      <c r="T7" s="73">
        <f>SET!D8</f>
        <v>13935.639999999998</v>
      </c>
      <c r="U7" s="73">
        <f>SET!F8</f>
        <v>762.95999999999992</v>
      </c>
      <c r="V7" s="73">
        <f>OUT!D8</f>
        <v>20796.992000000006</v>
      </c>
      <c r="W7" s="73">
        <f>OUT!F8</f>
        <v>1483.1279999999999</v>
      </c>
      <c r="X7" s="73">
        <f>NOV!D8</f>
        <v>8722.3360000000011</v>
      </c>
      <c r="Y7" s="73">
        <f>NOV!F8</f>
        <v>1795.0560000000003</v>
      </c>
      <c r="Z7" s="73">
        <f>DEZ!D8</f>
        <v>17263.135999999999</v>
      </c>
      <c r="AA7" s="73">
        <f>DEZ!F8</f>
        <v>1848.4160000000004</v>
      </c>
      <c r="AB7" s="1116">
        <f t="shared" si="1"/>
        <v>178100.65600000002</v>
      </c>
      <c r="AC7" s="1117">
        <f t="shared" si="1"/>
        <v>18235.488000000001</v>
      </c>
      <c r="AD7" s="74">
        <f t="shared" si="0"/>
        <v>1.3256723893894409</v>
      </c>
      <c r="AE7" s="75">
        <f t="shared" si="0"/>
        <v>1.2012545148767784</v>
      </c>
      <c r="AF7" s="1116"/>
      <c r="AG7" s="1117"/>
      <c r="AH7" s="1118"/>
      <c r="AI7" s="1118"/>
    </row>
    <row r="8" spans="1:35" s="91" customFormat="1">
      <c r="A8" s="76" t="s">
        <v>91</v>
      </c>
      <c r="B8" s="71">
        <v>300000</v>
      </c>
      <c r="C8" s="72">
        <v>25000</v>
      </c>
      <c r="D8" s="73">
        <f>JAN!T9</f>
        <v>56708.472000000002</v>
      </c>
      <c r="E8" s="73">
        <f>JAN!V9</f>
        <v>3606.4400000000005</v>
      </c>
      <c r="F8" s="73">
        <f>FEV!T9</f>
        <v>53191.592000000004</v>
      </c>
      <c r="G8" s="73">
        <f>FEV!V9</f>
        <v>2710.0320000000002</v>
      </c>
      <c r="H8" s="73">
        <f>MAR!T9</f>
        <v>34697.200000000004</v>
      </c>
      <c r="I8" s="73">
        <f>MAR!V9</f>
        <v>3676.6080000000002</v>
      </c>
      <c r="J8" s="73">
        <f>ABR!T9</f>
        <v>19805.048000000003</v>
      </c>
      <c r="K8" s="73">
        <f>ABR!V9</f>
        <v>1494.7920000000001</v>
      </c>
      <c r="L8" s="73">
        <f>MAI!D9</f>
        <v>14971.176000000001</v>
      </c>
      <c r="M8" s="73">
        <f>MAI!F9</f>
        <v>1919.3440000000001</v>
      </c>
      <c r="N8" s="73">
        <f>JUN!D9</f>
        <v>18748.416000000001</v>
      </c>
      <c r="O8" s="73">
        <f>JUN!F9</f>
        <v>1449.5440000000001</v>
      </c>
      <c r="P8" s="73">
        <f>JUL!D9</f>
        <v>26473.567999999996</v>
      </c>
      <c r="Q8" s="73">
        <f>JUL!F9</f>
        <v>1998.8319999999978</v>
      </c>
      <c r="R8" s="73">
        <f>AGO!D9</f>
        <v>20238.911999999989</v>
      </c>
      <c r="S8" s="73">
        <f>AGO!F9</f>
        <v>4831.0880000000006</v>
      </c>
      <c r="T8" s="73">
        <f>SET!D9</f>
        <v>25005.064000000002</v>
      </c>
      <c r="U8" s="73">
        <f>SET!F9</f>
        <v>1290.3919999999998</v>
      </c>
      <c r="V8" s="73">
        <f>OUT!D9</f>
        <v>52198.776000000005</v>
      </c>
      <c r="W8" s="73">
        <f>OUT!F9</f>
        <v>4229.9040000000005</v>
      </c>
      <c r="X8" s="73">
        <f>NOV!D9</f>
        <v>18467.472000000002</v>
      </c>
      <c r="Y8" s="73">
        <f>NOV!F9</f>
        <v>3076.0880000000002</v>
      </c>
      <c r="Z8" s="73">
        <f>DEZ!D9</f>
        <v>20282.943999999996</v>
      </c>
      <c r="AA8" s="73">
        <f>DEZ!F9</f>
        <v>3087.3120000000013</v>
      </c>
      <c r="AB8" s="1116">
        <f t="shared" si="1"/>
        <v>360788.64000000007</v>
      </c>
      <c r="AC8" s="1117">
        <f t="shared" si="1"/>
        <v>33370.375999999997</v>
      </c>
      <c r="AD8" s="74">
        <f t="shared" si="0"/>
        <v>1.2026288000000003</v>
      </c>
      <c r="AE8" s="75">
        <f t="shared" si="0"/>
        <v>1.3348150399999998</v>
      </c>
      <c r="AF8" s="1116"/>
      <c r="AG8" s="1117"/>
      <c r="AH8" s="1118"/>
      <c r="AI8" s="1118"/>
    </row>
    <row r="9" spans="1:35" s="91" customFormat="1">
      <c r="A9" s="76" t="s">
        <v>92</v>
      </c>
      <c r="B9" s="71">
        <v>172305.77</v>
      </c>
      <c r="C9" s="72">
        <v>8679</v>
      </c>
      <c r="D9" s="73">
        <f>JAN!T10</f>
        <v>23023.120000000003</v>
      </c>
      <c r="E9" s="73">
        <f>JAN!V10</f>
        <v>1410.6080000000002</v>
      </c>
      <c r="F9" s="73">
        <f>FEV!T10</f>
        <v>13182.407999999999</v>
      </c>
      <c r="G9" s="73">
        <f>FEV!V10</f>
        <v>800.73599999999999</v>
      </c>
      <c r="H9" s="73">
        <f>MAR!T10</f>
        <v>10926.344000000001</v>
      </c>
      <c r="I9" s="73">
        <f>MAR!V10</f>
        <v>655.98400000000004</v>
      </c>
      <c r="J9" s="73">
        <f>ABR!T10</f>
        <v>8071.8880000000008</v>
      </c>
      <c r="K9" s="73">
        <f>ABR!V10</f>
        <v>88.448000000000008</v>
      </c>
      <c r="L9" s="73">
        <f>MAI!D10</f>
        <v>6142.2640000000001</v>
      </c>
      <c r="M9" s="73">
        <f>MAI!F10</f>
        <v>1261.384</v>
      </c>
      <c r="N9" s="73">
        <f>JUN!D10</f>
        <v>8411.3680000000004</v>
      </c>
      <c r="O9" s="73">
        <f>JUN!F10</f>
        <v>678.08</v>
      </c>
      <c r="P9" s="73">
        <f>JUL!D10</f>
        <v>13491.567999999994</v>
      </c>
      <c r="Q9" s="73">
        <f>JUL!F10</f>
        <v>0</v>
      </c>
      <c r="R9" s="73">
        <f>AGO!D10</f>
        <v>14412.303999999982</v>
      </c>
      <c r="S9" s="73">
        <f>AGO!F10</f>
        <v>36.688000000000464</v>
      </c>
      <c r="T9" s="73">
        <f>SET!D10</f>
        <v>17535.616000000009</v>
      </c>
      <c r="U9" s="73">
        <f>SET!F10</f>
        <v>788.47200000000021</v>
      </c>
      <c r="V9" s="73">
        <f>OUT!D10</f>
        <v>36124.248</v>
      </c>
      <c r="W9" s="73">
        <f>OUT!F10</f>
        <v>959.5200000000001</v>
      </c>
      <c r="X9" s="73">
        <f>NOV!D10</f>
        <v>8695.6320000000014</v>
      </c>
      <c r="Y9" s="73">
        <f>NOV!F10</f>
        <v>267.24</v>
      </c>
      <c r="Z9" s="73">
        <f>DEZ!D10</f>
        <v>11474.439999999997</v>
      </c>
      <c r="AA9" s="73">
        <f>DEZ!F10</f>
        <v>694.87199999999984</v>
      </c>
      <c r="AB9" s="1116">
        <f t="shared" si="1"/>
        <v>171491.20000000001</v>
      </c>
      <c r="AC9" s="1117">
        <f t="shared" si="1"/>
        <v>7642.0319999999992</v>
      </c>
      <c r="AD9" s="74">
        <f t="shared" si="0"/>
        <v>0.99527253208061472</v>
      </c>
      <c r="AE9" s="75">
        <f t="shared" si="0"/>
        <v>0.88051987556170053</v>
      </c>
      <c r="AF9" s="1116">
        <f t="shared" ref="AF9:AG23" si="2">B9-AB9</f>
        <v>814.56999999997788</v>
      </c>
      <c r="AG9" s="1117">
        <f t="shared" ref="AG9:AG27" si="3">C9-AC9</f>
        <v>1036.9680000000008</v>
      </c>
      <c r="AH9" s="1118">
        <f t="shared" ref="AH9:AI23" si="4">B9-AB9</f>
        <v>814.56999999997788</v>
      </c>
      <c r="AI9" s="1118">
        <f t="shared" si="4"/>
        <v>1036.9680000000008</v>
      </c>
    </row>
    <row r="10" spans="1:35" s="91" customFormat="1">
      <c r="A10" s="76" t="s">
        <v>93</v>
      </c>
      <c r="B10" s="71">
        <v>320000</v>
      </c>
      <c r="C10" s="72">
        <v>30000</v>
      </c>
      <c r="D10" s="73">
        <f>JAN!T11</f>
        <v>59251.224000000002</v>
      </c>
      <c r="E10" s="73">
        <f>JAN!V11</f>
        <v>7419.1759999999995</v>
      </c>
      <c r="F10" s="73">
        <f>FEV!T11</f>
        <v>44075.12</v>
      </c>
      <c r="G10" s="73">
        <f>FEV!V11</f>
        <v>3635.1120000000005</v>
      </c>
      <c r="H10" s="73">
        <f>MAR!T11</f>
        <v>46693.456000000006</v>
      </c>
      <c r="I10" s="73">
        <f>MAR!V11</f>
        <v>1122</v>
      </c>
      <c r="J10" s="73">
        <f>ABR!T11</f>
        <v>33072.103999999999</v>
      </c>
      <c r="K10" s="73">
        <f>ABR!V11</f>
        <v>1098.0160000000001</v>
      </c>
      <c r="L10" s="73">
        <f>MAI!D11</f>
        <v>30243.520000000004</v>
      </c>
      <c r="M10" s="73">
        <f>MAI!F11</f>
        <v>619.13599999999997</v>
      </c>
      <c r="N10" s="73">
        <f>JUN!D11</f>
        <v>26023.592000000004</v>
      </c>
      <c r="O10" s="73">
        <f>JUN!F11</f>
        <v>2493.3040000000001</v>
      </c>
      <c r="P10" s="73">
        <f>JUL!D11</f>
        <v>27928.295999999998</v>
      </c>
      <c r="Q10" s="73">
        <f>JUL!F11</f>
        <v>353.79199999999986</v>
      </c>
      <c r="R10" s="73">
        <f>AGO!D11</f>
        <v>39178.92</v>
      </c>
      <c r="S10" s="73">
        <f>AGO!F11</f>
        <v>4806.0960000000023</v>
      </c>
      <c r="T10" s="73">
        <f>SET!D11</f>
        <v>26288.543999999994</v>
      </c>
      <c r="U10" s="73">
        <f>SET!F11</f>
        <v>1762.768</v>
      </c>
      <c r="V10" s="73">
        <f>OUT!D11</f>
        <v>70347.160000000018</v>
      </c>
      <c r="W10" s="73">
        <f>OUT!F11</f>
        <v>962.1519999999997</v>
      </c>
      <c r="X10" s="73">
        <f>NOV!D11</f>
        <v>27436.368000000002</v>
      </c>
      <c r="Y10" s="73">
        <f>NOV!F11</f>
        <v>850.36800000000005</v>
      </c>
      <c r="Z10" s="73">
        <f>DEZ!D11</f>
        <v>23338.648000000012</v>
      </c>
      <c r="AA10" s="73">
        <f>DEZ!F11</f>
        <v>2356.2720000000004</v>
      </c>
      <c r="AB10" s="1116">
        <f t="shared" si="1"/>
        <v>453876.95199999999</v>
      </c>
      <c r="AC10" s="1117">
        <f t="shared" si="1"/>
        <v>27478.191999999999</v>
      </c>
      <c r="AD10" s="74">
        <f t="shared" si="0"/>
        <v>1.4183654749999999</v>
      </c>
      <c r="AE10" s="75">
        <f t="shared" si="0"/>
        <v>0.91593973333333334</v>
      </c>
      <c r="AF10" s="1116"/>
      <c r="AG10" s="1117">
        <f t="shared" si="2"/>
        <v>2521.8080000000009</v>
      </c>
      <c r="AH10" s="1118"/>
      <c r="AI10" s="1118">
        <f t="shared" si="4"/>
        <v>2521.8080000000009</v>
      </c>
    </row>
    <row r="11" spans="1:35" s="91" customFormat="1">
      <c r="A11" s="76" t="s">
        <v>94</v>
      </c>
      <c r="B11" s="71">
        <v>127208.04</v>
      </c>
      <c r="C11" s="72">
        <v>25044.92</v>
      </c>
      <c r="D11" s="73">
        <f>JAN!T12</f>
        <v>26082.856</v>
      </c>
      <c r="E11" s="73">
        <f>JAN!V12</f>
        <v>3367.92</v>
      </c>
      <c r="F11" s="73">
        <f>FEV!T12</f>
        <v>25864.600000000002</v>
      </c>
      <c r="G11" s="73">
        <f>FEV!V12</f>
        <v>2910.3919999999998</v>
      </c>
      <c r="H11" s="73">
        <f>MAR!T12</f>
        <v>18605.400000000001</v>
      </c>
      <c r="I11" s="73">
        <f>MAR!V12</f>
        <v>3004.4639999999999</v>
      </c>
      <c r="J11" s="73">
        <f>ABR!T12</f>
        <v>9887.4480000000003</v>
      </c>
      <c r="K11" s="73">
        <f>ABR!V12</f>
        <v>1503.4</v>
      </c>
      <c r="L11" s="73">
        <f>MAI!D12</f>
        <v>9854.9600000000009</v>
      </c>
      <c r="M11" s="73">
        <f>MAI!F12</f>
        <v>1018.3920000000001</v>
      </c>
      <c r="N11" s="73">
        <f>JUN!D12</f>
        <v>8620.2960000000003</v>
      </c>
      <c r="O11" s="73">
        <f>JUN!F12</f>
        <v>519.52</v>
      </c>
      <c r="P11" s="73">
        <f>JUL!D12</f>
        <v>7222.9359999999988</v>
      </c>
      <c r="Q11" s="73">
        <f>JUL!F12</f>
        <v>2920.7759999999998</v>
      </c>
      <c r="R11" s="73">
        <f>AGO!D12</f>
        <v>8568.4320000000062</v>
      </c>
      <c r="S11" s="73">
        <f>AGO!F12</f>
        <v>2770.2320000000009</v>
      </c>
      <c r="T11" s="73">
        <f>SET!D12</f>
        <v>7131.3600000000042</v>
      </c>
      <c r="U11" s="73">
        <f>SET!F12</f>
        <v>1745.6240000000007</v>
      </c>
      <c r="V11" s="73">
        <f>OUT!D12</f>
        <v>21131.112000000001</v>
      </c>
      <c r="W11" s="73">
        <f>OUT!F12</f>
        <v>3201.9840000000004</v>
      </c>
      <c r="X11" s="73">
        <f>NOV!D12</f>
        <v>4899.3919999999998</v>
      </c>
      <c r="Y11" s="73">
        <f>NOV!F12</f>
        <v>1792.384</v>
      </c>
      <c r="Z11" s="73">
        <f>DEZ!D12</f>
        <v>8858.6159999999982</v>
      </c>
      <c r="AA11" s="73">
        <f>DEZ!F12</f>
        <v>1743.3119999999997</v>
      </c>
      <c r="AB11" s="1116">
        <f t="shared" si="1"/>
        <v>156727.40800000002</v>
      </c>
      <c r="AC11" s="1117">
        <f t="shared" si="1"/>
        <v>26498.400000000001</v>
      </c>
      <c r="AD11" s="74">
        <f t="shared" si="0"/>
        <v>1.2320558354644882</v>
      </c>
      <c r="AE11" s="75">
        <f t="shared" si="0"/>
        <v>1.0580349228506221</v>
      </c>
      <c r="AF11" s="1116"/>
      <c r="AG11" s="1117"/>
      <c r="AH11" s="1118"/>
      <c r="AI11" s="1118"/>
    </row>
    <row r="12" spans="1:35" s="91" customFormat="1">
      <c r="A12" s="76" t="s">
        <v>95</v>
      </c>
      <c r="B12" s="71">
        <v>200000</v>
      </c>
      <c r="C12" s="72">
        <v>30000</v>
      </c>
      <c r="D12" s="73">
        <f>JAN!T13</f>
        <v>32932.112000000001</v>
      </c>
      <c r="E12" s="73">
        <f>JAN!V13</f>
        <v>4949.9440000000004</v>
      </c>
      <c r="F12" s="73">
        <f>FEV!T13</f>
        <v>34125</v>
      </c>
      <c r="G12" s="73">
        <f>FEV!V13</f>
        <v>6452.7520000000004</v>
      </c>
      <c r="H12" s="73">
        <f>MAR!T13</f>
        <v>29089.800000000003</v>
      </c>
      <c r="I12" s="73">
        <f>MAR!V13</f>
        <v>3303.0320000000002</v>
      </c>
      <c r="J12" s="73">
        <f>ABR!T13</f>
        <v>15206.256000000001</v>
      </c>
      <c r="K12" s="73">
        <f>ABR!V13</f>
        <v>3891.4320000000002</v>
      </c>
      <c r="L12" s="73">
        <f>MAI!D13</f>
        <v>19263.848000000002</v>
      </c>
      <c r="M12" s="73">
        <f>MAI!F13</f>
        <v>2114</v>
      </c>
      <c r="N12" s="73">
        <f>JUN!D13</f>
        <v>24349</v>
      </c>
      <c r="O12" s="73">
        <f>JUN!F13</f>
        <v>1812.7919999999999</v>
      </c>
      <c r="P12" s="73">
        <f>JUL!D13</f>
        <v>25897.552000000003</v>
      </c>
      <c r="Q12" s="73">
        <f>JUL!F13</f>
        <v>4266.9680000000008</v>
      </c>
      <c r="R12" s="73">
        <f>AGO!D13</f>
        <v>27109.232000000007</v>
      </c>
      <c r="S12" s="73">
        <f>AGO!F13</f>
        <v>1777.1200000000013</v>
      </c>
      <c r="T12" s="73">
        <f>SET!D13</f>
        <v>28553.768000000007</v>
      </c>
      <c r="U12" s="73">
        <f>SET!F13</f>
        <v>943.23999999999944</v>
      </c>
      <c r="V12" s="73">
        <f>OUT!D13</f>
        <v>53344.655999999995</v>
      </c>
      <c r="W12" s="73">
        <f>OUT!F13</f>
        <v>1828.2560000000005</v>
      </c>
      <c r="X12" s="73">
        <f>NOV!D13</f>
        <v>24889.543999999998</v>
      </c>
      <c r="Y12" s="73">
        <f>NOV!F13</f>
        <v>2146.6480000000001</v>
      </c>
      <c r="Z12" s="73">
        <f>DEZ!D13</f>
        <v>32841.159999999989</v>
      </c>
      <c r="AA12" s="73">
        <f>DEZ!F13</f>
        <v>826.95999999999992</v>
      </c>
      <c r="AB12" s="1116">
        <f t="shared" si="1"/>
        <v>347601.92800000001</v>
      </c>
      <c r="AC12" s="1117">
        <f t="shared" si="1"/>
        <v>34313.144</v>
      </c>
      <c r="AD12" s="74">
        <f t="shared" si="0"/>
        <v>1.73800964</v>
      </c>
      <c r="AE12" s="75">
        <f t="shared" si="0"/>
        <v>1.1437714666666667</v>
      </c>
      <c r="AF12" s="1116"/>
      <c r="AG12" s="1117"/>
      <c r="AH12" s="1118"/>
      <c r="AI12" s="1118"/>
    </row>
    <row r="13" spans="1:35" s="91" customFormat="1">
      <c r="A13" s="78" t="s">
        <v>96</v>
      </c>
      <c r="B13" s="71">
        <v>72000</v>
      </c>
      <c r="C13" s="72">
        <v>5671</v>
      </c>
      <c r="D13" s="73">
        <f>JAN!T14</f>
        <v>17902.864000000001</v>
      </c>
      <c r="E13" s="73">
        <f>JAN!V14</f>
        <v>496.18400000000003</v>
      </c>
      <c r="F13" s="73">
        <f>FEV!T14</f>
        <v>21475.376000000004</v>
      </c>
      <c r="G13" s="73">
        <f>FEV!V14</f>
        <v>732.75200000000007</v>
      </c>
      <c r="H13" s="73">
        <f>MAR!T14</f>
        <v>34177.512000000002</v>
      </c>
      <c r="I13" s="73">
        <f>MAR!V14</f>
        <v>1214.28</v>
      </c>
      <c r="J13" s="73">
        <f>ABR!T14</f>
        <v>11482.784</v>
      </c>
      <c r="K13" s="73">
        <f>ABR!V14</f>
        <v>189.024</v>
      </c>
      <c r="L13" s="73">
        <f>MAI!D14</f>
        <v>7851.44</v>
      </c>
      <c r="M13" s="73">
        <f>MAI!F14</f>
        <v>644.32000000000005</v>
      </c>
      <c r="N13" s="73">
        <f>JUN!D14</f>
        <v>12072.192000000003</v>
      </c>
      <c r="O13" s="73">
        <f>JUN!F14</f>
        <v>163.56</v>
      </c>
      <c r="P13" s="73">
        <f>JUL!D14</f>
        <v>12548.400000000007</v>
      </c>
      <c r="Q13" s="73">
        <f>JUL!F14</f>
        <v>1868.3120000000004</v>
      </c>
      <c r="R13" s="73">
        <f>AGO!D14</f>
        <v>11230.735999999999</v>
      </c>
      <c r="S13" s="73">
        <f>AGO!F14</f>
        <v>420.9839999999997</v>
      </c>
      <c r="T13" s="73">
        <f>SET!D14</f>
        <v>11860.592000000004</v>
      </c>
      <c r="U13" s="73">
        <f>SET!F14</f>
        <v>579.27199999999982</v>
      </c>
      <c r="V13" s="73">
        <f>OUT!D14</f>
        <v>21160.487999999998</v>
      </c>
      <c r="W13" s="73">
        <f>OUT!F14</f>
        <v>665.52799999999991</v>
      </c>
      <c r="X13" s="73">
        <f>NOV!D14</f>
        <v>7590.8959999999997</v>
      </c>
      <c r="Y13" s="73">
        <f>NOV!F14</f>
        <v>1185.568</v>
      </c>
      <c r="Z13" s="73">
        <f>DEZ!D14</f>
        <v>8651.8160000000007</v>
      </c>
      <c r="AA13" s="73">
        <f>DEZ!F14</f>
        <v>820.4079999999999</v>
      </c>
      <c r="AB13" s="1116">
        <f t="shared" si="1"/>
        <v>178005.09600000002</v>
      </c>
      <c r="AC13" s="1117">
        <f t="shared" si="1"/>
        <v>8980.1920000000009</v>
      </c>
      <c r="AD13" s="74">
        <f t="shared" si="0"/>
        <v>2.4722930000000001</v>
      </c>
      <c r="AE13" s="75">
        <f t="shared" si="0"/>
        <v>1.5835288308940223</v>
      </c>
      <c r="AF13" s="1116"/>
      <c r="AG13" s="1117"/>
      <c r="AH13" s="1118"/>
      <c r="AI13" s="1118"/>
    </row>
    <row r="14" spans="1:35" s="91" customFormat="1">
      <c r="A14" s="77" t="s">
        <v>97</v>
      </c>
      <c r="B14" s="71">
        <v>101619.48</v>
      </c>
      <c r="C14" s="72">
        <v>16067.46</v>
      </c>
      <c r="D14" s="73">
        <f>JAN!T15</f>
        <v>14915.576000000001</v>
      </c>
      <c r="E14" s="73">
        <f>JAN!V15</f>
        <v>5375.1760000000004</v>
      </c>
      <c r="F14" s="73">
        <f>FEV!T15</f>
        <v>16993.920000000002</v>
      </c>
      <c r="G14" s="73">
        <f>FEV!V15</f>
        <v>2830.32</v>
      </c>
      <c r="H14" s="73">
        <f>MAR!T15</f>
        <v>17366.744000000002</v>
      </c>
      <c r="I14" s="73">
        <f>MAR!V15</f>
        <v>1620.5039999999999</v>
      </c>
      <c r="J14" s="73">
        <f>ABR!T15</f>
        <v>8215.344000000001</v>
      </c>
      <c r="K14" s="73">
        <f>ABR!V15</f>
        <v>1093.08</v>
      </c>
      <c r="L14" s="73">
        <f>MAI!D15</f>
        <v>16833.312000000002</v>
      </c>
      <c r="M14" s="73">
        <f>MAI!F15</f>
        <v>1615.864</v>
      </c>
      <c r="N14" s="73">
        <f>JUN!D15</f>
        <v>33394.536</v>
      </c>
      <c r="O14" s="73">
        <f>JUN!F15</f>
        <v>3602.7120000000004</v>
      </c>
      <c r="P14" s="73">
        <f>JUL!D15</f>
        <v>32080.760000000009</v>
      </c>
      <c r="Q14" s="73">
        <f>JUL!F15</f>
        <v>1996.6240000000007</v>
      </c>
      <c r="R14" s="73">
        <f>AGO!D15</f>
        <v>39660.576000000001</v>
      </c>
      <c r="S14" s="73">
        <f>AGO!F15</f>
        <v>4789.2719999999999</v>
      </c>
      <c r="T14" s="73">
        <f>SET!D15</f>
        <v>24372.200000000008</v>
      </c>
      <c r="U14" s="73">
        <f>SET!F15</f>
        <v>3597.6880000000006</v>
      </c>
      <c r="V14" s="73">
        <f>OUT!D15</f>
        <v>26457.016000000003</v>
      </c>
      <c r="W14" s="73">
        <f>OUT!F15</f>
        <v>3649.1600000000008</v>
      </c>
      <c r="X14" s="73">
        <f>NOV!D15</f>
        <v>14600.480000000003</v>
      </c>
      <c r="Y14" s="73">
        <f>NOV!F15</f>
        <v>1614.5840000000001</v>
      </c>
      <c r="Z14" s="73">
        <f>DEZ!D15</f>
        <v>22111.112000000005</v>
      </c>
      <c r="AA14" s="73">
        <f>DEZ!F15</f>
        <v>4103.9920000000011</v>
      </c>
      <c r="AB14" s="1116">
        <f t="shared" si="1"/>
        <v>267001.57600000006</v>
      </c>
      <c r="AC14" s="1117">
        <f t="shared" si="1"/>
        <v>35888.976000000002</v>
      </c>
      <c r="AD14" s="74">
        <f t="shared" si="0"/>
        <v>2.6274644979486221</v>
      </c>
      <c r="AE14" s="75">
        <f t="shared" si="0"/>
        <v>2.23364340101049</v>
      </c>
      <c r="AF14" s="1116"/>
      <c r="AG14" s="1117"/>
      <c r="AH14" s="1118"/>
      <c r="AI14" s="1118"/>
    </row>
    <row r="15" spans="1:35" s="91" customFormat="1">
      <c r="A15" s="76" t="s">
        <v>98</v>
      </c>
      <c r="B15" s="71">
        <v>181697.13</v>
      </c>
      <c r="C15" s="72">
        <v>24717.03</v>
      </c>
      <c r="D15" s="73">
        <f>JAN!T16</f>
        <v>24890.128000000001</v>
      </c>
      <c r="E15" s="73">
        <f>JAN!V16</f>
        <v>4095.2080000000005</v>
      </c>
      <c r="F15" s="73">
        <f>FEV!T16</f>
        <v>19847.592000000004</v>
      </c>
      <c r="G15" s="73">
        <f>FEV!V16</f>
        <v>2218.9680000000003</v>
      </c>
      <c r="H15" s="73">
        <f>MAR!T16</f>
        <v>20246.744000000002</v>
      </c>
      <c r="I15" s="73">
        <f>MAR!V16</f>
        <v>3617.1760000000004</v>
      </c>
      <c r="J15" s="73">
        <f>ABR!T16</f>
        <v>12041.232000000002</v>
      </c>
      <c r="K15" s="73">
        <f>ABR!V16</f>
        <v>1956.5840000000001</v>
      </c>
      <c r="L15" s="73">
        <f>MAI!D16</f>
        <v>12309.456</v>
      </c>
      <c r="M15" s="73">
        <f>MAI!F16</f>
        <v>1447.7440000000001</v>
      </c>
      <c r="N15" s="73">
        <f>JUN!D16</f>
        <v>15826.816000000001</v>
      </c>
      <c r="O15" s="73">
        <f>JUN!F16</f>
        <v>1705.88</v>
      </c>
      <c r="P15" s="73">
        <f>JUL!D16</f>
        <v>15290.399999999989</v>
      </c>
      <c r="Q15" s="73">
        <f>JUL!F16</f>
        <v>3067.3919999999985</v>
      </c>
      <c r="R15" s="73">
        <f>AGO!D16</f>
        <v>18751.935999999998</v>
      </c>
      <c r="S15" s="73">
        <f>AGO!F16</f>
        <v>1312.440000000001</v>
      </c>
      <c r="T15" s="73">
        <f>SET!D16</f>
        <v>23869.248000000011</v>
      </c>
      <c r="U15" s="73">
        <f>SET!F16</f>
        <v>5847.9600000000009</v>
      </c>
      <c r="V15" s="73">
        <f>OUT!D16</f>
        <v>30709.320000000003</v>
      </c>
      <c r="W15" s="73">
        <f>OUT!F16</f>
        <v>3216.5520000000006</v>
      </c>
      <c r="X15" s="73">
        <f>NOV!D16</f>
        <v>18556.456000000002</v>
      </c>
      <c r="Y15" s="73">
        <f>NOV!F16</f>
        <v>1536.5040000000001</v>
      </c>
      <c r="Z15" s="73">
        <f>DEZ!D16</f>
        <v>15961.464</v>
      </c>
      <c r="AA15" s="73">
        <f>DEZ!F16</f>
        <v>2421.288</v>
      </c>
      <c r="AB15" s="1116">
        <f t="shared" si="1"/>
        <v>228300.79200000004</v>
      </c>
      <c r="AC15" s="1117">
        <f t="shared" si="1"/>
        <v>32443.696000000007</v>
      </c>
      <c r="AD15" s="74">
        <f t="shared" si="0"/>
        <v>1.2564909087997154</v>
      </c>
      <c r="AE15" s="75">
        <f t="shared" si="0"/>
        <v>1.312604952941353</v>
      </c>
      <c r="AF15" s="1116"/>
      <c r="AG15" s="1117"/>
      <c r="AH15" s="1118"/>
      <c r="AI15" s="1118"/>
    </row>
    <row r="16" spans="1:35" s="91" customFormat="1">
      <c r="A16" s="76" t="s">
        <v>99</v>
      </c>
      <c r="B16" s="71">
        <v>1098934.42</v>
      </c>
      <c r="C16" s="72">
        <v>169602.58000000002</v>
      </c>
      <c r="D16" s="73">
        <f>JAN!T17</f>
        <v>185115.45600000001</v>
      </c>
      <c r="E16" s="73">
        <f>JAN!V17</f>
        <v>27282.232000000004</v>
      </c>
      <c r="F16" s="73">
        <f>FEV!T17</f>
        <v>143770.992</v>
      </c>
      <c r="G16" s="73">
        <f>FEV!V17</f>
        <v>19393.48</v>
      </c>
      <c r="H16" s="73">
        <f>MAR!T17</f>
        <v>138896.89600000001</v>
      </c>
      <c r="I16" s="73">
        <f>MAR!V17</f>
        <v>16598.423999999999</v>
      </c>
      <c r="J16" s="73">
        <f>ABR!T17</f>
        <v>84243.983999999997</v>
      </c>
      <c r="K16" s="73">
        <f>ABR!V17</f>
        <v>9891.9760000000006</v>
      </c>
      <c r="L16" s="73">
        <f>MAI!D17</f>
        <v>67184.504000000001</v>
      </c>
      <c r="M16" s="73">
        <f>MAI!F17</f>
        <v>11258.352000000001</v>
      </c>
      <c r="N16" s="73">
        <f>JUN!D17</f>
        <v>87725.216000000015</v>
      </c>
      <c r="O16" s="73">
        <f>JUN!F17</f>
        <v>11858.968000000001</v>
      </c>
      <c r="P16" s="73">
        <f>JUL!D17</f>
        <v>97839.735999999946</v>
      </c>
      <c r="Q16" s="73">
        <f>JUL!F17</f>
        <v>10326.151999999996</v>
      </c>
      <c r="R16" s="73">
        <f>AGO!D17</f>
        <v>87586.343999999954</v>
      </c>
      <c r="S16" s="73">
        <f>AGO!F17</f>
        <v>11881.240000000003</v>
      </c>
      <c r="T16" s="73">
        <f>SET!D17</f>
        <v>91409.895999999979</v>
      </c>
      <c r="U16" s="73">
        <f>SET!F17</f>
        <v>9360.2320000000018</v>
      </c>
      <c r="V16" s="73">
        <f>OUT!D17</f>
        <v>166212.41600000003</v>
      </c>
      <c r="W16" s="73">
        <f>OUT!F17</f>
        <v>14109.143999999998</v>
      </c>
      <c r="X16" s="73">
        <f>NOV!D17</f>
        <v>99450.384000000005</v>
      </c>
      <c r="Y16" s="73">
        <f>NOV!F17</f>
        <v>9004.0960000000014</v>
      </c>
      <c r="Z16" s="73">
        <f>DEZ!D17</f>
        <v>97816.09600000002</v>
      </c>
      <c r="AA16" s="73">
        <f>DEZ!F17</f>
        <v>12662.056</v>
      </c>
      <c r="AB16" s="1116">
        <f t="shared" si="1"/>
        <v>1347251.92</v>
      </c>
      <c r="AC16" s="1117">
        <f t="shared" si="1"/>
        <v>163626.35200000001</v>
      </c>
      <c r="AD16" s="74">
        <f t="shared" si="0"/>
        <v>1.22596207333282</v>
      </c>
      <c r="AE16" s="75">
        <f t="shared" si="0"/>
        <v>0.96476334263311325</v>
      </c>
      <c r="AF16" s="1116"/>
      <c r="AG16" s="1117">
        <f t="shared" si="2"/>
        <v>5976.2280000000028</v>
      </c>
      <c r="AH16" s="1118"/>
      <c r="AI16" s="1118">
        <f t="shared" si="4"/>
        <v>5976.2280000000028</v>
      </c>
    </row>
    <row r="17" spans="1:35" s="91" customFormat="1">
      <c r="A17" s="76" t="s">
        <v>100</v>
      </c>
      <c r="B17" s="71">
        <v>266422.43</v>
      </c>
      <c r="C17" s="72">
        <v>12982.24</v>
      </c>
      <c r="D17" s="73">
        <f>JAN!T18</f>
        <v>33064.248</v>
      </c>
      <c r="E17" s="73">
        <f>JAN!V18</f>
        <v>931.16000000000008</v>
      </c>
      <c r="F17" s="73">
        <f>FEV!T18</f>
        <v>29025.512000000002</v>
      </c>
      <c r="G17" s="73">
        <f>FEV!V18</f>
        <v>2140.384</v>
      </c>
      <c r="H17" s="73">
        <f>MAR!T18</f>
        <v>30848.928000000004</v>
      </c>
      <c r="I17" s="73">
        <f>MAR!V18</f>
        <v>3005.5040000000004</v>
      </c>
      <c r="J17" s="73">
        <f>ABR!T18</f>
        <v>18431.128000000001</v>
      </c>
      <c r="K17" s="73">
        <f>ABR!V18</f>
        <v>259.22399999999999</v>
      </c>
      <c r="L17" s="73">
        <f>MAI!D18</f>
        <v>11827.856</v>
      </c>
      <c r="M17" s="73">
        <f>MAI!F18</f>
        <v>497.19200000000001</v>
      </c>
      <c r="N17" s="73">
        <f>JUN!D18</f>
        <v>16226.992000000002</v>
      </c>
      <c r="O17" s="73">
        <f>JUN!F18</f>
        <v>1148.7920000000001</v>
      </c>
      <c r="P17" s="73">
        <f>JUL!D18</f>
        <v>18482.392000000003</v>
      </c>
      <c r="Q17" s="73">
        <f>JUL!F18</f>
        <v>1601.4639999999999</v>
      </c>
      <c r="R17" s="73">
        <f>AGO!D18</f>
        <v>27617.576000000001</v>
      </c>
      <c r="S17" s="73">
        <f>AGO!F18</f>
        <v>2402.7039999999993</v>
      </c>
      <c r="T17" s="73">
        <f>SET!D18</f>
        <v>20854.151999999998</v>
      </c>
      <c r="U17" s="73">
        <f>SET!F18</f>
        <v>538.1600000000002</v>
      </c>
      <c r="V17" s="73">
        <f>OUT!D18</f>
        <v>44025.704000000005</v>
      </c>
      <c r="W17" s="73">
        <f>OUT!F18</f>
        <v>502.69600000000014</v>
      </c>
      <c r="X17" s="73">
        <f>NOV!D18</f>
        <v>18437.416000000001</v>
      </c>
      <c r="Y17" s="73">
        <f>NOV!F18</f>
        <v>1491.056</v>
      </c>
      <c r="Z17" s="73">
        <f>DEZ!D18</f>
        <v>16974.952000000001</v>
      </c>
      <c r="AA17" s="73">
        <f>DEZ!F18</f>
        <v>417.36800000000005</v>
      </c>
      <c r="AB17" s="1116">
        <f t="shared" si="1"/>
        <v>285816.85600000003</v>
      </c>
      <c r="AC17" s="1117">
        <f t="shared" si="1"/>
        <v>14935.704000000002</v>
      </c>
      <c r="AD17" s="74">
        <f t="shared" si="0"/>
        <v>1.0727957702360122</v>
      </c>
      <c r="AE17" s="75">
        <f t="shared" si="0"/>
        <v>1.1504720294802748</v>
      </c>
      <c r="AF17" s="1116"/>
      <c r="AG17" s="1117"/>
      <c r="AH17" s="1118"/>
      <c r="AI17" s="1118"/>
    </row>
    <row r="18" spans="1:35" s="91" customFormat="1">
      <c r="A18" s="76" t="s">
        <v>101</v>
      </c>
      <c r="B18" s="71">
        <v>153007.4</v>
      </c>
      <c r="C18" s="72">
        <v>14275.61</v>
      </c>
      <c r="D18" s="73">
        <f>JAN!T19</f>
        <v>34927.256000000001</v>
      </c>
      <c r="E18" s="73">
        <f>JAN!V19</f>
        <v>3045.768</v>
      </c>
      <c r="F18" s="73">
        <f>FEV!T19</f>
        <v>25313.816000000003</v>
      </c>
      <c r="G18" s="73">
        <f>FEV!V19</f>
        <v>4342.4480000000003</v>
      </c>
      <c r="H18" s="73">
        <f>MAR!T19</f>
        <v>21610.808000000001</v>
      </c>
      <c r="I18" s="73">
        <f>MAR!V19</f>
        <v>2208.7440000000001</v>
      </c>
      <c r="J18" s="73">
        <f>ABR!T19</f>
        <v>16525.216</v>
      </c>
      <c r="K18" s="73">
        <f>ABR!V19</f>
        <v>618.30400000000009</v>
      </c>
      <c r="L18" s="73">
        <f>MAI!D19</f>
        <v>9397.9840000000004</v>
      </c>
      <c r="M18" s="73">
        <f>MAI!F19</f>
        <v>546.72799999999995</v>
      </c>
      <c r="N18" s="73">
        <f>JUN!D19</f>
        <v>11919.736000000001</v>
      </c>
      <c r="O18" s="73">
        <f>JUN!F19</f>
        <v>82.00800000000001</v>
      </c>
      <c r="P18" s="73">
        <f>JUL!D19</f>
        <v>18175.511999999988</v>
      </c>
      <c r="Q18" s="73">
        <f>JUL!F19</f>
        <v>836.2080000000002</v>
      </c>
      <c r="R18" s="73">
        <f>AGO!D19</f>
        <v>21334.480000000007</v>
      </c>
      <c r="S18" s="73">
        <f>AGO!F19</f>
        <v>1061.8319999999992</v>
      </c>
      <c r="T18" s="73">
        <f>SET!D19</f>
        <v>20925.072</v>
      </c>
      <c r="U18" s="73">
        <f>SET!F19</f>
        <v>1191.0719999999999</v>
      </c>
      <c r="V18" s="73">
        <f>OUT!D19</f>
        <v>39640.207999999999</v>
      </c>
      <c r="W18" s="73">
        <f>OUT!F19</f>
        <v>3298.7360000000003</v>
      </c>
      <c r="X18" s="73">
        <f>NOV!D19</f>
        <v>15281.512000000002</v>
      </c>
      <c r="Y18" s="73">
        <f>NOV!F19</f>
        <v>2816.152</v>
      </c>
      <c r="Z18" s="73">
        <f>DEZ!D19</f>
        <v>22429.376</v>
      </c>
      <c r="AA18" s="73">
        <f>DEZ!F19</f>
        <v>1333.6480000000004</v>
      </c>
      <c r="AB18" s="1116">
        <f t="shared" si="1"/>
        <v>257480.97599999997</v>
      </c>
      <c r="AC18" s="1117">
        <f t="shared" si="1"/>
        <v>21381.648000000001</v>
      </c>
      <c r="AD18" s="74">
        <f t="shared" si="0"/>
        <v>1.6828008057126647</v>
      </c>
      <c r="AE18" s="75">
        <f t="shared" si="0"/>
        <v>1.4977747360708229</v>
      </c>
      <c r="AF18" s="1116"/>
      <c r="AG18" s="1117"/>
      <c r="AH18" s="1118"/>
      <c r="AI18" s="1118"/>
    </row>
    <row r="19" spans="1:35" s="91" customFormat="1">
      <c r="A19" s="77" t="s">
        <v>102</v>
      </c>
      <c r="B19" s="71">
        <v>704597.22</v>
      </c>
      <c r="C19" s="72">
        <v>187730.11</v>
      </c>
      <c r="D19" s="73">
        <f>JAN!T20</f>
        <v>163800.576</v>
      </c>
      <c r="E19" s="73">
        <f>JAN!V20</f>
        <v>44301.504000000001</v>
      </c>
      <c r="F19" s="73">
        <f>FEV!T20</f>
        <v>115342.728</v>
      </c>
      <c r="G19" s="73">
        <f>FEV!V20</f>
        <v>30599.135999999999</v>
      </c>
      <c r="H19" s="73">
        <f>MAR!T20</f>
        <v>108481.66399999999</v>
      </c>
      <c r="I19" s="73">
        <f>MAR!V20</f>
        <v>32049.304</v>
      </c>
      <c r="J19" s="73">
        <f>ABR!T20</f>
        <v>61886.456000000006</v>
      </c>
      <c r="K19" s="73">
        <f>ABR!V20</f>
        <v>17739.04</v>
      </c>
      <c r="L19" s="73">
        <f>MAI!D20</f>
        <v>58469.368000000009</v>
      </c>
      <c r="M19" s="73">
        <f>MAI!F20</f>
        <v>12153.68</v>
      </c>
      <c r="N19" s="73">
        <f>JUN!D20</f>
        <v>66993.304000000004</v>
      </c>
      <c r="O19" s="73">
        <f>JUN!F20</f>
        <v>16490.952000000001</v>
      </c>
      <c r="P19" s="73">
        <f>JUL!D20</f>
        <v>58988.439999999995</v>
      </c>
      <c r="Q19" s="73">
        <f>JUL!F20</f>
        <v>15796.040000000003</v>
      </c>
      <c r="R19" s="73">
        <f>AGO!D20</f>
        <v>64240.86400000006</v>
      </c>
      <c r="S19" s="73">
        <f>AGO!F20</f>
        <v>10409.471999999998</v>
      </c>
      <c r="T19" s="73">
        <f>SET!D20</f>
        <v>63436</v>
      </c>
      <c r="U19" s="73">
        <f>SET!F20</f>
        <v>16162.368000000006</v>
      </c>
      <c r="V19" s="73">
        <f>OUT!D20</f>
        <v>107887.91200000001</v>
      </c>
      <c r="W19" s="73">
        <f>OUT!F20</f>
        <v>17819.439999999999</v>
      </c>
      <c r="X19" s="73">
        <f>NOV!D20</f>
        <v>55170.335999999988</v>
      </c>
      <c r="Y19" s="73">
        <f>NOV!F20</f>
        <v>10213.632000000001</v>
      </c>
      <c r="Z19" s="73">
        <f>DEZ!D20</f>
        <v>52872.58400000001</v>
      </c>
      <c r="AA19" s="73">
        <f>DEZ!F20</f>
        <v>9324.5919999999987</v>
      </c>
      <c r="AB19" s="1116">
        <f t="shared" si="1"/>
        <v>977570.23200000008</v>
      </c>
      <c r="AC19" s="1117">
        <f t="shared" si="1"/>
        <v>233059.16000000003</v>
      </c>
      <c r="AD19" s="74">
        <f t="shared" si="0"/>
        <v>1.3874171005102747</v>
      </c>
      <c r="AE19" s="75">
        <f t="shared" si="0"/>
        <v>1.2414586024586043</v>
      </c>
      <c r="AF19" s="1116"/>
      <c r="AG19" s="1117"/>
      <c r="AH19" s="1118"/>
      <c r="AI19" s="1118"/>
    </row>
    <row r="20" spans="1:35" s="91" customFormat="1">
      <c r="A20" s="76" t="s">
        <v>103</v>
      </c>
      <c r="B20" s="71">
        <v>321606.04000000004</v>
      </c>
      <c r="C20" s="72">
        <v>24973.199999999997</v>
      </c>
      <c r="D20" s="73">
        <f>JAN!T21</f>
        <v>66953.768000000011</v>
      </c>
      <c r="E20" s="73">
        <f>JAN!V21</f>
        <v>5265.0960000000005</v>
      </c>
      <c r="F20" s="73">
        <f>FEV!T21</f>
        <v>42619.872000000003</v>
      </c>
      <c r="G20" s="73">
        <f>FEV!V21</f>
        <v>5529.16</v>
      </c>
      <c r="H20" s="73">
        <f>MAR!T21</f>
        <v>32370.056</v>
      </c>
      <c r="I20" s="73">
        <f>MAR!V21</f>
        <v>2478.6240000000003</v>
      </c>
      <c r="J20" s="73">
        <f>ABR!T21</f>
        <v>17392.135999999999</v>
      </c>
      <c r="K20" s="73">
        <f>ABR!V21</f>
        <v>746.50400000000002</v>
      </c>
      <c r="L20" s="73">
        <f>MAI!D21</f>
        <v>14371.872000000001</v>
      </c>
      <c r="M20" s="73">
        <f>MAI!F21</f>
        <v>512.25600000000009</v>
      </c>
      <c r="N20" s="73">
        <f>JUN!D21</f>
        <v>16920</v>
      </c>
      <c r="O20" s="73">
        <f>JUN!F21</f>
        <v>993.84</v>
      </c>
      <c r="P20" s="73">
        <f>JUL!D21</f>
        <v>26410.552000000003</v>
      </c>
      <c r="Q20" s="73">
        <f>JUL!F21</f>
        <v>1809.12</v>
      </c>
      <c r="R20" s="73">
        <f>AGO!D21</f>
        <v>24570.704000000005</v>
      </c>
      <c r="S20" s="73">
        <f>AGO!F21</f>
        <v>1597.0639999999985</v>
      </c>
      <c r="T20" s="73">
        <f>SET!D21</f>
        <v>25122.648000000001</v>
      </c>
      <c r="U20" s="73">
        <f>SET!F21</f>
        <v>2842.52</v>
      </c>
      <c r="V20" s="73">
        <f>OUT!D21</f>
        <v>59329.031999999999</v>
      </c>
      <c r="W20" s="73">
        <f>OUT!F21</f>
        <v>5136.344000000001</v>
      </c>
      <c r="X20" s="73">
        <f>NOV!D21</f>
        <v>21197.632000000001</v>
      </c>
      <c r="Y20" s="73">
        <f>NOV!F21</f>
        <v>1931.6000000000001</v>
      </c>
      <c r="Z20" s="73">
        <f>DEZ!D21</f>
        <v>15237.856</v>
      </c>
      <c r="AA20" s="73">
        <f>DEZ!F21</f>
        <v>2184.3840000000005</v>
      </c>
      <c r="AB20" s="1116">
        <f t="shared" si="1"/>
        <v>362496.12800000003</v>
      </c>
      <c r="AC20" s="1117">
        <f t="shared" si="1"/>
        <v>31026.512000000002</v>
      </c>
      <c r="AD20" s="74">
        <f t="shared" si="0"/>
        <v>1.1271434081275338</v>
      </c>
      <c r="AE20" s="75">
        <f t="shared" si="0"/>
        <v>1.2423923245719413</v>
      </c>
      <c r="AF20" s="1116"/>
      <c r="AG20" s="1117"/>
      <c r="AH20" s="1118"/>
      <c r="AI20" s="1118"/>
    </row>
    <row r="21" spans="1:35" s="91" customFormat="1">
      <c r="A21" s="76" t="s">
        <v>104</v>
      </c>
      <c r="B21" s="71">
        <v>55168.07</v>
      </c>
      <c r="C21" s="72">
        <v>16377.880000000001</v>
      </c>
      <c r="D21" s="73">
        <f>JAN!T22</f>
        <v>11724.016000000001</v>
      </c>
      <c r="E21" s="73">
        <f>JAN!V22</f>
        <v>3252.7520000000004</v>
      </c>
      <c r="F21" s="73">
        <f>FEV!T22</f>
        <v>8931.0079999999998</v>
      </c>
      <c r="G21" s="73">
        <f>FEV!V22</f>
        <v>1141.4559999999999</v>
      </c>
      <c r="H21" s="73">
        <f>MAR!T22</f>
        <v>5319.9520000000002</v>
      </c>
      <c r="I21" s="73">
        <f>MAR!V22</f>
        <v>536.85600000000011</v>
      </c>
      <c r="J21" s="73">
        <f>ABR!T22</f>
        <v>3246.9040000000005</v>
      </c>
      <c r="K21" s="73">
        <f>ABR!V22</f>
        <v>216.76</v>
      </c>
      <c r="L21" s="73">
        <f>MAI!D22</f>
        <v>3917.9440000000004</v>
      </c>
      <c r="M21" s="73">
        <f>MAI!F22</f>
        <v>278.84000000000003</v>
      </c>
      <c r="N21" s="73">
        <f>JUN!D22</f>
        <v>2119.9919999999997</v>
      </c>
      <c r="O21" s="73">
        <f>JUN!F22</f>
        <v>867.35200000000009</v>
      </c>
      <c r="P21" s="73">
        <f>JUL!D22</f>
        <v>2514.9840000000027</v>
      </c>
      <c r="Q21" s="73">
        <f>JUL!F22</f>
        <v>1663.8879999999999</v>
      </c>
      <c r="R21" s="73">
        <f>AGO!D22</f>
        <v>8196.6640000000025</v>
      </c>
      <c r="S21" s="73">
        <f>AGO!F22</f>
        <v>241.51999999999973</v>
      </c>
      <c r="T21" s="73">
        <f>SET!D22</f>
        <v>7317.4720000000007</v>
      </c>
      <c r="U21" s="73">
        <f>SET!F22</f>
        <v>683.74400000000014</v>
      </c>
      <c r="V21" s="73">
        <f>OUT!D22</f>
        <v>11390.368000000002</v>
      </c>
      <c r="W21" s="73">
        <f>OUT!F22</f>
        <v>685.88800000000015</v>
      </c>
      <c r="X21" s="73">
        <f>NOV!D22</f>
        <v>3505.6400000000003</v>
      </c>
      <c r="Y21" s="73">
        <f>NOV!F22</f>
        <v>419.19200000000001</v>
      </c>
      <c r="Z21" s="73">
        <f>DEZ!D22</f>
        <v>13957.855999999998</v>
      </c>
      <c r="AA21" s="73">
        <f>DEZ!F22</f>
        <v>2099.7920000000004</v>
      </c>
      <c r="AB21" s="1116">
        <f t="shared" si="1"/>
        <v>82142.800000000017</v>
      </c>
      <c r="AC21" s="1117">
        <f t="shared" si="1"/>
        <v>12088.040000000005</v>
      </c>
      <c r="AD21" s="74">
        <f t="shared" si="0"/>
        <v>1.4889554773259246</v>
      </c>
      <c r="AE21" s="75">
        <f t="shared" si="0"/>
        <v>0.73807110566202727</v>
      </c>
      <c r="AF21" s="1116"/>
      <c r="AG21" s="1117">
        <f t="shared" si="3"/>
        <v>4289.8399999999965</v>
      </c>
      <c r="AH21" s="1118"/>
      <c r="AI21" s="1118">
        <f t="shared" si="4"/>
        <v>4289.8399999999965</v>
      </c>
    </row>
    <row r="22" spans="1:35" s="91" customFormat="1">
      <c r="A22" s="76" t="s">
        <v>105</v>
      </c>
      <c r="B22" s="71">
        <v>720000</v>
      </c>
      <c r="C22" s="72">
        <v>140000</v>
      </c>
      <c r="D22" s="73">
        <f>JAN!T23</f>
        <v>146034.54399999999</v>
      </c>
      <c r="E22" s="73">
        <f>JAN!V23</f>
        <v>18606</v>
      </c>
      <c r="F22" s="73">
        <f>FEV!T23</f>
        <v>99699.280000000013</v>
      </c>
      <c r="G22" s="73">
        <f>FEV!V23</f>
        <v>16482.960000000003</v>
      </c>
      <c r="H22" s="73">
        <f>MAR!T23</f>
        <v>93884.104000000007</v>
      </c>
      <c r="I22" s="73">
        <f>MAR!V23</f>
        <v>15240.936000000002</v>
      </c>
      <c r="J22" s="73">
        <f>ABR!T23</f>
        <v>55580.104000000007</v>
      </c>
      <c r="K22" s="73">
        <f>ABR!V23</f>
        <v>8184.8</v>
      </c>
      <c r="L22" s="73">
        <f>MAI!D23</f>
        <v>44998.815999999999</v>
      </c>
      <c r="M22" s="73">
        <f>MAI!F23</f>
        <v>7156.4240000000009</v>
      </c>
      <c r="N22" s="73">
        <f>JUN!D23</f>
        <v>63753.872000000003</v>
      </c>
      <c r="O22" s="73">
        <f>JUN!F23</f>
        <v>6892.7520000000004</v>
      </c>
      <c r="P22" s="73">
        <f>JUL!D23</f>
        <v>72585.807999999961</v>
      </c>
      <c r="Q22" s="73">
        <f>JUL!F23</f>
        <v>7149.4080000000022</v>
      </c>
      <c r="R22" s="73">
        <f>AGO!D23</f>
        <v>69544.880000000077</v>
      </c>
      <c r="S22" s="73">
        <f>AGO!F23</f>
        <v>5840.7599999999984</v>
      </c>
      <c r="T22" s="73">
        <f>SET!D23</f>
        <v>76282.559999999983</v>
      </c>
      <c r="U22" s="73">
        <f>SET!F23</f>
        <v>7063.5519999999997</v>
      </c>
      <c r="V22" s="73">
        <f>OUT!D23</f>
        <v>146238.66400000002</v>
      </c>
      <c r="W22" s="73">
        <f>OUT!F23</f>
        <v>14351.272000000004</v>
      </c>
      <c r="X22" s="73">
        <f>NOV!D23</f>
        <v>62151.256000000008</v>
      </c>
      <c r="Y22" s="73">
        <f>NOV!F23</f>
        <v>6954.9520000000011</v>
      </c>
      <c r="Z22" s="73">
        <f>DEZ!D23</f>
        <v>60651.4</v>
      </c>
      <c r="AA22" s="73">
        <f>DEZ!F23</f>
        <v>9964.4239999999991</v>
      </c>
      <c r="AB22" s="1116">
        <f t="shared" si="1"/>
        <v>991405.28800000006</v>
      </c>
      <c r="AC22" s="1117">
        <f t="shared" si="1"/>
        <v>123888.24</v>
      </c>
      <c r="AD22" s="74">
        <f t="shared" si="0"/>
        <v>1.3769517888888889</v>
      </c>
      <c r="AE22" s="75">
        <f t="shared" si="0"/>
        <v>0.88491600000000004</v>
      </c>
      <c r="AF22" s="1116"/>
      <c r="AG22" s="1117">
        <f t="shared" si="2"/>
        <v>16111.759999999995</v>
      </c>
      <c r="AH22" s="1118"/>
      <c r="AI22" s="1118">
        <f t="shared" si="4"/>
        <v>16111.759999999995</v>
      </c>
    </row>
    <row r="23" spans="1:35" s="91" customFormat="1">
      <c r="A23" s="76" t="s">
        <v>106</v>
      </c>
      <c r="B23" s="71">
        <v>192304.15</v>
      </c>
      <c r="C23" s="72">
        <v>11774</v>
      </c>
      <c r="D23" s="73">
        <f>JAN!T24</f>
        <v>33630.336000000003</v>
      </c>
      <c r="E23" s="73">
        <f>JAN!V24</f>
        <v>1252.672</v>
      </c>
      <c r="F23" s="73">
        <f>FEV!T24</f>
        <v>26112.800000000003</v>
      </c>
      <c r="G23" s="73">
        <f>FEV!V24</f>
        <v>2064.616</v>
      </c>
      <c r="H23" s="73">
        <f>MAR!T24</f>
        <v>31526.624000000007</v>
      </c>
      <c r="I23" s="73">
        <f>MAR!V24</f>
        <v>2341.9919999999997</v>
      </c>
      <c r="J23" s="73">
        <f>ABR!T24</f>
        <v>17326.952000000001</v>
      </c>
      <c r="K23" s="73">
        <f>ABR!V24</f>
        <v>340.48800000000006</v>
      </c>
      <c r="L23" s="73">
        <f>MAI!D24</f>
        <v>15047.36</v>
      </c>
      <c r="M23" s="73">
        <f>MAI!F24</f>
        <v>845.12000000000012</v>
      </c>
      <c r="N23" s="73">
        <f>JUN!D24</f>
        <v>16622.416000000001</v>
      </c>
      <c r="O23" s="73">
        <f>JUN!F24</f>
        <v>817.56000000000006</v>
      </c>
      <c r="P23" s="73">
        <f>JUL!D24</f>
        <v>20801.49600000001</v>
      </c>
      <c r="Q23" s="73">
        <f>JUL!F24</f>
        <v>644.06399999999996</v>
      </c>
      <c r="R23" s="73">
        <f>AGO!D24</f>
        <v>16950.119999999984</v>
      </c>
      <c r="S23" s="73">
        <f>AGO!F24</f>
        <v>1156.8400000000008</v>
      </c>
      <c r="T23" s="73">
        <f>SET!D24</f>
        <v>13425.896000000002</v>
      </c>
      <c r="U23" s="73">
        <f>SET!F24</f>
        <v>366.52800000000008</v>
      </c>
      <c r="V23" s="73">
        <f>OUT!D24</f>
        <v>28207.648000000005</v>
      </c>
      <c r="W23" s="73">
        <f>OUT!F24</f>
        <v>850.73599999999988</v>
      </c>
      <c r="X23" s="73">
        <f>NOV!D24</f>
        <v>12317.112000000001</v>
      </c>
      <c r="Y23" s="73">
        <f>NOV!F24</f>
        <v>134.56</v>
      </c>
      <c r="Z23" s="73">
        <f>DEZ!D24</f>
        <v>17731.344000000001</v>
      </c>
      <c r="AA23" s="73">
        <f>DEZ!F24</f>
        <v>126.25600000000014</v>
      </c>
      <c r="AB23" s="1116">
        <f t="shared" si="1"/>
        <v>249700.10400000005</v>
      </c>
      <c r="AC23" s="1117">
        <f t="shared" si="1"/>
        <v>10941.432000000001</v>
      </c>
      <c r="AD23" s="74">
        <f t="shared" si="0"/>
        <v>1.2984644585153262</v>
      </c>
      <c r="AE23" s="75">
        <f t="shared" si="0"/>
        <v>0.92928758280958046</v>
      </c>
      <c r="AF23" s="1116"/>
      <c r="AG23" s="1117">
        <f t="shared" si="2"/>
        <v>832.5679999999993</v>
      </c>
      <c r="AH23" s="1118"/>
      <c r="AI23" s="1118">
        <f t="shared" si="4"/>
        <v>832.5679999999993</v>
      </c>
    </row>
    <row r="24" spans="1:35" s="91" customFormat="1">
      <c r="A24" s="76" t="s">
        <v>107</v>
      </c>
      <c r="B24" s="71">
        <v>763682.25</v>
      </c>
      <c r="C24" s="72">
        <v>114583.78</v>
      </c>
      <c r="D24" s="73">
        <f>JAN!T25</f>
        <v>131183.56000000003</v>
      </c>
      <c r="E24" s="73">
        <f>JAN!V25</f>
        <v>31813.528000000006</v>
      </c>
      <c r="F24" s="73">
        <f>FEV!T25</f>
        <v>89675.648000000001</v>
      </c>
      <c r="G24" s="73">
        <f>FEV!V25</f>
        <v>23029.248000000003</v>
      </c>
      <c r="H24" s="73">
        <f>MAR!T25</f>
        <v>98485.952000000005</v>
      </c>
      <c r="I24" s="73">
        <f>MAR!V25</f>
        <v>27382.712</v>
      </c>
      <c r="J24" s="73">
        <f>ABR!T25</f>
        <v>55000.512000000002</v>
      </c>
      <c r="K24" s="73">
        <f>ABR!V25</f>
        <v>11017.24</v>
      </c>
      <c r="L24" s="73">
        <f>MAI!D25</f>
        <v>44244.456000000006</v>
      </c>
      <c r="M24" s="73">
        <f>MAI!F25</f>
        <v>8636.344000000001</v>
      </c>
      <c r="N24" s="73">
        <f>JUN!D25</f>
        <v>58944.072</v>
      </c>
      <c r="O24" s="73">
        <f>JUN!F25</f>
        <v>12704.704</v>
      </c>
      <c r="P24" s="73">
        <f>JUL!D25</f>
        <v>62622.031999999985</v>
      </c>
      <c r="Q24" s="73">
        <f>JUL!F25</f>
        <v>13106.088000000002</v>
      </c>
      <c r="R24" s="73">
        <f>AGO!D25</f>
        <v>70627.512000000061</v>
      </c>
      <c r="S24" s="73">
        <f>AGO!F25</f>
        <v>12905.704000000005</v>
      </c>
      <c r="T24" s="73">
        <f>SET!D25</f>
        <v>77108.551999999952</v>
      </c>
      <c r="U24" s="73">
        <f>SET!F25</f>
        <v>8145.7280000000028</v>
      </c>
      <c r="V24" s="73">
        <f>OUT!D25</f>
        <v>127105.67199999998</v>
      </c>
      <c r="W24" s="73">
        <f>OUT!F25</f>
        <v>8678.5360000000019</v>
      </c>
      <c r="X24" s="73">
        <f>NOV!D25</f>
        <v>61135.463999999993</v>
      </c>
      <c r="Y24" s="73">
        <f>NOV!F25</f>
        <v>8250.4639999999999</v>
      </c>
      <c r="Z24" s="73">
        <f>DEZ!D25</f>
        <v>97773.655999999988</v>
      </c>
      <c r="AA24" s="73">
        <f>DEZ!F25</f>
        <v>10486.552000000003</v>
      </c>
      <c r="AB24" s="1116">
        <f t="shared" si="1"/>
        <v>973907.08799999999</v>
      </c>
      <c r="AC24" s="1117">
        <f t="shared" si="1"/>
        <v>176156.84800000003</v>
      </c>
      <c r="AD24" s="74">
        <f t="shared" si="0"/>
        <v>1.275277889462535</v>
      </c>
      <c r="AE24" s="75">
        <f t="shared" si="0"/>
        <v>1.5373628623527695</v>
      </c>
      <c r="AF24" s="1116"/>
      <c r="AG24" s="1117"/>
      <c r="AH24" s="1118"/>
      <c r="AI24" s="1118"/>
    </row>
    <row r="25" spans="1:35" s="91" customFormat="1">
      <c r="A25" s="76" t="s">
        <v>108</v>
      </c>
      <c r="B25" s="71">
        <v>41619.199999999997</v>
      </c>
      <c r="C25" s="72">
        <v>6861.61</v>
      </c>
      <c r="D25" s="73">
        <f>JAN!T26</f>
        <v>10134.36</v>
      </c>
      <c r="E25" s="73">
        <f>JAN!V26</f>
        <v>2103.1840000000002</v>
      </c>
      <c r="F25" s="73">
        <f>FEV!T26</f>
        <v>9188.3680000000004</v>
      </c>
      <c r="G25" s="73">
        <f>FEV!V26</f>
        <v>1861.864</v>
      </c>
      <c r="H25" s="73">
        <f>MAR!T26</f>
        <v>5198.8960000000006</v>
      </c>
      <c r="I25" s="73">
        <f>MAR!V26</f>
        <v>1007.792</v>
      </c>
      <c r="J25" s="73">
        <f>ABR!T26</f>
        <v>5218.4480000000003</v>
      </c>
      <c r="K25" s="73">
        <f>ABR!V26</f>
        <v>652.77600000000007</v>
      </c>
      <c r="L25" s="73">
        <f>MAI!D26</f>
        <v>5513.0160000000005</v>
      </c>
      <c r="M25" s="73">
        <f>MAI!F26</f>
        <v>311.16000000000003</v>
      </c>
      <c r="N25" s="73">
        <f>JUN!D26</f>
        <v>5617.7759999999998</v>
      </c>
      <c r="O25" s="73">
        <f>JUN!F26</f>
        <v>952.39200000000005</v>
      </c>
      <c r="P25" s="73">
        <f>JUL!D26</f>
        <v>4543.4799999999987</v>
      </c>
      <c r="Q25" s="73">
        <f>JUL!F26</f>
        <v>716.53600000000006</v>
      </c>
      <c r="R25" s="73">
        <f>AGO!D26</f>
        <v>4806.7280000000028</v>
      </c>
      <c r="S25" s="73">
        <f>AGO!F26</f>
        <v>671.76000000000067</v>
      </c>
      <c r="T25" s="73">
        <f>SET!D26</f>
        <v>4775.4720000000007</v>
      </c>
      <c r="U25" s="73">
        <f>SET!F26</f>
        <v>742.2</v>
      </c>
      <c r="V25" s="73">
        <f>OUT!D26</f>
        <v>8793.6880000000001</v>
      </c>
      <c r="W25" s="73">
        <f>OUT!F26</f>
        <v>2180.4720000000002</v>
      </c>
      <c r="X25" s="73">
        <f>NOV!D26</f>
        <v>3785.4320000000002</v>
      </c>
      <c r="Y25" s="73">
        <f>NOV!F26</f>
        <v>217.26400000000001</v>
      </c>
      <c r="Z25" s="73">
        <f>DEZ!D26</f>
        <v>4790.5440000000017</v>
      </c>
      <c r="AA25" s="73">
        <f>DEZ!F26</f>
        <v>758.48799999999994</v>
      </c>
      <c r="AB25" s="1116">
        <f t="shared" si="1"/>
        <v>72366.208000000013</v>
      </c>
      <c r="AC25" s="1117">
        <f t="shared" si="1"/>
        <v>12175.887999999999</v>
      </c>
      <c r="AD25" s="74">
        <f t="shared" si="0"/>
        <v>1.7387697985545136</v>
      </c>
      <c r="AE25" s="75">
        <f t="shared" si="0"/>
        <v>1.7744943242183686</v>
      </c>
      <c r="AF25" s="1116"/>
      <c r="AG25" s="1117"/>
      <c r="AH25" s="1118"/>
      <c r="AI25" s="1118"/>
    </row>
    <row r="26" spans="1:35" s="91" customFormat="1">
      <c r="A26" s="78" t="s">
        <v>109</v>
      </c>
      <c r="B26" s="71">
        <v>2958.21</v>
      </c>
      <c r="C26" s="72">
        <v>810.78</v>
      </c>
      <c r="D26" s="73">
        <f>JAN!T27</f>
        <v>706.03200000000004</v>
      </c>
      <c r="E26" s="73">
        <f>JAN!V27</f>
        <v>0</v>
      </c>
      <c r="F26" s="73">
        <f>FEV!T27</f>
        <v>1243.6480000000001</v>
      </c>
      <c r="G26" s="73">
        <f>FEV!V27</f>
        <v>368.52800000000002</v>
      </c>
      <c r="H26" s="73">
        <f>MAR!T27</f>
        <v>221.11199999999999</v>
      </c>
      <c r="I26" s="73">
        <f>MAR!V27</f>
        <v>176.904</v>
      </c>
      <c r="J26" s="73">
        <f>ABR!T27</f>
        <v>0</v>
      </c>
      <c r="K26" s="73">
        <f>ABR!V27</f>
        <v>0</v>
      </c>
      <c r="L26" s="73">
        <f>MAI!D27</f>
        <v>461.82400000000001</v>
      </c>
      <c r="M26" s="73">
        <f>MAI!F27</f>
        <v>0</v>
      </c>
      <c r="N26" s="73">
        <f>JUN!D27</f>
        <v>400.88000000000005</v>
      </c>
      <c r="O26" s="73">
        <f>JUN!F27</f>
        <v>265.35200000000003</v>
      </c>
      <c r="P26" s="73">
        <f>JUL!D27</f>
        <v>144.87200000000013</v>
      </c>
      <c r="Q26" s="73">
        <f>JUL!F27</f>
        <v>0</v>
      </c>
      <c r="R26" s="73">
        <f>AGO!D27</f>
        <v>568.4</v>
      </c>
      <c r="S26" s="73">
        <f>AGO!F27</f>
        <v>73.703999999999994</v>
      </c>
      <c r="T26" s="73">
        <f>SET!D27</f>
        <v>609.39200000000017</v>
      </c>
      <c r="U26" s="73">
        <f>SET!F27</f>
        <v>884.44799999999998</v>
      </c>
      <c r="V26" s="73">
        <f>OUT!D27</f>
        <v>192.39200000000019</v>
      </c>
      <c r="W26" s="73">
        <f>OUT!F27</f>
        <v>53.904000000000025</v>
      </c>
      <c r="X26" s="73">
        <f>NOV!D27</f>
        <v>928.51200000000017</v>
      </c>
      <c r="Y26" s="73">
        <f>NOV!F27</f>
        <v>0</v>
      </c>
      <c r="Z26" s="73">
        <f>DEZ!D27</f>
        <v>489.95999999999987</v>
      </c>
      <c r="AA26" s="73">
        <f>DEZ!F27</f>
        <v>0</v>
      </c>
      <c r="AB26" s="1116">
        <f t="shared" si="1"/>
        <v>5967.0240000000003</v>
      </c>
      <c r="AC26" s="1117">
        <f t="shared" si="1"/>
        <v>1822.8400000000001</v>
      </c>
      <c r="AD26" s="74">
        <f t="shared" si="0"/>
        <v>2.0171062906284543</v>
      </c>
      <c r="AE26" s="75">
        <f t="shared" si="0"/>
        <v>2.2482547670144801</v>
      </c>
      <c r="AF26" s="1116"/>
      <c r="AG26" s="1117"/>
      <c r="AH26" s="1118"/>
      <c r="AI26" s="1118"/>
    </row>
    <row r="27" spans="1:35" s="91" customFormat="1">
      <c r="A27" s="76" t="s">
        <v>110</v>
      </c>
      <c r="B27" s="71">
        <v>336083.68936591974</v>
      </c>
      <c r="C27" s="72">
        <v>73316.311999999947</v>
      </c>
      <c r="D27" s="73">
        <f>JAN!T28</f>
        <v>56408.32</v>
      </c>
      <c r="E27" s="73">
        <f>JAN!V28</f>
        <v>9873.8240000000005</v>
      </c>
      <c r="F27" s="73">
        <f>FEV!T28</f>
        <v>50157.872000000003</v>
      </c>
      <c r="G27" s="73">
        <f>FEV!V28</f>
        <v>10202.944000000001</v>
      </c>
      <c r="H27" s="73">
        <f>MAR!T28</f>
        <v>36179.112000000001</v>
      </c>
      <c r="I27" s="73">
        <f>MAR!V28</f>
        <v>6572.04</v>
      </c>
      <c r="J27" s="73">
        <f>ABR!T28</f>
        <v>19525.808000000001</v>
      </c>
      <c r="K27" s="73">
        <f>ABR!V28</f>
        <v>4669.7120000000004</v>
      </c>
      <c r="L27" s="73">
        <f>MAI!D28</f>
        <v>20184.176000000003</v>
      </c>
      <c r="M27" s="73">
        <f>MAI!F28</f>
        <v>3281.1040000000003</v>
      </c>
      <c r="N27" s="73">
        <f>JUN!D28</f>
        <v>26316.216</v>
      </c>
      <c r="O27" s="73">
        <f>JUN!F28</f>
        <v>4661.6400000000003</v>
      </c>
      <c r="P27" s="73">
        <f>JUL!D28</f>
        <v>36762.688000000038</v>
      </c>
      <c r="Q27" s="73">
        <f>JUL!F28</f>
        <v>3170.8079999999959</v>
      </c>
      <c r="R27" s="73">
        <f>AGO!D28</f>
        <v>36805.032000000028</v>
      </c>
      <c r="S27" s="73">
        <f>AGO!F28</f>
        <v>3901.3119999999999</v>
      </c>
      <c r="T27" s="73">
        <f>SET!D28</f>
        <v>40565.167999999983</v>
      </c>
      <c r="U27" s="73">
        <f>SET!F28</f>
        <v>2873.3439999999991</v>
      </c>
      <c r="V27" s="73">
        <f>OUT!D28</f>
        <v>84830.52</v>
      </c>
      <c r="W27" s="73">
        <f>OUT!F28</f>
        <v>5789.3840000000009</v>
      </c>
      <c r="X27" s="73">
        <f>NOV!D28</f>
        <v>34924.752</v>
      </c>
      <c r="Y27" s="73">
        <f>NOV!F28</f>
        <v>4310.9360000000006</v>
      </c>
      <c r="Z27" s="73">
        <f>DEZ!D28</f>
        <v>41731.792000000009</v>
      </c>
      <c r="AA27" s="73">
        <f>DEZ!F28</f>
        <v>6651.8480000000018</v>
      </c>
      <c r="AB27" s="1116">
        <f t="shared" si="1"/>
        <v>484391.45600000006</v>
      </c>
      <c r="AC27" s="1117">
        <f t="shared" si="1"/>
        <v>65958.895999999993</v>
      </c>
      <c r="AD27" s="74">
        <f t="shared" si="0"/>
        <v>1.4412822500071001</v>
      </c>
      <c r="AE27" s="75">
        <f t="shared" si="0"/>
        <v>0.8996483074598739</v>
      </c>
      <c r="AF27" s="1116"/>
      <c r="AG27" s="1117">
        <f t="shared" si="3"/>
        <v>7357.4159999999538</v>
      </c>
      <c r="AH27" s="1118"/>
      <c r="AI27" s="1118">
        <f t="shared" ref="AI27" si="5">C27-AC27</f>
        <v>7357.4159999999538</v>
      </c>
    </row>
    <row r="28" spans="1:35" s="91" customFormat="1">
      <c r="A28" s="76" t="s">
        <v>111</v>
      </c>
      <c r="B28" s="71">
        <v>2955102.1689929012</v>
      </c>
      <c r="C28" s="72">
        <v>421066.2122784832</v>
      </c>
      <c r="D28" s="73">
        <f>JAN!T29</f>
        <v>584707.04800000007</v>
      </c>
      <c r="E28" s="73">
        <f>JAN!V29</f>
        <v>70190.623999999996</v>
      </c>
      <c r="F28" s="73">
        <f>FEV!T29</f>
        <v>454471.14400000009</v>
      </c>
      <c r="G28" s="73">
        <f>FEV!V29</f>
        <v>55168.52</v>
      </c>
      <c r="H28" s="73">
        <f>MAR!T29</f>
        <v>406613.31200000003</v>
      </c>
      <c r="I28" s="73">
        <f>MAR!V29</f>
        <v>51641.656000000003</v>
      </c>
      <c r="J28" s="73">
        <f>ABR!T29</f>
        <v>237978.12000000002</v>
      </c>
      <c r="K28" s="73">
        <f>ABR!V29</f>
        <v>24785.312000000002</v>
      </c>
      <c r="L28" s="73">
        <f>MAI!D29</f>
        <v>205530.61600000001</v>
      </c>
      <c r="M28" s="73">
        <f>MAI!F29</f>
        <v>25577.872000000003</v>
      </c>
      <c r="N28" s="73">
        <f>JUN!D29</f>
        <v>270693.24800000008</v>
      </c>
      <c r="O28" s="73">
        <f>JUN!F29</f>
        <v>41828.04800000001</v>
      </c>
      <c r="P28" s="73">
        <f>JUL!D29</f>
        <v>345558.27199999988</v>
      </c>
      <c r="Q28" s="73">
        <f>JUL!F29</f>
        <v>55157.648000000001</v>
      </c>
      <c r="R28" s="73">
        <f>AGO!D29</f>
        <v>322951.96799999999</v>
      </c>
      <c r="S28" s="73">
        <f>AGO!F29</f>
        <v>50839.495999999999</v>
      </c>
      <c r="T28" s="73">
        <f>SET!D29</f>
        <v>338472.88799999992</v>
      </c>
      <c r="U28" s="73">
        <f>SET!F29</f>
        <v>40324.519999999997</v>
      </c>
      <c r="V28" s="73">
        <f>OUT!D29</f>
        <v>590811.31999999995</v>
      </c>
      <c r="W28" s="73">
        <f>OUT!F29</f>
        <v>66340.639999999999</v>
      </c>
      <c r="X28" s="73">
        <f>NOV!D29</f>
        <v>266009.68</v>
      </c>
      <c r="Y28" s="73">
        <f>NOV!F29</f>
        <v>39898.527999999998</v>
      </c>
      <c r="Z28" s="73">
        <f>DEZ!D29</f>
        <v>314550.08799999993</v>
      </c>
      <c r="AA28" s="73">
        <f>DEZ!F29</f>
        <v>52976.695999999996</v>
      </c>
      <c r="AB28" s="1116">
        <f t="shared" si="1"/>
        <v>4338347.7039999999</v>
      </c>
      <c r="AC28" s="1117">
        <f t="shared" si="1"/>
        <v>574729.56000000006</v>
      </c>
      <c r="AD28" s="74">
        <f t="shared" si="0"/>
        <v>1.468087211847064</v>
      </c>
      <c r="AE28" s="75">
        <f t="shared" si="0"/>
        <v>1.3649386800475161</v>
      </c>
      <c r="AF28" s="1116"/>
      <c r="AG28" s="1117"/>
      <c r="AH28" s="1118"/>
      <c r="AI28" s="1118"/>
    </row>
    <row r="29" spans="1:35" s="91" customFormat="1">
      <c r="A29" s="76" t="s">
        <v>112</v>
      </c>
      <c r="B29" s="71">
        <v>41425.74</v>
      </c>
      <c r="C29" s="72">
        <v>2298.14</v>
      </c>
      <c r="D29" s="73">
        <f>JAN!T30</f>
        <v>10739.464</v>
      </c>
      <c r="E29" s="73">
        <f>JAN!V30</f>
        <v>347</v>
      </c>
      <c r="F29" s="73">
        <f>FEV!T30</f>
        <v>10287.496000000001</v>
      </c>
      <c r="G29" s="73">
        <f>FEV!V30</f>
        <v>517.10400000000004</v>
      </c>
      <c r="H29" s="73">
        <f>MAR!T30</f>
        <v>7317.3600000000006</v>
      </c>
      <c r="I29" s="73">
        <f>MAR!V30</f>
        <v>684.29599999999994</v>
      </c>
      <c r="J29" s="73">
        <f>ABR!T30</f>
        <v>4609.6160000000009</v>
      </c>
      <c r="K29" s="73">
        <f>ABR!V30</f>
        <v>110.56</v>
      </c>
      <c r="L29" s="73">
        <f>MAI!D30</f>
        <v>4824.8480000000009</v>
      </c>
      <c r="M29" s="73">
        <f>MAI!F30</f>
        <v>639.18400000000008</v>
      </c>
      <c r="N29" s="73">
        <f>JUN!D30</f>
        <v>10043.416000000001</v>
      </c>
      <c r="O29" s="73">
        <f>JUN!F30</f>
        <v>1288.1280000000002</v>
      </c>
      <c r="P29" s="73">
        <f>JUL!D30</f>
        <v>13197.463999999991</v>
      </c>
      <c r="Q29" s="73">
        <f>JUL!F30</f>
        <v>343.48799999999977</v>
      </c>
      <c r="R29" s="73">
        <f>AGO!D30</f>
        <v>14934.256000000001</v>
      </c>
      <c r="S29" s="73">
        <f>AGO!F30</f>
        <v>158.07199999999978</v>
      </c>
      <c r="T29" s="73">
        <f>SET!D30</f>
        <v>11504.744000000001</v>
      </c>
      <c r="U29" s="73">
        <f>SET!F30</f>
        <v>772.33599999999979</v>
      </c>
      <c r="V29" s="73">
        <f>OUT!D30</f>
        <v>18527.680000000004</v>
      </c>
      <c r="W29" s="73">
        <f>OUT!F30</f>
        <v>1251.6080000000002</v>
      </c>
      <c r="X29" s="73">
        <f>NOV!D30</f>
        <v>11807.264000000001</v>
      </c>
      <c r="Y29" s="73">
        <f>NOV!F30</f>
        <v>380.32799999999997</v>
      </c>
      <c r="Z29" s="73">
        <f>DEZ!D30</f>
        <v>11711.776</v>
      </c>
      <c r="AA29" s="73">
        <f>DEZ!F30</f>
        <v>487.37599999999986</v>
      </c>
      <c r="AB29" s="1116">
        <f t="shared" si="1"/>
        <v>129505.38399999999</v>
      </c>
      <c r="AC29" s="1117">
        <f t="shared" si="1"/>
        <v>6979.48</v>
      </c>
      <c r="AD29" s="74">
        <f t="shared" si="0"/>
        <v>3.1262056875749233</v>
      </c>
      <c r="AE29" s="75">
        <f t="shared" si="0"/>
        <v>3.037012540576292</v>
      </c>
      <c r="AF29" s="1116"/>
      <c r="AG29" s="1117"/>
      <c r="AH29" s="1118"/>
      <c r="AI29" s="1118"/>
    </row>
    <row r="30" spans="1:35" s="91" customFormat="1">
      <c r="A30" s="76" t="s">
        <v>113</v>
      </c>
      <c r="B30" s="71">
        <v>49993.98</v>
      </c>
      <c r="C30" s="72">
        <v>9444.98</v>
      </c>
      <c r="D30" s="73">
        <f>JAN!T31</f>
        <v>5320.0240000000003</v>
      </c>
      <c r="E30" s="73">
        <f>JAN!V31</f>
        <v>1131.7440000000001</v>
      </c>
      <c r="F30" s="73">
        <f>FEV!T31</f>
        <v>7799.44</v>
      </c>
      <c r="G30" s="73">
        <f>FEV!V31</f>
        <v>1490.0320000000002</v>
      </c>
      <c r="H30" s="73">
        <f>MAR!T31</f>
        <v>8371.5120000000006</v>
      </c>
      <c r="I30" s="73">
        <f>MAR!V31</f>
        <v>1767.376</v>
      </c>
      <c r="J30" s="73">
        <f>ABR!T31</f>
        <v>5174.84</v>
      </c>
      <c r="K30" s="73">
        <f>ABR!V31</f>
        <v>678.67200000000003</v>
      </c>
      <c r="L30" s="73">
        <f>MAI!D31</f>
        <v>9993.384</v>
      </c>
      <c r="M30" s="73">
        <f>MAI!F31</f>
        <v>1525.3040000000001</v>
      </c>
      <c r="N30" s="73">
        <f>JUN!D31</f>
        <v>6381.8559999999998</v>
      </c>
      <c r="O30" s="73">
        <f>JUN!F31</f>
        <v>1653.1279999999999</v>
      </c>
      <c r="P30" s="73">
        <f>JUL!D31</f>
        <v>4700.855999999997</v>
      </c>
      <c r="Q30" s="73">
        <f>JUL!F31</f>
        <v>750.98400000000004</v>
      </c>
      <c r="R30" s="73">
        <f>AGO!D31</f>
        <v>5635.2960000000021</v>
      </c>
      <c r="S30" s="73">
        <f>AGO!F31</f>
        <v>628.1520000000005</v>
      </c>
      <c r="T30" s="73">
        <f>SET!D31</f>
        <v>3393.2880000000005</v>
      </c>
      <c r="U30" s="73">
        <f>SET!F31</f>
        <v>404.47999999999996</v>
      </c>
      <c r="V30" s="73">
        <f>OUT!D31</f>
        <v>10021.016000000001</v>
      </c>
      <c r="W30" s="73">
        <f>OUT!F31</f>
        <v>1193.8399999999999</v>
      </c>
      <c r="X30" s="73">
        <f>NOV!D31</f>
        <v>2433.5920000000001</v>
      </c>
      <c r="Y30" s="73">
        <f>NOV!F31</f>
        <v>1059</v>
      </c>
      <c r="Z30" s="73">
        <f>DEZ!D31</f>
        <v>2305.9839999999999</v>
      </c>
      <c r="AA30" s="73">
        <f>DEZ!F31</f>
        <v>1327.248</v>
      </c>
      <c r="AB30" s="1116">
        <f t="shared" si="1"/>
        <v>71531.088000000003</v>
      </c>
      <c r="AC30" s="1117">
        <f t="shared" si="1"/>
        <v>13609.960000000001</v>
      </c>
      <c r="AD30" s="74">
        <f t="shared" si="0"/>
        <v>1.4307940276009232</v>
      </c>
      <c r="AE30" s="75">
        <f t="shared" si="0"/>
        <v>1.4409728765968801</v>
      </c>
      <c r="AF30" s="1116"/>
      <c r="AG30" s="1117"/>
      <c r="AH30" s="1118"/>
      <c r="AI30" s="1118"/>
    </row>
    <row r="31" spans="1:35" s="91" customFormat="1">
      <c r="A31" s="79" t="s">
        <v>128</v>
      </c>
      <c r="B31" s="69">
        <f t="shared" ref="B31:C31" si="6">SUM(B4:B30)</f>
        <v>9503950.8513588216</v>
      </c>
      <c r="C31" s="69">
        <f t="shared" si="6"/>
        <v>1401362.212278483</v>
      </c>
      <c r="D31" s="69">
        <f t="shared" ref="D31:AC31" si="7">SUM(D4:D30)</f>
        <v>1786281.216</v>
      </c>
      <c r="E31" s="69">
        <f t="shared" si="7"/>
        <v>256234.75199999998</v>
      </c>
      <c r="F31" s="69">
        <f t="shared" si="7"/>
        <v>1381099.8960000002</v>
      </c>
      <c r="G31" s="69">
        <f t="shared" si="7"/>
        <v>201031.21599999999</v>
      </c>
      <c r="H31" s="69">
        <f t="shared" si="7"/>
        <v>1272599.9920000003</v>
      </c>
      <c r="I31" s="69">
        <f t="shared" si="7"/>
        <v>188613.57599999997</v>
      </c>
      <c r="J31" s="69">
        <f t="shared" si="7"/>
        <v>741900.79999999993</v>
      </c>
      <c r="K31" s="69">
        <f t="shared" si="7"/>
        <v>93613.008000000016</v>
      </c>
      <c r="L31" s="69">
        <f t="shared" si="7"/>
        <v>657131.0639999999</v>
      </c>
      <c r="M31" s="69">
        <f t="shared" si="7"/>
        <v>85645.696000000011</v>
      </c>
      <c r="N31" s="69">
        <f t="shared" si="7"/>
        <v>843723.38400000019</v>
      </c>
      <c r="O31" s="69">
        <f t="shared" si="7"/>
        <v>115959.576</v>
      </c>
      <c r="P31" s="69">
        <f>SUM(P4:P30)</f>
        <v>983062.47199999983</v>
      </c>
      <c r="Q31" s="69">
        <f t="shared" si="7"/>
        <v>132766</v>
      </c>
      <c r="R31" s="69">
        <f>SUM(R4:R30)</f>
        <v>997399.57600000012</v>
      </c>
      <c r="S31" s="69">
        <f t="shared" ref="S31:AA31" si="8">SUM(S4:S30)</f>
        <v>125649.18400000001</v>
      </c>
      <c r="T31" s="69">
        <f>SUM(T4:T30)</f>
        <v>995147.74399999972</v>
      </c>
      <c r="U31" s="69">
        <f t="shared" si="8"/>
        <v>111048.20000000001</v>
      </c>
      <c r="V31" s="69">
        <f>SUM(V4:V30)</f>
        <v>1820000.6880000001</v>
      </c>
      <c r="W31" s="69">
        <f t="shared" si="8"/>
        <v>165753.23199999999</v>
      </c>
      <c r="X31" s="69">
        <f>SUM(X4:X30)</f>
        <v>819956.0399999998</v>
      </c>
      <c r="Y31" s="69">
        <f t="shared" si="8"/>
        <v>102746.29600000002</v>
      </c>
      <c r="Z31" s="69">
        <f t="shared" si="8"/>
        <v>953783.96</v>
      </c>
      <c r="AA31" s="69">
        <f t="shared" si="8"/>
        <v>129794.2</v>
      </c>
      <c r="AB31" s="69">
        <f t="shared" si="7"/>
        <v>13252086.831999997</v>
      </c>
      <c r="AC31" s="69">
        <f t="shared" si="7"/>
        <v>1708854.936</v>
      </c>
      <c r="AD31" s="80">
        <f t="shared" si="0"/>
        <v>1.3943766165526086</v>
      </c>
      <c r="AE31" s="80">
        <f t="shared" si="0"/>
        <v>1.2194241581707579</v>
      </c>
      <c r="AF31" s="69">
        <f>SUM(AF4:AF30)</f>
        <v>814.56999999997788</v>
      </c>
      <c r="AG31" s="69">
        <f>SUM(AG4:AG30)</f>
        <v>38126.587999999945</v>
      </c>
      <c r="AH31" s="1118"/>
      <c r="AI31" s="1118"/>
    </row>
    <row r="32" spans="1:35" s="91" customFormat="1">
      <c r="A32" s="81" t="s">
        <v>181</v>
      </c>
      <c r="B32" s="71">
        <v>2283777.2526982254</v>
      </c>
      <c r="C32" s="72">
        <v>341968.27</v>
      </c>
      <c r="D32" s="73">
        <f>JAN!T67</f>
        <v>446570.304</v>
      </c>
      <c r="E32" s="73">
        <f>JAN!V67</f>
        <v>64058.687999999995</v>
      </c>
      <c r="F32" s="73">
        <f>FEV!T67</f>
        <v>345274.97400000005</v>
      </c>
      <c r="G32" s="73">
        <f>FEV!V67</f>
        <v>50257.803999999996</v>
      </c>
      <c r="H32" s="73">
        <f>MAR!T67</f>
        <v>318149.99800000008</v>
      </c>
      <c r="I32" s="73">
        <f>MAR!V67</f>
        <v>47153.393999999993</v>
      </c>
      <c r="J32" s="73">
        <f>ABR!T67</f>
        <v>185475.19999999998</v>
      </c>
      <c r="K32" s="73">
        <f>ABR!V67</f>
        <v>23403.252000000004</v>
      </c>
      <c r="L32" s="73">
        <f>MAI!D67</f>
        <v>164282.76599999997</v>
      </c>
      <c r="M32" s="73">
        <f>MAI!F67</f>
        <v>21411.424000000003</v>
      </c>
      <c r="N32" s="73">
        <f>JUN!D67</f>
        <v>210930.84600000005</v>
      </c>
      <c r="O32" s="73">
        <f>JUN!F67</f>
        <v>28989.894</v>
      </c>
      <c r="P32" s="73">
        <f>JUL!D67</f>
        <v>245765.61799999996</v>
      </c>
      <c r="Q32" s="73">
        <f>JUL!F67</f>
        <v>33191.5</v>
      </c>
      <c r="R32" s="73">
        <f>AGO!D67</f>
        <v>249349.89400000003</v>
      </c>
      <c r="S32" s="73">
        <f>AGO!F67</f>
        <v>31412.296000000002</v>
      </c>
      <c r="T32" s="73">
        <f>SET!D67</f>
        <v>248786.93599999993</v>
      </c>
      <c r="U32" s="73">
        <f>SET!F67</f>
        <v>27762.050000000003</v>
      </c>
      <c r="V32" s="73">
        <f>OUT!D67</f>
        <v>455000.17200000002</v>
      </c>
      <c r="W32" s="73">
        <f>OUT!F67</f>
        <v>41438.307999999997</v>
      </c>
      <c r="X32" s="73">
        <f>NOV!D67</f>
        <v>204989.00999999995</v>
      </c>
      <c r="Y32" s="73">
        <f>NOV!F67</f>
        <v>25686.574000000004</v>
      </c>
      <c r="Z32" s="73">
        <f>DEZ!D67</f>
        <v>238445.99</v>
      </c>
      <c r="AA32" s="73">
        <f>DEZ!F67</f>
        <v>32448.55</v>
      </c>
      <c r="AB32" s="1116">
        <f>D32+F32+H32+J32+L32+N32+P32+R32+T32+V32+X32+Z32</f>
        <v>3313021.7079999996</v>
      </c>
      <c r="AC32" s="1117">
        <f t="shared" ref="AC32" si="9">E32+G32+I32+K32+M32+O32+Q32+S32+U32+W32+Y32+AA32</f>
        <v>427213.734</v>
      </c>
      <c r="AD32" s="74">
        <f t="shared" si="0"/>
        <v>1.4506763757655208</v>
      </c>
      <c r="AE32" s="75">
        <f t="shared" si="0"/>
        <v>1.2492788702296853</v>
      </c>
      <c r="AF32" s="1116"/>
      <c r="AG32" s="1117"/>
      <c r="AH32" s="1118"/>
      <c r="AI32" s="1118"/>
    </row>
    <row r="33" spans="1:35" s="91" customFormat="1">
      <c r="A33" s="79" t="s">
        <v>128</v>
      </c>
      <c r="B33" s="69">
        <f>B31+B32</f>
        <v>11787728.104057048</v>
      </c>
      <c r="C33" s="69">
        <f t="shared" ref="C33:AC33" si="10">C31+C32</f>
        <v>1743330.482278483</v>
      </c>
      <c r="D33" s="69">
        <f t="shared" si="10"/>
        <v>2232851.52</v>
      </c>
      <c r="E33" s="69">
        <f t="shared" si="10"/>
        <v>320293.43999999994</v>
      </c>
      <c r="F33" s="69">
        <f t="shared" si="10"/>
        <v>1726374.87</v>
      </c>
      <c r="G33" s="69">
        <f t="shared" si="10"/>
        <v>251289.02</v>
      </c>
      <c r="H33" s="69">
        <f t="shared" si="10"/>
        <v>1590749.9900000005</v>
      </c>
      <c r="I33" s="69">
        <f t="shared" si="10"/>
        <v>235766.96999999997</v>
      </c>
      <c r="J33" s="69">
        <f t="shared" si="10"/>
        <v>927375.99999999988</v>
      </c>
      <c r="K33" s="69">
        <f t="shared" si="10"/>
        <v>117016.26000000002</v>
      </c>
      <c r="L33" s="69">
        <f t="shared" si="10"/>
        <v>821413.82999999984</v>
      </c>
      <c r="M33" s="69">
        <f t="shared" si="10"/>
        <v>107057.12000000001</v>
      </c>
      <c r="N33" s="69">
        <f t="shared" si="10"/>
        <v>1054654.2300000002</v>
      </c>
      <c r="O33" s="69">
        <f t="shared" si="10"/>
        <v>144949.47</v>
      </c>
      <c r="P33" s="69">
        <f t="shared" si="10"/>
        <v>1228828.0899999999</v>
      </c>
      <c r="Q33" s="69">
        <f t="shared" si="10"/>
        <v>165957.5</v>
      </c>
      <c r="R33" s="69">
        <f t="shared" si="10"/>
        <v>1246749.4700000002</v>
      </c>
      <c r="S33" s="69">
        <f t="shared" si="10"/>
        <v>157061.48000000001</v>
      </c>
      <c r="T33" s="69">
        <f t="shared" si="10"/>
        <v>1243934.6799999997</v>
      </c>
      <c r="U33" s="69">
        <f t="shared" si="10"/>
        <v>138810.25</v>
      </c>
      <c r="V33" s="69">
        <f t="shared" si="10"/>
        <v>2275000.8600000003</v>
      </c>
      <c r="W33" s="69">
        <f t="shared" si="10"/>
        <v>207191.53999999998</v>
      </c>
      <c r="X33" s="69">
        <f t="shared" si="10"/>
        <v>1024945.0499999998</v>
      </c>
      <c r="Y33" s="69">
        <f t="shared" si="10"/>
        <v>128432.87000000002</v>
      </c>
      <c r="Z33" s="69">
        <f t="shared" si="10"/>
        <v>1192229.95</v>
      </c>
      <c r="AA33" s="69">
        <f t="shared" si="10"/>
        <v>162242.75</v>
      </c>
      <c r="AB33" s="69">
        <f>AB31+AB32</f>
        <v>16565108.539999995</v>
      </c>
      <c r="AC33" s="69">
        <f t="shared" si="10"/>
        <v>2136068.67</v>
      </c>
      <c r="AD33" s="80">
        <f t="shared" si="0"/>
        <v>1.4052842408452475</v>
      </c>
      <c r="AE33" s="80">
        <f t="shared" si="0"/>
        <v>1.2252803996223478</v>
      </c>
      <c r="AF33" s="69">
        <f>AF31+AF32</f>
        <v>814.56999999997788</v>
      </c>
      <c r="AG33" s="69">
        <f>AG31+AG32</f>
        <v>38126.587999999945</v>
      </c>
      <c r="AH33" s="1118"/>
      <c r="AI33" s="1118"/>
    </row>
    <row r="34" spans="1:35">
      <c r="A34" s="82"/>
      <c r="B34" s="253"/>
      <c r="C34" s="83"/>
      <c r="D34" s="84"/>
      <c r="E34" s="84"/>
      <c r="F34" s="84"/>
      <c r="G34" s="84"/>
      <c r="H34" s="84"/>
      <c r="I34" s="84"/>
      <c r="J34" s="83"/>
      <c r="K34" s="83"/>
      <c r="L34" s="84"/>
      <c r="M34" s="83"/>
      <c r="N34" s="83"/>
      <c r="O34" s="83"/>
      <c r="P34" s="83"/>
      <c r="Q34" s="83"/>
      <c r="R34" s="83"/>
      <c r="S34" s="83"/>
      <c r="T34" s="83"/>
      <c r="U34" s="83"/>
      <c r="V34" s="83"/>
      <c r="W34" s="83"/>
      <c r="X34" s="83"/>
      <c r="Y34" s="83"/>
      <c r="Z34" s="83"/>
      <c r="AA34" s="83"/>
      <c r="AB34" s="83" t="b">
        <f>AB33='ARRECADAÇÃO MENSAL POR RECEITA'!C17</f>
        <v>1</v>
      </c>
      <c r="AC34" s="83" t="b">
        <f>AC33='ARRECADAÇÃO MENSAL POR RECEITA'!E17</f>
        <v>1</v>
      </c>
      <c r="AD34" s="83"/>
      <c r="AE34" s="83"/>
      <c r="AF34" s="83"/>
      <c r="AG34" s="83"/>
    </row>
    <row r="35" spans="1:35">
      <c r="B35" s="12"/>
    </row>
  </sheetData>
  <mergeCells count="18">
    <mergeCell ref="A1:AG1"/>
    <mergeCell ref="AF2:AG2"/>
    <mergeCell ref="L2:M2"/>
    <mergeCell ref="N2:O2"/>
    <mergeCell ref="P2:Q2"/>
    <mergeCell ref="R2:S2"/>
    <mergeCell ref="T2:U2"/>
    <mergeCell ref="V2:W2"/>
    <mergeCell ref="AD2:AE2"/>
    <mergeCell ref="J2:K2"/>
    <mergeCell ref="X2:Y2"/>
    <mergeCell ref="Z2:AA2"/>
    <mergeCell ref="AB2:AC2"/>
    <mergeCell ref="A2:A3"/>
    <mergeCell ref="B2:C2"/>
    <mergeCell ref="D2:E2"/>
    <mergeCell ref="F2:G2"/>
    <mergeCell ref="H2:I2"/>
  </mergeCells>
  <conditionalFormatting sqref="AH4:AI33">
    <cfRule type="cellIs" dxfId="237" priority="3" operator="lessThan">
      <formula>0</formula>
    </cfRule>
  </conditionalFormatting>
  <conditionalFormatting sqref="AB34:AC34">
    <cfRule type="cellIs" dxfId="236" priority="1" operator="equal">
      <formula>FALSE</formula>
    </cfRule>
    <cfRule type="cellIs" dxfId="235" priority="2" operator="equal">
      <formula>TRUE</formula>
    </cfRule>
  </conditionalFormatting>
  <printOptions horizontalCentered="1" verticalCentered="1"/>
  <pageMargins left="0" right="0" top="0" bottom="0" header="0" footer="0"/>
  <pageSetup paperSize="9" scale="90" orientation="landscape" r:id="rId1"/>
  <ignoredErrors>
    <ignoredError sqref="AF31:AG31 AB31"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9" tint="0.59999389629810485"/>
  </sheetPr>
  <dimension ref="A1:CR181"/>
  <sheetViews>
    <sheetView topLeftCell="CA1" zoomScale="70" zoomScaleNormal="70" workbookViewId="0">
      <selection sqref="A1:AC1"/>
    </sheetView>
  </sheetViews>
  <sheetFormatPr defaultRowHeight="15"/>
  <cols>
    <col min="1" max="1" width="5.42578125" customWidth="1"/>
    <col min="2" max="2" width="12.85546875" customWidth="1"/>
    <col min="3" max="5" width="13.140625" customWidth="1"/>
    <col min="6" max="6" width="12.85546875" customWidth="1"/>
    <col min="7" max="9" width="13.140625" customWidth="1"/>
    <col min="10" max="10" width="12.85546875" customWidth="1"/>
    <col min="11" max="11" width="12.42578125" customWidth="1"/>
    <col min="12" max="12" width="13.140625" customWidth="1"/>
    <col min="13" max="13" width="12.85546875" customWidth="1"/>
    <col min="14" max="14" width="14.5703125" customWidth="1"/>
    <col min="15" max="15" width="4.42578125" customWidth="1"/>
    <col min="16" max="16" width="6.140625" customWidth="1"/>
    <col min="17" max="29" width="14.42578125" customWidth="1"/>
    <col min="30" max="30" width="3.5703125" customWidth="1"/>
    <col min="31" max="31" width="6.140625" customWidth="1"/>
    <col min="32" max="44" width="14.140625" customWidth="1"/>
    <col min="45" max="45" width="3.5703125" customWidth="1"/>
    <col min="46" max="56" width="12.85546875" customWidth="1"/>
    <col min="57" max="57" width="13" customWidth="1"/>
    <col min="58" max="58" width="3.5703125" customWidth="1"/>
    <col min="59" max="69" width="12.85546875" customWidth="1"/>
    <col min="70" max="70" width="13" customWidth="1"/>
    <col min="71" max="71" width="3.5703125" customWidth="1"/>
    <col min="72" max="83" width="13" customWidth="1"/>
    <col min="84" max="84" width="3.5703125" customWidth="1"/>
    <col min="85" max="96" width="12.85546875" style="61" customWidth="1"/>
  </cols>
  <sheetData>
    <row r="1" spans="1:96">
      <c r="B1" s="1255" t="s">
        <v>406</v>
      </c>
      <c r="C1" s="1255"/>
      <c r="D1" s="1255"/>
      <c r="E1" s="1255"/>
      <c r="F1" s="1255"/>
      <c r="G1" s="1255"/>
      <c r="H1" s="1255"/>
      <c r="I1" s="1255"/>
      <c r="J1" s="1255"/>
      <c r="K1" s="1255"/>
      <c r="L1" s="1255"/>
      <c r="M1" s="1255"/>
      <c r="N1" s="1255"/>
      <c r="Q1" s="1255" t="s">
        <v>186</v>
      </c>
      <c r="R1" s="1255"/>
      <c r="S1" s="1255"/>
      <c r="T1" s="1255"/>
      <c r="U1" s="1255"/>
      <c r="V1" s="1255"/>
      <c r="W1" s="1255"/>
      <c r="X1" s="1255"/>
      <c r="Y1" s="1255"/>
      <c r="Z1" s="1255"/>
      <c r="AA1" s="1255"/>
      <c r="AB1" s="1255"/>
      <c r="AC1" s="1255"/>
      <c r="AF1" s="1255" t="s">
        <v>143</v>
      </c>
      <c r="AG1" s="1255"/>
      <c r="AH1" s="1255"/>
      <c r="AI1" s="1255"/>
      <c r="AJ1" s="1255"/>
      <c r="AK1" s="1255"/>
      <c r="AL1" s="1255"/>
      <c r="AM1" s="1255"/>
      <c r="AN1" s="1255"/>
      <c r="AO1" s="1255"/>
      <c r="AP1" s="1255"/>
      <c r="AQ1" s="1255"/>
      <c r="AR1" s="1255"/>
      <c r="AT1" s="1256" t="s">
        <v>427</v>
      </c>
      <c r="AU1" s="1256"/>
      <c r="AV1" s="1256"/>
      <c r="AW1" s="1256"/>
      <c r="AX1" s="1256"/>
      <c r="AY1" s="1256"/>
      <c r="AZ1" s="1256"/>
      <c r="BA1" s="1256"/>
      <c r="BB1" s="1256"/>
      <c r="BC1" s="1256"/>
      <c r="BD1" s="1256"/>
      <c r="BE1" s="1256"/>
      <c r="BG1" s="1256" t="s">
        <v>144</v>
      </c>
      <c r="BH1" s="1256"/>
      <c r="BI1" s="1256"/>
      <c r="BJ1" s="1256"/>
      <c r="BK1" s="1256"/>
      <c r="BL1" s="1256"/>
      <c r="BM1" s="1256"/>
      <c r="BN1" s="1256"/>
      <c r="BO1" s="1256"/>
      <c r="BP1" s="1256"/>
      <c r="BQ1" s="1256"/>
      <c r="BR1" s="1256"/>
      <c r="BT1" s="1256" t="s">
        <v>145</v>
      </c>
      <c r="BU1" s="1256"/>
      <c r="BV1" s="1256"/>
      <c r="BW1" s="1256"/>
      <c r="BX1" s="1256"/>
      <c r="BY1" s="1256"/>
      <c r="BZ1" s="1256"/>
      <c r="CA1" s="1256"/>
      <c r="CB1" s="1256"/>
      <c r="CC1" s="1256"/>
      <c r="CD1" s="1256"/>
      <c r="CE1" s="1256"/>
      <c r="CG1" s="1256" t="s">
        <v>428</v>
      </c>
      <c r="CH1" s="1256"/>
      <c r="CI1" s="1256"/>
      <c r="CJ1" s="1256"/>
      <c r="CK1" s="1256"/>
      <c r="CL1" s="1256"/>
      <c r="CM1" s="1256"/>
      <c r="CN1" s="1256"/>
      <c r="CO1" s="1256"/>
      <c r="CP1" s="1256"/>
      <c r="CQ1" s="1256"/>
      <c r="CR1" s="1256"/>
    </row>
    <row r="2" spans="1:96">
      <c r="B2" s="193" t="s">
        <v>130</v>
      </c>
      <c r="C2" s="193" t="s">
        <v>146</v>
      </c>
      <c r="D2" s="193" t="s">
        <v>147</v>
      </c>
      <c r="E2" s="193" t="s">
        <v>148</v>
      </c>
      <c r="F2" s="193" t="s">
        <v>149</v>
      </c>
      <c r="G2" s="193" t="s">
        <v>150</v>
      </c>
      <c r="H2" s="193" t="s">
        <v>151</v>
      </c>
      <c r="I2" s="193" t="s">
        <v>152</v>
      </c>
      <c r="J2" s="193" t="s">
        <v>153</v>
      </c>
      <c r="K2" s="193" t="s">
        <v>154</v>
      </c>
      <c r="L2" s="193" t="s">
        <v>155</v>
      </c>
      <c r="M2" s="193" t="s">
        <v>156</v>
      </c>
      <c r="N2" s="193" t="s">
        <v>128</v>
      </c>
      <c r="Q2" s="85" t="s">
        <v>130</v>
      </c>
      <c r="R2" s="85" t="s">
        <v>146</v>
      </c>
      <c r="S2" s="85" t="s">
        <v>147</v>
      </c>
      <c r="T2" s="85" t="s">
        <v>148</v>
      </c>
      <c r="U2" s="85" t="s">
        <v>149</v>
      </c>
      <c r="V2" s="85" t="s">
        <v>150</v>
      </c>
      <c r="W2" s="85" t="s">
        <v>151</v>
      </c>
      <c r="X2" s="85" t="s">
        <v>152</v>
      </c>
      <c r="Y2" s="85" t="s">
        <v>153</v>
      </c>
      <c r="Z2" s="85" t="s">
        <v>154</v>
      </c>
      <c r="AA2" s="85" t="s">
        <v>155</v>
      </c>
      <c r="AB2" s="85" t="s">
        <v>156</v>
      </c>
      <c r="AC2" s="85" t="s">
        <v>128</v>
      </c>
      <c r="AF2" s="85" t="s">
        <v>130</v>
      </c>
      <c r="AG2" s="85" t="s">
        <v>146</v>
      </c>
      <c r="AH2" s="85" t="s">
        <v>147</v>
      </c>
      <c r="AI2" s="85" t="s">
        <v>148</v>
      </c>
      <c r="AJ2" s="85" t="s">
        <v>149</v>
      </c>
      <c r="AK2" s="85" t="s">
        <v>150</v>
      </c>
      <c r="AL2" s="85" t="s">
        <v>151</v>
      </c>
      <c r="AM2" s="85" t="s">
        <v>152</v>
      </c>
      <c r="AN2" s="85" t="s">
        <v>153</v>
      </c>
      <c r="AO2" s="85" t="s">
        <v>154</v>
      </c>
      <c r="AP2" s="85" t="s">
        <v>155</v>
      </c>
      <c r="AQ2" s="85" t="s">
        <v>156</v>
      </c>
      <c r="AR2" s="85" t="s">
        <v>128</v>
      </c>
      <c r="AT2" s="195" t="s">
        <v>157</v>
      </c>
      <c r="AU2" s="195" t="s">
        <v>158</v>
      </c>
      <c r="AV2" s="195" t="s">
        <v>190</v>
      </c>
      <c r="AW2" s="195" t="s">
        <v>191</v>
      </c>
      <c r="AX2" s="195" t="s">
        <v>192</v>
      </c>
      <c r="AY2" s="195" t="s">
        <v>162</v>
      </c>
      <c r="AZ2" s="195" t="s">
        <v>163</v>
      </c>
      <c r="BA2" s="195" t="s">
        <v>164</v>
      </c>
      <c r="BB2" s="195" t="s">
        <v>165</v>
      </c>
      <c r="BC2" s="195" t="s">
        <v>166</v>
      </c>
      <c r="BD2" s="195" t="s">
        <v>167</v>
      </c>
      <c r="BE2" s="195" t="s">
        <v>168</v>
      </c>
      <c r="BG2" s="85" t="s">
        <v>157</v>
      </c>
      <c r="BH2" s="85" t="s">
        <v>158</v>
      </c>
      <c r="BI2" s="85" t="s">
        <v>190</v>
      </c>
      <c r="BJ2" s="85" t="s">
        <v>191</v>
      </c>
      <c r="BK2" s="85" t="s">
        <v>192</v>
      </c>
      <c r="BL2" s="85" t="s">
        <v>162</v>
      </c>
      <c r="BM2" s="85" t="s">
        <v>163</v>
      </c>
      <c r="BN2" s="85" t="s">
        <v>164</v>
      </c>
      <c r="BO2" s="85" t="s">
        <v>165</v>
      </c>
      <c r="BP2" s="85" t="s">
        <v>166</v>
      </c>
      <c r="BQ2" s="85" t="s">
        <v>167</v>
      </c>
      <c r="BR2" s="85" t="s">
        <v>168</v>
      </c>
      <c r="BT2" s="85" t="s">
        <v>157</v>
      </c>
      <c r="BU2" s="85" t="s">
        <v>158</v>
      </c>
      <c r="BV2" s="85" t="s">
        <v>190</v>
      </c>
      <c r="BW2" s="85" t="s">
        <v>191</v>
      </c>
      <c r="BX2" s="85" t="s">
        <v>192</v>
      </c>
      <c r="BY2" s="85" t="s">
        <v>162</v>
      </c>
      <c r="BZ2" s="85" t="s">
        <v>163</v>
      </c>
      <c r="CA2" s="85" t="s">
        <v>164</v>
      </c>
      <c r="CB2" s="85" t="s">
        <v>165</v>
      </c>
      <c r="CC2" s="85" t="s">
        <v>166</v>
      </c>
      <c r="CD2" s="85" t="s">
        <v>167</v>
      </c>
      <c r="CE2" s="85" t="s">
        <v>168</v>
      </c>
      <c r="CG2" s="85" t="s">
        <v>157</v>
      </c>
      <c r="CH2" s="85" t="s">
        <v>158</v>
      </c>
      <c r="CI2" s="85" t="s">
        <v>190</v>
      </c>
      <c r="CJ2" s="85" t="s">
        <v>191</v>
      </c>
      <c r="CK2" s="85" t="s">
        <v>192</v>
      </c>
      <c r="CL2" s="85" t="s">
        <v>162</v>
      </c>
      <c r="CM2" s="85" t="s">
        <v>163</v>
      </c>
      <c r="CN2" s="85" t="s">
        <v>164</v>
      </c>
      <c r="CO2" s="85" t="s">
        <v>165</v>
      </c>
      <c r="CP2" s="85" t="s">
        <v>166</v>
      </c>
      <c r="CQ2" s="85" t="s">
        <v>167</v>
      </c>
      <c r="CR2" s="85" t="s">
        <v>168</v>
      </c>
    </row>
    <row r="3" spans="1:96">
      <c r="A3" s="193" t="s">
        <v>87</v>
      </c>
      <c r="B3" s="34">
        <v>24229.77</v>
      </c>
      <c r="C3" s="34">
        <v>21398.49</v>
      </c>
      <c r="D3" s="34">
        <v>14111.42</v>
      </c>
      <c r="E3" s="34">
        <v>17818.54</v>
      </c>
      <c r="F3" s="34">
        <v>21864.29</v>
      </c>
      <c r="G3" s="34">
        <v>19793.82</v>
      </c>
      <c r="H3" s="34">
        <v>7804.99</v>
      </c>
      <c r="I3" s="34">
        <v>3523.98</v>
      </c>
      <c r="J3" s="34">
        <v>3945.11</v>
      </c>
      <c r="K3" s="34">
        <v>3894.16</v>
      </c>
      <c r="L3" s="34">
        <v>4473.34</v>
      </c>
      <c r="M3" s="34">
        <v>3372.93</v>
      </c>
      <c r="N3" s="68">
        <f t="shared" ref="N3:N31" si="0">SUM(B3:M3)</f>
        <v>146230.84</v>
      </c>
      <c r="P3" s="85" t="s">
        <v>87</v>
      </c>
      <c r="Q3" s="34">
        <v>19812.34</v>
      </c>
      <c r="R3" s="34">
        <v>21112.52</v>
      </c>
      <c r="S3" s="34">
        <v>18789.150000000001</v>
      </c>
      <c r="T3" s="34">
        <v>15928.68</v>
      </c>
      <c r="U3" s="34">
        <v>14537.58</v>
      </c>
      <c r="V3" s="34">
        <v>11411.6</v>
      </c>
      <c r="W3" s="34">
        <v>7111.58</v>
      </c>
      <c r="X3" s="34">
        <v>8214.3700000000008</v>
      </c>
      <c r="Y3" s="34">
        <v>5449.81</v>
      </c>
      <c r="Z3" s="34">
        <v>4810.78</v>
      </c>
      <c r="AA3" s="34">
        <v>2609.94</v>
      </c>
      <c r="AB3" s="34">
        <v>3205.66</v>
      </c>
      <c r="AC3" s="68">
        <f t="shared" ref="AC3:AC66" si="1">SUM(Q3:AB3)</f>
        <v>132994.01</v>
      </c>
      <c r="AE3" s="85" t="s">
        <v>87</v>
      </c>
      <c r="AF3" s="34">
        <v>16935.78</v>
      </c>
      <c r="AG3" s="34">
        <v>27266.25</v>
      </c>
      <c r="AH3" s="34">
        <v>10096</v>
      </c>
      <c r="AI3" s="34">
        <v>11501.65</v>
      </c>
      <c r="AJ3" s="34">
        <v>16802.73</v>
      </c>
      <c r="AK3" s="34">
        <v>11663.61</v>
      </c>
      <c r="AL3" s="34">
        <v>4501.7299999999996</v>
      </c>
      <c r="AM3" s="34">
        <v>5782.63</v>
      </c>
      <c r="AN3" s="34">
        <v>5814.48</v>
      </c>
      <c r="AO3" s="34">
        <v>4893.01</v>
      </c>
      <c r="AP3" s="34">
        <v>3669.87</v>
      </c>
      <c r="AQ3" s="34">
        <v>3704.44</v>
      </c>
      <c r="AR3" s="68">
        <f>SUM(AF3:AQ3)</f>
        <v>122632.17999999998</v>
      </c>
      <c r="AT3" s="39">
        <f>B3/$N3</f>
        <v>0.16569534853249834</v>
      </c>
      <c r="AU3" s="39">
        <f>SUM(B3:C3)/$N3</f>
        <v>0.31202898102753157</v>
      </c>
      <c r="AV3" s="39">
        <f>SUM(B3:D3)/$N3</f>
        <v>0.40852996536161595</v>
      </c>
      <c r="AW3" s="39">
        <f>SUM(B3:E3)/$N3</f>
        <v>0.53038209997289221</v>
      </c>
      <c r="AX3" s="39">
        <f>SUM(B3:F3)/$N3</f>
        <v>0.67990110704417761</v>
      </c>
      <c r="AY3" s="39">
        <f>SUM(B3:G3)/$N3</f>
        <v>0.81526119934755226</v>
      </c>
      <c r="AZ3" s="39">
        <f>SUM(B3:H3)/$N3</f>
        <v>0.86863564484755762</v>
      </c>
      <c r="BA3" s="39">
        <f>SUM(B3:I3)/$N3</f>
        <v>0.89273439173296154</v>
      </c>
      <c r="BB3" s="39">
        <f>SUM(B3:J3)/$N3</f>
        <v>0.91971303727722553</v>
      </c>
      <c r="BC3" s="39">
        <f>SUM(B3:K3)/$N3</f>
        <v>0.94634326110689104</v>
      </c>
      <c r="BD3" s="39">
        <f>SUM(B3:L3)/$N3</f>
        <v>0.97693420895346017</v>
      </c>
      <c r="BE3" s="39">
        <f>SUM(B3:M3)/$N3</f>
        <v>1</v>
      </c>
      <c r="BG3" s="39">
        <f t="shared" ref="BG3:BG29" si="2">Q3/AC3</f>
        <v>0.14897167173168174</v>
      </c>
      <c r="BH3" s="39">
        <f t="shared" ref="BH3:BH29" si="3">SUM(Q3:R3)/$AC3</f>
        <v>0.30771957323491483</v>
      </c>
      <c r="BI3" s="39">
        <f t="shared" ref="BI3:BI29" si="4">SUM(Q3:S3)/$AC3</f>
        <v>0.44899774057493264</v>
      </c>
      <c r="BJ3" s="39">
        <f t="shared" ref="BJ3:BJ29" si="5">SUM(Q3:T3)/$AC3</f>
        <v>0.56876764600150032</v>
      </c>
      <c r="BK3" s="39">
        <f t="shared" ref="BK3:BK29" si="6">SUM(Q3:U3)/$AC3</f>
        <v>0.67807768184446804</v>
      </c>
      <c r="BL3" s="39">
        <f t="shared" ref="BL3:BL29" si="7">SUM(Q3:V3)/$AC3</f>
        <v>0.7638830500712025</v>
      </c>
      <c r="BM3" s="39">
        <f t="shared" ref="BM3:BM29" si="8">SUM(Q3:W3)/$AC3</f>
        <v>0.81735598467931003</v>
      </c>
      <c r="BN3" s="39">
        <f t="shared" ref="BN3:BN29" si="9">SUM(Q3:X3)/$AC3</f>
        <v>0.87912094687572773</v>
      </c>
      <c r="BO3" s="39">
        <f t="shared" ref="BO3:BO29" si="10">SUM(Q3:Y3)/$AC3</f>
        <v>0.92009880745756889</v>
      </c>
      <c r="BP3" s="39">
        <f t="shared" ref="BP3:BP29" si="11">SUM(Q3:Z3)/$AC3</f>
        <v>0.95627171479377149</v>
      </c>
      <c r="BQ3" s="39">
        <f t="shared" ref="BQ3:BQ29" si="12">SUM(Q3:AA3)/$AC3</f>
        <v>0.97589620765626961</v>
      </c>
      <c r="BR3" s="39">
        <f t="shared" ref="BR3:BR29" si="13">SUM(Q3:AB3)/$AC3</f>
        <v>1</v>
      </c>
      <c r="BS3" s="61"/>
      <c r="BT3" s="39">
        <f t="shared" ref="BT3:BT29" si="14">AF3/AR3</f>
        <v>0.13810225015978678</v>
      </c>
      <c r="BU3" s="39">
        <f t="shared" ref="BU3:BU29" si="15">SUM(AF3:AG3)/$AR3</f>
        <v>0.36044397155787339</v>
      </c>
      <c r="BV3" s="39">
        <f t="shared" ref="BV3:BV29" si="16">SUM(AF3:AH3)/$AR3</f>
        <v>0.44277146504286241</v>
      </c>
      <c r="BW3" s="39">
        <f t="shared" ref="BW3:BW29" si="17">SUM(AF3:AI3)/$AR3</f>
        <v>0.5365612843219455</v>
      </c>
      <c r="BX3" s="39">
        <f t="shared" ref="BX3:BX29" si="18">SUM(AF3:AJ3)/$AR3</f>
        <v>0.67357858271784787</v>
      </c>
      <c r="BY3" s="39">
        <f t="shared" ref="BY3:BY29" si="19">SUM(AF3:AK3)/$AR3</f>
        <v>0.76868909938647434</v>
      </c>
      <c r="BZ3" s="39">
        <f t="shared" ref="BZ3:BZ29" si="20">SUM(AF3:AL3)/$AR3</f>
        <v>0.80539830573019255</v>
      </c>
      <c r="CA3" s="39">
        <f t="shared" ref="CA3:CA29" si="21">SUM(AF3:AM3)/$AR3</f>
        <v>0.8525525681758247</v>
      </c>
      <c r="CB3" s="39">
        <f t="shared" ref="CB3:CB29" si="22">SUM(AF3:AN3)/$AR3</f>
        <v>0.89996655037853857</v>
      </c>
      <c r="CC3" s="39">
        <f t="shared" ref="CC3:CC29" si="23">SUM(AF3:AO3)/$AR3</f>
        <v>0.93986643636278833</v>
      </c>
      <c r="CD3" s="39">
        <f t="shared" ref="CD3:CD29" si="24">SUM(AF3:AP3)/$AR3</f>
        <v>0.96979226822845355</v>
      </c>
      <c r="CE3" s="39">
        <f t="shared" ref="CE3:CE29" si="25">SUM(AF3:AQ3)/$AR3</f>
        <v>1</v>
      </c>
      <c r="CG3" s="39">
        <f>(AT3+BG3+BT3)/3</f>
        <v>0.1509230901413223</v>
      </c>
      <c r="CH3" s="39">
        <f t="shared" ref="CH3:CR18" si="26">(AU3+BH3+BU3)/3</f>
        <v>0.32673084194010654</v>
      </c>
      <c r="CI3" s="39">
        <f t="shared" si="26"/>
        <v>0.433433056993137</v>
      </c>
      <c r="CJ3" s="39">
        <f t="shared" si="26"/>
        <v>0.54523701009877934</v>
      </c>
      <c r="CK3" s="39">
        <f t="shared" si="26"/>
        <v>0.67718579053549777</v>
      </c>
      <c r="CL3" s="39">
        <f t="shared" si="26"/>
        <v>0.78261111626840973</v>
      </c>
      <c r="CM3" s="39">
        <f t="shared" si="26"/>
        <v>0.83046331175235333</v>
      </c>
      <c r="CN3" s="39">
        <f t="shared" si="26"/>
        <v>0.87480263559483795</v>
      </c>
      <c r="CO3" s="39">
        <f t="shared" si="26"/>
        <v>0.91325946503777766</v>
      </c>
      <c r="CP3" s="39">
        <f t="shared" si="26"/>
        <v>0.94749380408781692</v>
      </c>
      <c r="CQ3" s="39">
        <f t="shared" si="26"/>
        <v>0.97420756161272781</v>
      </c>
      <c r="CR3" s="39">
        <f t="shared" si="26"/>
        <v>1</v>
      </c>
    </row>
    <row r="4" spans="1:96">
      <c r="A4" s="193" t="s">
        <v>88</v>
      </c>
      <c r="B4" s="34">
        <v>96465.34</v>
      </c>
      <c r="C4" s="34">
        <v>117655.21</v>
      </c>
      <c r="D4" s="34">
        <v>41116.620000000003</v>
      </c>
      <c r="E4" s="34">
        <v>49707.19</v>
      </c>
      <c r="F4" s="34">
        <v>52983.39</v>
      </c>
      <c r="G4" s="34">
        <v>49635.74</v>
      </c>
      <c r="H4" s="34">
        <v>21625.02</v>
      </c>
      <c r="I4" s="34">
        <v>15972.25</v>
      </c>
      <c r="J4" s="34">
        <v>14009.13</v>
      </c>
      <c r="K4" s="34">
        <v>12824.5</v>
      </c>
      <c r="L4" s="34">
        <v>9783.1</v>
      </c>
      <c r="M4" s="34">
        <v>18178.03</v>
      </c>
      <c r="N4" s="68">
        <f t="shared" si="0"/>
        <v>499955.52</v>
      </c>
      <c r="P4" s="85" t="s">
        <v>88</v>
      </c>
      <c r="Q4" s="34">
        <v>82159.570000000007</v>
      </c>
      <c r="R4" s="34">
        <v>85327.87</v>
      </c>
      <c r="S4" s="34">
        <v>73002.100000000006</v>
      </c>
      <c r="T4" s="34">
        <v>46053.47</v>
      </c>
      <c r="U4" s="34">
        <v>56282.27</v>
      </c>
      <c r="V4" s="34">
        <v>51264.53</v>
      </c>
      <c r="W4" s="34">
        <v>15249.210000000001</v>
      </c>
      <c r="X4" s="34">
        <v>15587.62</v>
      </c>
      <c r="Y4" s="34">
        <v>12284.18</v>
      </c>
      <c r="Z4" s="34">
        <v>11079.87</v>
      </c>
      <c r="AA4" s="34">
        <v>12809.8</v>
      </c>
      <c r="AB4" s="34">
        <v>10150.6</v>
      </c>
      <c r="AC4" s="68">
        <f t="shared" si="1"/>
        <v>471251.09</v>
      </c>
      <c r="AE4" s="85" t="s">
        <v>88</v>
      </c>
      <c r="AF4" s="34">
        <v>78370.84</v>
      </c>
      <c r="AG4" s="34">
        <v>120876.9</v>
      </c>
      <c r="AH4" s="34">
        <v>40599.399999999994</v>
      </c>
      <c r="AI4" s="34">
        <v>39292.25</v>
      </c>
      <c r="AJ4" s="34">
        <v>62018.89</v>
      </c>
      <c r="AK4" s="34">
        <v>51425.36</v>
      </c>
      <c r="AL4" s="34">
        <v>13872.869999999999</v>
      </c>
      <c r="AM4" s="34">
        <v>15263.59</v>
      </c>
      <c r="AN4" s="34">
        <v>13113.52</v>
      </c>
      <c r="AO4" s="34">
        <v>12445.32</v>
      </c>
      <c r="AP4" s="34">
        <v>13139.93</v>
      </c>
      <c r="AQ4" s="34">
        <v>9817.1299999999992</v>
      </c>
      <c r="AR4" s="68">
        <f t="shared" ref="AR4:AR67" si="27">SUM(AF4:AQ4)</f>
        <v>470236.00000000006</v>
      </c>
      <c r="AT4" s="39">
        <f t="shared" ref="AT4:AT29" si="28">B4/$N4</f>
        <v>0.19294784464025919</v>
      </c>
      <c r="AU4" s="39">
        <f t="shared" ref="AU4:AU29" si="29">SUM(B4:C4)/$N4</f>
        <v>0.42827919971760686</v>
      </c>
      <c r="AV4" s="39">
        <f t="shared" ref="AV4:AV29" si="30">SUM(B4:D4)/$N4</f>
        <v>0.51051975583747922</v>
      </c>
      <c r="AW4" s="39">
        <f t="shared" ref="AW4:AW29" si="31">SUM(B4:E4)/$N4</f>
        <v>0.6099429805275477</v>
      </c>
      <c r="AX4" s="39">
        <f t="shared" ref="AX4:AX29" si="32">SUM(B4:F4)/$N4</f>
        <v>0.71591918817097966</v>
      </c>
      <c r="AY4" s="39">
        <f t="shared" ref="AY4:AY29" si="33">SUM(B4:G4)/$N4</f>
        <v>0.81519950014753306</v>
      </c>
      <c r="AZ4" s="39">
        <f t="shared" ref="AZ4:AZ29" si="34">SUM(B4:H4)/$N4</f>
        <v>0.85845338801339766</v>
      </c>
      <c r="BA4" s="39">
        <f t="shared" ref="BA4:BA29" si="35">SUM(B4:I4)/$N4</f>
        <v>0.89040073004894515</v>
      </c>
      <c r="BB4" s="39">
        <f t="shared" ref="BB4:BB29" si="36">SUM(B4:J4)/$N4</f>
        <v>0.91842148277510771</v>
      </c>
      <c r="BC4" s="39">
        <f t="shared" ref="BC4:BC29" si="37">SUM(B4:K4)/$N4</f>
        <v>0.94407276471314883</v>
      </c>
      <c r="BD4" s="39">
        <f t="shared" ref="BD4:BD29" si="38">SUM(B4:L4)/$N4</f>
        <v>0.96364070547715919</v>
      </c>
      <c r="BE4" s="39">
        <f t="shared" ref="BE4:BE29" si="39">SUM(B4:M4)/$N4</f>
        <v>1</v>
      </c>
      <c r="BG4" s="39">
        <f t="shared" si="2"/>
        <v>0.17434351186328292</v>
      </c>
      <c r="BH4" s="39">
        <f t="shared" si="3"/>
        <v>0.35541019119976996</v>
      </c>
      <c r="BI4" s="39">
        <f t="shared" si="4"/>
        <v>0.51032145092757242</v>
      </c>
      <c r="BJ4" s="39">
        <f t="shared" si="5"/>
        <v>0.60804742117413457</v>
      </c>
      <c r="BK4" s="39">
        <f t="shared" si="6"/>
        <v>0.72747901760821398</v>
      </c>
      <c r="BL4" s="39">
        <f t="shared" si="7"/>
        <v>0.83626291453246304</v>
      </c>
      <c r="BM4" s="39">
        <f t="shared" si="8"/>
        <v>0.86862190599919897</v>
      </c>
      <c r="BN4" s="39">
        <f t="shared" si="9"/>
        <v>0.90169900721078444</v>
      </c>
      <c r="BO4" s="39">
        <f t="shared" si="10"/>
        <v>0.92776617238169157</v>
      </c>
      <c r="BP4" s="39">
        <f t="shared" si="11"/>
        <v>0.95127777847686257</v>
      </c>
      <c r="BQ4" s="39">
        <f t="shared" si="12"/>
        <v>0.97846031507322351</v>
      </c>
      <c r="BR4" s="39">
        <f t="shared" si="13"/>
        <v>1</v>
      </c>
      <c r="BS4" s="61"/>
      <c r="BT4" s="39">
        <f t="shared" si="14"/>
        <v>0.16666278209239613</v>
      </c>
      <c r="BU4" s="39">
        <f t="shared" si="15"/>
        <v>0.4237186008727532</v>
      </c>
      <c r="BV4" s="39">
        <f t="shared" si="16"/>
        <v>0.51005695012717012</v>
      </c>
      <c r="BW4" s="39">
        <f t="shared" si="17"/>
        <v>0.59361552497044034</v>
      </c>
      <c r="BX4" s="39">
        <f t="shared" si="18"/>
        <v>0.72550438503219661</v>
      </c>
      <c r="BY4" s="39">
        <f t="shared" si="19"/>
        <v>0.83486513155096587</v>
      </c>
      <c r="BZ4" s="39">
        <f t="shared" si="20"/>
        <v>0.86436706249627837</v>
      </c>
      <c r="CA4" s="39">
        <f t="shared" si="21"/>
        <v>0.89682648712561353</v>
      </c>
      <c r="CB4" s="39">
        <f t="shared" si="22"/>
        <v>0.92471359062258096</v>
      </c>
      <c r="CC4" s="39">
        <f t="shared" si="23"/>
        <v>0.95117970550957398</v>
      </c>
      <c r="CD4" s="39">
        <f t="shared" si="24"/>
        <v>0.97912297229476264</v>
      </c>
      <c r="CE4" s="39">
        <f t="shared" si="25"/>
        <v>1</v>
      </c>
      <c r="CG4" s="39">
        <f t="shared" ref="CG4:CG29" si="40">(AT4+BG4+BT4)/3</f>
        <v>0.17798471286531273</v>
      </c>
      <c r="CH4" s="39">
        <f t="shared" si="26"/>
        <v>0.40246933059670997</v>
      </c>
      <c r="CI4" s="39">
        <f t="shared" si="26"/>
        <v>0.51029938563074062</v>
      </c>
      <c r="CJ4" s="39">
        <f t="shared" si="26"/>
        <v>0.60386864222404091</v>
      </c>
      <c r="CK4" s="39">
        <f t="shared" si="26"/>
        <v>0.72296753027046334</v>
      </c>
      <c r="CL4" s="39">
        <f t="shared" si="26"/>
        <v>0.82877584874365395</v>
      </c>
      <c r="CM4" s="39">
        <f t="shared" si="26"/>
        <v>0.86381411883629167</v>
      </c>
      <c r="CN4" s="39">
        <f t="shared" si="26"/>
        <v>0.89630874146178108</v>
      </c>
      <c r="CO4" s="39">
        <f t="shared" si="26"/>
        <v>0.92363374859312675</v>
      </c>
      <c r="CP4" s="39">
        <f t="shared" si="26"/>
        <v>0.94884341623319512</v>
      </c>
      <c r="CQ4" s="39">
        <f t="shared" si="26"/>
        <v>0.97374133094838189</v>
      </c>
      <c r="CR4" s="39">
        <f t="shared" si="26"/>
        <v>1</v>
      </c>
    </row>
    <row r="5" spans="1:96">
      <c r="A5" s="193" t="s">
        <v>89</v>
      </c>
      <c r="B5" s="34">
        <v>18914.34</v>
      </c>
      <c r="C5" s="34">
        <v>24059.14</v>
      </c>
      <c r="D5" s="34">
        <v>15244.49</v>
      </c>
      <c r="E5" s="34">
        <v>15168.35</v>
      </c>
      <c r="F5" s="34">
        <v>22826.31</v>
      </c>
      <c r="G5" s="34">
        <v>19754.060000000001</v>
      </c>
      <c r="H5" s="34">
        <v>7572.67</v>
      </c>
      <c r="I5" s="34">
        <v>9409.9699999999993</v>
      </c>
      <c r="J5" s="34">
        <v>5826.01</v>
      </c>
      <c r="K5" s="34">
        <v>3788.42</v>
      </c>
      <c r="L5" s="34">
        <v>3247.21</v>
      </c>
      <c r="M5" s="34">
        <v>5295.75</v>
      </c>
      <c r="N5" s="68">
        <f t="shared" si="0"/>
        <v>151106.72</v>
      </c>
      <c r="P5" s="85" t="s">
        <v>89</v>
      </c>
      <c r="Q5" s="34">
        <v>18241.830000000002</v>
      </c>
      <c r="R5" s="34">
        <v>19021.66</v>
      </c>
      <c r="S5" s="34">
        <v>19278.52</v>
      </c>
      <c r="T5" s="34">
        <v>15118.4</v>
      </c>
      <c r="U5" s="34">
        <v>15454.260000000002</v>
      </c>
      <c r="V5" s="34">
        <v>20771.330000000002</v>
      </c>
      <c r="W5" s="34">
        <v>6956.4</v>
      </c>
      <c r="X5" s="34">
        <v>5764.06</v>
      </c>
      <c r="Y5" s="34">
        <v>4185.72</v>
      </c>
      <c r="Z5" s="34">
        <v>4580.22</v>
      </c>
      <c r="AA5" s="34">
        <v>2980.29</v>
      </c>
      <c r="AB5" s="34">
        <v>6289.17</v>
      </c>
      <c r="AC5" s="68">
        <f t="shared" si="1"/>
        <v>138641.86000000002</v>
      </c>
      <c r="AE5" s="85" t="s">
        <v>89</v>
      </c>
      <c r="AF5" s="34">
        <v>15824.45</v>
      </c>
      <c r="AG5" s="34">
        <v>23092.239999999998</v>
      </c>
      <c r="AH5" s="34">
        <v>14191.66</v>
      </c>
      <c r="AI5" s="34">
        <v>11771.61</v>
      </c>
      <c r="AJ5" s="34">
        <v>12236.97</v>
      </c>
      <c r="AK5" s="34">
        <v>20730.730000000003</v>
      </c>
      <c r="AL5" s="34">
        <v>7453.22</v>
      </c>
      <c r="AM5" s="34">
        <v>7572.6900000000005</v>
      </c>
      <c r="AN5" s="34">
        <v>9324.4</v>
      </c>
      <c r="AO5" s="34">
        <v>6930.1</v>
      </c>
      <c r="AP5" s="34">
        <v>4188.0200000000004</v>
      </c>
      <c r="AQ5" s="34">
        <v>3657.3599999999997</v>
      </c>
      <c r="AR5" s="68">
        <f t="shared" si="27"/>
        <v>136973.44999999998</v>
      </c>
      <c r="AT5" s="39">
        <f t="shared" si="28"/>
        <v>0.12517206382350168</v>
      </c>
      <c r="AU5" s="39">
        <f t="shared" si="29"/>
        <v>0.28439158761436945</v>
      </c>
      <c r="AV5" s="39">
        <f t="shared" si="30"/>
        <v>0.38527717364257524</v>
      </c>
      <c r="AW5" s="39">
        <f t="shared" si="31"/>
        <v>0.4856588773814956</v>
      </c>
      <c r="AX5" s="39">
        <f t="shared" si="32"/>
        <v>0.63671973026745599</v>
      </c>
      <c r="AY5" s="39">
        <f t="shared" si="33"/>
        <v>0.76744892616291316</v>
      </c>
      <c r="AZ5" s="39">
        <f t="shared" si="34"/>
        <v>0.81756363979047386</v>
      </c>
      <c r="BA5" s="39">
        <f t="shared" si="35"/>
        <v>0.87983730968417539</v>
      </c>
      <c r="BB5" s="39">
        <f t="shared" si="36"/>
        <v>0.91839290800567963</v>
      </c>
      <c r="BC5" s="39">
        <f t="shared" si="37"/>
        <v>0.94346406301453711</v>
      </c>
      <c r="BD5" s="39">
        <f t="shared" si="38"/>
        <v>0.9649535771804193</v>
      </c>
      <c r="BE5" s="39">
        <f t="shared" si="39"/>
        <v>1</v>
      </c>
      <c r="BG5" s="39">
        <f t="shared" si="2"/>
        <v>0.13157519669744766</v>
      </c>
      <c r="BH5" s="39">
        <f t="shared" si="3"/>
        <v>0.26877517367409814</v>
      </c>
      <c r="BI5" s="39">
        <f t="shared" si="4"/>
        <v>0.40782783785503168</v>
      </c>
      <c r="BJ5" s="39">
        <f t="shared" si="5"/>
        <v>0.51687426870932052</v>
      </c>
      <c r="BK5" s="39">
        <f t="shared" si="6"/>
        <v>0.6283432002426973</v>
      </c>
      <c r="BL5" s="39">
        <f t="shared" si="7"/>
        <v>0.77816324737709086</v>
      </c>
      <c r="BM5" s="39">
        <f t="shared" si="8"/>
        <v>0.8283385696066109</v>
      </c>
      <c r="BN5" s="39">
        <f t="shared" si="9"/>
        <v>0.86991374755070361</v>
      </c>
      <c r="BO5" s="39">
        <f t="shared" si="10"/>
        <v>0.90010462929450019</v>
      </c>
      <c r="BP5" s="39">
        <f t="shared" si="11"/>
        <v>0.93314097199792323</v>
      </c>
      <c r="BQ5" s="39">
        <f t="shared" si="12"/>
        <v>0.95463729352736604</v>
      </c>
      <c r="BR5" s="39">
        <f t="shared" si="13"/>
        <v>1</v>
      </c>
      <c r="BS5" s="61"/>
      <c r="BT5" s="39">
        <f t="shared" si="14"/>
        <v>0.11552932338347324</v>
      </c>
      <c r="BU5" s="39">
        <f t="shared" si="15"/>
        <v>0.28411849157628727</v>
      </c>
      <c r="BV5" s="39">
        <f t="shared" si="16"/>
        <v>0.38772732963943024</v>
      </c>
      <c r="BW5" s="39">
        <f t="shared" si="17"/>
        <v>0.47366814517703987</v>
      </c>
      <c r="BX5" s="39">
        <f t="shared" si="18"/>
        <v>0.56300640744611463</v>
      </c>
      <c r="BY5" s="39">
        <f t="shared" si="19"/>
        <v>0.71435493520824667</v>
      </c>
      <c r="BZ5" s="39">
        <f t="shared" si="20"/>
        <v>0.76876854602114508</v>
      </c>
      <c r="CA5" s="39">
        <f t="shared" si="21"/>
        <v>0.8240543696606899</v>
      </c>
      <c r="CB5" s="39">
        <f t="shared" si="22"/>
        <v>0.89212887607050873</v>
      </c>
      <c r="CC5" s="39">
        <f t="shared" si="23"/>
        <v>0.94272335259132356</v>
      </c>
      <c r="CD5" s="39">
        <f t="shared" si="24"/>
        <v>0.97329876702382845</v>
      </c>
      <c r="CE5" s="39">
        <f t="shared" si="25"/>
        <v>1</v>
      </c>
      <c r="CG5" s="39">
        <f t="shared" si="40"/>
        <v>0.12409219463480751</v>
      </c>
      <c r="CH5" s="39">
        <f t="shared" si="26"/>
        <v>0.27909508428825164</v>
      </c>
      <c r="CI5" s="39">
        <f t="shared" si="26"/>
        <v>0.39361078037901237</v>
      </c>
      <c r="CJ5" s="39">
        <f t="shared" si="26"/>
        <v>0.49206709708928531</v>
      </c>
      <c r="CK5" s="39">
        <f t="shared" si="26"/>
        <v>0.60935644598542271</v>
      </c>
      <c r="CL5" s="39">
        <f t="shared" si="26"/>
        <v>0.75332236958275012</v>
      </c>
      <c r="CM5" s="39">
        <f t="shared" si="26"/>
        <v>0.80489025180607665</v>
      </c>
      <c r="CN5" s="39">
        <f t="shared" si="26"/>
        <v>0.85793514229852297</v>
      </c>
      <c r="CO5" s="39">
        <f t="shared" si="26"/>
        <v>0.9035421377902294</v>
      </c>
      <c r="CP5" s="39">
        <f t="shared" si="26"/>
        <v>0.9397761292012613</v>
      </c>
      <c r="CQ5" s="39">
        <f t="shared" si="26"/>
        <v>0.96429654591053782</v>
      </c>
      <c r="CR5" s="39">
        <f t="shared" si="26"/>
        <v>1</v>
      </c>
    </row>
    <row r="6" spans="1:96">
      <c r="A6" s="193" t="s">
        <v>90</v>
      </c>
      <c r="B6" s="34">
        <v>64402.29</v>
      </c>
      <c r="C6" s="34">
        <v>72528.63</v>
      </c>
      <c r="D6" s="34">
        <v>53147.54</v>
      </c>
      <c r="E6" s="34">
        <v>60544.32</v>
      </c>
      <c r="F6" s="34">
        <v>79449.61</v>
      </c>
      <c r="G6" s="34">
        <v>70794.710000000006</v>
      </c>
      <c r="H6" s="34">
        <v>23691.88</v>
      </c>
      <c r="I6" s="34">
        <v>18379.740000000002</v>
      </c>
      <c r="J6" s="34">
        <v>15668.12</v>
      </c>
      <c r="K6" s="34">
        <v>19253.59</v>
      </c>
      <c r="L6" s="34">
        <v>12104.84</v>
      </c>
      <c r="M6" s="34">
        <v>17353.79</v>
      </c>
      <c r="N6" s="68">
        <f t="shared" si="0"/>
        <v>507319.06000000006</v>
      </c>
      <c r="P6" s="85" t="s">
        <v>90</v>
      </c>
      <c r="Q6" s="34">
        <v>40402.980000000003</v>
      </c>
      <c r="R6" s="34">
        <v>68823.86</v>
      </c>
      <c r="S6" s="34">
        <v>61100.160000000003</v>
      </c>
      <c r="T6" s="34">
        <v>49071.02</v>
      </c>
      <c r="U6" s="34">
        <v>57944.11</v>
      </c>
      <c r="V6" s="34">
        <v>42500.32</v>
      </c>
      <c r="W6" s="34">
        <v>26889.700000000004</v>
      </c>
      <c r="X6" s="34">
        <v>28745.32</v>
      </c>
      <c r="Y6" s="34">
        <v>19037</v>
      </c>
      <c r="Z6" s="34">
        <v>18467.68</v>
      </c>
      <c r="AA6" s="34">
        <v>12025.53</v>
      </c>
      <c r="AB6" s="34">
        <v>16645.18</v>
      </c>
      <c r="AC6" s="68">
        <f t="shared" si="1"/>
        <v>441652.86000000004</v>
      </c>
      <c r="AE6" s="85" t="s">
        <v>90</v>
      </c>
      <c r="AF6" s="34">
        <v>59048.04</v>
      </c>
      <c r="AG6" s="34">
        <v>80404.3</v>
      </c>
      <c r="AH6" s="34">
        <v>45797.119999999995</v>
      </c>
      <c r="AI6" s="34">
        <v>37658.559999999998</v>
      </c>
      <c r="AJ6" s="34">
        <v>51489.130000000005</v>
      </c>
      <c r="AK6" s="34">
        <v>41132.629999999997</v>
      </c>
      <c r="AL6" s="34">
        <v>18432.310000000001</v>
      </c>
      <c r="AM6" s="34">
        <v>21706.170000000002</v>
      </c>
      <c r="AN6" s="34">
        <v>21640.240000000002</v>
      </c>
      <c r="AO6" s="34">
        <v>29000.6</v>
      </c>
      <c r="AP6" s="34">
        <v>19573.149999999998</v>
      </c>
      <c r="AQ6" s="34">
        <v>12762.880000000001</v>
      </c>
      <c r="AR6" s="68">
        <f t="shared" si="27"/>
        <v>438645.13</v>
      </c>
      <c r="AT6" s="39">
        <f t="shared" si="28"/>
        <v>0.12694632446886581</v>
      </c>
      <c r="AU6" s="39">
        <f t="shared" si="29"/>
        <v>0.26991085255105535</v>
      </c>
      <c r="AV6" s="39">
        <f t="shared" si="30"/>
        <v>0.37467242015310837</v>
      </c>
      <c r="AW6" s="39">
        <f t="shared" si="31"/>
        <v>0.49401412200046257</v>
      </c>
      <c r="AX6" s="39">
        <f t="shared" si="32"/>
        <v>0.65062091300098202</v>
      </c>
      <c r="AY6" s="39">
        <f t="shared" si="33"/>
        <v>0.79016763139157431</v>
      </c>
      <c r="AZ6" s="39">
        <f t="shared" si="34"/>
        <v>0.83686778888220759</v>
      </c>
      <c r="BA6" s="39">
        <f t="shared" si="35"/>
        <v>0.87309694218861</v>
      </c>
      <c r="BB6" s="39">
        <f t="shared" si="36"/>
        <v>0.9039810962355721</v>
      </c>
      <c r="BC6" s="39">
        <f t="shared" si="37"/>
        <v>0.94193273558458457</v>
      </c>
      <c r="BD6" s="39">
        <f t="shared" si="38"/>
        <v>0.96579314406204253</v>
      </c>
      <c r="BE6" s="39">
        <f t="shared" si="39"/>
        <v>1</v>
      </c>
      <c r="BG6" s="39">
        <f t="shared" si="2"/>
        <v>9.1481305023135132E-2</v>
      </c>
      <c r="BH6" s="39">
        <f t="shared" si="3"/>
        <v>0.24731378395240095</v>
      </c>
      <c r="BI6" s="39">
        <f t="shared" si="4"/>
        <v>0.38565809355338487</v>
      </c>
      <c r="BJ6" s="39">
        <f t="shared" si="5"/>
        <v>0.49676576304747572</v>
      </c>
      <c r="BK6" s="39">
        <f t="shared" si="6"/>
        <v>0.62796407567699208</v>
      </c>
      <c r="BL6" s="39">
        <f t="shared" si="7"/>
        <v>0.72419422349036744</v>
      </c>
      <c r="BM6" s="39">
        <f t="shared" si="8"/>
        <v>0.78507846637741685</v>
      </c>
      <c r="BN6" s="39">
        <f t="shared" si="9"/>
        <v>0.85016424437962423</v>
      </c>
      <c r="BO6" s="39">
        <f t="shared" si="10"/>
        <v>0.89326823333601868</v>
      </c>
      <c r="BP6" s="39">
        <f t="shared" si="11"/>
        <v>0.93508315558060684</v>
      </c>
      <c r="BQ6" s="39">
        <f t="shared" si="12"/>
        <v>0.96231162184707697</v>
      </c>
      <c r="BR6" s="39">
        <f t="shared" si="13"/>
        <v>1</v>
      </c>
      <c r="BS6" s="61"/>
      <c r="BT6" s="39">
        <f t="shared" si="14"/>
        <v>0.13461460292514818</v>
      </c>
      <c r="BU6" s="39">
        <f t="shared" si="15"/>
        <v>0.31791607945128675</v>
      </c>
      <c r="BV6" s="39">
        <f t="shared" si="16"/>
        <v>0.42232193481778763</v>
      </c>
      <c r="BW6" s="39">
        <f t="shared" si="17"/>
        <v>0.5081739309404848</v>
      </c>
      <c r="BX6" s="39">
        <f t="shared" si="18"/>
        <v>0.62555613007717659</v>
      </c>
      <c r="BY6" s="39">
        <f t="shared" si="19"/>
        <v>0.71932812750024155</v>
      </c>
      <c r="BZ6" s="39">
        <f t="shared" si="20"/>
        <v>0.76134913432186069</v>
      </c>
      <c r="CA6" s="39">
        <f t="shared" si="21"/>
        <v>0.81083371426008999</v>
      </c>
      <c r="CB6" s="39">
        <f t="shared" si="22"/>
        <v>0.86016799046646197</v>
      </c>
      <c r="CC6" s="39">
        <f t="shared" si="23"/>
        <v>0.92628202665785886</v>
      </c>
      <c r="CD6" s="39">
        <f t="shared" si="24"/>
        <v>0.97090386025715136</v>
      </c>
      <c r="CE6" s="39">
        <f t="shared" si="25"/>
        <v>1</v>
      </c>
      <c r="CG6" s="39">
        <f t="shared" si="40"/>
        <v>0.11768074413904972</v>
      </c>
      <c r="CH6" s="39">
        <f t="shared" si="26"/>
        <v>0.27838023865158101</v>
      </c>
      <c r="CI6" s="39">
        <f t="shared" si="26"/>
        <v>0.39421748284142694</v>
      </c>
      <c r="CJ6" s="39">
        <f t="shared" si="26"/>
        <v>0.49965127199614107</v>
      </c>
      <c r="CK6" s="39">
        <f t="shared" si="26"/>
        <v>0.63471370625171686</v>
      </c>
      <c r="CL6" s="39">
        <f t="shared" si="26"/>
        <v>0.74456332746072773</v>
      </c>
      <c r="CM6" s="39">
        <f t="shared" si="26"/>
        <v>0.79443179652716178</v>
      </c>
      <c r="CN6" s="39">
        <f t="shared" si="26"/>
        <v>0.84469830027610804</v>
      </c>
      <c r="CO6" s="39">
        <f t="shared" si="26"/>
        <v>0.88580577334601751</v>
      </c>
      <c r="CP6" s="39">
        <f t="shared" si="26"/>
        <v>0.93443263927435005</v>
      </c>
      <c r="CQ6" s="39">
        <f t="shared" si="26"/>
        <v>0.96633620872209036</v>
      </c>
      <c r="CR6" s="39">
        <f t="shared" si="26"/>
        <v>1</v>
      </c>
    </row>
    <row r="7" spans="1:96">
      <c r="A7" s="193" t="s">
        <v>91</v>
      </c>
      <c r="B7" s="34">
        <v>238012.82</v>
      </c>
      <c r="C7" s="34">
        <v>372462.15</v>
      </c>
      <c r="D7" s="34">
        <v>125621.39</v>
      </c>
      <c r="E7" s="34">
        <v>138339.66</v>
      </c>
      <c r="F7" s="34">
        <v>172269.62</v>
      </c>
      <c r="G7" s="34">
        <v>176967.42</v>
      </c>
      <c r="H7" s="34">
        <v>56486.74</v>
      </c>
      <c r="I7" s="34">
        <v>44898.55</v>
      </c>
      <c r="J7" s="34">
        <v>40185.440000000002</v>
      </c>
      <c r="K7" s="34">
        <v>43707.29</v>
      </c>
      <c r="L7" s="34">
        <v>56457.48</v>
      </c>
      <c r="M7" s="34">
        <v>46025.1</v>
      </c>
      <c r="N7" s="68">
        <f t="shared" si="0"/>
        <v>1511433.6600000001</v>
      </c>
      <c r="P7" s="85" t="s">
        <v>91</v>
      </c>
      <c r="Q7" s="34">
        <v>218715.5</v>
      </c>
      <c r="R7" s="34">
        <v>305742.28000000003</v>
      </c>
      <c r="S7" s="34">
        <v>209756.15</v>
      </c>
      <c r="T7" s="34">
        <v>118092.95</v>
      </c>
      <c r="U7" s="34">
        <v>143860.20000000001</v>
      </c>
      <c r="V7" s="34">
        <v>152996.60999999999</v>
      </c>
      <c r="W7" s="34">
        <v>45283.9</v>
      </c>
      <c r="X7" s="34">
        <v>57169.67</v>
      </c>
      <c r="Y7" s="34">
        <v>38881.83</v>
      </c>
      <c r="Z7" s="34">
        <v>41161.410000000003</v>
      </c>
      <c r="AA7" s="34">
        <v>28359.88</v>
      </c>
      <c r="AB7" s="34">
        <v>28141.439999999999</v>
      </c>
      <c r="AC7" s="68">
        <f t="shared" si="1"/>
        <v>1388161.8199999996</v>
      </c>
      <c r="AE7" s="85" t="s">
        <v>91</v>
      </c>
      <c r="AF7" s="34">
        <v>219996.2</v>
      </c>
      <c r="AG7" s="34">
        <v>381221.96</v>
      </c>
      <c r="AH7" s="34">
        <v>115044.54000000001</v>
      </c>
      <c r="AI7" s="34">
        <v>94157.95</v>
      </c>
      <c r="AJ7" s="34">
        <v>129269.9</v>
      </c>
      <c r="AK7" s="34">
        <v>150363.14000000001</v>
      </c>
      <c r="AL7" s="34">
        <v>35951.490000000005</v>
      </c>
      <c r="AM7" s="34">
        <v>41553.85</v>
      </c>
      <c r="AN7" s="34">
        <v>35146.21</v>
      </c>
      <c r="AO7" s="34">
        <v>26296.1</v>
      </c>
      <c r="AP7" s="34">
        <v>37535.58</v>
      </c>
      <c r="AQ7" s="34">
        <v>33312.160000000003</v>
      </c>
      <c r="AR7" s="68">
        <f t="shared" si="27"/>
        <v>1299849.08</v>
      </c>
      <c r="AT7" s="39">
        <f t="shared" si="28"/>
        <v>0.15747487058082324</v>
      </c>
      <c r="AU7" s="39">
        <f t="shared" si="29"/>
        <v>0.40390457494508886</v>
      </c>
      <c r="AV7" s="39">
        <f t="shared" si="30"/>
        <v>0.48701863633234149</v>
      </c>
      <c r="AW7" s="39">
        <f t="shared" si="31"/>
        <v>0.57854740379409042</v>
      </c>
      <c r="AX7" s="39">
        <f t="shared" si="32"/>
        <v>0.69252502951403105</v>
      </c>
      <c r="AY7" s="39">
        <f t="shared" si="33"/>
        <v>0.80961083002478584</v>
      </c>
      <c r="AZ7" s="39">
        <f t="shared" si="34"/>
        <v>0.84698378359523896</v>
      </c>
      <c r="BA7" s="39">
        <f t="shared" si="35"/>
        <v>0.87668971855503075</v>
      </c>
      <c r="BB7" s="39">
        <f t="shared" si="36"/>
        <v>0.90327734926850833</v>
      </c>
      <c r="BC7" s="39">
        <f t="shared" si="37"/>
        <v>0.93219511863987459</v>
      </c>
      <c r="BD7" s="39">
        <f t="shared" si="38"/>
        <v>0.96954871310726265</v>
      </c>
      <c r="BE7" s="39">
        <f t="shared" si="39"/>
        <v>1</v>
      </c>
      <c r="BG7" s="39">
        <f t="shared" si="2"/>
        <v>0.15755763978582848</v>
      </c>
      <c r="BH7" s="39">
        <f t="shared" si="3"/>
        <v>0.37780737983414653</v>
      </c>
      <c r="BI7" s="39">
        <f t="shared" si="4"/>
        <v>0.52891090896016735</v>
      </c>
      <c r="BJ7" s="39">
        <f t="shared" si="5"/>
        <v>0.61398236698369957</v>
      </c>
      <c r="BK7" s="39">
        <f t="shared" si="6"/>
        <v>0.71761596209294987</v>
      </c>
      <c r="BL7" s="39">
        <f t="shared" si="7"/>
        <v>0.8278312178330911</v>
      </c>
      <c r="BM7" s="39">
        <f t="shared" si="8"/>
        <v>0.86045270284122943</v>
      </c>
      <c r="BN7" s="39">
        <f t="shared" si="9"/>
        <v>0.9016364244912024</v>
      </c>
      <c r="BO7" s="39">
        <f t="shared" si="10"/>
        <v>0.92964600481520243</v>
      </c>
      <c r="BP7" s="39">
        <f t="shared" si="11"/>
        <v>0.9592977423914455</v>
      </c>
      <c r="BQ7" s="39">
        <f t="shared" si="12"/>
        <v>0.9797275507836688</v>
      </c>
      <c r="BR7" s="39">
        <f t="shared" si="13"/>
        <v>1</v>
      </c>
      <c r="BS7" s="61"/>
      <c r="BT7" s="39">
        <f t="shared" si="14"/>
        <v>0.16924749448605217</v>
      </c>
      <c r="BU7" s="39">
        <f t="shared" si="15"/>
        <v>0.46252920377494899</v>
      </c>
      <c r="BV7" s="39">
        <f t="shared" si="16"/>
        <v>0.55103527864942603</v>
      </c>
      <c r="BW7" s="39">
        <f t="shared" si="17"/>
        <v>0.62347288040546978</v>
      </c>
      <c r="BX7" s="39">
        <f t="shared" si="18"/>
        <v>0.72292281039272654</v>
      </c>
      <c r="BY7" s="39">
        <f t="shared" si="19"/>
        <v>0.83860019349323223</v>
      </c>
      <c r="BZ7" s="39">
        <f t="shared" si="20"/>
        <v>0.86625839670556204</v>
      </c>
      <c r="CA7" s="39">
        <f t="shared" si="21"/>
        <v>0.89822660796898046</v>
      </c>
      <c r="CB7" s="39">
        <f t="shared" si="22"/>
        <v>0.92526529310618111</v>
      </c>
      <c r="CC7" s="39">
        <f t="shared" si="23"/>
        <v>0.94549541089800981</v>
      </c>
      <c r="CD7" s="39">
        <f t="shared" si="24"/>
        <v>0.97437228635804407</v>
      </c>
      <c r="CE7" s="39">
        <f t="shared" si="25"/>
        <v>1</v>
      </c>
      <c r="CG7" s="39">
        <f t="shared" si="40"/>
        <v>0.1614266682842346</v>
      </c>
      <c r="CH7" s="39">
        <f t="shared" si="26"/>
        <v>0.41474705285139479</v>
      </c>
      <c r="CI7" s="39">
        <f t="shared" si="26"/>
        <v>0.52232160798064486</v>
      </c>
      <c r="CJ7" s="39">
        <f t="shared" si="26"/>
        <v>0.60533421706108659</v>
      </c>
      <c r="CK7" s="39">
        <f t="shared" si="26"/>
        <v>0.71102126733323578</v>
      </c>
      <c r="CL7" s="39">
        <f t="shared" si="26"/>
        <v>0.82534741378370302</v>
      </c>
      <c r="CM7" s="39">
        <f t="shared" si="26"/>
        <v>0.85789829438067677</v>
      </c>
      <c r="CN7" s="39">
        <f t="shared" si="26"/>
        <v>0.89218425033840454</v>
      </c>
      <c r="CO7" s="39">
        <f t="shared" si="26"/>
        <v>0.91939621572996399</v>
      </c>
      <c r="CP7" s="39">
        <f t="shared" si="26"/>
        <v>0.94566275730977656</v>
      </c>
      <c r="CQ7" s="39">
        <f t="shared" si="26"/>
        <v>0.97454951674965862</v>
      </c>
      <c r="CR7" s="39">
        <f t="shared" si="26"/>
        <v>1</v>
      </c>
    </row>
    <row r="8" spans="1:96">
      <c r="A8" s="193" t="s">
        <v>92</v>
      </c>
      <c r="B8" s="34">
        <v>158846.41</v>
      </c>
      <c r="C8" s="34">
        <v>179906.05</v>
      </c>
      <c r="D8" s="34">
        <v>76172.08</v>
      </c>
      <c r="E8" s="34">
        <v>77087.199999999997</v>
      </c>
      <c r="F8" s="34">
        <v>101824.35</v>
      </c>
      <c r="G8" s="34">
        <v>99510.89</v>
      </c>
      <c r="H8" s="34">
        <v>39994.58</v>
      </c>
      <c r="I8" s="34">
        <v>25727.84</v>
      </c>
      <c r="J8" s="34">
        <v>27678</v>
      </c>
      <c r="K8" s="34">
        <v>32389.71</v>
      </c>
      <c r="L8" s="34">
        <v>19213.169999999998</v>
      </c>
      <c r="M8" s="34">
        <v>18122.11</v>
      </c>
      <c r="N8" s="68">
        <f t="shared" si="0"/>
        <v>856472.3899999999</v>
      </c>
      <c r="P8" s="85" t="s">
        <v>92</v>
      </c>
      <c r="Q8" s="34">
        <v>143258.89000000001</v>
      </c>
      <c r="R8" s="34">
        <v>132392.21</v>
      </c>
      <c r="S8" s="34">
        <v>116620.11</v>
      </c>
      <c r="T8" s="34">
        <v>55622.65</v>
      </c>
      <c r="U8" s="34">
        <v>78277.350000000006</v>
      </c>
      <c r="V8" s="34">
        <v>76501.77</v>
      </c>
      <c r="W8" s="34">
        <v>25319.1</v>
      </c>
      <c r="X8" s="34">
        <v>19626.45</v>
      </c>
      <c r="Y8" s="34">
        <v>19979.77</v>
      </c>
      <c r="Z8" s="34">
        <v>22529.62</v>
      </c>
      <c r="AA8" s="34">
        <v>14752.38</v>
      </c>
      <c r="AB8" s="34">
        <v>18998.66</v>
      </c>
      <c r="AC8" s="68">
        <f t="shared" si="1"/>
        <v>723878.96</v>
      </c>
      <c r="AE8" s="85" t="s">
        <v>92</v>
      </c>
      <c r="AF8" s="34">
        <v>139953.03</v>
      </c>
      <c r="AG8" s="34">
        <v>189657.29</v>
      </c>
      <c r="AH8" s="34">
        <v>57282.570000000007</v>
      </c>
      <c r="AI8" s="34">
        <v>43714.15</v>
      </c>
      <c r="AJ8" s="34">
        <v>59486.080000000002</v>
      </c>
      <c r="AK8" s="34">
        <v>67789.150000000009</v>
      </c>
      <c r="AL8" s="34">
        <v>16477.28</v>
      </c>
      <c r="AM8" s="34">
        <v>21953.829999999998</v>
      </c>
      <c r="AN8" s="34">
        <v>14252.32</v>
      </c>
      <c r="AO8" s="34">
        <v>17647.43</v>
      </c>
      <c r="AP8" s="34">
        <v>20708.8</v>
      </c>
      <c r="AQ8" s="34">
        <v>15742.13</v>
      </c>
      <c r="AR8" s="68">
        <f t="shared" si="27"/>
        <v>664664.06000000006</v>
      </c>
      <c r="AT8" s="39">
        <f t="shared" si="28"/>
        <v>0.18546588524587468</v>
      </c>
      <c r="AU8" s="39">
        <f t="shared" si="29"/>
        <v>0.39552058414866126</v>
      </c>
      <c r="AV8" s="39">
        <f t="shared" si="30"/>
        <v>0.48445757836980596</v>
      </c>
      <c r="AW8" s="39">
        <f t="shared" si="31"/>
        <v>0.57446304836516682</v>
      </c>
      <c r="AX8" s="39">
        <f t="shared" si="32"/>
        <v>0.69335111900104573</v>
      </c>
      <c r="AY8" s="39">
        <f t="shared" si="33"/>
        <v>0.80953804009957642</v>
      </c>
      <c r="AZ8" s="39">
        <f t="shared" si="34"/>
        <v>0.85623491026955345</v>
      </c>
      <c r="BA8" s="39">
        <f t="shared" si="35"/>
        <v>0.8862742207019656</v>
      </c>
      <c r="BB8" s="39">
        <f t="shared" si="36"/>
        <v>0.91859049887177335</v>
      </c>
      <c r="BC8" s="39">
        <f t="shared" si="37"/>
        <v>0.95640807522119886</v>
      </c>
      <c r="BD8" s="39">
        <f t="shared" si="38"/>
        <v>0.97884098750690607</v>
      </c>
      <c r="BE8" s="39">
        <f t="shared" si="39"/>
        <v>1</v>
      </c>
      <c r="BG8" s="39">
        <f t="shared" si="2"/>
        <v>0.19790448115801021</v>
      </c>
      <c r="BH8" s="39">
        <f t="shared" si="3"/>
        <v>0.38079722609978883</v>
      </c>
      <c r="BI8" s="39">
        <f t="shared" si="4"/>
        <v>0.54190165991286721</v>
      </c>
      <c r="BJ8" s="39">
        <f t="shared" si="5"/>
        <v>0.61874137079491853</v>
      </c>
      <c r="BK8" s="39">
        <f t="shared" si="6"/>
        <v>0.72687733595682902</v>
      </c>
      <c r="BL8" s="39">
        <f t="shared" si="7"/>
        <v>0.83256043247893263</v>
      </c>
      <c r="BM8" s="39">
        <f t="shared" si="8"/>
        <v>0.86753741260831785</v>
      </c>
      <c r="BN8" s="39">
        <f t="shared" si="9"/>
        <v>0.89465030175763083</v>
      </c>
      <c r="BO8" s="39">
        <f t="shared" si="10"/>
        <v>0.92225128355712949</v>
      </c>
      <c r="BP8" s="39">
        <f t="shared" si="11"/>
        <v>0.95337474651839582</v>
      </c>
      <c r="BQ8" s="39">
        <f t="shared" si="12"/>
        <v>0.97375436910060209</v>
      </c>
      <c r="BR8" s="39">
        <f t="shared" si="13"/>
        <v>1</v>
      </c>
      <c r="BS8" s="61"/>
      <c r="BT8" s="39">
        <f t="shared" si="14"/>
        <v>0.21056205446101597</v>
      </c>
      <c r="BU8" s="39">
        <f t="shared" si="15"/>
        <v>0.4959051343922522</v>
      </c>
      <c r="BV8" s="39">
        <f t="shared" si="16"/>
        <v>0.58208787458735167</v>
      </c>
      <c r="BW8" s="39">
        <f t="shared" si="17"/>
        <v>0.64785666310887935</v>
      </c>
      <c r="BX8" s="39">
        <f t="shared" si="18"/>
        <v>0.7373546269374035</v>
      </c>
      <c r="BY8" s="39">
        <f t="shared" si="19"/>
        <v>0.83934472100086166</v>
      </c>
      <c r="BZ8" s="39">
        <f t="shared" si="20"/>
        <v>0.86413510909556324</v>
      </c>
      <c r="CA8" s="39">
        <f t="shared" si="21"/>
        <v>0.8971650731348404</v>
      </c>
      <c r="CB8" s="39">
        <f t="shared" si="22"/>
        <v>0.91860796565410785</v>
      </c>
      <c r="CC8" s="39">
        <f t="shared" si="23"/>
        <v>0.9451588671726886</v>
      </c>
      <c r="CD8" s="39">
        <f t="shared" si="24"/>
        <v>0.97631565937234521</v>
      </c>
      <c r="CE8" s="39">
        <f t="shared" si="25"/>
        <v>1</v>
      </c>
      <c r="CG8" s="39">
        <f t="shared" si="40"/>
        <v>0.19797747362163362</v>
      </c>
      <c r="CH8" s="39">
        <f t="shared" si="26"/>
        <v>0.42407431488023412</v>
      </c>
      <c r="CI8" s="39">
        <f t="shared" si="26"/>
        <v>0.53614903762334165</v>
      </c>
      <c r="CJ8" s="39">
        <f t="shared" si="26"/>
        <v>0.61368702742298831</v>
      </c>
      <c r="CK8" s="39">
        <f t="shared" si="26"/>
        <v>0.71919436063175946</v>
      </c>
      <c r="CL8" s="39">
        <f t="shared" si="26"/>
        <v>0.82714773119312357</v>
      </c>
      <c r="CM8" s="39">
        <f t="shared" si="26"/>
        <v>0.86263581065781159</v>
      </c>
      <c r="CN8" s="39">
        <f t="shared" si="26"/>
        <v>0.89269653186481224</v>
      </c>
      <c r="CO8" s="39">
        <f t="shared" si="26"/>
        <v>0.91981658269433686</v>
      </c>
      <c r="CP8" s="39">
        <f t="shared" si="26"/>
        <v>0.95164722963742776</v>
      </c>
      <c r="CQ8" s="39">
        <f t="shared" si="26"/>
        <v>0.97630367199328438</v>
      </c>
      <c r="CR8" s="39">
        <f t="shared" si="26"/>
        <v>1</v>
      </c>
    </row>
    <row r="9" spans="1:96">
      <c r="A9" s="193" t="s">
        <v>93</v>
      </c>
      <c r="B9" s="34">
        <v>283434.44</v>
      </c>
      <c r="C9" s="34">
        <v>401923.05</v>
      </c>
      <c r="D9" s="34">
        <v>156060.54</v>
      </c>
      <c r="E9" s="34">
        <v>153965.35</v>
      </c>
      <c r="F9" s="34">
        <v>184159.18</v>
      </c>
      <c r="G9" s="34">
        <v>189699.29</v>
      </c>
      <c r="H9" s="34">
        <v>56967.93</v>
      </c>
      <c r="I9" s="34">
        <v>48095.82</v>
      </c>
      <c r="J9" s="34">
        <v>44858.32</v>
      </c>
      <c r="K9" s="34">
        <v>42492.54</v>
      </c>
      <c r="L9" s="34">
        <v>40738.550000000003</v>
      </c>
      <c r="M9" s="34">
        <v>41357.43</v>
      </c>
      <c r="N9" s="68">
        <f t="shared" si="0"/>
        <v>1643752.4400000002</v>
      </c>
      <c r="P9" s="85" t="s">
        <v>93</v>
      </c>
      <c r="Q9" s="34">
        <v>261867.08</v>
      </c>
      <c r="R9" s="34">
        <v>385246.56</v>
      </c>
      <c r="S9" s="34">
        <v>222589.72</v>
      </c>
      <c r="T9" s="34">
        <v>126808.25</v>
      </c>
      <c r="U9" s="34">
        <v>153532.74</v>
      </c>
      <c r="V9" s="34">
        <v>143258.25</v>
      </c>
      <c r="W9" s="34">
        <v>36921.75</v>
      </c>
      <c r="X9" s="34">
        <v>40236.699999999997</v>
      </c>
      <c r="Y9" s="34">
        <v>28483.45</v>
      </c>
      <c r="Z9" s="34">
        <v>24216.2</v>
      </c>
      <c r="AA9" s="34">
        <v>29424.81</v>
      </c>
      <c r="AB9" s="34">
        <v>34692.86</v>
      </c>
      <c r="AC9" s="68">
        <f t="shared" si="1"/>
        <v>1487278.37</v>
      </c>
      <c r="AE9" s="85" t="s">
        <v>93</v>
      </c>
      <c r="AF9" s="34">
        <v>230250.98</v>
      </c>
      <c r="AG9" s="34">
        <v>401049.09</v>
      </c>
      <c r="AH9" s="34">
        <v>117665.68000000001</v>
      </c>
      <c r="AI9" s="34">
        <v>93954.799999999988</v>
      </c>
      <c r="AJ9" s="34">
        <v>133084.01</v>
      </c>
      <c r="AK9" s="34">
        <v>143558.67000000001</v>
      </c>
      <c r="AL9" s="34">
        <v>49726.499999999993</v>
      </c>
      <c r="AM9" s="34">
        <v>45253.84</v>
      </c>
      <c r="AN9" s="34">
        <v>37620.36</v>
      </c>
      <c r="AO9" s="34">
        <v>32063.88</v>
      </c>
      <c r="AP9" s="34">
        <v>56742.58</v>
      </c>
      <c r="AQ9" s="34">
        <v>38931.089999999997</v>
      </c>
      <c r="AR9" s="68">
        <f t="shared" si="27"/>
        <v>1379901.4800000002</v>
      </c>
      <c r="AT9" s="39">
        <f t="shared" si="28"/>
        <v>0.17243134252016681</v>
      </c>
      <c r="AU9" s="39">
        <f t="shared" si="29"/>
        <v>0.41694690351303748</v>
      </c>
      <c r="AV9" s="39">
        <f t="shared" si="30"/>
        <v>0.51188853596469786</v>
      </c>
      <c r="AW9" s="39">
        <f t="shared" si="31"/>
        <v>0.60555553000426265</v>
      </c>
      <c r="AX9" s="39">
        <f t="shared" si="32"/>
        <v>0.71759136673889889</v>
      </c>
      <c r="AY9" s="39">
        <f t="shared" si="33"/>
        <v>0.83299760759594677</v>
      </c>
      <c r="AZ9" s="39">
        <f t="shared" si="34"/>
        <v>0.86765485196785463</v>
      </c>
      <c r="BA9" s="39">
        <f t="shared" si="35"/>
        <v>0.89691462298300828</v>
      </c>
      <c r="BB9" s="39">
        <f t="shared" si="36"/>
        <v>0.92420481517277631</v>
      </c>
      <c r="BC9" s="39">
        <f t="shared" si="37"/>
        <v>0.95005575170431389</v>
      </c>
      <c r="BD9" s="39">
        <f t="shared" si="38"/>
        <v>0.97483962366011767</v>
      </c>
      <c r="BE9" s="39">
        <f t="shared" si="39"/>
        <v>1</v>
      </c>
      <c r="BG9" s="39">
        <f t="shared" si="2"/>
        <v>0.17607132953866597</v>
      </c>
      <c r="BH9" s="39">
        <f t="shared" si="3"/>
        <v>0.43509920742006081</v>
      </c>
      <c r="BI9" s="39">
        <f t="shared" si="4"/>
        <v>0.58476165426920046</v>
      </c>
      <c r="BJ9" s="39">
        <f t="shared" si="5"/>
        <v>0.67002360156693463</v>
      </c>
      <c r="BK9" s="39">
        <f t="shared" si="6"/>
        <v>0.77325426981097023</v>
      </c>
      <c r="BL9" s="39">
        <f t="shared" si="7"/>
        <v>0.86957668859260018</v>
      </c>
      <c r="BM9" s="39">
        <f t="shared" si="8"/>
        <v>0.89440173193670525</v>
      </c>
      <c r="BN9" s="39">
        <f t="shared" si="9"/>
        <v>0.9214556451863144</v>
      </c>
      <c r="BO9" s="39">
        <f t="shared" si="10"/>
        <v>0.9406070364621788</v>
      </c>
      <c r="BP9" s="39">
        <f t="shared" si="11"/>
        <v>0.95688926075083025</v>
      </c>
      <c r="BQ9" s="39">
        <f t="shared" si="12"/>
        <v>0.97667359339059034</v>
      </c>
      <c r="BR9" s="39">
        <f t="shared" si="13"/>
        <v>1</v>
      </c>
      <c r="BS9" s="61"/>
      <c r="BT9" s="39">
        <f t="shared" si="14"/>
        <v>0.16686044861695487</v>
      </c>
      <c r="BU9" s="39">
        <f t="shared" si="15"/>
        <v>0.45749648011102934</v>
      </c>
      <c r="BV9" s="39">
        <f t="shared" si="16"/>
        <v>0.54276755323140891</v>
      </c>
      <c r="BW9" s="39">
        <f t="shared" si="17"/>
        <v>0.610855602531856</v>
      </c>
      <c r="BX9" s="39">
        <f t="shared" si="18"/>
        <v>0.7073001762415676</v>
      </c>
      <c r="BY9" s="39">
        <f t="shared" si="19"/>
        <v>0.81133562520709801</v>
      </c>
      <c r="BZ9" s="39">
        <f t="shared" si="20"/>
        <v>0.84737189353547171</v>
      </c>
      <c r="CA9" s="39">
        <f t="shared" si="21"/>
        <v>0.880166872492955</v>
      </c>
      <c r="CB9" s="39">
        <f t="shared" si="22"/>
        <v>0.90742994927434961</v>
      </c>
      <c r="CC9" s="39">
        <f t="shared" si="23"/>
        <v>0.93066630380018134</v>
      </c>
      <c r="CD9" s="39">
        <f t="shared" si="24"/>
        <v>0.97178705105816676</v>
      </c>
      <c r="CE9" s="39">
        <f t="shared" si="25"/>
        <v>1</v>
      </c>
      <c r="CG9" s="39">
        <f t="shared" si="40"/>
        <v>0.17178770689192921</v>
      </c>
      <c r="CH9" s="39">
        <f t="shared" si="26"/>
        <v>0.43651419701470923</v>
      </c>
      <c r="CI9" s="39">
        <f t="shared" si="26"/>
        <v>0.54647258115510244</v>
      </c>
      <c r="CJ9" s="39">
        <f t="shared" si="26"/>
        <v>0.62881157803435117</v>
      </c>
      <c r="CK9" s="39">
        <f t="shared" si="26"/>
        <v>0.73271527093047883</v>
      </c>
      <c r="CL9" s="39">
        <f t="shared" si="26"/>
        <v>0.83796997379854832</v>
      </c>
      <c r="CM9" s="39">
        <f t="shared" si="26"/>
        <v>0.8698094924800106</v>
      </c>
      <c r="CN9" s="39">
        <f t="shared" si="26"/>
        <v>0.89951238022075908</v>
      </c>
      <c r="CO9" s="39">
        <f t="shared" si="26"/>
        <v>0.92408060030310146</v>
      </c>
      <c r="CP9" s="39">
        <f t="shared" si="26"/>
        <v>0.94587043875177512</v>
      </c>
      <c r="CQ9" s="39">
        <f t="shared" si="26"/>
        <v>0.9744334227029583</v>
      </c>
      <c r="CR9" s="39">
        <f t="shared" si="26"/>
        <v>1</v>
      </c>
    </row>
    <row r="10" spans="1:96">
      <c r="A10" s="193" t="s">
        <v>94</v>
      </c>
      <c r="B10" s="34">
        <v>191530.26</v>
      </c>
      <c r="C10" s="34">
        <v>321038.12</v>
      </c>
      <c r="D10" s="34">
        <v>111584.81</v>
      </c>
      <c r="E10" s="34">
        <v>105676.46</v>
      </c>
      <c r="F10" s="34">
        <v>137830.31</v>
      </c>
      <c r="G10" s="34">
        <v>131155.72</v>
      </c>
      <c r="H10" s="34">
        <v>49906.8</v>
      </c>
      <c r="I10" s="34">
        <v>39244.14</v>
      </c>
      <c r="J10" s="34">
        <v>38960.089999999997</v>
      </c>
      <c r="K10" s="34">
        <v>41008.26</v>
      </c>
      <c r="L10" s="34">
        <v>28004.13</v>
      </c>
      <c r="M10" s="34">
        <v>29181.89</v>
      </c>
      <c r="N10" s="68">
        <f t="shared" si="0"/>
        <v>1225120.9899999998</v>
      </c>
      <c r="P10" s="85" t="s">
        <v>94</v>
      </c>
      <c r="Q10" s="34">
        <v>128711.7</v>
      </c>
      <c r="R10" s="34">
        <v>227208.42</v>
      </c>
      <c r="S10" s="34">
        <v>177911.2</v>
      </c>
      <c r="T10" s="34">
        <v>88379.23</v>
      </c>
      <c r="U10" s="34">
        <v>116906.83000000002</v>
      </c>
      <c r="V10" s="34">
        <v>114255.61</v>
      </c>
      <c r="W10" s="34">
        <v>32554.160000000003</v>
      </c>
      <c r="X10" s="34">
        <v>42881.67</v>
      </c>
      <c r="Y10" s="34">
        <v>31684.82</v>
      </c>
      <c r="Z10" s="34">
        <v>27976.560000000001</v>
      </c>
      <c r="AA10" s="34">
        <v>27578.22</v>
      </c>
      <c r="AB10" s="34">
        <v>28005.63</v>
      </c>
      <c r="AC10" s="68">
        <f t="shared" si="1"/>
        <v>1044054.0500000002</v>
      </c>
      <c r="AE10" s="85" t="s">
        <v>94</v>
      </c>
      <c r="AF10" s="34">
        <v>146855.85</v>
      </c>
      <c r="AG10" s="34">
        <v>277212.68</v>
      </c>
      <c r="AH10" s="34">
        <v>76819.41</v>
      </c>
      <c r="AI10" s="34">
        <v>62210.66</v>
      </c>
      <c r="AJ10" s="34">
        <v>92465.78</v>
      </c>
      <c r="AK10" s="34">
        <v>98390.97</v>
      </c>
      <c r="AL10" s="34">
        <v>27547.7</v>
      </c>
      <c r="AM10" s="34">
        <v>24966.78</v>
      </c>
      <c r="AN10" s="34">
        <v>20145.810000000001</v>
      </c>
      <c r="AO10" s="34">
        <v>22303.360000000001</v>
      </c>
      <c r="AP10" s="34">
        <v>22430.61</v>
      </c>
      <c r="AQ10" s="34">
        <v>19569.190000000002</v>
      </c>
      <c r="AR10" s="68">
        <f t="shared" si="27"/>
        <v>890918.8</v>
      </c>
      <c r="AT10" s="39">
        <f t="shared" si="28"/>
        <v>0.15633579178167542</v>
      </c>
      <c r="AU10" s="39">
        <f t="shared" si="29"/>
        <v>0.4183818448821125</v>
      </c>
      <c r="AV10" s="39">
        <f t="shared" si="30"/>
        <v>0.50946248990477261</v>
      </c>
      <c r="AW10" s="39">
        <f t="shared" si="31"/>
        <v>0.59572046839226878</v>
      </c>
      <c r="AX10" s="39">
        <f t="shared" si="32"/>
        <v>0.70822389550276188</v>
      </c>
      <c r="AY10" s="39">
        <f t="shared" si="33"/>
        <v>0.81527921581035034</v>
      </c>
      <c r="AZ10" s="39">
        <f t="shared" si="34"/>
        <v>0.8560154372997888</v>
      </c>
      <c r="BA10" s="39">
        <f t="shared" si="35"/>
        <v>0.88804830615137864</v>
      </c>
      <c r="BB10" s="39">
        <f t="shared" si="36"/>
        <v>0.91984932035161704</v>
      </c>
      <c r="BC10" s="39">
        <f t="shared" si="37"/>
        <v>0.95332214494178258</v>
      </c>
      <c r="BD10" s="39">
        <f t="shared" si="38"/>
        <v>0.97618040157813324</v>
      </c>
      <c r="BE10" s="39">
        <f t="shared" si="39"/>
        <v>1</v>
      </c>
      <c r="BG10" s="39">
        <f t="shared" si="2"/>
        <v>0.12328068647403836</v>
      </c>
      <c r="BH10" s="39">
        <f t="shared" si="3"/>
        <v>0.34090200598331089</v>
      </c>
      <c r="BI10" s="39">
        <f t="shared" si="4"/>
        <v>0.51130621063152815</v>
      </c>
      <c r="BJ10" s="39">
        <f t="shared" si="5"/>
        <v>0.59595626299232296</v>
      </c>
      <c r="BK10" s="39">
        <f t="shared" si="6"/>
        <v>0.70793018809706265</v>
      </c>
      <c r="BL10" s="39">
        <f t="shared" si="7"/>
        <v>0.81736476191055429</v>
      </c>
      <c r="BM10" s="39">
        <f t="shared" si="8"/>
        <v>0.84854529322500116</v>
      </c>
      <c r="BN10" s="39">
        <f t="shared" si="9"/>
        <v>0.88961756338189579</v>
      </c>
      <c r="BO10" s="39">
        <f t="shared" si="10"/>
        <v>0.91996543665531494</v>
      </c>
      <c r="BP10" s="39">
        <f t="shared" si="11"/>
        <v>0.94676152063200181</v>
      </c>
      <c r="BQ10" s="39">
        <f t="shared" si="12"/>
        <v>0.9731760726372356</v>
      </c>
      <c r="BR10" s="39">
        <f t="shared" si="13"/>
        <v>1</v>
      </c>
      <c r="BS10" s="61"/>
      <c r="BT10" s="39">
        <f t="shared" si="14"/>
        <v>0.16483640259920432</v>
      </c>
      <c r="BU10" s="39">
        <f t="shared" si="15"/>
        <v>0.47599010145481274</v>
      </c>
      <c r="BV10" s="39">
        <f t="shared" si="16"/>
        <v>0.56221503014640617</v>
      </c>
      <c r="BW10" s="39">
        <f t="shared" si="17"/>
        <v>0.63204256100555978</v>
      </c>
      <c r="BX10" s="39">
        <f t="shared" si="18"/>
        <v>0.73582955034734943</v>
      </c>
      <c r="BY10" s="39">
        <f t="shared" si="19"/>
        <v>0.84626719068000367</v>
      </c>
      <c r="BZ10" s="39">
        <f t="shared" si="20"/>
        <v>0.87718774146420531</v>
      </c>
      <c r="CA10" s="39">
        <f t="shared" si="21"/>
        <v>0.90521137279850872</v>
      </c>
      <c r="CB10" s="39">
        <f t="shared" si="22"/>
        <v>0.92782377024707541</v>
      </c>
      <c r="CC10" s="39">
        <f t="shared" si="23"/>
        <v>0.9528578810998265</v>
      </c>
      <c r="CD10" s="39">
        <f t="shared" si="24"/>
        <v>0.97803482202867431</v>
      </c>
      <c r="CE10" s="39">
        <f t="shared" si="25"/>
        <v>1</v>
      </c>
      <c r="CG10" s="39">
        <f t="shared" si="40"/>
        <v>0.14815096028497268</v>
      </c>
      <c r="CH10" s="39">
        <f t="shared" si="26"/>
        <v>0.41175798410674536</v>
      </c>
      <c r="CI10" s="39">
        <f t="shared" si="26"/>
        <v>0.52766124356090238</v>
      </c>
      <c r="CJ10" s="39">
        <f t="shared" si="26"/>
        <v>0.60790643079671713</v>
      </c>
      <c r="CK10" s="39">
        <f t="shared" si="26"/>
        <v>0.71732787798239128</v>
      </c>
      <c r="CL10" s="39">
        <f t="shared" si="26"/>
        <v>0.82630372280030284</v>
      </c>
      <c r="CM10" s="39">
        <f t="shared" si="26"/>
        <v>0.86058282399633168</v>
      </c>
      <c r="CN10" s="39">
        <f t="shared" si="26"/>
        <v>0.89429241411059446</v>
      </c>
      <c r="CO10" s="39">
        <f t="shared" si="26"/>
        <v>0.9225461757513358</v>
      </c>
      <c r="CP10" s="39">
        <f t="shared" si="26"/>
        <v>0.95098051555787022</v>
      </c>
      <c r="CQ10" s="39">
        <f t="shared" si="26"/>
        <v>0.97579709874801435</v>
      </c>
      <c r="CR10" s="39">
        <f t="shared" si="26"/>
        <v>1</v>
      </c>
    </row>
    <row r="11" spans="1:96">
      <c r="A11" s="193" t="s">
        <v>95</v>
      </c>
      <c r="B11" s="34">
        <v>178653.97</v>
      </c>
      <c r="C11" s="34">
        <v>250110.59</v>
      </c>
      <c r="D11" s="34">
        <v>112437.68</v>
      </c>
      <c r="E11" s="34">
        <v>126393.43</v>
      </c>
      <c r="F11" s="34">
        <v>166028.35999999999</v>
      </c>
      <c r="G11" s="34">
        <v>148830</v>
      </c>
      <c r="H11" s="34">
        <v>41626.22</v>
      </c>
      <c r="I11" s="34">
        <v>28370.87</v>
      </c>
      <c r="J11" s="34">
        <v>32837.129999999997</v>
      </c>
      <c r="K11" s="34">
        <v>35339.74</v>
      </c>
      <c r="L11" s="34">
        <v>22323.61</v>
      </c>
      <c r="M11" s="34">
        <v>33265.71</v>
      </c>
      <c r="N11" s="68">
        <f t="shared" si="0"/>
        <v>1176217.3099999998</v>
      </c>
      <c r="P11" s="85" t="s">
        <v>95</v>
      </c>
      <c r="Q11" s="34">
        <v>142031.79</v>
      </c>
      <c r="R11" s="34">
        <v>214628.73</v>
      </c>
      <c r="S11" s="34">
        <v>162946.67000000001</v>
      </c>
      <c r="T11" s="34">
        <v>105702.76</v>
      </c>
      <c r="U11" s="34">
        <v>121088.58</v>
      </c>
      <c r="V11" s="34">
        <v>125641.59</v>
      </c>
      <c r="W11" s="34">
        <v>35214.65</v>
      </c>
      <c r="X11" s="34">
        <v>33851.49</v>
      </c>
      <c r="Y11" s="34">
        <v>23829.16</v>
      </c>
      <c r="Z11" s="34">
        <v>25013.55</v>
      </c>
      <c r="AA11" s="34">
        <v>21957.25</v>
      </c>
      <c r="AB11" s="34">
        <v>26039.11</v>
      </c>
      <c r="AC11" s="68">
        <f t="shared" si="1"/>
        <v>1037945.3300000001</v>
      </c>
      <c r="AE11" s="85" t="s">
        <v>95</v>
      </c>
      <c r="AF11" s="34">
        <v>147828.78</v>
      </c>
      <c r="AG11" s="34">
        <v>259975.77000000002</v>
      </c>
      <c r="AH11" s="34">
        <v>94385.55</v>
      </c>
      <c r="AI11" s="34">
        <v>76433.960000000006</v>
      </c>
      <c r="AJ11" s="34">
        <v>107052.17</v>
      </c>
      <c r="AK11" s="34">
        <v>118597.93</v>
      </c>
      <c r="AL11" s="34">
        <v>32089.719999999998</v>
      </c>
      <c r="AM11" s="34">
        <v>35985.94</v>
      </c>
      <c r="AN11" s="34">
        <v>28888.309999999998</v>
      </c>
      <c r="AO11" s="34">
        <v>25397.64</v>
      </c>
      <c r="AP11" s="34">
        <v>25910.499999999996</v>
      </c>
      <c r="AQ11" s="34">
        <v>18188.89</v>
      </c>
      <c r="AR11" s="68">
        <f t="shared" si="27"/>
        <v>970735.16000000015</v>
      </c>
      <c r="AT11" s="39">
        <f t="shared" si="28"/>
        <v>0.15188857405949929</v>
      </c>
      <c r="AU11" s="39">
        <f t="shared" si="29"/>
        <v>0.36452835403349071</v>
      </c>
      <c r="AV11" s="39">
        <f t="shared" si="30"/>
        <v>0.4601209618314494</v>
      </c>
      <c r="AW11" s="39">
        <f t="shared" si="31"/>
        <v>0.56757851149121419</v>
      </c>
      <c r="AX11" s="39">
        <f t="shared" si="32"/>
        <v>0.70873300614832824</v>
      </c>
      <c r="AY11" s="39">
        <f t="shared" si="33"/>
        <v>0.8352657469392285</v>
      </c>
      <c r="AZ11" s="39">
        <f t="shared" si="34"/>
        <v>0.87065565290821989</v>
      </c>
      <c r="BA11" s="39">
        <f t="shared" si="35"/>
        <v>0.89477608521166896</v>
      </c>
      <c r="BB11" s="39">
        <f t="shared" si="36"/>
        <v>0.92269365598776976</v>
      </c>
      <c r="BC11" s="39">
        <f t="shared" si="37"/>
        <v>0.95273890332391042</v>
      </c>
      <c r="BD11" s="39">
        <f t="shared" si="38"/>
        <v>0.97171805777964626</v>
      </c>
      <c r="BE11" s="39">
        <f t="shared" si="39"/>
        <v>1</v>
      </c>
      <c r="BG11" s="39">
        <f t="shared" si="2"/>
        <v>0.13683937476745522</v>
      </c>
      <c r="BH11" s="39">
        <f t="shared" si="3"/>
        <v>0.34362168188569236</v>
      </c>
      <c r="BI11" s="39">
        <f t="shared" si="4"/>
        <v>0.50061132795886276</v>
      </c>
      <c r="BJ11" s="39">
        <f t="shared" si="5"/>
        <v>0.60244979376707641</v>
      </c>
      <c r="BK11" s="39">
        <f t="shared" si="6"/>
        <v>0.71911160292035803</v>
      </c>
      <c r="BL11" s="39">
        <f t="shared" si="7"/>
        <v>0.84015997258738084</v>
      </c>
      <c r="BM11" s="39">
        <f t="shared" si="8"/>
        <v>0.87408724118446579</v>
      </c>
      <c r="BN11" s="39">
        <f t="shared" si="9"/>
        <v>0.90670118434850511</v>
      </c>
      <c r="BO11" s="39">
        <f t="shared" si="10"/>
        <v>0.92965919505606331</v>
      </c>
      <c r="BP11" s="39">
        <f t="shared" si="11"/>
        <v>0.95375829669179202</v>
      </c>
      <c r="BQ11" s="39">
        <f t="shared" si="12"/>
        <v>0.97491283090989</v>
      </c>
      <c r="BR11" s="39">
        <f t="shared" si="13"/>
        <v>1</v>
      </c>
      <c r="BS11" s="61"/>
      <c r="BT11" s="39">
        <f t="shared" si="14"/>
        <v>0.15228538749951118</v>
      </c>
      <c r="BU11" s="39">
        <f t="shared" si="15"/>
        <v>0.4200986703726689</v>
      </c>
      <c r="BV11" s="39">
        <f t="shared" si="16"/>
        <v>0.51732967002039976</v>
      </c>
      <c r="BW11" s="39">
        <f t="shared" si="17"/>
        <v>0.59606789147309758</v>
      </c>
      <c r="BX11" s="39">
        <f t="shared" si="18"/>
        <v>0.70634737285090199</v>
      </c>
      <c r="BY11" s="39">
        <f t="shared" si="19"/>
        <v>0.8285206852917536</v>
      </c>
      <c r="BZ11" s="39">
        <f t="shared" si="20"/>
        <v>0.86157781696091029</v>
      </c>
      <c r="CA11" s="39">
        <f t="shared" si="21"/>
        <v>0.89864862832412495</v>
      </c>
      <c r="CB11" s="39">
        <f t="shared" si="22"/>
        <v>0.92840783679865879</v>
      </c>
      <c r="CC11" s="39">
        <f t="shared" si="23"/>
        <v>0.95457114173138635</v>
      </c>
      <c r="CD11" s="39">
        <f t="shared" si="24"/>
        <v>0.98126276790056721</v>
      </c>
      <c r="CE11" s="39">
        <f t="shared" si="25"/>
        <v>1</v>
      </c>
      <c r="CG11" s="39">
        <f t="shared" si="40"/>
        <v>0.14700444544215521</v>
      </c>
      <c r="CH11" s="39">
        <f t="shared" si="26"/>
        <v>0.37608290209728396</v>
      </c>
      <c r="CI11" s="39">
        <f t="shared" si="26"/>
        <v>0.49268731993690396</v>
      </c>
      <c r="CJ11" s="39">
        <f t="shared" si="26"/>
        <v>0.5886987322437961</v>
      </c>
      <c r="CK11" s="39">
        <f t="shared" si="26"/>
        <v>0.71139732730652938</v>
      </c>
      <c r="CL11" s="39">
        <f t="shared" si="26"/>
        <v>0.83464880160612098</v>
      </c>
      <c r="CM11" s="39">
        <f t="shared" si="26"/>
        <v>0.86877357035119862</v>
      </c>
      <c r="CN11" s="39">
        <f t="shared" si="26"/>
        <v>0.90004196596143293</v>
      </c>
      <c r="CO11" s="39">
        <f t="shared" si="26"/>
        <v>0.92692022928083062</v>
      </c>
      <c r="CP11" s="39">
        <f t="shared" si="26"/>
        <v>0.9536894472490296</v>
      </c>
      <c r="CQ11" s="39">
        <f t="shared" si="26"/>
        <v>0.97596455219670109</v>
      </c>
      <c r="CR11" s="39">
        <f t="shared" si="26"/>
        <v>1</v>
      </c>
    </row>
    <row r="12" spans="1:96">
      <c r="A12" s="193" t="s">
        <v>96</v>
      </c>
      <c r="B12" s="34">
        <v>57795.06</v>
      </c>
      <c r="C12" s="34">
        <v>77073.929999999993</v>
      </c>
      <c r="D12" s="34">
        <v>35948.61</v>
      </c>
      <c r="E12" s="34">
        <v>40321.08</v>
      </c>
      <c r="F12" s="34">
        <v>45577.72</v>
      </c>
      <c r="G12" s="34">
        <v>38977.199999999997</v>
      </c>
      <c r="H12" s="34">
        <v>20869.73</v>
      </c>
      <c r="I12" s="34">
        <v>16280.63</v>
      </c>
      <c r="J12" s="34">
        <v>16237.73</v>
      </c>
      <c r="K12" s="34">
        <v>18698.650000000001</v>
      </c>
      <c r="L12" s="34">
        <v>10251.01</v>
      </c>
      <c r="M12" s="34">
        <v>14382.13</v>
      </c>
      <c r="N12" s="68">
        <f t="shared" si="0"/>
        <v>392413.48</v>
      </c>
      <c r="P12" s="85" t="s">
        <v>96</v>
      </c>
      <c r="Q12" s="34">
        <v>46372.91</v>
      </c>
      <c r="R12" s="34">
        <v>60525.01</v>
      </c>
      <c r="S12" s="34">
        <v>55267.74</v>
      </c>
      <c r="T12" s="34">
        <v>40474.879999999997</v>
      </c>
      <c r="U12" s="34">
        <v>37072.35</v>
      </c>
      <c r="V12" s="34">
        <v>33471.82</v>
      </c>
      <c r="W12" s="34">
        <v>14016.180000000002</v>
      </c>
      <c r="X12" s="34">
        <v>14821.72</v>
      </c>
      <c r="Y12" s="34">
        <v>11983.34</v>
      </c>
      <c r="Z12" s="34">
        <v>9782.92</v>
      </c>
      <c r="AA12" s="34">
        <v>10078.370000000001</v>
      </c>
      <c r="AB12" s="34">
        <v>10378.02</v>
      </c>
      <c r="AC12" s="68">
        <f t="shared" si="1"/>
        <v>344245.26</v>
      </c>
      <c r="AE12" s="85" t="s">
        <v>96</v>
      </c>
      <c r="AF12" s="34">
        <v>56932.770000000004</v>
      </c>
      <c r="AG12" s="34">
        <v>75406.58</v>
      </c>
      <c r="AH12" s="34">
        <v>31677.31</v>
      </c>
      <c r="AI12" s="34">
        <v>24151.489999999998</v>
      </c>
      <c r="AJ12" s="34">
        <v>36961.43</v>
      </c>
      <c r="AK12" s="34">
        <v>33836.350000000006</v>
      </c>
      <c r="AL12" s="34">
        <v>12761.65</v>
      </c>
      <c r="AM12" s="34">
        <v>14859.25</v>
      </c>
      <c r="AN12" s="34">
        <v>9314.18</v>
      </c>
      <c r="AO12" s="34">
        <v>7967.03</v>
      </c>
      <c r="AP12" s="34">
        <v>13187.57</v>
      </c>
      <c r="AQ12" s="34">
        <v>5661.15</v>
      </c>
      <c r="AR12" s="68">
        <f t="shared" si="27"/>
        <v>322716.76000000007</v>
      </c>
      <c r="AT12" s="39">
        <f t="shared" si="28"/>
        <v>0.14728102612580996</v>
      </c>
      <c r="AU12" s="39">
        <f t="shared" si="29"/>
        <v>0.34369102203114937</v>
      </c>
      <c r="AV12" s="39">
        <f t="shared" si="30"/>
        <v>0.43530003097752906</v>
      </c>
      <c r="AW12" s="39">
        <f t="shared" si="31"/>
        <v>0.53805154705694613</v>
      </c>
      <c r="AX12" s="39">
        <f t="shared" si="32"/>
        <v>0.65419872936067336</v>
      </c>
      <c r="AY12" s="39">
        <f t="shared" si="33"/>
        <v>0.75352559244396999</v>
      </c>
      <c r="AZ12" s="39">
        <f t="shared" si="34"/>
        <v>0.80670860236503594</v>
      </c>
      <c r="BA12" s="39">
        <f t="shared" si="35"/>
        <v>0.84819705989712679</v>
      </c>
      <c r="BB12" s="39">
        <f t="shared" si="36"/>
        <v>0.88957619396764853</v>
      </c>
      <c r="BC12" s="39">
        <f t="shared" si="37"/>
        <v>0.93722657030028633</v>
      </c>
      <c r="BD12" s="39">
        <f t="shared" si="38"/>
        <v>0.96334955160052094</v>
      </c>
      <c r="BE12" s="39">
        <f t="shared" si="39"/>
        <v>1</v>
      </c>
      <c r="BG12" s="39">
        <f t="shared" si="2"/>
        <v>0.13470892816360058</v>
      </c>
      <c r="BH12" s="39">
        <f t="shared" si="3"/>
        <v>0.31052837154533375</v>
      </c>
      <c r="BI12" s="39">
        <f t="shared" si="4"/>
        <v>0.47107594161209365</v>
      </c>
      <c r="BJ12" s="39">
        <f t="shared" si="5"/>
        <v>0.58865164911784118</v>
      </c>
      <c r="BK12" s="39">
        <f t="shared" si="6"/>
        <v>0.69634332800980325</v>
      </c>
      <c r="BL12" s="39">
        <f t="shared" si="7"/>
        <v>0.79357580696971697</v>
      </c>
      <c r="BM12" s="39">
        <f t="shared" si="8"/>
        <v>0.83429148741220138</v>
      </c>
      <c r="BN12" s="39">
        <f t="shared" si="9"/>
        <v>0.87734718555020907</v>
      </c>
      <c r="BO12" s="39">
        <f t="shared" si="10"/>
        <v>0.91215765759563405</v>
      </c>
      <c r="BP12" s="39">
        <f t="shared" si="11"/>
        <v>0.9405761171555419</v>
      </c>
      <c r="BQ12" s="39">
        <f t="shared" si="12"/>
        <v>0.96985283108909037</v>
      </c>
      <c r="BR12" s="39">
        <f t="shared" si="13"/>
        <v>1</v>
      </c>
      <c r="BS12" s="61"/>
      <c r="BT12" s="39">
        <f t="shared" si="14"/>
        <v>0.17641714672643588</v>
      </c>
      <c r="BU12" s="39">
        <f t="shared" si="15"/>
        <v>0.41007894972668907</v>
      </c>
      <c r="BV12" s="39">
        <f t="shared" si="16"/>
        <v>0.50823719226729958</v>
      </c>
      <c r="BW12" s="39">
        <f t="shared" si="17"/>
        <v>0.58307523290702334</v>
      </c>
      <c r="BX12" s="39">
        <f t="shared" si="18"/>
        <v>0.69760733839791877</v>
      </c>
      <c r="BY12" s="39">
        <f t="shared" si="19"/>
        <v>0.80245578196806366</v>
      </c>
      <c r="BZ12" s="39">
        <f t="shared" si="20"/>
        <v>0.84200021095898447</v>
      </c>
      <c r="CA12" s="39">
        <f t="shared" si="21"/>
        <v>0.88804445731296988</v>
      </c>
      <c r="CB12" s="39">
        <f t="shared" si="22"/>
        <v>0.91690623691189743</v>
      </c>
      <c r="CC12" s="39">
        <f t="shared" si="23"/>
        <v>0.9415936129254644</v>
      </c>
      <c r="CD12" s="39">
        <f t="shared" si="24"/>
        <v>0.98245783702092193</v>
      </c>
      <c r="CE12" s="39">
        <f t="shared" si="25"/>
        <v>1</v>
      </c>
      <c r="CG12" s="39">
        <f t="shared" si="40"/>
        <v>0.15280236700528213</v>
      </c>
      <c r="CH12" s="39">
        <f t="shared" si="26"/>
        <v>0.35476611443439071</v>
      </c>
      <c r="CI12" s="39">
        <f t="shared" si="26"/>
        <v>0.47153772161897417</v>
      </c>
      <c r="CJ12" s="39">
        <f t="shared" si="26"/>
        <v>0.56992614302727018</v>
      </c>
      <c r="CK12" s="39">
        <f t="shared" si="26"/>
        <v>0.68271646525613183</v>
      </c>
      <c r="CL12" s="39">
        <f t="shared" si="26"/>
        <v>0.78318572712725032</v>
      </c>
      <c r="CM12" s="39">
        <f t="shared" si="26"/>
        <v>0.82766676691207397</v>
      </c>
      <c r="CN12" s="39">
        <f t="shared" si="26"/>
        <v>0.87119623425343529</v>
      </c>
      <c r="CO12" s="39">
        <f t="shared" si="26"/>
        <v>0.90621336282505993</v>
      </c>
      <c r="CP12" s="39">
        <f t="shared" si="26"/>
        <v>0.93979876679376417</v>
      </c>
      <c r="CQ12" s="39">
        <f t="shared" si="26"/>
        <v>0.97188673990351104</v>
      </c>
      <c r="CR12" s="39">
        <f t="shared" si="26"/>
        <v>1</v>
      </c>
    </row>
    <row r="13" spans="1:96">
      <c r="A13" s="193" t="s">
        <v>97</v>
      </c>
      <c r="B13" s="34">
        <v>120205.53</v>
      </c>
      <c r="C13" s="34">
        <v>161539.23000000001</v>
      </c>
      <c r="D13" s="34">
        <v>85832.68</v>
      </c>
      <c r="E13" s="34">
        <v>92517.72</v>
      </c>
      <c r="F13" s="34">
        <v>122168.44</v>
      </c>
      <c r="G13" s="34">
        <v>102041.22</v>
      </c>
      <c r="H13" s="34">
        <v>34233.440000000002</v>
      </c>
      <c r="I13" s="34">
        <v>29786.2</v>
      </c>
      <c r="J13" s="34">
        <v>27154.84</v>
      </c>
      <c r="K13" s="34">
        <v>28265.72</v>
      </c>
      <c r="L13" s="34">
        <v>23176.240000000002</v>
      </c>
      <c r="M13" s="34">
        <v>22871.65</v>
      </c>
      <c r="N13" s="68">
        <f t="shared" si="0"/>
        <v>849792.90999999992</v>
      </c>
      <c r="P13" s="85" t="s">
        <v>97</v>
      </c>
      <c r="Q13" s="34">
        <v>97815.87</v>
      </c>
      <c r="R13" s="34">
        <v>135847.39000000001</v>
      </c>
      <c r="S13" s="34">
        <v>121941.64</v>
      </c>
      <c r="T13" s="34">
        <v>87592.06</v>
      </c>
      <c r="U13" s="34">
        <v>100983.69</v>
      </c>
      <c r="V13" s="34">
        <v>94138.38</v>
      </c>
      <c r="W13" s="34">
        <v>24931.07</v>
      </c>
      <c r="X13" s="34">
        <v>23678.240000000002</v>
      </c>
      <c r="Y13" s="34">
        <v>15299.07</v>
      </c>
      <c r="Z13" s="34">
        <v>19846.57</v>
      </c>
      <c r="AA13" s="34">
        <v>19815.48</v>
      </c>
      <c r="AB13" s="34">
        <v>17279.61</v>
      </c>
      <c r="AC13" s="68">
        <f t="shared" si="1"/>
        <v>759169.06999999983</v>
      </c>
      <c r="AE13" s="85" t="s">
        <v>97</v>
      </c>
      <c r="AF13" s="34">
        <v>108475.31</v>
      </c>
      <c r="AG13" s="34">
        <v>160612.20000000001</v>
      </c>
      <c r="AH13" s="34">
        <v>73493.789999999994</v>
      </c>
      <c r="AI13" s="34">
        <v>49631.31</v>
      </c>
      <c r="AJ13" s="34">
        <v>89424.89</v>
      </c>
      <c r="AK13" s="34">
        <v>70780.42</v>
      </c>
      <c r="AL13" s="34">
        <v>27156.46</v>
      </c>
      <c r="AM13" s="34">
        <v>23073.05</v>
      </c>
      <c r="AN13" s="34">
        <v>16484.73</v>
      </c>
      <c r="AO13" s="34">
        <v>21985.03</v>
      </c>
      <c r="AP13" s="34">
        <v>28962.92</v>
      </c>
      <c r="AQ13" s="34">
        <v>15326.4</v>
      </c>
      <c r="AR13" s="68">
        <f t="shared" si="27"/>
        <v>685406.51000000013</v>
      </c>
      <c r="AT13" s="39">
        <f t="shared" si="28"/>
        <v>0.14145273346655718</v>
      </c>
      <c r="AU13" s="39">
        <f t="shared" si="29"/>
        <v>0.33154519964163981</v>
      </c>
      <c r="AV13" s="39">
        <f t="shared" si="30"/>
        <v>0.43254943136675505</v>
      </c>
      <c r="AW13" s="39">
        <f t="shared" si="31"/>
        <v>0.54142033263139377</v>
      </c>
      <c r="AX13" s="39">
        <f t="shared" si="32"/>
        <v>0.68518293474583136</v>
      </c>
      <c r="AY13" s="39">
        <f t="shared" si="33"/>
        <v>0.80526068404124496</v>
      </c>
      <c r="AZ13" s="39">
        <f t="shared" si="34"/>
        <v>0.84554513404918863</v>
      </c>
      <c r="BA13" s="39">
        <f t="shared" si="35"/>
        <v>0.88059626197634433</v>
      </c>
      <c r="BB13" s="39">
        <f t="shared" si="36"/>
        <v>0.91255091784656095</v>
      </c>
      <c r="BC13" s="39">
        <f t="shared" si="37"/>
        <v>0.94581280985269689</v>
      </c>
      <c r="BD13" s="39">
        <f t="shared" si="38"/>
        <v>0.97308561917750047</v>
      </c>
      <c r="BE13" s="39">
        <f t="shared" si="39"/>
        <v>1</v>
      </c>
      <c r="BG13" s="39">
        <f t="shared" si="2"/>
        <v>0.12884596312650096</v>
      </c>
      <c r="BH13" s="39">
        <f t="shared" si="3"/>
        <v>0.30778817161241839</v>
      </c>
      <c r="BI13" s="39">
        <f t="shared" si="4"/>
        <v>0.46841331404610581</v>
      </c>
      <c r="BJ13" s="39">
        <f t="shared" si="5"/>
        <v>0.58379217161731856</v>
      </c>
      <c r="BK13" s="39">
        <f t="shared" si="6"/>
        <v>0.71681088113876945</v>
      </c>
      <c r="BL13" s="39">
        <f t="shared" si="7"/>
        <v>0.84081274544022211</v>
      </c>
      <c r="BM13" s="39">
        <f t="shared" si="8"/>
        <v>0.87365268977567823</v>
      </c>
      <c r="BN13" s="39">
        <f t="shared" si="9"/>
        <v>0.90484236930253248</v>
      </c>
      <c r="BO13" s="39">
        <f t="shared" si="10"/>
        <v>0.92499475775534434</v>
      </c>
      <c r="BP13" s="39">
        <f t="shared" si="11"/>
        <v>0.95113724799141253</v>
      </c>
      <c r="BQ13" s="39">
        <f t="shared" si="12"/>
        <v>0.97723878555800492</v>
      </c>
      <c r="BR13" s="39">
        <f t="shared" si="13"/>
        <v>1</v>
      </c>
      <c r="BS13" s="61"/>
      <c r="BT13" s="39">
        <f t="shared" si="14"/>
        <v>0.15826419565229979</v>
      </c>
      <c r="BU13" s="39">
        <f t="shared" si="15"/>
        <v>0.39259549781632502</v>
      </c>
      <c r="BV13" s="39">
        <f t="shared" si="16"/>
        <v>0.49982206909590038</v>
      </c>
      <c r="BW13" s="39">
        <f t="shared" si="17"/>
        <v>0.5722335639910977</v>
      </c>
      <c r="BX13" s="39">
        <f t="shared" si="18"/>
        <v>0.70270342194444568</v>
      </c>
      <c r="BY13" s="39">
        <f t="shared" si="19"/>
        <v>0.8059712184525355</v>
      </c>
      <c r="BZ13" s="39">
        <f t="shared" si="20"/>
        <v>0.84559217273848175</v>
      </c>
      <c r="CA13" s="39">
        <f t="shared" si="21"/>
        <v>0.87925548007998922</v>
      </c>
      <c r="CB13" s="39">
        <f t="shared" si="22"/>
        <v>0.90330650638261356</v>
      </c>
      <c r="CC13" s="39">
        <f t="shared" si="23"/>
        <v>0.93538240539909656</v>
      </c>
      <c r="CD13" s="39">
        <f t="shared" si="24"/>
        <v>0.97763896348168622</v>
      </c>
      <c r="CE13" s="39">
        <f t="shared" si="25"/>
        <v>1</v>
      </c>
      <c r="CG13" s="39">
        <f t="shared" si="40"/>
        <v>0.14285429741511932</v>
      </c>
      <c r="CH13" s="39">
        <f t="shared" si="26"/>
        <v>0.34397628969012772</v>
      </c>
      <c r="CI13" s="39">
        <f t="shared" si="26"/>
        <v>0.46692827150292038</v>
      </c>
      <c r="CJ13" s="39">
        <f t="shared" si="26"/>
        <v>0.56581535607993672</v>
      </c>
      <c r="CK13" s="39">
        <f t="shared" si="26"/>
        <v>0.70156574594301546</v>
      </c>
      <c r="CL13" s="39">
        <f t="shared" si="26"/>
        <v>0.81734821597800089</v>
      </c>
      <c r="CM13" s="39">
        <f t="shared" si="26"/>
        <v>0.85492999885444954</v>
      </c>
      <c r="CN13" s="39">
        <f t="shared" si="26"/>
        <v>0.8882313704529553</v>
      </c>
      <c r="CO13" s="39">
        <f t="shared" si="26"/>
        <v>0.91361739399483965</v>
      </c>
      <c r="CP13" s="39">
        <f t="shared" si="26"/>
        <v>0.9441108210810687</v>
      </c>
      <c r="CQ13" s="39">
        <f t="shared" si="26"/>
        <v>0.9759877894057305</v>
      </c>
      <c r="CR13" s="39">
        <f t="shared" si="26"/>
        <v>1</v>
      </c>
    </row>
    <row r="14" spans="1:96">
      <c r="A14" s="193" t="s">
        <v>98</v>
      </c>
      <c r="B14" s="34">
        <v>171469.77</v>
      </c>
      <c r="C14" s="34">
        <v>157480.28</v>
      </c>
      <c r="D14" s="34">
        <v>59460.04</v>
      </c>
      <c r="E14" s="34">
        <v>78083.929999999993</v>
      </c>
      <c r="F14" s="34">
        <v>105843.45</v>
      </c>
      <c r="G14" s="34">
        <v>70009.34</v>
      </c>
      <c r="H14" s="34">
        <v>31302.19</v>
      </c>
      <c r="I14" s="34">
        <v>22306.55</v>
      </c>
      <c r="J14" s="34">
        <v>16462.009999999998</v>
      </c>
      <c r="K14" s="34">
        <v>22710.06</v>
      </c>
      <c r="L14" s="34">
        <v>15086.43</v>
      </c>
      <c r="M14" s="34">
        <v>20690.29</v>
      </c>
      <c r="N14" s="68">
        <f t="shared" si="0"/>
        <v>770904.34000000008</v>
      </c>
      <c r="P14" s="85" t="s">
        <v>98</v>
      </c>
      <c r="Q14" s="34">
        <v>153732.75</v>
      </c>
      <c r="R14" s="34">
        <v>146671.82999999999</v>
      </c>
      <c r="S14" s="34">
        <v>102644.02</v>
      </c>
      <c r="T14" s="34">
        <v>77217.279999999999</v>
      </c>
      <c r="U14" s="34">
        <v>83020.259999999995</v>
      </c>
      <c r="V14" s="34">
        <v>75046.7</v>
      </c>
      <c r="W14" s="34">
        <v>25774.520000000004</v>
      </c>
      <c r="X14" s="34">
        <v>23449.22</v>
      </c>
      <c r="Y14" s="34">
        <v>22866.62</v>
      </c>
      <c r="Z14" s="34">
        <v>21602.38</v>
      </c>
      <c r="AA14" s="34">
        <v>15312.72</v>
      </c>
      <c r="AB14" s="34">
        <v>21486.77</v>
      </c>
      <c r="AC14" s="68">
        <f t="shared" si="1"/>
        <v>768825.07</v>
      </c>
      <c r="AE14" s="85" t="s">
        <v>98</v>
      </c>
      <c r="AF14" s="34">
        <v>162745.49</v>
      </c>
      <c r="AG14" s="34">
        <v>173986.86000000002</v>
      </c>
      <c r="AH14" s="34">
        <v>61337.68</v>
      </c>
      <c r="AI14" s="34">
        <v>50755.63</v>
      </c>
      <c r="AJ14" s="34">
        <v>84872.83</v>
      </c>
      <c r="AK14" s="34">
        <v>78312.14</v>
      </c>
      <c r="AL14" s="34">
        <v>24177.56</v>
      </c>
      <c r="AM14" s="34">
        <v>29594.14</v>
      </c>
      <c r="AN14" s="34">
        <v>21198.22</v>
      </c>
      <c r="AO14" s="34">
        <v>21389</v>
      </c>
      <c r="AP14" s="34">
        <v>19431.219999999998</v>
      </c>
      <c r="AQ14" s="34">
        <v>15816.61</v>
      </c>
      <c r="AR14" s="68">
        <f t="shared" si="27"/>
        <v>743617.38</v>
      </c>
      <c r="AT14" s="39">
        <f t="shared" si="28"/>
        <v>0.22242677995560378</v>
      </c>
      <c r="AU14" s="39">
        <f t="shared" si="29"/>
        <v>0.42670670397315436</v>
      </c>
      <c r="AV14" s="39">
        <f t="shared" si="30"/>
        <v>0.50383694817439983</v>
      </c>
      <c r="AW14" s="39">
        <f t="shared" si="31"/>
        <v>0.60512568913543785</v>
      </c>
      <c r="AX14" s="39">
        <f t="shared" si="32"/>
        <v>0.74242346333139064</v>
      </c>
      <c r="AY14" s="39">
        <f t="shared" si="33"/>
        <v>0.83323802535603819</v>
      </c>
      <c r="AZ14" s="39">
        <f t="shared" si="34"/>
        <v>0.87384253148711011</v>
      </c>
      <c r="BA14" s="39">
        <f t="shared" si="35"/>
        <v>0.90277809306404977</v>
      </c>
      <c r="BB14" s="39">
        <f t="shared" si="36"/>
        <v>0.92413224706972052</v>
      </c>
      <c r="BC14" s="39">
        <f t="shared" si="37"/>
        <v>0.95359123286295144</v>
      </c>
      <c r="BD14" s="39">
        <f t="shared" si="38"/>
        <v>0.97316101502295338</v>
      </c>
      <c r="BE14" s="39">
        <f t="shared" si="39"/>
        <v>1</v>
      </c>
      <c r="BG14" s="39">
        <f t="shared" si="2"/>
        <v>0.19995803466710577</v>
      </c>
      <c r="BH14" s="39">
        <f t="shared" si="3"/>
        <v>0.39073202958899345</v>
      </c>
      <c r="BI14" s="39">
        <f t="shared" si="4"/>
        <v>0.52423966871943961</v>
      </c>
      <c r="BJ14" s="39">
        <f t="shared" si="5"/>
        <v>0.62467510327154141</v>
      </c>
      <c r="BK14" s="39">
        <f t="shared" si="6"/>
        <v>0.73265839263019872</v>
      </c>
      <c r="BL14" s="39">
        <f t="shared" si="7"/>
        <v>0.83027058417853106</v>
      </c>
      <c r="BM14" s="39">
        <f t="shared" si="8"/>
        <v>0.86379514133169466</v>
      </c>
      <c r="BN14" s="39">
        <f t="shared" si="9"/>
        <v>0.89429521334417461</v>
      </c>
      <c r="BO14" s="39">
        <f t="shared" si="10"/>
        <v>0.92403750569684207</v>
      </c>
      <c r="BP14" s="39">
        <f t="shared" si="11"/>
        <v>0.95213541878908814</v>
      </c>
      <c r="BQ14" s="39">
        <f t="shared" si="12"/>
        <v>0.97205245921546235</v>
      </c>
      <c r="BR14" s="39">
        <f t="shared" si="13"/>
        <v>1</v>
      </c>
      <c r="BS14" s="61"/>
      <c r="BT14" s="39">
        <f t="shared" si="14"/>
        <v>0.2188564904171551</v>
      </c>
      <c r="BU14" s="39">
        <f t="shared" si="15"/>
        <v>0.45283012347021795</v>
      </c>
      <c r="BV14" s="39">
        <f t="shared" si="16"/>
        <v>0.5353156619335605</v>
      </c>
      <c r="BW14" s="39">
        <f t="shared" si="17"/>
        <v>0.60357069653213324</v>
      </c>
      <c r="BX14" s="39">
        <f t="shared" si="18"/>
        <v>0.71770577766754184</v>
      </c>
      <c r="BY14" s="39">
        <f t="shared" si="19"/>
        <v>0.82301818981153996</v>
      </c>
      <c r="BZ14" s="39">
        <f t="shared" si="20"/>
        <v>0.85553163106542784</v>
      </c>
      <c r="CA14" s="39">
        <f t="shared" si="21"/>
        <v>0.89532916780401239</v>
      </c>
      <c r="CB14" s="39">
        <f t="shared" si="22"/>
        <v>0.92383605934546609</v>
      </c>
      <c r="CC14" s="39">
        <f t="shared" si="23"/>
        <v>0.95259950755857814</v>
      </c>
      <c r="CD14" s="39">
        <f t="shared" si="24"/>
        <v>0.9787301770703638</v>
      </c>
      <c r="CE14" s="39">
        <f t="shared" si="25"/>
        <v>1</v>
      </c>
      <c r="CG14" s="39">
        <f t="shared" si="40"/>
        <v>0.21374710167995489</v>
      </c>
      <c r="CH14" s="39">
        <f t="shared" si="26"/>
        <v>0.42342295234412192</v>
      </c>
      <c r="CI14" s="39">
        <f t="shared" si="26"/>
        <v>0.52113075960913335</v>
      </c>
      <c r="CJ14" s="39">
        <f t="shared" si="26"/>
        <v>0.6111238296463708</v>
      </c>
      <c r="CK14" s="39">
        <f t="shared" si="26"/>
        <v>0.73092921120971044</v>
      </c>
      <c r="CL14" s="39">
        <f t="shared" si="26"/>
        <v>0.82884226644870307</v>
      </c>
      <c r="CM14" s="39">
        <f t="shared" si="26"/>
        <v>0.86438976796141087</v>
      </c>
      <c r="CN14" s="39">
        <f t="shared" si="26"/>
        <v>0.89746749140407889</v>
      </c>
      <c r="CO14" s="39">
        <f t="shared" si="26"/>
        <v>0.92400193737067626</v>
      </c>
      <c r="CP14" s="39">
        <f t="shared" si="26"/>
        <v>0.9527753864035392</v>
      </c>
      <c r="CQ14" s="39">
        <f t="shared" si="26"/>
        <v>0.97464788376959322</v>
      </c>
      <c r="CR14" s="39">
        <f t="shared" si="26"/>
        <v>1</v>
      </c>
    </row>
    <row r="15" spans="1:96">
      <c r="A15" s="193" t="s">
        <v>99</v>
      </c>
      <c r="B15" s="34">
        <v>954378.22</v>
      </c>
      <c r="C15" s="34">
        <v>844382.19</v>
      </c>
      <c r="D15" s="34">
        <v>330171.69</v>
      </c>
      <c r="E15" s="34">
        <v>379867.54</v>
      </c>
      <c r="F15" s="34">
        <v>532520.91</v>
      </c>
      <c r="G15" s="34">
        <v>422430.77</v>
      </c>
      <c r="H15" s="34">
        <v>162062.07999999999</v>
      </c>
      <c r="I15" s="34">
        <v>110329.01</v>
      </c>
      <c r="J15" s="34">
        <v>116651.96</v>
      </c>
      <c r="K15" s="34">
        <v>124063.81</v>
      </c>
      <c r="L15" s="34">
        <v>115847.85</v>
      </c>
      <c r="M15" s="34">
        <v>138240.76</v>
      </c>
      <c r="N15" s="68">
        <f t="shared" si="0"/>
        <v>4230946.79</v>
      </c>
      <c r="P15" s="85" t="s">
        <v>99</v>
      </c>
      <c r="Q15" s="34">
        <v>815124.91</v>
      </c>
      <c r="R15" s="34">
        <v>769429.77</v>
      </c>
      <c r="S15" s="34">
        <v>537283.21</v>
      </c>
      <c r="T15" s="34">
        <v>324833.07</v>
      </c>
      <c r="U15" s="34">
        <v>378592.45</v>
      </c>
      <c r="V15" s="34">
        <v>350469.62</v>
      </c>
      <c r="W15" s="34">
        <v>107236.02</v>
      </c>
      <c r="X15" s="34">
        <v>110792.37</v>
      </c>
      <c r="Y15" s="34">
        <v>83284.19</v>
      </c>
      <c r="Z15" s="34">
        <v>88467.79</v>
      </c>
      <c r="AA15" s="34">
        <v>70077.22</v>
      </c>
      <c r="AB15" s="34">
        <v>64868.160000000003</v>
      </c>
      <c r="AC15" s="68">
        <f t="shared" si="1"/>
        <v>3700458.7800000007</v>
      </c>
      <c r="AE15" s="85" t="s">
        <v>99</v>
      </c>
      <c r="AF15" s="34">
        <v>1566407</v>
      </c>
      <c r="AG15" s="34">
        <v>335006</v>
      </c>
      <c r="AH15" s="34">
        <v>377882.64999999997</v>
      </c>
      <c r="AI15" s="34">
        <v>124804.32</v>
      </c>
      <c r="AJ15" s="34">
        <v>516642.49</v>
      </c>
      <c r="AK15" s="34">
        <v>156064.23000000001</v>
      </c>
      <c r="AL15" s="34">
        <v>71107.25</v>
      </c>
      <c r="AM15" s="34">
        <v>89041.83</v>
      </c>
      <c r="AN15" s="34">
        <v>74310.75</v>
      </c>
      <c r="AO15" s="34">
        <v>76522.34</v>
      </c>
      <c r="AP15" s="34">
        <v>89227.180000000008</v>
      </c>
      <c r="AQ15" s="34">
        <v>65480.630000000005</v>
      </c>
      <c r="AR15" s="68">
        <f t="shared" si="27"/>
        <v>3542496.67</v>
      </c>
      <c r="AT15" s="39">
        <f t="shared" si="28"/>
        <v>0.22557083966541683</v>
      </c>
      <c r="AU15" s="39">
        <f t="shared" si="29"/>
        <v>0.42514370879147828</v>
      </c>
      <c r="AV15" s="39">
        <f t="shared" si="30"/>
        <v>0.50318101495197487</v>
      </c>
      <c r="AW15" s="39">
        <f t="shared" si="31"/>
        <v>0.59296411997655973</v>
      </c>
      <c r="AX15" s="39">
        <f t="shared" si="32"/>
        <v>0.71882741640435521</v>
      </c>
      <c r="AY15" s="39">
        <f t="shared" si="33"/>
        <v>0.81867049904449407</v>
      </c>
      <c r="AZ15" s="39">
        <f t="shared" si="34"/>
        <v>0.85697447402783344</v>
      </c>
      <c r="BA15" s="39">
        <f t="shared" si="35"/>
        <v>0.88305114562785603</v>
      </c>
      <c r="BB15" s="39">
        <f t="shared" si="36"/>
        <v>0.91062226996241669</v>
      </c>
      <c r="BC15" s="39">
        <f t="shared" si="37"/>
        <v>0.93994521259389319</v>
      </c>
      <c r="BD15" s="39">
        <f t="shared" si="38"/>
        <v>0.96732628254112363</v>
      </c>
      <c r="BE15" s="39">
        <f t="shared" si="39"/>
        <v>1</v>
      </c>
      <c r="BG15" s="39">
        <f t="shared" si="2"/>
        <v>0.22027671660755532</v>
      </c>
      <c r="BH15" s="39">
        <f t="shared" si="3"/>
        <v>0.42820492652535369</v>
      </c>
      <c r="BI15" s="39">
        <f t="shared" si="4"/>
        <v>0.5733986016728444</v>
      </c>
      <c r="BJ15" s="39">
        <f t="shared" si="5"/>
        <v>0.66118043882115596</v>
      </c>
      <c r="BK15" s="39">
        <f t="shared" si="6"/>
        <v>0.76349003676781924</v>
      </c>
      <c r="BL15" s="39">
        <f t="shared" si="7"/>
        <v>0.85819981218653096</v>
      </c>
      <c r="BM15" s="39">
        <f t="shared" si="8"/>
        <v>0.88717892704104107</v>
      </c>
      <c r="BN15" s="39">
        <f t="shared" si="9"/>
        <v>0.91711909840541439</v>
      </c>
      <c r="BO15" s="39">
        <f t="shared" si="10"/>
        <v>0.93962554826782851</v>
      </c>
      <c r="BP15" s="39">
        <f t="shared" si="11"/>
        <v>0.96353279741167652</v>
      </c>
      <c r="BQ15" s="39">
        <f t="shared" si="12"/>
        <v>0.98247023846054027</v>
      </c>
      <c r="BR15" s="39">
        <f t="shared" si="13"/>
        <v>1</v>
      </c>
      <c r="BS15" s="61"/>
      <c r="BT15" s="39">
        <f t="shared" si="14"/>
        <v>0.44217599786762823</v>
      </c>
      <c r="BU15" s="39">
        <f t="shared" si="15"/>
        <v>0.53674376495603027</v>
      </c>
      <c r="BV15" s="39">
        <f t="shared" si="16"/>
        <v>0.64341504377476233</v>
      </c>
      <c r="BW15" s="39">
        <f t="shared" si="17"/>
        <v>0.6786456541679684</v>
      </c>
      <c r="BX15" s="39">
        <f t="shared" si="18"/>
        <v>0.82448700227006844</v>
      </c>
      <c r="BY15" s="39">
        <f t="shared" si="19"/>
        <v>0.86854187219320655</v>
      </c>
      <c r="BZ15" s="39">
        <f t="shared" si="20"/>
        <v>0.88861450926924934</v>
      </c>
      <c r="CA15" s="39">
        <f t="shared" si="21"/>
        <v>0.91374984129484027</v>
      </c>
      <c r="CB15" s="39">
        <f t="shared" si="22"/>
        <v>0.93472678409038568</v>
      </c>
      <c r="CC15" s="39">
        <f t="shared" si="23"/>
        <v>0.95632802951936158</v>
      </c>
      <c r="CD15" s="39">
        <f t="shared" si="24"/>
        <v>0.98151568340076945</v>
      </c>
      <c r="CE15" s="39">
        <f t="shared" si="25"/>
        <v>1</v>
      </c>
      <c r="CG15" s="39">
        <f t="shared" si="40"/>
        <v>0.29600785138020008</v>
      </c>
      <c r="CH15" s="39">
        <f t="shared" si="26"/>
        <v>0.46336413342428745</v>
      </c>
      <c r="CI15" s="39">
        <f t="shared" si="26"/>
        <v>0.5733315534665272</v>
      </c>
      <c r="CJ15" s="39">
        <f t="shared" si="26"/>
        <v>0.64426340432189477</v>
      </c>
      <c r="CK15" s="39">
        <f t="shared" si="26"/>
        <v>0.76893481848074774</v>
      </c>
      <c r="CL15" s="39">
        <f t="shared" si="26"/>
        <v>0.8484707278080772</v>
      </c>
      <c r="CM15" s="39">
        <f t="shared" si="26"/>
        <v>0.87758930344604125</v>
      </c>
      <c r="CN15" s="39">
        <f t="shared" si="26"/>
        <v>0.90464002844270353</v>
      </c>
      <c r="CO15" s="39">
        <f t="shared" si="26"/>
        <v>0.92832486744021026</v>
      </c>
      <c r="CP15" s="39">
        <f t="shared" si="26"/>
        <v>0.95326867984164376</v>
      </c>
      <c r="CQ15" s="39">
        <f t="shared" si="26"/>
        <v>0.97710406813414441</v>
      </c>
      <c r="CR15" s="39">
        <f t="shared" si="26"/>
        <v>1</v>
      </c>
    </row>
    <row r="16" spans="1:96">
      <c r="A16" s="193" t="s">
        <v>100</v>
      </c>
      <c r="B16" s="34">
        <v>102222.44</v>
      </c>
      <c r="C16" s="34">
        <v>126937.35</v>
      </c>
      <c r="D16" s="34">
        <v>58014.86</v>
      </c>
      <c r="E16" s="34">
        <v>63412.65</v>
      </c>
      <c r="F16" s="34">
        <v>82948.44</v>
      </c>
      <c r="G16" s="34">
        <v>65336.62</v>
      </c>
      <c r="H16" s="34">
        <v>21667.32</v>
      </c>
      <c r="I16" s="34">
        <v>15015.45</v>
      </c>
      <c r="J16" s="34">
        <v>17392.39</v>
      </c>
      <c r="K16" s="34">
        <v>17357.669999999998</v>
      </c>
      <c r="L16" s="34">
        <v>14654.79</v>
      </c>
      <c r="M16" s="34">
        <v>21760.720000000001</v>
      </c>
      <c r="N16" s="68">
        <f t="shared" si="0"/>
        <v>606720.70000000007</v>
      </c>
      <c r="P16" s="85" t="s">
        <v>100</v>
      </c>
      <c r="Q16" s="34">
        <v>88356.57</v>
      </c>
      <c r="R16" s="34">
        <v>102794.66</v>
      </c>
      <c r="S16" s="34">
        <v>83255.86</v>
      </c>
      <c r="T16" s="34">
        <v>70180.45</v>
      </c>
      <c r="U16" s="34">
        <v>65994.720000000001</v>
      </c>
      <c r="V16" s="34">
        <v>63958.36</v>
      </c>
      <c r="W16" s="34">
        <v>21169.96</v>
      </c>
      <c r="X16" s="34">
        <v>23959.360000000001</v>
      </c>
      <c r="Y16" s="34">
        <v>16440.099999999999</v>
      </c>
      <c r="Z16" s="34">
        <v>17682.060000000001</v>
      </c>
      <c r="AA16" s="34">
        <v>13010.45</v>
      </c>
      <c r="AB16" s="34">
        <v>10631.05</v>
      </c>
      <c r="AC16" s="68">
        <f t="shared" si="1"/>
        <v>577433.60000000009</v>
      </c>
      <c r="AE16" s="85" t="s">
        <v>100</v>
      </c>
      <c r="AF16" s="34">
        <v>107902.51</v>
      </c>
      <c r="AG16" s="34">
        <v>140935.73000000001</v>
      </c>
      <c r="AH16" s="34">
        <v>74659.14</v>
      </c>
      <c r="AI16" s="34">
        <v>29775.599999999999</v>
      </c>
      <c r="AJ16" s="34">
        <v>90909.43</v>
      </c>
      <c r="AK16" s="34">
        <v>31173.13</v>
      </c>
      <c r="AL16" s="34">
        <v>17150.86</v>
      </c>
      <c r="AM16" s="34">
        <v>14777.75</v>
      </c>
      <c r="AN16" s="34">
        <v>17745.46</v>
      </c>
      <c r="AO16" s="34">
        <v>16412.36</v>
      </c>
      <c r="AP16" s="34">
        <v>21783.33</v>
      </c>
      <c r="AQ16" s="34">
        <v>14130.11</v>
      </c>
      <c r="AR16" s="68">
        <f t="shared" si="27"/>
        <v>577355.40999999992</v>
      </c>
      <c r="AT16" s="39">
        <f t="shared" si="28"/>
        <v>0.16848352133032546</v>
      </c>
      <c r="AU16" s="39">
        <f t="shared" si="29"/>
        <v>0.377702277176302</v>
      </c>
      <c r="AV16" s="39">
        <f t="shared" si="30"/>
        <v>0.47332265076830243</v>
      </c>
      <c r="AW16" s="39">
        <f t="shared" si="31"/>
        <v>0.57783968801460051</v>
      </c>
      <c r="AX16" s="39">
        <f t="shared" si="32"/>
        <v>0.71455570907668053</v>
      </c>
      <c r="AY16" s="39">
        <f t="shared" si="33"/>
        <v>0.82224384300716946</v>
      </c>
      <c r="AZ16" s="39">
        <f t="shared" si="34"/>
        <v>0.85795602490569378</v>
      </c>
      <c r="BA16" s="39">
        <f t="shared" si="35"/>
        <v>0.88270456241232576</v>
      </c>
      <c r="BB16" s="39">
        <f t="shared" si="36"/>
        <v>0.91137078395380278</v>
      </c>
      <c r="BC16" s="39">
        <f t="shared" si="37"/>
        <v>0.93997977982290692</v>
      </c>
      <c r="BD16" s="39">
        <f t="shared" si="38"/>
        <v>0.96413387576853737</v>
      </c>
      <c r="BE16" s="39">
        <f t="shared" si="39"/>
        <v>1</v>
      </c>
      <c r="BG16" s="39">
        <f t="shared" si="2"/>
        <v>0.15301598313641601</v>
      </c>
      <c r="BH16" s="39">
        <f t="shared" si="3"/>
        <v>0.33103586282474728</v>
      </c>
      <c r="BI16" s="39">
        <f t="shared" si="4"/>
        <v>0.47521843204136366</v>
      </c>
      <c r="BJ16" s="39">
        <f t="shared" si="5"/>
        <v>0.59675699508999824</v>
      </c>
      <c r="BK16" s="39">
        <f t="shared" si="6"/>
        <v>0.71104670736167752</v>
      </c>
      <c r="BL16" s="39">
        <f t="shared" si="7"/>
        <v>0.82180984965197712</v>
      </c>
      <c r="BM16" s="39">
        <f t="shared" si="8"/>
        <v>0.85847200440015947</v>
      </c>
      <c r="BN16" s="39">
        <f t="shared" si="9"/>
        <v>0.89996484444272018</v>
      </c>
      <c r="BO16" s="39">
        <f t="shared" si="10"/>
        <v>0.9284358236167759</v>
      </c>
      <c r="BP16" s="39">
        <f t="shared" si="11"/>
        <v>0.95905763017600643</v>
      </c>
      <c r="BQ16" s="39">
        <f t="shared" si="12"/>
        <v>0.9815891385606933</v>
      </c>
      <c r="BR16" s="39">
        <f t="shared" si="13"/>
        <v>1</v>
      </c>
      <c r="BS16" s="61"/>
      <c r="BT16" s="39">
        <f t="shared" si="14"/>
        <v>0.18689096547999787</v>
      </c>
      <c r="BU16" s="39">
        <f t="shared" si="15"/>
        <v>0.43099663688957213</v>
      </c>
      <c r="BV16" s="39">
        <f t="shared" si="16"/>
        <v>0.56030890920377807</v>
      </c>
      <c r="BW16" s="39">
        <f t="shared" si="17"/>
        <v>0.61188130202157465</v>
      </c>
      <c r="BX16" s="39">
        <f t="shared" si="18"/>
        <v>0.76933965163676221</v>
      </c>
      <c r="BY16" s="39">
        <f t="shared" si="19"/>
        <v>0.82333261586654227</v>
      </c>
      <c r="BZ16" s="39">
        <f t="shared" si="20"/>
        <v>0.85303851227444116</v>
      </c>
      <c r="CA16" s="39">
        <f t="shared" si="21"/>
        <v>0.87863409818919003</v>
      </c>
      <c r="CB16" s="39">
        <f t="shared" si="22"/>
        <v>0.90936986283717347</v>
      </c>
      <c r="CC16" s="39">
        <f t="shared" si="23"/>
        <v>0.93779665111304678</v>
      </c>
      <c r="CD16" s="39">
        <f t="shared" si="24"/>
        <v>0.97552614948217076</v>
      </c>
      <c r="CE16" s="39">
        <f t="shared" si="25"/>
        <v>1</v>
      </c>
      <c r="CG16" s="39">
        <f t="shared" si="40"/>
        <v>0.16946348998224645</v>
      </c>
      <c r="CH16" s="39">
        <f t="shared" si="26"/>
        <v>0.37991159229687382</v>
      </c>
      <c r="CI16" s="39">
        <f t="shared" si="26"/>
        <v>0.50294999733781476</v>
      </c>
      <c r="CJ16" s="39">
        <f t="shared" si="26"/>
        <v>0.5954926617087245</v>
      </c>
      <c r="CK16" s="39">
        <f t="shared" si="26"/>
        <v>0.73164735602504016</v>
      </c>
      <c r="CL16" s="39">
        <f t="shared" si="26"/>
        <v>0.82246210284189625</v>
      </c>
      <c r="CM16" s="39">
        <f t="shared" si="26"/>
        <v>0.85648884719343155</v>
      </c>
      <c r="CN16" s="39">
        <f t="shared" si="26"/>
        <v>0.88710116834807862</v>
      </c>
      <c r="CO16" s="39">
        <f t="shared" si="26"/>
        <v>0.91639215680258401</v>
      </c>
      <c r="CP16" s="39">
        <f t="shared" si="26"/>
        <v>0.94561135370398663</v>
      </c>
      <c r="CQ16" s="39">
        <f t="shared" si="26"/>
        <v>0.97374972127046711</v>
      </c>
      <c r="CR16" s="39">
        <f t="shared" si="26"/>
        <v>1</v>
      </c>
    </row>
    <row r="17" spans="1:96">
      <c r="A17" s="193" t="s">
        <v>101</v>
      </c>
      <c r="B17" s="34">
        <v>108823.86</v>
      </c>
      <c r="C17" s="34">
        <v>133836.14000000001</v>
      </c>
      <c r="D17" s="34">
        <v>55196.480000000003</v>
      </c>
      <c r="E17" s="34">
        <v>63141.87</v>
      </c>
      <c r="F17" s="34">
        <v>74165.8</v>
      </c>
      <c r="G17" s="34">
        <v>71378.11</v>
      </c>
      <c r="H17" s="34">
        <v>21040.29</v>
      </c>
      <c r="I17" s="34">
        <v>15602.1</v>
      </c>
      <c r="J17" s="34">
        <v>22645.53</v>
      </c>
      <c r="K17" s="34">
        <v>18568.96</v>
      </c>
      <c r="L17" s="34">
        <v>21013.65</v>
      </c>
      <c r="M17" s="34">
        <v>18767.080000000002</v>
      </c>
      <c r="N17" s="68">
        <f t="shared" si="0"/>
        <v>624179.86999999988</v>
      </c>
      <c r="P17" s="85" t="s">
        <v>101</v>
      </c>
      <c r="Q17" s="34">
        <v>110179.89</v>
      </c>
      <c r="R17" s="34">
        <v>108147.67</v>
      </c>
      <c r="S17" s="34">
        <v>94073.14</v>
      </c>
      <c r="T17" s="34">
        <v>53503.3</v>
      </c>
      <c r="U17" s="34">
        <v>58337.350000000006</v>
      </c>
      <c r="V17" s="34">
        <v>59369.48</v>
      </c>
      <c r="W17" s="34">
        <v>13820.860000000002</v>
      </c>
      <c r="X17" s="34">
        <v>18072.13</v>
      </c>
      <c r="Y17" s="34">
        <v>13773.74</v>
      </c>
      <c r="Z17" s="34">
        <v>17289.84</v>
      </c>
      <c r="AA17" s="34">
        <v>11922.09</v>
      </c>
      <c r="AB17" s="34">
        <v>14482.02</v>
      </c>
      <c r="AC17" s="68">
        <f t="shared" si="1"/>
        <v>572971.50999999989</v>
      </c>
      <c r="AE17" s="85" t="s">
        <v>101</v>
      </c>
      <c r="AF17" s="34">
        <v>99197.7</v>
      </c>
      <c r="AG17" s="34">
        <v>153569.04</v>
      </c>
      <c r="AH17" s="34">
        <v>43046.49</v>
      </c>
      <c r="AI17" s="34">
        <v>39653.82</v>
      </c>
      <c r="AJ17" s="34">
        <v>51296.62</v>
      </c>
      <c r="AK17" s="34">
        <v>61652.72</v>
      </c>
      <c r="AL17" s="34">
        <v>18133.27</v>
      </c>
      <c r="AM17" s="34">
        <v>18385.59</v>
      </c>
      <c r="AN17" s="34">
        <v>16197.19</v>
      </c>
      <c r="AO17" s="34">
        <v>14076.79</v>
      </c>
      <c r="AP17" s="34">
        <v>11929.58</v>
      </c>
      <c r="AQ17" s="34">
        <v>9644.6400000000012</v>
      </c>
      <c r="AR17" s="68">
        <f t="shared" si="27"/>
        <v>536783.45000000007</v>
      </c>
      <c r="AT17" s="39">
        <f t="shared" si="28"/>
        <v>0.17434695546974308</v>
      </c>
      <c r="AU17" s="39">
        <f t="shared" si="29"/>
        <v>0.38876614204171633</v>
      </c>
      <c r="AV17" s="39">
        <f t="shared" si="30"/>
        <v>0.47719654912933995</v>
      </c>
      <c r="AW17" s="39">
        <f t="shared" si="31"/>
        <v>0.57835628374237713</v>
      </c>
      <c r="AX17" s="39">
        <f t="shared" si="32"/>
        <v>0.69717748186912865</v>
      </c>
      <c r="AY17" s="39">
        <f t="shared" si="33"/>
        <v>0.81153251545904559</v>
      </c>
      <c r="AZ17" s="39">
        <f t="shared" si="34"/>
        <v>0.8452412122806845</v>
      </c>
      <c r="BA17" s="39">
        <f t="shared" si="35"/>
        <v>0.87023737244201738</v>
      </c>
      <c r="BB17" s="39">
        <f t="shared" si="36"/>
        <v>0.90651782794597335</v>
      </c>
      <c r="BC17" s="39">
        <f t="shared" si="37"/>
        <v>0.93626720131169883</v>
      </c>
      <c r="BD17" s="39">
        <f t="shared" si="38"/>
        <v>0.96993321812829381</v>
      </c>
      <c r="BE17" s="39">
        <f t="shared" si="39"/>
        <v>1</v>
      </c>
      <c r="BG17" s="39">
        <f t="shared" si="2"/>
        <v>0.19229558202640828</v>
      </c>
      <c r="BH17" s="39">
        <f t="shared" si="3"/>
        <v>0.38104435594014097</v>
      </c>
      <c r="BI17" s="39">
        <f t="shared" si="4"/>
        <v>0.54522902892676128</v>
      </c>
      <c r="BJ17" s="39">
        <f t="shared" si="5"/>
        <v>0.6386076682940135</v>
      </c>
      <c r="BK17" s="39">
        <f t="shared" si="6"/>
        <v>0.74042311458033938</v>
      </c>
      <c r="BL17" s="39">
        <f t="shared" si="7"/>
        <v>0.84403992442835429</v>
      </c>
      <c r="BM17" s="39">
        <f t="shared" si="8"/>
        <v>0.86816129828165456</v>
      </c>
      <c r="BN17" s="39">
        <f t="shared" si="9"/>
        <v>0.89970236041928164</v>
      </c>
      <c r="BO17" s="39">
        <f t="shared" si="10"/>
        <v>0.92374149632675462</v>
      </c>
      <c r="BP17" s="39">
        <f t="shared" si="11"/>
        <v>0.95391723752547486</v>
      </c>
      <c r="BQ17" s="39">
        <f t="shared" si="12"/>
        <v>0.97472471187965348</v>
      </c>
      <c r="BR17" s="39">
        <f t="shared" si="13"/>
        <v>1</v>
      </c>
      <c r="BS17" s="61"/>
      <c r="BT17" s="39">
        <f t="shared" si="14"/>
        <v>0.18480022064763729</v>
      </c>
      <c r="BU17" s="39">
        <f t="shared" si="15"/>
        <v>0.47089145539043714</v>
      </c>
      <c r="BV17" s="39">
        <f t="shared" si="16"/>
        <v>0.55108485554090747</v>
      </c>
      <c r="BW17" s="39">
        <f t="shared" si="17"/>
        <v>0.6249578857172291</v>
      </c>
      <c r="BX17" s="39">
        <f t="shared" si="18"/>
        <v>0.72052085435942548</v>
      </c>
      <c r="BY17" s="39">
        <f t="shared" si="19"/>
        <v>0.83537670544797904</v>
      </c>
      <c r="BZ17" s="39">
        <f t="shared" si="20"/>
        <v>0.86915805619565945</v>
      </c>
      <c r="CA17" s="39">
        <f t="shared" si="21"/>
        <v>0.90340946614505346</v>
      </c>
      <c r="CB17" s="39">
        <f t="shared" si="22"/>
        <v>0.9335839992831374</v>
      </c>
      <c r="CC17" s="39">
        <f t="shared" si="23"/>
        <v>0.95980833611766525</v>
      </c>
      <c r="CD17" s="39">
        <f t="shared" si="24"/>
        <v>0.98203253099550669</v>
      </c>
      <c r="CE17" s="39">
        <f t="shared" si="25"/>
        <v>1</v>
      </c>
      <c r="CG17" s="39">
        <f t="shared" si="40"/>
        <v>0.1838142527145962</v>
      </c>
      <c r="CH17" s="39">
        <f t="shared" si="26"/>
        <v>0.41356731779076483</v>
      </c>
      <c r="CI17" s="39">
        <f t="shared" si="26"/>
        <v>0.52450347786566953</v>
      </c>
      <c r="CJ17" s="39">
        <f t="shared" si="26"/>
        <v>0.61397394591787324</v>
      </c>
      <c r="CK17" s="39">
        <f t="shared" si="26"/>
        <v>0.71937381693629787</v>
      </c>
      <c r="CL17" s="39">
        <f t="shared" si="26"/>
        <v>0.83031638177845968</v>
      </c>
      <c r="CM17" s="39">
        <f t="shared" si="26"/>
        <v>0.86085352225266609</v>
      </c>
      <c r="CN17" s="39">
        <f t="shared" si="26"/>
        <v>0.8911163996687842</v>
      </c>
      <c r="CO17" s="39">
        <f t="shared" si="26"/>
        <v>0.92128110785195505</v>
      </c>
      <c r="CP17" s="39">
        <f t="shared" si="26"/>
        <v>0.94999759165161313</v>
      </c>
      <c r="CQ17" s="39">
        <f t="shared" si="26"/>
        <v>0.97556348700115125</v>
      </c>
      <c r="CR17" s="39">
        <f t="shared" si="26"/>
        <v>1</v>
      </c>
    </row>
    <row r="18" spans="1:96">
      <c r="A18" s="193" t="s">
        <v>102</v>
      </c>
      <c r="B18" s="34">
        <v>798755.88</v>
      </c>
      <c r="C18" s="34">
        <v>750439.74</v>
      </c>
      <c r="D18" s="34">
        <v>311702.77</v>
      </c>
      <c r="E18" s="34">
        <v>372208.37</v>
      </c>
      <c r="F18" s="34">
        <v>466052.33</v>
      </c>
      <c r="G18" s="34">
        <v>357595.59</v>
      </c>
      <c r="H18" s="34">
        <v>117544.85</v>
      </c>
      <c r="I18" s="34">
        <v>90281.1</v>
      </c>
      <c r="J18" s="34">
        <v>79228.17</v>
      </c>
      <c r="K18" s="34">
        <v>86688.78</v>
      </c>
      <c r="L18" s="34">
        <v>76745.740000000005</v>
      </c>
      <c r="M18" s="34">
        <v>117544.25</v>
      </c>
      <c r="N18" s="68">
        <f t="shared" si="0"/>
        <v>3624787.5700000003</v>
      </c>
      <c r="P18" s="85" t="s">
        <v>102</v>
      </c>
      <c r="Q18" s="34">
        <v>652066.4</v>
      </c>
      <c r="R18" s="34">
        <v>648074.03</v>
      </c>
      <c r="S18" s="34">
        <v>452730.52</v>
      </c>
      <c r="T18" s="34">
        <v>296707.15999999997</v>
      </c>
      <c r="U18" s="34">
        <v>375262.77</v>
      </c>
      <c r="V18" s="34">
        <v>339083.11</v>
      </c>
      <c r="W18" s="34">
        <v>95780.47</v>
      </c>
      <c r="X18" s="34">
        <v>87057.02</v>
      </c>
      <c r="Y18" s="34">
        <v>69538.58</v>
      </c>
      <c r="Z18" s="34">
        <v>68990.070000000007</v>
      </c>
      <c r="AA18" s="34">
        <v>53749.97</v>
      </c>
      <c r="AB18" s="34">
        <v>57305.440000000002</v>
      </c>
      <c r="AC18" s="68">
        <f t="shared" si="1"/>
        <v>3196345.54</v>
      </c>
      <c r="AE18" s="85" t="s">
        <v>102</v>
      </c>
      <c r="AF18" s="34">
        <v>712212.26</v>
      </c>
      <c r="AG18" s="34">
        <v>749648.1</v>
      </c>
      <c r="AH18" s="34">
        <v>284539.42</v>
      </c>
      <c r="AI18" s="34">
        <v>209227.18000000002</v>
      </c>
      <c r="AJ18" s="34">
        <v>338893.09</v>
      </c>
      <c r="AK18" s="34">
        <v>297717.7</v>
      </c>
      <c r="AL18" s="34">
        <v>93255.670000000013</v>
      </c>
      <c r="AM18" s="34">
        <v>83677.69</v>
      </c>
      <c r="AN18" s="34">
        <v>46152.63</v>
      </c>
      <c r="AO18" s="34">
        <v>73518.75</v>
      </c>
      <c r="AP18" s="34">
        <v>83897.36</v>
      </c>
      <c r="AQ18" s="34">
        <v>66967.47</v>
      </c>
      <c r="AR18" s="68">
        <f t="shared" si="27"/>
        <v>3039707.32</v>
      </c>
      <c r="AT18" s="39">
        <f t="shared" si="28"/>
        <v>0.22035936301778919</v>
      </c>
      <c r="AU18" s="39">
        <f t="shared" si="29"/>
        <v>0.42738935457119764</v>
      </c>
      <c r="AV18" s="39">
        <f t="shared" si="30"/>
        <v>0.51338136485609276</v>
      </c>
      <c r="AW18" s="39">
        <f t="shared" si="31"/>
        <v>0.61606555332565327</v>
      </c>
      <c r="AX18" s="39">
        <f t="shared" si="32"/>
        <v>0.7446392479214996</v>
      </c>
      <c r="AY18" s="39">
        <f t="shared" si="33"/>
        <v>0.84329208842437076</v>
      </c>
      <c r="AZ18" s="39">
        <f t="shared" si="34"/>
        <v>0.87572015427099914</v>
      </c>
      <c r="BA18" s="39">
        <f t="shared" si="35"/>
        <v>0.90062674486604466</v>
      </c>
      <c r="BB18" s="39">
        <f t="shared" si="36"/>
        <v>0.92248407263215149</v>
      </c>
      <c r="BC18" s="39">
        <f t="shared" si="37"/>
        <v>0.94639962032312963</v>
      </c>
      <c r="BD18" s="39">
        <f t="shared" si="38"/>
        <v>0.9675720996803131</v>
      </c>
      <c r="BE18" s="39">
        <f t="shared" si="39"/>
        <v>1</v>
      </c>
      <c r="BG18" s="39">
        <f t="shared" si="2"/>
        <v>0.20400372608025352</v>
      </c>
      <c r="BH18" s="39">
        <f t="shared" si="3"/>
        <v>0.40675841010606134</v>
      </c>
      <c r="BI18" s="39">
        <f t="shared" si="4"/>
        <v>0.54839845319101521</v>
      </c>
      <c r="BJ18" s="39">
        <f t="shared" si="5"/>
        <v>0.64122545086286264</v>
      </c>
      <c r="BK18" s="39">
        <f t="shared" si="6"/>
        <v>0.7586291437064091</v>
      </c>
      <c r="BL18" s="39">
        <f t="shared" si="7"/>
        <v>0.86471376620939411</v>
      </c>
      <c r="BM18" s="39">
        <f t="shared" si="8"/>
        <v>0.89467938438220296</v>
      </c>
      <c r="BN18" s="39">
        <f t="shared" si="9"/>
        <v>0.92191580763824421</v>
      </c>
      <c r="BO18" s="39">
        <f t="shared" si="10"/>
        <v>0.94367145925030371</v>
      </c>
      <c r="BP18" s="39">
        <f t="shared" si="11"/>
        <v>0.96525550551083406</v>
      </c>
      <c r="BQ18" s="39">
        <f t="shared" si="12"/>
        <v>0.9820715754029522</v>
      </c>
      <c r="BR18" s="39">
        <f t="shared" si="13"/>
        <v>1</v>
      </c>
      <c r="BS18" s="61"/>
      <c r="BT18" s="39">
        <f t="shared" si="14"/>
        <v>0.2343029065048276</v>
      </c>
      <c r="BU18" s="39">
        <f t="shared" si="15"/>
        <v>0.4809214197635317</v>
      </c>
      <c r="BV18" s="39">
        <f t="shared" si="16"/>
        <v>0.57452892537035438</v>
      </c>
      <c r="BW18" s="39">
        <f t="shared" si="17"/>
        <v>0.64336028246298393</v>
      </c>
      <c r="BX18" s="39">
        <f t="shared" si="18"/>
        <v>0.75484900631814777</v>
      </c>
      <c r="BY18" s="39">
        <f t="shared" si="19"/>
        <v>0.85279188984550003</v>
      </c>
      <c r="BZ18" s="39">
        <f t="shared" si="20"/>
        <v>0.8834710507589264</v>
      </c>
      <c r="CA18" s="39">
        <f t="shared" si="21"/>
        <v>0.91099925699425566</v>
      </c>
      <c r="CB18" s="39">
        <f t="shared" si="22"/>
        <v>0.92618250496564247</v>
      </c>
      <c r="CC18" s="39">
        <f t="shared" si="23"/>
        <v>0.95036863285903461</v>
      </c>
      <c r="CD18" s="39">
        <f t="shared" si="24"/>
        <v>0.97796910592036856</v>
      </c>
      <c r="CE18" s="39">
        <f t="shared" si="25"/>
        <v>1</v>
      </c>
      <c r="CG18" s="39">
        <f t="shared" si="40"/>
        <v>0.21955533186762344</v>
      </c>
      <c r="CH18" s="39">
        <f t="shared" si="26"/>
        <v>0.43835639481359689</v>
      </c>
      <c r="CI18" s="39">
        <f t="shared" si="26"/>
        <v>0.54543624780582078</v>
      </c>
      <c r="CJ18" s="39">
        <f t="shared" si="26"/>
        <v>0.63355042888383328</v>
      </c>
      <c r="CK18" s="39">
        <f t="shared" si="26"/>
        <v>0.7527057993153522</v>
      </c>
      <c r="CL18" s="39">
        <f t="shared" si="26"/>
        <v>0.85359924815975496</v>
      </c>
      <c r="CM18" s="39">
        <f t="shared" si="26"/>
        <v>0.8846235298040428</v>
      </c>
      <c r="CN18" s="39">
        <f t="shared" si="26"/>
        <v>0.91118060316618144</v>
      </c>
      <c r="CO18" s="39">
        <f t="shared" si="26"/>
        <v>0.93077934561603259</v>
      </c>
      <c r="CP18" s="39">
        <f t="shared" si="26"/>
        <v>0.95400791956433284</v>
      </c>
      <c r="CQ18" s="39">
        <f t="shared" si="26"/>
        <v>0.97587092700121136</v>
      </c>
      <c r="CR18" s="39">
        <f t="shared" si="26"/>
        <v>1</v>
      </c>
    </row>
    <row r="19" spans="1:96">
      <c r="A19" s="193" t="s">
        <v>103</v>
      </c>
      <c r="B19" s="34">
        <v>234460.93</v>
      </c>
      <c r="C19" s="34">
        <v>300461.8</v>
      </c>
      <c r="D19" s="34">
        <v>136049.14000000001</v>
      </c>
      <c r="E19" s="34">
        <v>139152.6</v>
      </c>
      <c r="F19" s="34">
        <v>158095.35</v>
      </c>
      <c r="G19" s="34">
        <v>140172.59</v>
      </c>
      <c r="H19" s="34">
        <v>47933.59</v>
      </c>
      <c r="I19" s="34">
        <v>39711.14</v>
      </c>
      <c r="J19" s="34">
        <v>37615.9</v>
      </c>
      <c r="K19" s="34">
        <v>35325.71</v>
      </c>
      <c r="L19" s="34">
        <v>28259.18</v>
      </c>
      <c r="M19" s="34">
        <v>32149.85</v>
      </c>
      <c r="N19" s="68">
        <f t="shared" si="0"/>
        <v>1329387.7799999998</v>
      </c>
      <c r="P19" s="85" t="s">
        <v>103</v>
      </c>
      <c r="Q19" s="34">
        <v>195357.95</v>
      </c>
      <c r="R19" s="34">
        <v>254807.38</v>
      </c>
      <c r="S19" s="34">
        <v>190077.44</v>
      </c>
      <c r="T19" s="34">
        <v>114208.21</v>
      </c>
      <c r="U19" s="34">
        <v>125015.80000000002</v>
      </c>
      <c r="V19" s="34">
        <v>123989.82</v>
      </c>
      <c r="W19" s="34">
        <v>38504.68</v>
      </c>
      <c r="X19" s="34">
        <v>37923.24</v>
      </c>
      <c r="Y19" s="34">
        <v>28593.599999999999</v>
      </c>
      <c r="Z19" s="34">
        <v>32509.77</v>
      </c>
      <c r="AA19" s="34">
        <v>26844.2</v>
      </c>
      <c r="AB19" s="34">
        <v>24062.3</v>
      </c>
      <c r="AC19" s="68">
        <f t="shared" si="1"/>
        <v>1191894.3900000004</v>
      </c>
      <c r="AE19" s="85" t="s">
        <v>103</v>
      </c>
      <c r="AF19" s="34">
        <v>216263.29</v>
      </c>
      <c r="AG19" s="34">
        <v>342734.78</v>
      </c>
      <c r="AH19" s="34">
        <v>106189.78</v>
      </c>
      <c r="AI19" s="34">
        <v>93538.32</v>
      </c>
      <c r="AJ19" s="34">
        <v>117542.26999999999</v>
      </c>
      <c r="AK19" s="34">
        <v>125586.61</v>
      </c>
      <c r="AL19" s="34">
        <v>41502</v>
      </c>
      <c r="AM19" s="34">
        <v>43445.05</v>
      </c>
      <c r="AN19" s="34">
        <v>28766.5</v>
      </c>
      <c r="AO19" s="34">
        <v>31215.74</v>
      </c>
      <c r="AP19" s="34">
        <v>36413.71</v>
      </c>
      <c r="AQ19" s="34">
        <v>20069.59</v>
      </c>
      <c r="AR19" s="68">
        <f t="shared" si="27"/>
        <v>1203267.6400000001</v>
      </c>
      <c r="AT19" s="39">
        <f t="shared" si="28"/>
        <v>0.17636759832409474</v>
      </c>
      <c r="AU19" s="39">
        <f t="shared" si="29"/>
        <v>0.40238276449329186</v>
      </c>
      <c r="AV19" s="39">
        <f t="shared" si="30"/>
        <v>0.50472245953697581</v>
      </c>
      <c r="AW19" s="39">
        <f t="shared" si="31"/>
        <v>0.60939665776076268</v>
      </c>
      <c r="AX19" s="39">
        <f t="shared" si="32"/>
        <v>0.72832008430226436</v>
      </c>
      <c r="AY19" s="39">
        <f t="shared" si="33"/>
        <v>0.83376154548374148</v>
      </c>
      <c r="AZ19" s="39">
        <f t="shared" si="34"/>
        <v>0.86981843627297384</v>
      </c>
      <c r="BA19" s="39">
        <f t="shared" si="35"/>
        <v>0.89969018671135981</v>
      </c>
      <c r="BB19" s="39">
        <f t="shared" si="36"/>
        <v>0.92798584322777511</v>
      </c>
      <c r="BC19" s="39">
        <f t="shared" si="37"/>
        <v>0.95455875937117463</v>
      </c>
      <c r="BD19" s="39">
        <f t="shared" si="38"/>
        <v>0.97581604819626067</v>
      </c>
      <c r="BE19" s="39">
        <f t="shared" si="39"/>
        <v>1</v>
      </c>
      <c r="BG19" s="39">
        <f t="shared" si="2"/>
        <v>0.16390541950616946</v>
      </c>
      <c r="BH19" s="39">
        <f t="shared" si="3"/>
        <v>0.37768894104787243</v>
      </c>
      <c r="BI19" s="39">
        <f t="shared" si="4"/>
        <v>0.53716400997574942</v>
      </c>
      <c r="BJ19" s="39">
        <f t="shared" si="5"/>
        <v>0.63298475630882012</v>
      </c>
      <c r="BK19" s="39">
        <f t="shared" si="6"/>
        <v>0.73787307615400366</v>
      </c>
      <c r="BL19" s="39">
        <f t="shared" si="7"/>
        <v>0.84190059825686381</v>
      </c>
      <c r="BM19" s="39">
        <f t="shared" si="8"/>
        <v>0.87420604437948557</v>
      </c>
      <c r="BN19" s="39">
        <f t="shared" si="9"/>
        <v>0.90602366204609786</v>
      </c>
      <c r="BO19" s="39">
        <f t="shared" si="10"/>
        <v>0.93001370700301733</v>
      </c>
      <c r="BP19" s="39">
        <f t="shared" si="11"/>
        <v>0.95728942058364752</v>
      </c>
      <c r="BQ19" s="39">
        <f t="shared" si="12"/>
        <v>0.97981171804995237</v>
      </c>
      <c r="BR19" s="39">
        <f t="shared" si="13"/>
        <v>1</v>
      </c>
      <c r="BS19" s="61"/>
      <c r="BT19" s="39">
        <f t="shared" si="14"/>
        <v>0.17972999755898031</v>
      </c>
      <c r="BU19" s="39">
        <f t="shared" si="15"/>
        <v>0.46456669440557713</v>
      </c>
      <c r="BV19" s="39">
        <f t="shared" si="16"/>
        <v>0.55281786685462597</v>
      </c>
      <c r="BW19" s="39">
        <f t="shared" si="17"/>
        <v>0.63055478663084474</v>
      </c>
      <c r="BX19" s="39">
        <f t="shared" si="18"/>
        <v>0.72824067636357281</v>
      </c>
      <c r="BY19" s="39">
        <f t="shared" si="19"/>
        <v>0.83261197816306276</v>
      </c>
      <c r="BZ19" s="39">
        <f t="shared" si="20"/>
        <v>0.86710305780349917</v>
      </c>
      <c r="CA19" s="39">
        <f t="shared" si="21"/>
        <v>0.90320894859268386</v>
      </c>
      <c r="CB19" s="39">
        <f t="shared" si="22"/>
        <v>0.92711593241217716</v>
      </c>
      <c r="CC19" s="39">
        <f t="shared" si="23"/>
        <v>0.9530584068561837</v>
      </c>
      <c r="CD19" s="39">
        <f t="shared" si="24"/>
        <v>0.98332075979372291</v>
      </c>
      <c r="CE19" s="39">
        <f t="shared" si="25"/>
        <v>1</v>
      </c>
      <c r="CG19" s="39">
        <f t="shared" si="40"/>
        <v>0.17333433846308152</v>
      </c>
      <c r="CH19" s="39">
        <f t="shared" ref="CH19:CH29" si="41">(AU19+BH19+BU19)/3</f>
        <v>0.41487946664891379</v>
      </c>
      <c r="CI19" s="39">
        <f t="shared" ref="CI19:CI29" si="42">(AV19+BI19+BV19)/3</f>
        <v>0.53156811212245036</v>
      </c>
      <c r="CJ19" s="39">
        <f t="shared" ref="CJ19:CJ29" si="43">(AW19+BJ19+BW19)/3</f>
        <v>0.62431206690014251</v>
      </c>
      <c r="CK19" s="39">
        <f t="shared" ref="CK19:CK29" si="44">(AX19+BK19+BX19)/3</f>
        <v>0.7314779456066135</v>
      </c>
      <c r="CL19" s="39">
        <f t="shared" ref="CL19:CL29" si="45">(AY19+BL19+BY19)/3</f>
        <v>0.83609137396788924</v>
      </c>
      <c r="CM19" s="39">
        <f t="shared" ref="CM19:CM29" si="46">(AZ19+BM19+BZ19)/3</f>
        <v>0.87037584615198627</v>
      </c>
      <c r="CN19" s="39">
        <f t="shared" ref="CN19:CN29" si="47">(BA19+BN19+CA19)/3</f>
        <v>0.90297426578338047</v>
      </c>
      <c r="CO19" s="39">
        <f t="shared" ref="CO19:CO29" si="48">(BB19+BO19+CB19)/3</f>
        <v>0.92837182754765646</v>
      </c>
      <c r="CP19" s="39">
        <f t="shared" ref="CP19:CP29" si="49">(BC19+BP19+CC19)/3</f>
        <v>0.95496886227033528</v>
      </c>
      <c r="CQ19" s="39">
        <f t="shared" ref="CQ19:CQ29" si="50">(BD19+BQ19+CD19)/3</f>
        <v>0.97964950867997869</v>
      </c>
      <c r="CR19" s="39">
        <f t="shared" ref="CR19:CR29" si="51">(BE19+BR19+CE19)/3</f>
        <v>1</v>
      </c>
    </row>
    <row r="20" spans="1:96">
      <c r="A20" s="193" t="s">
        <v>104</v>
      </c>
      <c r="B20" s="34">
        <v>58637.599999999999</v>
      </c>
      <c r="C20" s="34">
        <v>71715.5</v>
      </c>
      <c r="D20" s="34">
        <v>25231.37</v>
      </c>
      <c r="E20" s="34">
        <v>30279.96</v>
      </c>
      <c r="F20" s="34">
        <v>38256.21</v>
      </c>
      <c r="G20" s="34">
        <v>38259.519999999997</v>
      </c>
      <c r="H20" s="34">
        <v>13887.15</v>
      </c>
      <c r="I20" s="34">
        <v>10871.66</v>
      </c>
      <c r="J20" s="34">
        <v>11841.19</v>
      </c>
      <c r="K20" s="34">
        <v>9245.76</v>
      </c>
      <c r="L20" s="34">
        <v>8889.56</v>
      </c>
      <c r="M20" s="34">
        <v>7568.27</v>
      </c>
      <c r="N20" s="68">
        <f t="shared" si="0"/>
        <v>324683.75</v>
      </c>
      <c r="P20" s="85" t="s">
        <v>104</v>
      </c>
      <c r="Q20" s="34">
        <v>49912.76</v>
      </c>
      <c r="R20" s="34">
        <v>66146.91</v>
      </c>
      <c r="S20" s="34">
        <v>43459.13</v>
      </c>
      <c r="T20" s="34">
        <v>27998.12</v>
      </c>
      <c r="U20" s="34">
        <v>27087.910000000003</v>
      </c>
      <c r="V20" s="34">
        <v>27381.65</v>
      </c>
      <c r="W20" s="34">
        <v>8540.1</v>
      </c>
      <c r="X20" s="34">
        <v>12005.91</v>
      </c>
      <c r="Y20" s="34">
        <v>9590.8799999999992</v>
      </c>
      <c r="Z20" s="34">
        <v>6490.39</v>
      </c>
      <c r="AA20" s="34">
        <v>7061.83</v>
      </c>
      <c r="AB20" s="34">
        <v>4163.08</v>
      </c>
      <c r="AC20" s="68">
        <f t="shared" si="1"/>
        <v>289838.67000000004</v>
      </c>
      <c r="AE20" s="85" t="s">
        <v>104</v>
      </c>
      <c r="AF20" s="34">
        <v>61557</v>
      </c>
      <c r="AG20" s="34">
        <v>64987.600000000006</v>
      </c>
      <c r="AH20" s="34">
        <v>24007.600000000002</v>
      </c>
      <c r="AI20" s="34">
        <v>19746.169999999998</v>
      </c>
      <c r="AJ20" s="34">
        <v>28210.73</v>
      </c>
      <c r="AK20" s="34">
        <v>24567.77</v>
      </c>
      <c r="AL20" s="34">
        <v>7820.5</v>
      </c>
      <c r="AM20" s="34">
        <v>7043.25</v>
      </c>
      <c r="AN20" s="34">
        <v>8954.61</v>
      </c>
      <c r="AO20" s="34">
        <v>5438.0199999999995</v>
      </c>
      <c r="AP20" s="34">
        <v>8284.6299999999992</v>
      </c>
      <c r="AQ20" s="34">
        <v>3561.5699999999997</v>
      </c>
      <c r="AR20" s="68">
        <f t="shared" si="27"/>
        <v>264179.44999999995</v>
      </c>
      <c r="AT20" s="39">
        <f t="shared" si="28"/>
        <v>0.1805991214527983</v>
      </c>
      <c r="AU20" s="39">
        <f t="shared" si="29"/>
        <v>0.40147712966848514</v>
      </c>
      <c r="AV20" s="39">
        <f t="shared" si="30"/>
        <v>0.47918773267833698</v>
      </c>
      <c r="AW20" s="39">
        <f t="shared" si="31"/>
        <v>0.57244758938505547</v>
      </c>
      <c r="AX20" s="39">
        <f t="shared" si="32"/>
        <v>0.69027365859855927</v>
      </c>
      <c r="AY20" s="39">
        <f t="shared" si="33"/>
        <v>0.808109922347515</v>
      </c>
      <c r="AZ20" s="39">
        <f t="shared" si="34"/>
        <v>0.8508812344319665</v>
      </c>
      <c r="BA20" s="39">
        <f t="shared" si="35"/>
        <v>0.88436507832621736</v>
      </c>
      <c r="BB20" s="39">
        <f t="shared" si="36"/>
        <v>0.92083499713182437</v>
      </c>
      <c r="BC20" s="39">
        <f t="shared" si="37"/>
        <v>0.94931119897438654</v>
      </c>
      <c r="BD20" s="39">
        <f t="shared" si="38"/>
        <v>0.9766903332858512</v>
      </c>
      <c r="BE20" s="39">
        <f t="shared" si="39"/>
        <v>1</v>
      </c>
      <c r="BG20" s="39">
        <f t="shared" si="2"/>
        <v>0.17220876703581339</v>
      </c>
      <c r="BH20" s="39">
        <f t="shared" si="3"/>
        <v>0.40042852114936905</v>
      </c>
      <c r="BI20" s="39">
        <f t="shared" si="4"/>
        <v>0.55037100466959776</v>
      </c>
      <c r="BJ20" s="39">
        <f t="shared" si="5"/>
        <v>0.64696998506099956</v>
      </c>
      <c r="BK20" s="39">
        <f t="shared" si="6"/>
        <v>0.74042856324175099</v>
      </c>
      <c r="BL20" s="39">
        <f t="shared" si="7"/>
        <v>0.83490060177270331</v>
      </c>
      <c r="BM20" s="39">
        <f t="shared" si="8"/>
        <v>0.86436561415355651</v>
      </c>
      <c r="BN20" s="39">
        <f t="shared" si="9"/>
        <v>0.90578834770391392</v>
      </c>
      <c r="BO20" s="39">
        <f t="shared" si="10"/>
        <v>0.93887875624049733</v>
      </c>
      <c r="BP20" s="39">
        <f t="shared" si="11"/>
        <v>0.96127186893315497</v>
      </c>
      <c r="BQ20" s="39">
        <f t="shared" si="12"/>
        <v>0.98563656119454313</v>
      </c>
      <c r="BR20" s="39">
        <f t="shared" si="13"/>
        <v>1</v>
      </c>
      <c r="BS20" s="61"/>
      <c r="BT20" s="39">
        <f t="shared" si="14"/>
        <v>0.23301206812263411</v>
      </c>
      <c r="BU20" s="39">
        <f t="shared" si="15"/>
        <v>0.47901000626657381</v>
      </c>
      <c r="BV20" s="39">
        <f t="shared" si="16"/>
        <v>0.56988611339754114</v>
      </c>
      <c r="BW20" s="39">
        <f t="shared" si="17"/>
        <v>0.64463140490299309</v>
      </c>
      <c r="BX20" s="39">
        <f t="shared" si="18"/>
        <v>0.75141764433229019</v>
      </c>
      <c r="BY20" s="39">
        <f t="shared" si="19"/>
        <v>0.84441416620407084</v>
      </c>
      <c r="BZ20" s="39">
        <f t="shared" si="20"/>
        <v>0.87401715008491399</v>
      </c>
      <c r="CA20" s="39">
        <f t="shared" si="21"/>
        <v>0.90067800504543427</v>
      </c>
      <c r="CB20" s="39">
        <f t="shared" si="22"/>
        <v>0.93457394206854483</v>
      </c>
      <c r="CC20" s="39">
        <f t="shared" si="23"/>
        <v>0.95515851062601587</v>
      </c>
      <c r="CD20" s="39">
        <f t="shared" si="24"/>
        <v>0.98651836848021301</v>
      </c>
      <c r="CE20" s="39">
        <f t="shared" si="25"/>
        <v>1</v>
      </c>
      <c r="CG20" s="39">
        <f t="shared" si="40"/>
        <v>0.19527331887041524</v>
      </c>
      <c r="CH20" s="39">
        <f t="shared" si="41"/>
        <v>0.42697188569480932</v>
      </c>
      <c r="CI20" s="39">
        <f t="shared" si="42"/>
        <v>0.53314828358182531</v>
      </c>
      <c r="CJ20" s="39">
        <f t="shared" si="43"/>
        <v>0.62134965978301604</v>
      </c>
      <c r="CK20" s="39">
        <f t="shared" si="44"/>
        <v>0.72737328872420015</v>
      </c>
      <c r="CL20" s="39">
        <f t="shared" si="45"/>
        <v>0.82914156344142975</v>
      </c>
      <c r="CM20" s="39">
        <f t="shared" si="46"/>
        <v>0.86308799955681226</v>
      </c>
      <c r="CN20" s="39">
        <f t="shared" si="47"/>
        <v>0.89694381035852189</v>
      </c>
      <c r="CO20" s="39">
        <f t="shared" si="48"/>
        <v>0.93142923181362214</v>
      </c>
      <c r="CP20" s="39">
        <f t="shared" si="49"/>
        <v>0.95524719284451909</v>
      </c>
      <c r="CQ20" s="39">
        <f t="shared" si="50"/>
        <v>0.98294842098686919</v>
      </c>
      <c r="CR20" s="39">
        <f t="shared" si="51"/>
        <v>1</v>
      </c>
    </row>
    <row r="21" spans="1:96">
      <c r="A21" s="193" t="s">
        <v>105</v>
      </c>
      <c r="B21" s="34">
        <v>1210553.2</v>
      </c>
      <c r="C21" s="34">
        <v>1123651.81</v>
      </c>
      <c r="D21" s="34">
        <v>386889.29</v>
      </c>
      <c r="E21" s="34">
        <v>442082.35</v>
      </c>
      <c r="F21" s="34">
        <v>571441.34</v>
      </c>
      <c r="G21" s="34">
        <v>475134.1</v>
      </c>
      <c r="H21" s="34">
        <v>383409.57</v>
      </c>
      <c r="I21" s="34">
        <v>250997.4</v>
      </c>
      <c r="J21" s="34">
        <v>190074.54</v>
      </c>
      <c r="K21" s="34">
        <v>164348</v>
      </c>
      <c r="L21" s="34">
        <v>117138.17</v>
      </c>
      <c r="M21" s="34">
        <v>165110.38</v>
      </c>
      <c r="N21" s="68">
        <f t="shared" si="0"/>
        <v>5480830.1500000004</v>
      </c>
      <c r="P21" s="85" t="s">
        <v>105</v>
      </c>
      <c r="Q21" s="34">
        <v>1052840.29</v>
      </c>
      <c r="R21" s="34">
        <v>1052866.8700000001</v>
      </c>
      <c r="S21" s="34">
        <v>713923.62</v>
      </c>
      <c r="T21" s="34">
        <v>404837.41</v>
      </c>
      <c r="U21" s="34">
        <v>501448.12000000005</v>
      </c>
      <c r="V21" s="34">
        <v>481774.63</v>
      </c>
      <c r="W21" s="34">
        <v>141722.21</v>
      </c>
      <c r="X21" s="34">
        <v>222271.48</v>
      </c>
      <c r="Y21" s="34">
        <v>148849.82</v>
      </c>
      <c r="Z21" s="34">
        <v>147878.75</v>
      </c>
      <c r="AA21" s="34">
        <v>104687.08</v>
      </c>
      <c r="AB21" s="34">
        <v>114364.32</v>
      </c>
      <c r="AC21" s="68">
        <f t="shared" si="1"/>
        <v>5087464.6000000015</v>
      </c>
      <c r="AE21" s="85" t="s">
        <v>105</v>
      </c>
      <c r="AF21" s="34">
        <v>1372440.4500000002</v>
      </c>
      <c r="AG21" s="34">
        <v>1277172.8500000001</v>
      </c>
      <c r="AH21" s="34">
        <v>426045.14999999997</v>
      </c>
      <c r="AI21" s="34">
        <v>310273.49</v>
      </c>
      <c r="AJ21" s="34">
        <v>477740.23</v>
      </c>
      <c r="AK21" s="34">
        <v>483644.76</v>
      </c>
      <c r="AL21" s="34">
        <v>225070.39</v>
      </c>
      <c r="AM21" s="34">
        <v>226216.44</v>
      </c>
      <c r="AN21" s="34">
        <v>153776.87</v>
      </c>
      <c r="AO21" s="34">
        <v>167512.67000000001</v>
      </c>
      <c r="AP21" s="34">
        <v>131381.07999999999</v>
      </c>
      <c r="AQ21" s="34">
        <v>120186.66</v>
      </c>
      <c r="AR21" s="68">
        <f t="shared" si="27"/>
        <v>5371461.040000001</v>
      </c>
      <c r="AT21" s="39">
        <f t="shared" si="28"/>
        <v>0.22087040956742654</v>
      </c>
      <c r="AU21" s="39">
        <f t="shared" si="29"/>
        <v>0.42588530315977763</v>
      </c>
      <c r="AV21" s="39">
        <f t="shared" si="30"/>
        <v>0.4964748451473176</v>
      </c>
      <c r="AW21" s="39">
        <f t="shared" si="31"/>
        <v>0.57713458790544703</v>
      </c>
      <c r="AX21" s="39">
        <f t="shared" si="32"/>
        <v>0.68139641035947807</v>
      </c>
      <c r="AY21" s="39">
        <f t="shared" si="33"/>
        <v>0.76808658082571657</v>
      </c>
      <c r="AZ21" s="39">
        <f t="shared" si="34"/>
        <v>0.8380412335894043</v>
      </c>
      <c r="BA21" s="39">
        <f t="shared" si="35"/>
        <v>0.88383674141042301</v>
      </c>
      <c r="BB21" s="39">
        <f t="shared" si="36"/>
        <v>0.91851662288786673</v>
      </c>
      <c r="BC21" s="39">
        <f t="shared" si="37"/>
        <v>0.94850259134558301</v>
      </c>
      <c r="BD21" s="39">
        <f t="shared" si="38"/>
        <v>0.96987493217610476</v>
      </c>
      <c r="BE21" s="39">
        <f t="shared" si="39"/>
        <v>1</v>
      </c>
      <c r="BG21" s="39">
        <f t="shared" si="2"/>
        <v>0.20694793434041778</v>
      </c>
      <c r="BH21" s="39">
        <f t="shared" si="3"/>
        <v>0.41390109328721414</v>
      </c>
      <c r="BI21" s="39">
        <f t="shared" si="4"/>
        <v>0.55423103681153862</v>
      </c>
      <c r="BJ21" s="39">
        <f t="shared" si="5"/>
        <v>0.6338065114005903</v>
      </c>
      <c r="BK21" s="39">
        <f t="shared" si="6"/>
        <v>0.73237193827353597</v>
      </c>
      <c r="BL21" s="39">
        <f t="shared" si="7"/>
        <v>0.8270703131772158</v>
      </c>
      <c r="BM21" s="39">
        <f t="shared" si="8"/>
        <v>0.85492745246817037</v>
      </c>
      <c r="BN21" s="39">
        <f t="shared" si="9"/>
        <v>0.8986174822720141</v>
      </c>
      <c r="BO21" s="39">
        <f t="shared" si="10"/>
        <v>0.92787563573415321</v>
      </c>
      <c r="BP21" s="39">
        <f t="shared" si="11"/>
        <v>0.95694291415806598</v>
      </c>
      <c r="BQ21" s="39">
        <f t="shared" si="12"/>
        <v>0.97752037036287187</v>
      </c>
      <c r="BR21" s="39">
        <f t="shared" si="13"/>
        <v>1</v>
      </c>
      <c r="BS21" s="61"/>
      <c r="BT21" s="39">
        <f t="shared" si="14"/>
        <v>0.25550598613296466</v>
      </c>
      <c r="BU21" s="39">
        <f t="shared" si="15"/>
        <v>0.49327609011197443</v>
      </c>
      <c r="BV21" s="39">
        <f t="shared" si="16"/>
        <v>0.57259252689283202</v>
      </c>
      <c r="BW21" s="39">
        <f t="shared" si="17"/>
        <v>0.63035585938085847</v>
      </c>
      <c r="BX21" s="39">
        <f t="shared" si="18"/>
        <v>0.71929632203010441</v>
      </c>
      <c r="BY21" s="39">
        <f t="shared" si="19"/>
        <v>0.80933602564117268</v>
      </c>
      <c r="BZ21" s="39">
        <f t="shared" si="20"/>
        <v>0.85123717475571592</v>
      </c>
      <c r="CA21" s="39">
        <f t="shared" si="21"/>
        <v>0.89335168295291212</v>
      </c>
      <c r="CB21" s="39">
        <f t="shared" si="22"/>
        <v>0.92198018250915215</v>
      </c>
      <c r="CC21" s="39">
        <f t="shared" si="23"/>
        <v>0.95316586341655751</v>
      </c>
      <c r="CD21" s="39">
        <f t="shared" si="24"/>
        <v>0.97762495918615089</v>
      </c>
      <c r="CE21" s="39">
        <f t="shared" si="25"/>
        <v>1</v>
      </c>
      <c r="CG21" s="39">
        <f t="shared" si="40"/>
        <v>0.22777477668026966</v>
      </c>
      <c r="CH21" s="39">
        <f t="shared" si="41"/>
        <v>0.44435416218632207</v>
      </c>
      <c r="CI21" s="39">
        <f t="shared" si="42"/>
        <v>0.54109946961722943</v>
      </c>
      <c r="CJ21" s="39">
        <f t="shared" si="43"/>
        <v>0.6137656528956319</v>
      </c>
      <c r="CK21" s="39">
        <f t="shared" si="44"/>
        <v>0.71102155688770619</v>
      </c>
      <c r="CL21" s="39">
        <f t="shared" si="45"/>
        <v>0.80149763988136835</v>
      </c>
      <c r="CM21" s="39">
        <f t="shared" si="46"/>
        <v>0.84806862027109686</v>
      </c>
      <c r="CN21" s="39">
        <f t="shared" si="47"/>
        <v>0.89193530221178297</v>
      </c>
      <c r="CO21" s="39">
        <f t="shared" si="48"/>
        <v>0.92279081371039073</v>
      </c>
      <c r="CP21" s="39">
        <f t="shared" si="49"/>
        <v>0.9528704563067355</v>
      </c>
      <c r="CQ21" s="39">
        <f t="shared" si="50"/>
        <v>0.97500675390837588</v>
      </c>
      <c r="CR21" s="39">
        <f t="shared" si="51"/>
        <v>1</v>
      </c>
    </row>
    <row r="22" spans="1:96">
      <c r="A22" s="193" t="s">
        <v>106</v>
      </c>
      <c r="B22" s="34">
        <v>95692.160000000003</v>
      </c>
      <c r="C22" s="34">
        <v>145841.31</v>
      </c>
      <c r="D22" s="34">
        <v>58718.31</v>
      </c>
      <c r="E22" s="34">
        <v>66790.25</v>
      </c>
      <c r="F22" s="34">
        <v>82978.63</v>
      </c>
      <c r="G22" s="34">
        <v>78765.09</v>
      </c>
      <c r="H22" s="34">
        <v>22916.93</v>
      </c>
      <c r="I22" s="34">
        <v>17310.82</v>
      </c>
      <c r="J22" s="34">
        <v>17369.599999999999</v>
      </c>
      <c r="K22" s="34">
        <v>15609.41</v>
      </c>
      <c r="L22" s="34">
        <v>14426.46</v>
      </c>
      <c r="M22" s="34">
        <v>18754.439999999999</v>
      </c>
      <c r="N22" s="68">
        <f t="shared" si="0"/>
        <v>635173.40999999992</v>
      </c>
      <c r="P22" s="85" t="s">
        <v>106</v>
      </c>
      <c r="Q22" s="34">
        <v>84327.14</v>
      </c>
      <c r="R22" s="34">
        <v>122545.74</v>
      </c>
      <c r="S22" s="34">
        <v>93804</v>
      </c>
      <c r="T22" s="34">
        <v>60487.68</v>
      </c>
      <c r="U22" s="34">
        <v>70666.47</v>
      </c>
      <c r="V22" s="34">
        <v>67861.429999999993</v>
      </c>
      <c r="W22" s="34">
        <v>21722.3</v>
      </c>
      <c r="X22" s="34">
        <v>14031.28</v>
      </c>
      <c r="Y22" s="34">
        <v>14431.18</v>
      </c>
      <c r="Z22" s="34">
        <v>14040.31</v>
      </c>
      <c r="AA22" s="34">
        <v>12349.72</v>
      </c>
      <c r="AB22" s="34">
        <v>11375.19</v>
      </c>
      <c r="AC22" s="68">
        <f t="shared" si="1"/>
        <v>587642.44000000006</v>
      </c>
      <c r="AE22" s="85" t="s">
        <v>106</v>
      </c>
      <c r="AF22" s="34">
        <v>88281.27</v>
      </c>
      <c r="AG22" s="34">
        <v>161823.60999999999</v>
      </c>
      <c r="AH22" s="34">
        <v>55004.33</v>
      </c>
      <c r="AI22" s="34">
        <v>41276.949999999997</v>
      </c>
      <c r="AJ22" s="34">
        <v>62614</v>
      </c>
      <c r="AK22" s="34">
        <v>69445.69</v>
      </c>
      <c r="AL22" s="34">
        <v>18293.670000000002</v>
      </c>
      <c r="AM22" s="34">
        <v>19692.09</v>
      </c>
      <c r="AN22" s="34">
        <v>16482.43</v>
      </c>
      <c r="AO22" s="34">
        <v>12972.359999999999</v>
      </c>
      <c r="AP22" s="34">
        <v>17049.59</v>
      </c>
      <c r="AQ22" s="34">
        <v>9355.91</v>
      </c>
      <c r="AR22" s="68">
        <f t="shared" si="27"/>
        <v>572291.9</v>
      </c>
      <c r="AT22" s="39">
        <f t="shared" si="28"/>
        <v>0.15065517304951417</v>
      </c>
      <c r="AU22" s="39">
        <f t="shared" si="29"/>
        <v>0.38026382433105949</v>
      </c>
      <c r="AV22" s="39">
        <f t="shared" si="30"/>
        <v>0.47270835849378529</v>
      </c>
      <c r="AW22" s="39">
        <f t="shared" si="31"/>
        <v>0.57786113874004907</v>
      </c>
      <c r="AX22" s="39">
        <f t="shared" si="32"/>
        <v>0.70850047076120537</v>
      </c>
      <c r="AY22" s="39">
        <f t="shared" si="33"/>
        <v>0.83250611828980703</v>
      </c>
      <c r="AZ22" s="39">
        <f t="shared" si="34"/>
        <v>0.86858591892251935</v>
      </c>
      <c r="BA22" s="39">
        <f t="shared" si="35"/>
        <v>0.89583961016252256</v>
      </c>
      <c r="BB22" s="39">
        <f t="shared" si="36"/>
        <v>0.92318584305977169</v>
      </c>
      <c r="BC22" s="39">
        <f t="shared" si="37"/>
        <v>0.9477608799776428</v>
      </c>
      <c r="BD22" s="39">
        <f t="shared" si="38"/>
        <v>0.97047351210750477</v>
      </c>
      <c r="BE22" s="39">
        <f t="shared" si="39"/>
        <v>1</v>
      </c>
      <c r="BG22" s="39">
        <f t="shared" si="2"/>
        <v>0.14350076553354449</v>
      </c>
      <c r="BH22" s="39">
        <f t="shared" si="3"/>
        <v>0.35203869890677053</v>
      </c>
      <c r="BI22" s="39">
        <f t="shared" si="4"/>
        <v>0.51166637998440001</v>
      </c>
      <c r="BJ22" s="39">
        <f t="shared" si="5"/>
        <v>0.61459917700974753</v>
      </c>
      <c r="BK22" s="39">
        <f t="shared" si="6"/>
        <v>0.73485337444313925</v>
      </c>
      <c r="BL22" s="39">
        <f t="shared" si="7"/>
        <v>0.85033419301710067</v>
      </c>
      <c r="BM22" s="39">
        <f t="shared" si="8"/>
        <v>0.88729935843299534</v>
      </c>
      <c r="BN22" s="39">
        <f t="shared" si="9"/>
        <v>0.91117659915781435</v>
      </c>
      <c r="BO22" s="39">
        <f t="shared" si="10"/>
        <v>0.93573435574190322</v>
      </c>
      <c r="BP22" s="39">
        <f t="shared" si="11"/>
        <v>0.95962696295386718</v>
      </c>
      <c r="BQ22" s="39">
        <f t="shared" si="12"/>
        <v>0.98064266767390063</v>
      </c>
      <c r="BR22" s="39">
        <f t="shared" si="13"/>
        <v>1</v>
      </c>
      <c r="BS22" s="61"/>
      <c r="BT22" s="39">
        <f t="shared" si="14"/>
        <v>0.15425916389870276</v>
      </c>
      <c r="BU22" s="39">
        <f t="shared" si="15"/>
        <v>0.43702327431158816</v>
      </c>
      <c r="BV22" s="39">
        <f t="shared" si="16"/>
        <v>0.53313564284240267</v>
      </c>
      <c r="BW22" s="39">
        <f t="shared" si="17"/>
        <v>0.60526133604197441</v>
      </c>
      <c r="BX22" s="39">
        <f t="shared" si="18"/>
        <v>0.71467053788460055</v>
      </c>
      <c r="BY22" s="39">
        <f t="shared" si="19"/>
        <v>0.83601716187141561</v>
      </c>
      <c r="BZ22" s="39">
        <f t="shared" si="20"/>
        <v>0.86798278990144717</v>
      </c>
      <c r="CA22" s="39">
        <f t="shared" si="21"/>
        <v>0.90239196116527254</v>
      </c>
      <c r="CB22" s="39">
        <f t="shared" si="22"/>
        <v>0.93119270078783223</v>
      </c>
      <c r="CC22" s="39">
        <f t="shared" si="23"/>
        <v>0.95386008433807989</v>
      </c>
      <c r="CD22" s="39">
        <f t="shared" si="24"/>
        <v>0.98365185668362587</v>
      </c>
      <c r="CE22" s="39">
        <f t="shared" si="25"/>
        <v>1</v>
      </c>
      <c r="CG22" s="39">
        <f t="shared" si="40"/>
        <v>0.14947170082725381</v>
      </c>
      <c r="CH22" s="39">
        <f t="shared" si="41"/>
        <v>0.3897752658498061</v>
      </c>
      <c r="CI22" s="39">
        <f t="shared" si="42"/>
        <v>0.50583679377352941</v>
      </c>
      <c r="CJ22" s="39">
        <f t="shared" si="43"/>
        <v>0.599240550597257</v>
      </c>
      <c r="CK22" s="39">
        <f t="shared" si="44"/>
        <v>0.71934146102964835</v>
      </c>
      <c r="CL22" s="39">
        <f t="shared" si="45"/>
        <v>0.83961915772610773</v>
      </c>
      <c r="CM22" s="39">
        <f t="shared" si="46"/>
        <v>0.87462268908565388</v>
      </c>
      <c r="CN22" s="39">
        <f t="shared" si="47"/>
        <v>0.90313605682853648</v>
      </c>
      <c r="CO22" s="39">
        <f t="shared" si="48"/>
        <v>0.93003763319650246</v>
      </c>
      <c r="CP22" s="39">
        <f t="shared" si="49"/>
        <v>0.95374930908986322</v>
      </c>
      <c r="CQ22" s="39">
        <f t="shared" si="50"/>
        <v>0.97825601215501035</v>
      </c>
      <c r="CR22" s="39">
        <f t="shared" si="51"/>
        <v>1</v>
      </c>
    </row>
    <row r="23" spans="1:96">
      <c r="A23" s="193" t="s">
        <v>107</v>
      </c>
      <c r="B23" s="34">
        <v>1038614.89</v>
      </c>
      <c r="C23" s="34">
        <v>1113590.1200000001</v>
      </c>
      <c r="D23" s="34">
        <v>404431.98</v>
      </c>
      <c r="E23" s="34">
        <v>486639.78</v>
      </c>
      <c r="F23" s="34">
        <v>587992.47000000009</v>
      </c>
      <c r="G23" s="34">
        <v>531210.62</v>
      </c>
      <c r="H23" s="34">
        <v>139417.84</v>
      </c>
      <c r="I23" s="34">
        <v>106052.78</v>
      </c>
      <c r="J23" s="34">
        <v>104861.71</v>
      </c>
      <c r="K23" s="34">
        <v>103902.51</v>
      </c>
      <c r="L23" s="34">
        <v>76512.91</v>
      </c>
      <c r="M23" s="34">
        <v>99135.32</v>
      </c>
      <c r="N23" s="68">
        <f t="shared" si="0"/>
        <v>4792362.9300000016</v>
      </c>
      <c r="P23" s="85" t="s">
        <v>107</v>
      </c>
      <c r="Q23" s="34">
        <v>995249.67</v>
      </c>
      <c r="R23" s="34">
        <v>1022810.5</v>
      </c>
      <c r="S23" s="34">
        <v>618201.18000000005</v>
      </c>
      <c r="T23" s="34">
        <v>414675.77</v>
      </c>
      <c r="U23" s="34">
        <v>465379.45000000007</v>
      </c>
      <c r="V23" s="34">
        <v>450733.5</v>
      </c>
      <c r="W23" s="34">
        <v>101376.87</v>
      </c>
      <c r="X23" s="34">
        <v>89837.37</v>
      </c>
      <c r="Y23" s="34">
        <v>72607.91</v>
      </c>
      <c r="Z23" s="34">
        <v>83818.649999999994</v>
      </c>
      <c r="AA23" s="34">
        <v>77966.350000000006</v>
      </c>
      <c r="AB23" s="34">
        <v>87273.83</v>
      </c>
      <c r="AC23" s="68">
        <f t="shared" si="1"/>
        <v>4479931.0500000007</v>
      </c>
      <c r="AE23" s="85" t="s">
        <v>107</v>
      </c>
      <c r="AF23" s="34">
        <v>978965.38</v>
      </c>
      <c r="AG23" s="34">
        <v>1097615.01</v>
      </c>
      <c r="AH23" s="34">
        <v>354664.63</v>
      </c>
      <c r="AI23" s="34">
        <v>299233.59000000003</v>
      </c>
      <c r="AJ23" s="34">
        <v>498889.79000000004</v>
      </c>
      <c r="AK23" s="34">
        <v>454772.99</v>
      </c>
      <c r="AL23" s="34">
        <v>118806.73999999999</v>
      </c>
      <c r="AM23" s="34">
        <v>109853.48000000001</v>
      </c>
      <c r="AN23" s="34">
        <v>89500.43</v>
      </c>
      <c r="AO23" s="34">
        <v>119330.04</v>
      </c>
      <c r="AP23" s="34">
        <v>109436.90999999999</v>
      </c>
      <c r="AQ23" s="34">
        <v>90800.260000000009</v>
      </c>
      <c r="AR23" s="68">
        <f t="shared" si="27"/>
        <v>4321869.25</v>
      </c>
      <c r="AT23" s="39">
        <f t="shared" si="28"/>
        <v>0.21672292044041824</v>
      </c>
      <c r="AU23" s="39">
        <f t="shared" si="29"/>
        <v>0.4490905721115741</v>
      </c>
      <c r="AV23" s="39">
        <f t="shared" si="30"/>
        <v>0.53348150533331984</v>
      </c>
      <c r="AW23" s="39">
        <f t="shared" si="31"/>
        <v>0.6350263564032701</v>
      </c>
      <c r="AX23" s="39">
        <f t="shared" si="32"/>
        <v>0.75772000014197582</v>
      </c>
      <c r="AY23" s="39">
        <f t="shared" si="33"/>
        <v>0.86856524032081173</v>
      </c>
      <c r="AZ23" s="39">
        <f t="shared" si="34"/>
        <v>0.89765691013722948</v>
      </c>
      <c r="BA23" s="39">
        <f t="shared" si="35"/>
        <v>0.9197864486444477</v>
      </c>
      <c r="BB23" s="39">
        <f t="shared" si="36"/>
        <v>0.94166745213514114</v>
      </c>
      <c r="BC23" s="39">
        <f t="shared" si="37"/>
        <v>0.96334830383975101</v>
      </c>
      <c r="BD23" s="39">
        <f t="shared" si="38"/>
        <v>0.97931389557760384</v>
      </c>
      <c r="BE23" s="39">
        <f t="shared" si="39"/>
        <v>1</v>
      </c>
      <c r="BG23" s="39">
        <f t="shared" si="2"/>
        <v>0.22215736333709865</v>
      </c>
      <c r="BH23" s="39">
        <f t="shared" si="3"/>
        <v>0.45046679234047576</v>
      </c>
      <c r="BI23" s="39">
        <f t="shared" si="4"/>
        <v>0.58846025096747856</v>
      </c>
      <c r="BJ23" s="39">
        <f t="shared" si="5"/>
        <v>0.68102323137317022</v>
      </c>
      <c r="BK23" s="39">
        <f t="shared" si="6"/>
        <v>0.78490417168362436</v>
      </c>
      <c r="BL23" s="39">
        <f t="shared" si="7"/>
        <v>0.88551587641064244</v>
      </c>
      <c r="BM23" s="39">
        <f t="shared" si="8"/>
        <v>0.90814499031184859</v>
      </c>
      <c r="BN23" s="39">
        <f t="shared" si="9"/>
        <v>0.92819828331956133</v>
      </c>
      <c r="BO23" s="39">
        <f t="shared" si="10"/>
        <v>0.94440565552900635</v>
      </c>
      <c r="BP23" s="39">
        <f t="shared" si="11"/>
        <v>0.96311546357393163</v>
      </c>
      <c r="BQ23" s="39">
        <f t="shared" si="12"/>
        <v>0.98051893454922701</v>
      </c>
      <c r="BR23" s="39">
        <f t="shared" si="13"/>
        <v>1</v>
      </c>
      <c r="BS23" s="61"/>
      <c r="BT23" s="39">
        <f t="shared" si="14"/>
        <v>0.22651434445870847</v>
      </c>
      <c r="BU23" s="39">
        <f t="shared" si="15"/>
        <v>0.48048200208740699</v>
      </c>
      <c r="BV23" s="39">
        <f t="shared" si="16"/>
        <v>0.56254478776746886</v>
      </c>
      <c r="BW23" s="39">
        <f t="shared" si="17"/>
        <v>0.63178186383125767</v>
      </c>
      <c r="BX23" s="39">
        <f t="shared" si="18"/>
        <v>0.74721566368533709</v>
      </c>
      <c r="BY23" s="39">
        <f t="shared" si="19"/>
        <v>0.85244165820148299</v>
      </c>
      <c r="BZ23" s="39">
        <f t="shared" si="20"/>
        <v>0.87993132369749494</v>
      </c>
      <c r="CA23" s="39">
        <f t="shared" si="21"/>
        <v>0.90534937168679963</v>
      </c>
      <c r="CB23" s="39">
        <f t="shared" si="22"/>
        <v>0.92605810321540849</v>
      </c>
      <c r="CC23" s="39">
        <f t="shared" si="23"/>
        <v>0.95366885057894801</v>
      </c>
      <c r="CD23" s="39">
        <f t="shared" si="24"/>
        <v>0.97899051203365306</v>
      </c>
      <c r="CE23" s="39">
        <f t="shared" si="25"/>
        <v>1</v>
      </c>
      <c r="CG23" s="39">
        <f t="shared" si="40"/>
        <v>0.22179820941207509</v>
      </c>
      <c r="CH23" s="39">
        <f t="shared" si="41"/>
        <v>0.46001312217981893</v>
      </c>
      <c r="CI23" s="39">
        <f t="shared" si="42"/>
        <v>0.56149551468942249</v>
      </c>
      <c r="CJ23" s="39">
        <f t="shared" si="43"/>
        <v>0.64927715053589941</v>
      </c>
      <c r="CK23" s="39">
        <f t="shared" si="44"/>
        <v>0.7632799451703125</v>
      </c>
      <c r="CL23" s="39">
        <f t="shared" si="45"/>
        <v>0.86884092497764565</v>
      </c>
      <c r="CM23" s="39">
        <f t="shared" si="46"/>
        <v>0.89524440804885774</v>
      </c>
      <c r="CN23" s="39">
        <f t="shared" si="47"/>
        <v>0.91777803455026952</v>
      </c>
      <c r="CO23" s="39">
        <f t="shared" si="48"/>
        <v>0.93737707029318529</v>
      </c>
      <c r="CP23" s="39">
        <f t="shared" si="49"/>
        <v>0.96004420599754348</v>
      </c>
      <c r="CQ23" s="39">
        <f t="shared" si="50"/>
        <v>0.97960778072016141</v>
      </c>
      <c r="CR23" s="39">
        <f t="shared" si="51"/>
        <v>1</v>
      </c>
    </row>
    <row r="24" spans="1:96">
      <c r="A24" s="193" t="s">
        <v>108</v>
      </c>
      <c r="B24" s="34">
        <v>38766.699999999997</v>
      </c>
      <c r="C24" s="34">
        <v>48426.77</v>
      </c>
      <c r="D24" s="34">
        <v>26235.67</v>
      </c>
      <c r="E24" s="34">
        <v>29062.23</v>
      </c>
      <c r="F24" s="34">
        <v>36139.58</v>
      </c>
      <c r="G24" s="34">
        <v>47755.16</v>
      </c>
      <c r="H24" s="34">
        <v>8727.81</v>
      </c>
      <c r="I24" s="34">
        <v>8210.39</v>
      </c>
      <c r="J24" s="34">
        <v>8282.57</v>
      </c>
      <c r="K24" s="34">
        <v>12433.34</v>
      </c>
      <c r="L24" s="34">
        <v>6648.55</v>
      </c>
      <c r="M24" s="34">
        <v>8191.5</v>
      </c>
      <c r="N24" s="68">
        <f t="shared" si="0"/>
        <v>278880.27</v>
      </c>
      <c r="P24" s="85" t="s">
        <v>108</v>
      </c>
      <c r="Q24" s="34">
        <v>29786.95</v>
      </c>
      <c r="R24" s="34">
        <v>40966.65</v>
      </c>
      <c r="S24" s="34">
        <v>37814.129999999997</v>
      </c>
      <c r="T24" s="34">
        <v>25909.16</v>
      </c>
      <c r="U24" s="34">
        <v>31764.97</v>
      </c>
      <c r="V24" s="34">
        <v>36315</v>
      </c>
      <c r="W24" s="34">
        <v>7897.61</v>
      </c>
      <c r="X24" s="34">
        <v>8143.13</v>
      </c>
      <c r="Y24" s="34">
        <v>8392.49</v>
      </c>
      <c r="Z24" s="34">
        <v>5222.84</v>
      </c>
      <c r="AA24" s="34">
        <v>5319.55</v>
      </c>
      <c r="AB24" s="34">
        <v>6104.03</v>
      </c>
      <c r="AC24" s="68">
        <f t="shared" si="1"/>
        <v>243636.50999999998</v>
      </c>
      <c r="AE24" s="85" t="s">
        <v>108</v>
      </c>
      <c r="AF24" s="34">
        <v>34329.31</v>
      </c>
      <c r="AG24" s="34">
        <v>48523.96</v>
      </c>
      <c r="AH24" s="34">
        <v>19905.18</v>
      </c>
      <c r="AI24" s="34">
        <v>16130.029999999999</v>
      </c>
      <c r="AJ24" s="34">
        <v>26542.43</v>
      </c>
      <c r="AK24" s="34">
        <v>26038.1</v>
      </c>
      <c r="AL24" s="34">
        <v>8565.65</v>
      </c>
      <c r="AM24" s="34">
        <v>7414.8600000000006</v>
      </c>
      <c r="AN24" s="34">
        <v>7518.76</v>
      </c>
      <c r="AO24" s="34">
        <v>5461.67</v>
      </c>
      <c r="AP24" s="34">
        <v>5054.55</v>
      </c>
      <c r="AQ24" s="34">
        <v>7494.9</v>
      </c>
      <c r="AR24" s="68">
        <f t="shared" si="27"/>
        <v>212979.39999999997</v>
      </c>
      <c r="AT24" s="39">
        <f t="shared" si="28"/>
        <v>0.13900839955440375</v>
      </c>
      <c r="AU24" s="39">
        <f t="shared" si="29"/>
        <v>0.31265557079387507</v>
      </c>
      <c r="AV24" s="39">
        <f t="shared" si="30"/>
        <v>0.406730601630585</v>
      </c>
      <c r="AW24" s="39">
        <f t="shared" si="31"/>
        <v>0.51094102139244191</v>
      </c>
      <c r="AX24" s="39">
        <f t="shared" si="32"/>
        <v>0.64052917762880823</v>
      </c>
      <c r="AY24" s="39">
        <f t="shared" si="33"/>
        <v>0.81176811109656488</v>
      </c>
      <c r="AZ24" s="39">
        <f t="shared" si="34"/>
        <v>0.84306401453211444</v>
      </c>
      <c r="BA24" s="39">
        <f t="shared" si="35"/>
        <v>0.87250456979262092</v>
      </c>
      <c r="BB24" s="39">
        <f t="shared" si="36"/>
        <v>0.90220394580082697</v>
      </c>
      <c r="BC24" s="39">
        <f t="shared" si="37"/>
        <v>0.9467870208243846</v>
      </c>
      <c r="BD24" s="39">
        <f t="shared" si="38"/>
        <v>0.97062717990053582</v>
      </c>
      <c r="BE24" s="39">
        <f t="shared" si="39"/>
        <v>1</v>
      </c>
      <c r="BG24" s="39">
        <f t="shared" si="2"/>
        <v>0.12225979595586886</v>
      </c>
      <c r="BH24" s="39">
        <f t="shared" si="3"/>
        <v>0.29040639270362234</v>
      </c>
      <c r="BI24" s="39">
        <f t="shared" si="4"/>
        <v>0.44561354946350207</v>
      </c>
      <c r="BJ24" s="39">
        <f t="shared" si="5"/>
        <v>0.5519570527422184</v>
      </c>
      <c r="BK24" s="39">
        <f t="shared" si="6"/>
        <v>0.68233558262675831</v>
      </c>
      <c r="BL24" s="39">
        <f t="shared" si="7"/>
        <v>0.83138959756072695</v>
      </c>
      <c r="BM24" s="39">
        <f t="shared" si="8"/>
        <v>0.86380514152004562</v>
      </c>
      <c r="BN24" s="39">
        <f t="shared" si="9"/>
        <v>0.89722841621725757</v>
      </c>
      <c r="BO24" s="39">
        <f t="shared" si="10"/>
        <v>0.93167518283692385</v>
      </c>
      <c r="BP24" s="39">
        <f t="shared" si="11"/>
        <v>0.95311219980946216</v>
      </c>
      <c r="BQ24" s="39">
        <f t="shared" si="12"/>
        <v>0.97494616057338856</v>
      </c>
      <c r="BR24" s="39">
        <f t="shared" si="13"/>
        <v>1</v>
      </c>
      <c r="BS24" s="61"/>
      <c r="BT24" s="39">
        <f t="shared" si="14"/>
        <v>0.16118605836996444</v>
      </c>
      <c r="BU24" s="39">
        <f t="shared" si="15"/>
        <v>0.38902011180424023</v>
      </c>
      <c r="BV24" s="39">
        <f t="shared" si="16"/>
        <v>0.48248070001136262</v>
      </c>
      <c r="BW24" s="39">
        <f t="shared" si="17"/>
        <v>0.5582158650085407</v>
      </c>
      <c r="BX24" s="39">
        <f t="shared" si="18"/>
        <v>0.68284026530265363</v>
      </c>
      <c r="BY24" s="39">
        <f t="shared" si="19"/>
        <v>0.80509669010242313</v>
      </c>
      <c r="BZ24" s="39">
        <f t="shared" si="20"/>
        <v>0.84531489899962153</v>
      </c>
      <c r="CA24" s="39">
        <f t="shared" si="21"/>
        <v>0.88012981537181523</v>
      </c>
      <c r="CB24" s="39">
        <f t="shared" si="22"/>
        <v>0.91543257235206787</v>
      </c>
      <c r="CC24" s="39">
        <f t="shared" si="23"/>
        <v>0.9410766956804274</v>
      </c>
      <c r="CD24" s="39">
        <f t="shared" si="24"/>
        <v>0.96480927263387917</v>
      </c>
      <c r="CE24" s="39">
        <f t="shared" si="25"/>
        <v>1</v>
      </c>
      <c r="CG24" s="39">
        <f t="shared" si="40"/>
        <v>0.14081808462674569</v>
      </c>
      <c r="CH24" s="39">
        <f t="shared" si="41"/>
        <v>0.33069402510057921</v>
      </c>
      <c r="CI24" s="39">
        <f t="shared" si="42"/>
        <v>0.44494161703514989</v>
      </c>
      <c r="CJ24" s="39">
        <f t="shared" si="43"/>
        <v>0.54037131304773367</v>
      </c>
      <c r="CK24" s="39">
        <f t="shared" si="44"/>
        <v>0.66856834185274006</v>
      </c>
      <c r="CL24" s="39">
        <f t="shared" si="45"/>
        <v>0.81608479958657165</v>
      </c>
      <c r="CM24" s="39">
        <f t="shared" si="46"/>
        <v>0.85072801835059375</v>
      </c>
      <c r="CN24" s="39">
        <f t="shared" si="47"/>
        <v>0.88328760046056454</v>
      </c>
      <c r="CO24" s="39">
        <f t="shared" si="48"/>
        <v>0.9164372336632729</v>
      </c>
      <c r="CP24" s="39">
        <f t="shared" si="49"/>
        <v>0.94699197210475805</v>
      </c>
      <c r="CQ24" s="39">
        <f t="shared" si="50"/>
        <v>0.97012753770260118</v>
      </c>
      <c r="CR24" s="39">
        <f t="shared" si="51"/>
        <v>1</v>
      </c>
    </row>
    <row r="25" spans="1:96">
      <c r="A25" s="193" t="s">
        <v>109</v>
      </c>
      <c r="B25" s="34">
        <v>14026.77</v>
      </c>
      <c r="C25" s="34">
        <v>11023.45</v>
      </c>
      <c r="D25" s="34">
        <v>2937.87</v>
      </c>
      <c r="E25" s="34">
        <v>4670.87</v>
      </c>
      <c r="F25" s="34">
        <v>6397.39</v>
      </c>
      <c r="G25" s="34">
        <v>4442.07</v>
      </c>
      <c r="H25" s="34">
        <v>4001.92</v>
      </c>
      <c r="I25" s="34">
        <v>2623.41</v>
      </c>
      <c r="J25" s="34">
        <v>1586.94</v>
      </c>
      <c r="K25" s="34">
        <v>1865.61</v>
      </c>
      <c r="L25" s="34">
        <v>1755.11</v>
      </c>
      <c r="M25" s="34">
        <v>1884.06</v>
      </c>
      <c r="N25" s="68">
        <f t="shared" si="0"/>
        <v>57215.47</v>
      </c>
      <c r="P25" s="85" t="s">
        <v>109</v>
      </c>
      <c r="Q25" s="34">
        <v>9100.9</v>
      </c>
      <c r="R25" s="34">
        <v>9510.23</v>
      </c>
      <c r="S25" s="34">
        <v>10367.68</v>
      </c>
      <c r="T25" s="34">
        <v>7351.43</v>
      </c>
      <c r="U25" s="34">
        <v>6119.31</v>
      </c>
      <c r="V25" s="34">
        <v>4354.78</v>
      </c>
      <c r="W25" s="34">
        <v>2762.31</v>
      </c>
      <c r="X25" s="34">
        <v>822.91</v>
      </c>
      <c r="Y25" s="34">
        <v>444.81</v>
      </c>
      <c r="Z25" s="34">
        <v>177.92</v>
      </c>
      <c r="AA25" s="34">
        <v>951.92</v>
      </c>
      <c r="AB25" s="34">
        <v>0</v>
      </c>
      <c r="AC25" s="68">
        <f t="shared" si="1"/>
        <v>51964.19999999999</v>
      </c>
      <c r="AE25" s="85" t="s">
        <v>109</v>
      </c>
      <c r="AF25" s="34">
        <v>11397.92</v>
      </c>
      <c r="AG25" s="34">
        <v>8689.57</v>
      </c>
      <c r="AH25" s="34">
        <v>5362.53</v>
      </c>
      <c r="AI25" s="34">
        <v>3571.85</v>
      </c>
      <c r="AJ25" s="34">
        <v>3931.7</v>
      </c>
      <c r="AK25" s="34">
        <v>5645.13</v>
      </c>
      <c r="AL25" s="34">
        <v>2548.19</v>
      </c>
      <c r="AM25" s="34">
        <v>1876.61</v>
      </c>
      <c r="AN25" s="34">
        <v>1439.89</v>
      </c>
      <c r="AO25" s="34">
        <v>3215.4300000000003</v>
      </c>
      <c r="AP25" s="34">
        <v>2069.98</v>
      </c>
      <c r="AQ25" s="34">
        <v>1883.21</v>
      </c>
      <c r="AR25" s="68">
        <f t="shared" si="27"/>
        <v>51632.009999999995</v>
      </c>
      <c r="AT25" s="39">
        <f t="shared" si="28"/>
        <v>0.24515694793733234</v>
      </c>
      <c r="AU25" s="39">
        <f t="shared" si="29"/>
        <v>0.43782249800622108</v>
      </c>
      <c r="AV25" s="39">
        <f t="shared" si="30"/>
        <v>0.4891699744841736</v>
      </c>
      <c r="AW25" s="39">
        <f t="shared" si="31"/>
        <v>0.57080646195862761</v>
      </c>
      <c r="AX25" s="39">
        <f t="shared" si="32"/>
        <v>0.68261870434691874</v>
      </c>
      <c r="AY25" s="39">
        <f t="shared" si="33"/>
        <v>0.76025627334705104</v>
      </c>
      <c r="AZ25" s="39">
        <f t="shared" si="34"/>
        <v>0.83020099284336901</v>
      </c>
      <c r="BA25" s="39">
        <f t="shared" si="35"/>
        <v>0.87605240330980416</v>
      </c>
      <c r="BB25" s="39">
        <f t="shared" si="36"/>
        <v>0.90378860822081863</v>
      </c>
      <c r="BC25" s="39">
        <f t="shared" si="37"/>
        <v>0.93639534902011645</v>
      </c>
      <c r="BD25" s="39">
        <f t="shared" si="38"/>
        <v>0.96707079396533846</v>
      </c>
      <c r="BE25" s="39">
        <f t="shared" si="39"/>
        <v>1</v>
      </c>
      <c r="BG25" s="39">
        <f t="shared" si="2"/>
        <v>0.17513788338894856</v>
      </c>
      <c r="BH25" s="39">
        <f t="shared" si="3"/>
        <v>0.35815292066461141</v>
      </c>
      <c r="BI25" s="39">
        <f t="shared" si="4"/>
        <v>0.55766874117180676</v>
      </c>
      <c r="BJ25" s="39">
        <f t="shared" si="5"/>
        <v>0.69913979239553392</v>
      </c>
      <c r="BK25" s="39">
        <f t="shared" si="6"/>
        <v>0.81689990416479041</v>
      </c>
      <c r="BL25" s="39">
        <f t="shared" si="7"/>
        <v>0.90070336885779068</v>
      </c>
      <c r="BM25" s="39">
        <f t="shared" si="8"/>
        <v>0.95386131221109927</v>
      </c>
      <c r="BN25" s="39">
        <f t="shared" si="9"/>
        <v>0.96969740706101515</v>
      </c>
      <c r="BO25" s="39">
        <f t="shared" si="10"/>
        <v>0.97825733870626319</v>
      </c>
      <c r="BP25" s="39">
        <f t="shared" si="11"/>
        <v>0.98168123438829047</v>
      </c>
      <c r="BQ25" s="39">
        <f t="shared" si="12"/>
        <v>1</v>
      </c>
      <c r="BR25" s="39">
        <f t="shared" si="13"/>
        <v>1</v>
      </c>
      <c r="BS25" s="61"/>
      <c r="BT25" s="39">
        <f t="shared" si="14"/>
        <v>0.22075297862701843</v>
      </c>
      <c r="BU25" s="39">
        <f t="shared" si="15"/>
        <v>0.38905109446639791</v>
      </c>
      <c r="BV25" s="39">
        <f t="shared" si="16"/>
        <v>0.49291166468243247</v>
      </c>
      <c r="BW25" s="39">
        <f t="shared" si="17"/>
        <v>0.56209064880487891</v>
      </c>
      <c r="BX25" s="39">
        <f t="shared" si="18"/>
        <v>0.63823914660692072</v>
      </c>
      <c r="BY25" s="39">
        <f t="shared" si="19"/>
        <v>0.74757306562343773</v>
      </c>
      <c r="BZ25" s="39">
        <f t="shared" si="20"/>
        <v>0.79692597673420029</v>
      </c>
      <c r="CA25" s="39">
        <f t="shared" si="21"/>
        <v>0.83327184047260594</v>
      </c>
      <c r="CB25" s="39">
        <f t="shared" si="22"/>
        <v>0.86115938542776072</v>
      </c>
      <c r="CC25" s="39">
        <f t="shared" si="23"/>
        <v>0.92343528752802762</v>
      </c>
      <c r="CD25" s="39">
        <f t="shared" si="24"/>
        <v>0.96352630858260213</v>
      </c>
      <c r="CE25" s="39">
        <f t="shared" si="25"/>
        <v>1</v>
      </c>
      <c r="CG25" s="39">
        <f t="shared" si="40"/>
        <v>0.21368260331776642</v>
      </c>
      <c r="CH25" s="39">
        <f t="shared" si="41"/>
        <v>0.39500883771241013</v>
      </c>
      <c r="CI25" s="39">
        <f t="shared" si="42"/>
        <v>0.51325012677947102</v>
      </c>
      <c r="CJ25" s="39">
        <f t="shared" si="43"/>
        <v>0.61067896771968011</v>
      </c>
      <c r="CK25" s="39">
        <f t="shared" si="44"/>
        <v>0.71258591837287666</v>
      </c>
      <c r="CL25" s="39">
        <f t="shared" si="45"/>
        <v>0.80284423594275989</v>
      </c>
      <c r="CM25" s="39">
        <f t="shared" si="46"/>
        <v>0.86032942726288952</v>
      </c>
      <c r="CN25" s="39">
        <f t="shared" si="47"/>
        <v>0.89300721694780849</v>
      </c>
      <c r="CO25" s="39">
        <f t="shared" si="48"/>
        <v>0.91440177745161411</v>
      </c>
      <c r="CP25" s="39">
        <f t="shared" si="49"/>
        <v>0.94717062364547822</v>
      </c>
      <c r="CQ25" s="39">
        <f t="shared" si="50"/>
        <v>0.97686570084931346</v>
      </c>
      <c r="CR25" s="39">
        <f t="shared" si="51"/>
        <v>1</v>
      </c>
    </row>
    <row r="26" spans="1:96">
      <c r="A26" s="193" t="s">
        <v>110</v>
      </c>
      <c r="B26" s="34">
        <v>570780.80000000005</v>
      </c>
      <c r="C26" s="34">
        <v>760330.83</v>
      </c>
      <c r="D26" s="34">
        <v>294771.95</v>
      </c>
      <c r="E26" s="34">
        <v>311624.87</v>
      </c>
      <c r="F26" s="34">
        <v>389424.48</v>
      </c>
      <c r="G26" s="34">
        <v>355506.18</v>
      </c>
      <c r="H26" s="34">
        <v>88471.18</v>
      </c>
      <c r="I26" s="34">
        <v>61744.800000000003</v>
      </c>
      <c r="J26" s="34">
        <v>56892.99</v>
      </c>
      <c r="K26" s="34">
        <v>68822.149999999994</v>
      </c>
      <c r="L26" s="34">
        <v>37461.47</v>
      </c>
      <c r="M26" s="34">
        <v>54915.33</v>
      </c>
      <c r="N26" s="68">
        <f t="shared" si="0"/>
        <v>3050747.0300000003</v>
      </c>
      <c r="P26" s="85" t="s">
        <v>110</v>
      </c>
      <c r="Q26" s="34">
        <v>506570.91</v>
      </c>
      <c r="R26" s="34">
        <v>636216.56000000006</v>
      </c>
      <c r="S26" s="34">
        <v>422761.68</v>
      </c>
      <c r="T26" s="34">
        <v>278807.03999999998</v>
      </c>
      <c r="U26" s="34">
        <v>294160.32</v>
      </c>
      <c r="V26" s="34">
        <v>302821.59000000003</v>
      </c>
      <c r="W26" s="34">
        <v>61530.09</v>
      </c>
      <c r="X26" s="34">
        <v>55334.62</v>
      </c>
      <c r="Y26" s="34">
        <v>46039.34</v>
      </c>
      <c r="Z26" s="34">
        <v>57447.519999999997</v>
      </c>
      <c r="AA26" s="34">
        <v>46815.9</v>
      </c>
      <c r="AB26" s="34">
        <v>43366.39</v>
      </c>
      <c r="AC26" s="68">
        <f t="shared" si="1"/>
        <v>2751871.9599999995</v>
      </c>
      <c r="AE26" s="85" t="s">
        <v>110</v>
      </c>
      <c r="AF26" s="34">
        <v>461325.67000000004</v>
      </c>
      <c r="AG26" s="34">
        <v>775936.56</v>
      </c>
      <c r="AH26" s="34">
        <v>234366.34</v>
      </c>
      <c r="AI26" s="34">
        <v>189828.43</v>
      </c>
      <c r="AJ26" s="34">
        <v>269958.36</v>
      </c>
      <c r="AK26" s="34">
        <v>290278.32</v>
      </c>
      <c r="AL26" s="34">
        <v>68937.25</v>
      </c>
      <c r="AM26" s="34">
        <v>60928.77</v>
      </c>
      <c r="AN26" s="34">
        <v>50011.75</v>
      </c>
      <c r="AO26" s="34">
        <v>45391.86</v>
      </c>
      <c r="AP26" s="34">
        <v>57129.38</v>
      </c>
      <c r="AQ26" s="34">
        <v>42027.46</v>
      </c>
      <c r="AR26" s="68">
        <f t="shared" si="27"/>
        <v>2546120.1499999994</v>
      </c>
      <c r="AT26" s="39">
        <f t="shared" si="28"/>
        <v>0.18709542101889712</v>
      </c>
      <c r="AU26" s="39">
        <f t="shared" si="29"/>
        <v>0.43632317491758726</v>
      </c>
      <c r="AV26" s="39">
        <f t="shared" si="30"/>
        <v>0.53294605026625219</v>
      </c>
      <c r="AW26" s="39">
        <f t="shared" si="31"/>
        <v>0.63509312012671193</v>
      </c>
      <c r="AX26" s="39">
        <f t="shared" si="32"/>
        <v>0.76274201273253373</v>
      </c>
      <c r="AY26" s="39">
        <f t="shared" si="33"/>
        <v>0.8792728743556294</v>
      </c>
      <c r="AZ26" s="39">
        <f t="shared" si="34"/>
        <v>0.90827271574857515</v>
      </c>
      <c r="BA26" s="39">
        <f t="shared" si="35"/>
        <v>0.92851195531607211</v>
      </c>
      <c r="BB26" s="39">
        <f t="shared" si="36"/>
        <v>0.94716082703192861</v>
      </c>
      <c r="BC26" s="39">
        <f t="shared" si="37"/>
        <v>0.96971994102047843</v>
      </c>
      <c r="BD26" s="39">
        <f t="shared" si="38"/>
        <v>0.98199938262334385</v>
      </c>
      <c r="BE26" s="39">
        <f t="shared" si="39"/>
        <v>1</v>
      </c>
      <c r="BG26" s="39">
        <f t="shared" si="2"/>
        <v>0.18408229647428803</v>
      </c>
      <c r="BH26" s="39">
        <f t="shared" si="3"/>
        <v>0.41527639607185801</v>
      </c>
      <c r="BI26" s="39">
        <f t="shared" si="4"/>
        <v>0.5689033402557</v>
      </c>
      <c r="BJ26" s="39">
        <f t="shared" si="5"/>
        <v>0.67021875174744694</v>
      </c>
      <c r="BK26" s="39">
        <f t="shared" si="6"/>
        <v>0.77711337630694133</v>
      </c>
      <c r="BL26" s="39">
        <f t="shared" si="7"/>
        <v>0.88715541111149665</v>
      </c>
      <c r="BM26" s="39">
        <f t="shared" si="8"/>
        <v>0.90951476899383066</v>
      </c>
      <c r="BN26" s="39">
        <f t="shared" si="9"/>
        <v>0.92962276122759724</v>
      </c>
      <c r="BO26" s="39">
        <f t="shared" si="10"/>
        <v>0.94635295095633731</v>
      </c>
      <c r="BP26" s="39">
        <f t="shared" si="11"/>
        <v>0.96722874780845547</v>
      </c>
      <c r="BQ26" s="39">
        <f t="shared" si="12"/>
        <v>0.98424113089912801</v>
      </c>
      <c r="BR26" s="39">
        <f t="shared" si="13"/>
        <v>1</v>
      </c>
      <c r="BS26" s="61"/>
      <c r="BT26" s="39">
        <f t="shared" si="14"/>
        <v>0.1811877063225002</v>
      </c>
      <c r="BU26" s="39">
        <f t="shared" si="15"/>
        <v>0.48594023734504449</v>
      </c>
      <c r="BV26" s="39">
        <f t="shared" si="16"/>
        <v>0.57798865854779102</v>
      </c>
      <c r="BW26" s="39">
        <f t="shared" si="17"/>
        <v>0.65254461773926908</v>
      </c>
      <c r="BX26" s="39">
        <f t="shared" si="18"/>
        <v>0.75857196291384765</v>
      </c>
      <c r="BY26" s="39">
        <f t="shared" si="19"/>
        <v>0.87258006264943944</v>
      </c>
      <c r="BZ26" s="39">
        <f t="shared" si="20"/>
        <v>0.89965547383928457</v>
      </c>
      <c r="CA26" s="39">
        <f t="shared" si="21"/>
        <v>0.92358551893161844</v>
      </c>
      <c r="CB26" s="39">
        <f t="shared" si="22"/>
        <v>0.94322785592031089</v>
      </c>
      <c r="CC26" s="39">
        <f t="shared" si="23"/>
        <v>0.96105571058773487</v>
      </c>
      <c r="CD26" s="39">
        <f t="shared" si="24"/>
        <v>0.98349352837885518</v>
      </c>
      <c r="CE26" s="39">
        <f t="shared" si="25"/>
        <v>1</v>
      </c>
      <c r="CG26" s="39">
        <f t="shared" si="40"/>
        <v>0.18412180793856181</v>
      </c>
      <c r="CH26" s="39">
        <f t="shared" si="41"/>
        <v>0.44584660277816329</v>
      </c>
      <c r="CI26" s="39">
        <f t="shared" si="42"/>
        <v>0.55994601635658103</v>
      </c>
      <c r="CJ26" s="39">
        <f t="shared" si="43"/>
        <v>0.65261882987114261</v>
      </c>
      <c r="CK26" s="39">
        <f t="shared" si="44"/>
        <v>0.76614245065110753</v>
      </c>
      <c r="CL26" s="39">
        <f t="shared" si="45"/>
        <v>0.87966944937218849</v>
      </c>
      <c r="CM26" s="39">
        <f t="shared" si="46"/>
        <v>0.90581431952723024</v>
      </c>
      <c r="CN26" s="39">
        <f t="shared" si="47"/>
        <v>0.92724007849176271</v>
      </c>
      <c r="CO26" s="39">
        <f t="shared" si="48"/>
        <v>0.94558054463619223</v>
      </c>
      <c r="CP26" s="39">
        <f t="shared" si="49"/>
        <v>0.96600146647222296</v>
      </c>
      <c r="CQ26" s="39">
        <f t="shared" si="50"/>
        <v>0.98324468063377568</v>
      </c>
      <c r="CR26" s="39">
        <f t="shared" si="51"/>
        <v>1</v>
      </c>
    </row>
    <row r="27" spans="1:96">
      <c r="A27" s="193" t="s">
        <v>111</v>
      </c>
      <c r="B27" s="34">
        <v>3846614.09</v>
      </c>
      <c r="C27" s="34">
        <v>3684385.84</v>
      </c>
      <c r="D27" s="34">
        <v>1459068.49</v>
      </c>
      <c r="E27" s="34">
        <v>1643754.38</v>
      </c>
      <c r="F27" s="34">
        <v>2062317.61</v>
      </c>
      <c r="G27" s="34">
        <v>1593637.56</v>
      </c>
      <c r="H27" s="34">
        <v>656431.5</v>
      </c>
      <c r="I27" s="34">
        <v>535638.26</v>
      </c>
      <c r="J27" s="34">
        <v>462887.37</v>
      </c>
      <c r="K27" s="34">
        <v>455158.88</v>
      </c>
      <c r="L27" s="34">
        <v>514546.83</v>
      </c>
      <c r="M27" s="34">
        <v>580668.28</v>
      </c>
      <c r="N27" s="68">
        <f t="shared" si="0"/>
        <v>17495109.09</v>
      </c>
      <c r="P27" s="85" t="s">
        <v>111</v>
      </c>
      <c r="Q27" s="34">
        <v>5167080.1500000004</v>
      </c>
      <c r="R27" s="34">
        <v>3273636.99</v>
      </c>
      <c r="S27" s="34">
        <v>670179.79</v>
      </c>
      <c r="T27" s="34">
        <v>2020931.2</v>
      </c>
      <c r="U27" s="34">
        <v>1481986.46</v>
      </c>
      <c r="V27" s="34">
        <v>1022671.92</v>
      </c>
      <c r="W27" s="34">
        <v>409389.24</v>
      </c>
      <c r="X27" s="34">
        <v>364080.62</v>
      </c>
      <c r="Y27" s="34">
        <v>286094.34000000003</v>
      </c>
      <c r="Z27" s="34">
        <v>314778.55</v>
      </c>
      <c r="AA27" s="34">
        <v>257510.86</v>
      </c>
      <c r="AB27" s="34">
        <v>293455.51</v>
      </c>
      <c r="AC27" s="68">
        <f t="shared" si="1"/>
        <v>15561795.629999999</v>
      </c>
      <c r="AE27" s="85" t="s">
        <v>111</v>
      </c>
      <c r="AF27" s="34">
        <v>6426892.2700000005</v>
      </c>
      <c r="AG27" s="34">
        <v>1364083.1099999999</v>
      </c>
      <c r="AH27" s="34">
        <v>1814560.58</v>
      </c>
      <c r="AI27" s="34">
        <v>591276.49</v>
      </c>
      <c r="AJ27" s="34">
        <v>2318748.96</v>
      </c>
      <c r="AK27" s="34">
        <v>728171.10000000009</v>
      </c>
      <c r="AL27" s="34">
        <v>391310.96</v>
      </c>
      <c r="AM27" s="34">
        <v>423966.51999999996</v>
      </c>
      <c r="AN27" s="34">
        <v>193439.94999999998</v>
      </c>
      <c r="AO27" s="34">
        <v>527595.19999999995</v>
      </c>
      <c r="AP27" s="34">
        <v>342140.32</v>
      </c>
      <c r="AQ27" s="34">
        <v>172216.43</v>
      </c>
      <c r="AR27" s="68">
        <f t="shared" si="27"/>
        <v>15294401.889999999</v>
      </c>
      <c r="AT27" s="39">
        <f t="shared" si="28"/>
        <v>0.21986796825397789</v>
      </c>
      <c r="AU27" s="39">
        <f t="shared" si="29"/>
        <v>0.43046315923257839</v>
      </c>
      <c r="AV27" s="39">
        <f t="shared" si="30"/>
        <v>0.51386180982081542</v>
      </c>
      <c r="AW27" s="39">
        <f t="shared" si="31"/>
        <v>0.60781689015464158</v>
      </c>
      <c r="AX27" s="39">
        <f t="shared" si="32"/>
        <v>0.72569655580238512</v>
      </c>
      <c r="AY27" s="39">
        <f t="shared" si="33"/>
        <v>0.81678701724517233</v>
      </c>
      <c r="AZ27" s="39">
        <f t="shared" si="34"/>
        <v>0.85430787502451644</v>
      </c>
      <c r="BA27" s="39">
        <f t="shared" si="35"/>
        <v>0.88492433230091971</v>
      </c>
      <c r="BB27" s="39">
        <f t="shared" si="36"/>
        <v>0.91138243368335581</v>
      </c>
      <c r="BC27" s="39">
        <f t="shared" si="37"/>
        <v>0.93739878360484119</v>
      </c>
      <c r="BD27" s="39">
        <f t="shared" si="38"/>
        <v>0.96680967937879825</v>
      </c>
      <c r="BE27" s="39">
        <f t="shared" si="39"/>
        <v>1</v>
      </c>
      <c r="BG27" s="39">
        <f t="shared" si="2"/>
        <v>0.33203624265820025</v>
      </c>
      <c r="BH27" s="39">
        <f t="shared" si="3"/>
        <v>0.54239994796795832</v>
      </c>
      <c r="BI27" s="39">
        <f t="shared" si="4"/>
        <v>0.58546565875958623</v>
      </c>
      <c r="BJ27" s="39">
        <f t="shared" si="5"/>
        <v>0.71533056947105012</v>
      </c>
      <c r="BK27" s="39">
        <f t="shared" si="6"/>
        <v>0.81056292537881125</v>
      </c>
      <c r="BL27" s="39">
        <f t="shared" si="7"/>
        <v>0.87627975808341863</v>
      </c>
      <c r="BM27" s="39">
        <f t="shared" si="8"/>
        <v>0.90258708467565196</v>
      </c>
      <c r="BN27" s="39">
        <f t="shared" si="9"/>
        <v>0.92598288222089964</v>
      </c>
      <c r="BO27" s="39">
        <f t="shared" si="10"/>
        <v>0.9443672863605137</v>
      </c>
      <c r="BP27" s="39">
        <f t="shared" si="11"/>
        <v>0.96459493601510571</v>
      </c>
      <c r="BQ27" s="39">
        <f t="shared" si="12"/>
        <v>0.98114256754315188</v>
      </c>
      <c r="BR27" s="39">
        <f t="shared" si="13"/>
        <v>1</v>
      </c>
      <c r="BS27" s="61"/>
      <c r="BT27" s="39">
        <f t="shared" si="14"/>
        <v>0.42021206950251005</v>
      </c>
      <c r="BU27" s="39">
        <f t="shared" si="15"/>
        <v>0.50940046142595519</v>
      </c>
      <c r="BV27" s="39">
        <f t="shared" si="16"/>
        <v>0.62804260206346663</v>
      </c>
      <c r="BW27" s="39">
        <f t="shared" si="17"/>
        <v>0.66670226945370281</v>
      </c>
      <c r="BX27" s="39">
        <f t="shared" si="18"/>
        <v>0.81830996073034412</v>
      </c>
      <c r="BY27" s="39">
        <f t="shared" si="19"/>
        <v>0.86592026319507165</v>
      </c>
      <c r="BZ27" s="39">
        <f t="shared" si="20"/>
        <v>0.89150550430579811</v>
      </c>
      <c r="CA27" s="39">
        <f t="shared" si="21"/>
        <v>0.91922587696562752</v>
      </c>
      <c r="CB27" s="39">
        <f t="shared" si="22"/>
        <v>0.93187363863628669</v>
      </c>
      <c r="CC27" s="39">
        <f t="shared" si="23"/>
        <v>0.96636960675550809</v>
      </c>
      <c r="CD27" s="39">
        <f t="shared" si="24"/>
        <v>0.98873990423171754</v>
      </c>
      <c r="CE27" s="39">
        <f t="shared" si="25"/>
        <v>1</v>
      </c>
      <c r="CG27" s="39">
        <f t="shared" si="40"/>
        <v>0.32403876013822935</v>
      </c>
      <c r="CH27" s="39">
        <f t="shared" si="41"/>
        <v>0.49408785620883061</v>
      </c>
      <c r="CI27" s="39">
        <f t="shared" si="42"/>
        <v>0.57579002354795616</v>
      </c>
      <c r="CJ27" s="39">
        <f t="shared" si="43"/>
        <v>0.66328324302646491</v>
      </c>
      <c r="CK27" s="39">
        <f t="shared" si="44"/>
        <v>0.78485648063718028</v>
      </c>
      <c r="CL27" s="39">
        <f t="shared" si="45"/>
        <v>0.85299567950788757</v>
      </c>
      <c r="CM27" s="39">
        <f t="shared" si="46"/>
        <v>0.88280015466865558</v>
      </c>
      <c r="CN27" s="39">
        <f t="shared" si="47"/>
        <v>0.91004436382914899</v>
      </c>
      <c r="CO27" s="39">
        <f t="shared" si="48"/>
        <v>0.92920778622671873</v>
      </c>
      <c r="CP27" s="39">
        <f t="shared" si="49"/>
        <v>0.95612110879181833</v>
      </c>
      <c r="CQ27" s="39">
        <f t="shared" si="50"/>
        <v>0.97889738371788926</v>
      </c>
      <c r="CR27" s="39">
        <f t="shared" si="51"/>
        <v>1</v>
      </c>
    </row>
    <row r="28" spans="1:96">
      <c r="A28" s="193" t="s">
        <v>112</v>
      </c>
      <c r="B28" s="34">
        <v>55939.76</v>
      </c>
      <c r="C28" s="34">
        <v>85711.94</v>
      </c>
      <c r="D28" s="34">
        <v>34417.199999999997</v>
      </c>
      <c r="E28" s="34">
        <v>36447.22</v>
      </c>
      <c r="F28" s="34">
        <v>42980.4</v>
      </c>
      <c r="G28" s="34">
        <v>45502.35</v>
      </c>
      <c r="H28" s="34">
        <v>14099.27</v>
      </c>
      <c r="I28" s="34">
        <v>7700.74</v>
      </c>
      <c r="J28" s="34">
        <v>9835.0499999999993</v>
      </c>
      <c r="K28" s="34">
        <v>9591.18</v>
      </c>
      <c r="L28" s="34">
        <v>7342.81</v>
      </c>
      <c r="M28" s="34">
        <v>10505.85</v>
      </c>
      <c r="N28" s="68">
        <f t="shared" si="0"/>
        <v>360073.76999999996</v>
      </c>
      <c r="P28" s="85" t="s">
        <v>112</v>
      </c>
      <c r="Q28" s="34">
        <v>59785.48</v>
      </c>
      <c r="R28" s="34">
        <v>65893.25</v>
      </c>
      <c r="S28" s="34">
        <v>52488.84</v>
      </c>
      <c r="T28" s="34">
        <v>28091.78</v>
      </c>
      <c r="U28" s="34">
        <v>32520.410000000003</v>
      </c>
      <c r="V28" s="34">
        <v>37199.22</v>
      </c>
      <c r="W28" s="34">
        <v>12440.510000000002</v>
      </c>
      <c r="X28" s="34">
        <v>10508.03</v>
      </c>
      <c r="Y28" s="34">
        <v>9297.92</v>
      </c>
      <c r="Z28" s="34">
        <v>9296.74</v>
      </c>
      <c r="AA28" s="34">
        <v>7029.64</v>
      </c>
      <c r="AB28" s="34">
        <v>7525.56</v>
      </c>
      <c r="AC28" s="68">
        <f t="shared" si="1"/>
        <v>332077.38</v>
      </c>
      <c r="AE28" s="85" t="s">
        <v>112</v>
      </c>
      <c r="AF28" s="34">
        <v>59642.25</v>
      </c>
      <c r="AG28" s="34">
        <v>83949.55</v>
      </c>
      <c r="AH28" s="34">
        <v>29865.360000000001</v>
      </c>
      <c r="AI28" s="34">
        <v>24538.94</v>
      </c>
      <c r="AJ28" s="34">
        <v>34338.29</v>
      </c>
      <c r="AK28" s="34">
        <v>33456.339999999997</v>
      </c>
      <c r="AL28" s="34">
        <v>8885.89</v>
      </c>
      <c r="AM28" s="34">
        <v>13464.45</v>
      </c>
      <c r="AN28" s="34">
        <v>10556.279999999999</v>
      </c>
      <c r="AO28" s="34">
        <v>8488.31</v>
      </c>
      <c r="AP28" s="34">
        <v>6038.5199999999995</v>
      </c>
      <c r="AQ28" s="34">
        <v>7769.66</v>
      </c>
      <c r="AR28" s="68">
        <f t="shared" si="27"/>
        <v>320993.83999999997</v>
      </c>
      <c r="AT28" s="39">
        <f t="shared" si="28"/>
        <v>0.15535638710923044</v>
      </c>
      <c r="AU28" s="39">
        <f t="shared" si="29"/>
        <v>0.39339633097962129</v>
      </c>
      <c r="AV28" s="39">
        <f t="shared" si="30"/>
        <v>0.48898007761020762</v>
      </c>
      <c r="AW28" s="39">
        <f t="shared" si="31"/>
        <v>0.59020161340827482</v>
      </c>
      <c r="AX28" s="39">
        <f t="shared" si="32"/>
        <v>0.70956715341970078</v>
      </c>
      <c r="AY28" s="39">
        <f t="shared" si="33"/>
        <v>0.83593667486526446</v>
      </c>
      <c r="AZ28" s="39">
        <f t="shared" si="34"/>
        <v>0.87509328991112034</v>
      </c>
      <c r="BA28" s="39">
        <f t="shared" si="35"/>
        <v>0.89647985189257207</v>
      </c>
      <c r="BB28" s="39">
        <f t="shared" si="36"/>
        <v>0.92379383813489113</v>
      </c>
      <c r="BC28" s="39">
        <f t="shared" si="37"/>
        <v>0.95043054649606951</v>
      </c>
      <c r="BD28" s="39">
        <f t="shared" si="38"/>
        <v>0.97082306217417624</v>
      </c>
      <c r="BE28" s="39">
        <f t="shared" si="39"/>
        <v>1</v>
      </c>
      <c r="BG28" s="39">
        <f t="shared" si="2"/>
        <v>0.18003478586828167</v>
      </c>
      <c r="BH28" s="39">
        <f t="shared" si="3"/>
        <v>0.37846218251902619</v>
      </c>
      <c r="BI28" s="39">
        <f t="shared" si="4"/>
        <v>0.53652425829184758</v>
      </c>
      <c r="BJ28" s="39">
        <f t="shared" si="5"/>
        <v>0.62111833693701146</v>
      </c>
      <c r="BK28" s="39">
        <f t="shared" si="6"/>
        <v>0.7190485542857511</v>
      </c>
      <c r="BL28" s="39">
        <f t="shared" si="7"/>
        <v>0.83106828896325302</v>
      </c>
      <c r="BM28" s="39">
        <f t="shared" si="8"/>
        <v>0.86853097311235106</v>
      </c>
      <c r="BN28" s="39">
        <f t="shared" si="9"/>
        <v>0.90017429070296817</v>
      </c>
      <c r="BO28" s="39">
        <f t="shared" si="10"/>
        <v>0.92817354798450891</v>
      </c>
      <c r="BP28" s="39">
        <f t="shared" si="11"/>
        <v>0.95616925187737867</v>
      </c>
      <c r="BQ28" s="39">
        <f t="shared" si="12"/>
        <v>0.97733793250235834</v>
      </c>
      <c r="BR28" s="39">
        <f t="shared" si="13"/>
        <v>1</v>
      </c>
      <c r="BS28" s="61"/>
      <c r="BT28" s="39">
        <f t="shared" si="14"/>
        <v>0.18580496747227301</v>
      </c>
      <c r="BU28" s="39">
        <f t="shared" si="15"/>
        <v>0.44733506412459506</v>
      </c>
      <c r="BV28" s="39">
        <f t="shared" si="16"/>
        <v>0.54037535424355809</v>
      </c>
      <c r="BW28" s="39">
        <f t="shared" si="17"/>
        <v>0.61682211720947666</v>
      </c>
      <c r="BX28" s="39">
        <f t="shared" si="18"/>
        <v>0.72379703610511659</v>
      </c>
      <c r="BY28" s="39">
        <f t="shared" si="19"/>
        <v>0.82802439448682252</v>
      </c>
      <c r="BZ28" s="39">
        <f t="shared" si="20"/>
        <v>0.85570682602507275</v>
      </c>
      <c r="CA28" s="39">
        <f t="shared" si="21"/>
        <v>0.89765295807545731</v>
      </c>
      <c r="CB28" s="39">
        <f t="shared" si="22"/>
        <v>0.93053919664003526</v>
      </c>
      <c r="CC28" s="39">
        <f t="shared" si="23"/>
        <v>0.95698303743149715</v>
      </c>
      <c r="CD28" s="39">
        <f t="shared" si="24"/>
        <v>0.97579498721844637</v>
      </c>
      <c r="CE28" s="39">
        <f t="shared" si="25"/>
        <v>1</v>
      </c>
      <c r="CG28" s="39">
        <f t="shared" si="40"/>
        <v>0.17373204681659504</v>
      </c>
      <c r="CH28" s="39">
        <f t="shared" si="41"/>
        <v>0.40639785920774751</v>
      </c>
      <c r="CI28" s="39">
        <f t="shared" si="42"/>
        <v>0.52195989671520449</v>
      </c>
      <c r="CJ28" s="39">
        <f t="shared" si="43"/>
        <v>0.60938068918492094</v>
      </c>
      <c r="CK28" s="39">
        <f t="shared" si="44"/>
        <v>0.71747091460352275</v>
      </c>
      <c r="CL28" s="39">
        <f t="shared" si="45"/>
        <v>0.83167645277177993</v>
      </c>
      <c r="CM28" s="39">
        <f t="shared" si="46"/>
        <v>0.86644369634951479</v>
      </c>
      <c r="CN28" s="39">
        <f t="shared" si="47"/>
        <v>0.89810236689033252</v>
      </c>
      <c r="CO28" s="39">
        <f t="shared" si="48"/>
        <v>0.92750219425314517</v>
      </c>
      <c r="CP28" s="39">
        <f t="shared" si="49"/>
        <v>0.95452761193498181</v>
      </c>
      <c r="CQ28" s="39">
        <f t="shared" si="50"/>
        <v>0.97465199396499358</v>
      </c>
      <c r="CR28" s="39">
        <f t="shared" si="51"/>
        <v>1</v>
      </c>
    </row>
    <row r="29" spans="1:96">
      <c r="A29" s="193" t="s">
        <v>113</v>
      </c>
      <c r="B29" s="34">
        <v>22640.95</v>
      </c>
      <c r="C29" s="34">
        <v>35885.96</v>
      </c>
      <c r="D29" s="34">
        <v>19764.84</v>
      </c>
      <c r="E29" s="34">
        <v>23573.39</v>
      </c>
      <c r="F29" s="34">
        <v>29686.61</v>
      </c>
      <c r="G29" s="34">
        <v>26010.04</v>
      </c>
      <c r="H29" s="34">
        <v>7835.75</v>
      </c>
      <c r="I29" s="34">
        <v>8641.83</v>
      </c>
      <c r="J29" s="34">
        <v>7554.68</v>
      </c>
      <c r="K29" s="34">
        <v>8454.5</v>
      </c>
      <c r="L29" s="34">
        <v>5079.51</v>
      </c>
      <c r="M29" s="34">
        <v>4672.49</v>
      </c>
      <c r="N29" s="68">
        <f t="shared" si="0"/>
        <v>199800.55</v>
      </c>
      <c r="P29" s="85" t="s">
        <v>113</v>
      </c>
      <c r="Q29" s="34">
        <v>18233.98</v>
      </c>
      <c r="R29" s="34">
        <v>32485.1</v>
      </c>
      <c r="S29" s="34">
        <v>35704.239999999998</v>
      </c>
      <c r="T29" s="34">
        <v>19376.8</v>
      </c>
      <c r="U29" s="34">
        <v>16714.97</v>
      </c>
      <c r="V29" s="34">
        <v>16410.25</v>
      </c>
      <c r="W29" s="34">
        <v>7134.920000000001</v>
      </c>
      <c r="X29" s="34">
        <v>8638.5</v>
      </c>
      <c r="Y29" s="34">
        <v>6043.62</v>
      </c>
      <c r="Z29" s="34">
        <v>7937.39</v>
      </c>
      <c r="AA29" s="34">
        <v>3687.61</v>
      </c>
      <c r="AB29" s="34">
        <v>4403.7299999999996</v>
      </c>
      <c r="AC29" s="68">
        <f t="shared" si="1"/>
        <v>176771.11000000004</v>
      </c>
      <c r="AE29" s="85" t="s">
        <v>113</v>
      </c>
      <c r="AF29" s="34">
        <v>21182.93</v>
      </c>
      <c r="AG29" s="34">
        <v>41360.97</v>
      </c>
      <c r="AH29" s="34">
        <v>15030.32</v>
      </c>
      <c r="AI29" s="34">
        <v>13329.109999999999</v>
      </c>
      <c r="AJ29" s="34">
        <v>18932.27</v>
      </c>
      <c r="AK29" s="34">
        <v>18806.72</v>
      </c>
      <c r="AL29" s="34">
        <v>7534.65</v>
      </c>
      <c r="AM29" s="34">
        <v>6734.91</v>
      </c>
      <c r="AN29" s="34">
        <v>8801.67</v>
      </c>
      <c r="AO29" s="34">
        <v>10783.5</v>
      </c>
      <c r="AP29" s="34">
        <v>8920.81</v>
      </c>
      <c r="AQ29" s="34">
        <v>6496.39</v>
      </c>
      <c r="AR29" s="68">
        <f t="shared" si="27"/>
        <v>177914.25000000003</v>
      </c>
      <c r="AT29" s="39">
        <f t="shared" si="28"/>
        <v>0.11331775613230295</v>
      </c>
      <c r="AU29" s="39">
        <f t="shared" si="29"/>
        <v>0.2929266711227772</v>
      </c>
      <c r="AV29" s="39">
        <f t="shared" si="30"/>
        <v>0.39184952193575046</v>
      </c>
      <c r="AW29" s="39">
        <f t="shared" si="31"/>
        <v>0.50983413208822503</v>
      </c>
      <c r="AX29" s="39">
        <f t="shared" si="32"/>
        <v>0.65841535471248702</v>
      </c>
      <c r="AY29" s="39">
        <f t="shared" si="33"/>
        <v>0.78859537673945346</v>
      </c>
      <c r="AZ29" s="39">
        <f t="shared" si="34"/>
        <v>0.82781323675034935</v>
      </c>
      <c r="BA29" s="39">
        <f t="shared" si="35"/>
        <v>0.87106552008990967</v>
      </c>
      <c r="BB29" s="39">
        <f t="shared" si="36"/>
        <v>0.90887662721649165</v>
      </c>
      <c r="BC29" s="39">
        <f t="shared" si="37"/>
        <v>0.95119132554940411</v>
      </c>
      <c r="BD29" s="39">
        <f t="shared" si="38"/>
        <v>0.97661422853941093</v>
      </c>
      <c r="BE29" s="39">
        <f t="shared" si="39"/>
        <v>1</v>
      </c>
      <c r="BG29" s="39">
        <f t="shared" si="2"/>
        <v>0.10315022630111897</v>
      </c>
      <c r="BH29" s="39">
        <f t="shared" si="3"/>
        <v>0.28691950851018577</v>
      </c>
      <c r="BI29" s="39">
        <f t="shared" si="4"/>
        <v>0.48889957188140065</v>
      </c>
      <c r="BJ29" s="39">
        <f t="shared" si="5"/>
        <v>0.59851476861801678</v>
      </c>
      <c r="BK29" s="39">
        <f t="shared" si="6"/>
        <v>0.69307190524514994</v>
      </c>
      <c r="BL29" s="39">
        <f t="shared" si="7"/>
        <v>0.78590523078120622</v>
      </c>
      <c r="BM29" s="39">
        <f t="shared" si="8"/>
        <v>0.8262677085639164</v>
      </c>
      <c r="BN29" s="39">
        <f t="shared" si="9"/>
        <v>0.87513598800165937</v>
      </c>
      <c r="BO29" s="39">
        <f t="shared" si="10"/>
        <v>0.90932494568824052</v>
      </c>
      <c r="BP29" s="39">
        <f t="shared" si="11"/>
        <v>0.95422702273012827</v>
      </c>
      <c r="BQ29" s="39">
        <f t="shared" si="12"/>
        <v>0.97508795413458671</v>
      </c>
      <c r="BR29" s="39">
        <f t="shared" si="13"/>
        <v>1</v>
      </c>
      <c r="BS29" s="61"/>
      <c r="BT29" s="39">
        <f t="shared" si="14"/>
        <v>0.1190625821146985</v>
      </c>
      <c r="BU29" s="39">
        <f t="shared" si="15"/>
        <v>0.35153957594740159</v>
      </c>
      <c r="BV29" s="39">
        <f t="shared" si="16"/>
        <v>0.43602027381168168</v>
      </c>
      <c r="BW29" s="39">
        <f t="shared" si="17"/>
        <v>0.5109390057288834</v>
      </c>
      <c r="BX29" s="39">
        <f t="shared" si="18"/>
        <v>0.61735133638817574</v>
      </c>
      <c r="BY29" s="39">
        <f t="shared" si="19"/>
        <v>0.7230579900148526</v>
      </c>
      <c r="BZ29" s="39">
        <f t="shared" si="20"/>
        <v>0.76540788610243404</v>
      </c>
      <c r="CA29" s="39">
        <f t="shared" si="21"/>
        <v>0.80326269537150607</v>
      </c>
      <c r="CB29" s="39">
        <f t="shared" si="22"/>
        <v>0.85273411207927408</v>
      </c>
      <c r="CC29" s="39">
        <f t="shared" si="23"/>
        <v>0.91334477142780857</v>
      </c>
      <c r="CD29" s="39">
        <f t="shared" si="24"/>
        <v>0.96348583657576603</v>
      </c>
      <c r="CE29" s="39">
        <f t="shared" si="25"/>
        <v>1</v>
      </c>
      <c r="CG29" s="39">
        <f t="shared" si="40"/>
        <v>0.11184352151604014</v>
      </c>
      <c r="CH29" s="39">
        <f t="shared" si="41"/>
        <v>0.31046191852678823</v>
      </c>
      <c r="CI29" s="39">
        <f t="shared" si="42"/>
        <v>0.43892312254294424</v>
      </c>
      <c r="CJ29" s="39">
        <f t="shared" si="43"/>
        <v>0.53976263547837511</v>
      </c>
      <c r="CK29" s="39">
        <f t="shared" si="44"/>
        <v>0.6562795321152709</v>
      </c>
      <c r="CL29" s="39">
        <f t="shared" si="45"/>
        <v>0.76585286584517076</v>
      </c>
      <c r="CM29" s="39">
        <f t="shared" si="46"/>
        <v>0.80649627713889993</v>
      </c>
      <c r="CN29" s="39">
        <f t="shared" si="47"/>
        <v>0.84982140115435845</v>
      </c>
      <c r="CO29" s="39">
        <f t="shared" si="48"/>
        <v>0.89031189499466878</v>
      </c>
      <c r="CP29" s="39">
        <f t="shared" si="49"/>
        <v>0.93958770656911372</v>
      </c>
      <c r="CQ29" s="39">
        <f t="shared" si="50"/>
        <v>0.97172933974992126</v>
      </c>
      <c r="CR29" s="39">
        <f t="shared" si="51"/>
        <v>1</v>
      </c>
    </row>
    <row r="30" spans="1:96">
      <c r="A30" s="193" t="s">
        <v>241</v>
      </c>
      <c r="N30" s="63">
        <f t="shared" si="0"/>
        <v>0</v>
      </c>
      <c r="P30" s="176" t="s">
        <v>241</v>
      </c>
      <c r="AC30" s="63">
        <f t="shared" si="1"/>
        <v>0</v>
      </c>
      <c r="AR30" s="63">
        <f t="shared" si="27"/>
        <v>0</v>
      </c>
      <c r="AT30" s="61">
        <f>AVERAGE(AT3:AT29)</f>
        <v>0.17552953213054842</v>
      </c>
      <c r="AU30" s="61">
        <f t="shared" ref="AU30:BE30" si="52">AVERAGE(AU3:AU29)</f>
        <v>0.38435275146209047</v>
      </c>
      <c r="AV30" s="61">
        <f t="shared" si="52"/>
        <v>0.47336401646517628</v>
      </c>
      <c r="AW30" s="61">
        <f t="shared" si="52"/>
        <v>0.57363873426429157</v>
      </c>
      <c r="AX30" s="61">
        <f t="shared" si="52"/>
        <v>0.70023592299646464</v>
      </c>
      <c r="AY30" s="61">
        <f t="shared" si="52"/>
        <v>0.8141547288967601</v>
      </c>
      <c r="AZ30" s="61">
        <f t="shared" si="52"/>
        <v>0.85573292922685085</v>
      </c>
      <c r="BA30" s="61">
        <f t="shared" si="52"/>
        <v>0.88740815798149542</v>
      </c>
      <c r="BB30" s="61">
        <f t="shared" si="52"/>
        <v>0.91688057466129658</v>
      </c>
      <c r="BC30" s="61">
        <f t="shared" si="52"/>
        <v>0.94722814612376438</v>
      </c>
      <c r="BD30" s="61">
        <f t="shared" si="52"/>
        <v>0.97137496774627086</v>
      </c>
      <c r="BE30" s="61">
        <f t="shared" si="52"/>
        <v>1</v>
      </c>
      <c r="BG30" s="61">
        <f>AVERAGE(BG3:BG29)</f>
        <v>0.16950191152767169</v>
      </c>
      <c r="BH30" s="61">
        <f t="shared" ref="BH30:BR30" si="53">AVERAGE(BH3:BH29)</f>
        <v>0.36591406468874804</v>
      </c>
      <c r="BI30" s="61">
        <f t="shared" si="53"/>
        <v>0.51671252322539918</v>
      </c>
      <c r="BJ30" s="61">
        <f t="shared" si="53"/>
        <v>0.61822818167321192</v>
      </c>
      <c r="BK30" s="61">
        <f t="shared" si="53"/>
        <v>0.72798215963888224</v>
      </c>
      <c r="BL30" s="61">
        <f t="shared" si="53"/>
        <v>0.83317193466410489</v>
      </c>
      <c r="BM30" s="61">
        <f t="shared" si="53"/>
        <v>0.86808002555206798</v>
      </c>
      <c r="BN30" s="61">
        <f t="shared" si="53"/>
        <v>0.90288118756354674</v>
      </c>
      <c r="BO30" s="61">
        <f t="shared" si="53"/>
        <v>0.92944779297431568</v>
      </c>
      <c r="BP30" s="61">
        <f t="shared" si="53"/>
        <v>0.95580470982315391</v>
      </c>
      <c r="BQ30" s="61">
        <f t="shared" si="53"/>
        <v>0.9772753923176084</v>
      </c>
      <c r="BR30" s="61">
        <f t="shared" si="53"/>
        <v>1</v>
      </c>
      <c r="BS30" s="61"/>
      <c r="BT30" s="61">
        <f>AVERAGE(BT3:BT29)</f>
        <v>0.19843098489261035</v>
      </c>
      <c r="BU30" s="61">
        <f t="shared" ref="BU30" si="54">AVERAGE(BU3:BU29)</f>
        <v>0.43703404421753594</v>
      </c>
      <c r="BV30" s="61">
        <f t="shared" ref="BV30" si="55">AVERAGE(BV3:BV29)</f>
        <v>0.5311045160949619</v>
      </c>
      <c r="BW30" s="61">
        <f t="shared" ref="BW30" si="56">AVERAGE(BW3:BW29)</f>
        <v>0.60184958801731347</v>
      </c>
      <c r="BX30" s="61">
        <f t="shared" ref="BX30" si="57">AVERAGE(BX3:BX29)</f>
        <v>0.71424309803631703</v>
      </c>
      <c r="BY30" s="61">
        <f t="shared" ref="BY30" si="58">AVERAGE(BY3:BY29)</f>
        <v>0.8159210162613888</v>
      </c>
      <c r="BZ30" s="61">
        <f t="shared" ref="BZ30" si="59">AVERAGE(BZ3:BZ29)</f>
        <v>0.84994845229043869</v>
      </c>
      <c r="CA30" s="61">
        <f t="shared" ref="CA30" si="60">AVERAGE(CA3:CA29)</f>
        <v>0.88500800505161736</v>
      </c>
      <c r="CB30" s="61">
        <f t="shared" ref="CB30" si="61">AVERAGE(CB3:CB29)</f>
        <v>0.9151226443882825</v>
      </c>
      <c r="CC30" s="61">
        <f t="shared" ref="CC30" si="62">AVERAGE(CC3:CC29)</f>
        <v>0.94643907876083966</v>
      </c>
      <c r="CD30" s="61">
        <f t="shared" ref="CD30" si="63">AVERAGE(CD3:CD29)</f>
        <v>0.97706359984045987</v>
      </c>
      <c r="CE30" s="61">
        <f t="shared" ref="CE30" si="64">AVERAGE(CE3:CE29)</f>
        <v>1</v>
      </c>
      <c r="CG30" s="61">
        <f>AVERAGE(CG3:CG29)</f>
        <v>0.18115414285027678</v>
      </c>
      <c r="CH30" s="61">
        <f t="shared" ref="CH30" si="65">AVERAGE(CH3:CH29)</f>
        <v>0.39576695345612473</v>
      </c>
      <c r="CI30" s="61">
        <f t="shared" ref="CI30" si="66">AVERAGE(CI3:CI29)</f>
        <v>0.5070603519285124</v>
      </c>
      <c r="CJ30" s="61">
        <f t="shared" ref="CJ30" si="67">AVERAGE(CJ3:CJ29)</f>
        <v>0.59790550131827236</v>
      </c>
      <c r="CK30" s="61">
        <f t="shared" ref="CK30" si="68">AVERAGE(CK3:CK29)</f>
        <v>0.71415372689055445</v>
      </c>
      <c r="CL30" s="61">
        <f t="shared" ref="CL30" si="69">AVERAGE(CL3:CL29)</f>
        <v>0.82108255994075141</v>
      </c>
      <c r="CM30" s="61">
        <f t="shared" ref="CM30" si="70">AVERAGE(CM3:CM29)</f>
        <v>0.85792046902311947</v>
      </c>
      <c r="CN30" s="61">
        <f t="shared" ref="CN30" si="71">AVERAGE(CN3:CN29)</f>
        <v>0.8917657835322198</v>
      </c>
      <c r="CO30" s="61">
        <f t="shared" ref="CO30" si="72">AVERAGE(CO3:CO29)</f>
        <v>0.92048367067463144</v>
      </c>
      <c r="CP30" s="61">
        <f t="shared" ref="CP30" si="73">AVERAGE(CP3:CP29)</f>
        <v>0.94982397823591935</v>
      </c>
      <c r="CQ30" s="61">
        <f t="shared" ref="CQ30" si="74">AVERAGE(CQ3:CQ29)</f>
        <v>0.97523798663477967</v>
      </c>
      <c r="CR30" s="61">
        <f t="shared" ref="CR30" si="75">AVERAGE(CR3:CR29)</f>
        <v>1</v>
      </c>
    </row>
    <row r="31" spans="1:96">
      <c r="B31" s="1255" t="s">
        <v>407</v>
      </c>
      <c r="C31" s="1255"/>
      <c r="D31" s="1255"/>
      <c r="E31" s="1255"/>
      <c r="F31" s="1255"/>
      <c r="G31" s="1255"/>
      <c r="H31" s="1255"/>
      <c r="I31" s="1255"/>
      <c r="J31" s="1255"/>
      <c r="K31" s="1255"/>
      <c r="L31" s="1255"/>
      <c r="M31" s="1255"/>
      <c r="N31" s="1255">
        <f t="shared" si="0"/>
        <v>0</v>
      </c>
      <c r="Q31" s="1255" t="s">
        <v>187</v>
      </c>
      <c r="R31" s="1255"/>
      <c r="S31" s="1255"/>
      <c r="T31" s="1255"/>
      <c r="U31" s="1255"/>
      <c r="V31" s="1255"/>
      <c r="W31" s="1255"/>
      <c r="X31" s="1255"/>
      <c r="Y31" s="1255"/>
      <c r="Z31" s="1255"/>
      <c r="AA31" s="1255"/>
      <c r="AB31" s="1255"/>
      <c r="AC31" s="1255">
        <f t="shared" si="1"/>
        <v>0</v>
      </c>
      <c r="AF31" s="1255" t="s">
        <v>169</v>
      </c>
      <c r="AG31" s="1255"/>
      <c r="AH31" s="1255"/>
      <c r="AI31" s="1255"/>
      <c r="AJ31" s="1255"/>
      <c r="AK31" s="1255"/>
      <c r="AL31" s="1255"/>
      <c r="AM31" s="1255"/>
      <c r="AN31" s="1255"/>
      <c r="AO31" s="1255"/>
      <c r="AP31" s="1255"/>
      <c r="AQ31" s="1255"/>
      <c r="AR31" s="1255">
        <f t="shared" si="27"/>
        <v>0</v>
      </c>
      <c r="AT31" s="1256" t="s">
        <v>427</v>
      </c>
      <c r="AU31" s="1256"/>
      <c r="AV31" s="1256"/>
      <c r="AW31" s="1256"/>
      <c r="AX31" s="1256"/>
      <c r="AY31" s="1256"/>
      <c r="AZ31" s="1256"/>
      <c r="BA31" s="1256"/>
      <c r="BB31" s="1256"/>
      <c r="BC31" s="1256"/>
      <c r="BD31" s="1256"/>
      <c r="BE31" s="1256"/>
      <c r="BG31" s="1256" t="s">
        <v>144</v>
      </c>
      <c r="BH31" s="1256"/>
      <c r="BI31" s="1256"/>
      <c r="BJ31" s="1256"/>
      <c r="BK31" s="1256"/>
      <c r="BL31" s="1256"/>
      <c r="BM31" s="1256"/>
      <c r="BN31" s="1256"/>
      <c r="BO31" s="1256"/>
      <c r="BP31" s="1256"/>
      <c r="BQ31" s="1256"/>
      <c r="BR31" s="1256"/>
      <c r="BS31" s="61"/>
      <c r="BT31" s="1256" t="s">
        <v>145</v>
      </c>
      <c r="BU31" s="1256"/>
      <c r="BV31" s="1256"/>
      <c r="BW31" s="1256"/>
      <c r="BX31" s="1256"/>
      <c r="BY31" s="1256"/>
      <c r="BZ31" s="1256"/>
      <c r="CA31" s="1256"/>
      <c r="CB31" s="1256"/>
      <c r="CC31" s="1256"/>
      <c r="CD31" s="1256"/>
      <c r="CE31" s="1256"/>
      <c r="CG31" s="1256" t="s">
        <v>429</v>
      </c>
      <c r="CH31" s="1256"/>
      <c r="CI31" s="1256"/>
      <c r="CJ31" s="1256"/>
      <c r="CK31" s="1256"/>
      <c r="CL31" s="1256"/>
      <c r="CM31" s="1256"/>
      <c r="CN31" s="1256"/>
      <c r="CO31" s="1256"/>
      <c r="CP31" s="1256"/>
      <c r="CQ31" s="1256"/>
      <c r="CR31" s="1256"/>
    </row>
    <row r="32" spans="1:96">
      <c r="B32" s="193" t="s">
        <v>130</v>
      </c>
      <c r="C32" s="193" t="s">
        <v>146</v>
      </c>
      <c r="D32" s="193" t="s">
        <v>147</v>
      </c>
      <c r="E32" s="193" t="s">
        <v>148</v>
      </c>
      <c r="F32" s="193" t="s">
        <v>149</v>
      </c>
      <c r="G32" s="193" t="s">
        <v>150</v>
      </c>
      <c r="H32" s="193" t="s">
        <v>151</v>
      </c>
      <c r="I32" s="193" t="s">
        <v>152</v>
      </c>
      <c r="J32" s="193" t="s">
        <v>153</v>
      </c>
      <c r="K32" s="193" t="s">
        <v>154</v>
      </c>
      <c r="L32" s="193" t="s">
        <v>155</v>
      </c>
      <c r="M32" s="193" t="s">
        <v>156</v>
      </c>
      <c r="N32" s="193" t="s">
        <v>128</v>
      </c>
      <c r="Q32" s="85" t="s">
        <v>130</v>
      </c>
      <c r="R32" s="85" t="s">
        <v>146</v>
      </c>
      <c r="S32" s="85" t="s">
        <v>147</v>
      </c>
      <c r="T32" s="85" t="s">
        <v>148</v>
      </c>
      <c r="U32" s="85" t="s">
        <v>149</v>
      </c>
      <c r="V32" s="85" t="s">
        <v>150</v>
      </c>
      <c r="W32" s="85" t="s">
        <v>151</v>
      </c>
      <c r="X32" s="85" t="s">
        <v>152</v>
      </c>
      <c r="Y32" s="85" t="s">
        <v>153</v>
      </c>
      <c r="Z32" s="85" t="s">
        <v>154</v>
      </c>
      <c r="AA32" s="85" t="s">
        <v>155</v>
      </c>
      <c r="AB32" s="85" t="s">
        <v>156</v>
      </c>
      <c r="AC32" s="85" t="s">
        <v>128</v>
      </c>
      <c r="AF32" s="85" t="s">
        <v>130</v>
      </c>
      <c r="AG32" s="85" t="s">
        <v>146</v>
      </c>
      <c r="AH32" s="85" t="s">
        <v>147</v>
      </c>
      <c r="AI32" s="85" t="s">
        <v>148</v>
      </c>
      <c r="AJ32" s="85" t="s">
        <v>149</v>
      </c>
      <c r="AK32" s="85" t="s">
        <v>150</v>
      </c>
      <c r="AL32" s="85" t="s">
        <v>151</v>
      </c>
      <c r="AM32" s="85" t="s">
        <v>152</v>
      </c>
      <c r="AN32" s="85" t="s">
        <v>153</v>
      </c>
      <c r="AO32" s="85" t="s">
        <v>154</v>
      </c>
      <c r="AP32" s="85" t="s">
        <v>155</v>
      </c>
      <c r="AQ32" s="85" t="s">
        <v>156</v>
      </c>
      <c r="AR32" s="85">
        <f t="shared" si="27"/>
        <v>0</v>
      </c>
      <c r="AT32" s="195" t="s">
        <v>157</v>
      </c>
      <c r="AU32" s="195" t="s">
        <v>158</v>
      </c>
      <c r="AV32" s="195" t="s">
        <v>159</v>
      </c>
      <c r="AW32" s="195" t="s">
        <v>160</v>
      </c>
      <c r="AX32" s="195" t="s">
        <v>161</v>
      </c>
      <c r="AY32" s="195" t="s">
        <v>162</v>
      </c>
      <c r="AZ32" s="195" t="s">
        <v>163</v>
      </c>
      <c r="BA32" s="195" t="s">
        <v>164</v>
      </c>
      <c r="BB32" s="195" t="s">
        <v>165</v>
      </c>
      <c r="BC32" s="195" t="s">
        <v>166</v>
      </c>
      <c r="BD32" s="195" t="s">
        <v>167</v>
      </c>
      <c r="BE32" s="195" t="s">
        <v>168</v>
      </c>
      <c r="BG32" s="85" t="s">
        <v>157</v>
      </c>
      <c r="BH32" s="85" t="s">
        <v>158</v>
      </c>
      <c r="BI32" s="85" t="s">
        <v>159</v>
      </c>
      <c r="BJ32" s="85" t="s">
        <v>160</v>
      </c>
      <c r="BK32" s="85" t="s">
        <v>161</v>
      </c>
      <c r="BL32" s="85" t="s">
        <v>162</v>
      </c>
      <c r="BM32" s="85" t="s">
        <v>163</v>
      </c>
      <c r="BN32" s="85" t="s">
        <v>164</v>
      </c>
      <c r="BO32" s="85" t="s">
        <v>165</v>
      </c>
      <c r="BP32" s="85" t="s">
        <v>166</v>
      </c>
      <c r="BQ32" s="85" t="s">
        <v>167</v>
      </c>
      <c r="BR32" s="85" t="s">
        <v>168</v>
      </c>
      <c r="BS32" s="61"/>
      <c r="BT32" s="85" t="s">
        <v>157</v>
      </c>
      <c r="BU32" s="85" t="s">
        <v>158</v>
      </c>
      <c r="BV32" s="85" t="s">
        <v>190</v>
      </c>
      <c r="BW32" s="85" t="s">
        <v>191</v>
      </c>
      <c r="BX32" s="85" t="s">
        <v>192</v>
      </c>
      <c r="BY32" s="85" t="s">
        <v>162</v>
      </c>
      <c r="BZ32" s="85" t="s">
        <v>163</v>
      </c>
      <c r="CA32" s="85" t="s">
        <v>164</v>
      </c>
      <c r="CB32" s="85" t="s">
        <v>165</v>
      </c>
      <c r="CC32" s="85" t="s">
        <v>166</v>
      </c>
      <c r="CD32" s="85" t="s">
        <v>167</v>
      </c>
      <c r="CE32" s="85" t="s">
        <v>168</v>
      </c>
      <c r="CG32" s="85" t="s">
        <v>157</v>
      </c>
      <c r="CH32" s="85" t="s">
        <v>158</v>
      </c>
      <c r="CI32" s="85" t="s">
        <v>190</v>
      </c>
      <c r="CJ32" s="85" t="s">
        <v>191</v>
      </c>
      <c r="CK32" s="85" t="s">
        <v>192</v>
      </c>
      <c r="CL32" s="85" t="s">
        <v>162</v>
      </c>
      <c r="CM32" s="85" t="s">
        <v>163</v>
      </c>
      <c r="CN32" s="85" t="s">
        <v>164</v>
      </c>
      <c r="CO32" s="85" t="s">
        <v>165</v>
      </c>
      <c r="CP32" s="85" t="s">
        <v>166</v>
      </c>
      <c r="CQ32" s="85" t="s">
        <v>167</v>
      </c>
      <c r="CR32" s="85" t="s">
        <v>168</v>
      </c>
    </row>
    <row r="33" spans="1:96">
      <c r="A33" s="193" t="s">
        <v>87</v>
      </c>
      <c r="B33" s="34">
        <v>3179.86</v>
      </c>
      <c r="C33" s="34">
        <v>2380.88</v>
      </c>
      <c r="D33" s="34">
        <v>744.84</v>
      </c>
      <c r="E33" s="34">
        <v>2055.36</v>
      </c>
      <c r="F33" s="34">
        <v>2590.08</v>
      </c>
      <c r="G33" s="34">
        <v>1079.82</v>
      </c>
      <c r="H33" s="34">
        <v>1433.1</v>
      </c>
      <c r="I33" s="34">
        <v>2459.88</v>
      </c>
      <c r="J33" s="34">
        <v>503.02</v>
      </c>
      <c r="K33" s="34">
        <v>629.49</v>
      </c>
      <c r="L33" s="34">
        <v>1342.31</v>
      </c>
      <c r="M33" s="34">
        <v>926.76</v>
      </c>
      <c r="N33" s="68">
        <f t="shared" ref="N33:N61" si="76">SUM(B33:M33)</f>
        <v>19325.400000000001</v>
      </c>
      <c r="P33" s="85" t="s">
        <v>87</v>
      </c>
      <c r="Q33" s="34">
        <v>2154.869999999999</v>
      </c>
      <c r="R33" s="34">
        <v>1308.1800000000003</v>
      </c>
      <c r="S33" s="34">
        <v>1887.1099999999969</v>
      </c>
      <c r="T33" s="34">
        <v>514.86000000000058</v>
      </c>
      <c r="U33" s="34">
        <v>1482.9500000000007</v>
      </c>
      <c r="V33" s="34">
        <v>591.66</v>
      </c>
      <c r="W33" s="34">
        <v>1514.0300000000007</v>
      </c>
      <c r="X33" s="34">
        <v>3058.38</v>
      </c>
      <c r="Y33" s="34">
        <v>665.37</v>
      </c>
      <c r="Z33" s="34">
        <v>1440.98</v>
      </c>
      <c r="AA33" s="34">
        <v>2004.45</v>
      </c>
      <c r="AB33" s="34">
        <v>1036.51</v>
      </c>
      <c r="AC33" s="68">
        <f t="shared" si="1"/>
        <v>17659.349999999995</v>
      </c>
      <c r="AE33" s="85" t="s">
        <v>87</v>
      </c>
      <c r="AF33" s="34">
        <v>2352.2099999999991</v>
      </c>
      <c r="AG33" s="34">
        <v>1113.1800000000003</v>
      </c>
      <c r="AH33" s="34">
        <v>478.63999999999942</v>
      </c>
      <c r="AI33" s="34">
        <v>992.37599999999929</v>
      </c>
      <c r="AJ33" s="34">
        <v>1397.67</v>
      </c>
      <c r="AK33" s="34">
        <v>273.0300000000002</v>
      </c>
      <c r="AL33" s="34">
        <v>1044.82</v>
      </c>
      <c r="AM33" s="34">
        <v>1387.3199999999993</v>
      </c>
      <c r="AN33" s="34">
        <v>706.16999999999985</v>
      </c>
      <c r="AO33" s="34">
        <v>891.83999999999958</v>
      </c>
      <c r="AP33" s="34">
        <v>738.7299999999999</v>
      </c>
      <c r="AQ33" s="34">
        <v>186.84999999999997</v>
      </c>
      <c r="AR33" s="68">
        <f t="shared" si="27"/>
        <v>11562.835999999998</v>
      </c>
      <c r="AT33" s="39">
        <f>B33/$N33</f>
        <v>0.16454303662537387</v>
      </c>
      <c r="AU33" s="39">
        <f>SUM(B33:C33)/$N33</f>
        <v>0.28774255642832747</v>
      </c>
      <c r="AV33" s="39">
        <f>SUM(B33:D33)/$N33</f>
        <v>0.32628457884442236</v>
      </c>
      <c r="AW33" s="39">
        <f>SUM(B33:E33)/$N33</f>
        <v>0.43263994535688782</v>
      </c>
      <c r="AX33" s="39">
        <f>SUM(B33:F33)/$N33</f>
        <v>0.56666459685181159</v>
      </c>
      <c r="AY33" s="39">
        <f>SUM(B33:G33)/$N33</f>
        <v>0.62254028377161663</v>
      </c>
      <c r="AZ33" s="39">
        <f>SUM(B33:H33)/$N33</f>
        <v>0.69669657549132225</v>
      </c>
      <c r="BA33" s="39">
        <f>SUM(B33:I33)/$N33</f>
        <v>0.82398397963302172</v>
      </c>
      <c r="BB33" s="39">
        <f>SUM(B33:J33)/$N33</f>
        <v>0.85001293634284403</v>
      </c>
      <c r="BC33" s="39">
        <f>SUM(B33:K33)/$N33</f>
        <v>0.88258613017065624</v>
      </c>
      <c r="BD33" s="39">
        <f>SUM(B33:L33)/$N33</f>
        <v>0.95204445962308681</v>
      </c>
      <c r="BE33" s="39">
        <f>SUM(B33:M33)/$N33</f>
        <v>1</v>
      </c>
      <c r="BG33" s="39">
        <f t="shared" ref="BG33:BG59" si="77">Q33/AC33</f>
        <v>0.12202431006803759</v>
      </c>
      <c r="BH33" s="39">
        <f t="shared" ref="BH33:BH59" si="78">SUM(Q33:R33)/$AC33</f>
        <v>0.19610291432017601</v>
      </c>
      <c r="BI33" s="39">
        <f t="shared" ref="BI33:BI59" si="79">SUM(Q33:S33)/$AC33</f>
        <v>0.30296471840696276</v>
      </c>
      <c r="BJ33" s="39">
        <f t="shared" ref="BJ33:BJ59" si="80">SUM(Q33:T33)/$AC33</f>
        <v>0.3321198118843558</v>
      </c>
      <c r="BK33" s="39">
        <f t="shared" ref="BK33:BK59" si="81">SUM(Q33:U33)/$AC33</f>
        <v>0.41609515639024086</v>
      </c>
      <c r="BL33" s="39">
        <f t="shared" ref="BL33:BL59" si="82">SUM(Q33:V33)/$AC33</f>
        <v>0.44959922080937292</v>
      </c>
      <c r="BM33" s="39">
        <f t="shared" ref="BM33:BM59" si="83">SUM(Q33:W33)/$AC33</f>
        <v>0.53533453949324294</v>
      </c>
      <c r="BN33" s="39">
        <f t="shared" ref="BN33:BN59" si="84">SUM(Q33:X33)/$AC33</f>
        <v>0.70852211434735712</v>
      </c>
      <c r="BO33" s="39">
        <f t="shared" ref="BO33:BO59" si="85">SUM(Q33:Y33)/$AC33</f>
        <v>0.74620017158049434</v>
      </c>
      <c r="BP33" s="39">
        <f t="shared" ref="BP33:BP59" si="86">SUM(Q33:Z33)/$AC33</f>
        <v>0.82779887141938979</v>
      </c>
      <c r="BQ33" s="39">
        <f t="shared" ref="BQ33:BQ59" si="87">SUM(Q33:AA33)/$AC33</f>
        <v>0.94130531418200569</v>
      </c>
      <c r="BR33" s="39">
        <f t="shared" ref="BR33:BR59" si="88">SUM(Q33:AB33)/$AC33</f>
        <v>1</v>
      </c>
      <c r="BS33" s="61"/>
      <c r="BT33" s="39">
        <f t="shared" ref="BT33:BT59" si="89">AF33/AR33</f>
        <v>0.20342846685709282</v>
      </c>
      <c r="BU33" s="39">
        <f t="shared" ref="BU33:BU59" si="90">SUM(AF33:AG33)/$AR33</f>
        <v>0.29970069626517232</v>
      </c>
      <c r="BV33" s="39">
        <f t="shared" ref="BV33:BV59" si="91">SUM(AF33:AH33)/$AR33</f>
        <v>0.34109538524977778</v>
      </c>
      <c r="BW33" s="39">
        <f t="shared" ref="BW33:BW59" si="92">SUM(AF33:AI33)/$AR33</f>
        <v>0.42692000474624037</v>
      </c>
      <c r="BX33" s="39">
        <f t="shared" ref="BX33:BX59" si="93">SUM(AF33:AJ33)/$AR33</f>
        <v>0.54779605972098888</v>
      </c>
      <c r="BY33" s="39">
        <f t="shared" ref="BY33:BY59" si="94">SUM(AF33:AK33)/$AR33</f>
        <v>0.57140877895353692</v>
      </c>
      <c r="BZ33" s="39">
        <f t="shared" ref="BZ33:BZ59" si="95">SUM(AF33:AL33)/$AR33</f>
        <v>0.66176896394621521</v>
      </c>
      <c r="CA33" s="39">
        <f t="shared" ref="CA33:CA59" si="96">SUM(AF33:AM33)/$AR33</f>
        <v>0.78174990979721581</v>
      </c>
      <c r="CB33" s="39">
        <f t="shared" ref="CB33:CB59" si="97">SUM(AF33:AN33)/$AR33</f>
        <v>0.8428222972288113</v>
      </c>
      <c r="CC33" s="39">
        <f t="shared" ref="CC33:CC59" si="98">SUM(AF33:AO33)/$AR33</f>
        <v>0.91995216398468338</v>
      </c>
      <c r="CD33" s="39">
        <f t="shared" ref="CD33:CD59" si="99">SUM(AF33:AP33)/$AR33</f>
        <v>0.98384046958721882</v>
      </c>
      <c r="CE33" s="39">
        <f t="shared" ref="CE33:CE59" si="100">SUM(AF33:AQ33)/$AR33</f>
        <v>1</v>
      </c>
      <c r="CG33" s="39">
        <f>(AT33+BG33+BT33)/3</f>
        <v>0.16333193785016809</v>
      </c>
      <c r="CH33" s="39">
        <f t="shared" ref="CH33:CH59" si="101">(AU33+BH33+BU33)/3</f>
        <v>0.26118205567122527</v>
      </c>
      <c r="CI33" s="39">
        <f t="shared" ref="CI33:CI59" si="102">(AV33+BI33+BV33)/3</f>
        <v>0.32344822750038765</v>
      </c>
      <c r="CJ33" s="39">
        <f t="shared" ref="CJ33:CJ59" si="103">(AW33+BJ33+BW33)/3</f>
        <v>0.39722658732916133</v>
      </c>
      <c r="CK33" s="39">
        <f t="shared" ref="CK33:CK59" si="104">(AX33+BK33+BX33)/3</f>
        <v>0.51018527098768052</v>
      </c>
      <c r="CL33" s="39">
        <f t="shared" ref="CL33:CL59" si="105">(AY33+BL33+BY33)/3</f>
        <v>0.54784942784484214</v>
      </c>
      <c r="CM33" s="39">
        <f t="shared" ref="CM33:CM59" si="106">(AZ33+BM33+BZ33)/3</f>
        <v>0.63126669297692672</v>
      </c>
      <c r="CN33" s="39">
        <f t="shared" ref="CN33:CN59" si="107">(BA33+BN33+CA33)/3</f>
        <v>0.77141866792586489</v>
      </c>
      <c r="CO33" s="39">
        <f t="shared" ref="CO33:CO59" si="108">(BB33+BO33+CB33)/3</f>
        <v>0.81301180171738319</v>
      </c>
      <c r="CP33" s="39">
        <f t="shared" ref="CP33:CP59" si="109">(BC33+BP33+CC33)/3</f>
        <v>0.87677905519157651</v>
      </c>
      <c r="CQ33" s="39">
        <f t="shared" ref="CQ33:CQ59" si="110">(BD33+BQ33+CD33)/3</f>
        <v>0.95906341446410381</v>
      </c>
      <c r="CR33" s="39">
        <f t="shared" ref="CR33:CR59" si="111">(BE33+BR33+CE33)/3</f>
        <v>1</v>
      </c>
    </row>
    <row r="34" spans="1:96">
      <c r="A34" s="193" t="s">
        <v>88</v>
      </c>
      <c r="B34" s="34">
        <v>12368.1</v>
      </c>
      <c r="C34" s="34">
        <v>17107.48</v>
      </c>
      <c r="D34" s="34">
        <v>10427.65</v>
      </c>
      <c r="E34" s="34">
        <v>7761.9</v>
      </c>
      <c r="F34" s="34">
        <v>10202.540000000001</v>
      </c>
      <c r="G34" s="34">
        <v>9152.82</v>
      </c>
      <c r="H34" s="34">
        <v>7968.83</v>
      </c>
      <c r="I34" s="34">
        <v>8482.01</v>
      </c>
      <c r="J34" s="34">
        <v>9364.16</v>
      </c>
      <c r="K34" s="34">
        <v>13924.46</v>
      </c>
      <c r="L34" s="34">
        <v>13047.52</v>
      </c>
      <c r="M34" s="34">
        <v>15581.2</v>
      </c>
      <c r="N34" s="68">
        <f t="shared" si="76"/>
        <v>135388.67000000001</v>
      </c>
      <c r="P34" s="85" t="s">
        <v>88</v>
      </c>
      <c r="Q34" s="34">
        <v>19817.459999999995</v>
      </c>
      <c r="R34" s="34">
        <v>11696.830000000002</v>
      </c>
      <c r="S34" s="34">
        <v>8679.9699999999975</v>
      </c>
      <c r="T34" s="34">
        <v>7434.8300000000017</v>
      </c>
      <c r="U34" s="34">
        <v>9516.2400000000071</v>
      </c>
      <c r="V34" s="34">
        <v>5826</v>
      </c>
      <c r="W34" s="34">
        <v>4521.1600000000017</v>
      </c>
      <c r="X34" s="34">
        <v>7166.13</v>
      </c>
      <c r="Y34" s="34">
        <v>4947.6499999999996</v>
      </c>
      <c r="Z34" s="34">
        <v>3740.82</v>
      </c>
      <c r="AA34" s="34">
        <v>3044.56</v>
      </c>
      <c r="AB34" s="34">
        <v>6203.24</v>
      </c>
      <c r="AC34" s="68">
        <f t="shared" si="1"/>
        <v>92594.890000000014</v>
      </c>
      <c r="AE34" s="85" t="s">
        <v>88</v>
      </c>
      <c r="AF34" s="34">
        <v>8899.9900000000016</v>
      </c>
      <c r="AG34" s="34">
        <v>13869.910000000003</v>
      </c>
      <c r="AH34" s="34">
        <v>8620.6100000000042</v>
      </c>
      <c r="AI34" s="34">
        <v>7676.5400000000027</v>
      </c>
      <c r="AJ34" s="34">
        <v>10707.779999999999</v>
      </c>
      <c r="AK34" s="34">
        <v>7782.4900000000016</v>
      </c>
      <c r="AL34" s="34">
        <v>5573.98</v>
      </c>
      <c r="AM34" s="34">
        <v>6146.65</v>
      </c>
      <c r="AN34" s="34">
        <v>5282.96</v>
      </c>
      <c r="AO34" s="34">
        <v>5117.9000000000015</v>
      </c>
      <c r="AP34" s="34">
        <v>8552.6900000000023</v>
      </c>
      <c r="AQ34" s="34">
        <v>5251.1099999999988</v>
      </c>
      <c r="AR34" s="68">
        <f t="shared" si="27"/>
        <v>93482.61</v>
      </c>
      <c r="AT34" s="39">
        <f t="shared" ref="AT34:AT59" si="112">B34/$N34</f>
        <v>9.1352548185900634E-2</v>
      </c>
      <c r="AU34" s="39">
        <f t="shared" ref="AU34:AU59" si="113">SUM(B34:C34)/$N34</f>
        <v>0.21771083208070513</v>
      </c>
      <c r="AV34" s="39">
        <f t="shared" ref="AV34:AV59" si="114">SUM(B34:D34)/$N34</f>
        <v>0.29473094018871743</v>
      </c>
      <c r="AW34" s="39">
        <f t="shared" ref="AW34:AW59" si="115">SUM(B34:E34)/$N34</f>
        <v>0.35206143911451382</v>
      </c>
      <c r="AX34" s="39">
        <f t="shared" ref="AX34:AX59" si="116">SUM(B34:F34)/$N34</f>
        <v>0.42741885270015578</v>
      </c>
      <c r="AY34" s="39">
        <f t="shared" ref="AY34:AY59" si="117">SUM(B34:G34)/$N34</f>
        <v>0.49502288485439733</v>
      </c>
      <c r="AZ34" s="39">
        <f t="shared" ref="AZ34:AZ59" si="118">SUM(B34:H34)/$N34</f>
        <v>0.55388179823319039</v>
      </c>
      <c r="BA34" s="39">
        <f t="shared" ref="BA34:BA59" si="119">SUM(B34:I34)/$N34</f>
        <v>0.61653113218410371</v>
      </c>
      <c r="BB34" s="39">
        <f t="shared" ref="BB34:BB59" si="120">SUM(B34:J34)/$N34</f>
        <v>0.6856961516794573</v>
      </c>
      <c r="BC34" s="39">
        <f t="shared" ref="BC34:BC59" si="121">SUM(B34:K34)/$N34</f>
        <v>0.78854419649738783</v>
      </c>
      <c r="BD34" s="39">
        <f t="shared" ref="BD34:BD59" si="122">SUM(B34:L34)/$N34</f>
        <v>0.88491503757293721</v>
      </c>
      <c r="BE34" s="39">
        <f t="shared" ref="BE34:BE59" si="123">SUM(B34:M34)/$N34</f>
        <v>1</v>
      </c>
      <c r="BG34" s="39">
        <f t="shared" si="77"/>
        <v>0.21402325765493099</v>
      </c>
      <c r="BH34" s="39">
        <f t="shared" si="78"/>
        <v>0.34034588733784327</v>
      </c>
      <c r="BI34" s="39">
        <f t="shared" si="79"/>
        <v>0.4340872374274648</v>
      </c>
      <c r="BJ34" s="39">
        <f t="shared" si="80"/>
        <v>0.51438140916847563</v>
      </c>
      <c r="BK34" s="39">
        <f t="shared" si="81"/>
        <v>0.61715425116871991</v>
      </c>
      <c r="BL34" s="39">
        <f t="shared" si="82"/>
        <v>0.68007349001656558</v>
      </c>
      <c r="BM34" s="39">
        <f t="shared" si="83"/>
        <v>0.72890080651318878</v>
      </c>
      <c r="BN34" s="39">
        <f t="shared" si="84"/>
        <v>0.8062930902558445</v>
      </c>
      <c r="BO34" s="39">
        <f t="shared" si="85"/>
        <v>0.85972638446894845</v>
      </c>
      <c r="BP34" s="39">
        <f t="shared" si="86"/>
        <v>0.90012623806778103</v>
      </c>
      <c r="BQ34" s="39">
        <f t="shared" si="87"/>
        <v>0.93300667023849804</v>
      </c>
      <c r="BR34" s="39">
        <f t="shared" si="88"/>
        <v>1</v>
      </c>
      <c r="BS34" s="61"/>
      <c r="BT34" s="39">
        <f t="shared" si="89"/>
        <v>9.5204765891752502E-2</v>
      </c>
      <c r="BU34" s="39">
        <f t="shared" si="90"/>
        <v>0.24357364433877066</v>
      </c>
      <c r="BV34" s="39">
        <f t="shared" si="91"/>
        <v>0.33578983299674675</v>
      </c>
      <c r="BW34" s="39">
        <f t="shared" si="92"/>
        <v>0.41790713802278318</v>
      </c>
      <c r="BX34" s="39">
        <f t="shared" si="93"/>
        <v>0.53245015302846177</v>
      </c>
      <c r="BY34" s="39">
        <f t="shared" si="94"/>
        <v>0.615700823928643</v>
      </c>
      <c r="BZ34" s="39">
        <f t="shared" si="95"/>
        <v>0.6753266730571601</v>
      </c>
      <c r="CA34" s="39">
        <f t="shared" si="96"/>
        <v>0.74107847438149188</v>
      </c>
      <c r="CB34" s="39">
        <f t="shared" si="97"/>
        <v>0.79759123113913921</v>
      </c>
      <c r="CC34" s="39">
        <f t="shared" si="98"/>
        <v>0.85233831190635345</v>
      </c>
      <c r="CD34" s="39">
        <f t="shared" si="99"/>
        <v>0.94382794832108341</v>
      </c>
      <c r="CE34" s="39">
        <f t="shared" si="100"/>
        <v>1</v>
      </c>
      <c r="CG34" s="39">
        <f t="shared" ref="CG34:CG59" si="124">(AT34+BG34+BT34)/3</f>
        <v>0.13352685724419469</v>
      </c>
      <c r="CH34" s="39">
        <f t="shared" si="101"/>
        <v>0.26721012125243965</v>
      </c>
      <c r="CI34" s="39">
        <f t="shared" si="102"/>
        <v>0.35486933687097633</v>
      </c>
      <c r="CJ34" s="39">
        <f t="shared" si="103"/>
        <v>0.42811666210192417</v>
      </c>
      <c r="CK34" s="39">
        <f t="shared" si="104"/>
        <v>0.52567441896577916</v>
      </c>
      <c r="CL34" s="39">
        <f t="shared" si="105"/>
        <v>0.59693239959986866</v>
      </c>
      <c r="CM34" s="39">
        <f t="shared" si="106"/>
        <v>0.65270309260117976</v>
      </c>
      <c r="CN34" s="39">
        <f t="shared" si="107"/>
        <v>0.72130089894048</v>
      </c>
      <c r="CO34" s="39">
        <f t="shared" si="108"/>
        <v>0.78100458909584836</v>
      </c>
      <c r="CP34" s="39">
        <f t="shared" si="109"/>
        <v>0.84700291549050755</v>
      </c>
      <c r="CQ34" s="39">
        <f t="shared" si="110"/>
        <v>0.9205832187108397</v>
      </c>
      <c r="CR34" s="39">
        <f t="shared" si="111"/>
        <v>1</v>
      </c>
    </row>
    <row r="35" spans="1:96">
      <c r="A35" s="193" t="s">
        <v>89</v>
      </c>
      <c r="B35" s="34">
        <v>10942.06</v>
      </c>
      <c r="C35" s="34">
        <v>6299.66</v>
      </c>
      <c r="D35" s="34">
        <v>5770.28</v>
      </c>
      <c r="E35" s="34">
        <v>6709.38</v>
      </c>
      <c r="F35" s="34">
        <v>5416.29</v>
      </c>
      <c r="G35" s="34">
        <v>4288.71</v>
      </c>
      <c r="H35" s="34">
        <v>5234.7</v>
      </c>
      <c r="I35" s="34">
        <v>4041.3</v>
      </c>
      <c r="J35" s="34">
        <v>3869.94</v>
      </c>
      <c r="K35" s="34">
        <v>2898.54</v>
      </c>
      <c r="L35" s="34">
        <v>2645.21</v>
      </c>
      <c r="M35" s="34">
        <v>3289.62</v>
      </c>
      <c r="N35" s="68">
        <f t="shared" si="76"/>
        <v>61405.69</v>
      </c>
      <c r="P35" s="85" t="s">
        <v>89</v>
      </c>
      <c r="Q35" s="34">
        <v>2839.2399999999975</v>
      </c>
      <c r="R35" s="34">
        <v>3464.380000000001</v>
      </c>
      <c r="S35" s="34">
        <v>1699.489999999998</v>
      </c>
      <c r="T35" s="34">
        <v>2442.2600000000002</v>
      </c>
      <c r="U35" s="34">
        <v>2737.6900000000005</v>
      </c>
      <c r="V35" s="34">
        <v>1461.68</v>
      </c>
      <c r="W35" s="34">
        <v>3767.8700000000003</v>
      </c>
      <c r="X35" s="34">
        <v>1717.91</v>
      </c>
      <c r="Y35" s="34">
        <v>2265.3000000000002</v>
      </c>
      <c r="Z35" s="34">
        <v>3945.2699999999995</v>
      </c>
      <c r="AA35" s="34">
        <v>3771.18</v>
      </c>
      <c r="AB35" s="34">
        <v>2450.7799999999997</v>
      </c>
      <c r="AC35" s="68">
        <f t="shared" si="1"/>
        <v>32563.049999999996</v>
      </c>
      <c r="AE35" s="85" t="s">
        <v>89</v>
      </c>
      <c r="AF35" s="34">
        <v>2086.0799999999995</v>
      </c>
      <c r="AG35" s="34">
        <v>1246.8000000000011</v>
      </c>
      <c r="AH35" s="34">
        <v>3160.1400000000003</v>
      </c>
      <c r="AI35" s="34">
        <v>1215.8999999999987</v>
      </c>
      <c r="AJ35" s="34">
        <v>977.20000000000027</v>
      </c>
      <c r="AK35" s="34">
        <v>1571.65</v>
      </c>
      <c r="AL35" s="34">
        <v>628.12999999999943</v>
      </c>
      <c r="AM35" s="34">
        <v>1386.5999999999997</v>
      </c>
      <c r="AN35" s="34">
        <v>1730.9900000000007</v>
      </c>
      <c r="AO35" s="34">
        <v>922.88000000000011</v>
      </c>
      <c r="AP35" s="34">
        <v>1450.7999999999997</v>
      </c>
      <c r="AQ35" s="34">
        <v>591.69000000000005</v>
      </c>
      <c r="AR35" s="68">
        <f t="shared" si="27"/>
        <v>16968.859999999997</v>
      </c>
      <c r="AT35" s="39">
        <f t="shared" si="112"/>
        <v>0.17819293293504232</v>
      </c>
      <c r="AU35" s="39">
        <f t="shared" si="113"/>
        <v>0.28078375147319412</v>
      </c>
      <c r="AV35" s="39">
        <f t="shared" si="114"/>
        <v>0.37475354482622047</v>
      </c>
      <c r="AW35" s="39">
        <f t="shared" si="115"/>
        <v>0.48401670920072715</v>
      </c>
      <c r="AX35" s="39">
        <f t="shared" si="116"/>
        <v>0.57222172733504006</v>
      </c>
      <c r="AY35" s="39">
        <f t="shared" si="117"/>
        <v>0.6420639520539545</v>
      </c>
      <c r="AZ35" s="39">
        <f t="shared" si="118"/>
        <v>0.72731175237995038</v>
      </c>
      <c r="BA35" s="39">
        <f t="shared" si="119"/>
        <v>0.79312487165277346</v>
      </c>
      <c r="BB35" s="39">
        <f t="shared" si="120"/>
        <v>0.85614737005642305</v>
      </c>
      <c r="BC35" s="39">
        <f t="shared" si="121"/>
        <v>0.90335048755253788</v>
      </c>
      <c r="BD35" s="39">
        <f t="shared" si="122"/>
        <v>0.94642809159867758</v>
      </c>
      <c r="BE35" s="39">
        <f t="shared" si="123"/>
        <v>1</v>
      </c>
      <c r="BG35" s="39">
        <f t="shared" si="77"/>
        <v>8.719207813764368E-2</v>
      </c>
      <c r="BH35" s="39">
        <f t="shared" si="78"/>
        <v>0.19358198940209839</v>
      </c>
      <c r="BI35" s="39">
        <f t="shared" si="79"/>
        <v>0.24577273934720481</v>
      </c>
      <c r="BJ35" s="39">
        <f t="shared" si="80"/>
        <v>0.32077369902389358</v>
      </c>
      <c r="BK35" s="39">
        <f t="shared" si="81"/>
        <v>0.40484721179373551</v>
      </c>
      <c r="BL35" s="39">
        <f t="shared" si="82"/>
        <v>0.44973489891149632</v>
      </c>
      <c r="BM35" s="39">
        <f t="shared" si="83"/>
        <v>0.56544488308066965</v>
      </c>
      <c r="BN35" s="39">
        <f t="shared" si="84"/>
        <v>0.61820130485320013</v>
      </c>
      <c r="BO35" s="39">
        <f t="shared" si="85"/>
        <v>0.68776788415090107</v>
      </c>
      <c r="BP35" s="39">
        <f t="shared" si="86"/>
        <v>0.8089257609468401</v>
      </c>
      <c r="BQ35" s="39">
        <f t="shared" si="87"/>
        <v>0.92473739407088718</v>
      </c>
      <c r="BR35" s="39">
        <f t="shared" si="88"/>
        <v>1</v>
      </c>
      <c r="BS35" s="61"/>
      <c r="BT35" s="39">
        <f t="shared" si="89"/>
        <v>0.1229357776538907</v>
      </c>
      <c r="BU35" s="39">
        <f t="shared" si="90"/>
        <v>0.19641154444081696</v>
      </c>
      <c r="BV35" s="39">
        <f t="shared" si="91"/>
        <v>0.38264326536962423</v>
      </c>
      <c r="BW35" s="39">
        <f t="shared" si="92"/>
        <v>0.45429804948594077</v>
      </c>
      <c r="BX35" s="39">
        <f t="shared" si="93"/>
        <v>0.51188588980049343</v>
      </c>
      <c r="BY35" s="39">
        <f t="shared" si="94"/>
        <v>0.60450554722002536</v>
      </c>
      <c r="BZ35" s="39">
        <f t="shared" si="95"/>
        <v>0.64152217650449117</v>
      </c>
      <c r="CA35" s="39">
        <f t="shared" si="96"/>
        <v>0.72323656391767044</v>
      </c>
      <c r="CB35" s="39">
        <f t="shared" si="97"/>
        <v>0.82524636304383447</v>
      </c>
      <c r="CC35" s="39">
        <f t="shared" si="98"/>
        <v>0.87963304547270715</v>
      </c>
      <c r="CD35" s="39">
        <f t="shared" si="99"/>
        <v>0.96513083377433728</v>
      </c>
      <c r="CE35" s="39">
        <f t="shared" si="100"/>
        <v>1</v>
      </c>
      <c r="CG35" s="39">
        <f t="shared" si="124"/>
        <v>0.12944026290885888</v>
      </c>
      <c r="CH35" s="39">
        <f t="shared" si="101"/>
        <v>0.22359242843870317</v>
      </c>
      <c r="CI35" s="39">
        <f t="shared" si="102"/>
        <v>0.33438984984768316</v>
      </c>
      <c r="CJ35" s="39">
        <f t="shared" si="103"/>
        <v>0.41969615257018716</v>
      </c>
      <c r="CK35" s="39">
        <f t="shared" si="104"/>
        <v>0.49631827630975628</v>
      </c>
      <c r="CL35" s="39">
        <f t="shared" si="105"/>
        <v>0.56543479939515873</v>
      </c>
      <c r="CM35" s="39">
        <f t="shared" si="106"/>
        <v>0.6447596039883704</v>
      </c>
      <c r="CN35" s="39">
        <f t="shared" si="107"/>
        <v>0.71152091347454804</v>
      </c>
      <c r="CO35" s="39">
        <f t="shared" si="108"/>
        <v>0.78972053908371953</v>
      </c>
      <c r="CP35" s="39">
        <f t="shared" si="109"/>
        <v>0.86396976465736175</v>
      </c>
      <c r="CQ35" s="39">
        <f t="shared" si="110"/>
        <v>0.9454321064813006</v>
      </c>
      <c r="CR35" s="39">
        <f t="shared" si="111"/>
        <v>1</v>
      </c>
    </row>
    <row r="36" spans="1:96">
      <c r="A36" s="193" t="s">
        <v>90</v>
      </c>
      <c r="B36" s="34">
        <v>17423.650000000001</v>
      </c>
      <c r="C36" s="34">
        <v>30261.56</v>
      </c>
      <c r="D36" s="34">
        <v>23846.1</v>
      </c>
      <c r="E36" s="34">
        <v>21908.959999999999</v>
      </c>
      <c r="F36" s="34">
        <v>27415.9</v>
      </c>
      <c r="G36" s="34">
        <v>17748.060000000001</v>
      </c>
      <c r="H36" s="34">
        <v>20059.12</v>
      </c>
      <c r="I36" s="34">
        <v>19757.82</v>
      </c>
      <c r="J36" s="34">
        <v>13952.76</v>
      </c>
      <c r="K36" s="34">
        <v>16741.84</v>
      </c>
      <c r="L36" s="34">
        <v>13368.65</v>
      </c>
      <c r="M36" s="34">
        <v>13164.35</v>
      </c>
      <c r="N36" s="68">
        <f t="shared" si="76"/>
        <v>235648.77</v>
      </c>
      <c r="P36" s="85" t="s">
        <v>90</v>
      </c>
      <c r="Q36" s="34">
        <v>16051.829999999994</v>
      </c>
      <c r="R36" s="34">
        <v>10156.150000000001</v>
      </c>
      <c r="S36" s="34">
        <v>9022.9999999999964</v>
      </c>
      <c r="T36" s="34">
        <v>7731.58</v>
      </c>
      <c r="U36" s="34">
        <v>6586.34</v>
      </c>
      <c r="V36" s="34">
        <v>7393.67</v>
      </c>
      <c r="W36" s="34">
        <v>8608.4799999999959</v>
      </c>
      <c r="X36" s="34">
        <v>8537.56</v>
      </c>
      <c r="Y36" s="34">
        <v>3567.19</v>
      </c>
      <c r="Z36" s="34">
        <v>6809.34</v>
      </c>
      <c r="AA36" s="34">
        <v>4650.1000000000004</v>
      </c>
      <c r="AB36" s="34">
        <v>4853.82</v>
      </c>
      <c r="AC36" s="68">
        <f t="shared" si="1"/>
        <v>93969.06</v>
      </c>
      <c r="AE36" s="85" t="s">
        <v>90</v>
      </c>
      <c r="AF36" s="34">
        <v>13496.579999999993</v>
      </c>
      <c r="AG36" s="34">
        <v>12678.04</v>
      </c>
      <c r="AH36" s="34">
        <v>9213.99</v>
      </c>
      <c r="AI36" s="34">
        <v>6941.5699999999988</v>
      </c>
      <c r="AJ36" s="34">
        <v>7931.889999999994</v>
      </c>
      <c r="AK36" s="34">
        <v>7311.8200000000024</v>
      </c>
      <c r="AL36" s="34">
        <v>7465.3599999999988</v>
      </c>
      <c r="AM36" s="34">
        <v>9422.4000000000015</v>
      </c>
      <c r="AN36" s="34">
        <v>12750.519999999999</v>
      </c>
      <c r="AO36" s="34">
        <v>8555.2899999999991</v>
      </c>
      <c r="AP36" s="34">
        <v>8548.0400000000027</v>
      </c>
      <c r="AQ36" s="34">
        <v>7388.71</v>
      </c>
      <c r="AR36" s="68">
        <f t="shared" si="27"/>
        <v>111704.21</v>
      </c>
      <c r="AT36" s="39">
        <f t="shared" si="112"/>
        <v>7.3939066178872914E-2</v>
      </c>
      <c r="AU36" s="39">
        <f t="shared" si="113"/>
        <v>0.20235713515500212</v>
      </c>
      <c r="AV36" s="39">
        <f t="shared" si="114"/>
        <v>0.30355053412754923</v>
      </c>
      <c r="AW36" s="39">
        <f t="shared" si="115"/>
        <v>0.39652347856515435</v>
      </c>
      <c r="AX36" s="39">
        <f t="shared" si="116"/>
        <v>0.51286569414302474</v>
      </c>
      <c r="AY36" s="39">
        <f t="shared" si="117"/>
        <v>0.58818142780885296</v>
      </c>
      <c r="AZ36" s="39">
        <f t="shared" si="118"/>
        <v>0.67330438431738893</v>
      </c>
      <c r="BA36" s="39">
        <f t="shared" si="119"/>
        <v>0.75714874302123447</v>
      </c>
      <c r="BB36" s="39">
        <f t="shared" si="120"/>
        <v>0.81635872743999471</v>
      </c>
      <c r="BC36" s="39">
        <f t="shared" si="121"/>
        <v>0.88740446215781221</v>
      </c>
      <c r="BD36" s="39">
        <f t="shared" si="122"/>
        <v>0.94413571520021089</v>
      </c>
      <c r="BE36" s="39">
        <f t="shared" si="123"/>
        <v>1</v>
      </c>
      <c r="BG36" s="39">
        <f t="shared" si="77"/>
        <v>0.17082037428064084</v>
      </c>
      <c r="BH36" s="39">
        <f t="shared" si="78"/>
        <v>0.27890009754274436</v>
      </c>
      <c r="BI36" s="39">
        <f t="shared" si="79"/>
        <v>0.3749210644439776</v>
      </c>
      <c r="BJ36" s="39">
        <f t="shared" si="80"/>
        <v>0.45719899720184493</v>
      </c>
      <c r="BK36" s="39">
        <f t="shared" si="81"/>
        <v>0.52728951422947079</v>
      </c>
      <c r="BL36" s="39">
        <f t="shared" si="82"/>
        <v>0.6059714761433177</v>
      </c>
      <c r="BM36" s="39">
        <f t="shared" si="83"/>
        <v>0.69758120385582223</v>
      </c>
      <c r="BN36" s="39">
        <f t="shared" si="84"/>
        <v>0.78843621506908745</v>
      </c>
      <c r="BO36" s="39">
        <f t="shared" si="85"/>
        <v>0.82639753978596775</v>
      </c>
      <c r="BP36" s="39">
        <f t="shared" si="86"/>
        <v>0.89886117834955448</v>
      </c>
      <c r="BQ36" s="39">
        <f t="shared" si="87"/>
        <v>0.94834661536467424</v>
      </c>
      <c r="BR36" s="39">
        <f t="shared" si="88"/>
        <v>1</v>
      </c>
      <c r="BS36" s="61"/>
      <c r="BT36" s="39">
        <f t="shared" si="89"/>
        <v>0.12082427331968949</v>
      </c>
      <c r="BU36" s="39">
        <f t="shared" si="90"/>
        <v>0.23432080133774719</v>
      </c>
      <c r="BV36" s="39">
        <f t="shared" si="91"/>
        <v>0.31680641222027345</v>
      </c>
      <c r="BW36" s="39">
        <f t="shared" si="92"/>
        <v>0.37894883281480607</v>
      </c>
      <c r="BX36" s="39">
        <f t="shared" si="93"/>
        <v>0.44995681004323812</v>
      </c>
      <c r="BY36" s="39">
        <f t="shared" si="94"/>
        <v>0.51541378789572911</v>
      </c>
      <c r="BZ36" s="39">
        <f t="shared" si="95"/>
        <v>0.58224528869592274</v>
      </c>
      <c r="CA36" s="39">
        <f t="shared" si="96"/>
        <v>0.66659663051195639</v>
      </c>
      <c r="CB36" s="39">
        <f t="shared" si="97"/>
        <v>0.78074201500552209</v>
      </c>
      <c r="CC36" s="39">
        <f t="shared" si="98"/>
        <v>0.8573308024827353</v>
      </c>
      <c r="CD36" s="39">
        <f t="shared" si="99"/>
        <v>0.93385468640796976</v>
      </c>
      <c r="CE36" s="39">
        <f t="shared" si="100"/>
        <v>1</v>
      </c>
      <c r="CG36" s="39">
        <f t="shared" si="124"/>
        <v>0.12186123792640108</v>
      </c>
      <c r="CH36" s="39">
        <f t="shared" si="101"/>
        <v>0.23852601134516452</v>
      </c>
      <c r="CI36" s="39">
        <f t="shared" si="102"/>
        <v>0.33175933693060006</v>
      </c>
      <c r="CJ36" s="39">
        <f t="shared" si="103"/>
        <v>0.41089043619393512</v>
      </c>
      <c r="CK36" s="39">
        <f t="shared" si="104"/>
        <v>0.4967040061385779</v>
      </c>
      <c r="CL36" s="39">
        <f t="shared" si="105"/>
        <v>0.56985556394930004</v>
      </c>
      <c r="CM36" s="39">
        <f t="shared" si="106"/>
        <v>0.65104362562304463</v>
      </c>
      <c r="CN36" s="39">
        <f t="shared" si="107"/>
        <v>0.73739386286742603</v>
      </c>
      <c r="CO36" s="39">
        <f t="shared" si="108"/>
        <v>0.80783276074382826</v>
      </c>
      <c r="CP36" s="39">
        <f t="shared" si="109"/>
        <v>0.881198814330034</v>
      </c>
      <c r="CQ36" s="39">
        <f t="shared" si="110"/>
        <v>0.94211233899095159</v>
      </c>
      <c r="CR36" s="39">
        <f t="shared" si="111"/>
        <v>1</v>
      </c>
    </row>
    <row r="37" spans="1:96">
      <c r="A37" s="193" t="s">
        <v>91</v>
      </c>
      <c r="B37" s="34">
        <v>45041.73</v>
      </c>
      <c r="C37" s="34">
        <v>36865.81</v>
      </c>
      <c r="D37" s="34">
        <v>23393.32</v>
      </c>
      <c r="E37" s="34">
        <v>29054.41</v>
      </c>
      <c r="F37" s="34">
        <v>26799.67</v>
      </c>
      <c r="G37" s="34">
        <v>25219.17</v>
      </c>
      <c r="H37" s="34">
        <v>27173.53</v>
      </c>
      <c r="I37" s="34">
        <v>25659.4</v>
      </c>
      <c r="J37" s="34">
        <v>21669.07</v>
      </c>
      <c r="K37" s="34">
        <v>20144.96</v>
      </c>
      <c r="L37" s="34">
        <v>29404.22</v>
      </c>
      <c r="M37" s="34">
        <v>33172.29</v>
      </c>
      <c r="N37" s="68">
        <f t="shared" si="76"/>
        <v>343597.58</v>
      </c>
      <c r="P37" s="85" t="s">
        <v>91</v>
      </c>
      <c r="Q37" s="34">
        <v>52985.74000000002</v>
      </c>
      <c r="R37" s="34">
        <v>40949.159999999982</v>
      </c>
      <c r="S37" s="34">
        <v>31112.410000000007</v>
      </c>
      <c r="T37" s="34">
        <v>30388.760000000009</v>
      </c>
      <c r="U37" s="34">
        <v>24138.400000000001</v>
      </c>
      <c r="V37" s="34">
        <v>15211.310000000001</v>
      </c>
      <c r="W37" s="34">
        <v>27186.410000000007</v>
      </c>
      <c r="X37" s="34">
        <v>34319.25</v>
      </c>
      <c r="Y37" s="34">
        <v>16275.36</v>
      </c>
      <c r="Z37" s="34">
        <v>23826.32</v>
      </c>
      <c r="AA37" s="34">
        <v>17007.740000000002</v>
      </c>
      <c r="AB37" s="34">
        <v>15537.7</v>
      </c>
      <c r="AC37" s="68">
        <f t="shared" si="1"/>
        <v>328938.56</v>
      </c>
      <c r="AE37" s="85" t="s">
        <v>91</v>
      </c>
      <c r="AF37" s="34">
        <v>26687.299999999988</v>
      </c>
      <c r="AG37" s="34">
        <v>24558.779999999955</v>
      </c>
      <c r="AH37" s="34">
        <v>13976.810000000005</v>
      </c>
      <c r="AI37" s="34">
        <v>19549.340000000015</v>
      </c>
      <c r="AJ37" s="34">
        <v>13124.309999999998</v>
      </c>
      <c r="AK37" s="34">
        <v>16731.290000000008</v>
      </c>
      <c r="AL37" s="34">
        <v>13698.269999999997</v>
      </c>
      <c r="AM37" s="34">
        <v>10718.690000000002</v>
      </c>
      <c r="AN37" s="34">
        <v>13039.72</v>
      </c>
      <c r="AO37" s="34">
        <v>12201.839999999998</v>
      </c>
      <c r="AP37" s="34">
        <v>10416.800000000003</v>
      </c>
      <c r="AQ37" s="34">
        <v>22292.799999999999</v>
      </c>
      <c r="AR37" s="68">
        <f t="shared" si="27"/>
        <v>196995.94999999995</v>
      </c>
      <c r="AT37" s="39">
        <f t="shared" si="112"/>
        <v>0.13108861244016912</v>
      </c>
      <c r="AU37" s="39">
        <f t="shared" si="113"/>
        <v>0.23838217952524579</v>
      </c>
      <c r="AV37" s="39">
        <f t="shared" si="114"/>
        <v>0.30646566253464302</v>
      </c>
      <c r="AW37" s="39">
        <f t="shared" si="115"/>
        <v>0.39102507648627799</v>
      </c>
      <c r="AX37" s="39">
        <f t="shared" si="116"/>
        <v>0.46902233711890517</v>
      </c>
      <c r="AY37" s="39">
        <f t="shared" si="117"/>
        <v>0.54241973997604986</v>
      </c>
      <c r="AZ37" s="39">
        <f t="shared" si="118"/>
        <v>0.62150507579244296</v>
      </c>
      <c r="BA37" s="39">
        <f t="shared" si="119"/>
        <v>0.69618371584572847</v>
      </c>
      <c r="BB37" s="39">
        <f t="shared" si="120"/>
        <v>0.75924897375586864</v>
      </c>
      <c r="BC37" s="39">
        <f t="shared" si="121"/>
        <v>0.81787849029670112</v>
      </c>
      <c r="BD37" s="39">
        <f t="shared" si="122"/>
        <v>0.90345598475984612</v>
      </c>
      <c r="BE37" s="39">
        <f t="shared" si="123"/>
        <v>1</v>
      </c>
      <c r="BG37" s="39">
        <f t="shared" si="77"/>
        <v>0.16108096296159385</v>
      </c>
      <c r="BH37" s="39">
        <f t="shared" si="78"/>
        <v>0.28556974287234671</v>
      </c>
      <c r="BI37" s="39">
        <f t="shared" si="79"/>
        <v>0.38015400201180427</v>
      </c>
      <c r="BJ37" s="39">
        <f t="shared" si="80"/>
        <v>0.47253830624174925</v>
      </c>
      <c r="BK37" s="39">
        <f t="shared" si="81"/>
        <v>0.54592100725436388</v>
      </c>
      <c r="BL37" s="39">
        <f t="shared" si="82"/>
        <v>0.59216462794754132</v>
      </c>
      <c r="BM37" s="39">
        <f t="shared" si="83"/>
        <v>0.67481352748671364</v>
      </c>
      <c r="BN37" s="39">
        <f t="shared" si="84"/>
        <v>0.77914684128245715</v>
      </c>
      <c r="BO37" s="39">
        <f t="shared" si="85"/>
        <v>0.82862526059577812</v>
      </c>
      <c r="BP37" s="39">
        <f t="shared" si="86"/>
        <v>0.90105921300318215</v>
      </c>
      <c r="BQ37" s="39">
        <f t="shared" si="87"/>
        <v>0.95276412713669079</v>
      </c>
      <c r="BR37" s="39">
        <f t="shared" si="88"/>
        <v>1</v>
      </c>
      <c r="BS37" s="61"/>
      <c r="BT37" s="39">
        <f t="shared" si="89"/>
        <v>0.13547131298892182</v>
      </c>
      <c r="BU37" s="39">
        <f t="shared" si="90"/>
        <v>0.26013773379604987</v>
      </c>
      <c r="BV37" s="39">
        <f t="shared" si="91"/>
        <v>0.33108746651898158</v>
      </c>
      <c r="BW37" s="39">
        <f t="shared" si="92"/>
        <v>0.43032473510242208</v>
      </c>
      <c r="BX37" s="39">
        <f t="shared" si="93"/>
        <v>0.49694696769146773</v>
      </c>
      <c r="BY37" s="39">
        <f t="shared" si="94"/>
        <v>0.5818791198499258</v>
      </c>
      <c r="BZ37" s="39">
        <f t="shared" si="95"/>
        <v>0.65141491487515357</v>
      </c>
      <c r="CA37" s="39">
        <f t="shared" si="96"/>
        <v>0.70582562737964927</v>
      </c>
      <c r="CB37" s="39">
        <f t="shared" si="97"/>
        <v>0.77201846027799059</v>
      </c>
      <c r="CC37" s="39">
        <f t="shared" si="98"/>
        <v>0.83395800776614959</v>
      </c>
      <c r="CD37" s="39">
        <f t="shared" si="99"/>
        <v>0.88683625221736795</v>
      </c>
      <c r="CE37" s="39">
        <f t="shared" si="100"/>
        <v>1</v>
      </c>
      <c r="CG37" s="39">
        <f t="shared" si="124"/>
        <v>0.14254696279689494</v>
      </c>
      <c r="CH37" s="39">
        <f t="shared" si="101"/>
        <v>0.2613632187312141</v>
      </c>
      <c r="CI37" s="39">
        <f t="shared" si="102"/>
        <v>0.33923571035514294</v>
      </c>
      <c r="CJ37" s="39">
        <f t="shared" si="103"/>
        <v>0.43129603927681642</v>
      </c>
      <c r="CK37" s="39">
        <f t="shared" si="104"/>
        <v>0.50396343735491234</v>
      </c>
      <c r="CL37" s="39">
        <f t="shared" si="105"/>
        <v>0.57215449592450562</v>
      </c>
      <c r="CM37" s="39">
        <f t="shared" si="106"/>
        <v>0.6492445060514368</v>
      </c>
      <c r="CN37" s="39">
        <f t="shared" si="107"/>
        <v>0.72705206150261159</v>
      </c>
      <c r="CO37" s="39">
        <f t="shared" si="108"/>
        <v>0.78663089820987908</v>
      </c>
      <c r="CP37" s="39">
        <f t="shared" si="109"/>
        <v>0.85096523702201088</v>
      </c>
      <c r="CQ37" s="39">
        <f t="shared" si="110"/>
        <v>0.91435212137130162</v>
      </c>
      <c r="CR37" s="39">
        <f t="shared" si="111"/>
        <v>1</v>
      </c>
    </row>
    <row r="38" spans="1:96">
      <c r="A38" s="193" t="s">
        <v>92</v>
      </c>
      <c r="B38" s="34">
        <v>25305.47</v>
      </c>
      <c r="C38" s="34">
        <v>17117.310000000001</v>
      </c>
      <c r="D38" s="34">
        <v>16930.990000000002</v>
      </c>
      <c r="E38" s="34">
        <v>17741.7</v>
      </c>
      <c r="F38" s="34">
        <v>10861.88</v>
      </c>
      <c r="G38" s="34">
        <v>9490.3700000000008</v>
      </c>
      <c r="H38" s="34">
        <v>12900.62</v>
      </c>
      <c r="I38" s="34">
        <v>15362.41</v>
      </c>
      <c r="J38" s="34">
        <v>6952.45</v>
      </c>
      <c r="K38" s="34">
        <v>17265.77</v>
      </c>
      <c r="L38" s="34">
        <v>10486.36</v>
      </c>
      <c r="M38" s="34">
        <v>10915.81</v>
      </c>
      <c r="N38" s="68">
        <f t="shared" si="76"/>
        <v>171331.14</v>
      </c>
      <c r="P38" s="85" t="s">
        <v>92</v>
      </c>
      <c r="Q38" s="34">
        <v>15953.689999999986</v>
      </c>
      <c r="R38" s="34">
        <v>15044.89</v>
      </c>
      <c r="S38" s="34">
        <v>10320.380000000006</v>
      </c>
      <c r="T38" s="34">
        <v>8270.0499999999975</v>
      </c>
      <c r="U38" s="34">
        <v>7238.1999999999907</v>
      </c>
      <c r="V38" s="34">
        <v>7364.8200000000006</v>
      </c>
      <c r="W38" s="34">
        <v>11929.110000000002</v>
      </c>
      <c r="X38" s="34">
        <v>12910.599999999999</v>
      </c>
      <c r="Y38" s="34">
        <v>6388.47</v>
      </c>
      <c r="Z38" s="34">
        <v>9448.02</v>
      </c>
      <c r="AA38" s="34">
        <v>9319.56</v>
      </c>
      <c r="AB38" s="34">
        <v>11522.94</v>
      </c>
      <c r="AC38" s="68">
        <f t="shared" si="1"/>
        <v>125710.73</v>
      </c>
      <c r="AE38" s="85" t="s">
        <v>92</v>
      </c>
      <c r="AF38" s="34">
        <v>11268.220000000008</v>
      </c>
      <c r="AG38" s="34">
        <v>17767.579999999987</v>
      </c>
      <c r="AH38" s="34">
        <v>22558.02</v>
      </c>
      <c r="AI38" s="34">
        <v>15059.509999999995</v>
      </c>
      <c r="AJ38" s="34">
        <v>11534.250000000004</v>
      </c>
      <c r="AK38" s="34">
        <v>13460.049999999996</v>
      </c>
      <c r="AL38" s="34">
        <v>9539.16</v>
      </c>
      <c r="AM38" s="34">
        <v>7756.550000000002</v>
      </c>
      <c r="AN38" s="34">
        <v>6538.0999999999985</v>
      </c>
      <c r="AO38" s="34">
        <v>6078.4599999999991</v>
      </c>
      <c r="AP38" s="34">
        <v>6382.6500000000005</v>
      </c>
      <c r="AQ38" s="34">
        <v>4791.4500000000016</v>
      </c>
      <c r="AR38" s="68">
        <f t="shared" si="27"/>
        <v>132733.99999999997</v>
      </c>
      <c r="AT38" s="39">
        <f t="shared" si="112"/>
        <v>0.14769918649931355</v>
      </c>
      <c r="AU38" s="39">
        <f t="shared" si="113"/>
        <v>0.24760694407333073</v>
      </c>
      <c r="AV38" s="39">
        <f t="shared" si="114"/>
        <v>0.34642721690873007</v>
      </c>
      <c r="AW38" s="39">
        <f t="shared" si="115"/>
        <v>0.44997932074694652</v>
      </c>
      <c r="AX38" s="39">
        <f t="shared" si="116"/>
        <v>0.51337631909762582</v>
      </c>
      <c r="AY38" s="39">
        <f t="shared" si="117"/>
        <v>0.56876829279254193</v>
      </c>
      <c r="AZ38" s="39">
        <f t="shared" si="118"/>
        <v>0.64406470417461759</v>
      </c>
      <c r="BA38" s="39">
        <f t="shared" si="119"/>
        <v>0.7337297236217537</v>
      </c>
      <c r="BB38" s="39">
        <f t="shared" si="120"/>
        <v>0.77430874504191127</v>
      </c>
      <c r="BC38" s="39">
        <f t="shared" si="121"/>
        <v>0.8750830117630688</v>
      </c>
      <c r="BD38" s="39">
        <f t="shared" si="122"/>
        <v>0.93628823108280257</v>
      </c>
      <c r="BE38" s="39">
        <f t="shared" si="123"/>
        <v>1</v>
      </c>
      <c r="BG38" s="39">
        <f t="shared" si="77"/>
        <v>0.12690794174848866</v>
      </c>
      <c r="BH38" s="39">
        <f t="shared" si="78"/>
        <v>0.24658658811383871</v>
      </c>
      <c r="BI38" s="39">
        <f t="shared" si="79"/>
        <v>0.32868284194992736</v>
      </c>
      <c r="BJ38" s="39">
        <f t="shared" si="80"/>
        <v>0.39446919129337638</v>
      </c>
      <c r="BK38" s="39">
        <f t="shared" si="81"/>
        <v>0.45204741075006072</v>
      </c>
      <c r="BL38" s="39">
        <f t="shared" si="82"/>
        <v>0.51063286324087032</v>
      </c>
      <c r="BM38" s="39">
        <f t="shared" si="83"/>
        <v>0.60552619493976356</v>
      </c>
      <c r="BN38" s="39">
        <f t="shared" si="84"/>
        <v>0.70822705428566035</v>
      </c>
      <c r="BO38" s="39">
        <f t="shared" si="85"/>
        <v>0.75904586664956919</v>
      </c>
      <c r="BP38" s="39">
        <f t="shared" si="86"/>
        <v>0.83420269693764404</v>
      </c>
      <c r="BQ38" s="39">
        <f t="shared" si="87"/>
        <v>0.90833765741396932</v>
      </c>
      <c r="BR38" s="39">
        <f t="shared" si="88"/>
        <v>1</v>
      </c>
      <c r="BS38" s="61"/>
      <c r="BT38" s="39">
        <f t="shared" si="89"/>
        <v>8.4893245136890408E-2</v>
      </c>
      <c r="BU38" s="39">
        <f t="shared" si="90"/>
        <v>0.21875178929287148</v>
      </c>
      <c r="BV38" s="39">
        <f t="shared" si="91"/>
        <v>0.3887008603673513</v>
      </c>
      <c r="BW38" s="39">
        <f t="shared" si="92"/>
        <v>0.50215717148582883</v>
      </c>
      <c r="BX38" s="39">
        <f t="shared" si="93"/>
        <v>0.58905465065469287</v>
      </c>
      <c r="BY38" s="39">
        <f t="shared" si="94"/>
        <v>0.69046084650504014</v>
      </c>
      <c r="BZ38" s="39">
        <f t="shared" si="95"/>
        <v>0.76232758750583873</v>
      </c>
      <c r="CA38" s="39">
        <f t="shared" si="96"/>
        <v>0.82076438591468659</v>
      </c>
      <c r="CB38" s="39">
        <f t="shared" si="97"/>
        <v>0.87002154685310473</v>
      </c>
      <c r="CC38" s="39">
        <f t="shared" si="98"/>
        <v>0.9158158422107372</v>
      </c>
      <c r="CD38" s="39">
        <f t="shared" si="99"/>
        <v>0.96390186387813215</v>
      </c>
      <c r="CE38" s="39">
        <f t="shared" si="100"/>
        <v>1</v>
      </c>
      <c r="CG38" s="39">
        <f t="shared" si="124"/>
        <v>0.11983345779489753</v>
      </c>
      <c r="CH38" s="39">
        <f t="shared" si="101"/>
        <v>0.23764844049334699</v>
      </c>
      <c r="CI38" s="39">
        <f t="shared" si="102"/>
        <v>0.35460363974200293</v>
      </c>
      <c r="CJ38" s="39">
        <f t="shared" si="103"/>
        <v>0.44886856117538393</v>
      </c>
      <c r="CK38" s="39">
        <f t="shared" si="104"/>
        <v>0.51815946016745984</v>
      </c>
      <c r="CL38" s="39">
        <f t="shared" si="105"/>
        <v>0.58995400084615079</v>
      </c>
      <c r="CM38" s="39">
        <f t="shared" si="106"/>
        <v>0.67063949554007329</v>
      </c>
      <c r="CN38" s="39">
        <f t="shared" si="107"/>
        <v>0.75424038794070025</v>
      </c>
      <c r="CO38" s="39">
        <f t="shared" si="108"/>
        <v>0.8011253861815284</v>
      </c>
      <c r="CP38" s="39">
        <f t="shared" si="109"/>
        <v>0.87503385030381653</v>
      </c>
      <c r="CQ38" s="39">
        <f t="shared" si="110"/>
        <v>0.93617591745830131</v>
      </c>
      <c r="CR38" s="39">
        <f t="shared" si="111"/>
        <v>1</v>
      </c>
    </row>
    <row r="39" spans="1:96">
      <c r="A39" s="193" t="s">
        <v>93</v>
      </c>
      <c r="B39" s="34">
        <v>48249.17</v>
      </c>
      <c r="C39" s="34">
        <v>43095.350000000006</v>
      </c>
      <c r="D39" s="34">
        <v>30658.66</v>
      </c>
      <c r="E39" s="34">
        <v>33363.240000000005</v>
      </c>
      <c r="F39" s="34">
        <v>31445.279999999999</v>
      </c>
      <c r="G39" s="34">
        <v>37269.300000000003</v>
      </c>
      <c r="H39" s="34">
        <v>38068.660000000003</v>
      </c>
      <c r="I39" s="34">
        <v>46819.799999999996</v>
      </c>
      <c r="J39" s="34">
        <v>36520.050000000003</v>
      </c>
      <c r="K39" s="34">
        <v>46954.97</v>
      </c>
      <c r="L39" s="34">
        <v>37472.97</v>
      </c>
      <c r="M39" s="34">
        <v>35374.620000000003</v>
      </c>
      <c r="N39" s="68">
        <f t="shared" si="76"/>
        <v>465292.06999999995</v>
      </c>
      <c r="P39" s="85" t="s">
        <v>93</v>
      </c>
      <c r="Q39" s="34">
        <v>48170.460000000006</v>
      </c>
      <c r="R39" s="34">
        <v>50654.609999999986</v>
      </c>
      <c r="S39" s="34">
        <v>43705.979999999981</v>
      </c>
      <c r="T39" s="34">
        <v>28638.840000000011</v>
      </c>
      <c r="U39" s="34">
        <v>28682.26</v>
      </c>
      <c r="V39" s="34">
        <v>24455.170000000002</v>
      </c>
      <c r="W39" s="34">
        <v>19582.89</v>
      </c>
      <c r="X39" s="34">
        <v>21825.68</v>
      </c>
      <c r="Y39" s="34">
        <v>11470.320000000002</v>
      </c>
      <c r="Z39" s="34">
        <v>14280.029999999999</v>
      </c>
      <c r="AA39" s="34">
        <v>17974.5</v>
      </c>
      <c r="AB39" s="34">
        <v>27207.38</v>
      </c>
      <c r="AC39" s="68">
        <f t="shared" si="1"/>
        <v>336648.12</v>
      </c>
      <c r="AE39" s="85" t="s">
        <v>93</v>
      </c>
      <c r="AF39" s="34">
        <v>35934.450000000004</v>
      </c>
      <c r="AG39" s="34">
        <v>31581.029999999955</v>
      </c>
      <c r="AH39" s="34">
        <v>28986.249999999993</v>
      </c>
      <c r="AI39" s="34">
        <v>16017.73000000001</v>
      </c>
      <c r="AJ39" s="34">
        <v>24779.489999999994</v>
      </c>
      <c r="AK39" s="34">
        <v>23037.210000000003</v>
      </c>
      <c r="AL39" s="34">
        <v>21775.120000000006</v>
      </c>
      <c r="AM39" s="34">
        <v>26775.839999999997</v>
      </c>
      <c r="AN39" s="34">
        <v>24652.57</v>
      </c>
      <c r="AO39" s="34">
        <v>28543.179999999993</v>
      </c>
      <c r="AP39" s="34">
        <v>25121.349999999995</v>
      </c>
      <c r="AQ39" s="34">
        <v>22818.309999999998</v>
      </c>
      <c r="AR39" s="68">
        <f t="shared" si="27"/>
        <v>310022.52999999991</v>
      </c>
      <c r="AT39" s="39">
        <f t="shared" si="112"/>
        <v>0.10369652334715269</v>
      </c>
      <c r="AU39" s="39">
        <f t="shared" si="113"/>
        <v>0.19631652007308015</v>
      </c>
      <c r="AV39" s="39">
        <f t="shared" si="114"/>
        <v>0.26220773545528087</v>
      </c>
      <c r="AW39" s="39">
        <f t="shared" si="115"/>
        <v>0.33391160094346767</v>
      </c>
      <c r="AX39" s="39">
        <f t="shared" si="116"/>
        <v>0.40149341036480596</v>
      </c>
      <c r="AY39" s="39">
        <f t="shared" si="117"/>
        <v>0.48159213201290973</v>
      </c>
      <c r="AZ39" s="39">
        <f t="shared" si="118"/>
        <v>0.56340882835162021</v>
      </c>
      <c r="BA39" s="39">
        <f t="shared" si="119"/>
        <v>0.66403336725682871</v>
      </c>
      <c r="BB39" s="39">
        <f t="shared" si="120"/>
        <v>0.74252181001064566</v>
      </c>
      <c r="BC39" s="39">
        <f t="shared" si="121"/>
        <v>0.84343685461907836</v>
      </c>
      <c r="BD39" s="39">
        <f t="shared" si="122"/>
        <v>0.92397330132877609</v>
      </c>
      <c r="BE39" s="39">
        <f t="shared" si="123"/>
        <v>1</v>
      </c>
      <c r="BG39" s="39">
        <f t="shared" si="77"/>
        <v>0.14308845687301033</v>
      </c>
      <c r="BH39" s="39">
        <f t="shared" si="78"/>
        <v>0.29355598361874113</v>
      </c>
      <c r="BI39" s="39">
        <f t="shared" si="79"/>
        <v>0.42338287824093596</v>
      </c>
      <c r="BJ39" s="39">
        <f t="shared" si="80"/>
        <v>0.50845342608775002</v>
      </c>
      <c r="BK39" s="39">
        <f t="shared" si="81"/>
        <v>0.59365295133684404</v>
      </c>
      <c r="BL39" s="39">
        <f t="shared" si="82"/>
        <v>0.66629607199351071</v>
      </c>
      <c r="BM39" s="39">
        <f t="shared" si="83"/>
        <v>0.72446627653824425</v>
      </c>
      <c r="BN39" s="39">
        <f t="shared" si="84"/>
        <v>0.78929860056845114</v>
      </c>
      <c r="BO39" s="39">
        <f t="shared" si="85"/>
        <v>0.82337073499771818</v>
      </c>
      <c r="BP39" s="39">
        <f t="shared" si="86"/>
        <v>0.86578900247534429</v>
      </c>
      <c r="BQ39" s="39">
        <f t="shared" si="87"/>
        <v>0.91918154778348382</v>
      </c>
      <c r="BR39" s="39">
        <f t="shared" si="88"/>
        <v>1</v>
      </c>
      <c r="BS39" s="61"/>
      <c r="BT39" s="39">
        <f t="shared" si="89"/>
        <v>0.1159091566667752</v>
      </c>
      <c r="BU39" s="39">
        <f t="shared" si="90"/>
        <v>0.21777604356689809</v>
      </c>
      <c r="BV39" s="39">
        <f t="shared" si="91"/>
        <v>0.31127328068705196</v>
      </c>
      <c r="BW39" s="39">
        <f t="shared" si="92"/>
        <v>0.36293962248485617</v>
      </c>
      <c r="BX39" s="39">
        <f t="shared" si="93"/>
        <v>0.44286765223159746</v>
      </c>
      <c r="BY39" s="39">
        <f t="shared" si="94"/>
        <v>0.51717583234999076</v>
      </c>
      <c r="BZ39" s="39">
        <f t="shared" si="95"/>
        <v>0.58741305027089485</v>
      </c>
      <c r="CA39" s="39">
        <f t="shared" si="96"/>
        <v>0.67378045073046788</v>
      </c>
      <c r="CB39" s="39">
        <f t="shared" si="97"/>
        <v>0.75329909087575031</v>
      </c>
      <c r="CC39" s="39">
        <f t="shared" si="98"/>
        <v>0.84536717379862691</v>
      </c>
      <c r="CD39" s="39">
        <f t="shared" si="99"/>
        <v>0.92639789759795843</v>
      </c>
      <c r="CE39" s="39">
        <f t="shared" si="100"/>
        <v>1</v>
      </c>
      <c r="CG39" s="39">
        <f t="shared" si="124"/>
        <v>0.12089804562897942</v>
      </c>
      <c r="CH39" s="39">
        <f t="shared" si="101"/>
        <v>0.2358828490862398</v>
      </c>
      <c r="CI39" s="39">
        <f t="shared" si="102"/>
        <v>0.33228796479442296</v>
      </c>
      <c r="CJ39" s="39">
        <f t="shared" si="103"/>
        <v>0.40176821650535799</v>
      </c>
      <c r="CK39" s="39">
        <f t="shared" si="104"/>
        <v>0.47933800464441584</v>
      </c>
      <c r="CL39" s="39">
        <f t="shared" si="105"/>
        <v>0.5550213454521371</v>
      </c>
      <c r="CM39" s="39">
        <f t="shared" si="106"/>
        <v>0.62509605172025307</v>
      </c>
      <c r="CN39" s="39">
        <f t="shared" si="107"/>
        <v>0.70903747285191587</v>
      </c>
      <c r="CO39" s="39">
        <f t="shared" si="108"/>
        <v>0.77306387862803805</v>
      </c>
      <c r="CP39" s="39">
        <f t="shared" si="109"/>
        <v>0.85153101029768319</v>
      </c>
      <c r="CQ39" s="39">
        <f t="shared" si="110"/>
        <v>0.923184248903406</v>
      </c>
      <c r="CR39" s="39">
        <f t="shared" si="111"/>
        <v>1</v>
      </c>
    </row>
    <row r="40" spans="1:96">
      <c r="A40" s="193" t="s">
        <v>94</v>
      </c>
      <c r="B40" s="34">
        <v>31234.3</v>
      </c>
      <c r="C40" s="34">
        <v>34772.080000000002</v>
      </c>
      <c r="D40" s="34">
        <v>23920.36</v>
      </c>
      <c r="E40" s="34">
        <v>17655.59</v>
      </c>
      <c r="F40" s="34">
        <v>15366.96</v>
      </c>
      <c r="G40" s="34">
        <v>15565.4</v>
      </c>
      <c r="H40" s="34">
        <v>19991.38</v>
      </c>
      <c r="I40" s="34">
        <v>23936.519999999997</v>
      </c>
      <c r="J40" s="34">
        <v>21576.73</v>
      </c>
      <c r="K40" s="34">
        <v>22028.49</v>
      </c>
      <c r="L40" s="34">
        <v>18078.18</v>
      </c>
      <c r="M40" s="34">
        <v>23490.62</v>
      </c>
      <c r="N40" s="68">
        <f t="shared" si="76"/>
        <v>267616.61</v>
      </c>
      <c r="P40" s="85" t="s">
        <v>94</v>
      </c>
      <c r="Q40" s="34">
        <v>22968.870000000014</v>
      </c>
      <c r="R40" s="34">
        <v>17281.760000000009</v>
      </c>
      <c r="S40" s="34">
        <v>17469.359999999997</v>
      </c>
      <c r="T40" s="34">
        <v>11035.04</v>
      </c>
      <c r="U40" s="34">
        <v>12920.759999999987</v>
      </c>
      <c r="V40" s="34">
        <v>10684.06</v>
      </c>
      <c r="W40" s="34">
        <v>15822.390000000003</v>
      </c>
      <c r="X40" s="34">
        <v>17034.77</v>
      </c>
      <c r="Y40" s="34">
        <v>13364.69</v>
      </c>
      <c r="Z40" s="34">
        <v>16317.740000000002</v>
      </c>
      <c r="AA40" s="34">
        <v>12287.579999999998</v>
      </c>
      <c r="AB40" s="34">
        <v>23794.58</v>
      </c>
      <c r="AC40" s="68">
        <f t="shared" si="1"/>
        <v>190981.59999999998</v>
      </c>
      <c r="AE40" s="85" t="s">
        <v>94</v>
      </c>
      <c r="AF40" s="34">
        <v>12123.200000000004</v>
      </c>
      <c r="AG40" s="34">
        <v>9829.4599999999991</v>
      </c>
      <c r="AH40" s="34">
        <v>12965.45</v>
      </c>
      <c r="AI40" s="34">
        <v>7394.32</v>
      </c>
      <c r="AJ40" s="34">
        <v>7186.2599999999875</v>
      </c>
      <c r="AK40" s="34">
        <v>6458.5800000000017</v>
      </c>
      <c r="AL40" s="34">
        <v>7719.239999999998</v>
      </c>
      <c r="AM40" s="34">
        <v>8456.6299999999974</v>
      </c>
      <c r="AN40" s="34">
        <v>8235.9199999999983</v>
      </c>
      <c r="AO40" s="34">
        <v>4716.9200000000019</v>
      </c>
      <c r="AP40" s="34">
        <v>7936.2900000000018</v>
      </c>
      <c r="AQ40" s="34">
        <v>8084.52</v>
      </c>
      <c r="AR40" s="68">
        <f t="shared" si="27"/>
        <v>101106.79</v>
      </c>
      <c r="AT40" s="39">
        <f t="shared" si="112"/>
        <v>0.11671286023688889</v>
      </c>
      <c r="AU40" s="39">
        <f t="shared" si="113"/>
        <v>0.24664530351834293</v>
      </c>
      <c r="AV40" s="39">
        <f t="shared" si="114"/>
        <v>0.33602824578040957</v>
      </c>
      <c r="AW40" s="39">
        <f t="shared" si="115"/>
        <v>0.40200169189797302</v>
      </c>
      <c r="AX40" s="39">
        <f t="shared" si="116"/>
        <v>0.45942323983552447</v>
      </c>
      <c r="AY40" s="39">
        <f t="shared" si="117"/>
        <v>0.51758629630649611</v>
      </c>
      <c r="AZ40" s="39">
        <f t="shared" si="118"/>
        <v>0.59228786284976864</v>
      </c>
      <c r="BA40" s="39">
        <f t="shared" si="119"/>
        <v>0.68173119000349047</v>
      </c>
      <c r="BB40" s="39">
        <f t="shared" si="120"/>
        <v>0.76235671619934209</v>
      </c>
      <c r="BC40" s="39">
        <f t="shared" si="121"/>
        <v>0.84467032894557637</v>
      </c>
      <c r="BD40" s="39">
        <f t="shared" si="122"/>
        <v>0.91222286240005812</v>
      </c>
      <c r="BE40" s="39">
        <f t="shared" si="123"/>
        <v>1</v>
      </c>
      <c r="BG40" s="39">
        <f t="shared" si="77"/>
        <v>0.12026744984857189</v>
      </c>
      <c r="BH40" s="39">
        <f t="shared" si="78"/>
        <v>0.21075658597477465</v>
      </c>
      <c r="BI40" s="39">
        <f t="shared" si="79"/>
        <v>0.30222801568318636</v>
      </c>
      <c r="BJ40" s="39">
        <f t="shared" si="80"/>
        <v>0.36000866052017594</v>
      </c>
      <c r="BK40" s="39">
        <f t="shared" si="81"/>
        <v>0.42766313613458062</v>
      </c>
      <c r="BL40" s="39">
        <f t="shared" si="82"/>
        <v>0.48360601230694483</v>
      </c>
      <c r="BM40" s="39">
        <f t="shared" si="83"/>
        <v>0.56645373166839119</v>
      </c>
      <c r="BN40" s="39">
        <f t="shared" si="84"/>
        <v>0.65564960184646071</v>
      </c>
      <c r="BO40" s="39">
        <f t="shared" si="85"/>
        <v>0.72562854222605755</v>
      </c>
      <c r="BP40" s="39">
        <f t="shared" si="86"/>
        <v>0.8110699669496958</v>
      </c>
      <c r="BQ40" s="39">
        <f t="shared" si="87"/>
        <v>0.87540904464094971</v>
      </c>
      <c r="BR40" s="39">
        <f t="shared" si="88"/>
        <v>1</v>
      </c>
      <c r="BS40" s="61"/>
      <c r="BT40" s="39">
        <f t="shared" si="89"/>
        <v>0.11990490450740257</v>
      </c>
      <c r="BU40" s="39">
        <f t="shared" si="90"/>
        <v>0.21712349882732906</v>
      </c>
      <c r="BV40" s="39">
        <f t="shared" si="91"/>
        <v>0.34535870439561978</v>
      </c>
      <c r="BW40" s="39">
        <f t="shared" si="92"/>
        <v>0.41849246722203326</v>
      </c>
      <c r="BX40" s="39">
        <f t="shared" si="93"/>
        <v>0.48956840584099237</v>
      </c>
      <c r="BY40" s="39">
        <f t="shared" si="94"/>
        <v>0.55344720171612605</v>
      </c>
      <c r="BZ40" s="39">
        <f t="shared" si="95"/>
        <v>0.62979459638665214</v>
      </c>
      <c r="CA40" s="39">
        <f t="shared" si="96"/>
        <v>0.71343517087230235</v>
      </c>
      <c r="CB40" s="39">
        <f t="shared" si="97"/>
        <v>0.79489280591343059</v>
      </c>
      <c r="CC40" s="39">
        <f t="shared" si="98"/>
        <v>0.8415456568248284</v>
      </c>
      <c r="CD40" s="39">
        <f t="shared" si="99"/>
        <v>0.92003979159065374</v>
      </c>
      <c r="CE40" s="39">
        <f t="shared" si="100"/>
        <v>1</v>
      </c>
      <c r="CG40" s="39">
        <f t="shared" si="124"/>
        <v>0.11896173819762113</v>
      </c>
      <c r="CH40" s="39">
        <f t="shared" si="101"/>
        <v>0.22484179610681554</v>
      </c>
      <c r="CI40" s="39">
        <f t="shared" si="102"/>
        <v>0.32787165528640522</v>
      </c>
      <c r="CJ40" s="39">
        <f t="shared" si="103"/>
        <v>0.39350093988006069</v>
      </c>
      <c r="CK40" s="39">
        <f t="shared" si="104"/>
        <v>0.45888492727036584</v>
      </c>
      <c r="CL40" s="39">
        <f t="shared" si="105"/>
        <v>0.51821317010985568</v>
      </c>
      <c r="CM40" s="39">
        <f t="shared" si="106"/>
        <v>0.59617873030160407</v>
      </c>
      <c r="CN40" s="39">
        <f t="shared" si="107"/>
        <v>0.68360532090741788</v>
      </c>
      <c r="CO40" s="39">
        <f t="shared" si="108"/>
        <v>0.76095935477961019</v>
      </c>
      <c r="CP40" s="39">
        <f t="shared" si="109"/>
        <v>0.83242865090670015</v>
      </c>
      <c r="CQ40" s="39">
        <f t="shared" si="110"/>
        <v>0.90255723287722045</v>
      </c>
      <c r="CR40" s="39">
        <f t="shared" si="111"/>
        <v>1</v>
      </c>
    </row>
    <row r="41" spans="1:96">
      <c r="A41" s="193" t="s">
        <v>95</v>
      </c>
      <c r="B41" s="34">
        <v>35549.9</v>
      </c>
      <c r="C41" s="34">
        <v>35660.800000000003</v>
      </c>
      <c r="D41" s="34">
        <v>26848.98</v>
      </c>
      <c r="E41" s="34">
        <v>25463.21</v>
      </c>
      <c r="F41" s="34">
        <v>26016.86</v>
      </c>
      <c r="G41" s="34">
        <v>19634.23</v>
      </c>
      <c r="H41" s="34">
        <v>26309.67</v>
      </c>
      <c r="I41" s="34">
        <v>30935.62</v>
      </c>
      <c r="J41" s="34">
        <v>27075.34</v>
      </c>
      <c r="K41" s="34">
        <v>32159.34</v>
      </c>
      <c r="L41" s="34">
        <v>17713.79</v>
      </c>
      <c r="M41" s="34">
        <v>21176.45</v>
      </c>
      <c r="N41" s="68">
        <f t="shared" si="76"/>
        <v>324544.19</v>
      </c>
      <c r="P41" s="85" t="s">
        <v>95</v>
      </c>
      <c r="Q41" s="34">
        <v>32775.00999999998</v>
      </c>
      <c r="R41" s="34">
        <v>20149.899999999983</v>
      </c>
      <c r="S41" s="34">
        <v>16552.709999999995</v>
      </c>
      <c r="T41" s="34">
        <v>15082.55</v>
      </c>
      <c r="U41" s="34">
        <v>12143.390000000012</v>
      </c>
      <c r="V41" s="34">
        <v>7201.42</v>
      </c>
      <c r="W41" s="34">
        <v>9066.6699999999964</v>
      </c>
      <c r="X41" s="34">
        <v>10181.730000000001</v>
      </c>
      <c r="Y41" s="34">
        <v>7721.3499999999995</v>
      </c>
      <c r="Z41" s="34">
        <v>13991.460000000001</v>
      </c>
      <c r="AA41" s="34">
        <v>8878.9</v>
      </c>
      <c r="AB41" s="34">
        <v>14586.53</v>
      </c>
      <c r="AC41" s="68">
        <f t="shared" si="1"/>
        <v>168331.61999999997</v>
      </c>
      <c r="AE41" s="85" t="s">
        <v>95</v>
      </c>
      <c r="AF41" s="34">
        <v>17325.209999999985</v>
      </c>
      <c r="AG41" s="34">
        <v>20363.580000000002</v>
      </c>
      <c r="AH41" s="34">
        <v>13125.369999999995</v>
      </c>
      <c r="AI41" s="34">
        <v>14836.529999999993</v>
      </c>
      <c r="AJ41" s="34">
        <v>9642.2500000000109</v>
      </c>
      <c r="AK41" s="34">
        <v>12954.409999999993</v>
      </c>
      <c r="AL41" s="34">
        <v>13415.810000000001</v>
      </c>
      <c r="AM41" s="34">
        <v>15084.26</v>
      </c>
      <c r="AN41" s="34">
        <v>11292.669999999998</v>
      </c>
      <c r="AO41" s="34">
        <v>7866.5800000000008</v>
      </c>
      <c r="AP41" s="34">
        <v>8987.2500000000036</v>
      </c>
      <c r="AQ41" s="34">
        <v>8838.5</v>
      </c>
      <c r="AR41" s="68">
        <f t="shared" si="27"/>
        <v>153732.41999999995</v>
      </c>
      <c r="AT41" s="39">
        <f t="shared" si="112"/>
        <v>0.10953793380186533</v>
      </c>
      <c r="AU41" s="39">
        <f t="shared" si="113"/>
        <v>0.21941757761862879</v>
      </c>
      <c r="AV41" s="39">
        <f t="shared" si="114"/>
        <v>0.30214584953746981</v>
      </c>
      <c r="AW41" s="39">
        <f t="shared" si="115"/>
        <v>0.38060422526744359</v>
      </c>
      <c r="AX41" s="39">
        <f t="shared" si="116"/>
        <v>0.46076853201408413</v>
      </c>
      <c r="AY41" s="39">
        <f t="shared" si="117"/>
        <v>0.52126639518643059</v>
      </c>
      <c r="AZ41" s="39">
        <f t="shared" si="118"/>
        <v>0.60233292113471515</v>
      </c>
      <c r="BA41" s="39">
        <f t="shared" si="119"/>
        <v>0.69765313007143959</v>
      </c>
      <c r="BB41" s="39">
        <f t="shared" si="120"/>
        <v>0.78107887249499064</v>
      </c>
      <c r="BC41" s="39">
        <f t="shared" si="121"/>
        <v>0.88016966194957924</v>
      </c>
      <c r="BD41" s="39">
        <f t="shared" si="122"/>
        <v>0.93475017993697562</v>
      </c>
      <c r="BE41" s="39">
        <f t="shared" si="123"/>
        <v>1</v>
      </c>
      <c r="BG41" s="39">
        <f t="shared" si="77"/>
        <v>0.19470501145298777</v>
      </c>
      <c r="BH41" s="39">
        <f t="shared" si="78"/>
        <v>0.31440860605987142</v>
      </c>
      <c r="BI41" s="39">
        <f t="shared" si="79"/>
        <v>0.41274253761711532</v>
      </c>
      <c r="BJ41" s="39">
        <f t="shared" si="80"/>
        <v>0.50234275651835325</v>
      </c>
      <c r="BK41" s="39">
        <f t="shared" si="81"/>
        <v>0.5744824412668279</v>
      </c>
      <c r="BL41" s="39">
        <f t="shared" si="82"/>
        <v>0.6172635895739611</v>
      </c>
      <c r="BM41" s="39">
        <f t="shared" si="83"/>
        <v>0.67112554373325695</v>
      </c>
      <c r="BN41" s="39">
        <f t="shared" si="84"/>
        <v>0.7316116841268443</v>
      </c>
      <c r="BO41" s="39">
        <f t="shared" si="85"/>
        <v>0.77748155694099541</v>
      </c>
      <c r="BP41" s="39">
        <f t="shared" si="86"/>
        <v>0.86059998709689833</v>
      </c>
      <c r="BQ41" s="39">
        <f t="shared" si="87"/>
        <v>0.91334646455609469</v>
      </c>
      <c r="BR41" s="39">
        <f t="shared" si="88"/>
        <v>1</v>
      </c>
      <c r="BS41" s="61"/>
      <c r="BT41" s="39">
        <f t="shared" si="89"/>
        <v>0.11269717864325553</v>
      </c>
      <c r="BU41" s="39">
        <f t="shared" si="90"/>
        <v>0.24515837323057815</v>
      </c>
      <c r="BV41" s="39">
        <f t="shared" si="91"/>
        <v>0.33053639564120563</v>
      </c>
      <c r="BW41" s="39">
        <f t="shared" si="92"/>
        <v>0.42704518669516811</v>
      </c>
      <c r="BX41" s="39">
        <f t="shared" si="93"/>
        <v>0.48976617944347722</v>
      </c>
      <c r="BY41" s="39">
        <f t="shared" si="94"/>
        <v>0.5740321397399456</v>
      </c>
      <c r="BZ41" s="39">
        <f t="shared" si="95"/>
        <v>0.66129941882135213</v>
      </c>
      <c r="CA41" s="39">
        <f t="shared" si="96"/>
        <v>0.75941964616181812</v>
      </c>
      <c r="CB41" s="39">
        <f t="shared" si="97"/>
        <v>0.83287630546634217</v>
      </c>
      <c r="CC41" s="39">
        <f t="shared" si="98"/>
        <v>0.88404690435498245</v>
      </c>
      <c r="CD41" s="39">
        <f t="shared" si="99"/>
        <v>0.94250724733273561</v>
      </c>
      <c r="CE41" s="39">
        <f t="shared" si="100"/>
        <v>1</v>
      </c>
      <c r="CG41" s="39">
        <f t="shared" si="124"/>
        <v>0.13898004129936953</v>
      </c>
      <c r="CH41" s="39">
        <f t="shared" si="101"/>
        <v>0.25966151896969275</v>
      </c>
      <c r="CI41" s="39">
        <f t="shared" si="102"/>
        <v>0.34847492759859694</v>
      </c>
      <c r="CJ41" s="39">
        <f t="shared" si="103"/>
        <v>0.43666405616032167</v>
      </c>
      <c r="CK41" s="39">
        <f t="shared" si="104"/>
        <v>0.5083390509081297</v>
      </c>
      <c r="CL41" s="39">
        <f t="shared" si="105"/>
        <v>0.57085404150011243</v>
      </c>
      <c r="CM41" s="39">
        <f t="shared" si="106"/>
        <v>0.64491929456310804</v>
      </c>
      <c r="CN41" s="39">
        <f t="shared" si="107"/>
        <v>0.72956148678670063</v>
      </c>
      <c r="CO41" s="39">
        <f t="shared" si="108"/>
        <v>0.79714557830077604</v>
      </c>
      <c r="CP41" s="39">
        <f t="shared" si="109"/>
        <v>0.87493885113382008</v>
      </c>
      <c r="CQ41" s="39">
        <f t="shared" si="110"/>
        <v>0.93020129727526868</v>
      </c>
      <c r="CR41" s="39">
        <f t="shared" si="111"/>
        <v>1</v>
      </c>
    </row>
    <row r="42" spans="1:96">
      <c r="A42" s="193" t="s">
        <v>96</v>
      </c>
      <c r="B42" s="34">
        <v>16310.64</v>
      </c>
      <c r="C42" s="34">
        <v>11796.63</v>
      </c>
      <c r="D42" s="34">
        <v>13795.01</v>
      </c>
      <c r="E42" s="34">
        <v>12223.07</v>
      </c>
      <c r="F42" s="34">
        <v>13304.9</v>
      </c>
      <c r="G42" s="34">
        <v>17809.740000000002</v>
      </c>
      <c r="H42" s="34">
        <v>19183.8</v>
      </c>
      <c r="I42" s="34">
        <v>13088.98</v>
      </c>
      <c r="J42" s="34">
        <v>13857.55</v>
      </c>
      <c r="K42" s="34">
        <v>11310.59</v>
      </c>
      <c r="L42" s="34">
        <v>9499.66</v>
      </c>
      <c r="M42" s="34">
        <v>11660.6</v>
      </c>
      <c r="N42" s="68">
        <f t="shared" si="76"/>
        <v>163841.17000000001</v>
      </c>
      <c r="P42" s="85" t="s">
        <v>96</v>
      </c>
      <c r="Q42" s="34">
        <v>10203.849999999997</v>
      </c>
      <c r="R42" s="34">
        <v>5656.9299999999976</v>
      </c>
      <c r="S42" s="34">
        <v>6249.0400000000054</v>
      </c>
      <c r="T42" s="34">
        <v>6650.619999999999</v>
      </c>
      <c r="U42" s="34">
        <v>4588.3500000000022</v>
      </c>
      <c r="V42" s="34">
        <v>5492.16</v>
      </c>
      <c r="W42" s="34">
        <v>12465.53</v>
      </c>
      <c r="X42" s="34">
        <v>8734.09</v>
      </c>
      <c r="Y42" s="34">
        <v>7098.96</v>
      </c>
      <c r="Z42" s="34">
        <v>5709.4800000000005</v>
      </c>
      <c r="AA42" s="34">
        <v>7334.95</v>
      </c>
      <c r="AB42" s="34">
        <v>5985.37</v>
      </c>
      <c r="AC42" s="68">
        <f t="shared" si="1"/>
        <v>86169.329999999987</v>
      </c>
      <c r="AE42" s="85" t="s">
        <v>96</v>
      </c>
      <c r="AF42" s="34">
        <v>10395.449999999995</v>
      </c>
      <c r="AG42" s="34">
        <v>5624.8499999999949</v>
      </c>
      <c r="AH42" s="34">
        <v>6702.4599999999982</v>
      </c>
      <c r="AI42" s="34">
        <v>6489.5299999999988</v>
      </c>
      <c r="AJ42" s="34">
        <v>5465.4799999999968</v>
      </c>
      <c r="AK42" s="34">
        <v>4978.9299999999994</v>
      </c>
      <c r="AL42" s="34">
        <v>5261.8100000000013</v>
      </c>
      <c r="AM42" s="34">
        <v>4751.4599999999991</v>
      </c>
      <c r="AN42" s="34">
        <v>4087.69</v>
      </c>
      <c r="AO42" s="34">
        <v>4201.4600000000009</v>
      </c>
      <c r="AP42" s="34">
        <v>6812.1700000000019</v>
      </c>
      <c r="AQ42" s="34">
        <v>3447.4900000000011</v>
      </c>
      <c r="AR42" s="68">
        <f t="shared" si="27"/>
        <v>68218.779999999984</v>
      </c>
      <c r="AT42" s="39">
        <f t="shared" si="112"/>
        <v>9.9551535184959905E-2</v>
      </c>
      <c r="AU42" s="39">
        <f t="shared" si="113"/>
        <v>0.17155193654928119</v>
      </c>
      <c r="AV42" s="39">
        <f t="shared" si="114"/>
        <v>0.2557493943677282</v>
      </c>
      <c r="AW42" s="39">
        <f t="shared" si="115"/>
        <v>0.33035256034853749</v>
      </c>
      <c r="AX42" s="39">
        <f t="shared" si="116"/>
        <v>0.41155864548574694</v>
      </c>
      <c r="AY42" s="39">
        <f t="shared" si="117"/>
        <v>0.52025989560499353</v>
      </c>
      <c r="AZ42" s="39">
        <f t="shared" si="118"/>
        <v>0.63734768251471841</v>
      </c>
      <c r="BA42" s="39">
        <f t="shared" si="119"/>
        <v>0.7172359059691773</v>
      </c>
      <c r="BB42" s="39">
        <f t="shared" si="120"/>
        <v>0.80181507492896931</v>
      </c>
      <c r="BC42" s="39">
        <f t="shared" si="121"/>
        <v>0.87084894474325347</v>
      </c>
      <c r="BD42" s="39">
        <f t="shared" si="122"/>
        <v>0.9288298539372003</v>
      </c>
      <c r="BE42" s="39">
        <f t="shared" si="123"/>
        <v>1</v>
      </c>
      <c r="BG42" s="39">
        <f t="shared" si="77"/>
        <v>0.11841626249153844</v>
      </c>
      <c r="BH42" s="39">
        <f t="shared" si="78"/>
        <v>0.18406525848582087</v>
      </c>
      <c r="BI42" s="39">
        <f t="shared" si="79"/>
        <v>0.25658572487450004</v>
      </c>
      <c r="BJ42" s="39">
        <f t="shared" si="80"/>
        <v>0.33376655011707768</v>
      </c>
      <c r="BK42" s="39">
        <f t="shared" si="81"/>
        <v>0.38701461413242977</v>
      </c>
      <c r="BL42" s="39">
        <f t="shared" si="82"/>
        <v>0.45075144485862895</v>
      </c>
      <c r="BM42" s="39">
        <f t="shared" si="83"/>
        <v>0.59541463302546282</v>
      </c>
      <c r="BN42" s="39">
        <f t="shared" si="84"/>
        <v>0.69677424670703603</v>
      </c>
      <c r="BO42" s="39">
        <f t="shared" si="85"/>
        <v>0.77915808327626557</v>
      </c>
      <c r="BP42" s="39">
        <f t="shared" si="86"/>
        <v>0.8454169250242517</v>
      </c>
      <c r="BQ42" s="39">
        <f t="shared" si="87"/>
        <v>0.93053943903242609</v>
      </c>
      <c r="BR42" s="39">
        <f t="shared" si="88"/>
        <v>1</v>
      </c>
      <c r="BS42" s="61"/>
      <c r="BT42" s="39">
        <f t="shared" si="89"/>
        <v>0.15238399162224828</v>
      </c>
      <c r="BU42" s="39">
        <f t="shared" si="90"/>
        <v>0.23483709324617055</v>
      </c>
      <c r="BV42" s="39">
        <f t="shared" si="91"/>
        <v>0.33308657821204063</v>
      </c>
      <c r="BW42" s="39">
        <f t="shared" si="92"/>
        <v>0.42821478191196022</v>
      </c>
      <c r="BX42" s="39">
        <f t="shared" si="93"/>
        <v>0.50833172331724474</v>
      </c>
      <c r="BY42" s="39">
        <f t="shared" si="94"/>
        <v>0.58131646446916807</v>
      </c>
      <c r="BZ42" s="39">
        <f t="shared" si="95"/>
        <v>0.65844786435641312</v>
      </c>
      <c r="CA42" s="39">
        <f t="shared" si="96"/>
        <v>0.72809818645246938</v>
      </c>
      <c r="CB42" s="39">
        <f t="shared" si="97"/>
        <v>0.78801848992315593</v>
      </c>
      <c r="CC42" s="39">
        <f t="shared" si="98"/>
        <v>0.84960651597697867</v>
      </c>
      <c r="CD42" s="39">
        <f t="shared" si="99"/>
        <v>0.9494642091224732</v>
      </c>
      <c r="CE42" s="39">
        <f t="shared" si="100"/>
        <v>1</v>
      </c>
      <c r="CG42" s="39">
        <f t="shared" si="124"/>
        <v>0.12345059643291555</v>
      </c>
      <c r="CH42" s="39">
        <f t="shared" si="101"/>
        <v>0.19681809609375753</v>
      </c>
      <c r="CI42" s="39">
        <f t="shared" si="102"/>
        <v>0.28180723248475631</v>
      </c>
      <c r="CJ42" s="39">
        <f t="shared" si="103"/>
        <v>0.3641112974591918</v>
      </c>
      <c r="CK42" s="39">
        <f t="shared" si="104"/>
        <v>0.43563499431180713</v>
      </c>
      <c r="CL42" s="39">
        <f t="shared" si="105"/>
        <v>0.51744260164426359</v>
      </c>
      <c r="CM42" s="39">
        <f t="shared" si="106"/>
        <v>0.63040339329886474</v>
      </c>
      <c r="CN42" s="39">
        <f t="shared" si="107"/>
        <v>0.71403611304289427</v>
      </c>
      <c r="CO42" s="39">
        <f t="shared" si="108"/>
        <v>0.78966388270946364</v>
      </c>
      <c r="CP42" s="39">
        <f t="shared" si="109"/>
        <v>0.85529079524816121</v>
      </c>
      <c r="CQ42" s="39">
        <f t="shared" si="110"/>
        <v>0.93627783403069975</v>
      </c>
      <c r="CR42" s="39">
        <f t="shared" si="111"/>
        <v>1</v>
      </c>
    </row>
    <row r="43" spans="1:96">
      <c r="A43" s="193" t="s">
        <v>97</v>
      </c>
      <c r="B43" s="34">
        <v>17150.61</v>
      </c>
      <c r="C43" s="34">
        <v>23009.629999999997</v>
      </c>
      <c r="D43" s="34">
        <v>20053.009999999998</v>
      </c>
      <c r="E43" s="34">
        <v>14881.02</v>
      </c>
      <c r="F43" s="34">
        <v>12397.21</v>
      </c>
      <c r="G43" s="34">
        <v>10100.51</v>
      </c>
      <c r="H43" s="34">
        <v>9755.33</v>
      </c>
      <c r="I43" s="34">
        <v>6058.26</v>
      </c>
      <c r="J43" s="34">
        <v>5616.62</v>
      </c>
      <c r="K43" s="34">
        <v>8504.75</v>
      </c>
      <c r="L43" s="34">
        <v>7887.2</v>
      </c>
      <c r="M43" s="34">
        <v>10779.2</v>
      </c>
      <c r="N43" s="68">
        <f t="shared" si="76"/>
        <v>146193.35</v>
      </c>
      <c r="P43" s="85" t="s">
        <v>97</v>
      </c>
      <c r="Q43" s="34">
        <v>13861.410000000005</v>
      </c>
      <c r="R43" s="34">
        <v>15066.34999999998</v>
      </c>
      <c r="S43" s="34">
        <v>12100.069999999996</v>
      </c>
      <c r="T43" s="34">
        <v>10810.610000000004</v>
      </c>
      <c r="U43" s="34">
        <v>9728.8800000000047</v>
      </c>
      <c r="V43" s="34">
        <v>6898.43</v>
      </c>
      <c r="W43" s="34">
        <v>4628.760000000002</v>
      </c>
      <c r="X43" s="34">
        <v>4136.79</v>
      </c>
      <c r="Y43" s="34">
        <v>3327.05</v>
      </c>
      <c r="Z43" s="34">
        <v>6952.51</v>
      </c>
      <c r="AA43" s="34">
        <v>3189.99</v>
      </c>
      <c r="AB43" s="34">
        <v>5981.06</v>
      </c>
      <c r="AC43" s="68">
        <f t="shared" si="1"/>
        <v>96681.91</v>
      </c>
      <c r="AE43" s="85" t="s">
        <v>97</v>
      </c>
      <c r="AF43" s="34">
        <v>15884.770000000004</v>
      </c>
      <c r="AG43" s="34">
        <v>13233.369999999992</v>
      </c>
      <c r="AH43" s="34">
        <v>10044.659999999996</v>
      </c>
      <c r="AI43" s="34">
        <v>4932.3700000000008</v>
      </c>
      <c r="AJ43" s="34">
        <v>7012.1000000000022</v>
      </c>
      <c r="AK43" s="34">
        <v>6950.6299999999992</v>
      </c>
      <c r="AL43" s="34">
        <v>3284.9399999999987</v>
      </c>
      <c r="AM43" s="34">
        <v>7733.5700000000015</v>
      </c>
      <c r="AN43" s="34">
        <v>5424.3600000000006</v>
      </c>
      <c r="AO43" s="34">
        <v>3859.7699999999995</v>
      </c>
      <c r="AP43" s="34">
        <v>7181.0700000000015</v>
      </c>
      <c r="AQ43" s="34">
        <v>2965.7499999999982</v>
      </c>
      <c r="AR43" s="68">
        <f t="shared" si="27"/>
        <v>88507.36</v>
      </c>
      <c r="AT43" s="39">
        <f t="shared" si="112"/>
        <v>0.11731457005397304</v>
      </c>
      <c r="AU43" s="39">
        <f t="shared" si="113"/>
        <v>0.2747063392418328</v>
      </c>
      <c r="AV43" s="39">
        <f t="shared" si="114"/>
        <v>0.41187406951136968</v>
      </c>
      <c r="AW43" s="39">
        <f t="shared" si="115"/>
        <v>0.51366406201102854</v>
      </c>
      <c r="AX43" s="39">
        <f t="shared" si="116"/>
        <v>0.59846415722739787</v>
      </c>
      <c r="AY43" s="39">
        <f t="shared" si="117"/>
        <v>0.66755423553807336</v>
      </c>
      <c r="AZ43" s="39">
        <f t="shared" si="118"/>
        <v>0.73428319413981558</v>
      </c>
      <c r="BA43" s="39">
        <f t="shared" si="119"/>
        <v>0.77572324596159814</v>
      </c>
      <c r="BB43" s="39">
        <f t="shared" si="120"/>
        <v>0.81414236694076714</v>
      </c>
      <c r="BC43" s="39">
        <f t="shared" si="121"/>
        <v>0.87231703767647428</v>
      </c>
      <c r="BD43" s="39">
        <f t="shared" si="122"/>
        <v>0.9262675080638072</v>
      </c>
      <c r="BE43" s="39">
        <f t="shared" si="123"/>
        <v>1</v>
      </c>
      <c r="BG43" s="39">
        <f t="shared" si="77"/>
        <v>0.1433712883826975</v>
      </c>
      <c r="BH43" s="39">
        <f t="shared" si="78"/>
        <v>0.29920550804178347</v>
      </c>
      <c r="BI43" s="39">
        <f t="shared" si="79"/>
        <v>0.42435891057592867</v>
      </c>
      <c r="BJ43" s="39">
        <f t="shared" si="80"/>
        <v>0.53617517485949528</v>
      </c>
      <c r="BK43" s="39">
        <f t="shared" si="81"/>
        <v>0.6368028931161992</v>
      </c>
      <c r="BL43" s="39">
        <f t="shared" si="82"/>
        <v>0.70815471063821556</v>
      </c>
      <c r="BM43" s="39">
        <f t="shared" si="83"/>
        <v>0.75603088519868922</v>
      </c>
      <c r="BN43" s="39">
        <f t="shared" si="84"/>
        <v>0.79881851734207565</v>
      </c>
      <c r="BO43" s="39">
        <f t="shared" si="85"/>
        <v>0.83323084949397463</v>
      </c>
      <c r="BP43" s="39">
        <f t="shared" si="86"/>
        <v>0.90514202708655633</v>
      </c>
      <c r="BQ43" s="39">
        <f t="shared" si="87"/>
        <v>0.93813672071641951</v>
      </c>
      <c r="BR43" s="39">
        <f t="shared" si="88"/>
        <v>1</v>
      </c>
      <c r="BS43" s="61"/>
      <c r="BT43" s="39">
        <f t="shared" si="89"/>
        <v>0.17947400080626066</v>
      </c>
      <c r="BU43" s="39">
        <f t="shared" si="90"/>
        <v>0.32899117090375302</v>
      </c>
      <c r="BV43" s="39">
        <f t="shared" si="91"/>
        <v>0.44248071572804781</v>
      </c>
      <c r="BW43" s="39">
        <f t="shared" si="92"/>
        <v>0.49820907549383453</v>
      </c>
      <c r="BX43" s="39">
        <f t="shared" si="93"/>
        <v>0.57743525510194849</v>
      </c>
      <c r="BY43" s="39">
        <f t="shared" si="94"/>
        <v>0.65596691619770364</v>
      </c>
      <c r="BZ43" s="39">
        <f t="shared" si="95"/>
        <v>0.6930817956834322</v>
      </c>
      <c r="CA43" s="39">
        <f t="shared" si="96"/>
        <v>0.78045950076920145</v>
      </c>
      <c r="CB43" s="39">
        <f t="shared" si="97"/>
        <v>0.8417466072878006</v>
      </c>
      <c r="CC43" s="39">
        <f t="shared" si="98"/>
        <v>0.88535620088544043</v>
      </c>
      <c r="CD43" s="39">
        <f t="shared" si="99"/>
        <v>0.96649148726162437</v>
      </c>
      <c r="CE43" s="39">
        <f t="shared" si="100"/>
        <v>1</v>
      </c>
      <c r="CG43" s="39">
        <f t="shared" si="124"/>
        <v>0.14671995308097707</v>
      </c>
      <c r="CH43" s="39">
        <f t="shared" si="101"/>
        <v>0.30096767272912306</v>
      </c>
      <c r="CI43" s="39">
        <f t="shared" si="102"/>
        <v>0.42623789860511535</v>
      </c>
      <c r="CJ43" s="39">
        <f t="shared" si="103"/>
        <v>0.51601610412145282</v>
      </c>
      <c r="CK43" s="39">
        <f t="shared" si="104"/>
        <v>0.60423410181518189</v>
      </c>
      <c r="CL43" s="39">
        <f t="shared" si="105"/>
        <v>0.67722528745799748</v>
      </c>
      <c r="CM43" s="39">
        <f t="shared" si="106"/>
        <v>0.72779862500731241</v>
      </c>
      <c r="CN43" s="39">
        <f t="shared" si="107"/>
        <v>0.78500042135762504</v>
      </c>
      <c r="CO43" s="39">
        <f t="shared" si="108"/>
        <v>0.82970660790751405</v>
      </c>
      <c r="CP43" s="39">
        <f t="shared" si="109"/>
        <v>0.88760508854949027</v>
      </c>
      <c r="CQ43" s="39">
        <f t="shared" si="110"/>
        <v>0.94363190534728369</v>
      </c>
      <c r="CR43" s="39">
        <f t="shared" si="111"/>
        <v>1</v>
      </c>
    </row>
    <row r="44" spans="1:96">
      <c r="A44" s="193" t="s">
        <v>98</v>
      </c>
      <c r="B44" s="34">
        <v>23304.02</v>
      </c>
      <c r="C44" s="34">
        <v>22527.030000000002</v>
      </c>
      <c r="D44" s="34">
        <v>14670.72</v>
      </c>
      <c r="E44" s="34">
        <v>15577.82</v>
      </c>
      <c r="F44" s="34">
        <v>17745.29</v>
      </c>
      <c r="G44" s="34">
        <v>11376.9</v>
      </c>
      <c r="H44" s="34">
        <v>14433.6</v>
      </c>
      <c r="I44" s="34">
        <v>14272.57</v>
      </c>
      <c r="J44" s="34">
        <v>10434.07</v>
      </c>
      <c r="K44" s="34">
        <v>14175.03</v>
      </c>
      <c r="L44" s="34">
        <v>9619.61</v>
      </c>
      <c r="M44" s="34">
        <v>12007.09</v>
      </c>
      <c r="N44" s="68">
        <f t="shared" si="76"/>
        <v>180143.75000000003</v>
      </c>
      <c r="P44" s="85" t="s">
        <v>98</v>
      </c>
      <c r="Q44" s="34">
        <v>20146.349999999995</v>
      </c>
      <c r="R44" s="34">
        <v>19123.260000000013</v>
      </c>
      <c r="S44" s="34">
        <v>11760.289999999995</v>
      </c>
      <c r="T44" s="34">
        <v>14537.730000000001</v>
      </c>
      <c r="U44" s="34">
        <v>15170.34</v>
      </c>
      <c r="V44" s="34">
        <v>10578.36</v>
      </c>
      <c r="W44" s="34">
        <v>7585.5899999999983</v>
      </c>
      <c r="X44" s="34">
        <v>11148.82</v>
      </c>
      <c r="Y44" s="34">
        <v>7873.1600000000008</v>
      </c>
      <c r="Z44" s="34">
        <v>14688.62</v>
      </c>
      <c r="AA44" s="34">
        <v>8879.7100000000009</v>
      </c>
      <c r="AB44" s="34">
        <v>18040.849999999999</v>
      </c>
      <c r="AC44" s="68">
        <f t="shared" si="1"/>
        <v>159533.07999999999</v>
      </c>
      <c r="AE44" s="85" t="s">
        <v>98</v>
      </c>
      <c r="AF44" s="34">
        <v>11857.820000000014</v>
      </c>
      <c r="AG44" s="34">
        <v>13319.579999999973</v>
      </c>
      <c r="AH44" s="34">
        <v>10272.030000000002</v>
      </c>
      <c r="AI44" s="34">
        <v>6360.3700000000026</v>
      </c>
      <c r="AJ44" s="34">
        <v>12331.340000000004</v>
      </c>
      <c r="AK44" s="34">
        <v>16387.570000000003</v>
      </c>
      <c r="AL44" s="34">
        <v>9569.3499999999967</v>
      </c>
      <c r="AM44" s="34">
        <v>8728.9399999999987</v>
      </c>
      <c r="AN44" s="34">
        <v>5380.5999999999995</v>
      </c>
      <c r="AO44" s="34">
        <v>8641.3099999999977</v>
      </c>
      <c r="AP44" s="34">
        <v>6156.2600000000029</v>
      </c>
      <c r="AQ44" s="34">
        <v>5214.6500000000015</v>
      </c>
      <c r="AR44" s="68">
        <f t="shared" si="27"/>
        <v>114219.82</v>
      </c>
      <c r="AT44" s="39">
        <f t="shared" si="112"/>
        <v>0.12936346667591853</v>
      </c>
      <c r="AU44" s="39">
        <f t="shared" si="113"/>
        <v>0.2544137667834715</v>
      </c>
      <c r="AV44" s="39">
        <f t="shared" si="114"/>
        <v>0.33585272872358879</v>
      </c>
      <c r="AW44" s="39">
        <f t="shared" si="115"/>
        <v>0.42232711376331394</v>
      </c>
      <c r="AX44" s="39">
        <f t="shared" si="116"/>
        <v>0.52083339000104079</v>
      </c>
      <c r="AY44" s="39">
        <f t="shared" si="117"/>
        <v>0.58398795406446236</v>
      </c>
      <c r="AZ44" s="39">
        <f t="shared" si="118"/>
        <v>0.66411063386878522</v>
      </c>
      <c r="BA44" s="39">
        <f t="shared" si="119"/>
        <v>0.74333941643826107</v>
      </c>
      <c r="BB44" s="39">
        <f t="shared" si="120"/>
        <v>0.80126021579988205</v>
      </c>
      <c r="BC44" s="39">
        <f t="shared" si="121"/>
        <v>0.87994754189362656</v>
      </c>
      <c r="BD44" s="39">
        <f t="shared" si="122"/>
        <v>0.93334717413176982</v>
      </c>
      <c r="BE44" s="39">
        <f t="shared" si="123"/>
        <v>1</v>
      </c>
      <c r="BG44" s="39">
        <f t="shared" si="77"/>
        <v>0.12628321348776064</v>
      </c>
      <c r="BH44" s="39">
        <f t="shared" si="78"/>
        <v>0.24615339965855365</v>
      </c>
      <c r="BI44" s="39">
        <f t="shared" si="79"/>
        <v>0.31987033660981162</v>
      </c>
      <c r="BJ44" s="39">
        <f t="shared" si="80"/>
        <v>0.41099707972791605</v>
      </c>
      <c r="BK44" s="39">
        <f t="shared" si="81"/>
        <v>0.50608920732928875</v>
      </c>
      <c r="BL44" s="39">
        <f t="shared" si="82"/>
        <v>0.57239746139170644</v>
      </c>
      <c r="BM44" s="39">
        <f t="shared" si="83"/>
        <v>0.61994615787521945</v>
      </c>
      <c r="BN44" s="39">
        <f t="shared" si="84"/>
        <v>0.68983022204548428</v>
      </c>
      <c r="BO44" s="39">
        <f t="shared" si="85"/>
        <v>0.73918149138724087</v>
      </c>
      <c r="BP44" s="39">
        <f t="shared" si="86"/>
        <v>0.83125405715228462</v>
      </c>
      <c r="BQ44" s="39">
        <f t="shared" si="87"/>
        <v>0.88691467625397813</v>
      </c>
      <c r="BR44" s="39">
        <f t="shared" si="88"/>
        <v>1</v>
      </c>
      <c r="BS44" s="61"/>
      <c r="BT44" s="39">
        <f t="shared" si="89"/>
        <v>0.10381578258484397</v>
      </c>
      <c r="BU44" s="39">
        <f t="shared" si="90"/>
        <v>0.22042934404904496</v>
      </c>
      <c r="BV44" s="39">
        <f t="shared" si="91"/>
        <v>0.31036145915831415</v>
      </c>
      <c r="BW44" s="39">
        <f t="shared" si="92"/>
        <v>0.36604680343569085</v>
      </c>
      <c r="BX44" s="39">
        <f t="shared" si="93"/>
        <v>0.47400827632192027</v>
      </c>
      <c r="BY44" s="39">
        <f t="shared" si="94"/>
        <v>0.6174822373209834</v>
      </c>
      <c r="BZ44" s="39">
        <f t="shared" si="95"/>
        <v>0.70126235534253156</v>
      </c>
      <c r="CA44" s="39">
        <f t="shared" si="96"/>
        <v>0.77768464352333944</v>
      </c>
      <c r="CB44" s="39">
        <f t="shared" si="97"/>
        <v>0.8247920544788111</v>
      </c>
      <c r="CC44" s="39">
        <f t="shared" si="98"/>
        <v>0.90044713780848185</v>
      </c>
      <c r="CD44" s="39">
        <f t="shared" si="99"/>
        <v>0.9543454892504647</v>
      </c>
      <c r="CE44" s="39">
        <f t="shared" si="100"/>
        <v>1</v>
      </c>
      <c r="CG44" s="39">
        <f t="shared" si="124"/>
        <v>0.11982082091617439</v>
      </c>
      <c r="CH44" s="39">
        <f t="shared" si="101"/>
        <v>0.24033217016369002</v>
      </c>
      <c r="CI44" s="39">
        <f t="shared" si="102"/>
        <v>0.3220281748305715</v>
      </c>
      <c r="CJ44" s="39">
        <f t="shared" si="103"/>
        <v>0.39979033230897359</v>
      </c>
      <c r="CK44" s="39">
        <f t="shared" si="104"/>
        <v>0.50031029121741655</v>
      </c>
      <c r="CL44" s="39">
        <f t="shared" si="105"/>
        <v>0.59128921759238406</v>
      </c>
      <c r="CM44" s="39">
        <f t="shared" si="106"/>
        <v>0.66177304902884548</v>
      </c>
      <c r="CN44" s="39">
        <f t="shared" si="107"/>
        <v>0.73695142733569485</v>
      </c>
      <c r="CO44" s="39">
        <f t="shared" si="108"/>
        <v>0.78841125388864475</v>
      </c>
      <c r="CP44" s="39">
        <f t="shared" si="109"/>
        <v>0.87054957895146423</v>
      </c>
      <c r="CQ44" s="39">
        <f t="shared" si="110"/>
        <v>0.92486911321207088</v>
      </c>
      <c r="CR44" s="39">
        <f t="shared" si="111"/>
        <v>1</v>
      </c>
    </row>
    <row r="45" spans="1:96">
      <c r="A45" s="193" t="s">
        <v>99</v>
      </c>
      <c r="B45" s="34">
        <v>152369.53</v>
      </c>
      <c r="C45" s="34">
        <v>122638.69999999998</v>
      </c>
      <c r="D45" s="34">
        <v>84443.92</v>
      </c>
      <c r="E45" s="34">
        <v>102283.92000000001</v>
      </c>
      <c r="F45" s="34">
        <v>91713.23</v>
      </c>
      <c r="G45" s="34">
        <v>65629.64</v>
      </c>
      <c r="H45" s="34">
        <v>100322.05</v>
      </c>
      <c r="I45" s="34">
        <v>79929.13</v>
      </c>
      <c r="J45" s="34">
        <v>113125.42</v>
      </c>
      <c r="K45" s="34">
        <v>138080.21</v>
      </c>
      <c r="L45" s="34">
        <v>111596.36</v>
      </c>
      <c r="M45" s="34">
        <v>150819.56</v>
      </c>
      <c r="N45" s="68">
        <f t="shared" si="76"/>
        <v>1312951.6700000002</v>
      </c>
      <c r="P45" s="85" t="s">
        <v>99</v>
      </c>
      <c r="Q45" s="34">
        <v>108611.08999999991</v>
      </c>
      <c r="R45" s="34">
        <v>98396.010000000024</v>
      </c>
      <c r="S45" s="34">
        <v>94533.780000000028</v>
      </c>
      <c r="T45" s="34">
        <v>75547.530000000013</v>
      </c>
      <c r="U45" s="34">
        <v>71810.299999999959</v>
      </c>
      <c r="V45" s="34">
        <v>56989.41</v>
      </c>
      <c r="W45" s="34">
        <v>67810.130000000019</v>
      </c>
      <c r="X45" s="34">
        <v>52367.33</v>
      </c>
      <c r="Y45" s="34">
        <v>57151.01</v>
      </c>
      <c r="Z45" s="34">
        <v>51507.47</v>
      </c>
      <c r="AA45" s="34">
        <v>47992.1</v>
      </c>
      <c r="AB45" s="34">
        <v>49971.979999999996</v>
      </c>
      <c r="AC45" s="68">
        <f t="shared" si="1"/>
        <v>832688.1399999999</v>
      </c>
      <c r="AE45" s="85" t="s">
        <v>99</v>
      </c>
      <c r="AF45" s="34">
        <v>108100.61000000004</v>
      </c>
      <c r="AG45" s="34">
        <v>36611.72</v>
      </c>
      <c r="AH45" s="34">
        <v>68622.800000000017</v>
      </c>
      <c r="AI45" s="34">
        <v>26979.19999999999</v>
      </c>
      <c r="AJ45" s="34">
        <v>58930.430000000008</v>
      </c>
      <c r="AK45" s="34">
        <v>42166.059999999983</v>
      </c>
      <c r="AL45" s="34">
        <v>26972.57</v>
      </c>
      <c r="AM45" s="34">
        <v>42428.459999999992</v>
      </c>
      <c r="AN45" s="34">
        <v>40372.499999999993</v>
      </c>
      <c r="AO45" s="34">
        <v>44686.71</v>
      </c>
      <c r="AP45" s="34">
        <v>51920.679999999993</v>
      </c>
      <c r="AQ45" s="34">
        <v>41865.360000000001</v>
      </c>
      <c r="AR45" s="68">
        <f t="shared" si="27"/>
        <v>589657.10000000009</v>
      </c>
      <c r="AT45" s="39">
        <f t="shared" si="112"/>
        <v>0.11605113385475947</v>
      </c>
      <c r="AU45" s="39">
        <f t="shared" si="113"/>
        <v>0.20945799931843642</v>
      </c>
      <c r="AV45" s="39">
        <f t="shared" si="114"/>
        <v>0.27377409101433253</v>
      </c>
      <c r="AW45" s="39">
        <f t="shared" si="115"/>
        <v>0.35167788773215081</v>
      </c>
      <c r="AX45" s="39">
        <f t="shared" si="116"/>
        <v>0.42153059601957765</v>
      </c>
      <c r="AY45" s="39">
        <f t="shared" si="117"/>
        <v>0.47151692948454066</v>
      </c>
      <c r="AZ45" s="39">
        <f t="shared" si="118"/>
        <v>0.5479264823205563</v>
      </c>
      <c r="BA45" s="39">
        <f t="shared" si="119"/>
        <v>0.60880391735973027</v>
      </c>
      <c r="BB45" s="39">
        <f t="shared" si="120"/>
        <v>0.69496506295620153</v>
      </c>
      <c r="BC45" s="39">
        <f t="shared" si="121"/>
        <v>0.80013284114258365</v>
      </c>
      <c r="BD45" s="39">
        <f t="shared" si="122"/>
        <v>0.88512938941613895</v>
      </c>
      <c r="BE45" s="39">
        <f t="shared" si="123"/>
        <v>1</v>
      </c>
      <c r="BG45" s="39">
        <f t="shared" si="77"/>
        <v>0.13043429440462539</v>
      </c>
      <c r="BH45" s="39">
        <f t="shared" si="78"/>
        <v>0.2486009948454411</v>
      </c>
      <c r="BI45" s="39">
        <f t="shared" si="79"/>
        <v>0.3621294281914475</v>
      </c>
      <c r="BJ45" s="39">
        <f t="shared" si="80"/>
        <v>0.45285670815486817</v>
      </c>
      <c r="BK45" s="39">
        <f t="shared" si="81"/>
        <v>0.53909583724826438</v>
      </c>
      <c r="BL45" s="39">
        <f t="shared" si="82"/>
        <v>0.60753611790363682</v>
      </c>
      <c r="BM45" s="39">
        <f t="shared" si="83"/>
        <v>0.68897132364584901</v>
      </c>
      <c r="BN45" s="39">
        <f t="shared" si="84"/>
        <v>0.75186081069918931</v>
      </c>
      <c r="BO45" s="39">
        <f t="shared" si="85"/>
        <v>0.82049516160996372</v>
      </c>
      <c r="BP45" s="39">
        <f t="shared" si="86"/>
        <v>0.88235201716695522</v>
      </c>
      <c r="BQ45" s="39">
        <f t="shared" si="87"/>
        <v>0.93998716013896877</v>
      </c>
      <c r="BR45" s="39">
        <f t="shared" si="88"/>
        <v>1</v>
      </c>
      <c r="BS45" s="61"/>
      <c r="BT45" s="39">
        <f t="shared" si="89"/>
        <v>0.18332792058299649</v>
      </c>
      <c r="BU45" s="39">
        <f t="shared" si="90"/>
        <v>0.24541776907290699</v>
      </c>
      <c r="BV45" s="39">
        <f t="shared" si="91"/>
        <v>0.36179523658750151</v>
      </c>
      <c r="BW45" s="39">
        <f t="shared" si="92"/>
        <v>0.40754928584765621</v>
      </c>
      <c r="BX45" s="39">
        <f t="shared" si="93"/>
        <v>0.50748945446429805</v>
      </c>
      <c r="BY45" s="39">
        <f t="shared" si="94"/>
        <v>0.57899891309712037</v>
      </c>
      <c r="BZ45" s="39">
        <f t="shared" si="95"/>
        <v>0.6247417185343821</v>
      </c>
      <c r="CA45" s="39">
        <f t="shared" si="96"/>
        <v>0.69669618156043578</v>
      </c>
      <c r="CB45" s="39">
        <f t="shared" si="97"/>
        <v>0.76516394019507272</v>
      </c>
      <c r="CC45" s="39">
        <f t="shared" si="98"/>
        <v>0.84094817140334621</v>
      </c>
      <c r="CD45" s="39">
        <f t="shared" si="99"/>
        <v>0.92900049876445145</v>
      </c>
      <c r="CE45" s="39">
        <f t="shared" si="100"/>
        <v>1</v>
      </c>
      <c r="CG45" s="39">
        <f t="shared" si="124"/>
        <v>0.14327111628079378</v>
      </c>
      <c r="CH45" s="39">
        <f t="shared" si="101"/>
        <v>0.23449225441226151</v>
      </c>
      <c r="CI45" s="39">
        <f t="shared" si="102"/>
        <v>0.33256625193109385</v>
      </c>
      <c r="CJ45" s="39">
        <f t="shared" si="103"/>
        <v>0.40402796057822504</v>
      </c>
      <c r="CK45" s="39">
        <f t="shared" si="104"/>
        <v>0.48937196257738003</v>
      </c>
      <c r="CL45" s="39">
        <f t="shared" si="105"/>
        <v>0.55268398682843267</v>
      </c>
      <c r="CM45" s="39">
        <f t="shared" si="106"/>
        <v>0.62054650816692913</v>
      </c>
      <c r="CN45" s="39">
        <f t="shared" si="107"/>
        <v>0.68578696987311849</v>
      </c>
      <c r="CO45" s="39">
        <f t="shared" si="108"/>
        <v>0.76020805492041266</v>
      </c>
      <c r="CP45" s="39">
        <f t="shared" si="109"/>
        <v>0.84114434323762843</v>
      </c>
      <c r="CQ45" s="39">
        <f t="shared" si="110"/>
        <v>0.91803901610651961</v>
      </c>
      <c r="CR45" s="39">
        <f t="shared" si="111"/>
        <v>1</v>
      </c>
    </row>
    <row r="46" spans="1:96">
      <c r="A46" s="193" t="s">
        <v>100</v>
      </c>
      <c r="B46" s="34">
        <v>23150.57</v>
      </c>
      <c r="C46" s="34">
        <v>23743.439999999999</v>
      </c>
      <c r="D46" s="34">
        <v>20840.07</v>
      </c>
      <c r="E46" s="34">
        <v>20325.71</v>
      </c>
      <c r="F46" s="34">
        <v>18865.25</v>
      </c>
      <c r="G46" s="34">
        <v>15678.55</v>
      </c>
      <c r="H46" s="34">
        <v>16435.150000000001</v>
      </c>
      <c r="I46" s="34">
        <v>14819.07</v>
      </c>
      <c r="J46" s="34">
        <v>12467.5</v>
      </c>
      <c r="K46" s="34">
        <v>17226.63</v>
      </c>
      <c r="L46" s="34">
        <v>19270.419999999998</v>
      </c>
      <c r="M46" s="34">
        <v>20931.72</v>
      </c>
      <c r="N46" s="68">
        <f t="shared" si="76"/>
        <v>223754.08</v>
      </c>
      <c r="P46" s="85" t="s">
        <v>100</v>
      </c>
      <c r="Q46" s="34">
        <v>26668.609999999993</v>
      </c>
      <c r="R46" s="34">
        <v>16535.179999999997</v>
      </c>
      <c r="S46" s="34">
        <v>15833.9</v>
      </c>
      <c r="T46" s="34">
        <v>13976.920000000002</v>
      </c>
      <c r="U46" s="34">
        <v>11575.350000000002</v>
      </c>
      <c r="V46" s="34">
        <v>8868.369999999999</v>
      </c>
      <c r="W46" s="34">
        <v>12416.999999999998</v>
      </c>
      <c r="X46" s="34">
        <v>8080.32</v>
      </c>
      <c r="Y46" s="34">
        <v>12346.730000000001</v>
      </c>
      <c r="Z46" s="34">
        <v>10964.800000000001</v>
      </c>
      <c r="AA46" s="34">
        <v>12702.57</v>
      </c>
      <c r="AB46" s="34">
        <v>8815.5400000000009</v>
      </c>
      <c r="AC46" s="68">
        <f t="shared" si="1"/>
        <v>158785.29</v>
      </c>
      <c r="AE46" s="85" t="s">
        <v>100</v>
      </c>
      <c r="AF46" s="34">
        <v>15261.400000000001</v>
      </c>
      <c r="AG46" s="34">
        <v>17601.090000000004</v>
      </c>
      <c r="AH46" s="34">
        <v>12659.02</v>
      </c>
      <c r="AI46" s="34">
        <v>7318.7500000000036</v>
      </c>
      <c r="AJ46" s="34">
        <v>13606.190000000002</v>
      </c>
      <c r="AK46" s="34">
        <v>13434</v>
      </c>
      <c r="AL46" s="34">
        <v>10168.86</v>
      </c>
      <c r="AM46" s="34">
        <v>7555.1799999999994</v>
      </c>
      <c r="AN46" s="34">
        <v>11617.939999999999</v>
      </c>
      <c r="AO46" s="34">
        <v>10181.900000000001</v>
      </c>
      <c r="AP46" s="34">
        <v>10219.829999999998</v>
      </c>
      <c r="AQ46" s="34">
        <v>5296.9799999999987</v>
      </c>
      <c r="AR46" s="68">
        <f t="shared" si="27"/>
        <v>134921.14000000001</v>
      </c>
      <c r="AT46" s="39">
        <f t="shared" si="112"/>
        <v>0.10346434800205655</v>
      </c>
      <c r="AU46" s="39">
        <f t="shared" si="113"/>
        <v>0.20957834601272968</v>
      </c>
      <c r="AV46" s="39">
        <f t="shared" si="114"/>
        <v>0.30271662532365884</v>
      </c>
      <c r="AW46" s="39">
        <f t="shared" si="115"/>
        <v>0.39355613090943409</v>
      </c>
      <c r="AX46" s="39">
        <f t="shared" si="116"/>
        <v>0.47786855998335309</v>
      </c>
      <c r="AY46" s="39">
        <f t="shared" si="117"/>
        <v>0.54793901411764201</v>
      </c>
      <c r="AZ46" s="39">
        <f t="shared" si="118"/>
        <v>0.62139085910746295</v>
      </c>
      <c r="BA46" s="39">
        <f t="shared" si="119"/>
        <v>0.68762013188765092</v>
      </c>
      <c r="BB46" s="39">
        <f t="shared" si="120"/>
        <v>0.74333978625104846</v>
      </c>
      <c r="BC46" s="39">
        <f t="shared" si="121"/>
        <v>0.8203289075220439</v>
      </c>
      <c r="BD46" s="39">
        <f t="shared" si="122"/>
        <v>0.90645211921945734</v>
      </c>
      <c r="BE46" s="39">
        <f t="shared" si="123"/>
        <v>1</v>
      </c>
      <c r="BG46" s="39">
        <f t="shared" si="77"/>
        <v>0.1679539080729707</v>
      </c>
      <c r="BH46" s="39">
        <f t="shared" si="78"/>
        <v>0.272089373014339</v>
      </c>
      <c r="BI46" s="39">
        <f t="shared" si="79"/>
        <v>0.37180830793582953</v>
      </c>
      <c r="BJ46" s="39">
        <f t="shared" si="80"/>
        <v>0.45983233081603464</v>
      </c>
      <c r="BK46" s="39">
        <f t="shared" si="81"/>
        <v>0.53273171589131463</v>
      </c>
      <c r="BL46" s="39">
        <f t="shared" si="82"/>
        <v>0.58858304821561236</v>
      </c>
      <c r="BM46" s="39">
        <f t="shared" si="83"/>
        <v>0.6667829872653821</v>
      </c>
      <c r="BN46" s="39">
        <f t="shared" si="84"/>
        <v>0.71767132837053094</v>
      </c>
      <c r="BO46" s="39">
        <f t="shared" si="85"/>
        <v>0.79542872012892363</v>
      </c>
      <c r="BP46" s="39">
        <f t="shared" si="86"/>
        <v>0.86448297572149146</v>
      </c>
      <c r="BQ46" s="39">
        <f t="shared" si="87"/>
        <v>0.9444813811153413</v>
      </c>
      <c r="BR46" s="39">
        <f t="shared" si="88"/>
        <v>1</v>
      </c>
      <c r="BS46" s="61"/>
      <c r="BT46" s="39">
        <f t="shared" si="89"/>
        <v>0.11311348243870456</v>
      </c>
      <c r="BU46" s="39">
        <f t="shared" si="90"/>
        <v>0.2435681317249469</v>
      </c>
      <c r="BV46" s="39">
        <f t="shared" si="91"/>
        <v>0.33739345813413674</v>
      </c>
      <c r="BW46" s="39">
        <f t="shared" si="92"/>
        <v>0.391638108008871</v>
      </c>
      <c r="BX46" s="39">
        <f t="shared" si="93"/>
        <v>0.49248360931430024</v>
      </c>
      <c r="BY46" s="39">
        <f t="shared" si="94"/>
        <v>0.59205288363261688</v>
      </c>
      <c r="BZ46" s="39">
        <f t="shared" si="95"/>
        <v>0.66742179913392374</v>
      </c>
      <c r="CA46" s="39">
        <f t="shared" si="96"/>
        <v>0.72341880597806985</v>
      </c>
      <c r="CB46" s="39">
        <f t="shared" si="97"/>
        <v>0.8095279212731229</v>
      </c>
      <c r="CC46" s="39">
        <f t="shared" si="98"/>
        <v>0.88499348582438608</v>
      </c>
      <c r="CD46" s="39">
        <f t="shared" si="99"/>
        <v>0.96074017755853536</v>
      </c>
      <c r="CE46" s="39">
        <f t="shared" si="100"/>
        <v>1</v>
      </c>
      <c r="CG46" s="39">
        <f t="shared" si="124"/>
        <v>0.12817724617124393</v>
      </c>
      <c r="CH46" s="39">
        <f t="shared" si="101"/>
        <v>0.24174528358400518</v>
      </c>
      <c r="CI46" s="39">
        <f t="shared" si="102"/>
        <v>0.33730613046454172</v>
      </c>
      <c r="CJ46" s="39">
        <f t="shared" si="103"/>
        <v>0.41500885657811332</v>
      </c>
      <c r="CK46" s="39">
        <f t="shared" si="104"/>
        <v>0.50102796172965602</v>
      </c>
      <c r="CL46" s="39">
        <f t="shared" si="105"/>
        <v>0.57619164865529038</v>
      </c>
      <c r="CM46" s="39">
        <f t="shared" si="106"/>
        <v>0.65186521516892293</v>
      </c>
      <c r="CN46" s="39">
        <f t="shared" si="107"/>
        <v>0.70957008874541716</v>
      </c>
      <c r="CO46" s="39">
        <f t="shared" si="108"/>
        <v>0.78276547588436507</v>
      </c>
      <c r="CP46" s="39">
        <f t="shared" si="109"/>
        <v>0.85660178968930722</v>
      </c>
      <c r="CQ46" s="39">
        <f t="shared" si="110"/>
        <v>0.93722455929777804</v>
      </c>
      <c r="CR46" s="39">
        <f t="shared" si="111"/>
        <v>1</v>
      </c>
    </row>
    <row r="47" spans="1:96">
      <c r="A47" s="193" t="s">
        <v>101</v>
      </c>
      <c r="B47" s="34">
        <v>26225.01</v>
      </c>
      <c r="C47" s="34">
        <v>18166.02</v>
      </c>
      <c r="D47" s="34">
        <v>14588.89</v>
      </c>
      <c r="E47" s="34">
        <v>12074.09</v>
      </c>
      <c r="F47" s="34">
        <v>13730.27</v>
      </c>
      <c r="G47" s="34">
        <v>11570.35</v>
      </c>
      <c r="H47" s="34">
        <v>12557</v>
      </c>
      <c r="I47" s="34">
        <v>15978.23</v>
      </c>
      <c r="J47" s="34">
        <v>11718.17</v>
      </c>
      <c r="K47" s="34">
        <v>12922.02</v>
      </c>
      <c r="L47" s="34">
        <v>19995.47</v>
      </c>
      <c r="M47" s="34">
        <v>15868.53</v>
      </c>
      <c r="N47" s="68">
        <f t="shared" si="76"/>
        <v>185394.05</v>
      </c>
      <c r="P47" s="85" t="s">
        <v>101</v>
      </c>
      <c r="Q47" s="34">
        <v>14492.239999999994</v>
      </c>
      <c r="R47" s="34">
        <v>13292.862000000001</v>
      </c>
      <c r="S47" s="34">
        <v>13873.439999999999</v>
      </c>
      <c r="T47" s="34">
        <v>10454.889999999996</v>
      </c>
      <c r="U47" s="34">
        <v>9466.7300000000014</v>
      </c>
      <c r="V47" s="34">
        <v>13693.6</v>
      </c>
      <c r="W47" s="34">
        <v>6962.170000000001</v>
      </c>
      <c r="X47" s="34">
        <v>6931.4999999999991</v>
      </c>
      <c r="Y47" s="34">
        <v>6994.7199999999993</v>
      </c>
      <c r="Z47" s="34">
        <v>6899.579999999999</v>
      </c>
      <c r="AA47" s="34">
        <v>6631.6500000000005</v>
      </c>
      <c r="AB47" s="34">
        <v>10645.480000000001</v>
      </c>
      <c r="AC47" s="68">
        <f t="shared" si="1"/>
        <v>120338.86199999998</v>
      </c>
      <c r="AE47" s="85" t="s">
        <v>101</v>
      </c>
      <c r="AF47" s="34">
        <v>13176.400000000009</v>
      </c>
      <c r="AG47" s="34">
        <v>11442.840000000002</v>
      </c>
      <c r="AH47" s="34">
        <v>5003.8100000000049</v>
      </c>
      <c r="AI47" s="34">
        <v>9821.2200000000012</v>
      </c>
      <c r="AJ47" s="34">
        <v>7193.8600000000006</v>
      </c>
      <c r="AK47" s="34">
        <v>8181</v>
      </c>
      <c r="AL47" s="34">
        <v>5086.0899999999983</v>
      </c>
      <c r="AM47" s="34">
        <v>6929.9499999999989</v>
      </c>
      <c r="AN47" s="34">
        <v>8316.3399999999983</v>
      </c>
      <c r="AO47" s="34">
        <v>6342.32</v>
      </c>
      <c r="AP47" s="34">
        <v>5403.7</v>
      </c>
      <c r="AQ47" s="34">
        <v>5343.8399999999983</v>
      </c>
      <c r="AR47" s="68">
        <f t="shared" si="27"/>
        <v>92241.37000000001</v>
      </c>
      <c r="AT47" s="39">
        <f t="shared" si="112"/>
        <v>0.1414555105732897</v>
      </c>
      <c r="AU47" s="39">
        <f t="shared" si="113"/>
        <v>0.2394415031118852</v>
      </c>
      <c r="AV47" s="39">
        <f t="shared" si="114"/>
        <v>0.31813275560893134</v>
      </c>
      <c r="AW47" s="39">
        <f t="shared" si="115"/>
        <v>0.38325938723491937</v>
      </c>
      <c r="AX47" s="39">
        <f t="shared" si="116"/>
        <v>0.45731931526389336</v>
      </c>
      <c r="AY47" s="39">
        <f t="shared" si="117"/>
        <v>0.51972881546090621</v>
      </c>
      <c r="AZ47" s="39">
        <f t="shared" si="118"/>
        <v>0.58746022323801661</v>
      </c>
      <c r="BA47" s="39">
        <f t="shared" si="119"/>
        <v>0.67364545949559873</v>
      </c>
      <c r="BB47" s="39">
        <f t="shared" si="120"/>
        <v>0.7368522884094717</v>
      </c>
      <c r="BC47" s="39">
        <f t="shared" si="121"/>
        <v>0.80655258353760539</v>
      </c>
      <c r="BD47" s="39">
        <f t="shared" si="122"/>
        <v>0.91440647636749939</v>
      </c>
      <c r="BE47" s="39">
        <f t="shared" si="123"/>
        <v>1</v>
      </c>
      <c r="BG47" s="39">
        <f t="shared" si="77"/>
        <v>0.12042859438042548</v>
      </c>
      <c r="BH47" s="39">
        <f t="shared" si="78"/>
        <v>0.23089051648169981</v>
      </c>
      <c r="BI47" s="39">
        <f t="shared" si="79"/>
        <v>0.34617696484449056</v>
      </c>
      <c r="BJ47" s="39">
        <f t="shared" si="80"/>
        <v>0.4330557156174536</v>
      </c>
      <c r="BK47" s="39">
        <f t="shared" si="81"/>
        <v>0.51172298770782787</v>
      </c>
      <c r="BL47" s="39">
        <f t="shared" si="82"/>
        <v>0.6255149894969092</v>
      </c>
      <c r="BM47" s="39">
        <f t="shared" si="83"/>
        <v>0.68336969980653461</v>
      </c>
      <c r="BN47" s="39">
        <f t="shared" si="84"/>
        <v>0.74096954647950719</v>
      </c>
      <c r="BO47" s="39">
        <f t="shared" si="85"/>
        <v>0.7990947429767119</v>
      </c>
      <c r="BP47" s="39">
        <f t="shared" si="86"/>
        <v>0.85642933867863902</v>
      </c>
      <c r="BQ47" s="39">
        <f t="shared" si="87"/>
        <v>0.91153747157755238</v>
      </c>
      <c r="BR47" s="39">
        <f t="shared" si="88"/>
        <v>1</v>
      </c>
      <c r="BS47" s="61"/>
      <c r="BT47" s="39">
        <f t="shared" si="89"/>
        <v>0.14284696768922672</v>
      </c>
      <c r="BU47" s="39">
        <f t="shared" si="90"/>
        <v>0.26690019890207628</v>
      </c>
      <c r="BV47" s="39">
        <f t="shared" si="91"/>
        <v>0.32114711652699884</v>
      </c>
      <c r="BW47" s="39">
        <f t="shared" si="92"/>
        <v>0.42762016652614782</v>
      </c>
      <c r="BX47" s="39">
        <f t="shared" si="93"/>
        <v>0.50560968467836087</v>
      </c>
      <c r="BY47" s="39">
        <f t="shared" si="94"/>
        <v>0.59430090858364326</v>
      </c>
      <c r="BZ47" s="39">
        <f t="shared" si="95"/>
        <v>0.64943983377523562</v>
      </c>
      <c r="CA47" s="39">
        <f t="shared" si="96"/>
        <v>0.72456827126483492</v>
      </c>
      <c r="CB47" s="39">
        <f t="shared" si="97"/>
        <v>0.81472673270138984</v>
      </c>
      <c r="CC47" s="39">
        <f t="shared" si="98"/>
        <v>0.88348460132367945</v>
      </c>
      <c r="CD47" s="39">
        <f t="shared" si="99"/>
        <v>0.94206677546094564</v>
      </c>
      <c r="CE47" s="39">
        <f t="shared" si="100"/>
        <v>1</v>
      </c>
      <c r="CG47" s="39">
        <f t="shared" si="124"/>
        <v>0.1349103575476473</v>
      </c>
      <c r="CH47" s="39">
        <f t="shared" si="101"/>
        <v>0.24574407283188707</v>
      </c>
      <c r="CI47" s="39">
        <f t="shared" si="102"/>
        <v>0.3284856123268069</v>
      </c>
      <c r="CJ47" s="39">
        <f t="shared" si="103"/>
        <v>0.41464508979284026</v>
      </c>
      <c r="CK47" s="39">
        <f t="shared" si="104"/>
        <v>0.49155066255002738</v>
      </c>
      <c r="CL47" s="39">
        <f t="shared" si="105"/>
        <v>0.57984823784715289</v>
      </c>
      <c r="CM47" s="39">
        <f t="shared" si="106"/>
        <v>0.64008991893992895</v>
      </c>
      <c r="CN47" s="39">
        <f t="shared" si="107"/>
        <v>0.71306109241331361</v>
      </c>
      <c r="CO47" s="39">
        <f t="shared" si="108"/>
        <v>0.78355792136252445</v>
      </c>
      <c r="CP47" s="39">
        <f t="shared" si="109"/>
        <v>0.84882217451330799</v>
      </c>
      <c r="CQ47" s="39">
        <f t="shared" si="110"/>
        <v>0.92267024113533258</v>
      </c>
      <c r="CR47" s="39">
        <f t="shared" si="111"/>
        <v>1</v>
      </c>
    </row>
    <row r="48" spans="1:96">
      <c r="A48" s="193" t="s">
        <v>102</v>
      </c>
      <c r="B48" s="34">
        <v>85690.15</v>
      </c>
      <c r="C48" s="34">
        <v>73177.16</v>
      </c>
      <c r="D48" s="34">
        <v>56931.48</v>
      </c>
      <c r="E48" s="34">
        <v>54175.26</v>
      </c>
      <c r="F48" s="34">
        <v>52313.9</v>
      </c>
      <c r="G48" s="34">
        <v>36927.64</v>
      </c>
      <c r="H48" s="34">
        <v>45849.29</v>
      </c>
      <c r="I48" s="34">
        <v>41542.720000000001</v>
      </c>
      <c r="J48" s="34">
        <v>41038.550000000003</v>
      </c>
      <c r="K48" s="34">
        <v>79190.240000000005</v>
      </c>
      <c r="L48" s="34">
        <v>76843.78</v>
      </c>
      <c r="M48" s="34">
        <v>174424.14</v>
      </c>
      <c r="N48" s="68">
        <f t="shared" si="76"/>
        <v>818104.31</v>
      </c>
      <c r="P48" s="85" t="s">
        <v>102</v>
      </c>
      <c r="Q48" s="34">
        <v>74724.999999999971</v>
      </c>
      <c r="R48" s="34">
        <v>50924.489999999932</v>
      </c>
      <c r="S48" s="34">
        <v>45592.840000000004</v>
      </c>
      <c r="T48" s="34">
        <v>47495.500000000007</v>
      </c>
      <c r="U48" s="34">
        <v>32970.479999999981</v>
      </c>
      <c r="V48" s="34">
        <v>29664.559999999998</v>
      </c>
      <c r="W48" s="34">
        <v>26892.780000000002</v>
      </c>
      <c r="X48" s="34">
        <v>20969.179999999997</v>
      </c>
      <c r="Y48" s="34">
        <v>21755.8</v>
      </c>
      <c r="Z48" s="34">
        <v>25553.85</v>
      </c>
      <c r="AA48" s="34">
        <v>23219.37</v>
      </c>
      <c r="AB48" s="34">
        <v>20533.810000000001</v>
      </c>
      <c r="AC48" s="68">
        <f t="shared" si="1"/>
        <v>420297.65999999986</v>
      </c>
      <c r="AE48" s="85" t="s">
        <v>102</v>
      </c>
      <c r="AF48" s="34">
        <v>52161.499999999971</v>
      </c>
      <c r="AG48" s="34">
        <v>50273.929999999935</v>
      </c>
      <c r="AH48" s="34">
        <v>32212.549999999988</v>
      </c>
      <c r="AI48" s="34">
        <v>25480.239999999976</v>
      </c>
      <c r="AJ48" s="34">
        <v>30629.639999999941</v>
      </c>
      <c r="AK48" s="34">
        <v>27225.17</v>
      </c>
      <c r="AL48" s="34">
        <v>22013.329999999998</v>
      </c>
      <c r="AM48" s="34">
        <v>30118.850000000006</v>
      </c>
      <c r="AN48" s="34">
        <v>34173.56</v>
      </c>
      <c r="AO48" s="34">
        <v>20601.669999999991</v>
      </c>
      <c r="AP48" s="34">
        <v>27980.340000000011</v>
      </c>
      <c r="AQ48" s="34">
        <v>26421.250000000004</v>
      </c>
      <c r="AR48" s="68">
        <f t="shared" si="27"/>
        <v>379292.0299999998</v>
      </c>
      <c r="AT48" s="39">
        <f t="shared" si="112"/>
        <v>0.10474232802905047</v>
      </c>
      <c r="AU48" s="39">
        <f t="shared" si="113"/>
        <v>0.19418955267452384</v>
      </c>
      <c r="AV48" s="39">
        <f t="shared" si="114"/>
        <v>0.26377906504367393</v>
      </c>
      <c r="AW48" s="39">
        <f t="shared" si="115"/>
        <v>0.32999954492355621</v>
      </c>
      <c r="AX48" s="39">
        <f t="shared" si="116"/>
        <v>0.39394481371208029</v>
      </c>
      <c r="AY48" s="39">
        <f t="shared" si="117"/>
        <v>0.43908287196286744</v>
      </c>
      <c r="AZ48" s="39">
        <f t="shared" si="118"/>
        <v>0.49512620218319103</v>
      </c>
      <c r="BA48" s="39">
        <f t="shared" si="119"/>
        <v>0.54590544816956155</v>
      </c>
      <c r="BB48" s="39">
        <f t="shared" si="120"/>
        <v>0.59606842799789173</v>
      </c>
      <c r="BC48" s="39">
        <f t="shared" si="121"/>
        <v>0.69286566892674106</v>
      </c>
      <c r="BD48" s="39">
        <f t="shared" si="122"/>
        <v>0.7867947425921763</v>
      </c>
      <c r="BE48" s="39">
        <f t="shared" si="123"/>
        <v>1</v>
      </c>
      <c r="BG48" s="39">
        <f t="shared" si="77"/>
        <v>0.17779066388330594</v>
      </c>
      <c r="BH48" s="39">
        <f t="shared" si="78"/>
        <v>0.2989535797082476</v>
      </c>
      <c r="BI48" s="39">
        <f t="shared" si="79"/>
        <v>0.40743108110570958</v>
      </c>
      <c r="BJ48" s="39">
        <f t="shared" si="80"/>
        <v>0.52043551705712554</v>
      </c>
      <c r="BK48" s="39">
        <f t="shared" si="81"/>
        <v>0.59888106443419165</v>
      </c>
      <c r="BL48" s="39">
        <f t="shared" si="82"/>
        <v>0.66946094822417035</v>
      </c>
      <c r="BM48" s="39">
        <f t="shared" si="83"/>
        <v>0.73344602965431693</v>
      </c>
      <c r="BN48" s="39">
        <f t="shared" si="84"/>
        <v>0.78333729005295916</v>
      </c>
      <c r="BO48" s="39">
        <f t="shared" si="85"/>
        <v>0.83510012879919437</v>
      </c>
      <c r="BP48" s="39">
        <f t="shared" si="86"/>
        <v>0.89589953938834677</v>
      </c>
      <c r="BQ48" s="39">
        <f t="shared" si="87"/>
        <v>0.95114460070988738</v>
      </c>
      <c r="BR48" s="39">
        <f t="shared" si="88"/>
        <v>1</v>
      </c>
      <c r="BS48" s="61"/>
      <c r="BT48" s="39">
        <f t="shared" si="89"/>
        <v>0.13752332206927734</v>
      </c>
      <c r="BU48" s="39">
        <f t="shared" si="90"/>
        <v>0.27007008293846818</v>
      </c>
      <c r="BV48" s="39">
        <f t="shared" si="91"/>
        <v>0.35499817910753351</v>
      </c>
      <c r="BW48" s="39">
        <f t="shared" si="92"/>
        <v>0.42217660096891552</v>
      </c>
      <c r="BX48" s="39">
        <f t="shared" si="93"/>
        <v>0.50293136926710513</v>
      </c>
      <c r="BY48" s="39">
        <f t="shared" si="94"/>
        <v>0.57471028326115869</v>
      </c>
      <c r="BZ48" s="39">
        <f t="shared" si="95"/>
        <v>0.63274822832422795</v>
      </c>
      <c r="CA48" s="39">
        <f t="shared" si="96"/>
        <v>0.71215630341613012</v>
      </c>
      <c r="CB48" s="39">
        <f t="shared" si="97"/>
        <v>0.80225458467977817</v>
      </c>
      <c r="CC48" s="39">
        <f t="shared" si="98"/>
        <v>0.85657070094512644</v>
      </c>
      <c r="CD48" s="39">
        <f t="shared" si="99"/>
        <v>0.93034061380092792</v>
      </c>
      <c r="CE48" s="39">
        <f t="shared" si="100"/>
        <v>1</v>
      </c>
      <c r="CG48" s="39">
        <f t="shared" si="124"/>
        <v>0.14001877132721127</v>
      </c>
      <c r="CH48" s="39">
        <f t="shared" si="101"/>
        <v>0.2544044051070799</v>
      </c>
      <c r="CI48" s="39">
        <f t="shared" si="102"/>
        <v>0.34206944175230564</v>
      </c>
      <c r="CJ48" s="39">
        <f t="shared" si="103"/>
        <v>0.42420388764986577</v>
      </c>
      <c r="CK48" s="39">
        <f t="shared" si="104"/>
        <v>0.49858574913779236</v>
      </c>
      <c r="CL48" s="39">
        <f t="shared" si="105"/>
        <v>0.56108470114939879</v>
      </c>
      <c r="CM48" s="39">
        <f t="shared" si="106"/>
        <v>0.62044015338724534</v>
      </c>
      <c r="CN48" s="39">
        <f t="shared" si="107"/>
        <v>0.68046634721288368</v>
      </c>
      <c r="CO48" s="39">
        <f t="shared" si="108"/>
        <v>0.74447438049228809</v>
      </c>
      <c r="CP48" s="39">
        <f t="shared" si="109"/>
        <v>0.81511196975340472</v>
      </c>
      <c r="CQ48" s="39">
        <f t="shared" si="110"/>
        <v>0.88942665236766383</v>
      </c>
      <c r="CR48" s="39">
        <f t="shared" si="111"/>
        <v>1</v>
      </c>
    </row>
    <row r="49" spans="1:96">
      <c r="A49" s="193" t="s">
        <v>103</v>
      </c>
      <c r="B49" s="34">
        <v>32157.73</v>
      </c>
      <c r="C49" s="34">
        <v>48384.34</v>
      </c>
      <c r="D49" s="34">
        <v>43251.519999999997</v>
      </c>
      <c r="E49" s="34">
        <v>42841.41</v>
      </c>
      <c r="F49" s="34">
        <v>57155.71</v>
      </c>
      <c r="G49" s="34">
        <v>39600.01</v>
      </c>
      <c r="H49" s="34">
        <v>44169.85</v>
      </c>
      <c r="I49" s="34">
        <v>39029.9</v>
      </c>
      <c r="J49" s="34">
        <v>32089.05</v>
      </c>
      <c r="K49" s="34">
        <v>21963.55</v>
      </c>
      <c r="L49" s="34">
        <v>22106.61</v>
      </c>
      <c r="M49" s="34">
        <v>20319.599999999999</v>
      </c>
      <c r="N49" s="68">
        <f t="shared" si="76"/>
        <v>443069.27999999991</v>
      </c>
      <c r="P49" s="85" t="s">
        <v>103</v>
      </c>
      <c r="Q49" s="34">
        <v>32427.249999999985</v>
      </c>
      <c r="R49" s="34">
        <v>24175.389999999992</v>
      </c>
      <c r="S49" s="34">
        <v>22067.489999999998</v>
      </c>
      <c r="T49" s="34">
        <v>17947.819999999985</v>
      </c>
      <c r="U49" s="34">
        <v>12517.720000000008</v>
      </c>
      <c r="V49" s="34">
        <v>11188.13</v>
      </c>
      <c r="W49" s="34">
        <v>12289.580000000004</v>
      </c>
      <c r="X49" s="34">
        <v>8991.35</v>
      </c>
      <c r="Y49" s="34">
        <v>6177.74</v>
      </c>
      <c r="Z49" s="34">
        <v>6827.23</v>
      </c>
      <c r="AA49" s="34">
        <v>5880.18</v>
      </c>
      <c r="AB49" s="34">
        <v>6923.59</v>
      </c>
      <c r="AC49" s="68">
        <f t="shared" si="1"/>
        <v>167413.46999999997</v>
      </c>
      <c r="AE49" s="85" t="s">
        <v>103</v>
      </c>
      <c r="AF49" s="34">
        <v>27849.5</v>
      </c>
      <c r="AG49" s="34">
        <v>23140.049999999996</v>
      </c>
      <c r="AH49" s="34">
        <v>19167.209999999995</v>
      </c>
      <c r="AI49" s="34">
        <v>12610.919999999995</v>
      </c>
      <c r="AJ49" s="34">
        <v>13712.269999999997</v>
      </c>
      <c r="AK49" s="34">
        <v>13680.359999999993</v>
      </c>
      <c r="AL49" s="34">
        <v>12841.430000000002</v>
      </c>
      <c r="AM49" s="34">
        <v>10256.329999999996</v>
      </c>
      <c r="AN49" s="34">
        <v>7413.1699999999983</v>
      </c>
      <c r="AO49" s="34">
        <v>4768.0600000000004</v>
      </c>
      <c r="AP49" s="34">
        <v>6392.5700000000052</v>
      </c>
      <c r="AQ49" s="34">
        <v>8211.2000000000007</v>
      </c>
      <c r="AR49" s="68">
        <f t="shared" si="27"/>
        <v>160043.07</v>
      </c>
      <c r="AT49" s="39">
        <f t="shared" si="112"/>
        <v>7.2579462065165079E-2</v>
      </c>
      <c r="AU49" s="39">
        <f t="shared" si="113"/>
        <v>0.18178211317200779</v>
      </c>
      <c r="AV49" s="39">
        <f t="shared" si="114"/>
        <v>0.2794000748596247</v>
      </c>
      <c r="AW49" s="39">
        <f t="shared" si="115"/>
        <v>0.37609242509433294</v>
      </c>
      <c r="AX49" s="39">
        <f t="shared" si="116"/>
        <v>0.50509191248826824</v>
      </c>
      <c r="AY49" s="39">
        <f t="shared" si="117"/>
        <v>0.59446847680344717</v>
      </c>
      <c r="AZ49" s="39">
        <f t="shared" si="118"/>
        <v>0.69415909403603882</v>
      </c>
      <c r="BA49" s="39">
        <f t="shared" si="119"/>
        <v>0.78224892955792391</v>
      </c>
      <c r="BB49" s="39">
        <f t="shared" si="120"/>
        <v>0.85467338200472853</v>
      </c>
      <c r="BC49" s="39">
        <f t="shared" si="121"/>
        <v>0.90424474926359155</v>
      </c>
      <c r="BD49" s="39">
        <f t="shared" si="122"/>
        <v>0.95413900056442646</v>
      </c>
      <c r="BE49" s="39">
        <f t="shared" si="123"/>
        <v>1</v>
      </c>
      <c r="BG49" s="39">
        <f t="shared" si="77"/>
        <v>0.19369558494904854</v>
      </c>
      <c r="BH49" s="39">
        <f t="shared" si="78"/>
        <v>0.33810087085585161</v>
      </c>
      <c r="BI49" s="39">
        <f t="shared" si="79"/>
        <v>0.46991517468695909</v>
      </c>
      <c r="BJ49" s="39">
        <f t="shared" si="80"/>
        <v>0.5771217214481007</v>
      </c>
      <c r="BK49" s="39">
        <f t="shared" si="81"/>
        <v>0.65189300478629331</v>
      </c>
      <c r="BL49" s="39">
        <f t="shared" si="82"/>
        <v>0.71872233458872803</v>
      </c>
      <c r="BM49" s="39">
        <f t="shared" si="83"/>
        <v>0.7921308840919431</v>
      </c>
      <c r="BN49" s="39">
        <f t="shared" si="84"/>
        <v>0.84583833069107284</v>
      </c>
      <c r="BO49" s="39">
        <f t="shared" si="85"/>
        <v>0.88273942353623036</v>
      </c>
      <c r="BP49" s="39">
        <f t="shared" si="86"/>
        <v>0.92352007278745263</v>
      </c>
      <c r="BQ49" s="39">
        <f t="shared" si="87"/>
        <v>0.95864376982330035</v>
      </c>
      <c r="BR49" s="39">
        <f t="shared" si="88"/>
        <v>1</v>
      </c>
      <c r="BS49" s="61"/>
      <c r="BT49" s="39">
        <f t="shared" si="89"/>
        <v>0.1740125330012727</v>
      </c>
      <c r="BU49" s="39">
        <f t="shared" si="90"/>
        <v>0.31859892465197021</v>
      </c>
      <c r="BV49" s="39">
        <f t="shared" si="91"/>
        <v>0.43836174849682646</v>
      </c>
      <c r="BW49" s="39">
        <f t="shared" si="92"/>
        <v>0.5171587873189385</v>
      </c>
      <c r="BX49" s="39">
        <f t="shared" si="93"/>
        <v>0.60283741120437129</v>
      </c>
      <c r="BY49" s="39">
        <f t="shared" si="94"/>
        <v>0.68831665126143837</v>
      </c>
      <c r="BZ49" s="39">
        <f t="shared" si="95"/>
        <v>0.76855398987285095</v>
      </c>
      <c r="CA49" s="39">
        <f t="shared" si="96"/>
        <v>0.83263880154260961</v>
      </c>
      <c r="CB49" s="39">
        <f t="shared" si="97"/>
        <v>0.87895864531966295</v>
      </c>
      <c r="CC49" s="39">
        <f t="shared" si="98"/>
        <v>0.90875100059002856</v>
      </c>
      <c r="CD49" s="39">
        <f t="shared" si="99"/>
        <v>0.94869381098475547</v>
      </c>
      <c r="CE49" s="39">
        <f t="shared" si="100"/>
        <v>1</v>
      </c>
      <c r="CG49" s="39">
        <f t="shared" si="124"/>
        <v>0.14676252667182876</v>
      </c>
      <c r="CH49" s="39">
        <f t="shared" si="101"/>
        <v>0.27949396955994321</v>
      </c>
      <c r="CI49" s="39">
        <f t="shared" si="102"/>
        <v>0.39589233268113677</v>
      </c>
      <c r="CJ49" s="39">
        <f t="shared" si="103"/>
        <v>0.49012431128712403</v>
      </c>
      <c r="CK49" s="39">
        <f t="shared" si="104"/>
        <v>0.58660744282631094</v>
      </c>
      <c r="CL49" s="39">
        <f t="shared" si="105"/>
        <v>0.66716915421787126</v>
      </c>
      <c r="CM49" s="39">
        <f t="shared" si="106"/>
        <v>0.75161465600027766</v>
      </c>
      <c r="CN49" s="39">
        <f t="shared" si="107"/>
        <v>0.82024202059720219</v>
      </c>
      <c r="CO49" s="39">
        <f t="shared" si="108"/>
        <v>0.87212381695354058</v>
      </c>
      <c r="CP49" s="39">
        <f t="shared" si="109"/>
        <v>0.91217194088035758</v>
      </c>
      <c r="CQ49" s="39">
        <f t="shared" si="110"/>
        <v>0.9538255271241608</v>
      </c>
      <c r="CR49" s="39">
        <f t="shared" si="111"/>
        <v>1</v>
      </c>
    </row>
    <row r="50" spans="1:96">
      <c r="A50" s="193" t="s">
        <v>104</v>
      </c>
      <c r="B50" s="34">
        <v>7696.26</v>
      </c>
      <c r="C50" s="34">
        <v>5105.88</v>
      </c>
      <c r="D50" s="34">
        <v>3881.68</v>
      </c>
      <c r="E50" s="34">
        <v>4015.38</v>
      </c>
      <c r="F50" s="34">
        <v>3375.3</v>
      </c>
      <c r="G50" s="34">
        <v>1803.63</v>
      </c>
      <c r="H50" s="34">
        <v>3147.88</v>
      </c>
      <c r="I50" s="34">
        <v>3139.7</v>
      </c>
      <c r="J50" s="34">
        <v>2607.5500000000002</v>
      </c>
      <c r="K50" s="34">
        <v>3574.76</v>
      </c>
      <c r="L50" s="34">
        <v>2442.7800000000002</v>
      </c>
      <c r="M50" s="34">
        <v>2874.8</v>
      </c>
      <c r="N50" s="68">
        <f t="shared" si="76"/>
        <v>43665.600000000006</v>
      </c>
      <c r="P50" s="85" t="s">
        <v>104</v>
      </c>
      <c r="Q50" s="34">
        <v>4984.949999999998</v>
      </c>
      <c r="R50" s="34">
        <v>3437.9300000000012</v>
      </c>
      <c r="S50" s="34">
        <v>4239.0700000000052</v>
      </c>
      <c r="T50" s="34">
        <v>2868.9400000000023</v>
      </c>
      <c r="U50" s="34">
        <v>2767.6099999999988</v>
      </c>
      <c r="V50" s="34">
        <v>2215.44</v>
      </c>
      <c r="W50" s="34">
        <v>1470.2700000000004</v>
      </c>
      <c r="X50" s="34">
        <v>1832.5</v>
      </c>
      <c r="Y50" s="34">
        <v>1512.21</v>
      </c>
      <c r="Z50" s="34">
        <v>700.04</v>
      </c>
      <c r="AA50" s="34">
        <v>1876.72</v>
      </c>
      <c r="AB50" s="34">
        <v>1599.13</v>
      </c>
      <c r="AC50" s="68">
        <f t="shared" si="1"/>
        <v>29504.810000000009</v>
      </c>
      <c r="AE50" s="85" t="s">
        <v>104</v>
      </c>
      <c r="AF50" s="34">
        <v>5514.0600000000013</v>
      </c>
      <c r="AG50" s="34">
        <v>4000.5599999999959</v>
      </c>
      <c r="AH50" s="34">
        <v>3392.7299999999959</v>
      </c>
      <c r="AI50" s="34">
        <v>2402.849999999999</v>
      </c>
      <c r="AJ50" s="34">
        <v>4087.63</v>
      </c>
      <c r="AK50" s="34">
        <v>2625.9399999999978</v>
      </c>
      <c r="AL50" s="34">
        <v>2475.2800000000007</v>
      </c>
      <c r="AM50" s="34">
        <v>2511.41</v>
      </c>
      <c r="AN50" s="34">
        <v>1105.8300000000004</v>
      </c>
      <c r="AO50" s="34">
        <v>1203.4400000000005</v>
      </c>
      <c r="AP50" s="34">
        <v>2306.13</v>
      </c>
      <c r="AQ50" s="34">
        <v>1176.1399999999999</v>
      </c>
      <c r="AR50" s="68">
        <f t="shared" si="27"/>
        <v>32801.999999999993</v>
      </c>
      <c r="AT50" s="39">
        <f t="shared" si="112"/>
        <v>0.1762545344619105</v>
      </c>
      <c r="AU50" s="39">
        <f t="shared" si="113"/>
        <v>0.29318594041991858</v>
      </c>
      <c r="AV50" s="39">
        <f t="shared" si="114"/>
        <v>0.3820815470301564</v>
      </c>
      <c r="AW50" s="39">
        <f t="shared" si="115"/>
        <v>0.4740390604961342</v>
      </c>
      <c r="AX50" s="39">
        <f t="shared" si="116"/>
        <v>0.55133789527683108</v>
      </c>
      <c r="AY50" s="39">
        <f t="shared" si="117"/>
        <v>0.59264340808325078</v>
      </c>
      <c r="AZ50" s="39">
        <f t="shared" si="118"/>
        <v>0.66473402403722837</v>
      </c>
      <c r="BA50" s="39">
        <f t="shared" si="119"/>
        <v>0.73663730717086218</v>
      </c>
      <c r="BB50" s="39">
        <f t="shared" si="120"/>
        <v>0.79635365138690406</v>
      </c>
      <c r="BC50" s="39">
        <f t="shared" si="121"/>
        <v>0.87822038400938041</v>
      </c>
      <c r="BD50" s="39">
        <f t="shared" si="122"/>
        <v>0.9341632772708951</v>
      </c>
      <c r="BE50" s="39">
        <f t="shared" si="123"/>
        <v>1</v>
      </c>
      <c r="BG50" s="39">
        <f t="shared" si="77"/>
        <v>0.16895380787064876</v>
      </c>
      <c r="BH50" s="39">
        <f t="shared" si="78"/>
        <v>0.28547480902266431</v>
      </c>
      <c r="BI50" s="39">
        <f t="shared" si="79"/>
        <v>0.42914867101330262</v>
      </c>
      <c r="BJ50" s="39">
        <f t="shared" si="80"/>
        <v>0.52638501993403797</v>
      </c>
      <c r="BK50" s="39">
        <f t="shared" si="81"/>
        <v>0.62018701357507477</v>
      </c>
      <c r="BL50" s="39">
        <f t="shared" si="82"/>
        <v>0.69527443152489377</v>
      </c>
      <c r="BM50" s="39">
        <f t="shared" si="83"/>
        <v>0.74510596746767732</v>
      </c>
      <c r="BN50" s="39">
        <f t="shared" si="84"/>
        <v>0.80721448468910662</v>
      </c>
      <c r="BO50" s="39">
        <f t="shared" si="85"/>
        <v>0.85846748377637405</v>
      </c>
      <c r="BP50" s="39">
        <f t="shared" si="86"/>
        <v>0.88219378467443099</v>
      </c>
      <c r="BQ50" s="39">
        <f t="shared" si="87"/>
        <v>0.94580104057609593</v>
      </c>
      <c r="BR50" s="39">
        <f t="shared" si="88"/>
        <v>1</v>
      </c>
      <c r="BS50" s="61"/>
      <c r="BT50" s="39">
        <f t="shared" si="89"/>
        <v>0.16810133528443397</v>
      </c>
      <c r="BU50" s="39">
        <f t="shared" si="90"/>
        <v>0.29006219132979694</v>
      </c>
      <c r="BV50" s="39">
        <f t="shared" si="91"/>
        <v>0.39349277483080286</v>
      </c>
      <c r="BW50" s="39">
        <f t="shared" si="92"/>
        <v>0.46674593012621168</v>
      </c>
      <c r="BX50" s="39">
        <f t="shared" si="93"/>
        <v>0.5913611974879579</v>
      </c>
      <c r="BY50" s="39">
        <f t="shared" si="94"/>
        <v>0.67141546247180028</v>
      </c>
      <c r="BZ50" s="39">
        <f t="shared" si="95"/>
        <v>0.74687671483446116</v>
      </c>
      <c r="CA50" s="39">
        <f t="shared" si="96"/>
        <v>0.82343942442533979</v>
      </c>
      <c r="CB50" s="39">
        <f t="shared" si="97"/>
        <v>0.85715169806719094</v>
      </c>
      <c r="CC50" s="39">
        <f t="shared" si="98"/>
        <v>0.89383970489604281</v>
      </c>
      <c r="CD50" s="39">
        <f t="shared" si="99"/>
        <v>0.96414425949637206</v>
      </c>
      <c r="CE50" s="39">
        <f t="shared" si="100"/>
        <v>1</v>
      </c>
      <c r="CG50" s="39">
        <f t="shared" si="124"/>
        <v>0.17110322587233107</v>
      </c>
      <c r="CH50" s="39">
        <f t="shared" si="101"/>
        <v>0.28957431359079328</v>
      </c>
      <c r="CI50" s="39">
        <f t="shared" si="102"/>
        <v>0.40157433095808726</v>
      </c>
      <c r="CJ50" s="39">
        <f t="shared" si="103"/>
        <v>0.48905667018546123</v>
      </c>
      <c r="CK50" s="39">
        <f t="shared" si="104"/>
        <v>0.58762870211328799</v>
      </c>
      <c r="CL50" s="39">
        <f t="shared" si="105"/>
        <v>0.65311110069331491</v>
      </c>
      <c r="CM50" s="39">
        <f t="shared" si="106"/>
        <v>0.71890556877978895</v>
      </c>
      <c r="CN50" s="39">
        <f t="shared" si="107"/>
        <v>0.78909707209510282</v>
      </c>
      <c r="CO50" s="39">
        <f t="shared" si="108"/>
        <v>0.83732427774348961</v>
      </c>
      <c r="CP50" s="39">
        <f t="shared" si="109"/>
        <v>0.88475129119328466</v>
      </c>
      <c r="CQ50" s="39">
        <f t="shared" si="110"/>
        <v>0.9480361924477877</v>
      </c>
      <c r="CR50" s="39">
        <f t="shared" si="111"/>
        <v>1</v>
      </c>
    </row>
    <row r="51" spans="1:96">
      <c r="A51" s="193" t="s">
        <v>105</v>
      </c>
      <c r="B51" s="34">
        <v>130722.78000000001</v>
      </c>
      <c r="C51" s="34">
        <v>112190.78</v>
      </c>
      <c r="D51" s="34">
        <v>78775.67</v>
      </c>
      <c r="E51" s="34">
        <v>81526.899999999994</v>
      </c>
      <c r="F51" s="34">
        <v>83544.460000000006</v>
      </c>
      <c r="G51" s="34">
        <v>60995.67</v>
      </c>
      <c r="H51" s="34">
        <v>155100.53</v>
      </c>
      <c r="I51" s="34">
        <v>174547.59</v>
      </c>
      <c r="J51" s="34">
        <v>136503.88</v>
      </c>
      <c r="K51" s="34">
        <v>144723.09</v>
      </c>
      <c r="L51" s="34">
        <v>95575.42</v>
      </c>
      <c r="M51" s="34">
        <v>123185.24</v>
      </c>
      <c r="N51" s="68">
        <f t="shared" si="76"/>
        <v>1377392.01</v>
      </c>
      <c r="P51" s="85" t="s">
        <v>105</v>
      </c>
      <c r="Q51" s="34">
        <v>148522.44999999984</v>
      </c>
      <c r="R51" s="34">
        <v>97981.489999999845</v>
      </c>
      <c r="S51" s="34">
        <v>76436.03</v>
      </c>
      <c r="T51" s="34">
        <v>73876.430000000037</v>
      </c>
      <c r="U51" s="34">
        <v>60915.569999999978</v>
      </c>
      <c r="V51" s="34">
        <v>50594.34</v>
      </c>
      <c r="W51" s="34">
        <v>49130.720000000008</v>
      </c>
      <c r="X51" s="34">
        <v>69567.31</v>
      </c>
      <c r="Y51" s="34">
        <v>55135.86</v>
      </c>
      <c r="Z51" s="34">
        <v>63287.9</v>
      </c>
      <c r="AA51" s="34">
        <v>42075.880000000005</v>
      </c>
      <c r="AB51" s="34">
        <v>66240.36</v>
      </c>
      <c r="AC51" s="68">
        <f t="shared" si="1"/>
        <v>853764.33999999962</v>
      </c>
      <c r="AE51" s="85" t="s">
        <v>105</v>
      </c>
      <c r="AF51" s="34">
        <v>94501.419999999838</v>
      </c>
      <c r="AG51" s="34">
        <v>93141.419999999896</v>
      </c>
      <c r="AH51" s="34">
        <v>61065.380000000019</v>
      </c>
      <c r="AI51" s="34">
        <v>93684.320000000036</v>
      </c>
      <c r="AJ51" s="34">
        <v>128340.41999999998</v>
      </c>
      <c r="AK51" s="34">
        <v>128046.91000000003</v>
      </c>
      <c r="AL51" s="34">
        <v>125415.35</v>
      </c>
      <c r="AM51" s="34">
        <v>140854.46999999997</v>
      </c>
      <c r="AN51" s="34">
        <v>96052.22</v>
      </c>
      <c r="AO51" s="34">
        <v>105252.47</v>
      </c>
      <c r="AP51" s="34">
        <v>88066.989999999991</v>
      </c>
      <c r="AQ51" s="34">
        <v>78635.149999999994</v>
      </c>
      <c r="AR51" s="68">
        <f t="shared" si="27"/>
        <v>1233056.5199999998</v>
      </c>
      <c r="AT51" s="39">
        <f t="shared" si="112"/>
        <v>9.4906010090765672E-2</v>
      </c>
      <c r="AU51" s="39">
        <f t="shared" si="113"/>
        <v>0.17635760788245025</v>
      </c>
      <c r="AV51" s="39">
        <f t="shared" si="114"/>
        <v>0.23354951071627023</v>
      </c>
      <c r="AW51" s="39">
        <f t="shared" si="115"/>
        <v>0.29273883329699291</v>
      </c>
      <c r="AX51" s="39">
        <f t="shared" si="116"/>
        <v>0.35339292406669326</v>
      </c>
      <c r="AY51" s="39">
        <f t="shared" si="117"/>
        <v>0.39767637391769101</v>
      </c>
      <c r="AZ51" s="39">
        <f t="shared" si="118"/>
        <v>0.51028086768123482</v>
      </c>
      <c r="BA51" s="39">
        <f t="shared" si="119"/>
        <v>0.63700411620654018</v>
      </c>
      <c r="BB51" s="39">
        <f t="shared" si="120"/>
        <v>0.73610726114201863</v>
      </c>
      <c r="BC51" s="39">
        <f t="shared" si="121"/>
        <v>0.84117763250274702</v>
      </c>
      <c r="BD51" s="39">
        <f t="shared" si="122"/>
        <v>0.91056631728247062</v>
      </c>
      <c r="BE51" s="39">
        <f t="shared" si="123"/>
        <v>1</v>
      </c>
      <c r="BG51" s="39">
        <f t="shared" si="77"/>
        <v>0.17396188039430166</v>
      </c>
      <c r="BH51" s="39">
        <f t="shared" si="78"/>
        <v>0.28872597325861582</v>
      </c>
      <c r="BI51" s="39">
        <f t="shared" si="79"/>
        <v>0.37825422645316836</v>
      </c>
      <c r="BJ51" s="39">
        <f t="shared" si="80"/>
        <v>0.46478446265394491</v>
      </c>
      <c r="BK51" s="39">
        <f t="shared" si="81"/>
        <v>0.53613385867111751</v>
      </c>
      <c r="BL51" s="39">
        <f t="shared" si="82"/>
        <v>0.59539416930906242</v>
      </c>
      <c r="BM51" s="39">
        <f t="shared" si="83"/>
        <v>0.65294016613530603</v>
      </c>
      <c r="BN51" s="39">
        <f t="shared" si="84"/>
        <v>0.7344232016061949</v>
      </c>
      <c r="BO51" s="39">
        <f t="shared" si="85"/>
        <v>0.79900291923647215</v>
      </c>
      <c r="BP51" s="39">
        <f t="shared" si="86"/>
        <v>0.87313098600487338</v>
      </c>
      <c r="BQ51" s="39">
        <f t="shared" si="87"/>
        <v>0.92241376584081736</v>
      </c>
      <c r="BR51" s="39">
        <f t="shared" si="88"/>
        <v>1</v>
      </c>
      <c r="BS51" s="61"/>
      <c r="BT51" s="39">
        <f t="shared" si="89"/>
        <v>7.6639974297366228E-2</v>
      </c>
      <c r="BU51" s="39">
        <f t="shared" si="90"/>
        <v>0.15217699834229803</v>
      </c>
      <c r="BV51" s="39">
        <f t="shared" si="91"/>
        <v>0.20170058384671594</v>
      </c>
      <c r="BW51" s="39">
        <f t="shared" si="92"/>
        <v>0.27767789590050573</v>
      </c>
      <c r="BX51" s="39">
        <f t="shared" si="93"/>
        <v>0.38176105666267418</v>
      </c>
      <c r="BY51" s="39">
        <f t="shared" si="94"/>
        <v>0.48560618291852509</v>
      </c>
      <c r="BZ51" s="39">
        <f t="shared" si="95"/>
        <v>0.58731713287562848</v>
      </c>
      <c r="CA51" s="39">
        <f t="shared" si="96"/>
        <v>0.70154909849550118</v>
      </c>
      <c r="CB51" s="39">
        <f t="shared" si="97"/>
        <v>0.77944676047777595</v>
      </c>
      <c r="CC51" s="39">
        <f t="shared" si="98"/>
        <v>0.86480575926884529</v>
      </c>
      <c r="CD51" s="39">
        <f t="shared" si="99"/>
        <v>0.93622745695387921</v>
      </c>
      <c r="CE51" s="39">
        <f t="shared" si="100"/>
        <v>1</v>
      </c>
      <c r="CG51" s="39">
        <f t="shared" si="124"/>
        <v>0.11516928826081119</v>
      </c>
      <c r="CH51" s="39">
        <f t="shared" si="101"/>
        <v>0.20575352649445469</v>
      </c>
      <c r="CI51" s="39">
        <f t="shared" si="102"/>
        <v>0.27116810700538485</v>
      </c>
      <c r="CJ51" s="39">
        <f t="shared" si="103"/>
        <v>0.34506706395048115</v>
      </c>
      <c r="CK51" s="39">
        <f t="shared" si="104"/>
        <v>0.423762613133495</v>
      </c>
      <c r="CL51" s="39">
        <f t="shared" si="105"/>
        <v>0.49289224204842624</v>
      </c>
      <c r="CM51" s="39">
        <f t="shared" si="106"/>
        <v>0.58351272223072304</v>
      </c>
      <c r="CN51" s="39">
        <f t="shared" si="107"/>
        <v>0.69099213876941201</v>
      </c>
      <c r="CO51" s="39">
        <f t="shared" si="108"/>
        <v>0.77151898028542221</v>
      </c>
      <c r="CP51" s="39">
        <f t="shared" si="109"/>
        <v>0.85970479259215526</v>
      </c>
      <c r="CQ51" s="39">
        <f t="shared" si="110"/>
        <v>0.92306918002572236</v>
      </c>
      <c r="CR51" s="39">
        <f t="shared" si="111"/>
        <v>1</v>
      </c>
    </row>
    <row r="52" spans="1:96">
      <c r="A52" s="193" t="s">
        <v>106</v>
      </c>
      <c r="B52" s="34">
        <v>19525.189999999999</v>
      </c>
      <c r="C52" s="34">
        <v>25793.420000000002</v>
      </c>
      <c r="D52" s="34">
        <v>14215.51</v>
      </c>
      <c r="E52" s="34">
        <v>17009.3</v>
      </c>
      <c r="F52" s="34">
        <v>14580.09</v>
      </c>
      <c r="G52" s="34">
        <v>12647.8</v>
      </c>
      <c r="H52" s="34">
        <v>11326.08</v>
      </c>
      <c r="I52" s="34">
        <v>11292.8</v>
      </c>
      <c r="J52" s="34">
        <v>10951.1</v>
      </c>
      <c r="K52" s="34">
        <v>23978.99</v>
      </c>
      <c r="L52" s="34">
        <v>18898.09</v>
      </c>
      <c r="M52" s="34">
        <v>21668.55</v>
      </c>
      <c r="N52" s="68">
        <f t="shared" si="76"/>
        <v>201886.91999999998</v>
      </c>
      <c r="P52" s="85" t="s">
        <v>106</v>
      </c>
      <c r="Q52" s="34">
        <v>28027.699999999997</v>
      </c>
      <c r="R52" s="34">
        <v>23062.019999999982</v>
      </c>
      <c r="S52" s="34">
        <v>23082.900000000005</v>
      </c>
      <c r="T52" s="34">
        <v>14386</v>
      </c>
      <c r="U52" s="34">
        <v>17040.260000000002</v>
      </c>
      <c r="V52" s="34">
        <v>11686.05</v>
      </c>
      <c r="W52" s="34">
        <v>10513.19</v>
      </c>
      <c r="X52" s="34">
        <v>10718.210000000001</v>
      </c>
      <c r="Y52" s="34">
        <v>6380.21</v>
      </c>
      <c r="Z52" s="34">
        <v>7368.8</v>
      </c>
      <c r="AA52" s="34">
        <v>9253.0600000000013</v>
      </c>
      <c r="AB52" s="34">
        <v>7066.43</v>
      </c>
      <c r="AC52" s="68">
        <f t="shared" si="1"/>
        <v>168584.82999999996</v>
      </c>
      <c r="AE52" s="85" t="s">
        <v>106</v>
      </c>
      <c r="AF52" s="34">
        <v>15090.060000000005</v>
      </c>
      <c r="AG52" s="34">
        <v>16500.430000000004</v>
      </c>
      <c r="AH52" s="34">
        <v>11704.680000000004</v>
      </c>
      <c r="AI52" s="34">
        <v>8268.8500000000022</v>
      </c>
      <c r="AJ52" s="34">
        <v>10469.549999999999</v>
      </c>
      <c r="AK52" s="34">
        <v>10194.439999999995</v>
      </c>
      <c r="AL52" s="34">
        <v>13044.189999999999</v>
      </c>
      <c r="AM52" s="34">
        <v>13647.69</v>
      </c>
      <c r="AN52" s="34">
        <v>16577.61</v>
      </c>
      <c r="AO52" s="34">
        <v>14807.32</v>
      </c>
      <c r="AP52" s="34">
        <v>15606</v>
      </c>
      <c r="AQ52" s="34">
        <v>12716.259999999998</v>
      </c>
      <c r="AR52" s="68">
        <f t="shared" si="27"/>
        <v>158627.08000000002</v>
      </c>
      <c r="AT52" s="39">
        <f t="shared" si="112"/>
        <v>9.6713496842687971E-2</v>
      </c>
      <c r="AU52" s="39">
        <f t="shared" si="113"/>
        <v>0.22447521612593824</v>
      </c>
      <c r="AV52" s="39">
        <f t="shared" si="114"/>
        <v>0.29488844547234666</v>
      </c>
      <c r="AW52" s="39">
        <f t="shared" si="115"/>
        <v>0.37914006514141679</v>
      </c>
      <c r="AX52" s="39">
        <f t="shared" si="116"/>
        <v>0.45135915689832706</v>
      </c>
      <c r="AY52" s="39">
        <f t="shared" si="117"/>
        <v>0.51400709862729099</v>
      </c>
      <c r="AZ52" s="39">
        <f t="shared" si="118"/>
        <v>0.57010820710920751</v>
      </c>
      <c r="BA52" s="39">
        <f t="shared" si="119"/>
        <v>0.62604447083545589</v>
      </c>
      <c r="BB52" s="39">
        <f t="shared" si="120"/>
        <v>0.68028820292072423</v>
      </c>
      <c r="BC52" s="39">
        <f t="shared" si="121"/>
        <v>0.79906256433056688</v>
      </c>
      <c r="BD52" s="39">
        <f t="shared" si="122"/>
        <v>0.89266986687399075</v>
      </c>
      <c r="BE52" s="39">
        <f t="shared" si="123"/>
        <v>1</v>
      </c>
      <c r="BG52" s="39">
        <f t="shared" si="77"/>
        <v>0.16625279985156435</v>
      </c>
      <c r="BH52" s="39">
        <f t="shared" si="78"/>
        <v>0.30305051765333801</v>
      </c>
      <c r="BI52" s="39">
        <f t="shared" si="79"/>
        <v>0.43997209001545395</v>
      </c>
      <c r="BJ52" s="39">
        <f t="shared" si="80"/>
        <v>0.52530598393698891</v>
      </c>
      <c r="BK52" s="39">
        <f t="shared" si="81"/>
        <v>0.62638423635151519</v>
      </c>
      <c r="BL52" s="39">
        <f t="shared" si="82"/>
        <v>0.69570275095333312</v>
      </c>
      <c r="BM52" s="39">
        <f t="shared" si="83"/>
        <v>0.75806417457608732</v>
      </c>
      <c r="BN52" s="39">
        <f t="shared" si="84"/>
        <v>0.82164172185599393</v>
      </c>
      <c r="BO52" s="39">
        <f t="shared" si="85"/>
        <v>0.85948741651309912</v>
      </c>
      <c r="BP52" s="39">
        <f t="shared" si="86"/>
        <v>0.90319716192732169</v>
      </c>
      <c r="BQ52" s="39">
        <f t="shared" si="87"/>
        <v>0.95808383233532934</v>
      </c>
      <c r="BR52" s="39">
        <f t="shared" si="88"/>
        <v>1</v>
      </c>
      <c r="BS52" s="61"/>
      <c r="BT52" s="39">
        <f t="shared" si="89"/>
        <v>9.5129154492410772E-2</v>
      </c>
      <c r="BU52" s="39">
        <f t="shared" si="90"/>
        <v>0.19914941383274537</v>
      </c>
      <c r="BV52" s="39">
        <f t="shared" si="91"/>
        <v>0.27293681507596312</v>
      </c>
      <c r="BW52" s="39">
        <f t="shared" si="92"/>
        <v>0.3250644215350873</v>
      </c>
      <c r="BX52" s="39">
        <f t="shared" si="93"/>
        <v>0.39106544733723914</v>
      </c>
      <c r="BY52" s="39">
        <f t="shared" si="94"/>
        <v>0.45533215387940068</v>
      </c>
      <c r="BZ52" s="39">
        <f t="shared" si="95"/>
        <v>0.53756395188009509</v>
      </c>
      <c r="CA52" s="39">
        <f t="shared" si="96"/>
        <v>0.62360027052127542</v>
      </c>
      <c r="CB52" s="39">
        <f t="shared" si="97"/>
        <v>0.72810707982521017</v>
      </c>
      <c r="CC52" s="39">
        <f t="shared" si="98"/>
        <v>0.82145381482152979</v>
      </c>
      <c r="CD52" s="39">
        <f t="shared" si="99"/>
        <v>0.91983550349662868</v>
      </c>
      <c r="CE52" s="39">
        <f t="shared" si="100"/>
        <v>1</v>
      </c>
      <c r="CG52" s="39">
        <f t="shared" si="124"/>
        <v>0.11936515039555436</v>
      </c>
      <c r="CH52" s="39">
        <f t="shared" si="101"/>
        <v>0.24222504920400723</v>
      </c>
      <c r="CI52" s="39">
        <f t="shared" si="102"/>
        <v>0.33593245018792128</v>
      </c>
      <c r="CJ52" s="39">
        <f t="shared" si="103"/>
        <v>0.40983682353783096</v>
      </c>
      <c r="CK52" s="39">
        <f t="shared" si="104"/>
        <v>0.48960294686236044</v>
      </c>
      <c r="CL52" s="39">
        <f t="shared" si="105"/>
        <v>0.55501400115334165</v>
      </c>
      <c r="CM52" s="39">
        <f t="shared" si="106"/>
        <v>0.62191211118846335</v>
      </c>
      <c r="CN52" s="39">
        <f t="shared" si="107"/>
        <v>0.69042882107090842</v>
      </c>
      <c r="CO52" s="39">
        <f t="shared" si="108"/>
        <v>0.75596089975301117</v>
      </c>
      <c r="CP52" s="39">
        <f t="shared" si="109"/>
        <v>0.84123784702647286</v>
      </c>
      <c r="CQ52" s="39">
        <f t="shared" si="110"/>
        <v>0.92352973423531626</v>
      </c>
      <c r="CR52" s="39">
        <f t="shared" si="111"/>
        <v>1</v>
      </c>
    </row>
    <row r="53" spans="1:96">
      <c r="A53" s="193" t="s">
        <v>107</v>
      </c>
      <c r="B53" s="34">
        <v>141334.82999999999</v>
      </c>
      <c r="C53" s="34">
        <v>126517.16999999998</v>
      </c>
      <c r="D53" s="34">
        <v>86821.21</v>
      </c>
      <c r="E53" s="34">
        <v>108804.12</v>
      </c>
      <c r="F53" s="34">
        <v>107804.67</v>
      </c>
      <c r="G53" s="34">
        <v>80255.08</v>
      </c>
      <c r="H53" s="34">
        <v>110158.65</v>
      </c>
      <c r="I53" s="34">
        <v>86494.239999999991</v>
      </c>
      <c r="J53" s="34">
        <v>71490.039999999994</v>
      </c>
      <c r="K53" s="34">
        <v>91066.36</v>
      </c>
      <c r="L53" s="34">
        <v>78936.259999999995</v>
      </c>
      <c r="M53" s="34">
        <v>111549.69</v>
      </c>
      <c r="N53" s="68">
        <f t="shared" si="76"/>
        <v>1201232.3199999998</v>
      </c>
      <c r="P53" s="85" t="s">
        <v>107</v>
      </c>
      <c r="Q53" s="34">
        <v>134423.82000000004</v>
      </c>
      <c r="R53" s="34">
        <v>102137.30999999994</v>
      </c>
      <c r="S53" s="34">
        <v>82749.279999999926</v>
      </c>
      <c r="T53" s="34">
        <v>86597.119999999966</v>
      </c>
      <c r="U53" s="34">
        <v>85091.150000000023</v>
      </c>
      <c r="V53" s="34">
        <v>72670.06</v>
      </c>
      <c r="W53" s="34">
        <v>85426.17</v>
      </c>
      <c r="X53" s="34">
        <v>70285.31</v>
      </c>
      <c r="Y53" s="34">
        <v>52912.090000000004</v>
      </c>
      <c r="Z53" s="34">
        <v>54941.229999999996</v>
      </c>
      <c r="AA53" s="34">
        <v>61797.439999999995</v>
      </c>
      <c r="AB53" s="34">
        <v>71763.060000000012</v>
      </c>
      <c r="AC53" s="68">
        <f t="shared" si="1"/>
        <v>960794.03999999992</v>
      </c>
      <c r="AE53" s="85" t="s">
        <v>107</v>
      </c>
      <c r="AF53" s="34">
        <v>95482.089999999967</v>
      </c>
      <c r="AG53" s="34">
        <v>69530.140000000043</v>
      </c>
      <c r="AH53" s="34">
        <v>57876.589999999989</v>
      </c>
      <c r="AI53" s="34">
        <v>52070.710000000014</v>
      </c>
      <c r="AJ53" s="34">
        <v>59465.279999999955</v>
      </c>
      <c r="AK53" s="34">
        <v>56698</v>
      </c>
      <c r="AL53" s="34">
        <v>66105.459999999992</v>
      </c>
      <c r="AM53" s="34">
        <v>62178.84</v>
      </c>
      <c r="AN53" s="34">
        <v>53467.79</v>
      </c>
      <c r="AO53" s="34">
        <v>73591.340000000011</v>
      </c>
      <c r="AP53" s="34">
        <v>68614.890000000014</v>
      </c>
      <c r="AQ53" s="34">
        <v>58135.469999999994</v>
      </c>
      <c r="AR53" s="68">
        <f t="shared" si="27"/>
        <v>773216.6</v>
      </c>
      <c r="AT53" s="39">
        <f t="shared" si="112"/>
        <v>0.11765819787466258</v>
      </c>
      <c r="AU53" s="39">
        <f t="shared" si="113"/>
        <v>0.22298101336467541</v>
      </c>
      <c r="AV53" s="39">
        <f t="shared" si="114"/>
        <v>0.29525779825837528</v>
      </c>
      <c r="AW53" s="39">
        <f t="shared" si="115"/>
        <v>0.38583488163222257</v>
      </c>
      <c r="AX53" s="39">
        <f t="shared" si="116"/>
        <v>0.47557994443572754</v>
      </c>
      <c r="AY53" s="39">
        <f t="shared" si="117"/>
        <v>0.54239056771299665</v>
      </c>
      <c r="AZ53" s="39">
        <f t="shared" si="118"/>
        <v>0.63409526809934658</v>
      </c>
      <c r="BA53" s="39">
        <f t="shared" si="119"/>
        <v>0.70609985751965121</v>
      </c>
      <c r="BB53" s="39">
        <f t="shared" si="120"/>
        <v>0.76561377402832465</v>
      </c>
      <c r="BC53" s="39">
        <f t="shared" si="121"/>
        <v>0.84142455474391509</v>
      </c>
      <c r="BD53" s="39">
        <f t="shared" si="122"/>
        <v>0.90713728881354116</v>
      </c>
      <c r="BE53" s="39">
        <f t="shared" si="123"/>
        <v>1</v>
      </c>
      <c r="BG53" s="39">
        <f t="shared" si="77"/>
        <v>0.13990909019377351</v>
      </c>
      <c r="BH53" s="39">
        <f t="shared" si="78"/>
        <v>0.24621419383492429</v>
      </c>
      <c r="BI53" s="39">
        <f t="shared" si="79"/>
        <v>0.33234012359194065</v>
      </c>
      <c r="BJ53" s="39">
        <f t="shared" si="80"/>
        <v>0.42247090750063349</v>
      </c>
      <c r="BK53" s="39">
        <f t="shared" si="81"/>
        <v>0.51103426911349281</v>
      </c>
      <c r="BL53" s="39">
        <f t="shared" si="82"/>
        <v>0.58666968833403677</v>
      </c>
      <c r="BM53" s="39">
        <f t="shared" si="83"/>
        <v>0.67558174070272137</v>
      </c>
      <c r="BN53" s="39">
        <f t="shared" si="84"/>
        <v>0.7487350983151394</v>
      </c>
      <c r="BO53" s="39">
        <f t="shared" si="85"/>
        <v>0.80380630795753061</v>
      </c>
      <c r="BP53" s="39">
        <f t="shared" si="86"/>
        <v>0.86098945826100248</v>
      </c>
      <c r="BQ53" s="39">
        <f t="shared" si="87"/>
        <v>0.92530859163114698</v>
      </c>
      <c r="BR53" s="39">
        <f t="shared" si="88"/>
        <v>1</v>
      </c>
      <c r="BS53" s="61"/>
      <c r="BT53" s="39">
        <f t="shared" si="89"/>
        <v>0.12348685995618817</v>
      </c>
      <c r="BU53" s="39">
        <f t="shared" si="90"/>
        <v>0.21341009750695991</v>
      </c>
      <c r="BV53" s="39">
        <f t="shared" si="91"/>
        <v>0.28826181434801063</v>
      </c>
      <c r="BW53" s="39">
        <f t="shared" si="92"/>
        <v>0.35560479430989977</v>
      </c>
      <c r="BX53" s="39">
        <f t="shared" si="93"/>
        <v>0.43251116181416693</v>
      </c>
      <c r="BY53" s="39">
        <f t="shared" si="94"/>
        <v>0.50583860977635509</v>
      </c>
      <c r="BZ53" s="39">
        <f t="shared" si="95"/>
        <v>0.59133271323973136</v>
      </c>
      <c r="CA53" s="39">
        <f t="shared" si="96"/>
        <v>0.67174852428155318</v>
      </c>
      <c r="CB53" s="39">
        <f t="shared" si="97"/>
        <v>0.74089834594859971</v>
      </c>
      <c r="CC53" s="39">
        <f t="shared" si="98"/>
        <v>0.83607392805586433</v>
      </c>
      <c r="CD53" s="39">
        <f t="shared" si="99"/>
        <v>0.92481347399939429</v>
      </c>
      <c r="CE53" s="39">
        <f t="shared" si="100"/>
        <v>1</v>
      </c>
      <c r="CG53" s="39">
        <f t="shared" si="124"/>
        <v>0.12701804934154143</v>
      </c>
      <c r="CH53" s="39">
        <f t="shared" si="101"/>
        <v>0.22753510156885323</v>
      </c>
      <c r="CI53" s="39">
        <f t="shared" si="102"/>
        <v>0.30528657873277548</v>
      </c>
      <c r="CJ53" s="39">
        <f t="shared" si="103"/>
        <v>0.38797019448091863</v>
      </c>
      <c r="CK53" s="39">
        <f t="shared" si="104"/>
        <v>0.47304179178779576</v>
      </c>
      <c r="CL53" s="39">
        <f t="shared" si="105"/>
        <v>0.54496628860779606</v>
      </c>
      <c r="CM53" s="39">
        <f t="shared" si="106"/>
        <v>0.63366990734726647</v>
      </c>
      <c r="CN53" s="39">
        <f t="shared" si="107"/>
        <v>0.70886116003878119</v>
      </c>
      <c r="CO53" s="39">
        <f t="shared" si="108"/>
        <v>0.77010614264481836</v>
      </c>
      <c r="CP53" s="39">
        <f t="shared" si="109"/>
        <v>0.84616264702026067</v>
      </c>
      <c r="CQ53" s="39">
        <f t="shared" si="110"/>
        <v>0.91908645148136081</v>
      </c>
      <c r="CR53" s="39">
        <f t="shared" si="111"/>
        <v>1</v>
      </c>
    </row>
    <row r="54" spans="1:96">
      <c r="A54" s="193" t="s">
        <v>108</v>
      </c>
      <c r="B54" s="34">
        <v>6937.93</v>
      </c>
      <c r="C54" s="34">
        <v>5425.95</v>
      </c>
      <c r="D54" s="34">
        <v>4021.72</v>
      </c>
      <c r="E54" s="34">
        <v>3969.57</v>
      </c>
      <c r="F54" s="34">
        <v>5801</v>
      </c>
      <c r="G54" s="34">
        <v>6127.36</v>
      </c>
      <c r="H54" s="34">
        <v>4911.25</v>
      </c>
      <c r="I54" s="34">
        <v>2866.33</v>
      </c>
      <c r="J54" s="34">
        <v>2648.81</v>
      </c>
      <c r="K54" s="34">
        <v>8478.61</v>
      </c>
      <c r="L54" s="34">
        <v>3300.27</v>
      </c>
      <c r="M54" s="34">
        <v>7713.62</v>
      </c>
      <c r="N54" s="68">
        <f t="shared" si="76"/>
        <v>62202.42</v>
      </c>
      <c r="P54" s="85" t="s">
        <v>108</v>
      </c>
      <c r="Q54" s="34">
        <v>6706.8199999999961</v>
      </c>
      <c r="R54" s="34">
        <v>3120.5999999999985</v>
      </c>
      <c r="S54" s="34">
        <v>4478.0600000000049</v>
      </c>
      <c r="T54" s="34">
        <v>3202.9200000000019</v>
      </c>
      <c r="U54" s="34">
        <v>2863.6299999999978</v>
      </c>
      <c r="V54" s="34">
        <v>2030.72</v>
      </c>
      <c r="W54" s="34">
        <v>1551.5600000000006</v>
      </c>
      <c r="X54" s="34">
        <v>1366.77</v>
      </c>
      <c r="Y54" s="34">
        <v>790.55</v>
      </c>
      <c r="Z54" s="34">
        <v>1818.12</v>
      </c>
      <c r="AA54" s="34">
        <v>821.8</v>
      </c>
      <c r="AB54" s="34">
        <v>885.06</v>
      </c>
      <c r="AC54" s="68">
        <f t="shared" si="1"/>
        <v>29636.61</v>
      </c>
      <c r="AE54" s="85" t="s">
        <v>108</v>
      </c>
      <c r="AF54" s="34">
        <v>3899.2100000000028</v>
      </c>
      <c r="AG54" s="34">
        <v>1802.9700000000066</v>
      </c>
      <c r="AH54" s="34">
        <v>2206.09</v>
      </c>
      <c r="AI54" s="34">
        <v>940.43000000000075</v>
      </c>
      <c r="AJ54" s="34">
        <v>1336.449999999998</v>
      </c>
      <c r="AK54" s="34">
        <v>1541.6299999999992</v>
      </c>
      <c r="AL54" s="34">
        <v>1652.7500000000007</v>
      </c>
      <c r="AM54" s="34">
        <v>1185.7799999999997</v>
      </c>
      <c r="AN54" s="34">
        <v>1289.9900000000005</v>
      </c>
      <c r="AO54" s="34">
        <v>634.02999999999952</v>
      </c>
      <c r="AP54" s="34">
        <v>1554.3199999999993</v>
      </c>
      <c r="AQ54" s="34">
        <v>1162.4600000000009</v>
      </c>
      <c r="AR54" s="68">
        <f t="shared" si="27"/>
        <v>19206.110000000008</v>
      </c>
      <c r="AT54" s="39">
        <f t="shared" si="112"/>
        <v>0.11153794337905182</v>
      </c>
      <c r="AU54" s="39">
        <f t="shared" si="113"/>
        <v>0.19876847235204034</v>
      </c>
      <c r="AV54" s="39">
        <f t="shared" si="114"/>
        <v>0.26342383463537272</v>
      </c>
      <c r="AW54" s="39">
        <f t="shared" si="115"/>
        <v>0.32724080510050901</v>
      </c>
      <c r="AX54" s="39">
        <f t="shared" si="116"/>
        <v>0.42050084225018902</v>
      </c>
      <c r="AY54" s="39">
        <f t="shared" si="117"/>
        <v>0.51900762060382866</v>
      </c>
      <c r="AZ54" s="39">
        <f t="shared" si="118"/>
        <v>0.5979635519003923</v>
      </c>
      <c r="BA54" s="39">
        <f t="shared" si="119"/>
        <v>0.64404423493491092</v>
      </c>
      <c r="BB54" s="39">
        <f t="shared" si="120"/>
        <v>0.6866279479158528</v>
      </c>
      <c r="BC54" s="39">
        <f t="shared" si="121"/>
        <v>0.82293470254051204</v>
      </c>
      <c r="BD54" s="39">
        <f t="shared" si="122"/>
        <v>0.87599164148275899</v>
      </c>
      <c r="BE54" s="39">
        <f t="shared" si="123"/>
        <v>1</v>
      </c>
      <c r="BG54" s="39">
        <f t="shared" si="77"/>
        <v>0.22630186111029554</v>
      </c>
      <c r="BH54" s="39">
        <f t="shared" si="78"/>
        <v>0.33159730481995053</v>
      </c>
      <c r="BI54" s="39">
        <f t="shared" si="79"/>
        <v>0.4826962328012549</v>
      </c>
      <c r="BJ54" s="39">
        <f t="shared" si="80"/>
        <v>0.59076932213232214</v>
      </c>
      <c r="BK54" s="39">
        <f t="shared" si="81"/>
        <v>0.68739407104928663</v>
      </c>
      <c r="BL54" s="39">
        <f t="shared" si="82"/>
        <v>0.75591472843891383</v>
      </c>
      <c r="BM54" s="39">
        <f t="shared" si="83"/>
        <v>0.80826754476979656</v>
      </c>
      <c r="BN54" s="39">
        <f t="shared" si="84"/>
        <v>0.85438516753434357</v>
      </c>
      <c r="BO54" s="39">
        <f t="shared" si="85"/>
        <v>0.88105994579002123</v>
      </c>
      <c r="BP54" s="39">
        <f t="shared" si="86"/>
        <v>0.94240704318071467</v>
      </c>
      <c r="BQ54" s="39">
        <f t="shared" si="87"/>
        <v>0.97013626052372381</v>
      </c>
      <c r="BR54" s="39">
        <f t="shared" si="88"/>
        <v>1</v>
      </c>
      <c r="BS54" s="61"/>
      <c r="BT54" s="39">
        <f t="shared" si="89"/>
        <v>0.2030192475207109</v>
      </c>
      <c r="BU54" s="39">
        <f t="shared" si="90"/>
        <v>0.29689406131694585</v>
      </c>
      <c r="BV54" s="39">
        <f t="shared" si="91"/>
        <v>0.4117580290855361</v>
      </c>
      <c r="BW54" s="39">
        <f t="shared" si="92"/>
        <v>0.46072317611426811</v>
      </c>
      <c r="BX54" s="39">
        <f t="shared" si="93"/>
        <v>0.53030780308974612</v>
      </c>
      <c r="BY54" s="39">
        <f t="shared" si="94"/>
        <v>0.61057548873769873</v>
      </c>
      <c r="BZ54" s="39">
        <f t="shared" si="95"/>
        <v>0.69662883322026181</v>
      </c>
      <c r="CA54" s="39">
        <f t="shared" si="96"/>
        <v>0.75836856083819171</v>
      </c>
      <c r="CB54" s="39">
        <f t="shared" si="97"/>
        <v>0.82553416595031481</v>
      </c>
      <c r="CC54" s="39">
        <f t="shared" si="98"/>
        <v>0.85854605643724846</v>
      </c>
      <c r="CD54" s="39">
        <f t="shared" si="99"/>
        <v>0.93947446932252299</v>
      </c>
      <c r="CE54" s="39">
        <f t="shared" si="100"/>
        <v>1</v>
      </c>
      <c r="CG54" s="39">
        <f t="shared" si="124"/>
        <v>0.18028635067001941</v>
      </c>
      <c r="CH54" s="39">
        <f t="shared" si="101"/>
        <v>0.27575327949631223</v>
      </c>
      <c r="CI54" s="39">
        <f t="shared" si="102"/>
        <v>0.38595936550738791</v>
      </c>
      <c r="CJ54" s="39">
        <f t="shared" si="103"/>
        <v>0.45957776778236642</v>
      </c>
      <c r="CK54" s="39">
        <f t="shared" si="104"/>
        <v>0.54606757212974055</v>
      </c>
      <c r="CL54" s="39">
        <f t="shared" si="105"/>
        <v>0.62849927926014704</v>
      </c>
      <c r="CM54" s="39">
        <f t="shared" si="106"/>
        <v>0.70095330996348348</v>
      </c>
      <c r="CN54" s="39">
        <f t="shared" si="107"/>
        <v>0.75226598776914877</v>
      </c>
      <c r="CO54" s="39">
        <f t="shared" si="108"/>
        <v>0.79774068655206298</v>
      </c>
      <c r="CP54" s="39">
        <f t="shared" si="109"/>
        <v>0.87462926738615854</v>
      </c>
      <c r="CQ54" s="39">
        <f t="shared" si="110"/>
        <v>0.92853412377633526</v>
      </c>
      <c r="CR54" s="39">
        <f t="shared" si="111"/>
        <v>1</v>
      </c>
    </row>
    <row r="55" spans="1:96">
      <c r="A55" s="193" t="s">
        <v>109</v>
      </c>
      <c r="B55" s="34">
        <v>1942.55</v>
      </c>
      <c r="C55" s="34">
        <v>353.15</v>
      </c>
      <c r="D55" s="34">
        <v>511.5</v>
      </c>
      <c r="E55" s="34">
        <v>797.28</v>
      </c>
      <c r="F55" s="34">
        <v>0</v>
      </c>
      <c r="G55" s="34">
        <v>772.98</v>
      </c>
      <c r="H55" s="34">
        <v>906.77</v>
      </c>
      <c r="I55" s="34">
        <v>511.19</v>
      </c>
      <c r="J55" s="34">
        <v>41.89</v>
      </c>
      <c r="K55" s="34">
        <v>29.65</v>
      </c>
      <c r="L55" s="34">
        <v>270.95</v>
      </c>
      <c r="M55" s="34">
        <v>582.05999999999995</v>
      </c>
      <c r="N55" s="68">
        <f t="shared" si="76"/>
        <v>6719.9699999999993</v>
      </c>
      <c r="P55" s="85" t="s">
        <v>109</v>
      </c>
      <c r="Q55" s="34">
        <v>613.28000000000065</v>
      </c>
      <c r="R55" s="34">
        <v>770.71000000000095</v>
      </c>
      <c r="S55" s="34">
        <v>1235.2700000000004</v>
      </c>
      <c r="T55" s="34">
        <v>958.84000000000015</v>
      </c>
      <c r="U55" s="34">
        <v>267.69999999999982</v>
      </c>
      <c r="V55" s="34">
        <v>458.16</v>
      </c>
      <c r="W55" s="34">
        <v>1011.1700000000002</v>
      </c>
      <c r="X55" s="34">
        <v>0</v>
      </c>
      <c r="Y55" s="34">
        <v>261.8</v>
      </c>
      <c r="Z55" s="34">
        <v>0</v>
      </c>
      <c r="AA55" s="34">
        <v>0</v>
      </c>
      <c r="AB55" s="34">
        <v>0</v>
      </c>
      <c r="AC55" s="68">
        <f t="shared" si="1"/>
        <v>5576.9300000000021</v>
      </c>
      <c r="AE55" s="85" t="s">
        <v>109</v>
      </c>
      <c r="AF55" s="34">
        <v>1010.8200000000002</v>
      </c>
      <c r="AG55" s="34">
        <v>690.06999999999994</v>
      </c>
      <c r="AH55" s="34">
        <v>882.44000000000028</v>
      </c>
      <c r="AI55" s="34">
        <v>234.02999999999997</v>
      </c>
      <c r="AJ55" s="34">
        <v>75.85000000000025</v>
      </c>
      <c r="AK55" s="34">
        <v>267.75</v>
      </c>
      <c r="AL55" s="34">
        <v>609.4699999999998</v>
      </c>
      <c r="AM55" s="34">
        <v>195.03999999999996</v>
      </c>
      <c r="AN55" s="34">
        <v>287.77999999999997</v>
      </c>
      <c r="AO55" s="34">
        <v>443.94999999999982</v>
      </c>
      <c r="AP55" s="34">
        <v>677.63000000000011</v>
      </c>
      <c r="AQ55" s="34">
        <v>556.77999999999975</v>
      </c>
      <c r="AR55" s="68">
        <f t="shared" si="27"/>
        <v>5931.6100000000006</v>
      </c>
      <c r="AT55" s="39">
        <f t="shared" si="112"/>
        <v>0.28907123097275733</v>
      </c>
      <c r="AU55" s="39">
        <f t="shared" si="113"/>
        <v>0.34162354891465291</v>
      </c>
      <c r="AV55" s="39">
        <f t="shared" si="114"/>
        <v>0.41773996014863163</v>
      </c>
      <c r="AW55" s="39">
        <f t="shared" si="115"/>
        <v>0.53638334694946554</v>
      </c>
      <c r="AX55" s="39">
        <f t="shared" si="116"/>
        <v>0.53638334694946554</v>
      </c>
      <c r="AY55" s="39">
        <f t="shared" si="117"/>
        <v>0.65141064617847988</v>
      </c>
      <c r="AZ55" s="39">
        <f t="shared" si="118"/>
        <v>0.7863472604788414</v>
      </c>
      <c r="BA55" s="39">
        <f t="shared" si="119"/>
        <v>0.86241754055449649</v>
      </c>
      <c r="BB55" s="39">
        <f t="shared" si="120"/>
        <v>0.86865119933571133</v>
      </c>
      <c r="BC55" s="39">
        <f t="shared" si="121"/>
        <v>0.87306342141408366</v>
      </c>
      <c r="BD55" s="39">
        <f t="shared" si="122"/>
        <v>0.91338354189081195</v>
      </c>
      <c r="BE55" s="39">
        <f t="shared" si="123"/>
        <v>1</v>
      </c>
      <c r="BG55" s="39">
        <f t="shared" si="77"/>
        <v>0.10996731176471651</v>
      </c>
      <c r="BH55" s="39">
        <f t="shared" si="78"/>
        <v>0.24816341607300094</v>
      </c>
      <c r="BI55" s="39">
        <f t="shared" si="79"/>
        <v>0.46965983076710682</v>
      </c>
      <c r="BJ55" s="39">
        <f t="shared" si="80"/>
        <v>0.64158954837159532</v>
      </c>
      <c r="BK55" s="39">
        <f t="shared" si="81"/>
        <v>0.68959086809409487</v>
      </c>
      <c r="BL55" s="39">
        <f t="shared" si="82"/>
        <v>0.77174359369760781</v>
      </c>
      <c r="BM55" s="39">
        <f t="shared" si="83"/>
        <v>0.95305660999869102</v>
      </c>
      <c r="BN55" s="39">
        <f t="shared" si="84"/>
        <v>0.95305660999869102</v>
      </c>
      <c r="BO55" s="39">
        <f t="shared" si="85"/>
        <v>1</v>
      </c>
      <c r="BP55" s="39">
        <f t="shared" si="86"/>
        <v>1</v>
      </c>
      <c r="BQ55" s="39">
        <f t="shared" si="87"/>
        <v>1</v>
      </c>
      <c r="BR55" s="39">
        <f t="shared" si="88"/>
        <v>1</v>
      </c>
      <c r="BS55" s="61"/>
      <c r="BT55" s="39">
        <f t="shared" si="89"/>
        <v>0.17041241753925157</v>
      </c>
      <c r="BU55" s="39">
        <f t="shared" si="90"/>
        <v>0.28675014034975327</v>
      </c>
      <c r="BV55" s="39">
        <f t="shared" si="91"/>
        <v>0.4355191929341275</v>
      </c>
      <c r="BW55" s="39">
        <f t="shared" si="92"/>
        <v>0.47497391096177938</v>
      </c>
      <c r="BX55" s="39">
        <f t="shared" si="93"/>
        <v>0.48776133292647372</v>
      </c>
      <c r="BY55" s="39">
        <f t="shared" si="94"/>
        <v>0.53290084816769823</v>
      </c>
      <c r="BZ55" s="39">
        <f t="shared" si="95"/>
        <v>0.6356503546254727</v>
      </c>
      <c r="CA55" s="39">
        <f t="shared" si="96"/>
        <v>0.66853181513956583</v>
      </c>
      <c r="CB55" s="39">
        <f t="shared" si="97"/>
        <v>0.71704815387390619</v>
      </c>
      <c r="CC55" s="39">
        <f t="shared" si="98"/>
        <v>0.79189292620384688</v>
      </c>
      <c r="CD55" s="39">
        <f t="shared" si="99"/>
        <v>0.90613341065916342</v>
      </c>
      <c r="CE55" s="39">
        <f t="shared" si="100"/>
        <v>1</v>
      </c>
      <c r="CG55" s="39">
        <f t="shared" si="124"/>
        <v>0.18981698675890848</v>
      </c>
      <c r="CH55" s="39">
        <f t="shared" si="101"/>
        <v>0.29217903511246907</v>
      </c>
      <c r="CI55" s="39">
        <f t="shared" si="102"/>
        <v>0.44097299461662204</v>
      </c>
      <c r="CJ55" s="39">
        <f t="shared" si="103"/>
        <v>0.5509822687609468</v>
      </c>
      <c r="CK55" s="39">
        <f t="shared" si="104"/>
        <v>0.57124518265667801</v>
      </c>
      <c r="CL55" s="39">
        <f t="shared" si="105"/>
        <v>0.65201836268126201</v>
      </c>
      <c r="CM55" s="39">
        <f t="shared" si="106"/>
        <v>0.79168474170100167</v>
      </c>
      <c r="CN55" s="39">
        <f t="shared" si="107"/>
        <v>0.828001988564251</v>
      </c>
      <c r="CO55" s="39">
        <f t="shared" si="108"/>
        <v>0.8618997844032058</v>
      </c>
      <c r="CP55" s="39">
        <f t="shared" si="109"/>
        <v>0.88831878253931018</v>
      </c>
      <c r="CQ55" s="39">
        <f t="shared" si="110"/>
        <v>0.93983898418332501</v>
      </c>
      <c r="CR55" s="39">
        <f t="shared" si="111"/>
        <v>1</v>
      </c>
    </row>
    <row r="56" spans="1:96">
      <c r="A56" s="193" t="s">
        <v>110</v>
      </c>
      <c r="B56" s="34">
        <v>67447.42</v>
      </c>
      <c r="C56" s="34">
        <v>56124.11</v>
      </c>
      <c r="D56" s="34">
        <v>45599.839999999997</v>
      </c>
      <c r="E56" s="34">
        <v>35192.03</v>
      </c>
      <c r="F56" s="34">
        <v>38882.03</v>
      </c>
      <c r="G56" s="34">
        <v>34282.519999999997</v>
      </c>
      <c r="H56" s="34">
        <v>30077.89</v>
      </c>
      <c r="I56" s="34">
        <v>39441.25</v>
      </c>
      <c r="J56" s="34">
        <v>27764.99</v>
      </c>
      <c r="K56" s="34">
        <v>32444.14</v>
      </c>
      <c r="L56" s="34">
        <v>22116.71</v>
      </c>
      <c r="M56" s="34">
        <v>25655.59</v>
      </c>
      <c r="N56" s="68">
        <f t="shared" si="76"/>
        <v>455028.52000000008</v>
      </c>
      <c r="P56" s="85" t="s">
        <v>110</v>
      </c>
      <c r="Q56" s="34">
        <v>47917.010000000053</v>
      </c>
      <c r="R56" s="34">
        <v>39565.39</v>
      </c>
      <c r="S56" s="34">
        <v>28656.299999999992</v>
      </c>
      <c r="T56" s="34">
        <v>25725.500000000004</v>
      </c>
      <c r="U56" s="34">
        <v>24481.990000000013</v>
      </c>
      <c r="V56" s="34">
        <v>22641.469999999998</v>
      </c>
      <c r="W56" s="34">
        <v>16692.439999999999</v>
      </c>
      <c r="X56" s="34">
        <v>19539.490000000002</v>
      </c>
      <c r="Y56" s="34">
        <v>9762.3700000000008</v>
      </c>
      <c r="Z56" s="34">
        <v>18166.41</v>
      </c>
      <c r="AA56" s="34">
        <v>10174.52</v>
      </c>
      <c r="AB56" s="34">
        <v>20045.98</v>
      </c>
      <c r="AC56" s="68">
        <f t="shared" si="1"/>
        <v>283368.87000000005</v>
      </c>
      <c r="AE56" s="85" t="s">
        <v>110</v>
      </c>
      <c r="AF56" s="34">
        <v>30475.419999999984</v>
      </c>
      <c r="AG56" s="34">
        <v>39317.629999999946</v>
      </c>
      <c r="AH56" s="34">
        <v>37043.240000000013</v>
      </c>
      <c r="AI56" s="34">
        <v>21827.360000000008</v>
      </c>
      <c r="AJ56" s="34">
        <v>26244.959999999999</v>
      </c>
      <c r="AK56" s="34">
        <v>26994.380000000005</v>
      </c>
      <c r="AL56" s="34">
        <v>22004.180000000004</v>
      </c>
      <c r="AM56" s="34">
        <v>22847.360000000008</v>
      </c>
      <c r="AN56" s="34">
        <v>16615.149999999998</v>
      </c>
      <c r="AO56" s="34">
        <v>17535.250000000004</v>
      </c>
      <c r="AP56" s="34">
        <v>14456.410000000003</v>
      </c>
      <c r="AQ56" s="34">
        <v>18683.160000000003</v>
      </c>
      <c r="AR56" s="68">
        <f t="shared" si="27"/>
        <v>294044.5</v>
      </c>
      <c r="AT56" s="39">
        <f t="shared" si="112"/>
        <v>0.14822679686099674</v>
      </c>
      <c r="AU56" s="39">
        <f t="shared" si="113"/>
        <v>0.27156875793192037</v>
      </c>
      <c r="AV56" s="39">
        <f t="shared" si="114"/>
        <v>0.37178190501114078</v>
      </c>
      <c r="AW56" s="39">
        <f t="shared" si="115"/>
        <v>0.44912217809995725</v>
      </c>
      <c r="AX56" s="39">
        <f t="shared" si="116"/>
        <v>0.53457183299191868</v>
      </c>
      <c r="AY56" s="39">
        <f t="shared" si="117"/>
        <v>0.60991330829109336</v>
      </c>
      <c r="AZ56" s="39">
        <f t="shared" si="118"/>
        <v>0.67601441773364002</v>
      </c>
      <c r="BA56" s="39">
        <f t="shared" si="119"/>
        <v>0.76269305053670033</v>
      </c>
      <c r="BB56" s="39">
        <f t="shared" si="120"/>
        <v>0.82371118188372006</v>
      </c>
      <c r="BC56" s="39">
        <f t="shared" si="121"/>
        <v>0.89501251481995014</v>
      </c>
      <c r="BD56" s="39">
        <f t="shared" si="122"/>
        <v>0.94361762203388921</v>
      </c>
      <c r="BE56" s="39">
        <f t="shared" si="123"/>
        <v>1</v>
      </c>
      <c r="BG56" s="39">
        <f t="shared" si="77"/>
        <v>0.1690976499994514</v>
      </c>
      <c r="BH56" s="39">
        <f t="shared" si="78"/>
        <v>0.308722690675232</v>
      </c>
      <c r="BI56" s="39">
        <f t="shared" si="79"/>
        <v>0.40984988929800237</v>
      </c>
      <c r="BJ56" s="39">
        <f t="shared" si="80"/>
        <v>0.50063438513905922</v>
      </c>
      <c r="BK56" s="39">
        <f t="shared" si="81"/>
        <v>0.58703057255371782</v>
      </c>
      <c r="BL56" s="39">
        <f t="shared" si="82"/>
        <v>0.66693162167036912</v>
      </c>
      <c r="BM56" s="39">
        <f t="shared" si="83"/>
        <v>0.72583872745090183</v>
      </c>
      <c r="BN56" s="39">
        <f t="shared" si="84"/>
        <v>0.79479298484692418</v>
      </c>
      <c r="BO56" s="39">
        <f t="shared" si="85"/>
        <v>0.8292440873974618</v>
      </c>
      <c r="BP56" s="39">
        <f t="shared" si="86"/>
        <v>0.8933527878344576</v>
      </c>
      <c r="BQ56" s="39">
        <f t="shared" si="87"/>
        <v>0.92925835501973109</v>
      </c>
      <c r="BR56" s="39">
        <f t="shared" si="88"/>
        <v>1</v>
      </c>
      <c r="BS56" s="61"/>
      <c r="BT56" s="39">
        <f t="shared" si="89"/>
        <v>0.103642203816089</v>
      </c>
      <c r="BU56" s="39">
        <f t="shared" si="90"/>
        <v>0.23735540028805141</v>
      </c>
      <c r="BV56" s="39">
        <f t="shared" si="91"/>
        <v>0.36333374710290434</v>
      </c>
      <c r="BW56" s="39">
        <f t="shared" si="92"/>
        <v>0.43756523247331597</v>
      </c>
      <c r="BX56" s="39">
        <f t="shared" si="93"/>
        <v>0.52682029420716914</v>
      </c>
      <c r="BY56" s="39">
        <f t="shared" si="94"/>
        <v>0.61862401779322507</v>
      </c>
      <c r="BZ56" s="39">
        <f t="shared" si="95"/>
        <v>0.69345684071628599</v>
      </c>
      <c r="CA56" s="39">
        <f t="shared" si="96"/>
        <v>0.77115718879285267</v>
      </c>
      <c r="CB56" s="39">
        <f t="shared" si="97"/>
        <v>0.82766275172635417</v>
      </c>
      <c r="CC56" s="39">
        <f t="shared" si="98"/>
        <v>0.88729743287155505</v>
      </c>
      <c r="CD56" s="39">
        <f t="shared" si="99"/>
        <v>0.93646145396360059</v>
      </c>
      <c r="CE56" s="39">
        <f t="shared" si="100"/>
        <v>1</v>
      </c>
      <c r="CG56" s="39">
        <f t="shared" si="124"/>
        <v>0.14032221689217905</v>
      </c>
      <c r="CH56" s="39">
        <f t="shared" si="101"/>
        <v>0.27254894963173459</v>
      </c>
      <c r="CI56" s="39">
        <f t="shared" si="102"/>
        <v>0.38165518047068248</v>
      </c>
      <c r="CJ56" s="39">
        <f t="shared" si="103"/>
        <v>0.46244059857077752</v>
      </c>
      <c r="CK56" s="39">
        <f t="shared" si="104"/>
        <v>0.54947423325093514</v>
      </c>
      <c r="CL56" s="39">
        <f t="shared" si="105"/>
        <v>0.63182298258489589</v>
      </c>
      <c r="CM56" s="39">
        <f t="shared" si="106"/>
        <v>0.69843666196694265</v>
      </c>
      <c r="CN56" s="39">
        <f t="shared" si="107"/>
        <v>0.77621440805882569</v>
      </c>
      <c r="CO56" s="39">
        <f t="shared" si="108"/>
        <v>0.8268726736691786</v>
      </c>
      <c r="CP56" s="39">
        <f t="shared" si="109"/>
        <v>0.8918875785086543</v>
      </c>
      <c r="CQ56" s="39">
        <f t="shared" si="110"/>
        <v>0.93644581033907359</v>
      </c>
      <c r="CR56" s="39">
        <f t="shared" si="111"/>
        <v>1</v>
      </c>
    </row>
    <row r="57" spans="1:96">
      <c r="A57" s="193" t="s">
        <v>111</v>
      </c>
      <c r="B57" s="34">
        <v>446970.4</v>
      </c>
      <c r="C57" s="34">
        <v>401185.36</v>
      </c>
      <c r="D57" s="34">
        <v>283028.46999999997</v>
      </c>
      <c r="E57" s="34">
        <v>310400.21000000002</v>
      </c>
      <c r="F57" s="34">
        <v>323673.18</v>
      </c>
      <c r="G57" s="34">
        <v>259242.63</v>
      </c>
      <c r="H57" s="34">
        <v>779599.34</v>
      </c>
      <c r="I57" s="34">
        <v>754815.12</v>
      </c>
      <c r="J57" s="34">
        <v>584074.89</v>
      </c>
      <c r="K57" s="34">
        <v>560383.85</v>
      </c>
      <c r="L57" s="34">
        <v>388136.63</v>
      </c>
      <c r="M57" s="34">
        <v>547859.35</v>
      </c>
      <c r="N57" s="68">
        <f t="shared" si="76"/>
        <v>5639369.4299999997</v>
      </c>
      <c r="P57" s="85" t="s">
        <v>111</v>
      </c>
      <c r="Q57" s="34">
        <v>657489.8899999999</v>
      </c>
      <c r="R57" s="34">
        <v>377588.27</v>
      </c>
      <c r="S57" s="34">
        <v>177877.71</v>
      </c>
      <c r="T57" s="34">
        <v>349661.0500000001</v>
      </c>
      <c r="U57" s="34">
        <v>198602.43</v>
      </c>
      <c r="V57" s="34">
        <v>191806.25</v>
      </c>
      <c r="W57" s="34">
        <v>213242.04000000007</v>
      </c>
      <c r="X57" s="34">
        <v>188328.82</v>
      </c>
      <c r="Y57" s="34">
        <v>154745.30000000002</v>
      </c>
      <c r="Z57" s="34">
        <v>229216.39</v>
      </c>
      <c r="AA57" s="34">
        <v>170213.44</v>
      </c>
      <c r="AB57" s="34">
        <v>256316.98000000004</v>
      </c>
      <c r="AC57" s="68">
        <f t="shared" si="1"/>
        <v>3165088.57</v>
      </c>
      <c r="AE57" s="85" t="s">
        <v>111</v>
      </c>
      <c r="AF57" s="34">
        <v>663119.95999999938</v>
      </c>
      <c r="AG57" s="34">
        <v>205948.24</v>
      </c>
      <c r="AH57" s="34">
        <v>378341.80999999988</v>
      </c>
      <c r="AI57" s="34">
        <v>140591.06000000003</v>
      </c>
      <c r="AJ57" s="34">
        <v>355687.2699999999</v>
      </c>
      <c r="AK57" s="34">
        <v>259812.96999999991</v>
      </c>
      <c r="AL57" s="34">
        <v>228125.20999999996</v>
      </c>
      <c r="AM57" s="34">
        <v>271407.68</v>
      </c>
      <c r="AN57" s="34">
        <v>148912.01</v>
      </c>
      <c r="AO57" s="34">
        <v>375878.88</v>
      </c>
      <c r="AP57" s="34">
        <v>262653.37000000005</v>
      </c>
      <c r="AQ57" s="34">
        <v>136525</v>
      </c>
      <c r="AR57" s="68">
        <f t="shared" si="27"/>
        <v>3427003.46</v>
      </c>
      <c r="AT57" s="39">
        <f t="shared" si="112"/>
        <v>7.9258932323573644E-2</v>
      </c>
      <c r="AU57" s="39">
        <f t="shared" si="113"/>
        <v>0.150399042043252</v>
      </c>
      <c r="AV57" s="39">
        <f t="shared" si="114"/>
        <v>0.20058700605468227</v>
      </c>
      <c r="AW57" s="39">
        <f t="shared" si="115"/>
        <v>0.25562865811399771</v>
      </c>
      <c r="AX57" s="39">
        <f t="shared" si="116"/>
        <v>0.3130239367914579</v>
      </c>
      <c r="AY57" s="39">
        <f t="shared" si="117"/>
        <v>0.35899408171952307</v>
      </c>
      <c r="AZ57" s="39">
        <f t="shared" si="118"/>
        <v>0.49723637098199469</v>
      </c>
      <c r="BA57" s="39">
        <f t="shared" si="119"/>
        <v>0.63108380363724459</v>
      </c>
      <c r="BB57" s="39">
        <f t="shared" si="120"/>
        <v>0.73465476086038228</v>
      </c>
      <c r="BC57" s="39">
        <f t="shared" si="121"/>
        <v>0.83402470939024831</v>
      </c>
      <c r="BD57" s="39">
        <f t="shared" si="122"/>
        <v>0.90285095580269514</v>
      </c>
      <c r="BE57" s="39">
        <f t="shared" si="123"/>
        <v>1</v>
      </c>
      <c r="BG57" s="39">
        <f t="shared" si="77"/>
        <v>0.20773190874718553</v>
      </c>
      <c r="BH57" s="39">
        <f t="shared" si="78"/>
        <v>0.32702976144519075</v>
      </c>
      <c r="BI57" s="39">
        <f t="shared" si="79"/>
        <v>0.38322967688705151</v>
      </c>
      <c r="BJ57" s="39">
        <f t="shared" si="80"/>
        <v>0.49370401031147132</v>
      </c>
      <c r="BK57" s="39">
        <f t="shared" si="81"/>
        <v>0.55645183730198111</v>
      </c>
      <c r="BL57" s="39">
        <f t="shared" si="82"/>
        <v>0.61705243212198635</v>
      </c>
      <c r="BM57" s="39">
        <f t="shared" si="83"/>
        <v>0.68442559887036603</v>
      </c>
      <c r="BN57" s="39">
        <f t="shared" si="84"/>
        <v>0.74392751037611571</v>
      </c>
      <c r="BO57" s="39">
        <f t="shared" si="85"/>
        <v>0.79281881201826843</v>
      </c>
      <c r="BP57" s="39">
        <f t="shared" si="86"/>
        <v>0.86523902552275178</v>
      </c>
      <c r="BQ57" s="39">
        <f t="shared" si="87"/>
        <v>0.91901743842827122</v>
      </c>
      <c r="BR57" s="39">
        <f t="shared" si="88"/>
        <v>1</v>
      </c>
      <c r="BS57" s="61"/>
      <c r="BT57" s="39">
        <f t="shared" si="89"/>
        <v>0.1934984798643884</v>
      </c>
      <c r="BU57" s="39">
        <f t="shared" si="90"/>
        <v>0.25359419975607478</v>
      </c>
      <c r="BV57" s="39">
        <f t="shared" si="91"/>
        <v>0.36399438301121506</v>
      </c>
      <c r="BW57" s="39">
        <f t="shared" si="92"/>
        <v>0.40501887033402628</v>
      </c>
      <c r="BX57" s="39">
        <f t="shared" si="93"/>
        <v>0.50880845623657456</v>
      </c>
      <c r="BY57" s="39">
        <f t="shared" si="94"/>
        <v>0.58462191047802425</v>
      </c>
      <c r="BZ57" s="39">
        <f t="shared" si="95"/>
        <v>0.65118887274190251</v>
      </c>
      <c r="CA57" s="39">
        <f t="shared" si="96"/>
        <v>0.73038566468211263</v>
      </c>
      <c r="CB57" s="39">
        <f t="shared" si="97"/>
        <v>0.77383820616276822</v>
      </c>
      <c r="CC57" s="39">
        <f t="shared" si="98"/>
        <v>0.88351970616335473</v>
      </c>
      <c r="CD57" s="39">
        <f t="shared" si="99"/>
        <v>0.96016198944835618</v>
      </c>
      <c r="CE57" s="39">
        <f t="shared" si="100"/>
        <v>1</v>
      </c>
      <c r="CG57" s="39">
        <f t="shared" si="124"/>
        <v>0.16016310697838251</v>
      </c>
      <c r="CH57" s="39">
        <f t="shared" si="101"/>
        <v>0.24367433441483918</v>
      </c>
      <c r="CI57" s="39">
        <f t="shared" si="102"/>
        <v>0.31593702198431628</v>
      </c>
      <c r="CJ57" s="39">
        <f t="shared" si="103"/>
        <v>0.38478384625316514</v>
      </c>
      <c r="CK57" s="39">
        <f t="shared" si="104"/>
        <v>0.45942807677667119</v>
      </c>
      <c r="CL57" s="39">
        <f t="shared" si="105"/>
        <v>0.52022280810651123</v>
      </c>
      <c r="CM57" s="39">
        <f t="shared" si="106"/>
        <v>0.61095028086475445</v>
      </c>
      <c r="CN57" s="39">
        <f t="shared" si="107"/>
        <v>0.70179899289849101</v>
      </c>
      <c r="CO57" s="39">
        <f t="shared" si="108"/>
        <v>0.76710392634713964</v>
      </c>
      <c r="CP57" s="39">
        <f t="shared" si="109"/>
        <v>0.86092781369211824</v>
      </c>
      <c r="CQ57" s="39">
        <f t="shared" si="110"/>
        <v>0.92734346122644096</v>
      </c>
      <c r="CR57" s="39">
        <f t="shared" si="111"/>
        <v>1</v>
      </c>
    </row>
    <row r="58" spans="1:96">
      <c r="A58" s="193" t="s">
        <v>112</v>
      </c>
      <c r="B58" s="34">
        <v>9041.32</v>
      </c>
      <c r="C58" s="34">
        <v>16829.830000000002</v>
      </c>
      <c r="D58" s="34">
        <v>14032.36</v>
      </c>
      <c r="E58" s="34">
        <v>12503.9</v>
      </c>
      <c r="F58" s="34">
        <v>13172.47</v>
      </c>
      <c r="G58" s="34">
        <v>10692.56</v>
      </c>
      <c r="H58" s="34">
        <v>8769.8799999999992</v>
      </c>
      <c r="I58" s="34">
        <v>7410.92</v>
      </c>
      <c r="J58" s="34">
        <v>6540.65</v>
      </c>
      <c r="K58" s="34">
        <v>6146.82</v>
      </c>
      <c r="L58" s="34">
        <v>4877.3</v>
      </c>
      <c r="M58" s="34">
        <v>5371.79</v>
      </c>
      <c r="N58" s="68">
        <f t="shared" si="76"/>
        <v>115389.79999999999</v>
      </c>
      <c r="P58" s="85" t="s">
        <v>112</v>
      </c>
      <c r="Q58" s="34">
        <v>10302.539999999999</v>
      </c>
      <c r="R58" s="34">
        <v>5259.1599999999962</v>
      </c>
      <c r="S58" s="34">
        <v>6273.5500000000065</v>
      </c>
      <c r="T58" s="34">
        <v>3134.2100000000019</v>
      </c>
      <c r="U58" s="34">
        <v>3704.6099999999997</v>
      </c>
      <c r="V58" s="34">
        <v>4668.38</v>
      </c>
      <c r="W58" s="34">
        <v>4530.2299999999996</v>
      </c>
      <c r="X58" s="34">
        <v>1993.9499999999998</v>
      </c>
      <c r="Y58" s="34">
        <v>2443.5500000000002</v>
      </c>
      <c r="Z58" s="34">
        <v>2945.0099999999998</v>
      </c>
      <c r="AA58" s="34">
        <v>1494.24</v>
      </c>
      <c r="AB58" s="34">
        <v>3235.09</v>
      </c>
      <c r="AC58" s="68">
        <f t="shared" si="1"/>
        <v>49984.520000000004</v>
      </c>
      <c r="AE58" s="85" t="s">
        <v>112</v>
      </c>
      <c r="AF58" s="34">
        <v>7139.9999999999982</v>
      </c>
      <c r="AG58" s="34">
        <v>4865.1500000000069</v>
      </c>
      <c r="AH58" s="34">
        <v>3692.71</v>
      </c>
      <c r="AI58" s="34">
        <v>2414.9900000000007</v>
      </c>
      <c r="AJ58" s="34">
        <v>4631.8400000000029</v>
      </c>
      <c r="AK58" s="34">
        <v>2160.4500000000016</v>
      </c>
      <c r="AL58" s="34">
        <v>3410.5900000000011</v>
      </c>
      <c r="AM58" s="34">
        <v>2609.67</v>
      </c>
      <c r="AN58" s="34">
        <v>2978.9700000000003</v>
      </c>
      <c r="AO58" s="34">
        <v>1989.9600000000005</v>
      </c>
      <c r="AP58" s="34">
        <v>1713.6900000000005</v>
      </c>
      <c r="AQ58" s="34">
        <v>2349.19</v>
      </c>
      <c r="AR58" s="68">
        <f t="shared" si="27"/>
        <v>39957.210000000014</v>
      </c>
      <c r="AT58" s="39">
        <f t="shared" si="112"/>
        <v>7.8354585933938709E-2</v>
      </c>
      <c r="AU58" s="39">
        <f t="shared" si="113"/>
        <v>0.22420655898528297</v>
      </c>
      <c r="AV58" s="39">
        <f t="shared" si="114"/>
        <v>0.34581488138466315</v>
      </c>
      <c r="AW58" s="39">
        <f t="shared" si="115"/>
        <v>0.45417714564025596</v>
      </c>
      <c r="AX58" s="39">
        <f t="shared" si="116"/>
        <v>0.5683334228848651</v>
      </c>
      <c r="AY58" s="39">
        <f t="shared" si="117"/>
        <v>0.66099811248481244</v>
      </c>
      <c r="AZ58" s="39">
        <f t="shared" si="118"/>
        <v>0.7370003241187697</v>
      </c>
      <c r="BA58" s="39">
        <f t="shared" si="119"/>
        <v>0.80122541160483873</v>
      </c>
      <c r="BB58" s="39">
        <f t="shared" si="120"/>
        <v>0.8579084979781576</v>
      </c>
      <c r="BC58" s="39">
        <f t="shared" si="121"/>
        <v>0.91117854437740597</v>
      </c>
      <c r="BD58" s="39">
        <f t="shared" si="122"/>
        <v>0.95344657846707426</v>
      </c>
      <c r="BE58" s="39">
        <f t="shared" si="123"/>
        <v>1</v>
      </c>
      <c r="BG58" s="39">
        <f t="shared" si="77"/>
        <v>0.20611461308421083</v>
      </c>
      <c r="BH58" s="39">
        <f t="shared" si="78"/>
        <v>0.31133038788809003</v>
      </c>
      <c r="BI58" s="39">
        <f t="shared" si="79"/>
        <v>0.43684024574008107</v>
      </c>
      <c r="BJ58" s="39">
        <f t="shared" si="80"/>
        <v>0.49954385877867791</v>
      </c>
      <c r="BK58" s="39">
        <f t="shared" si="81"/>
        <v>0.57365900482789478</v>
      </c>
      <c r="BL58" s="39">
        <f t="shared" si="82"/>
        <v>0.66705552038911253</v>
      </c>
      <c r="BM58" s="39">
        <f t="shared" si="83"/>
        <v>0.7576881802606088</v>
      </c>
      <c r="BN58" s="39">
        <f t="shared" si="84"/>
        <v>0.79757953062268083</v>
      </c>
      <c r="BO58" s="39">
        <f t="shared" si="85"/>
        <v>0.8464656657701225</v>
      </c>
      <c r="BP58" s="39">
        <f t="shared" si="86"/>
        <v>0.90538410691950244</v>
      </c>
      <c r="BQ58" s="39">
        <f t="shared" si="87"/>
        <v>0.93527816211899206</v>
      </c>
      <c r="BR58" s="39">
        <f t="shared" si="88"/>
        <v>1</v>
      </c>
      <c r="BS58" s="61"/>
      <c r="BT58" s="39">
        <f t="shared" si="89"/>
        <v>0.17869115486291451</v>
      </c>
      <c r="BU58" s="39">
        <f t="shared" si="90"/>
        <v>0.3004501565549747</v>
      </c>
      <c r="BV58" s="39">
        <f t="shared" si="91"/>
        <v>0.39286676922637986</v>
      </c>
      <c r="BW58" s="39">
        <f t="shared" si="92"/>
        <v>0.45330617427993597</v>
      </c>
      <c r="BX58" s="39">
        <f t="shared" si="93"/>
        <v>0.5692261797057403</v>
      </c>
      <c r="BY58" s="39">
        <f t="shared" si="94"/>
        <v>0.6232952701152058</v>
      </c>
      <c r="BZ58" s="39">
        <f t="shared" si="95"/>
        <v>0.70865132976001077</v>
      </c>
      <c r="CA58" s="39">
        <f t="shared" si="96"/>
        <v>0.77396294686240596</v>
      </c>
      <c r="CB58" s="39">
        <f t="shared" si="97"/>
        <v>0.84851695100834112</v>
      </c>
      <c r="CC58" s="39">
        <f t="shared" si="98"/>
        <v>0.89831922699307576</v>
      </c>
      <c r="CD58" s="39">
        <f t="shared" si="99"/>
        <v>0.94120735656969035</v>
      </c>
      <c r="CE58" s="39">
        <f t="shared" si="100"/>
        <v>1</v>
      </c>
      <c r="CG58" s="39">
        <f t="shared" si="124"/>
        <v>0.15438678462702135</v>
      </c>
      <c r="CH58" s="39">
        <f t="shared" si="101"/>
        <v>0.27866236780944925</v>
      </c>
      <c r="CI58" s="39">
        <f t="shared" si="102"/>
        <v>0.39184063211704134</v>
      </c>
      <c r="CJ58" s="39">
        <f t="shared" si="103"/>
        <v>0.46900905956628997</v>
      </c>
      <c r="CK58" s="39">
        <f t="shared" si="104"/>
        <v>0.57040620247283347</v>
      </c>
      <c r="CL58" s="39">
        <f t="shared" si="105"/>
        <v>0.65044963432971026</v>
      </c>
      <c r="CM58" s="39">
        <f t="shared" si="106"/>
        <v>0.73444661137979639</v>
      </c>
      <c r="CN58" s="39">
        <f t="shared" si="107"/>
        <v>0.79092262969664173</v>
      </c>
      <c r="CO58" s="39">
        <f t="shared" si="108"/>
        <v>0.85096370491887374</v>
      </c>
      <c r="CP58" s="39">
        <f t="shared" si="109"/>
        <v>0.90496062609666128</v>
      </c>
      <c r="CQ58" s="39">
        <f t="shared" si="110"/>
        <v>0.94331069905191889</v>
      </c>
      <c r="CR58" s="39">
        <f t="shared" si="111"/>
        <v>1</v>
      </c>
    </row>
    <row r="59" spans="1:96">
      <c r="A59" s="193" t="s">
        <v>113</v>
      </c>
      <c r="B59" s="34">
        <v>8761.1299999999992</v>
      </c>
      <c r="C59" s="34">
        <v>6819.12</v>
      </c>
      <c r="D59" s="34">
        <v>3679.21</v>
      </c>
      <c r="E59" s="34">
        <v>6139.87</v>
      </c>
      <c r="F59" s="34">
        <v>9741.16</v>
      </c>
      <c r="G59" s="34">
        <v>11093.12</v>
      </c>
      <c r="H59" s="34">
        <v>12411.69</v>
      </c>
      <c r="I59" s="34">
        <v>32043.65</v>
      </c>
      <c r="J59" s="34">
        <v>6097.83</v>
      </c>
      <c r="K59" s="34">
        <v>8461.86</v>
      </c>
      <c r="L59" s="34">
        <v>5386.65</v>
      </c>
      <c r="M59" s="34">
        <v>4266.22</v>
      </c>
      <c r="N59" s="68">
        <f t="shared" si="76"/>
        <v>114901.51000000001</v>
      </c>
      <c r="P59" s="85" t="s">
        <v>113</v>
      </c>
      <c r="Q59" s="34">
        <v>3514.86</v>
      </c>
      <c r="R59" s="34">
        <v>2809.6199999999985</v>
      </c>
      <c r="S59" s="34">
        <v>2474.4600000000023</v>
      </c>
      <c r="T59" s="34">
        <v>3661.6000000000008</v>
      </c>
      <c r="U59" s="34">
        <v>2256.91</v>
      </c>
      <c r="V59" s="34">
        <v>4043.67</v>
      </c>
      <c r="W59" s="34">
        <v>3442.8999999999996</v>
      </c>
      <c r="X59" s="34">
        <v>3029.62</v>
      </c>
      <c r="Y59" s="34">
        <v>2505.21</v>
      </c>
      <c r="Z59" s="34">
        <v>3365.16</v>
      </c>
      <c r="AA59" s="34">
        <v>3609.36</v>
      </c>
      <c r="AB59" s="34">
        <v>3466.34</v>
      </c>
      <c r="AC59" s="68">
        <f t="shared" si="1"/>
        <v>38179.710000000006</v>
      </c>
      <c r="AE59" s="85" t="s">
        <v>113</v>
      </c>
      <c r="AF59" s="34">
        <v>4408.8099999999986</v>
      </c>
      <c r="AG59" s="34">
        <v>3108.8999999999987</v>
      </c>
      <c r="AH59" s="34">
        <v>2397.4600000000005</v>
      </c>
      <c r="AI59" s="34">
        <v>1141.690000000001</v>
      </c>
      <c r="AJ59" s="34">
        <v>1565.87</v>
      </c>
      <c r="AK59" s="34">
        <v>2051.8399999999983</v>
      </c>
      <c r="AL59" s="34">
        <v>1946.5599999999997</v>
      </c>
      <c r="AM59" s="34">
        <v>3441.42</v>
      </c>
      <c r="AN59" s="34">
        <v>939.18000000000052</v>
      </c>
      <c r="AO59" s="34">
        <v>2342.19</v>
      </c>
      <c r="AP59" s="34">
        <v>2376.3599999999997</v>
      </c>
      <c r="AQ59" s="34">
        <v>1371.3999999999999</v>
      </c>
      <c r="AR59" s="68">
        <f t="shared" si="27"/>
        <v>27091.679999999997</v>
      </c>
      <c r="AT59" s="39">
        <f t="shared" si="112"/>
        <v>7.6249041461683126E-2</v>
      </c>
      <c r="AU59" s="39">
        <f t="shared" si="113"/>
        <v>0.13559656439676032</v>
      </c>
      <c r="AV59" s="39">
        <f t="shared" si="114"/>
        <v>0.1676171183477049</v>
      </c>
      <c r="AW59" s="39">
        <f t="shared" si="115"/>
        <v>0.22105305665695774</v>
      </c>
      <c r="AX59" s="39">
        <f t="shared" si="116"/>
        <v>0.30583140291193733</v>
      </c>
      <c r="AY59" s="39">
        <f t="shared" si="117"/>
        <v>0.40237600010652597</v>
      </c>
      <c r="AZ59" s="39">
        <f t="shared" si="118"/>
        <v>0.51039625153751245</v>
      </c>
      <c r="BA59" s="39">
        <f t="shared" si="119"/>
        <v>0.78927552823283176</v>
      </c>
      <c r="BB59" s="39">
        <f t="shared" si="120"/>
        <v>0.84234558797356107</v>
      </c>
      <c r="BC59" s="39">
        <f t="shared" si="121"/>
        <v>0.91599005095755492</v>
      </c>
      <c r="BD59" s="39">
        <f t="shared" si="122"/>
        <v>0.96287063590374056</v>
      </c>
      <c r="BE59" s="39">
        <f t="shared" si="123"/>
        <v>1</v>
      </c>
      <c r="BG59" s="39">
        <f t="shared" si="77"/>
        <v>9.2060940221913676E-2</v>
      </c>
      <c r="BH59" s="39">
        <f t="shared" si="78"/>
        <v>0.16565028911953489</v>
      </c>
      <c r="BI59" s="39">
        <f t="shared" si="79"/>
        <v>0.23046115331939396</v>
      </c>
      <c r="BJ59" s="39">
        <f t="shared" si="80"/>
        <v>0.32636549622823219</v>
      </c>
      <c r="BK59" s="39">
        <f t="shared" si="81"/>
        <v>0.38547830771894281</v>
      </c>
      <c r="BL59" s="39">
        <f t="shared" si="82"/>
        <v>0.49138979840339281</v>
      </c>
      <c r="BM59" s="39">
        <f t="shared" si="83"/>
        <v>0.58156596789237003</v>
      </c>
      <c r="BN59" s="39">
        <f t="shared" si="84"/>
        <v>0.66091753970891864</v>
      </c>
      <c r="BO59" s="39">
        <f t="shared" si="85"/>
        <v>0.72653380552130953</v>
      </c>
      <c r="BP59" s="39">
        <f t="shared" si="86"/>
        <v>0.81467381496611668</v>
      </c>
      <c r="BQ59" s="39">
        <f t="shared" si="87"/>
        <v>0.90920989185093326</v>
      </c>
      <c r="BR59" s="39">
        <f t="shared" si="88"/>
        <v>1</v>
      </c>
      <c r="BS59" s="61"/>
      <c r="BT59" s="39">
        <f t="shared" si="89"/>
        <v>0.16273667782876511</v>
      </c>
      <c r="BU59" s="39">
        <f t="shared" si="90"/>
        <v>0.27749146601465829</v>
      </c>
      <c r="BV59" s="39">
        <f t="shared" si="91"/>
        <v>0.36598579342440185</v>
      </c>
      <c r="BW59" s="39">
        <f t="shared" si="92"/>
        <v>0.40812751368685884</v>
      </c>
      <c r="BX59" s="39">
        <f t="shared" si="93"/>
        <v>0.4659264394087041</v>
      </c>
      <c r="BY59" s="39">
        <f t="shared" si="94"/>
        <v>0.54166334461354926</v>
      </c>
      <c r="BZ59" s="39">
        <f t="shared" si="95"/>
        <v>0.61351418590504536</v>
      </c>
      <c r="CA59" s="39">
        <f t="shared" si="96"/>
        <v>0.74054285300874656</v>
      </c>
      <c r="CB59" s="39">
        <f t="shared" si="97"/>
        <v>0.77520958464000755</v>
      </c>
      <c r="CC59" s="39">
        <f t="shared" si="98"/>
        <v>0.86166380231864537</v>
      </c>
      <c r="CD59" s="39">
        <f t="shared" si="99"/>
        <v>0.94937929283086164</v>
      </c>
      <c r="CE59" s="39">
        <f t="shared" si="100"/>
        <v>1</v>
      </c>
      <c r="CG59" s="39">
        <f t="shared" si="124"/>
        <v>0.11034888650412063</v>
      </c>
      <c r="CH59" s="39">
        <f t="shared" si="101"/>
        <v>0.19291277317698449</v>
      </c>
      <c r="CI59" s="39">
        <f t="shared" si="102"/>
        <v>0.25468802169716692</v>
      </c>
      <c r="CJ59" s="39">
        <f t="shared" si="103"/>
        <v>0.31851535552401627</v>
      </c>
      <c r="CK59" s="39">
        <f t="shared" si="104"/>
        <v>0.38574538334652808</v>
      </c>
      <c r="CL59" s="39">
        <f t="shared" si="105"/>
        <v>0.47847638104115603</v>
      </c>
      <c r="CM59" s="39">
        <f t="shared" si="106"/>
        <v>0.56849213511164265</v>
      </c>
      <c r="CN59" s="39">
        <f t="shared" si="107"/>
        <v>0.7302453069834991</v>
      </c>
      <c r="CO59" s="39">
        <f t="shared" si="108"/>
        <v>0.78136299271162601</v>
      </c>
      <c r="CP59" s="39">
        <f t="shared" si="109"/>
        <v>0.86410922274743907</v>
      </c>
      <c r="CQ59" s="39">
        <f t="shared" si="110"/>
        <v>0.94048660686184515</v>
      </c>
      <c r="CR59" s="39">
        <f t="shared" si="111"/>
        <v>1</v>
      </c>
    </row>
    <row r="60" spans="1:96">
      <c r="A60" s="193" t="s">
        <v>241</v>
      </c>
      <c r="N60" s="63">
        <f>SUM(B60:M60)</f>
        <v>0</v>
      </c>
      <c r="P60" s="176" t="s">
        <v>241</v>
      </c>
      <c r="AC60" s="63">
        <f t="shared" si="1"/>
        <v>0</v>
      </c>
      <c r="AR60" s="63">
        <f t="shared" si="27"/>
        <v>0</v>
      </c>
      <c r="AT60" s="61">
        <f>AVERAGE(AT33:AT59)</f>
        <v>0.12109317869969558</v>
      </c>
      <c r="AU60" s="61">
        <f t="shared" ref="AU60:BE60" si="125">AVERAGE(AU33:AU59)</f>
        <v>0.2263424844158117</v>
      </c>
      <c r="AV60" s="61">
        <f t="shared" si="125"/>
        <v>0.30617093035984061</v>
      </c>
      <c r="AW60" s="61">
        <f t="shared" si="125"/>
        <v>0.38885372706387317</v>
      </c>
      <c r="AX60" s="61">
        <f t="shared" si="125"/>
        <v>0.46963632611480549</v>
      </c>
      <c r="AY60" s="61">
        <f t="shared" si="125"/>
        <v>0.53975543761206191</v>
      </c>
      <c r="AZ60" s="61">
        <f t="shared" si="125"/>
        <v>0.62373240065969504</v>
      </c>
      <c r="BA60" s="61">
        <f t="shared" si="125"/>
        <v>0.71093213442086722</v>
      </c>
      <c r="BB60" s="61">
        <f t="shared" si="125"/>
        <v>0.77270773976799256</v>
      </c>
      <c r="BC60" s="61">
        <f t="shared" si="125"/>
        <v>0.85120188806461783</v>
      </c>
      <c r="BD60" s="61">
        <f t="shared" si="125"/>
        <v>0.91741769828213771</v>
      </c>
      <c r="BE60" s="61">
        <f t="shared" si="125"/>
        <v>1</v>
      </c>
      <c r="BG60" s="61">
        <f>AVERAGE(BG33:BG59)</f>
        <v>0.15477168578949405</v>
      </c>
      <c r="BH60" s="61">
        <f t="shared" ref="BH60" si="126">AVERAGE(BH33:BH59)</f>
        <v>0.27014174963424864</v>
      </c>
      <c r="BI60" s="61">
        <f t="shared" ref="BI60" si="127">AVERAGE(BI33:BI59)</f>
        <v>0.37613570754962999</v>
      </c>
      <c r="BJ60" s="61">
        <f t="shared" ref="BJ60" si="128">AVERAGE(BJ33:BJ59)</f>
        <v>0.46585481669351886</v>
      </c>
      <c r="BK60" s="61">
        <f t="shared" ref="BK60" si="129">AVERAGE(BK33:BK59)</f>
        <v>0.5443232757121399</v>
      </c>
      <c r="BL60" s="61">
        <f t="shared" ref="BL60" si="130">AVERAGE(BL33:BL59)</f>
        <v>0.61257748300384796</v>
      </c>
      <c r="BM60" s="61">
        <f t="shared" ref="BM60" si="131">AVERAGE(BM33:BM59)</f>
        <v>0.69067681429619321</v>
      </c>
      <c r="BN60" s="61">
        <f t="shared" ref="BN60" si="132">AVERAGE(BN33:BN59)</f>
        <v>0.76026520920656759</v>
      </c>
      <c r="BO60" s="61">
        <f t="shared" ref="BO60" si="133">AVERAGE(BO33:BO59)</f>
        <v>0.8116873698735404</v>
      </c>
      <c r="BP60" s="61">
        <f t="shared" ref="BP60" si="134">AVERAGE(BP33:BP59)</f>
        <v>0.87605548287198065</v>
      </c>
      <c r="BQ60" s="61">
        <f t="shared" ref="BQ60" si="135">AVERAGE(BQ33:BQ59)</f>
        <v>0.93304916270667293</v>
      </c>
      <c r="BR60" s="61">
        <f t="shared" ref="BR60" si="136">AVERAGE(BR33:BR59)</f>
        <v>1</v>
      </c>
      <c r="BS60" s="61"/>
      <c r="BT60" s="61">
        <f>AVERAGE(BT33:BT59)</f>
        <v>0.13974535510826003</v>
      </c>
      <c r="BU60" s="61">
        <f t="shared" ref="BU60" si="137">AVERAGE(BU33:BU59)</f>
        <v>0.25070744318066035</v>
      </c>
      <c r="BV60" s="61">
        <f t="shared" ref="BV60" si="138">AVERAGE(BV33:BV59)</f>
        <v>0.35084318512163293</v>
      </c>
      <c r="BW60" s="61">
        <f t="shared" ref="BW60" si="139">AVERAGE(BW33:BW59)</f>
        <v>0.42009091619607336</v>
      </c>
      <c r="BX60" s="61">
        <f t="shared" ref="BX60" si="140">AVERAGE(BX33:BX59)</f>
        <v>0.50396181188894085</v>
      </c>
      <c r="BY60" s="61">
        <f t="shared" ref="BY60" si="141">AVERAGE(BY33:BY59)</f>
        <v>0.58285343055312133</v>
      </c>
      <c r="BZ60" s="61">
        <f t="shared" ref="BZ60" si="142">AVERAGE(BZ33:BZ59)</f>
        <v>0.6559626364772434</v>
      </c>
      <c r="CA60" s="61">
        <f t="shared" ref="CA60" si="143">AVERAGE(CA33:CA59)</f>
        <v>0.73425532967488494</v>
      </c>
      <c r="CB60" s="61">
        <f t="shared" ref="CB60" si="144">AVERAGE(CB33:CB59)</f>
        <v>0.80252269590159975</v>
      </c>
      <c r="CC60" s="61">
        <f t="shared" ref="CC60" si="145">AVERAGE(CC33:CC59)</f>
        <v>0.86805770672552895</v>
      </c>
      <c r="CD60" s="61">
        <f t="shared" ref="CD60" si="146">AVERAGE(CD33:CD59)</f>
        <v>0.94167847109822622</v>
      </c>
      <c r="CE60" s="61">
        <f t="shared" ref="CE60" si="147">AVERAGE(CE33:CE59)</f>
        <v>1</v>
      </c>
      <c r="CG60" s="61">
        <f>AVERAGE(CG33:CG59)</f>
        <v>0.13853673986581652</v>
      </c>
      <c r="CH60" s="61">
        <f t="shared" ref="CH60" si="148">AVERAGE(CH33:CH59)</f>
        <v>0.24906389241024024</v>
      </c>
      <c r="CI60" s="61">
        <f t="shared" ref="CI60" si="149">AVERAGE(CI33:CI59)</f>
        <v>0.34438327434370114</v>
      </c>
      <c r="CJ60" s="61">
        <f t="shared" ref="CJ60" si="150">AVERAGE(CJ33:CJ59)</f>
        <v>0.42493315331782183</v>
      </c>
      <c r="CK60" s="61">
        <f t="shared" ref="CK60" si="151">AVERAGE(CK33:CK59)</f>
        <v>0.50597380457196206</v>
      </c>
      <c r="CL60" s="61">
        <f t="shared" ref="CL60" si="152">AVERAGE(CL33:CL59)</f>
        <v>0.57839545038967732</v>
      </c>
      <c r="CM60" s="61">
        <f t="shared" ref="CM60" si="153">AVERAGE(CM33:CM59)</f>
        <v>0.65679061714437725</v>
      </c>
      <c r="CN60" s="61">
        <f t="shared" ref="CN60" si="154">AVERAGE(CN33:CN59)</f>
        <v>0.73515089110077325</v>
      </c>
      <c r="CO60" s="61">
        <f t="shared" ref="CO60" si="155">AVERAGE(CO33:CO59)</f>
        <v>0.79563926851437761</v>
      </c>
      <c r="CP60" s="61">
        <f t="shared" ref="CP60" si="156">AVERAGE(CP33:CP59)</f>
        <v>0.86510502588737581</v>
      </c>
      <c r="CQ60" s="61">
        <f t="shared" ref="CQ60" si="157">AVERAGE(CQ33:CQ59)</f>
        <v>0.93071511069567892</v>
      </c>
      <c r="CR60" s="61">
        <f t="shared" ref="CR60" si="158">AVERAGE(CR33:CR59)</f>
        <v>1</v>
      </c>
    </row>
    <row r="61" spans="1:96">
      <c r="B61" s="1255" t="s">
        <v>426</v>
      </c>
      <c r="C61" s="1255"/>
      <c r="D61" s="1255"/>
      <c r="E61" s="1255"/>
      <c r="F61" s="1255"/>
      <c r="G61" s="1255"/>
      <c r="H61" s="1255"/>
      <c r="I61" s="1255"/>
      <c r="J61" s="1255"/>
      <c r="K61" s="1255"/>
      <c r="L61" s="1255"/>
      <c r="M61" s="1255"/>
      <c r="N61" s="1255">
        <f t="shared" si="76"/>
        <v>0</v>
      </c>
      <c r="Q61" s="1255" t="s">
        <v>188</v>
      </c>
      <c r="R61" s="1255"/>
      <c r="S61" s="1255"/>
      <c r="T61" s="1255"/>
      <c r="U61" s="1255"/>
      <c r="V61" s="1255"/>
      <c r="W61" s="1255"/>
      <c r="X61" s="1255"/>
      <c r="Y61" s="1255"/>
      <c r="Z61" s="1255"/>
      <c r="AA61" s="1255"/>
      <c r="AB61" s="1255"/>
      <c r="AC61" s="1255">
        <f t="shared" si="1"/>
        <v>0</v>
      </c>
      <c r="AF61" s="1255" t="s">
        <v>170</v>
      </c>
      <c r="AG61" s="1255"/>
      <c r="AH61" s="1255"/>
      <c r="AI61" s="1255"/>
      <c r="AJ61" s="1255"/>
      <c r="AK61" s="1255"/>
      <c r="AL61" s="1255"/>
      <c r="AM61" s="1255"/>
      <c r="AN61" s="1255"/>
      <c r="AO61" s="1255"/>
      <c r="AP61" s="1255"/>
      <c r="AQ61" s="1255"/>
      <c r="AR61" s="1255">
        <f t="shared" si="27"/>
        <v>0</v>
      </c>
      <c r="AT61" s="1256" t="s">
        <v>427</v>
      </c>
      <c r="AU61" s="1256"/>
      <c r="AV61" s="1256"/>
      <c r="AW61" s="1256"/>
      <c r="AX61" s="1256"/>
      <c r="AY61" s="1256"/>
      <c r="AZ61" s="1256"/>
      <c r="BA61" s="1256"/>
      <c r="BB61" s="1256"/>
      <c r="BC61" s="1256"/>
      <c r="BD61" s="1256"/>
      <c r="BE61" s="1256"/>
      <c r="BG61" s="1256" t="s">
        <v>144</v>
      </c>
      <c r="BH61" s="1256"/>
      <c r="BI61" s="1256"/>
      <c r="BJ61" s="1256"/>
      <c r="BK61" s="1256"/>
      <c r="BL61" s="1256"/>
      <c r="BM61" s="1256"/>
      <c r="BN61" s="1256"/>
      <c r="BO61" s="1256"/>
      <c r="BP61" s="1256"/>
      <c r="BQ61" s="1256"/>
      <c r="BR61" s="1256"/>
      <c r="BS61" s="61"/>
      <c r="BT61" s="1256" t="s">
        <v>145</v>
      </c>
      <c r="BU61" s="1256"/>
      <c r="BV61" s="1256"/>
      <c r="BW61" s="1256"/>
      <c r="BX61" s="1256"/>
      <c r="BY61" s="1256"/>
      <c r="BZ61" s="1256"/>
      <c r="CA61" s="1256"/>
      <c r="CB61" s="1256"/>
      <c r="CC61" s="1256"/>
      <c r="CD61" s="1256"/>
      <c r="CE61" s="1256"/>
      <c r="CG61" s="1256" t="s">
        <v>430</v>
      </c>
      <c r="CH61" s="1256"/>
      <c r="CI61" s="1256"/>
      <c r="CJ61" s="1256"/>
      <c r="CK61" s="1256"/>
      <c r="CL61" s="1256"/>
      <c r="CM61" s="1256"/>
      <c r="CN61" s="1256"/>
      <c r="CO61" s="1256"/>
      <c r="CP61" s="1256"/>
      <c r="CQ61" s="1256"/>
      <c r="CR61" s="1256"/>
    </row>
    <row r="62" spans="1:96">
      <c r="B62" s="193" t="s">
        <v>130</v>
      </c>
      <c r="C62" s="193" t="s">
        <v>146</v>
      </c>
      <c r="D62" s="193" t="s">
        <v>147</v>
      </c>
      <c r="E62" s="193" t="s">
        <v>148</v>
      </c>
      <c r="F62" s="193" t="s">
        <v>149</v>
      </c>
      <c r="G62" s="193" t="s">
        <v>150</v>
      </c>
      <c r="H62" s="193" t="s">
        <v>151</v>
      </c>
      <c r="I62" s="193" t="s">
        <v>152</v>
      </c>
      <c r="J62" s="193" t="s">
        <v>153</v>
      </c>
      <c r="K62" s="193" t="s">
        <v>154</v>
      </c>
      <c r="L62" s="193" t="s">
        <v>155</v>
      </c>
      <c r="M62" s="193" t="s">
        <v>156</v>
      </c>
      <c r="N62" s="193" t="s">
        <v>128</v>
      </c>
      <c r="Q62" s="85" t="s">
        <v>130</v>
      </c>
      <c r="R62" s="85" t="s">
        <v>146</v>
      </c>
      <c r="S62" s="85" t="s">
        <v>147</v>
      </c>
      <c r="T62" s="85" t="s">
        <v>148</v>
      </c>
      <c r="U62" s="85" t="s">
        <v>149</v>
      </c>
      <c r="V62" s="85" t="s">
        <v>150</v>
      </c>
      <c r="W62" s="85" t="s">
        <v>151</v>
      </c>
      <c r="X62" s="85" t="s">
        <v>152</v>
      </c>
      <c r="Y62" s="85" t="s">
        <v>153</v>
      </c>
      <c r="Z62" s="85" t="s">
        <v>154</v>
      </c>
      <c r="AA62" s="85" t="s">
        <v>155</v>
      </c>
      <c r="AB62" s="85" t="s">
        <v>156</v>
      </c>
      <c r="AC62" s="85" t="s">
        <v>128</v>
      </c>
      <c r="AF62" s="85" t="s">
        <v>130</v>
      </c>
      <c r="AG62" s="85" t="s">
        <v>146</v>
      </c>
      <c r="AH62" s="85" t="s">
        <v>147</v>
      </c>
      <c r="AI62" s="85" t="s">
        <v>148</v>
      </c>
      <c r="AJ62" s="85" t="s">
        <v>149</v>
      </c>
      <c r="AK62" s="85" t="s">
        <v>150</v>
      </c>
      <c r="AL62" s="85" t="s">
        <v>151</v>
      </c>
      <c r="AM62" s="85" t="s">
        <v>152</v>
      </c>
      <c r="AN62" s="85" t="s">
        <v>153</v>
      </c>
      <c r="AO62" s="85" t="s">
        <v>154</v>
      </c>
      <c r="AP62" s="85" t="s">
        <v>155</v>
      </c>
      <c r="AQ62" s="85" t="s">
        <v>156</v>
      </c>
      <c r="AR62" s="85">
        <f t="shared" si="27"/>
        <v>0</v>
      </c>
      <c r="AT62" s="195" t="s">
        <v>157</v>
      </c>
      <c r="AU62" s="195" t="s">
        <v>158</v>
      </c>
      <c r="AV62" s="195" t="s">
        <v>159</v>
      </c>
      <c r="AW62" s="195" t="s">
        <v>160</v>
      </c>
      <c r="AX62" s="195" t="s">
        <v>161</v>
      </c>
      <c r="AY62" s="195" t="s">
        <v>162</v>
      </c>
      <c r="AZ62" s="195" t="s">
        <v>163</v>
      </c>
      <c r="BA62" s="195" t="s">
        <v>164</v>
      </c>
      <c r="BB62" s="195" t="s">
        <v>165</v>
      </c>
      <c r="BC62" s="195" t="s">
        <v>166</v>
      </c>
      <c r="BD62" s="195" t="s">
        <v>167</v>
      </c>
      <c r="BE62" s="195" t="s">
        <v>168</v>
      </c>
      <c r="BG62" s="85" t="s">
        <v>157</v>
      </c>
      <c r="BH62" s="85" t="s">
        <v>158</v>
      </c>
      <c r="BI62" s="85" t="s">
        <v>159</v>
      </c>
      <c r="BJ62" s="85" t="s">
        <v>160</v>
      </c>
      <c r="BK62" s="85" t="s">
        <v>161</v>
      </c>
      <c r="BL62" s="85" t="s">
        <v>162</v>
      </c>
      <c r="BM62" s="85" t="s">
        <v>163</v>
      </c>
      <c r="BN62" s="85" t="s">
        <v>164</v>
      </c>
      <c r="BO62" s="85" t="s">
        <v>165</v>
      </c>
      <c r="BP62" s="85" t="s">
        <v>166</v>
      </c>
      <c r="BQ62" s="85" t="s">
        <v>167</v>
      </c>
      <c r="BR62" s="85" t="s">
        <v>168</v>
      </c>
      <c r="BS62" s="61"/>
      <c r="BT62" s="85" t="s">
        <v>157</v>
      </c>
      <c r="BU62" s="85" t="s">
        <v>158</v>
      </c>
      <c r="BV62" s="85" t="s">
        <v>190</v>
      </c>
      <c r="BW62" s="85" t="s">
        <v>191</v>
      </c>
      <c r="BX62" s="85" t="s">
        <v>192</v>
      </c>
      <c r="BY62" s="85" t="s">
        <v>162</v>
      </c>
      <c r="BZ62" s="85" t="s">
        <v>163</v>
      </c>
      <c r="CA62" s="85" t="s">
        <v>164</v>
      </c>
      <c r="CB62" s="85" t="s">
        <v>165</v>
      </c>
      <c r="CC62" s="85" t="s">
        <v>166</v>
      </c>
      <c r="CD62" s="85" t="s">
        <v>167</v>
      </c>
      <c r="CE62" s="85" t="s">
        <v>168</v>
      </c>
      <c r="CG62" s="85" t="s">
        <v>157</v>
      </c>
      <c r="CH62" s="85" t="s">
        <v>158</v>
      </c>
      <c r="CI62" s="85" t="s">
        <v>190</v>
      </c>
      <c r="CJ62" s="85" t="s">
        <v>191</v>
      </c>
      <c r="CK62" s="85" t="s">
        <v>192</v>
      </c>
      <c r="CL62" s="85" t="s">
        <v>162</v>
      </c>
      <c r="CM62" s="85" t="s">
        <v>163</v>
      </c>
      <c r="CN62" s="85" t="s">
        <v>164</v>
      </c>
      <c r="CO62" s="85" t="s">
        <v>165</v>
      </c>
      <c r="CP62" s="85" t="s">
        <v>166</v>
      </c>
      <c r="CQ62" s="85" t="s">
        <v>167</v>
      </c>
      <c r="CR62" s="85" t="s">
        <v>168</v>
      </c>
    </row>
    <row r="63" spans="1:96">
      <c r="A63" s="193" t="s">
        <v>87</v>
      </c>
      <c r="B63" s="34">
        <v>3095.56</v>
      </c>
      <c r="C63" s="34">
        <v>3012.66</v>
      </c>
      <c r="D63" s="34">
        <v>2143.58</v>
      </c>
      <c r="E63" s="34">
        <v>2169.6799999999998</v>
      </c>
      <c r="F63" s="34">
        <v>3187.71</v>
      </c>
      <c r="G63" s="34">
        <v>3989.25</v>
      </c>
      <c r="H63" s="34">
        <v>1019.24</v>
      </c>
      <c r="I63" s="34">
        <v>1520.17</v>
      </c>
      <c r="J63" s="34">
        <v>684.83</v>
      </c>
      <c r="K63" s="34">
        <v>534.37</v>
      </c>
      <c r="L63" s="34">
        <v>1354.3</v>
      </c>
      <c r="M63" s="34">
        <v>1271.3900000000001</v>
      </c>
      <c r="N63" s="68">
        <f t="shared" ref="N63:N66" si="159">SUM(B63:M63)</f>
        <v>23982.739999999998</v>
      </c>
      <c r="P63" s="85" t="s">
        <v>87</v>
      </c>
      <c r="Q63" s="34">
        <v>1547.96</v>
      </c>
      <c r="R63" s="34">
        <v>2882.39</v>
      </c>
      <c r="S63" s="34">
        <v>2188.4899999999998</v>
      </c>
      <c r="T63" s="34">
        <v>3349.49</v>
      </c>
      <c r="U63" s="34">
        <v>2571.0500000000002</v>
      </c>
      <c r="V63" s="34">
        <v>1583.57</v>
      </c>
      <c r="W63" s="34">
        <v>1211.68</v>
      </c>
      <c r="X63" s="34">
        <v>1254.3699999999999</v>
      </c>
      <c r="Y63" s="34">
        <v>832.71</v>
      </c>
      <c r="Z63" s="34">
        <v>1138.75</v>
      </c>
      <c r="AA63" s="34">
        <v>384.32</v>
      </c>
      <c r="AB63" s="34">
        <v>1263.27</v>
      </c>
      <c r="AC63" s="68">
        <f t="shared" si="1"/>
        <v>20208.05</v>
      </c>
      <c r="AE63" s="85" t="s">
        <v>87</v>
      </c>
      <c r="AF63" s="34">
        <v>2530.73</v>
      </c>
      <c r="AG63" s="34">
        <v>2963.8</v>
      </c>
      <c r="AH63" s="34">
        <v>1519.52</v>
      </c>
      <c r="AI63" s="34">
        <v>1151.92</v>
      </c>
      <c r="AJ63" s="34">
        <v>2460.9499999999998</v>
      </c>
      <c r="AK63" s="34">
        <v>1583.8700000000001</v>
      </c>
      <c r="AL63" s="34">
        <v>910.19</v>
      </c>
      <c r="AM63" s="34">
        <v>1677.27</v>
      </c>
      <c r="AN63" s="34">
        <v>907.57</v>
      </c>
      <c r="AO63" s="34">
        <v>314.15999999999997</v>
      </c>
      <c r="AP63" s="34">
        <v>628.32000000000005</v>
      </c>
      <c r="AQ63" s="34">
        <v>1850.06</v>
      </c>
      <c r="AR63" s="68">
        <f t="shared" si="27"/>
        <v>18498.360000000004</v>
      </c>
      <c r="AT63" s="39">
        <f>B63/$N63</f>
        <v>0.12907449273936172</v>
      </c>
      <c r="AU63" s="39">
        <f>SUM(B63:C63)/$N63</f>
        <v>0.2546923329027459</v>
      </c>
      <c r="AV63" s="39">
        <f>SUM(B63:D63)/$N63</f>
        <v>0.34407244543367438</v>
      </c>
      <c r="AW63" s="39">
        <f>SUM(B63:E63)/$N63</f>
        <v>0.43454084062121345</v>
      </c>
      <c r="AX63" s="39">
        <f>SUM(B63:F63)/$N63</f>
        <v>0.56745767998152008</v>
      </c>
      <c r="AY63" s="39">
        <f>SUM(B63:G63)/$N63</f>
        <v>0.73379605499621814</v>
      </c>
      <c r="AZ63" s="39">
        <f>SUM(B63:H63)/$N63</f>
        <v>0.77629495211973287</v>
      </c>
      <c r="BA63" s="39">
        <f>SUM(B63:I63)/$N63</f>
        <v>0.83968095388600306</v>
      </c>
      <c r="BB63" s="39">
        <f>SUM(B63:J63)/$N63</f>
        <v>0.86823607310924444</v>
      </c>
      <c r="BC63" s="39">
        <f>SUM(B63:K63)/$N63</f>
        <v>0.89051751384537381</v>
      </c>
      <c r="BD63" s="39">
        <f>SUM(B63:L63)/$N63</f>
        <v>0.94698729169394325</v>
      </c>
      <c r="BE63" s="39">
        <f>SUM(B63:M63)/$N63</f>
        <v>1</v>
      </c>
      <c r="BG63" s="39">
        <f t="shared" ref="BG63:BG89" si="160">Q63/AC63</f>
        <v>7.660115646982267E-2</v>
      </c>
      <c r="BH63" s="39">
        <f t="shared" ref="BH63:BH89" si="161">SUM(Q63:R63)/$AC63</f>
        <v>0.21923688826977369</v>
      </c>
      <c r="BI63" s="39">
        <f t="shared" ref="BI63:BI89" si="162">SUM(Q63:S63)/$AC63</f>
        <v>0.32753481904488557</v>
      </c>
      <c r="BJ63" s="39">
        <f t="shared" ref="BJ63:BJ89" si="163">SUM(Q63:T63)/$AC63</f>
        <v>0.49328510172926138</v>
      </c>
      <c r="BK63" s="39">
        <f t="shared" ref="BK63:BK89" si="164">SUM(Q63:U63)/$AC63</f>
        <v>0.62051410205338964</v>
      </c>
      <c r="BL63" s="39">
        <f t="shared" ref="BL63:BL89" si="165">SUM(Q63:V63)/$AC63</f>
        <v>0.69887742755980919</v>
      </c>
      <c r="BM63" s="39">
        <f t="shared" ref="BM63:BM89" si="166">SUM(Q63:W63)/$AC63</f>
        <v>0.7588376909202027</v>
      </c>
      <c r="BN63" s="39">
        <f t="shared" ref="BN63:BN89" si="167">SUM(Q63:X63)/$AC63</f>
        <v>0.82091047874485668</v>
      </c>
      <c r="BO63" s="39">
        <f t="shared" ref="BO63:BO89" si="168">SUM(Q63:Y63)/$AC63</f>
        <v>0.86211732453156042</v>
      </c>
      <c r="BP63" s="39">
        <f t="shared" ref="BP63:BP89" si="169">SUM(Q63:Z63)/$AC63</f>
        <v>0.91846863007563817</v>
      </c>
      <c r="BQ63" s="39">
        <f t="shared" ref="BQ63:BQ89" si="170">SUM(Q63:AA63)/$AC63</f>
        <v>0.93748679362927145</v>
      </c>
      <c r="BR63" s="39">
        <f t="shared" ref="BR63:BR89" si="171">SUM(Q63:AB63)/$AC63</f>
        <v>1</v>
      </c>
      <c r="BS63" s="61"/>
      <c r="BT63" s="39">
        <f t="shared" ref="BT63:BT89" si="172">AF63/AR63</f>
        <v>0.13680834409104373</v>
      </c>
      <c r="BU63" s="39">
        <f t="shared" ref="BU63:BU89" si="173">SUM(AF63:AG63)/$AR63</f>
        <v>0.29702795274824362</v>
      </c>
      <c r="BV63" s="39">
        <f t="shared" ref="BV63:BV89" si="174">SUM(AF63:AH63)/$AR63</f>
        <v>0.379171450874564</v>
      </c>
      <c r="BW63" s="39">
        <f t="shared" ref="BW63:BW89" si="175">SUM(AF63:AI63)/$AR63</f>
        <v>0.44144291710184036</v>
      </c>
      <c r="BX63" s="39">
        <f t="shared" ref="BX63:BX89" si="176">SUM(AF63:AJ63)/$AR63</f>
        <v>0.57447903489822882</v>
      </c>
      <c r="BY63" s="39">
        <f t="shared" ref="BY63:BY89" si="177">SUM(AF63:AK63)/$AR63</f>
        <v>0.66010121978380787</v>
      </c>
      <c r="BZ63" s="39">
        <f t="shared" ref="BZ63:BZ89" si="178">SUM(AF63:AL63)/$AR63</f>
        <v>0.70930504109553494</v>
      </c>
      <c r="CA63" s="39">
        <f t="shared" ref="CA63:CA89" si="179">SUM(AF63:AM63)/$AR63</f>
        <v>0.79997632222532156</v>
      </c>
      <c r="CB63" s="39">
        <f t="shared" ref="CB63:CB89" si="180">SUM(AF63:AN63)/$AR63</f>
        <v>0.84903850935974867</v>
      </c>
      <c r="CC63" s="39">
        <f t="shared" ref="CC63:CC89" si="181">SUM(AF63:AO63)/$AR63</f>
        <v>0.86602163651264219</v>
      </c>
      <c r="CD63" s="39">
        <f t="shared" ref="CD63:CD89" si="182">SUM(AF63:AP63)/$AR63</f>
        <v>0.89998789081842923</v>
      </c>
      <c r="CE63" s="39">
        <f t="shared" ref="CE63:CE89" si="183">SUM(AF63:AQ63)/$AR63</f>
        <v>1</v>
      </c>
      <c r="CG63" s="39">
        <f>(AT63+BG63+BT63)/3</f>
        <v>0.11416133110007605</v>
      </c>
      <c r="CH63" s="39">
        <f t="shared" ref="CH63:CH89" si="184">(AU63+BH63+BU63)/3</f>
        <v>0.25698572464025443</v>
      </c>
      <c r="CI63" s="39">
        <f t="shared" ref="CI63:CI89" si="185">(AV63+BI63+BV63)/3</f>
        <v>0.35025957178437467</v>
      </c>
      <c r="CJ63" s="39">
        <f t="shared" ref="CJ63:CJ89" si="186">(AW63+BJ63+BW63)/3</f>
        <v>0.45642295315077175</v>
      </c>
      <c r="CK63" s="39">
        <f t="shared" ref="CK63:CK89" si="187">(AX63+BK63+BX63)/3</f>
        <v>0.58748360564437963</v>
      </c>
      <c r="CL63" s="39">
        <f t="shared" ref="CL63:CL89" si="188">(AY63+BL63+BY63)/3</f>
        <v>0.69759156744661188</v>
      </c>
      <c r="CM63" s="39">
        <f t="shared" ref="CM63:CM89" si="189">(AZ63+BM63+BZ63)/3</f>
        <v>0.74814589471182347</v>
      </c>
      <c r="CN63" s="39">
        <f t="shared" ref="CN63:CN89" si="190">(BA63+BN63+CA63)/3</f>
        <v>0.82018925161872713</v>
      </c>
      <c r="CO63" s="39">
        <f t="shared" ref="CO63:CO89" si="191">(BB63+BO63+CB63)/3</f>
        <v>0.85979730233351781</v>
      </c>
      <c r="CP63" s="39">
        <f t="shared" ref="CP63:CP89" si="192">(BC63+BP63+CC63)/3</f>
        <v>0.89166926014455139</v>
      </c>
      <c r="CQ63" s="39">
        <f t="shared" ref="CQ63:CQ89" si="193">(BD63+BQ63+CD63)/3</f>
        <v>0.9281539920472146</v>
      </c>
      <c r="CR63" s="39">
        <f t="shared" ref="CR63:CR89" si="194">(BE63+BR63+CE63)/3</f>
        <v>1</v>
      </c>
    </row>
    <row r="64" spans="1:96">
      <c r="A64" s="193" t="s">
        <v>88</v>
      </c>
      <c r="B64" s="34">
        <v>5085.5600000000004</v>
      </c>
      <c r="C64" s="34">
        <v>7773.46</v>
      </c>
      <c r="D64" s="34">
        <v>1388.88</v>
      </c>
      <c r="E64" s="34">
        <v>1179.28</v>
      </c>
      <c r="F64" s="34">
        <v>2579.6799999999998</v>
      </c>
      <c r="G64" s="34">
        <v>2782.35</v>
      </c>
      <c r="H64" s="34">
        <v>2985.06</v>
      </c>
      <c r="I64" s="34">
        <v>2081</v>
      </c>
      <c r="J64" s="34">
        <v>1814.99</v>
      </c>
      <c r="K64" s="34">
        <v>1280.6300000000001</v>
      </c>
      <c r="L64" s="34">
        <v>2072.92</v>
      </c>
      <c r="M64" s="34">
        <v>1483.32</v>
      </c>
      <c r="N64" s="68">
        <f t="shared" si="159"/>
        <v>32507.130000000005</v>
      </c>
      <c r="P64" s="85" t="s">
        <v>88</v>
      </c>
      <c r="Q64" s="34">
        <v>2668.89</v>
      </c>
      <c r="R64" s="34">
        <v>7873.25</v>
      </c>
      <c r="S64" s="34">
        <v>2953.58</v>
      </c>
      <c r="T64" s="34">
        <v>2072.87</v>
      </c>
      <c r="U64" s="34">
        <v>2873.53</v>
      </c>
      <c r="V64" s="34">
        <v>2250.79</v>
      </c>
      <c r="W64" s="34">
        <v>1009.72</v>
      </c>
      <c r="X64" s="34">
        <v>969.7</v>
      </c>
      <c r="Y64" s="34">
        <v>1218.79</v>
      </c>
      <c r="Z64" s="34">
        <v>493.73</v>
      </c>
      <c r="AA64" s="34">
        <v>346.96</v>
      </c>
      <c r="AB64" s="34">
        <v>1307.77</v>
      </c>
      <c r="AC64" s="68">
        <f t="shared" si="1"/>
        <v>26039.58</v>
      </c>
      <c r="AE64" s="85" t="s">
        <v>88</v>
      </c>
      <c r="AF64" s="34">
        <v>5489.03</v>
      </c>
      <c r="AG64" s="34">
        <v>8011.12</v>
      </c>
      <c r="AH64" s="34">
        <v>2615.0700000000002</v>
      </c>
      <c r="AI64" s="34">
        <v>1083.58</v>
      </c>
      <c r="AJ64" s="34">
        <v>2207.84</v>
      </c>
      <c r="AK64" s="34">
        <v>1367.17</v>
      </c>
      <c r="AL64" s="34">
        <v>523.6</v>
      </c>
      <c r="AM64" s="34">
        <v>1762.78</v>
      </c>
      <c r="AN64" s="34">
        <v>65.45</v>
      </c>
      <c r="AO64" s="34">
        <v>104.72</v>
      </c>
      <c r="AP64" s="34">
        <v>104.72</v>
      </c>
      <c r="AQ64" s="34">
        <v>261.8</v>
      </c>
      <c r="AR64" s="68">
        <f t="shared" si="27"/>
        <v>23596.879999999997</v>
      </c>
      <c r="AT64" s="39">
        <f t="shared" ref="AT64:AT89" si="195">B64/$N64</f>
        <v>0.15644444772577584</v>
      </c>
      <c r="AU64" s="39">
        <f t="shared" ref="AU64:AU89" si="196">SUM(B64:C64)/$N64</f>
        <v>0.39557537069559812</v>
      </c>
      <c r="AV64" s="39">
        <f t="shared" ref="AV64:AV89" si="197">SUM(B64:D64)/$N64</f>
        <v>0.43830076663181278</v>
      </c>
      <c r="AW64" s="39">
        <f t="shared" ref="AW64:AW89" si="198">SUM(B64:E64)/$N64</f>
        <v>0.47457834635047758</v>
      </c>
      <c r="AX64" s="39">
        <f t="shared" ref="AX64:AX89" si="199">SUM(B64:F64)/$N64</f>
        <v>0.55393570579746654</v>
      </c>
      <c r="AY64" s="39">
        <f t="shared" ref="AY64:AY89" si="200">SUM(B64:G64)/$N64</f>
        <v>0.63952769746206439</v>
      </c>
      <c r="AZ64" s="39">
        <f t="shared" ref="AZ64:AZ89" si="201">SUM(B64:H64)/$N64</f>
        <v>0.73135555184354928</v>
      </c>
      <c r="BA64" s="39">
        <f t="shared" ref="BA64:BA89" si="202">SUM(B64:I64)/$N64</f>
        <v>0.79537227678973799</v>
      </c>
      <c r="BB64" s="39">
        <f t="shared" ref="BB64:BB89" si="203">SUM(B64:J64)/$N64</f>
        <v>0.85120587391135416</v>
      </c>
      <c r="BC64" s="39">
        <f t="shared" ref="BC64:BC89" si="204">SUM(B64:K64)/$N64</f>
        <v>0.89060123117605272</v>
      </c>
      <c r="BD64" s="39">
        <f t="shared" ref="BD64:BD89" si="205">SUM(B64:L64)/$N64</f>
        <v>0.95436939526805353</v>
      </c>
      <c r="BE64" s="39">
        <f t="shared" ref="BE64:BE89" si="206">SUM(B64:M64)/$N64</f>
        <v>1</v>
      </c>
      <c r="BG64" s="39">
        <f t="shared" si="160"/>
        <v>0.10249358860626784</v>
      </c>
      <c r="BH64" s="39">
        <f t="shared" si="161"/>
        <v>0.40485061587014837</v>
      </c>
      <c r="BI64" s="39">
        <f t="shared" si="162"/>
        <v>0.51827717651359961</v>
      </c>
      <c r="BJ64" s="39">
        <f t="shared" si="163"/>
        <v>0.59788176306991125</v>
      </c>
      <c r="BK64" s="39">
        <f t="shared" si="164"/>
        <v>0.70823415738656303</v>
      </c>
      <c r="BL64" s="39">
        <f t="shared" si="165"/>
        <v>0.79467141943149611</v>
      </c>
      <c r="BM64" s="39">
        <f t="shared" si="166"/>
        <v>0.83344777450327534</v>
      </c>
      <c r="BN64" s="39">
        <f t="shared" si="167"/>
        <v>0.87068723842704066</v>
      </c>
      <c r="BO64" s="39">
        <f t="shared" si="168"/>
        <v>0.9174925248410305</v>
      </c>
      <c r="BP64" s="39">
        <f t="shared" si="169"/>
        <v>0.93645327612810958</v>
      </c>
      <c r="BQ64" s="39">
        <f t="shared" si="170"/>
        <v>0.94977760778015619</v>
      </c>
      <c r="BR64" s="39">
        <f t="shared" si="171"/>
        <v>1</v>
      </c>
      <c r="BS64" s="61"/>
      <c r="BT64" s="39">
        <f t="shared" si="172"/>
        <v>0.23261676967463496</v>
      </c>
      <c r="BU64" s="39">
        <f t="shared" si="173"/>
        <v>0.57211588989730855</v>
      </c>
      <c r="BV64" s="39">
        <f t="shared" si="174"/>
        <v>0.68293859188163863</v>
      </c>
      <c r="BW64" s="39">
        <f t="shared" si="175"/>
        <v>0.72885906950410395</v>
      </c>
      <c r="BX64" s="39">
        <f t="shared" si="176"/>
        <v>0.82242398147551721</v>
      </c>
      <c r="BY64" s="39">
        <f t="shared" si="177"/>
        <v>0.88036257335715573</v>
      </c>
      <c r="BZ64" s="39">
        <f t="shared" si="178"/>
        <v>0.90255194754560764</v>
      </c>
      <c r="CA64" s="39">
        <f t="shared" si="179"/>
        <v>0.97725589145683656</v>
      </c>
      <c r="CB64" s="39">
        <f t="shared" si="180"/>
        <v>0.98002956323039314</v>
      </c>
      <c r="CC64" s="39">
        <f t="shared" si="181"/>
        <v>0.98446743806808357</v>
      </c>
      <c r="CD64" s="39">
        <f t="shared" si="182"/>
        <v>0.98890531290577399</v>
      </c>
      <c r="CE64" s="39">
        <f t="shared" si="183"/>
        <v>1</v>
      </c>
      <c r="CG64" s="39">
        <f t="shared" ref="CG64:CG89" si="207">(AT64+BG64+BT64)/3</f>
        <v>0.16385160200222623</v>
      </c>
      <c r="CH64" s="39">
        <f t="shared" si="184"/>
        <v>0.45751395882101836</v>
      </c>
      <c r="CI64" s="39">
        <f t="shared" si="185"/>
        <v>0.54650551167568373</v>
      </c>
      <c r="CJ64" s="39">
        <f t="shared" si="186"/>
        <v>0.60043972630816422</v>
      </c>
      <c r="CK64" s="39">
        <f t="shared" si="187"/>
        <v>0.69486461488651552</v>
      </c>
      <c r="CL64" s="39">
        <f t="shared" si="188"/>
        <v>0.77152056341690545</v>
      </c>
      <c r="CM64" s="39">
        <f t="shared" si="189"/>
        <v>0.82245175796414405</v>
      </c>
      <c r="CN64" s="39">
        <f t="shared" si="190"/>
        <v>0.88110513555787173</v>
      </c>
      <c r="CO64" s="39">
        <f t="shared" si="191"/>
        <v>0.91624265399425919</v>
      </c>
      <c r="CP64" s="39">
        <f t="shared" si="192"/>
        <v>0.93717398179074862</v>
      </c>
      <c r="CQ64" s="39">
        <f t="shared" si="193"/>
        <v>0.96435077198466124</v>
      </c>
      <c r="CR64" s="39">
        <f t="shared" si="194"/>
        <v>1</v>
      </c>
    </row>
    <row r="65" spans="1:96">
      <c r="A65" s="193" t="s">
        <v>89</v>
      </c>
      <c r="B65" s="34">
        <v>3528.58</v>
      </c>
      <c r="C65" s="34">
        <v>1354.32</v>
      </c>
      <c r="D65" s="34">
        <v>1990.03</v>
      </c>
      <c r="E65" s="34">
        <v>3156.35</v>
      </c>
      <c r="F65" s="34">
        <v>5951.62</v>
      </c>
      <c r="G65" s="34">
        <v>3198.67</v>
      </c>
      <c r="H65" s="34">
        <v>3733.61</v>
      </c>
      <c r="I65" s="34">
        <v>1580.35</v>
      </c>
      <c r="J65" s="34">
        <v>2815.34</v>
      </c>
      <c r="K65" s="34">
        <v>1667.61</v>
      </c>
      <c r="L65" s="34">
        <v>1986.14</v>
      </c>
      <c r="M65" s="34">
        <v>1326.7</v>
      </c>
      <c r="N65" s="68">
        <f t="shared" si="159"/>
        <v>32289.32</v>
      </c>
      <c r="P65" s="85" t="s">
        <v>89</v>
      </c>
      <c r="Q65" s="34">
        <v>1583.53</v>
      </c>
      <c r="R65" s="34">
        <v>3053.66</v>
      </c>
      <c r="S65" s="34">
        <v>1003.81</v>
      </c>
      <c r="T65" s="34">
        <v>5320.03</v>
      </c>
      <c r="U65" s="34">
        <v>3101.8800000000006</v>
      </c>
      <c r="V65" s="34">
        <v>5574.91</v>
      </c>
      <c r="W65" s="34">
        <v>2464.3200000000002</v>
      </c>
      <c r="X65" s="34">
        <v>707.26</v>
      </c>
      <c r="Y65" s="34">
        <v>1430.52</v>
      </c>
      <c r="Z65" s="34">
        <v>1928.29</v>
      </c>
      <c r="AA65" s="34">
        <v>1702.26</v>
      </c>
      <c r="AB65" s="34">
        <v>696.13</v>
      </c>
      <c r="AC65" s="68">
        <f t="shared" si="1"/>
        <v>28566.6</v>
      </c>
      <c r="AE65" s="85" t="s">
        <v>89</v>
      </c>
      <c r="AF65" s="34">
        <v>1326.45</v>
      </c>
      <c r="AG65" s="34">
        <v>2018.8700000000001</v>
      </c>
      <c r="AH65" s="34">
        <v>707.43000000000006</v>
      </c>
      <c r="AI65" s="34">
        <v>1994.92</v>
      </c>
      <c r="AJ65" s="34">
        <v>2985.21</v>
      </c>
      <c r="AK65" s="34">
        <v>5981.61</v>
      </c>
      <c r="AL65" s="34">
        <v>1923.36</v>
      </c>
      <c r="AM65" s="34">
        <v>2375.39</v>
      </c>
      <c r="AN65" s="34">
        <v>1247.9100000000001</v>
      </c>
      <c r="AO65" s="34">
        <v>1926.83</v>
      </c>
      <c r="AP65" s="34">
        <v>748.59</v>
      </c>
      <c r="AQ65" s="34">
        <v>1151.8800000000001</v>
      </c>
      <c r="AR65" s="68">
        <f t="shared" si="27"/>
        <v>24388.450000000004</v>
      </c>
      <c r="AT65" s="39">
        <f t="shared" si="195"/>
        <v>0.10928009632906484</v>
      </c>
      <c r="AU65" s="39">
        <f t="shared" si="196"/>
        <v>0.15122337664590024</v>
      </c>
      <c r="AV65" s="39">
        <f t="shared" si="197"/>
        <v>0.21285459092975631</v>
      </c>
      <c r="AW65" s="39">
        <f t="shared" si="198"/>
        <v>0.3106067269301428</v>
      </c>
      <c r="AX65" s="39">
        <f t="shared" si="199"/>
        <v>0.49492835401922364</v>
      </c>
      <c r="AY65" s="39">
        <f t="shared" si="200"/>
        <v>0.59399114010452991</v>
      </c>
      <c r="AZ65" s="39">
        <f t="shared" si="201"/>
        <v>0.7096210140071082</v>
      </c>
      <c r="BA65" s="39">
        <f t="shared" si="202"/>
        <v>0.75856444174110815</v>
      </c>
      <c r="BB65" s="39">
        <f t="shared" si="203"/>
        <v>0.84575550058037763</v>
      </c>
      <c r="BC65" s="39">
        <f t="shared" si="204"/>
        <v>0.89740136986471064</v>
      </c>
      <c r="BD65" s="39">
        <f t="shared" si="205"/>
        <v>0.95891211087752848</v>
      </c>
      <c r="BE65" s="39">
        <f t="shared" si="206"/>
        <v>1</v>
      </c>
      <c r="BG65" s="39">
        <f t="shared" si="160"/>
        <v>5.543291816316958E-2</v>
      </c>
      <c r="BH65" s="39">
        <f t="shared" si="161"/>
        <v>0.16232908361513096</v>
      </c>
      <c r="BI65" s="39">
        <f t="shared" si="162"/>
        <v>0.19746837215489418</v>
      </c>
      <c r="BJ65" s="39">
        <f t="shared" si="163"/>
        <v>0.38370089545133124</v>
      </c>
      <c r="BK65" s="39">
        <f t="shared" si="164"/>
        <v>0.49228504617280322</v>
      </c>
      <c r="BL65" s="39">
        <f t="shared" si="165"/>
        <v>0.68743987733927037</v>
      </c>
      <c r="BM65" s="39">
        <f t="shared" si="166"/>
        <v>0.77370565625590726</v>
      </c>
      <c r="BN65" s="39">
        <f t="shared" si="167"/>
        <v>0.79846394040592861</v>
      </c>
      <c r="BO65" s="39">
        <f t="shared" si="168"/>
        <v>0.84854060336196813</v>
      </c>
      <c r="BP65" s="39">
        <f t="shared" si="169"/>
        <v>0.91604216112523018</v>
      </c>
      <c r="BQ65" s="39">
        <f t="shared" si="170"/>
        <v>0.97563133169505645</v>
      </c>
      <c r="BR65" s="39">
        <f t="shared" si="171"/>
        <v>1</v>
      </c>
      <c r="BS65" s="61"/>
      <c r="BT65" s="39">
        <f t="shared" si="172"/>
        <v>5.4388450270517391E-2</v>
      </c>
      <c r="BU65" s="39">
        <f t="shared" si="173"/>
        <v>0.13716820872175148</v>
      </c>
      <c r="BV65" s="39">
        <f t="shared" si="174"/>
        <v>0.16617497216920302</v>
      </c>
      <c r="BW65" s="39">
        <f t="shared" si="175"/>
        <v>0.24797270839270225</v>
      </c>
      <c r="BX65" s="39">
        <f t="shared" si="176"/>
        <v>0.37037532110486726</v>
      </c>
      <c r="BY65" s="39">
        <f t="shared" si="177"/>
        <v>0.61563937027568372</v>
      </c>
      <c r="BZ65" s="39">
        <f t="shared" si="178"/>
        <v>0.69450293069055224</v>
      </c>
      <c r="CA65" s="39">
        <f t="shared" si="179"/>
        <v>0.79190108432475204</v>
      </c>
      <c r="CB65" s="39">
        <f t="shared" si="180"/>
        <v>0.84306915773655144</v>
      </c>
      <c r="CC65" s="39">
        <f t="shared" si="181"/>
        <v>0.92207499861614817</v>
      </c>
      <c r="CD65" s="39">
        <f t="shared" si="182"/>
        <v>0.95276944619276749</v>
      </c>
      <c r="CE65" s="39">
        <f t="shared" si="183"/>
        <v>1</v>
      </c>
      <c r="CG65" s="39">
        <f t="shared" si="207"/>
        <v>7.3033821587583939E-2</v>
      </c>
      <c r="CH65" s="39">
        <f t="shared" si="184"/>
        <v>0.1502402229942609</v>
      </c>
      <c r="CI65" s="39">
        <f t="shared" si="185"/>
        <v>0.19216597841795116</v>
      </c>
      <c r="CJ65" s="39">
        <f t="shared" si="186"/>
        <v>0.31409344359139207</v>
      </c>
      <c r="CK65" s="39">
        <f t="shared" si="187"/>
        <v>0.45252957376563135</v>
      </c>
      <c r="CL65" s="39">
        <f t="shared" si="188"/>
        <v>0.63235679590649463</v>
      </c>
      <c r="CM65" s="39">
        <f t="shared" si="189"/>
        <v>0.72594320031785597</v>
      </c>
      <c r="CN65" s="39">
        <f t="shared" si="190"/>
        <v>0.78297648882392956</v>
      </c>
      <c r="CO65" s="39">
        <f t="shared" si="191"/>
        <v>0.84578842055963255</v>
      </c>
      <c r="CP65" s="39">
        <f t="shared" si="192"/>
        <v>0.91183950986869633</v>
      </c>
      <c r="CQ65" s="39">
        <f t="shared" si="193"/>
        <v>0.9624376295884508</v>
      </c>
      <c r="CR65" s="39">
        <f t="shared" si="194"/>
        <v>1</v>
      </c>
    </row>
    <row r="66" spans="1:96">
      <c r="A66" s="193" t="s">
        <v>90</v>
      </c>
      <c r="B66" s="34">
        <v>5306.68</v>
      </c>
      <c r="C66" s="34">
        <v>9798.06</v>
      </c>
      <c r="D66" s="34">
        <v>6258.14</v>
      </c>
      <c r="E66" s="34">
        <v>5857.99</v>
      </c>
      <c r="F66" s="34">
        <v>9130.17</v>
      </c>
      <c r="G66" s="34">
        <v>7092.76</v>
      </c>
      <c r="H66" s="34">
        <v>4479.41</v>
      </c>
      <c r="I66" s="34">
        <v>3040.29</v>
      </c>
      <c r="J66" s="34">
        <v>930.53</v>
      </c>
      <c r="K66" s="34">
        <v>1243.78</v>
      </c>
      <c r="L66" s="34">
        <v>451.44</v>
      </c>
      <c r="M66" s="34">
        <v>1681.36</v>
      </c>
      <c r="N66" s="68">
        <f t="shared" si="159"/>
        <v>55270.610000000008</v>
      </c>
      <c r="P66" s="85" t="s">
        <v>90</v>
      </c>
      <c r="Q66" s="34">
        <v>5150.9799999999996</v>
      </c>
      <c r="R66" s="34">
        <v>4421.49</v>
      </c>
      <c r="S66" s="34">
        <v>7868.82</v>
      </c>
      <c r="T66" s="34">
        <v>4790.72</v>
      </c>
      <c r="U66" s="34">
        <v>4884.1200000000008</v>
      </c>
      <c r="V66" s="34">
        <v>5942.71</v>
      </c>
      <c r="W66" s="34">
        <v>3236.5200000000004</v>
      </c>
      <c r="X66" s="34">
        <v>2889.54</v>
      </c>
      <c r="Y66" s="34">
        <v>2090.65</v>
      </c>
      <c r="Z66" s="34">
        <v>2446.4899999999998</v>
      </c>
      <c r="AA66" s="34">
        <v>661.87</v>
      </c>
      <c r="AB66" s="34">
        <v>1476.83</v>
      </c>
      <c r="AC66" s="68">
        <f t="shared" si="1"/>
        <v>45860.740000000005</v>
      </c>
      <c r="AE66" s="85" t="s">
        <v>90</v>
      </c>
      <c r="AF66" s="34">
        <v>3780.3599999999997</v>
      </c>
      <c r="AG66" s="34">
        <v>8620.23</v>
      </c>
      <c r="AH66" s="34">
        <v>8765.0399999999991</v>
      </c>
      <c r="AI66" s="34">
        <v>4372.07</v>
      </c>
      <c r="AJ66" s="34">
        <v>3672.1499999999996</v>
      </c>
      <c r="AK66" s="34">
        <v>4239.45</v>
      </c>
      <c r="AL66" s="34">
        <v>2652.91</v>
      </c>
      <c r="AM66" s="34">
        <v>916.3</v>
      </c>
      <c r="AN66" s="34">
        <v>1169.6799999999998</v>
      </c>
      <c r="AO66" s="34">
        <v>694.64</v>
      </c>
      <c r="AP66" s="34">
        <v>506.15</v>
      </c>
      <c r="AQ66" s="34">
        <v>1527.16</v>
      </c>
      <c r="AR66" s="68">
        <f t="shared" si="27"/>
        <v>40916.14</v>
      </c>
      <c r="AT66" s="39">
        <f t="shared" si="195"/>
        <v>9.60126910124567E-2</v>
      </c>
      <c r="AU66" s="39">
        <f t="shared" si="196"/>
        <v>0.27328701456343613</v>
      </c>
      <c r="AV66" s="39">
        <f t="shared" si="197"/>
        <v>0.38651427946968558</v>
      </c>
      <c r="AW66" s="39">
        <f t="shared" si="198"/>
        <v>0.49250171112640151</v>
      </c>
      <c r="AX66" s="39">
        <f t="shared" si="199"/>
        <v>0.65769203560445588</v>
      </c>
      <c r="AY66" s="39">
        <f t="shared" si="200"/>
        <v>0.78601991184826792</v>
      </c>
      <c r="AZ66" s="39">
        <f t="shared" si="201"/>
        <v>0.86706497359084689</v>
      </c>
      <c r="BA66" s="39">
        <f t="shared" si="202"/>
        <v>0.92207232740872591</v>
      </c>
      <c r="BB66" s="39">
        <f t="shared" si="203"/>
        <v>0.93890821903358768</v>
      </c>
      <c r="BC66" s="39">
        <f t="shared" si="204"/>
        <v>0.9614116797335871</v>
      </c>
      <c r="BD66" s="39">
        <f t="shared" si="205"/>
        <v>0.9695794926091823</v>
      </c>
      <c r="BE66" s="39">
        <f t="shared" si="206"/>
        <v>1</v>
      </c>
      <c r="BG66" s="39">
        <f t="shared" si="160"/>
        <v>0.11231785618810336</v>
      </c>
      <c r="BH66" s="39">
        <f t="shared" si="161"/>
        <v>0.20872907851029002</v>
      </c>
      <c r="BI66" s="39">
        <f t="shared" si="162"/>
        <v>0.3803098249177837</v>
      </c>
      <c r="BJ66" s="39">
        <f t="shared" si="163"/>
        <v>0.48477216023989145</v>
      </c>
      <c r="BK66" s="39">
        <f t="shared" si="164"/>
        <v>0.59127109593085503</v>
      </c>
      <c r="BL66" s="39">
        <f t="shared" si="165"/>
        <v>0.72085273809362871</v>
      </c>
      <c r="BM66" s="39">
        <f t="shared" si="166"/>
        <v>0.79142551995454058</v>
      </c>
      <c r="BN66" s="39">
        <f t="shared" si="167"/>
        <v>0.85443235325029643</v>
      </c>
      <c r="BO66" s="39">
        <f t="shared" si="168"/>
        <v>0.90001927574653173</v>
      </c>
      <c r="BP66" s="39">
        <f t="shared" si="169"/>
        <v>0.95336534037610376</v>
      </c>
      <c r="BQ66" s="39">
        <f t="shared" si="170"/>
        <v>0.96779751046319795</v>
      </c>
      <c r="BR66" s="39">
        <f t="shared" si="171"/>
        <v>1</v>
      </c>
      <c r="BS66" s="61"/>
      <c r="BT66" s="39">
        <f t="shared" si="172"/>
        <v>9.2392879680243539E-2</v>
      </c>
      <c r="BU66" s="39">
        <f t="shared" si="173"/>
        <v>0.30307331043446428</v>
      </c>
      <c r="BV66" s="39">
        <f t="shared" si="174"/>
        <v>0.51729293134689636</v>
      </c>
      <c r="BW66" s="39">
        <f t="shared" si="175"/>
        <v>0.62414734136700079</v>
      </c>
      <c r="BX66" s="39">
        <f t="shared" si="176"/>
        <v>0.71389554342125139</v>
      </c>
      <c r="BY66" s="39">
        <f t="shared" si="177"/>
        <v>0.817508689724886</v>
      </c>
      <c r="BZ66" s="39">
        <f t="shared" si="178"/>
        <v>0.88234642857317414</v>
      </c>
      <c r="CA66" s="39">
        <f t="shared" si="179"/>
        <v>0.90474101418168951</v>
      </c>
      <c r="CB66" s="39">
        <f t="shared" si="180"/>
        <v>0.93332826605833286</v>
      </c>
      <c r="CC66" s="39">
        <f t="shared" si="181"/>
        <v>0.95030542959330955</v>
      </c>
      <c r="CD66" s="39">
        <f t="shared" si="182"/>
        <v>0.96267585358736174</v>
      </c>
      <c r="CE66" s="39">
        <f t="shared" si="183"/>
        <v>1</v>
      </c>
      <c r="CG66" s="39">
        <f t="shared" si="207"/>
        <v>0.10024114229360119</v>
      </c>
      <c r="CH66" s="39">
        <f t="shared" si="184"/>
        <v>0.26169646783606348</v>
      </c>
      <c r="CI66" s="39">
        <f t="shared" si="185"/>
        <v>0.42803901191145521</v>
      </c>
      <c r="CJ66" s="39">
        <f t="shared" si="186"/>
        <v>0.53380707091109791</v>
      </c>
      <c r="CK66" s="39">
        <f t="shared" si="187"/>
        <v>0.6542862249855208</v>
      </c>
      <c r="CL66" s="39">
        <f t="shared" si="188"/>
        <v>0.7747937798889275</v>
      </c>
      <c r="CM66" s="39">
        <f t="shared" si="189"/>
        <v>0.84694564070618716</v>
      </c>
      <c r="CN66" s="39">
        <f t="shared" si="190"/>
        <v>0.89374856494690391</v>
      </c>
      <c r="CO66" s="39">
        <f t="shared" si="191"/>
        <v>0.92408525361281735</v>
      </c>
      <c r="CP66" s="39">
        <f t="shared" si="192"/>
        <v>0.9550274832343334</v>
      </c>
      <c r="CQ66" s="39">
        <f t="shared" si="193"/>
        <v>0.96668428555324726</v>
      </c>
      <c r="CR66" s="39">
        <f t="shared" si="194"/>
        <v>1</v>
      </c>
    </row>
    <row r="67" spans="1:96">
      <c r="A67" s="193" t="s">
        <v>91</v>
      </c>
      <c r="B67" s="34">
        <v>26943.37</v>
      </c>
      <c r="C67" s="34">
        <v>65301.72</v>
      </c>
      <c r="D67" s="34">
        <v>18466.900000000001</v>
      </c>
      <c r="E67" s="34">
        <v>22347.83</v>
      </c>
      <c r="F67" s="34">
        <v>19764.47</v>
      </c>
      <c r="G67" s="34">
        <v>22638.85</v>
      </c>
      <c r="H67" s="34">
        <v>9738.25</v>
      </c>
      <c r="I67" s="34">
        <v>6228.02</v>
      </c>
      <c r="J67" s="34">
        <v>7077.04</v>
      </c>
      <c r="K67" s="34">
        <v>4523.66</v>
      </c>
      <c r="L67" s="34">
        <v>6845.29</v>
      </c>
      <c r="M67" s="34">
        <v>5067.26</v>
      </c>
      <c r="N67" s="68">
        <f t="shared" ref="N67:N91" si="208">SUM(B67:M67)</f>
        <v>214942.66000000003</v>
      </c>
      <c r="P67" s="85" t="s">
        <v>91</v>
      </c>
      <c r="Q67" s="34">
        <v>31234.92</v>
      </c>
      <c r="R67" s="34">
        <v>47326.14</v>
      </c>
      <c r="S67" s="34">
        <v>24469.39</v>
      </c>
      <c r="T67" s="34">
        <v>15891.17</v>
      </c>
      <c r="U67" s="34">
        <v>27695.940000000002</v>
      </c>
      <c r="V67" s="34">
        <v>33178.17</v>
      </c>
      <c r="W67" s="34">
        <v>5204.3900000000012</v>
      </c>
      <c r="X67" s="34">
        <v>7570.8</v>
      </c>
      <c r="Y67" s="34">
        <v>5462.35</v>
      </c>
      <c r="Z67" s="34">
        <v>4492.6499999999996</v>
      </c>
      <c r="AA67" s="34">
        <v>2063.91</v>
      </c>
      <c r="AB67" s="34">
        <v>1770.34</v>
      </c>
      <c r="AC67" s="68">
        <f t="shared" ref="AC67:AC130" si="209">SUM(Q67:AB67)</f>
        <v>206360.16999999998</v>
      </c>
      <c r="AE67" s="85" t="s">
        <v>91</v>
      </c>
      <c r="AF67" s="34">
        <v>19083.32</v>
      </c>
      <c r="AG67" s="34">
        <v>51126.59</v>
      </c>
      <c r="AH67" s="34">
        <v>14530.61</v>
      </c>
      <c r="AI67" s="34">
        <v>16867.39</v>
      </c>
      <c r="AJ67" s="34">
        <v>18300.309999999998</v>
      </c>
      <c r="AK67" s="34">
        <v>23559.85</v>
      </c>
      <c r="AL67" s="34">
        <v>10590.67</v>
      </c>
      <c r="AM67" s="34">
        <v>10864.09</v>
      </c>
      <c r="AN67" s="34">
        <v>7692.9699999999993</v>
      </c>
      <c r="AO67" s="34">
        <v>6625.25</v>
      </c>
      <c r="AP67" s="34">
        <v>2579.63</v>
      </c>
      <c r="AQ67" s="34">
        <v>2745.37</v>
      </c>
      <c r="AR67" s="68">
        <f t="shared" si="27"/>
        <v>184566.05000000002</v>
      </c>
      <c r="AT67" s="39">
        <f t="shared" si="195"/>
        <v>0.12535143093511542</v>
      </c>
      <c r="AU67" s="39">
        <f t="shared" si="196"/>
        <v>0.4291613865763082</v>
      </c>
      <c r="AV67" s="39">
        <f t="shared" si="197"/>
        <v>0.5150768581723143</v>
      </c>
      <c r="AW67" s="39">
        <f t="shared" si="198"/>
        <v>0.61904798237818393</v>
      </c>
      <c r="AX67" s="39">
        <f t="shared" si="199"/>
        <v>0.71100027328218596</v>
      </c>
      <c r="AY67" s="39">
        <f t="shared" si="200"/>
        <v>0.81632533997671741</v>
      </c>
      <c r="AZ67" s="39">
        <f t="shared" si="201"/>
        <v>0.86163160909984082</v>
      </c>
      <c r="BA67" s="39">
        <f t="shared" si="202"/>
        <v>0.89060687161869112</v>
      </c>
      <c r="BB67" s="39">
        <f t="shared" si="203"/>
        <v>0.92353211782156219</v>
      </c>
      <c r="BC67" s="39">
        <f t="shared" si="204"/>
        <v>0.94457800978177153</v>
      </c>
      <c r="BD67" s="39">
        <f t="shared" si="205"/>
        <v>0.976425061455925</v>
      </c>
      <c r="BE67" s="39">
        <f t="shared" si="206"/>
        <v>1</v>
      </c>
      <c r="BG67" s="39">
        <f t="shared" si="160"/>
        <v>0.15136118563965129</v>
      </c>
      <c r="BH67" s="39">
        <f t="shared" si="161"/>
        <v>0.38069875596632818</v>
      </c>
      <c r="BI67" s="39">
        <f t="shared" si="162"/>
        <v>0.49927488429574374</v>
      </c>
      <c r="BJ67" s="39">
        <f t="shared" si="163"/>
        <v>0.57628184741270572</v>
      </c>
      <c r="BK67" s="39">
        <f t="shared" si="164"/>
        <v>0.71049350269482725</v>
      </c>
      <c r="BL67" s="39">
        <f t="shared" si="165"/>
        <v>0.87127147646757608</v>
      </c>
      <c r="BM67" s="39">
        <f t="shared" si="166"/>
        <v>0.8964914111090333</v>
      </c>
      <c r="BN67" s="39">
        <f t="shared" si="167"/>
        <v>0.93317872339415109</v>
      </c>
      <c r="BO67" s="39">
        <f t="shared" si="168"/>
        <v>0.95964870546481917</v>
      </c>
      <c r="BP67" s="39">
        <f t="shared" si="169"/>
        <v>0.98141962181946252</v>
      </c>
      <c r="BQ67" s="39">
        <f t="shared" si="170"/>
        <v>0.99142111580931536</v>
      </c>
      <c r="BR67" s="39">
        <f t="shared" si="171"/>
        <v>1</v>
      </c>
      <c r="BS67" s="61"/>
      <c r="BT67" s="39">
        <f t="shared" si="172"/>
        <v>0.10339561365700788</v>
      </c>
      <c r="BU67" s="39">
        <f t="shared" si="173"/>
        <v>0.38040533456721859</v>
      </c>
      <c r="BV67" s="39">
        <f t="shared" si="174"/>
        <v>0.4591338439545084</v>
      </c>
      <c r="BW67" s="39">
        <f t="shared" si="175"/>
        <v>0.55052329504803288</v>
      </c>
      <c r="BX67" s="39">
        <f t="shared" si="176"/>
        <v>0.6496764708352375</v>
      </c>
      <c r="BY67" s="39">
        <f t="shared" si="177"/>
        <v>0.77732643679593294</v>
      </c>
      <c r="BZ67" s="39">
        <f t="shared" si="178"/>
        <v>0.83470789996318395</v>
      </c>
      <c r="CA67" s="39">
        <f t="shared" si="179"/>
        <v>0.89357078400930179</v>
      </c>
      <c r="CB67" s="39">
        <f t="shared" si="180"/>
        <v>0.93525217665979199</v>
      </c>
      <c r="CC67" s="39">
        <f t="shared" si="181"/>
        <v>0.97114854004840001</v>
      </c>
      <c r="CD67" s="39">
        <f t="shared" si="182"/>
        <v>0.98512527087186408</v>
      </c>
      <c r="CE67" s="39">
        <f t="shared" si="183"/>
        <v>1</v>
      </c>
      <c r="CG67" s="39">
        <f t="shared" si="207"/>
        <v>0.12670274341059154</v>
      </c>
      <c r="CH67" s="39">
        <f t="shared" si="184"/>
        <v>0.39675515903661829</v>
      </c>
      <c r="CI67" s="39">
        <f t="shared" si="185"/>
        <v>0.49116186214085555</v>
      </c>
      <c r="CJ67" s="39">
        <f t="shared" si="186"/>
        <v>0.58195104161297417</v>
      </c>
      <c r="CK67" s="39">
        <f t="shared" si="187"/>
        <v>0.69039008227075016</v>
      </c>
      <c r="CL67" s="39">
        <f t="shared" si="188"/>
        <v>0.82164108441340888</v>
      </c>
      <c r="CM67" s="39">
        <f t="shared" si="189"/>
        <v>0.86427697339068599</v>
      </c>
      <c r="CN67" s="39">
        <f t="shared" si="190"/>
        <v>0.905785459674048</v>
      </c>
      <c r="CO67" s="39">
        <f t="shared" si="191"/>
        <v>0.93947766664872445</v>
      </c>
      <c r="CP67" s="39">
        <f t="shared" si="192"/>
        <v>0.96571539054987809</v>
      </c>
      <c r="CQ67" s="39">
        <f t="shared" si="193"/>
        <v>0.98432381604570152</v>
      </c>
      <c r="CR67" s="39">
        <f t="shared" si="194"/>
        <v>1</v>
      </c>
    </row>
    <row r="68" spans="1:96">
      <c r="A68" s="193" t="s">
        <v>92</v>
      </c>
      <c r="B68" s="34">
        <v>12824.47</v>
      </c>
      <c r="C68" s="34">
        <v>20922.77</v>
      </c>
      <c r="D68" s="34">
        <v>6854.62</v>
      </c>
      <c r="E68" s="34">
        <v>9033.5499999999993</v>
      </c>
      <c r="F68" s="34">
        <v>9687.6200000000008</v>
      </c>
      <c r="G68" s="34">
        <v>12626.61</v>
      </c>
      <c r="H68" s="34">
        <v>1897.88</v>
      </c>
      <c r="I68" s="34">
        <v>3270.64</v>
      </c>
      <c r="J68" s="34">
        <v>3961.58</v>
      </c>
      <c r="K68" s="34">
        <v>3818.85</v>
      </c>
      <c r="L68" s="34">
        <v>2943.54</v>
      </c>
      <c r="M68" s="34">
        <v>3746.98</v>
      </c>
      <c r="N68" s="68">
        <f t="shared" si="208"/>
        <v>91589.110000000015</v>
      </c>
      <c r="P68" s="85" t="s">
        <v>92</v>
      </c>
      <c r="Q68" s="34">
        <v>14959.14</v>
      </c>
      <c r="R68" s="34">
        <v>16687.259999999998</v>
      </c>
      <c r="S68" s="34">
        <v>15111.92</v>
      </c>
      <c r="T68" s="34">
        <v>7793.25</v>
      </c>
      <c r="U68" s="34">
        <v>9284.86</v>
      </c>
      <c r="V68" s="34">
        <v>9382.66</v>
      </c>
      <c r="W68" s="34">
        <v>2284.5700000000002</v>
      </c>
      <c r="X68" s="34">
        <v>1590.66</v>
      </c>
      <c r="Y68" s="34">
        <v>1482.12</v>
      </c>
      <c r="Z68" s="34">
        <v>2193.85</v>
      </c>
      <c r="AA68" s="34">
        <v>1948.27</v>
      </c>
      <c r="AB68" s="34">
        <v>784.65</v>
      </c>
      <c r="AC68" s="68">
        <f t="shared" si="209"/>
        <v>83503.210000000006</v>
      </c>
      <c r="AE68" s="85" t="s">
        <v>92</v>
      </c>
      <c r="AF68" s="34">
        <v>15341.420000000002</v>
      </c>
      <c r="AG68" s="34">
        <v>19949.2</v>
      </c>
      <c r="AH68" s="34">
        <v>6093.52</v>
      </c>
      <c r="AI68" s="34">
        <v>6752.4500000000007</v>
      </c>
      <c r="AJ68" s="34">
        <v>7388.01</v>
      </c>
      <c r="AK68" s="34">
        <v>8597.86</v>
      </c>
      <c r="AL68" s="34">
        <v>1837.8400000000001</v>
      </c>
      <c r="AM68" s="34">
        <v>1466.08</v>
      </c>
      <c r="AN68" s="34">
        <v>2312.56</v>
      </c>
      <c r="AO68" s="34">
        <v>1815.14</v>
      </c>
      <c r="AP68" s="34">
        <v>1125.75</v>
      </c>
      <c r="AQ68" s="34">
        <v>2871.07</v>
      </c>
      <c r="AR68" s="68">
        <f t="shared" ref="AR68:AR131" si="210">SUM(AF68:AQ68)</f>
        <v>75550.900000000009</v>
      </c>
      <c r="AT68" s="39">
        <f t="shared" si="195"/>
        <v>0.14002177769824378</v>
      </c>
      <c r="AU68" s="39">
        <f t="shared" si="196"/>
        <v>0.36846345597200358</v>
      </c>
      <c r="AV68" s="39">
        <f t="shared" si="197"/>
        <v>0.44330444962288634</v>
      </c>
      <c r="AW68" s="39">
        <f t="shared" si="198"/>
        <v>0.54193571703011412</v>
      </c>
      <c r="AX68" s="39">
        <f t="shared" si="199"/>
        <v>0.6477083356307316</v>
      </c>
      <c r="AY68" s="39">
        <f t="shared" si="200"/>
        <v>0.7855698128303682</v>
      </c>
      <c r="AZ68" s="39">
        <f t="shared" si="201"/>
        <v>0.80629149033111036</v>
      </c>
      <c r="BA68" s="39">
        <f t="shared" si="202"/>
        <v>0.84200141261335548</v>
      </c>
      <c r="BB68" s="39">
        <f t="shared" si="203"/>
        <v>0.88525524486480989</v>
      </c>
      <c r="BC68" s="39">
        <f t="shared" si="204"/>
        <v>0.92695070407387969</v>
      </c>
      <c r="BD68" s="39">
        <f t="shared" si="205"/>
        <v>0.95908924106807025</v>
      </c>
      <c r="BE68" s="39">
        <f t="shared" si="206"/>
        <v>1</v>
      </c>
      <c r="BG68" s="39">
        <f t="shared" si="160"/>
        <v>0.17914449037348382</v>
      </c>
      <c r="BH68" s="39">
        <f t="shared" si="161"/>
        <v>0.37898423306121998</v>
      </c>
      <c r="BI68" s="39">
        <f t="shared" si="162"/>
        <v>0.5599583536968219</v>
      </c>
      <c r="BJ68" s="39">
        <f t="shared" si="163"/>
        <v>0.65328710117850552</v>
      </c>
      <c r="BK68" s="39">
        <f t="shared" si="164"/>
        <v>0.76447875476882854</v>
      </c>
      <c r="BL68" s="39">
        <f t="shared" si="165"/>
        <v>0.87684162081912764</v>
      </c>
      <c r="BM68" s="39">
        <f t="shared" si="166"/>
        <v>0.90420068881184323</v>
      </c>
      <c r="BN68" s="39">
        <f t="shared" si="167"/>
        <v>0.92324977686486542</v>
      </c>
      <c r="BO68" s="39">
        <f t="shared" si="168"/>
        <v>0.94099903464788959</v>
      </c>
      <c r="BP68" s="39">
        <f t="shared" si="169"/>
        <v>0.96727167734030828</v>
      </c>
      <c r="BQ68" s="39">
        <f t="shared" si="170"/>
        <v>0.99060335524825938</v>
      </c>
      <c r="BR68" s="39">
        <f t="shared" si="171"/>
        <v>1</v>
      </c>
      <c r="BS68" s="61"/>
      <c r="BT68" s="39">
        <f t="shared" si="172"/>
        <v>0.20306071800600656</v>
      </c>
      <c r="BU68" s="39">
        <f t="shared" si="173"/>
        <v>0.46711051754512517</v>
      </c>
      <c r="BV68" s="39">
        <f t="shared" si="174"/>
        <v>0.54776501669735234</v>
      </c>
      <c r="BW68" s="39">
        <f t="shared" si="175"/>
        <v>0.63714118561128974</v>
      </c>
      <c r="BX68" s="39">
        <f t="shared" si="176"/>
        <v>0.73492969640335182</v>
      </c>
      <c r="BY68" s="39">
        <f t="shared" si="177"/>
        <v>0.84873191451061458</v>
      </c>
      <c r="BZ68" s="39">
        <f t="shared" si="178"/>
        <v>0.87305776635354437</v>
      </c>
      <c r="CA68" s="39">
        <f t="shared" si="179"/>
        <v>0.89246296205604425</v>
      </c>
      <c r="CB68" s="39">
        <f t="shared" si="180"/>
        <v>0.92307225989366104</v>
      </c>
      <c r="CC68" s="39">
        <f t="shared" si="181"/>
        <v>0.94709765204650098</v>
      </c>
      <c r="CD68" s="39">
        <f t="shared" si="182"/>
        <v>0.9619982025363033</v>
      </c>
      <c r="CE68" s="39">
        <f t="shared" si="183"/>
        <v>1</v>
      </c>
      <c r="CG68" s="39">
        <f t="shared" si="207"/>
        <v>0.1740756620259114</v>
      </c>
      <c r="CH68" s="39">
        <f t="shared" si="184"/>
        <v>0.40485273552611623</v>
      </c>
      <c r="CI68" s="39">
        <f t="shared" si="185"/>
        <v>0.51700927333902014</v>
      </c>
      <c r="CJ68" s="39">
        <f t="shared" si="186"/>
        <v>0.61078800127330313</v>
      </c>
      <c r="CK68" s="39">
        <f t="shared" si="187"/>
        <v>0.71570559560097069</v>
      </c>
      <c r="CL68" s="39">
        <f t="shared" si="188"/>
        <v>0.83704778272003688</v>
      </c>
      <c r="CM68" s="39">
        <f t="shared" si="189"/>
        <v>0.8611833151654994</v>
      </c>
      <c r="CN68" s="39">
        <f t="shared" si="190"/>
        <v>0.88590471717808839</v>
      </c>
      <c r="CO68" s="39">
        <f t="shared" si="191"/>
        <v>0.91644217980212017</v>
      </c>
      <c r="CP68" s="39">
        <f t="shared" si="192"/>
        <v>0.94710667782022961</v>
      </c>
      <c r="CQ68" s="39">
        <f t="shared" si="193"/>
        <v>0.97056359961754435</v>
      </c>
      <c r="CR68" s="39">
        <f t="shared" si="194"/>
        <v>1</v>
      </c>
    </row>
    <row r="69" spans="1:96">
      <c r="A69" s="193" t="s">
        <v>93</v>
      </c>
      <c r="B69" s="34">
        <v>18610.21</v>
      </c>
      <c r="C69" s="34">
        <v>40528</v>
      </c>
      <c r="D69" s="34">
        <v>14770.05</v>
      </c>
      <c r="E69" s="34">
        <v>16970.54</v>
      </c>
      <c r="F69" s="34">
        <v>15607.03</v>
      </c>
      <c r="G69" s="34">
        <v>26162.05</v>
      </c>
      <c r="H69" s="34">
        <v>9237.67</v>
      </c>
      <c r="I69" s="34">
        <v>5299.05</v>
      </c>
      <c r="J69" s="34">
        <v>3491.75</v>
      </c>
      <c r="K69" s="34">
        <v>3823.44</v>
      </c>
      <c r="L69" s="34">
        <v>5214.51</v>
      </c>
      <c r="M69" s="34">
        <v>4247.25</v>
      </c>
      <c r="N69" s="68">
        <f t="shared" si="208"/>
        <v>163961.54999999999</v>
      </c>
      <c r="P69" s="85" t="s">
        <v>93</v>
      </c>
      <c r="Q69" s="34">
        <v>12597.15</v>
      </c>
      <c r="R69" s="34">
        <v>32040.05</v>
      </c>
      <c r="S69" s="34">
        <v>16081.57</v>
      </c>
      <c r="T69" s="34">
        <v>17107.72</v>
      </c>
      <c r="U69" s="34">
        <v>15112</v>
      </c>
      <c r="V69" s="34">
        <v>19408.919999999998</v>
      </c>
      <c r="W69" s="34">
        <v>9781.57</v>
      </c>
      <c r="X69" s="34">
        <v>4087.9</v>
      </c>
      <c r="Y69" s="34">
        <v>3193.77</v>
      </c>
      <c r="Z69" s="34">
        <v>2953.6</v>
      </c>
      <c r="AA69" s="34">
        <v>2473.17</v>
      </c>
      <c r="AB69" s="34">
        <v>1583.54</v>
      </c>
      <c r="AC69" s="68">
        <f t="shared" si="209"/>
        <v>136420.96</v>
      </c>
      <c r="AE69" s="85" t="s">
        <v>93</v>
      </c>
      <c r="AF69" s="34">
        <v>7738.6900000000005</v>
      </c>
      <c r="AG69" s="34">
        <v>37788.32</v>
      </c>
      <c r="AH69" s="34">
        <v>12685.380000000001</v>
      </c>
      <c r="AI69" s="34">
        <v>13549.58</v>
      </c>
      <c r="AJ69" s="34">
        <v>9271.4500000000007</v>
      </c>
      <c r="AK69" s="34">
        <v>14722.02</v>
      </c>
      <c r="AL69" s="34">
        <v>5079.4400000000005</v>
      </c>
      <c r="AM69" s="34">
        <v>5508.68</v>
      </c>
      <c r="AN69" s="34">
        <v>5535.52</v>
      </c>
      <c r="AO69" s="34">
        <v>3831.01</v>
      </c>
      <c r="AP69" s="34">
        <v>2068.23</v>
      </c>
      <c r="AQ69" s="34">
        <v>5960.33</v>
      </c>
      <c r="AR69" s="68">
        <f t="shared" si="210"/>
        <v>123738.65</v>
      </c>
      <c r="AT69" s="39">
        <f t="shared" si="195"/>
        <v>0.11350350127819601</v>
      </c>
      <c r="AU69" s="39">
        <f t="shared" si="196"/>
        <v>0.3606834041273701</v>
      </c>
      <c r="AV69" s="39">
        <f t="shared" si="197"/>
        <v>0.45076580454380921</v>
      </c>
      <c r="AW69" s="39">
        <f t="shared" si="198"/>
        <v>0.55426897342700165</v>
      </c>
      <c r="AX69" s="39">
        <f t="shared" si="199"/>
        <v>0.64945610723977665</v>
      </c>
      <c r="AY69" s="39">
        <f t="shared" si="200"/>
        <v>0.80901821189175138</v>
      </c>
      <c r="AZ69" s="39">
        <f t="shared" si="201"/>
        <v>0.86535867708008374</v>
      </c>
      <c r="BA69" s="39">
        <f t="shared" si="202"/>
        <v>0.89767753476348566</v>
      </c>
      <c r="BB69" s="39">
        <f t="shared" si="203"/>
        <v>0.91897368620874831</v>
      </c>
      <c r="BC69" s="39">
        <f t="shared" si="204"/>
        <v>0.9422928119427999</v>
      </c>
      <c r="BD69" s="39">
        <f t="shared" si="205"/>
        <v>0.9740960609362378</v>
      </c>
      <c r="BE69" s="39">
        <f t="shared" si="206"/>
        <v>1</v>
      </c>
      <c r="BG69" s="39">
        <f t="shared" si="160"/>
        <v>9.23402826075993E-2</v>
      </c>
      <c r="BH69" s="39">
        <f t="shared" si="161"/>
        <v>0.32720191970500723</v>
      </c>
      <c r="BI69" s="39">
        <f t="shared" si="162"/>
        <v>0.4450838786063373</v>
      </c>
      <c r="BJ69" s="39">
        <f t="shared" si="163"/>
        <v>0.57048777548552654</v>
      </c>
      <c r="BK69" s="39">
        <f t="shared" si="164"/>
        <v>0.68126254206098535</v>
      </c>
      <c r="BL69" s="39">
        <f t="shared" si="165"/>
        <v>0.82353481459154076</v>
      </c>
      <c r="BM69" s="39">
        <f t="shared" si="166"/>
        <v>0.8952361865801266</v>
      </c>
      <c r="BN69" s="39">
        <f t="shared" si="167"/>
        <v>0.92520152328498484</v>
      </c>
      <c r="BO69" s="39">
        <f t="shared" si="168"/>
        <v>0.94861266186662219</v>
      </c>
      <c r="BP69" s="39">
        <f t="shared" si="169"/>
        <v>0.97026329385161914</v>
      </c>
      <c r="BQ69" s="39">
        <f t="shared" si="170"/>
        <v>0.98839225292066546</v>
      </c>
      <c r="BR69" s="39">
        <f t="shared" si="171"/>
        <v>1</v>
      </c>
      <c r="BS69" s="61"/>
      <c r="BT69" s="39">
        <f t="shared" si="172"/>
        <v>6.2540604734252395E-2</v>
      </c>
      <c r="BU69" s="39">
        <f t="shared" si="173"/>
        <v>0.36792877568972998</v>
      </c>
      <c r="BV69" s="39">
        <f t="shared" si="174"/>
        <v>0.47044629951918826</v>
      </c>
      <c r="BW69" s="39">
        <f t="shared" si="175"/>
        <v>0.57994789825167803</v>
      </c>
      <c r="BX69" s="39">
        <f t="shared" si="176"/>
        <v>0.65487557848740063</v>
      </c>
      <c r="BY69" s="39">
        <f t="shared" si="177"/>
        <v>0.77385230887843048</v>
      </c>
      <c r="BZ69" s="39">
        <f t="shared" si="178"/>
        <v>0.8149020536428998</v>
      </c>
      <c r="CA69" s="39">
        <f t="shared" si="179"/>
        <v>0.8594207226278936</v>
      </c>
      <c r="CB69" s="39">
        <f t="shared" si="180"/>
        <v>0.90415630039603634</v>
      </c>
      <c r="CC69" s="39">
        <f t="shared" si="181"/>
        <v>0.93511679657083702</v>
      </c>
      <c r="CD69" s="39">
        <f t="shared" si="182"/>
        <v>0.95183129927472132</v>
      </c>
      <c r="CE69" s="39">
        <f t="shared" si="183"/>
        <v>1</v>
      </c>
      <c r="CG69" s="39">
        <f t="shared" si="207"/>
        <v>8.9461462873349232E-2</v>
      </c>
      <c r="CH69" s="39">
        <f t="shared" si="184"/>
        <v>0.35193803317403577</v>
      </c>
      <c r="CI69" s="39">
        <f t="shared" si="185"/>
        <v>0.45543199422311159</v>
      </c>
      <c r="CJ69" s="39">
        <f t="shared" si="186"/>
        <v>0.56823488238806874</v>
      </c>
      <c r="CK69" s="39">
        <f t="shared" si="187"/>
        <v>0.66186474259605432</v>
      </c>
      <c r="CL69" s="39">
        <f t="shared" si="188"/>
        <v>0.80213511178724095</v>
      </c>
      <c r="CM69" s="39">
        <f t="shared" si="189"/>
        <v>0.85849897243437001</v>
      </c>
      <c r="CN69" s="39">
        <f t="shared" si="190"/>
        <v>0.89409992689212137</v>
      </c>
      <c r="CO69" s="39">
        <f t="shared" si="191"/>
        <v>0.92391421615713565</v>
      </c>
      <c r="CP69" s="39">
        <f t="shared" si="192"/>
        <v>0.94922430078841868</v>
      </c>
      <c r="CQ69" s="39">
        <f t="shared" si="193"/>
        <v>0.97143987104387486</v>
      </c>
      <c r="CR69" s="39">
        <f t="shared" si="194"/>
        <v>1</v>
      </c>
    </row>
    <row r="70" spans="1:96">
      <c r="A70" s="193" t="s">
        <v>94</v>
      </c>
      <c r="B70" s="34">
        <v>16408.310000000001</v>
      </c>
      <c r="C70" s="34">
        <v>39311.89</v>
      </c>
      <c r="D70" s="34">
        <v>13154.91</v>
      </c>
      <c r="E70" s="34">
        <v>11689.17</v>
      </c>
      <c r="F70" s="34">
        <v>17428.91</v>
      </c>
      <c r="G70" s="34">
        <v>14565.91</v>
      </c>
      <c r="H70" s="34">
        <v>10414.52</v>
      </c>
      <c r="I70" s="34">
        <v>8953.4500000000007</v>
      </c>
      <c r="J70" s="34">
        <v>5168.58</v>
      </c>
      <c r="K70" s="34">
        <v>8443.84</v>
      </c>
      <c r="L70" s="34">
        <v>5021.2</v>
      </c>
      <c r="M70" s="34">
        <v>3021.88</v>
      </c>
      <c r="N70" s="68">
        <f t="shared" si="208"/>
        <v>153582.57</v>
      </c>
      <c r="P70" s="85" t="s">
        <v>94</v>
      </c>
      <c r="Q70" s="34">
        <v>9341.14</v>
      </c>
      <c r="R70" s="34">
        <v>17058.71</v>
      </c>
      <c r="S70" s="34">
        <v>13698.14</v>
      </c>
      <c r="T70" s="34">
        <v>9628.14</v>
      </c>
      <c r="U70" s="34">
        <v>12302.95</v>
      </c>
      <c r="V70" s="34">
        <v>15558.27</v>
      </c>
      <c r="W70" s="34">
        <v>3067.05</v>
      </c>
      <c r="X70" s="34">
        <v>9330.14</v>
      </c>
      <c r="Y70" s="34">
        <v>9866</v>
      </c>
      <c r="Z70" s="34">
        <v>4264.29</v>
      </c>
      <c r="AA70" s="34">
        <v>6658.88</v>
      </c>
      <c r="AB70" s="34">
        <v>5429.69</v>
      </c>
      <c r="AC70" s="68">
        <f t="shared" si="209"/>
        <v>116203.40000000001</v>
      </c>
      <c r="AE70" s="85" t="s">
        <v>94</v>
      </c>
      <c r="AF70" s="34">
        <v>8126.2000000000007</v>
      </c>
      <c r="AG70" s="34">
        <v>23106.539999999997</v>
      </c>
      <c r="AH70" s="34">
        <v>7863.66</v>
      </c>
      <c r="AI70" s="34">
        <v>6202.33</v>
      </c>
      <c r="AJ70" s="34">
        <v>6735.2199999999993</v>
      </c>
      <c r="AK70" s="34">
        <v>8698.18</v>
      </c>
      <c r="AL70" s="34">
        <v>4857.26</v>
      </c>
      <c r="AM70" s="34">
        <v>4642.57</v>
      </c>
      <c r="AN70" s="34">
        <v>9058.2800000000007</v>
      </c>
      <c r="AO70" s="34">
        <v>8150.6900000000005</v>
      </c>
      <c r="AP70" s="34">
        <v>6738.7300000000005</v>
      </c>
      <c r="AQ70" s="34">
        <v>3368.4399999999996</v>
      </c>
      <c r="AR70" s="68">
        <f t="shared" si="210"/>
        <v>97548.099999999991</v>
      </c>
      <c r="AT70" s="39">
        <f t="shared" si="195"/>
        <v>0.10683705839796795</v>
      </c>
      <c r="AU70" s="39">
        <f t="shared" si="196"/>
        <v>0.36280288837463781</v>
      </c>
      <c r="AV70" s="39">
        <f t="shared" si="197"/>
        <v>0.44845655337060708</v>
      </c>
      <c r="AW70" s="39">
        <f t="shared" si="198"/>
        <v>0.52456655725972023</v>
      </c>
      <c r="AX70" s="39">
        <f t="shared" si="199"/>
        <v>0.63804890099182476</v>
      </c>
      <c r="AY70" s="39">
        <f t="shared" si="200"/>
        <v>0.73288980644092616</v>
      </c>
      <c r="AZ70" s="39">
        <f t="shared" si="201"/>
        <v>0.80070036593345195</v>
      </c>
      <c r="BA70" s="39">
        <f t="shared" si="202"/>
        <v>0.85899767141544769</v>
      </c>
      <c r="BB70" s="39">
        <f t="shared" si="203"/>
        <v>0.89265109966580181</v>
      </c>
      <c r="BC70" s="39">
        <f t="shared" si="204"/>
        <v>0.94763025517804511</v>
      </c>
      <c r="BD70" s="39">
        <f t="shared" si="205"/>
        <v>0.98032406932635652</v>
      </c>
      <c r="BE70" s="39">
        <f t="shared" si="206"/>
        <v>1</v>
      </c>
      <c r="BG70" s="39">
        <f t="shared" si="160"/>
        <v>8.0386116068892982E-2</v>
      </c>
      <c r="BH70" s="39">
        <f t="shared" si="161"/>
        <v>0.22718655392183015</v>
      </c>
      <c r="BI70" s="39">
        <f t="shared" si="162"/>
        <v>0.34506726997660991</v>
      </c>
      <c r="BJ70" s="39">
        <f t="shared" si="163"/>
        <v>0.42792319329727008</v>
      </c>
      <c r="BK70" s="39">
        <f t="shared" si="164"/>
        <v>0.53379746203639478</v>
      </c>
      <c r="BL70" s="39">
        <f t="shared" si="165"/>
        <v>0.6676857131546925</v>
      </c>
      <c r="BM70" s="39">
        <f t="shared" si="166"/>
        <v>0.69407951918790678</v>
      </c>
      <c r="BN70" s="39">
        <f t="shared" si="167"/>
        <v>0.77437097365481566</v>
      </c>
      <c r="BO70" s="39">
        <f t="shared" si="168"/>
        <v>0.85927382503437932</v>
      </c>
      <c r="BP70" s="39">
        <f t="shared" si="169"/>
        <v>0.89597059982754368</v>
      </c>
      <c r="BQ70" s="39">
        <f t="shared" si="170"/>
        <v>0.95327425875662841</v>
      </c>
      <c r="BR70" s="39">
        <f t="shared" si="171"/>
        <v>1</v>
      </c>
      <c r="BS70" s="61"/>
      <c r="BT70" s="39">
        <f t="shared" si="172"/>
        <v>8.3304544117209889E-2</v>
      </c>
      <c r="BU70" s="39">
        <f t="shared" si="173"/>
        <v>0.32017784047049608</v>
      </c>
      <c r="BV70" s="39">
        <f t="shared" si="174"/>
        <v>0.4007909943914848</v>
      </c>
      <c r="BW70" s="39">
        <f t="shared" si="175"/>
        <v>0.4643732681620657</v>
      </c>
      <c r="BX70" s="39">
        <f t="shared" si="176"/>
        <v>0.53341838539141206</v>
      </c>
      <c r="BY70" s="39">
        <f t="shared" si="177"/>
        <v>0.62258649835312019</v>
      </c>
      <c r="BZ70" s="39">
        <f t="shared" si="178"/>
        <v>0.67237998484850048</v>
      </c>
      <c r="CA70" s="39">
        <f t="shared" si="179"/>
        <v>0.71997260838499155</v>
      </c>
      <c r="CB70" s="39">
        <f t="shared" si="180"/>
        <v>0.81283223353402068</v>
      </c>
      <c r="CC70" s="39">
        <f t="shared" si="181"/>
        <v>0.89638783328429772</v>
      </c>
      <c r="CD70" s="39">
        <f t="shared" si="182"/>
        <v>0.96546893276240131</v>
      </c>
      <c r="CE70" s="39">
        <f t="shared" si="183"/>
        <v>1</v>
      </c>
      <c r="CG70" s="39">
        <f t="shared" si="207"/>
        <v>9.0175906194690278E-2</v>
      </c>
      <c r="CH70" s="39">
        <f t="shared" si="184"/>
        <v>0.30338909425565469</v>
      </c>
      <c r="CI70" s="39">
        <f t="shared" si="185"/>
        <v>0.39810493924623397</v>
      </c>
      <c r="CJ70" s="39">
        <f t="shared" si="186"/>
        <v>0.47228767290635193</v>
      </c>
      <c r="CK70" s="39">
        <f t="shared" si="187"/>
        <v>0.56842158280654387</v>
      </c>
      <c r="CL70" s="39">
        <f t="shared" si="188"/>
        <v>0.67438733931624617</v>
      </c>
      <c r="CM70" s="39">
        <f t="shared" si="189"/>
        <v>0.7223866233232864</v>
      </c>
      <c r="CN70" s="39">
        <f t="shared" si="190"/>
        <v>0.78444708448508493</v>
      </c>
      <c r="CO70" s="39">
        <f t="shared" si="191"/>
        <v>0.85491905274473401</v>
      </c>
      <c r="CP70" s="39">
        <f t="shared" si="192"/>
        <v>0.91332956276329558</v>
      </c>
      <c r="CQ70" s="39">
        <f t="shared" si="193"/>
        <v>0.96635575361512871</v>
      </c>
      <c r="CR70" s="39">
        <f t="shared" si="194"/>
        <v>1</v>
      </c>
    </row>
    <row r="71" spans="1:96">
      <c r="A71" s="193" t="s">
        <v>95</v>
      </c>
      <c r="B71" s="34">
        <v>16101.98</v>
      </c>
      <c r="C71" s="34">
        <v>37697.31</v>
      </c>
      <c r="D71" s="34">
        <v>12441.51</v>
      </c>
      <c r="E71" s="34">
        <v>14291.04</v>
      </c>
      <c r="F71" s="34">
        <v>19880.3</v>
      </c>
      <c r="G71" s="34">
        <v>28548.58</v>
      </c>
      <c r="H71" s="34">
        <v>8517.5400000000009</v>
      </c>
      <c r="I71" s="34">
        <v>4301.18</v>
      </c>
      <c r="J71" s="34">
        <v>6220.66</v>
      </c>
      <c r="K71" s="34">
        <v>5861.4</v>
      </c>
      <c r="L71" s="34">
        <v>4391.88</v>
      </c>
      <c r="M71" s="34">
        <v>3630</v>
      </c>
      <c r="N71" s="68">
        <f t="shared" si="208"/>
        <v>161883.38</v>
      </c>
      <c r="P71" s="85" t="s">
        <v>95</v>
      </c>
      <c r="Q71" s="34">
        <v>12561.59</v>
      </c>
      <c r="R71" s="34">
        <v>26019.52</v>
      </c>
      <c r="S71" s="34">
        <v>20001.97</v>
      </c>
      <c r="T71" s="34">
        <v>14815.47</v>
      </c>
      <c r="U71" s="34">
        <v>18147.080000000002</v>
      </c>
      <c r="V71" s="34">
        <v>20659.490000000002</v>
      </c>
      <c r="W71" s="34">
        <v>6948.07</v>
      </c>
      <c r="X71" s="34">
        <v>4059.7</v>
      </c>
      <c r="Y71" s="34">
        <v>1983.88</v>
      </c>
      <c r="Z71" s="34">
        <v>4154.5600000000004</v>
      </c>
      <c r="AA71" s="34">
        <v>5742.6</v>
      </c>
      <c r="AB71" s="34">
        <v>5186.57</v>
      </c>
      <c r="AC71" s="68">
        <f t="shared" si="209"/>
        <v>140280.5</v>
      </c>
      <c r="AE71" s="85" t="s">
        <v>95</v>
      </c>
      <c r="AF71" s="34">
        <v>10687.47</v>
      </c>
      <c r="AG71" s="34">
        <v>42059.1</v>
      </c>
      <c r="AH71" s="34">
        <v>10780.37</v>
      </c>
      <c r="AI71" s="34">
        <v>8245.15</v>
      </c>
      <c r="AJ71" s="34">
        <v>13248.39</v>
      </c>
      <c r="AK71" s="34">
        <v>16063.779999999999</v>
      </c>
      <c r="AL71" s="34">
        <v>7785.93</v>
      </c>
      <c r="AM71" s="34">
        <v>4649.5599999999995</v>
      </c>
      <c r="AN71" s="34">
        <v>4497.67</v>
      </c>
      <c r="AO71" s="34">
        <v>2933.2000000000003</v>
      </c>
      <c r="AP71" s="34">
        <v>1939.79</v>
      </c>
      <c r="AQ71" s="34">
        <v>2569.12</v>
      </c>
      <c r="AR71" s="68">
        <f t="shared" si="210"/>
        <v>125459.52999999998</v>
      </c>
      <c r="AT71" s="39">
        <f t="shared" si="195"/>
        <v>9.946654190195435E-2</v>
      </c>
      <c r="AU71" s="39">
        <f t="shared" si="196"/>
        <v>0.33233362189497151</v>
      </c>
      <c r="AV71" s="39">
        <f t="shared" si="197"/>
        <v>0.40918839228585407</v>
      </c>
      <c r="AW71" s="39">
        <f t="shared" si="198"/>
        <v>0.49746823917316274</v>
      </c>
      <c r="AX71" s="39">
        <f t="shared" si="199"/>
        <v>0.62027454578722041</v>
      </c>
      <c r="AY71" s="39">
        <f t="shared" si="200"/>
        <v>0.79662730046778119</v>
      </c>
      <c r="AZ71" s="39">
        <f t="shared" si="201"/>
        <v>0.84924258438389422</v>
      </c>
      <c r="BA71" s="39">
        <f t="shared" si="202"/>
        <v>0.87581220505773971</v>
      </c>
      <c r="BB71" s="39">
        <f t="shared" si="203"/>
        <v>0.91423900341097397</v>
      </c>
      <c r="BC71" s="39">
        <f t="shared" si="204"/>
        <v>0.95044654985582833</v>
      </c>
      <c r="BD71" s="39">
        <f t="shared" si="205"/>
        <v>0.97757645040522378</v>
      </c>
      <c r="BE71" s="39">
        <f t="shared" si="206"/>
        <v>1</v>
      </c>
      <c r="BG71" s="39">
        <f t="shared" si="160"/>
        <v>8.9546230588000472E-2</v>
      </c>
      <c r="BH71" s="39">
        <f t="shared" si="161"/>
        <v>0.2750283182623387</v>
      </c>
      <c r="BI71" s="39">
        <f t="shared" si="162"/>
        <v>0.41761385224603564</v>
      </c>
      <c r="BJ71" s="39">
        <f t="shared" si="163"/>
        <v>0.52322703440606499</v>
      </c>
      <c r="BK71" s="39">
        <f t="shared" si="164"/>
        <v>0.65258984677129039</v>
      </c>
      <c r="BL71" s="39">
        <f t="shared" si="165"/>
        <v>0.79986256108297316</v>
      </c>
      <c r="BM71" s="39">
        <f t="shared" si="166"/>
        <v>0.84939239594954397</v>
      </c>
      <c r="BN71" s="39">
        <f t="shared" si="167"/>
        <v>0.87833226998763192</v>
      </c>
      <c r="BO71" s="39">
        <f t="shared" si="168"/>
        <v>0.89247450643532067</v>
      </c>
      <c r="BP71" s="39">
        <f t="shared" si="169"/>
        <v>0.92209059705376017</v>
      </c>
      <c r="BQ71" s="39">
        <f t="shared" si="170"/>
        <v>0.96302714917611498</v>
      </c>
      <c r="BR71" s="39">
        <f t="shared" si="171"/>
        <v>1</v>
      </c>
      <c r="BS71" s="61"/>
      <c r="BT71" s="39">
        <f t="shared" si="172"/>
        <v>8.5186593637007896E-2</v>
      </c>
      <c r="BU71" s="39">
        <f t="shared" si="173"/>
        <v>0.42042696955743425</v>
      </c>
      <c r="BV71" s="39">
        <f t="shared" si="174"/>
        <v>0.50635404102023984</v>
      </c>
      <c r="BW71" s="39">
        <f t="shared" si="175"/>
        <v>0.57207364000168026</v>
      </c>
      <c r="BX71" s="39">
        <f t="shared" si="176"/>
        <v>0.67767255305356244</v>
      </c>
      <c r="BY71" s="39">
        <f t="shared" si="177"/>
        <v>0.8057120889899716</v>
      </c>
      <c r="BZ71" s="39">
        <f t="shared" si="178"/>
        <v>0.86777138412681776</v>
      </c>
      <c r="CA71" s="39">
        <f t="shared" si="179"/>
        <v>0.90483162179867893</v>
      </c>
      <c r="CB71" s="39">
        <f t="shared" si="180"/>
        <v>0.94068119018140761</v>
      </c>
      <c r="CC71" s="39">
        <f t="shared" si="181"/>
        <v>0.96406084097397793</v>
      </c>
      <c r="CD71" s="39">
        <f t="shared" si="182"/>
        <v>0.97952232086315005</v>
      </c>
      <c r="CE71" s="39">
        <f t="shared" si="183"/>
        <v>1</v>
      </c>
      <c r="CG71" s="39">
        <f t="shared" si="207"/>
        <v>9.1399788708987573E-2</v>
      </c>
      <c r="CH71" s="39">
        <f t="shared" si="184"/>
        <v>0.34259630323824819</v>
      </c>
      <c r="CI71" s="39">
        <f t="shared" si="185"/>
        <v>0.4443854285173765</v>
      </c>
      <c r="CJ71" s="39">
        <f t="shared" si="186"/>
        <v>0.53092297119363596</v>
      </c>
      <c r="CK71" s="39">
        <f t="shared" si="187"/>
        <v>0.65017898187069101</v>
      </c>
      <c r="CL71" s="39">
        <f t="shared" si="188"/>
        <v>0.80073398351357528</v>
      </c>
      <c r="CM71" s="39">
        <f t="shared" si="189"/>
        <v>0.85546878815341865</v>
      </c>
      <c r="CN71" s="39">
        <f t="shared" si="190"/>
        <v>0.88632536561468356</v>
      </c>
      <c r="CO71" s="39">
        <f t="shared" si="191"/>
        <v>0.91579823334256749</v>
      </c>
      <c r="CP71" s="39">
        <f t="shared" si="192"/>
        <v>0.9455326626278554</v>
      </c>
      <c r="CQ71" s="39">
        <f t="shared" si="193"/>
        <v>0.97337530681482953</v>
      </c>
      <c r="CR71" s="39">
        <f t="shared" si="194"/>
        <v>1</v>
      </c>
    </row>
    <row r="72" spans="1:96">
      <c r="A72" s="193" t="s">
        <v>96</v>
      </c>
      <c r="B72" s="34">
        <v>4988.84</v>
      </c>
      <c r="C72" s="34">
        <v>11306.66</v>
      </c>
      <c r="D72" s="34">
        <v>3924.8</v>
      </c>
      <c r="E72" s="34">
        <v>5030.3599999999997</v>
      </c>
      <c r="F72" s="34">
        <v>5057.99</v>
      </c>
      <c r="G72" s="34">
        <v>5435.72</v>
      </c>
      <c r="H72" s="34">
        <v>1824.19</v>
      </c>
      <c r="I72" s="34">
        <v>3040.31</v>
      </c>
      <c r="J72" s="34">
        <v>1722.85</v>
      </c>
      <c r="K72" s="34">
        <v>1418.86</v>
      </c>
      <c r="L72" s="34">
        <v>1474.09</v>
      </c>
      <c r="M72" s="34">
        <v>1584.67</v>
      </c>
      <c r="N72" s="68">
        <f t="shared" si="208"/>
        <v>46809.34</v>
      </c>
      <c r="P72" s="85" t="s">
        <v>96</v>
      </c>
      <c r="Q72" s="34">
        <v>4950.79</v>
      </c>
      <c r="R72" s="34">
        <v>8055.64</v>
      </c>
      <c r="S72" s="34">
        <v>5217.68</v>
      </c>
      <c r="T72" s="34">
        <v>5324.46</v>
      </c>
      <c r="U72" s="34">
        <v>6013.92</v>
      </c>
      <c r="V72" s="34">
        <v>3576.34</v>
      </c>
      <c r="W72" s="34">
        <v>1485.71</v>
      </c>
      <c r="X72" s="34">
        <v>1636.92</v>
      </c>
      <c r="Y72" s="34">
        <v>2019.46</v>
      </c>
      <c r="Z72" s="34">
        <v>1565.76</v>
      </c>
      <c r="AA72" s="34">
        <v>685.01</v>
      </c>
      <c r="AB72" s="34">
        <v>1174.3399999999999</v>
      </c>
      <c r="AC72" s="68">
        <f t="shared" si="209"/>
        <v>41706.03</v>
      </c>
      <c r="AE72" s="85" t="s">
        <v>96</v>
      </c>
      <c r="AF72" s="34">
        <v>8452.6299999999992</v>
      </c>
      <c r="AG72" s="34">
        <v>7927.32</v>
      </c>
      <c r="AH72" s="34">
        <v>6726.71</v>
      </c>
      <c r="AI72" s="34">
        <v>1728.33</v>
      </c>
      <c r="AJ72" s="34">
        <v>3574.4100000000003</v>
      </c>
      <c r="AK72" s="34">
        <v>4671.26</v>
      </c>
      <c r="AL72" s="34">
        <v>2042.0400000000002</v>
      </c>
      <c r="AM72" s="34">
        <v>1469.3</v>
      </c>
      <c r="AN72" s="34">
        <v>2387.11</v>
      </c>
      <c r="AO72" s="34">
        <v>1610.46</v>
      </c>
      <c r="AP72" s="34">
        <v>790.13</v>
      </c>
      <c r="AQ72" s="34">
        <v>366.51</v>
      </c>
      <c r="AR72" s="68">
        <f t="shared" si="210"/>
        <v>41746.21</v>
      </c>
      <c r="AT72" s="39">
        <f t="shared" si="195"/>
        <v>0.10657787527019182</v>
      </c>
      <c r="AU72" s="39">
        <f t="shared" si="196"/>
        <v>0.348124968222154</v>
      </c>
      <c r="AV72" s="39">
        <f t="shared" si="197"/>
        <v>0.43197148261436713</v>
      </c>
      <c r="AW72" s="39">
        <f t="shared" si="198"/>
        <v>0.53943636035030618</v>
      </c>
      <c r="AX72" s="39">
        <f t="shared" si="199"/>
        <v>0.64749150490051777</v>
      </c>
      <c r="AY72" s="39">
        <f t="shared" si="200"/>
        <v>0.76361619283672888</v>
      </c>
      <c r="AZ72" s="39">
        <f t="shared" si="201"/>
        <v>0.80258683416600207</v>
      </c>
      <c r="BA72" s="39">
        <f t="shared" si="202"/>
        <v>0.86753776062640497</v>
      </c>
      <c r="BB72" s="39">
        <f t="shared" si="203"/>
        <v>0.90434344940561018</v>
      </c>
      <c r="BC72" s="39">
        <f t="shared" si="204"/>
        <v>0.93465492143234674</v>
      </c>
      <c r="BD72" s="39">
        <f t="shared" si="205"/>
        <v>0.96614628618989296</v>
      </c>
      <c r="BE72" s="39">
        <f t="shared" si="206"/>
        <v>1</v>
      </c>
      <c r="BG72" s="39">
        <f t="shared" si="160"/>
        <v>0.1187068152974522</v>
      </c>
      <c r="BH72" s="39">
        <f t="shared" si="161"/>
        <v>0.3118596999043064</v>
      </c>
      <c r="BI72" s="39">
        <f t="shared" si="162"/>
        <v>0.43696582964142117</v>
      </c>
      <c r="BJ72" s="39">
        <f t="shared" si="163"/>
        <v>0.56463226061075578</v>
      </c>
      <c r="BK72" s="39">
        <f t="shared" si="164"/>
        <v>0.70883011401468798</v>
      </c>
      <c r="BL72" s="39">
        <f t="shared" si="165"/>
        <v>0.7945812631890401</v>
      </c>
      <c r="BM72" s="39">
        <f t="shared" si="166"/>
        <v>0.83020464906393632</v>
      </c>
      <c r="BN72" s="39">
        <f t="shared" si="167"/>
        <v>0.86945364974801009</v>
      </c>
      <c r="BO72" s="39">
        <f t="shared" si="168"/>
        <v>0.9178749451817878</v>
      </c>
      <c r="BP72" s="39">
        <f t="shared" si="169"/>
        <v>0.95541771777366491</v>
      </c>
      <c r="BQ72" s="39">
        <f t="shared" si="170"/>
        <v>0.97184244100912998</v>
      </c>
      <c r="BR72" s="39">
        <f t="shared" si="171"/>
        <v>1</v>
      </c>
      <c r="BS72" s="61"/>
      <c r="BT72" s="39">
        <f t="shared" si="172"/>
        <v>0.20247658410188613</v>
      </c>
      <c r="BU72" s="39">
        <f t="shared" si="173"/>
        <v>0.39236975045159789</v>
      </c>
      <c r="BV72" s="39">
        <f t="shared" si="174"/>
        <v>0.55350318028870171</v>
      </c>
      <c r="BW72" s="39">
        <f t="shared" si="175"/>
        <v>0.59490406434500276</v>
      </c>
      <c r="BX72" s="39">
        <f t="shared" si="176"/>
        <v>0.68052644779011073</v>
      </c>
      <c r="BY72" s="39">
        <f t="shared" si="177"/>
        <v>0.79242307265737411</v>
      </c>
      <c r="BZ72" s="39">
        <f t="shared" si="178"/>
        <v>0.84133865086195847</v>
      </c>
      <c r="CA72" s="39">
        <f t="shared" si="179"/>
        <v>0.8765346602721541</v>
      </c>
      <c r="CB72" s="39">
        <f t="shared" si="180"/>
        <v>0.93371613854287616</v>
      </c>
      <c r="CC72" s="39">
        <f t="shared" si="181"/>
        <v>0.97229353275423092</v>
      </c>
      <c r="CD72" s="39">
        <f t="shared" si="182"/>
        <v>0.99122052037777797</v>
      </c>
      <c r="CE72" s="39">
        <f t="shared" si="183"/>
        <v>1</v>
      </c>
      <c r="CG72" s="39">
        <f t="shared" si="207"/>
        <v>0.14258709155651003</v>
      </c>
      <c r="CH72" s="39">
        <f t="shared" si="184"/>
        <v>0.35078480619268609</v>
      </c>
      <c r="CI72" s="39">
        <f t="shared" si="185"/>
        <v>0.47414683084816334</v>
      </c>
      <c r="CJ72" s="39">
        <f t="shared" si="186"/>
        <v>0.5663242284353549</v>
      </c>
      <c r="CK72" s="39">
        <f t="shared" si="187"/>
        <v>0.67894935556843883</v>
      </c>
      <c r="CL72" s="39">
        <f t="shared" si="188"/>
        <v>0.78354017622771444</v>
      </c>
      <c r="CM72" s="39">
        <f t="shared" si="189"/>
        <v>0.82471004469729892</v>
      </c>
      <c r="CN72" s="39">
        <f t="shared" si="190"/>
        <v>0.87117535688218972</v>
      </c>
      <c r="CO72" s="39">
        <f t="shared" si="191"/>
        <v>0.91864484437675797</v>
      </c>
      <c r="CP72" s="39">
        <f t="shared" si="192"/>
        <v>0.95412205732008093</v>
      </c>
      <c r="CQ72" s="39">
        <f t="shared" si="193"/>
        <v>0.97640308252560037</v>
      </c>
      <c r="CR72" s="39">
        <f t="shared" si="194"/>
        <v>1</v>
      </c>
    </row>
    <row r="73" spans="1:96">
      <c r="A73" s="193" t="s">
        <v>97</v>
      </c>
      <c r="B73" s="34">
        <v>12363.83</v>
      </c>
      <c r="C73" s="34">
        <v>19986.55</v>
      </c>
      <c r="D73" s="34">
        <v>9319.41</v>
      </c>
      <c r="E73" s="34">
        <v>11057.45</v>
      </c>
      <c r="F73" s="34">
        <v>9584.09</v>
      </c>
      <c r="G73" s="34">
        <v>10429.75</v>
      </c>
      <c r="H73" s="34">
        <v>4617.62</v>
      </c>
      <c r="I73" s="34">
        <v>3926.3</v>
      </c>
      <c r="J73" s="34">
        <v>4146.8900000000003</v>
      </c>
      <c r="K73" s="34">
        <v>4960.6899999999996</v>
      </c>
      <c r="L73" s="34">
        <v>3777.79</v>
      </c>
      <c r="M73" s="34">
        <v>3364.89</v>
      </c>
      <c r="N73" s="68">
        <f t="shared" si="208"/>
        <v>97535.25999999998</v>
      </c>
      <c r="P73" s="85" t="s">
        <v>97</v>
      </c>
      <c r="Q73" s="34">
        <v>10497.66</v>
      </c>
      <c r="R73" s="34">
        <v>15432.49</v>
      </c>
      <c r="S73" s="34">
        <v>15472.38</v>
      </c>
      <c r="T73" s="34">
        <v>9173.61</v>
      </c>
      <c r="U73" s="34">
        <v>10865.020000000002</v>
      </c>
      <c r="V73" s="34">
        <v>12588.37</v>
      </c>
      <c r="W73" s="34">
        <v>3106.6200000000003</v>
      </c>
      <c r="X73" s="34">
        <v>3414.43</v>
      </c>
      <c r="Y73" s="34">
        <v>5111.8599999999997</v>
      </c>
      <c r="Z73" s="34">
        <v>3416.24</v>
      </c>
      <c r="AA73" s="34">
        <v>1799.28</v>
      </c>
      <c r="AB73" s="34">
        <v>1876.1</v>
      </c>
      <c r="AC73" s="68">
        <f t="shared" si="209"/>
        <v>92754.06</v>
      </c>
      <c r="AE73" s="85" t="s">
        <v>97</v>
      </c>
      <c r="AF73" s="34">
        <v>7971.72</v>
      </c>
      <c r="AG73" s="34">
        <v>16915.84</v>
      </c>
      <c r="AH73" s="34">
        <v>11551.61</v>
      </c>
      <c r="AI73" s="34">
        <v>7325.09</v>
      </c>
      <c r="AJ73" s="34">
        <v>11655.099999999999</v>
      </c>
      <c r="AK73" s="34">
        <v>10958.039999999999</v>
      </c>
      <c r="AL73" s="34">
        <v>4707.17</v>
      </c>
      <c r="AM73" s="34">
        <v>3435.24</v>
      </c>
      <c r="AN73" s="34">
        <v>3875.21</v>
      </c>
      <c r="AO73" s="34">
        <v>3179.24</v>
      </c>
      <c r="AP73" s="34">
        <v>951.22</v>
      </c>
      <c r="AQ73" s="34">
        <v>994.82</v>
      </c>
      <c r="AR73" s="68">
        <f t="shared" si="210"/>
        <v>83520.300000000017</v>
      </c>
      <c r="AT73" s="39">
        <f t="shared" si="195"/>
        <v>0.12676267023843482</v>
      </c>
      <c r="AU73" s="39">
        <f t="shared" si="196"/>
        <v>0.33167882056191783</v>
      </c>
      <c r="AV73" s="39">
        <f t="shared" si="197"/>
        <v>0.42722795838140998</v>
      </c>
      <c r="AW73" s="39">
        <f t="shared" si="198"/>
        <v>0.54059670318200825</v>
      </c>
      <c r="AX73" s="39">
        <f t="shared" si="199"/>
        <v>0.63885952628823672</v>
      </c>
      <c r="AY73" s="39">
        <f t="shared" si="200"/>
        <v>0.7457926497555859</v>
      </c>
      <c r="AZ73" s="39">
        <f t="shared" si="201"/>
        <v>0.79313573368236268</v>
      </c>
      <c r="BA73" s="39">
        <f t="shared" si="202"/>
        <v>0.83339091934547571</v>
      </c>
      <c r="BB73" s="39">
        <f t="shared" si="203"/>
        <v>0.87590774864392629</v>
      </c>
      <c r="BC73" s="39">
        <f t="shared" si="204"/>
        <v>0.92676822720316743</v>
      </c>
      <c r="BD73" s="39">
        <f t="shared" si="205"/>
        <v>0.96550078402415695</v>
      </c>
      <c r="BE73" s="39">
        <f t="shared" si="206"/>
        <v>1</v>
      </c>
      <c r="BG73" s="39">
        <f t="shared" si="160"/>
        <v>0.11317736388035197</v>
      </c>
      <c r="BH73" s="39">
        <f t="shared" si="161"/>
        <v>0.27955811314351092</v>
      </c>
      <c r="BI73" s="39">
        <f t="shared" si="162"/>
        <v>0.44636892444384646</v>
      </c>
      <c r="BJ73" s="39">
        <f t="shared" si="163"/>
        <v>0.54527144148730522</v>
      </c>
      <c r="BK73" s="39">
        <f t="shared" si="164"/>
        <v>0.66240938671579452</v>
      </c>
      <c r="BL73" s="39">
        <f t="shared" si="165"/>
        <v>0.79812711163263361</v>
      </c>
      <c r="BM73" s="39">
        <f t="shared" si="166"/>
        <v>0.83162020077611698</v>
      </c>
      <c r="BN73" s="39">
        <f t="shared" si="167"/>
        <v>0.8684318508537523</v>
      </c>
      <c r="BO73" s="39">
        <f t="shared" si="168"/>
        <v>0.92354383193576639</v>
      </c>
      <c r="BP73" s="39">
        <f t="shared" si="169"/>
        <v>0.96037499598400322</v>
      </c>
      <c r="BQ73" s="39">
        <f t="shared" si="170"/>
        <v>0.9797733921296814</v>
      </c>
      <c r="BR73" s="39">
        <f t="shared" si="171"/>
        <v>1</v>
      </c>
      <c r="BS73" s="61"/>
      <c r="BT73" s="39">
        <f t="shared" si="172"/>
        <v>9.5446496241033602E-2</v>
      </c>
      <c r="BU73" s="39">
        <f t="shared" si="173"/>
        <v>0.29798216720964837</v>
      </c>
      <c r="BV73" s="39">
        <f t="shared" si="174"/>
        <v>0.43629117711502463</v>
      </c>
      <c r="BW73" s="39">
        <f t="shared" si="175"/>
        <v>0.52399548373269711</v>
      </c>
      <c r="BX73" s="39">
        <f t="shared" si="176"/>
        <v>0.66354359359341364</v>
      </c>
      <c r="BY73" s="39">
        <f t="shared" si="177"/>
        <v>0.79474570852834558</v>
      </c>
      <c r="BZ73" s="39">
        <f t="shared" si="178"/>
        <v>0.85110530014858632</v>
      </c>
      <c r="CA73" s="39">
        <f t="shared" si="179"/>
        <v>0.89223589953580129</v>
      </c>
      <c r="CB73" s="39">
        <f t="shared" si="180"/>
        <v>0.93863432003955904</v>
      </c>
      <c r="CC73" s="39">
        <f t="shared" si="181"/>
        <v>0.97669979633693838</v>
      </c>
      <c r="CD73" s="39">
        <f t="shared" si="182"/>
        <v>0.98808888378035031</v>
      </c>
      <c r="CE73" s="39">
        <f t="shared" si="183"/>
        <v>1</v>
      </c>
      <c r="CG73" s="39">
        <f t="shared" si="207"/>
        <v>0.11179551011994011</v>
      </c>
      <c r="CH73" s="39">
        <f t="shared" si="184"/>
        <v>0.30307303363835908</v>
      </c>
      <c r="CI73" s="39">
        <f t="shared" si="185"/>
        <v>0.43662935331342706</v>
      </c>
      <c r="CJ73" s="39">
        <f t="shared" si="186"/>
        <v>0.53662120946733693</v>
      </c>
      <c r="CK73" s="39">
        <f t="shared" si="187"/>
        <v>0.65493750219914837</v>
      </c>
      <c r="CL73" s="39">
        <f t="shared" si="188"/>
        <v>0.779555156638855</v>
      </c>
      <c r="CM73" s="39">
        <f t="shared" si="189"/>
        <v>0.82528707820235525</v>
      </c>
      <c r="CN73" s="39">
        <f t="shared" si="190"/>
        <v>0.86468622324500977</v>
      </c>
      <c r="CO73" s="39">
        <f t="shared" si="191"/>
        <v>0.91269530020641731</v>
      </c>
      <c r="CP73" s="39">
        <f t="shared" si="192"/>
        <v>0.95461433984136956</v>
      </c>
      <c r="CQ73" s="39">
        <f t="shared" si="193"/>
        <v>0.97778768664472959</v>
      </c>
      <c r="CR73" s="39">
        <f t="shared" si="194"/>
        <v>1</v>
      </c>
    </row>
    <row r="74" spans="1:96">
      <c r="A74" s="193" t="s">
        <v>98</v>
      </c>
      <c r="B74" s="34">
        <v>23506.92</v>
      </c>
      <c r="C74" s="34">
        <v>26574.97</v>
      </c>
      <c r="D74" s="34">
        <v>8205.44</v>
      </c>
      <c r="E74" s="34">
        <v>15794.33</v>
      </c>
      <c r="F74" s="34">
        <v>21957.74</v>
      </c>
      <c r="G74" s="34">
        <v>15109.5</v>
      </c>
      <c r="H74" s="34">
        <v>7085.79</v>
      </c>
      <c r="I74" s="34">
        <v>3888.82</v>
      </c>
      <c r="J74" s="34">
        <v>4307.09</v>
      </c>
      <c r="K74" s="34">
        <v>4584.42</v>
      </c>
      <c r="L74" s="34">
        <v>4166.12</v>
      </c>
      <c r="M74" s="34">
        <v>3060.62</v>
      </c>
      <c r="N74" s="68">
        <f t="shared" si="208"/>
        <v>138241.76</v>
      </c>
      <c r="P74" s="85" t="s">
        <v>98</v>
      </c>
      <c r="Q74" s="34">
        <v>13010.83</v>
      </c>
      <c r="R74" s="34">
        <v>25777.1</v>
      </c>
      <c r="S74" s="34">
        <v>17883.91</v>
      </c>
      <c r="T74" s="34">
        <v>13512.93</v>
      </c>
      <c r="U74" s="34">
        <v>11389.64</v>
      </c>
      <c r="V74" s="34">
        <v>14786.48</v>
      </c>
      <c r="W74" s="34">
        <v>5457.92</v>
      </c>
      <c r="X74" s="34">
        <v>5755.97</v>
      </c>
      <c r="Y74" s="34">
        <v>2753.68</v>
      </c>
      <c r="Z74" s="34">
        <v>3282.78</v>
      </c>
      <c r="AA74" s="34">
        <v>4298.63</v>
      </c>
      <c r="AB74" s="34">
        <v>2837.97</v>
      </c>
      <c r="AC74" s="68">
        <f t="shared" si="209"/>
        <v>120747.83999999998</v>
      </c>
      <c r="AE74" s="85" t="s">
        <v>98</v>
      </c>
      <c r="AF74" s="34">
        <v>17793.670000000002</v>
      </c>
      <c r="AG74" s="34">
        <v>26223.61</v>
      </c>
      <c r="AH74" s="34">
        <v>12611.77</v>
      </c>
      <c r="AI74" s="34">
        <v>8479.7100000000009</v>
      </c>
      <c r="AJ74" s="34">
        <v>18583.870000000003</v>
      </c>
      <c r="AK74" s="34">
        <v>13927.81</v>
      </c>
      <c r="AL74" s="34">
        <v>3993.33</v>
      </c>
      <c r="AM74" s="34">
        <v>5813.73</v>
      </c>
      <c r="AN74" s="34">
        <v>2734.91</v>
      </c>
      <c r="AO74" s="34">
        <v>3541.26</v>
      </c>
      <c r="AP74" s="34">
        <v>2178.1699999999996</v>
      </c>
      <c r="AQ74" s="34">
        <v>2911.28</v>
      </c>
      <c r="AR74" s="68">
        <f t="shared" si="210"/>
        <v>118793.12</v>
      </c>
      <c r="AT74" s="39">
        <f t="shared" si="195"/>
        <v>0.17004210594541039</v>
      </c>
      <c r="AU74" s="39">
        <f t="shared" si="196"/>
        <v>0.36227757806324223</v>
      </c>
      <c r="AV74" s="39">
        <f t="shared" si="197"/>
        <v>0.42163330385839992</v>
      </c>
      <c r="AW74" s="39">
        <f t="shared" si="198"/>
        <v>0.53588481512388153</v>
      </c>
      <c r="AX74" s="39">
        <f t="shared" si="199"/>
        <v>0.69472061119592232</v>
      </c>
      <c r="AY74" s="39">
        <f t="shared" si="200"/>
        <v>0.80401826481375815</v>
      </c>
      <c r="AZ74" s="39">
        <f t="shared" si="201"/>
        <v>0.85527477370079774</v>
      </c>
      <c r="BA74" s="39">
        <f t="shared" si="202"/>
        <v>0.88340534726988429</v>
      </c>
      <c r="BB74" s="39">
        <f t="shared" si="203"/>
        <v>0.91456156229492447</v>
      </c>
      <c r="BC74" s="39">
        <f t="shared" si="204"/>
        <v>0.94772390050589628</v>
      </c>
      <c r="BD74" s="39">
        <f t="shared" si="205"/>
        <v>0.9778603802497885</v>
      </c>
      <c r="BE74" s="39">
        <f t="shared" si="206"/>
        <v>1</v>
      </c>
      <c r="BG74" s="39">
        <f t="shared" si="160"/>
        <v>0.10775207241802422</v>
      </c>
      <c r="BH74" s="39">
        <f t="shared" si="161"/>
        <v>0.32123083940880437</v>
      </c>
      <c r="BI74" s="39">
        <f t="shared" si="162"/>
        <v>0.46934040393600418</v>
      </c>
      <c r="BJ74" s="39">
        <f t="shared" si="163"/>
        <v>0.58125072879150463</v>
      </c>
      <c r="BK74" s="39">
        <f t="shared" si="164"/>
        <v>0.67557655689741536</v>
      </c>
      <c r="BL74" s="39">
        <f t="shared" si="165"/>
        <v>0.79803406835269264</v>
      </c>
      <c r="BM74" s="39">
        <f t="shared" si="166"/>
        <v>0.84323504254817305</v>
      </c>
      <c r="BN74" s="39">
        <f t="shared" si="167"/>
        <v>0.89090438387966198</v>
      </c>
      <c r="BO74" s="39">
        <f t="shared" si="168"/>
        <v>0.91370959513644301</v>
      </c>
      <c r="BP74" s="39">
        <f t="shared" si="169"/>
        <v>0.94089666531508964</v>
      </c>
      <c r="BQ74" s="39">
        <f t="shared" si="170"/>
        <v>0.97649672242584218</v>
      </c>
      <c r="BR74" s="39">
        <f t="shared" si="171"/>
        <v>1</v>
      </c>
      <c r="BS74" s="61"/>
      <c r="BT74" s="39">
        <f t="shared" si="172"/>
        <v>0.14978704153910599</v>
      </c>
      <c r="BU74" s="39">
        <f t="shared" si="173"/>
        <v>0.37053728364066874</v>
      </c>
      <c r="BV74" s="39">
        <f t="shared" si="174"/>
        <v>0.47670311209942129</v>
      </c>
      <c r="BW74" s="39">
        <f t="shared" si="175"/>
        <v>0.5480852763190327</v>
      </c>
      <c r="BX74" s="39">
        <f t="shared" si="176"/>
        <v>0.70452421823755451</v>
      </c>
      <c r="BY74" s="39">
        <f t="shared" si="177"/>
        <v>0.82176846605257958</v>
      </c>
      <c r="BZ74" s="39">
        <f t="shared" si="178"/>
        <v>0.85538430171713653</v>
      </c>
      <c r="CA74" s="39">
        <f t="shared" si="179"/>
        <v>0.90432425716236764</v>
      </c>
      <c r="CB74" s="39">
        <f t="shared" si="180"/>
        <v>0.92734671839581284</v>
      </c>
      <c r="CC74" s="39">
        <f t="shared" si="181"/>
        <v>0.95715703064285207</v>
      </c>
      <c r="CD74" s="39">
        <f t="shared" si="182"/>
        <v>0.97549285682537845</v>
      </c>
      <c r="CE74" s="39">
        <f t="shared" si="183"/>
        <v>1</v>
      </c>
      <c r="CG74" s="39">
        <f t="shared" si="207"/>
        <v>0.14252707330084688</v>
      </c>
      <c r="CH74" s="39">
        <f t="shared" si="184"/>
        <v>0.35134856703757178</v>
      </c>
      <c r="CI74" s="39">
        <f t="shared" si="185"/>
        <v>0.4558922732979418</v>
      </c>
      <c r="CJ74" s="39">
        <f t="shared" si="186"/>
        <v>0.55507360674480632</v>
      </c>
      <c r="CK74" s="39">
        <f t="shared" si="187"/>
        <v>0.69160712877696406</v>
      </c>
      <c r="CL74" s="39">
        <f t="shared" si="188"/>
        <v>0.80794026640634353</v>
      </c>
      <c r="CM74" s="39">
        <f t="shared" si="189"/>
        <v>0.85129803932203574</v>
      </c>
      <c r="CN74" s="39">
        <f t="shared" si="190"/>
        <v>0.89287799610397134</v>
      </c>
      <c r="CO74" s="39">
        <f t="shared" si="191"/>
        <v>0.91853929194239348</v>
      </c>
      <c r="CP74" s="39">
        <f t="shared" si="192"/>
        <v>0.94859253215461281</v>
      </c>
      <c r="CQ74" s="39">
        <f t="shared" si="193"/>
        <v>0.97661665316700308</v>
      </c>
      <c r="CR74" s="39">
        <f t="shared" si="194"/>
        <v>1</v>
      </c>
    </row>
    <row r="75" spans="1:96">
      <c r="A75" s="193" t="s">
        <v>99</v>
      </c>
      <c r="B75" s="34">
        <v>85869.61</v>
      </c>
      <c r="C75" s="34">
        <v>119100</v>
      </c>
      <c r="D75" s="34">
        <v>45143.91</v>
      </c>
      <c r="E75" s="34">
        <v>40575.129999999997</v>
      </c>
      <c r="F75" s="34">
        <v>68978.600000000006</v>
      </c>
      <c r="G75" s="34">
        <v>51422.48</v>
      </c>
      <c r="H75" s="34">
        <v>19890.189999999999</v>
      </c>
      <c r="I75" s="34">
        <v>11223.34</v>
      </c>
      <c r="J75" s="34">
        <v>17085.88</v>
      </c>
      <c r="K75" s="34">
        <v>23171.69</v>
      </c>
      <c r="L75" s="34">
        <v>16730.27</v>
      </c>
      <c r="M75" s="34">
        <v>21694.54</v>
      </c>
      <c r="N75" s="68">
        <f t="shared" si="208"/>
        <v>520885.64</v>
      </c>
      <c r="P75" s="85" t="s">
        <v>99</v>
      </c>
      <c r="Q75" s="34">
        <v>67318.34</v>
      </c>
      <c r="R75" s="34">
        <v>106195.41</v>
      </c>
      <c r="S75" s="34">
        <v>50423.25</v>
      </c>
      <c r="T75" s="34">
        <v>33295.199999999997</v>
      </c>
      <c r="U75" s="34">
        <v>47818.470000000008</v>
      </c>
      <c r="V75" s="34">
        <v>56628.4</v>
      </c>
      <c r="W75" s="34">
        <v>12405.030000000002</v>
      </c>
      <c r="X75" s="34">
        <v>11169.35</v>
      </c>
      <c r="Y75" s="34">
        <v>6500.61</v>
      </c>
      <c r="Z75" s="34">
        <v>17959.11</v>
      </c>
      <c r="AA75" s="34">
        <v>10257.59</v>
      </c>
      <c r="AB75" s="34">
        <v>7638.45</v>
      </c>
      <c r="AC75" s="68">
        <f t="shared" si="209"/>
        <v>427609.21000000008</v>
      </c>
      <c r="AE75" s="85" t="s">
        <v>99</v>
      </c>
      <c r="AF75" s="34">
        <v>169527.77000000002</v>
      </c>
      <c r="AG75" s="34">
        <v>37580.47</v>
      </c>
      <c r="AH75" s="34">
        <v>51354.91</v>
      </c>
      <c r="AI75" s="34">
        <v>12797.39</v>
      </c>
      <c r="AJ75" s="34">
        <v>62949.75</v>
      </c>
      <c r="AK75" s="34">
        <v>28211.32</v>
      </c>
      <c r="AL75" s="34">
        <v>12360.48</v>
      </c>
      <c r="AM75" s="34">
        <v>11648.35</v>
      </c>
      <c r="AN75" s="34">
        <v>8611.6</v>
      </c>
      <c r="AO75" s="34">
        <v>10068.469999999999</v>
      </c>
      <c r="AP75" s="34">
        <v>7859.0300000000007</v>
      </c>
      <c r="AQ75" s="34">
        <v>7295.48</v>
      </c>
      <c r="AR75" s="68">
        <f t="shared" si="210"/>
        <v>420265.01999999996</v>
      </c>
      <c r="AT75" s="39">
        <f t="shared" si="195"/>
        <v>0.16485309520147262</v>
      </c>
      <c r="AU75" s="39">
        <f t="shared" si="196"/>
        <v>0.39350213225306035</v>
      </c>
      <c r="AV75" s="39">
        <f t="shared" si="197"/>
        <v>0.48016973552966441</v>
      </c>
      <c r="AW75" s="39">
        <f t="shared" si="198"/>
        <v>0.55806616208502113</v>
      </c>
      <c r="AX75" s="39">
        <f t="shared" si="199"/>
        <v>0.69049177473965295</v>
      </c>
      <c r="AY75" s="39">
        <f t="shared" si="200"/>
        <v>0.78921302188326781</v>
      </c>
      <c r="AZ75" s="39">
        <f t="shared" si="201"/>
        <v>0.82739835177640908</v>
      </c>
      <c r="BA75" s="39">
        <f t="shared" si="202"/>
        <v>0.84894500067231649</v>
      </c>
      <c r="BB75" s="39">
        <f t="shared" si="203"/>
        <v>0.88174659604745487</v>
      </c>
      <c r="BC75" s="39">
        <f t="shared" si="204"/>
        <v>0.92623177325449013</v>
      </c>
      <c r="BD75" s="39">
        <f t="shared" si="205"/>
        <v>0.95835066599263519</v>
      </c>
      <c r="BE75" s="39">
        <f t="shared" si="206"/>
        <v>1</v>
      </c>
      <c r="BG75" s="39">
        <f t="shared" si="160"/>
        <v>0.15742958389507089</v>
      </c>
      <c r="BH75" s="39">
        <f t="shared" si="161"/>
        <v>0.4057764564986801</v>
      </c>
      <c r="BI75" s="39">
        <f t="shared" si="162"/>
        <v>0.52369545548375807</v>
      </c>
      <c r="BJ75" s="39">
        <f t="shared" si="163"/>
        <v>0.6015590730611251</v>
      </c>
      <c r="BK75" s="39">
        <f t="shared" si="164"/>
        <v>0.71338657556042817</v>
      </c>
      <c r="BL75" s="39">
        <f t="shared" si="165"/>
        <v>0.84581683822946652</v>
      </c>
      <c r="BM75" s="39">
        <f t="shared" si="166"/>
        <v>0.874827041260407</v>
      </c>
      <c r="BN75" s="39">
        <f t="shared" si="167"/>
        <v>0.900947502978245</v>
      </c>
      <c r="BO75" s="39">
        <f t="shared" si="168"/>
        <v>0.91614972465162758</v>
      </c>
      <c r="BP75" s="39">
        <f t="shared" si="169"/>
        <v>0.95814860956806791</v>
      </c>
      <c r="BQ75" s="39">
        <f t="shared" si="170"/>
        <v>0.98213684405908841</v>
      </c>
      <c r="BR75" s="39">
        <f t="shared" si="171"/>
        <v>1</v>
      </c>
      <c r="BS75" s="61"/>
      <c r="BT75" s="39">
        <f t="shared" si="172"/>
        <v>0.40338301293788392</v>
      </c>
      <c r="BU75" s="39">
        <f t="shared" si="173"/>
        <v>0.49280389788329287</v>
      </c>
      <c r="BV75" s="39">
        <f t="shared" si="174"/>
        <v>0.61500038713666927</v>
      </c>
      <c r="BW75" s="39">
        <f t="shared" si="175"/>
        <v>0.64545114889647504</v>
      </c>
      <c r="BX75" s="39">
        <f t="shared" si="176"/>
        <v>0.79523699117285584</v>
      </c>
      <c r="BY75" s="39">
        <f t="shared" si="177"/>
        <v>0.86236444327438933</v>
      </c>
      <c r="BZ75" s="39">
        <f t="shared" si="178"/>
        <v>0.89177559912076443</v>
      </c>
      <c r="CA75" s="39">
        <f t="shared" si="179"/>
        <v>0.91949227656396437</v>
      </c>
      <c r="CB75" s="39">
        <f t="shared" si="180"/>
        <v>0.93998315634263352</v>
      </c>
      <c r="CC75" s="39">
        <f t="shared" si="181"/>
        <v>0.96394058682304795</v>
      </c>
      <c r="CD75" s="39">
        <f t="shared" si="182"/>
        <v>0.98264076320222893</v>
      </c>
      <c r="CE75" s="39">
        <f t="shared" si="183"/>
        <v>1</v>
      </c>
      <c r="CG75" s="39">
        <f t="shared" si="207"/>
        <v>0.24188856401147582</v>
      </c>
      <c r="CH75" s="39">
        <f t="shared" si="184"/>
        <v>0.43069416221167778</v>
      </c>
      <c r="CI75" s="39">
        <f t="shared" si="185"/>
        <v>0.53962185938336393</v>
      </c>
      <c r="CJ75" s="39">
        <f t="shared" si="186"/>
        <v>0.60169212801420713</v>
      </c>
      <c r="CK75" s="39">
        <f t="shared" si="187"/>
        <v>0.73303844715764566</v>
      </c>
      <c r="CL75" s="39">
        <f t="shared" si="188"/>
        <v>0.83246476779570777</v>
      </c>
      <c r="CM75" s="39">
        <f t="shared" si="189"/>
        <v>0.86466699738586017</v>
      </c>
      <c r="CN75" s="39">
        <f t="shared" si="190"/>
        <v>0.88979492673817528</v>
      </c>
      <c r="CO75" s="39">
        <f t="shared" si="191"/>
        <v>0.91262649234723858</v>
      </c>
      <c r="CP75" s="39">
        <f t="shared" si="192"/>
        <v>0.94944032321520189</v>
      </c>
      <c r="CQ75" s="39">
        <f t="shared" si="193"/>
        <v>0.97437609108465084</v>
      </c>
      <c r="CR75" s="39">
        <f t="shared" si="194"/>
        <v>1</v>
      </c>
    </row>
    <row r="76" spans="1:96">
      <c r="A76" s="193" t="s">
        <v>100</v>
      </c>
      <c r="B76" s="34">
        <v>9507.81</v>
      </c>
      <c r="C76" s="34">
        <v>7713.64</v>
      </c>
      <c r="D76" s="34">
        <v>5887.34</v>
      </c>
      <c r="E76" s="34">
        <v>7036.51</v>
      </c>
      <c r="F76" s="34">
        <v>7591.61</v>
      </c>
      <c r="G76" s="34">
        <v>7342.85</v>
      </c>
      <c r="H76" s="34">
        <v>4362.95</v>
      </c>
      <c r="I76" s="34">
        <v>875.25</v>
      </c>
      <c r="J76" s="34">
        <v>948.96</v>
      </c>
      <c r="K76" s="34">
        <v>3691.31</v>
      </c>
      <c r="L76" s="34">
        <v>1206.9100000000001</v>
      </c>
      <c r="M76" s="34">
        <v>1888.69</v>
      </c>
      <c r="N76" s="68">
        <f t="shared" si="208"/>
        <v>58053.83</v>
      </c>
      <c r="P76" s="85" t="s">
        <v>100</v>
      </c>
      <c r="Q76" s="34">
        <v>3149.29</v>
      </c>
      <c r="R76" s="34">
        <v>7125.97</v>
      </c>
      <c r="S76" s="34">
        <v>6118.43</v>
      </c>
      <c r="T76" s="34">
        <v>5368.96</v>
      </c>
      <c r="U76" s="34">
        <v>6347.5600000000013</v>
      </c>
      <c r="V76" s="34">
        <v>8249.1299999999992</v>
      </c>
      <c r="W76" s="34">
        <v>2953.59</v>
      </c>
      <c r="X76" s="34">
        <v>3269.43</v>
      </c>
      <c r="Y76" s="34">
        <v>2571.06</v>
      </c>
      <c r="Z76" s="34">
        <v>2072.86</v>
      </c>
      <c r="AA76" s="34">
        <v>2464.2199999999998</v>
      </c>
      <c r="AB76" s="34">
        <v>1031.97</v>
      </c>
      <c r="AC76" s="68">
        <f t="shared" si="209"/>
        <v>50722.470000000008</v>
      </c>
      <c r="AE76" s="85" t="s">
        <v>100</v>
      </c>
      <c r="AF76" s="34">
        <v>6709.03</v>
      </c>
      <c r="AG76" s="34">
        <v>8265.9399999999987</v>
      </c>
      <c r="AH76" s="34">
        <v>8309.5300000000007</v>
      </c>
      <c r="AI76" s="34">
        <v>2528.9700000000003</v>
      </c>
      <c r="AJ76" s="34">
        <v>7684.7199999999993</v>
      </c>
      <c r="AK76" s="34">
        <v>2780.87</v>
      </c>
      <c r="AL76" s="34">
        <v>3306.83</v>
      </c>
      <c r="AM76" s="34">
        <v>3312.64</v>
      </c>
      <c r="AN76" s="34">
        <v>3474.96</v>
      </c>
      <c r="AO76" s="34">
        <v>933.75</v>
      </c>
      <c r="AP76" s="34">
        <v>1143.2</v>
      </c>
      <c r="AQ76" s="34">
        <v>575.95000000000005</v>
      </c>
      <c r="AR76" s="68">
        <f t="shared" si="210"/>
        <v>49026.39</v>
      </c>
      <c r="AT76" s="39">
        <f t="shared" si="195"/>
        <v>0.16377575777515452</v>
      </c>
      <c r="AU76" s="39">
        <f t="shared" si="196"/>
        <v>0.29664623333206441</v>
      </c>
      <c r="AV76" s="39">
        <f t="shared" si="197"/>
        <v>0.3980579748140648</v>
      </c>
      <c r="AW76" s="39">
        <f t="shared" si="198"/>
        <v>0.51926462043934052</v>
      </c>
      <c r="AX76" s="39">
        <f t="shared" si="199"/>
        <v>0.65003308136603566</v>
      </c>
      <c r="AY76" s="39">
        <f t="shared" si="200"/>
        <v>0.77651655368818906</v>
      </c>
      <c r="AZ76" s="39">
        <f t="shared" si="201"/>
        <v>0.85167007930398386</v>
      </c>
      <c r="BA76" s="39">
        <f t="shared" si="202"/>
        <v>0.86674660397083181</v>
      </c>
      <c r="BB76" s="39">
        <f t="shared" si="203"/>
        <v>0.88309281230885195</v>
      </c>
      <c r="BC76" s="39">
        <f t="shared" si="204"/>
        <v>0.94667707539709256</v>
      </c>
      <c r="BD76" s="39">
        <f t="shared" si="205"/>
        <v>0.96746657369548228</v>
      </c>
      <c r="BE76" s="39">
        <f t="shared" si="206"/>
        <v>1</v>
      </c>
      <c r="BG76" s="39">
        <f t="shared" si="160"/>
        <v>6.2088656171515294E-2</v>
      </c>
      <c r="BH76" s="39">
        <f t="shared" si="161"/>
        <v>0.20257806845762832</v>
      </c>
      <c r="BI76" s="39">
        <f t="shared" si="162"/>
        <v>0.32320370045070757</v>
      </c>
      <c r="BJ76" s="39">
        <f t="shared" si="163"/>
        <v>0.42905343529209045</v>
      </c>
      <c r="BK76" s="39">
        <f t="shared" si="164"/>
        <v>0.55419639461564074</v>
      </c>
      <c r="BL76" s="39">
        <f t="shared" si="165"/>
        <v>0.71682905032030175</v>
      </c>
      <c r="BM76" s="39">
        <f t="shared" si="166"/>
        <v>0.77505945589794822</v>
      </c>
      <c r="BN76" s="39">
        <f t="shared" si="167"/>
        <v>0.83951668757456022</v>
      </c>
      <c r="BO76" s="39">
        <f t="shared" si="168"/>
        <v>0.89020546515183507</v>
      </c>
      <c r="BP76" s="39">
        <f t="shared" si="169"/>
        <v>0.93107216584681307</v>
      </c>
      <c r="BQ76" s="39">
        <f t="shared" si="170"/>
        <v>0.9796545791243999</v>
      </c>
      <c r="BR76" s="39">
        <f t="shared" si="171"/>
        <v>1</v>
      </c>
      <c r="BS76" s="61"/>
      <c r="BT76" s="39">
        <f t="shared" si="172"/>
        <v>0.13684527863462922</v>
      </c>
      <c r="BU76" s="39">
        <f t="shared" si="173"/>
        <v>0.30544712755721964</v>
      </c>
      <c r="BV76" s="39">
        <f t="shared" si="174"/>
        <v>0.47493808946569388</v>
      </c>
      <c r="BW76" s="39">
        <f t="shared" si="175"/>
        <v>0.52652194053039603</v>
      </c>
      <c r="BX76" s="39">
        <f t="shared" si="176"/>
        <v>0.68326854169764495</v>
      </c>
      <c r="BY76" s="39">
        <f t="shared" si="177"/>
        <v>0.73999044188242302</v>
      </c>
      <c r="BZ76" s="39">
        <f t="shared" si="178"/>
        <v>0.80744044177023855</v>
      </c>
      <c r="CA76" s="39">
        <f t="shared" si="179"/>
        <v>0.87500894926181605</v>
      </c>
      <c r="CB76" s="39">
        <f t="shared" si="180"/>
        <v>0.94588832667467471</v>
      </c>
      <c r="CC76" s="39">
        <f t="shared" si="181"/>
        <v>0.96493419156499194</v>
      </c>
      <c r="CD76" s="39">
        <f t="shared" si="182"/>
        <v>0.98825224537233936</v>
      </c>
      <c r="CE76" s="39">
        <f t="shared" si="183"/>
        <v>1</v>
      </c>
      <c r="CG76" s="39">
        <f t="shared" si="207"/>
        <v>0.12090323086043302</v>
      </c>
      <c r="CH76" s="39">
        <f t="shared" si="184"/>
        <v>0.26822380978230415</v>
      </c>
      <c r="CI76" s="39">
        <f t="shared" si="185"/>
        <v>0.39873325491015543</v>
      </c>
      <c r="CJ76" s="39">
        <f t="shared" si="186"/>
        <v>0.4916133320872757</v>
      </c>
      <c r="CK76" s="39">
        <f t="shared" si="187"/>
        <v>0.62916600589310712</v>
      </c>
      <c r="CL76" s="39">
        <f t="shared" si="188"/>
        <v>0.74444534863030454</v>
      </c>
      <c r="CM76" s="39">
        <f t="shared" si="189"/>
        <v>0.81138999232405684</v>
      </c>
      <c r="CN76" s="39">
        <f t="shared" si="190"/>
        <v>0.86042408026906936</v>
      </c>
      <c r="CO76" s="39">
        <f t="shared" si="191"/>
        <v>0.90639553471178724</v>
      </c>
      <c r="CP76" s="39">
        <f t="shared" si="192"/>
        <v>0.94756114426963256</v>
      </c>
      <c r="CQ76" s="39">
        <f t="shared" si="193"/>
        <v>0.97845779939740718</v>
      </c>
      <c r="CR76" s="39">
        <f t="shared" si="194"/>
        <v>1</v>
      </c>
    </row>
    <row r="77" spans="1:96">
      <c r="A77" s="193" t="s">
        <v>101</v>
      </c>
      <c r="B77" s="34">
        <v>6757.74</v>
      </c>
      <c r="C77" s="34">
        <v>14531.2</v>
      </c>
      <c r="D77" s="34">
        <v>7454.92</v>
      </c>
      <c r="E77" s="34">
        <v>7917.86</v>
      </c>
      <c r="F77" s="34">
        <v>12938.18</v>
      </c>
      <c r="G77" s="34">
        <v>12597.28</v>
      </c>
      <c r="H77" s="34">
        <v>3408.86</v>
      </c>
      <c r="I77" s="34">
        <v>2542.84</v>
      </c>
      <c r="J77" s="34">
        <v>4726.3</v>
      </c>
      <c r="K77" s="34">
        <v>4261.08</v>
      </c>
      <c r="L77" s="34">
        <v>3224.57</v>
      </c>
      <c r="M77" s="34">
        <v>1943.99</v>
      </c>
      <c r="N77" s="68">
        <f t="shared" si="208"/>
        <v>82304.820000000007</v>
      </c>
      <c r="P77" s="85" t="s">
        <v>101</v>
      </c>
      <c r="Q77" s="34">
        <v>9928.2800000000007</v>
      </c>
      <c r="R77" s="34">
        <v>18308.62</v>
      </c>
      <c r="S77" s="34">
        <v>4539.37</v>
      </c>
      <c r="T77" s="34">
        <v>6714.56</v>
      </c>
      <c r="U77" s="34">
        <v>5700.36</v>
      </c>
      <c r="V77" s="34">
        <v>10264.120000000001</v>
      </c>
      <c r="W77" s="34">
        <v>5204.41</v>
      </c>
      <c r="X77" s="34">
        <v>4955.28</v>
      </c>
      <c r="Y77" s="34">
        <v>1749.62</v>
      </c>
      <c r="Z77" s="34">
        <v>6073.28</v>
      </c>
      <c r="AA77" s="34">
        <v>1165.42</v>
      </c>
      <c r="AB77" s="34">
        <v>1343.35</v>
      </c>
      <c r="AC77" s="68">
        <f t="shared" si="209"/>
        <v>75946.67</v>
      </c>
      <c r="AE77" s="85" t="s">
        <v>101</v>
      </c>
      <c r="AF77" s="34">
        <v>4895.66</v>
      </c>
      <c r="AG77" s="34">
        <v>13788.14</v>
      </c>
      <c r="AH77" s="34">
        <v>4783.5200000000004</v>
      </c>
      <c r="AI77" s="34">
        <v>3181.89</v>
      </c>
      <c r="AJ77" s="34">
        <v>7985.61</v>
      </c>
      <c r="AK77" s="34">
        <v>6610.88</v>
      </c>
      <c r="AL77" s="34">
        <v>3373.73</v>
      </c>
      <c r="AM77" s="34">
        <v>4761.2800000000007</v>
      </c>
      <c r="AN77" s="34">
        <v>2937.39</v>
      </c>
      <c r="AO77" s="34">
        <v>2862.3199999999997</v>
      </c>
      <c r="AP77" s="34">
        <v>2940.89</v>
      </c>
      <c r="AQ77" s="34">
        <v>2007.1100000000001</v>
      </c>
      <c r="AR77" s="68">
        <f t="shared" si="210"/>
        <v>60128.42</v>
      </c>
      <c r="AT77" s="39">
        <f t="shared" si="195"/>
        <v>8.2106248455436751E-2</v>
      </c>
      <c r="AU77" s="39">
        <f t="shared" si="196"/>
        <v>0.25865969939549105</v>
      </c>
      <c r="AV77" s="39">
        <f t="shared" si="197"/>
        <v>0.34923665466979936</v>
      </c>
      <c r="AW77" s="39">
        <f t="shared" si="198"/>
        <v>0.44543831090329822</v>
      </c>
      <c r="AX77" s="39">
        <f t="shared" si="199"/>
        <v>0.60263663780565946</v>
      </c>
      <c r="AY77" s="39">
        <f t="shared" si="200"/>
        <v>0.75569304446568253</v>
      </c>
      <c r="AZ77" s="39">
        <f t="shared" si="201"/>
        <v>0.79711054589512487</v>
      </c>
      <c r="BA77" s="39">
        <f t="shared" si="202"/>
        <v>0.82800594181482912</v>
      </c>
      <c r="BB77" s="39">
        <f t="shared" si="203"/>
        <v>0.88543028221190434</v>
      </c>
      <c r="BC77" s="39">
        <f t="shared" si="204"/>
        <v>0.93720221974849094</v>
      </c>
      <c r="BD77" s="39">
        <f t="shared" si="205"/>
        <v>0.97638060565590201</v>
      </c>
      <c r="BE77" s="39">
        <f t="shared" si="206"/>
        <v>1</v>
      </c>
      <c r="BG77" s="39">
        <f t="shared" si="160"/>
        <v>0.1307269956668278</v>
      </c>
      <c r="BH77" s="39">
        <f t="shared" si="161"/>
        <v>0.37179905320404438</v>
      </c>
      <c r="BI77" s="39">
        <f t="shared" si="162"/>
        <v>0.43156954742057824</v>
      </c>
      <c r="BJ77" s="39">
        <f t="shared" si="163"/>
        <v>0.51998106039408976</v>
      </c>
      <c r="BK77" s="39">
        <f t="shared" si="164"/>
        <v>0.59503846580765163</v>
      </c>
      <c r="BL77" s="39">
        <f t="shared" si="165"/>
        <v>0.73018751184219144</v>
      </c>
      <c r="BM77" s="39">
        <f t="shared" si="166"/>
        <v>0.7987146770227056</v>
      </c>
      <c r="BN77" s="39">
        <f t="shared" si="167"/>
        <v>0.86396151404663302</v>
      </c>
      <c r="BO77" s="39">
        <f t="shared" si="168"/>
        <v>0.8869989954793277</v>
      </c>
      <c r="BP77" s="39">
        <f t="shared" si="169"/>
        <v>0.96696668859872326</v>
      </c>
      <c r="BQ77" s="39">
        <f t="shared" si="170"/>
        <v>0.98231193020049457</v>
      </c>
      <c r="BR77" s="39">
        <f t="shared" si="171"/>
        <v>1</v>
      </c>
      <c r="BS77" s="61"/>
      <c r="BT77" s="39">
        <f t="shared" si="172"/>
        <v>8.142006724939721E-2</v>
      </c>
      <c r="BU77" s="39">
        <f t="shared" si="173"/>
        <v>0.31073159747087981</v>
      </c>
      <c r="BV77" s="39">
        <f t="shared" si="174"/>
        <v>0.39028665645962424</v>
      </c>
      <c r="BW77" s="39">
        <f t="shared" si="175"/>
        <v>0.44320489379231981</v>
      </c>
      <c r="BX77" s="39">
        <f t="shared" si="176"/>
        <v>0.57601413774052268</v>
      </c>
      <c r="BY77" s="39">
        <f t="shared" si="177"/>
        <v>0.68596014995903765</v>
      </c>
      <c r="BZ77" s="39">
        <f t="shared" si="178"/>
        <v>0.74206889188174252</v>
      </c>
      <c r="CA77" s="39">
        <f t="shared" si="179"/>
        <v>0.82125407585963506</v>
      </c>
      <c r="CB77" s="39">
        <f t="shared" si="180"/>
        <v>0.87010601642284968</v>
      </c>
      <c r="CC77" s="39">
        <f t="shared" si="181"/>
        <v>0.91770946251373309</v>
      </c>
      <c r="CD77" s="39">
        <f t="shared" si="182"/>
        <v>0.96661961182415901</v>
      </c>
      <c r="CE77" s="39">
        <f t="shared" si="183"/>
        <v>1</v>
      </c>
      <c r="CG77" s="39">
        <f t="shared" si="207"/>
        <v>9.8084437123887258E-2</v>
      </c>
      <c r="CH77" s="39">
        <f t="shared" si="184"/>
        <v>0.31373011669013845</v>
      </c>
      <c r="CI77" s="39">
        <f t="shared" si="185"/>
        <v>0.39036428618333402</v>
      </c>
      <c r="CJ77" s="39">
        <f t="shared" si="186"/>
        <v>0.46954142169656926</v>
      </c>
      <c r="CK77" s="39">
        <f t="shared" si="187"/>
        <v>0.59122974711794463</v>
      </c>
      <c r="CL77" s="39">
        <f t="shared" si="188"/>
        <v>0.7239469020889705</v>
      </c>
      <c r="CM77" s="39">
        <f t="shared" si="189"/>
        <v>0.77929803826652433</v>
      </c>
      <c r="CN77" s="39">
        <f t="shared" si="190"/>
        <v>0.83774051057369903</v>
      </c>
      <c r="CO77" s="39">
        <f t="shared" si="191"/>
        <v>0.88084509803802724</v>
      </c>
      <c r="CP77" s="39">
        <f t="shared" si="192"/>
        <v>0.94062612362031572</v>
      </c>
      <c r="CQ77" s="39">
        <f t="shared" si="193"/>
        <v>0.9751040492268519</v>
      </c>
      <c r="CR77" s="39">
        <f t="shared" si="194"/>
        <v>1</v>
      </c>
    </row>
    <row r="78" spans="1:96">
      <c r="A78" s="193" t="s">
        <v>102</v>
      </c>
      <c r="B78" s="34">
        <v>110267.96</v>
      </c>
      <c r="C78" s="34">
        <v>140810.76</v>
      </c>
      <c r="D78" s="34">
        <v>56786.73</v>
      </c>
      <c r="E78" s="34">
        <v>70168.63</v>
      </c>
      <c r="F78" s="34">
        <v>96813.3</v>
      </c>
      <c r="G78" s="34">
        <v>81842.98</v>
      </c>
      <c r="H78" s="34">
        <v>31224.43</v>
      </c>
      <c r="I78" s="34">
        <v>19456.150000000001</v>
      </c>
      <c r="J78" s="34">
        <v>22727.89</v>
      </c>
      <c r="K78" s="34">
        <v>30007.05</v>
      </c>
      <c r="L78" s="34">
        <v>17811.669999999998</v>
      </c>
      <c r="M78" s="34">
        <v>32912.050000000003</v>
      </c>
      <c r="N78" s="68">
        <f t="shared" si="208"/>
        <v>710829.60000000021</v>
      </c>
      <c r="P78" s="85" t="s">
        <v>102</v>
      </c>
      <c r="Q78" s="34">
        <v>83954.55</v>
      </c>
      <c r="R78" s="34">
        <v>95070.8</v>
      </c>
      <c r="S78" s="34">
        <v>63509.81</v>
      </c>
      <c r="T78" s="34">
        <v>55363.37</v>
      </c>
      <c r="U78" s="34">
        <v>67107.009999999995</v>
      </c>
      <c r="V78" s="34">
        <v>88088.15</v>
      </c>
      <c r="W78" s="34">
        <v>34578.660000000003</v>
      </c>
      <c r="X78" s="34">
        <v>21034.080000000002</v>
      </c>
      <c r="Y78" s="34">
        <v>19381.650000000001</v>
      </c>
      <c r="Z78" s="34">
        <v>21653.65</v>
      </c>
      <c r="AA78" s="34">
        <v>14707.82</v>
      </c>
      <c r="AB78" s="34">
        <v>25732.73</v>
      </c>
      <c r="AC78" s="68">
        <f t="shared" si="209"/>
        <v>590182.28</v>
      </c>
      <c r="AE78" s="85" t="s">
        <v>102</v>
      </c>
      <c r="AF78" s="34">
        <v>79831.540000000008</v>
      </c>
      <c r="AG78" s="34">
        <v>106357.46</v>
      </c>
      <c r="AH78" s="34">
        <v>47207.72</v>
      </c>
      <c r="AI78" s="34">
        <v>37224.980000000003</v>
      </c>
      <c r="AJ78" s="34">
        <v>65792.61</v>
      </c>
      <c r="AK78" s="34">
        <v>54148.72</v>
      </c>
      <c r="AL78" s="34">
        <v>26373.78</v>
      </c>
      <c r="AM78" s="34">
        <v>22877.43</v>
      </c>
      <c r="AN78" s="34">
        <v>11358.56</v>
      </c>
      <c r="AO78" s="34">
        <v>17948.990000000002</v>
      </c>
      <c r="AP78" s="34">
        <v>12590.97</v>
      </c>
      <c r="AQ78" s="34">
        <v>11059.57</v>
      </c>
      <c r="AR78" s="68">
        <f t="shared" si="210"/>
        <v>492772.33</v>
      </c>
      <c r="AT78" s="39">
        <f t="shared" si="195"/>
        <v>0.15512572914802644</v>
      </c>
      <c r="AU78" s="39">
        <f t="shared" si="196"/>
        <v>0.35321928068274022</v>
      </c>
      <c r="AV78" s="39">
        <f t="shared" si="197"/>
        <v>0.43310724539326995</v>
      </c>
      <c r="AW78" s="39">
        <f t="shared" si="198"/>
        <v>0.5318209596223904</v>
      </c>
      <c r="AX78" s="39">
        <f t="shared" si="199"/>
        <v>0.66801857998034953</v>
      </c>
      <c r="AY78" s="39">
        <f t="shared" si="200"/>
        <v>0.78315585057234505</v>
      </c>
      <c r="AZ78" s="39">
        <f t="shared" si="201"/>
        <v>0.82708259475970025</v>
      </c>
      <c r="BA78" s="39">
        <f t="shared" si="202"/>
        <v>0.85445364121021394</v>
      </c>
      <c r="BB78" s="39">
        <f t="shared" si="203"/>
        <v>0.88642739413215188</v>
      </c>
      <c r="BC78" s="39">
        <f t="shared" si="204"/>
        <v>0.92864151971161568</v>
      </c>
      <c r="BD78" s="39">
        <f t="shared" si="205"/>
        <v>0.95369910031883864</v>
      </c>
      <c r="BE78" s="39">
        <f t="shared" si="206"/>
        <v>1</v>
      </c>
      <c r="BG78" s="39">
        <f t="shared" si="160"/>
        <v>0.14225189885402861</v>
      </c>
      <c r="BH78" s="39">
        <f t="shared" si="161"/>
        <v>0.30333908025839068</v>
      </c>
      <c r="BI78" s="39">
        <f t="shared" si="162"/>
        <v>0.41094957984844954</v>
      </c>
      <c r="BJ78" s="39">
        <f t="shared" si="163"/>
        <v>0.50475681852054255</v>
      </c>
      <c r="BK78" s="39">
        <f t="shared" si="164"/>
        <v>0.61846238419764143</v>
      </c>
      <c r="BL78" s="39">
        <f t="shared" si="165"/>
        <v>0.76771822088592701</v>
      </c>
      <c r="BM78" s="39">
        <f t="shared" si="166"/>
        <v>0.82630801792286968</v>
      </c>
      <c r="BN78" s="39">
        <f t="shared" si="167"/>
        <v>0.86194799003453659</v>
      </c>
      <c r="BO78" s="39">
        <f t="shared" si="168"/>
        <v>0.89478809834819173</v>
      </c>
      <c r="BP78" s="39">
        <f t="shared" si="169"/>
        <v>0.93147786477086381</v>
      </c>
      <c r="BQ78" s="39">
        <f t="shared" si="170"/>
        <v>0.9563986739825534</v>
      </c>
      <c r="BR78" s="39">
        <f t="shared" si="171"/>
        <v>1</v>
      </c>
      <c r="BS78" s="61"/>
      <c r="BT78" s="39">
        <f t="shared" si="172"/>
        <v>0.16200491614454085</v>
      </c>
      <c r="BU78" s="39">
        <f t="shared" si="173"/>
        <v>0.37783980281522705</v>
      </c>
      <c r="BV78" s="39">
        <f t="shared" si="174"/>
        <v>0.47364006822379817</v>
      </c>
      <c r="BW78" s="39">
        <f t="shared" si="175"/>
        <v>0.54918201271568967</v>
      </c>
      <c r="BX78" s="39">
        <f t="shared" si="176"/>
        <v>0.68269724073184057</v>
      </c>
      <c r="BY78" s="39">
        <f t="shared" si="177"/>
        <v>0.79258311845553509</v>
      </c>
      <c r="BZ78" s="39">
        <f t="shared" si="178"/>
        <v>0.84610434599686235</v>
      </c>
      <c r="CA78" s="39">
        <f t="shared" si="179"/>
        <v>0.89253030907802811</v>
      </c>
      <c r="CB78" s="39">
        <f t="shared" si="180"/>
        <v>0.91558062929385675</v>
      </c>
      <c r="CC78" s="39">
        <f t="shared" si="181"/>
        <v>0.95200513795082609</v>
      </c>
      <c r="CD78" s="39">
        <f t="shared" si="182"/>
        <v>0.9775564305731208</v>
      </c>
      <c r="CE78" s="39">
        <f t="shared" si="183"/>
        <v>1</v>
      </c>
      <c r="CG78" s="39">
        <f t="shared" si="207"/>
        <v>0.15312751471553196</v>
      </c>
      <c r="CH78" s="39">
        <f t="shared" si="184"/>
        <v>0.344799387918786</v>
      </c>
      <c r="CI78" s="39">
        <f t="shared" si="185"/>
        <v>0.43923229782183926</v>
      </c>
      <c r="CJ78" s="39">
        <f t="shared" si="186"/>
        <v>0.52858659695287424</v>
      </c>
      <c r="CK78" s="39">
        <f t="shared" si="187"/>
        <v>0.65639273496994377</v>
      </c>
      <c r="CL78" s="39">
        <f t="shared" si="188"/>
        <v>0.78115239663793579</v>
      </c>
      <c r="CM78" s="39">
        <f t="shared" si="189"/>
        <v>0.83316498622647739</v>
      </c>
      <c r="CN78" s="39">
        <f t="shared" si="190"/>
        <v>0.86964398010759292</v>
      </c>
      <c r="CO78" s="39">
        <f t="shared" si="191"/>
        <v>0.89893204059140019</v>
      </c>
      <c r="CP78" s="39">
        <f t="shared" si="192"/>
        <v>0.93737484081110178</v>
      </c>
      <c r="CQ78" s="39">
        <f t="shared" si="193"/>
        <v>0.96255140162483765</v>
      </c>
      <c r="CR78" s="39">
        <f t="shared" si="194"/>
        <v>1</v>
      </c>
    </row>
    <row r="79" spans="1:96">
      <c r="A79" s="193" t="s">
        <v>103</v>
      </c>
      <c r="B79" s="34">
        <v>29481.54</v>
      </c>
      <c r="C79" s="34">
        <v>36829.03</v>
      </c>
      <c r="D79" s="34">
        <v>15856.48</v>
      </c>
      <c r="E79" s="34">
        <v>17529.689999999999</v>
      </c>
      <c r="F79" s="34">
        <v>21000.54</v>
      </c>
      <c r="G79" s="34">
        <v>21012.639999999999</v>
      </c>
      <c r="H79" s="34">
        <v>5252.04</v>
      </c>
      <c r="I79" s="34">
        <v>6269.78</v>
      </c>
      <c r="J79" s="34">
        <v>4156.91</v>
      </c>
      <c r="K79" s="34">
        <v>5668.46</v>
      </c>
      <c r="L79" s="34">
        <v>3582.35</v>
      </c>
      <c r="M79" s="34">
        <v>2810.04</v>
      </c>
      <c r="N79" s="68">
        <f t="shared" si="208"/>
        <v>169449.5</v>
      </c>
      <c r="P79" s="85" t="s">
        <v>103</v>
      </c>
      <c r="Q79" s="34">
        <v>14812.37</v>
      </c>
      <c r="R79" s="34">
        <v>30836.87</v>
      </c>
      <c r="S79" s="34">
        <v>20218.46</v>
      </c>
      <c r="T79" s="34">
        <v>12213.27</v>
      </c>
      <c r="U79" s="34">
        <v>13719.760000000002</v>
      </c>
      <c r="V79" s="34">
        <v>15166.9</v>
      </c>
      <c r="W79" s="34">
        <v>2820.1500000000005</v>
      </c>
      <c r="X79" s="34">
        <v>4590.51</v>
      </c>
      <c r="Y79" s="34">
        <v>5100.58</v>
      </c>
      <c r="Z79" s="34">
        <v>3190.82</v>
      </c>
      <c r="AA79" s="34">
        <v>4602.3599999999997</v>
      </c>
      <c r="AB79" s="34">
        <v>1405.61</v>
      </c>
      <c r="AC79" s="68">
        <f t="shared" si="209"/>
        <v>128677.66</v>
      </c>
      <c r="AE79" s="85" t="s">
        <v>103</v>
      </c>
      <c r="AF79" s="34">
        <v>20714.349999999999</v>
      </c>
      <c r="AG79" s="34">
        <v>38213.75</v>
      </c>
      <c r="AH79" s="34">
        <v>15240.64</v>
      </c>
      <c r="AI79" s="34">
        <v>11284.650000000001</v>
      </c>
      <c r="AJ79" s="34">
        <v>13137.09</v>
      </c>
      <c r="AK79" s="34">
        <v>14304.77</v>
      </c>
      <c r="AL79" s="34">
        <v>4128.6000000000004</v>
      </c>
      <c r="AM79" s="34">
        <v>2029.8100000000002</v>
      </c>
      <c r="AN79" s="34">
        <v>2199.11</v>
      </c>
      <c r="AO79" s="34">
        <v>2460.92</v>
      </c>
      <c r="AP79" s="34">
        <v>1588.26</v>
      </c>
      <c r="AQ79" s="34">
        <v>2696.54</v>
      </c>
      <c r="AR79" s="68">
        <f t="shared" si="210"/>
        <v>127998.48999999998</v>
      </c>
      <c r="AT79" s="39">
        <f t="shared" si="195"/>
        <v>0.17398422538868513</v>
      </c>
      <c r="AU79" s="39">
        <f t="shared" si="196"/>
        <v>0.39132939312302489</v>
      </c>
      <c r="AV79" s="39">
        <f t="shared" si="197"/>
        <v>0.48490582739990384</v>
      </c>
      <c r="AW79" s="39">
        <f t="shared" si="198"/>
        <v>0.58835664903112728</v>
      </c>
      <c r="AX79" s="39">
        <f t="shared" si="199"/>
        <v>0.71229056444545424</v>
      </c>
      <c r="AY79" s="39">
        <f t="shared" si="200"/>
        <v>0.83629588756532169</v>
      </c>
      <c r="AZ79" s="39">
        <f t="shared" si="201"/>
        <v>0.86729060870642871</v>
      </c>
      <c r="BA79" s="39">
        <f t="shared" si="202"/>
        <v>0.90429148507372392</v>
      </c>
      <c r="BB79" s="39">
        <f t="shared" si="203"/>
        <v>0.92882333674634621</v>
      </c>
      <c r="BC79" s="39">
        <f t="shared" si="204"/>
        <v>0.96227554522143754</v>
      </c>
      <c r="BD79" s="39">
        <f t="shared" si="205"/>
        <v>0.98341665215890273</v>
      </c>
      <c r="BE79" s="39">
        <f t="shared" si="206"/>
        <v>1</v>
      </c>
      <c r="BG79" s="39">
        <f t="shared" si="160"/>
        <v>0.11511221139706769</v>
      </c>
      <c r="BH79" s="39">
        <f t="shared" si="161"/>
        <v>0.35475652883336545</v>
      </c>
      <c r="BI79" s="39">
        <f t="shared" si="162"/>
        <v>0.51188139417518153</v>
      </c>
      <c r="BJ79" s="39">
        <f t="shared" si="163"/>
        <v>0.60679507227594909</v>
      </c>
      <c r="BK79" s="39">
        <f t="shared" si="164"/>
        <v>0.71341622158811413</v>
      </c>
      <c r="BL79" s="39">
        <f t="shared" si="165"/>
        <v>0.83128361208930912</v>
      </c>
      <c r="BM79" s="39">
        <f t="shared" si="166"/>
        <v>0.853200003792422</v>
      </c>
      <c r="BN79" s="39">
        <f t="shared" si="167"/>
        <v>0.88887449460924295</v>
      </c>
      <c r="BO79" s="39">
        <f t="shared" si="168"/>
        <v>0.9285129213571337</v>
      </c>
      <c r="BP79" s="39">
        <f t="shared" si="169"/>
        <v>0.95330992186211649</v>
      </c>
      <c r="BQ79" s="39">
        <f t="shared" si="170"/>
        <v>0.98907650325627616</v>
      </c>
      <c r="BR79" s="39">
        <f t="shared" si="171"/>
        <v>1</v>
      </c>
      <c r="BS79" s="61"/>
      <c r="BT79" s="39">
        <f t="shared" si="172"/>
        <v>0.16183276849594086</v>
      </c>
      <c r="BU79" s="39">
        <f t="shared" si="173"/>
        <v>0.46038121230961404</v>
      </c>
      <c r="BV79" s="39">
        <f t="shared" si="174"/>
        <v>0.57945011695059845</v>
      </c>
      <c r="BW79" s="39">
        <f t="shared" si="175"/>
        <v>0.66761248511603533</v>
      </c>
      <c r="BX79" s="39">
        <f t="shared" si="176"/>
        <v>0.77024721151007325</v>
      </c>
      <c r="BY79" s="39">
        <f t="shared" si="177"/>
        <v>0.88200454552237306</v>
      </c>
      <c r="BZ79" s="39">
        <f t="shared" si="178"/>
        <v>0.91425961353137852</v>
      </c>
      <c r="CA79" s="39">
        <f t="shared" si="179"/>
        <v>0.93011769123213883</v>
      </c>
      <c r="CB79" s="39">
        <f t="shared" si="180"/>
        <v>0.94729844078629377</v>
      </c>
      <c r="CC79" s="39">
        <f t="shared" si="181"/>
        <v>0.96652460509495086</v>
      </c>
      <c r="CD79" s="39">
        <f t="shared" si="182"/>
        <v>0.97893303272562049</v>
      </c>
      <c r="CE79" s="39">
        <f t="shared" si="183"/>
        <v>1</v>
      </c>
      <c r="CG79" s="39">
        <f t="shared" si="207"/>
        <v>0.15030973509389789</v>
      </c>
      <c r="CH79" s="39">
        <f t="shared" si="184"/>
        <v>0.40215571142200152</v>
      </c>
      <c r="CI79" s="39">
        <f t="shared" si="185"/>
        <v>0.52541244617522798</v>
      </c>
      <c r="CJ79" s="39">
        <f t="shared" si="186"/>
        <v>0.6209214021410373</v>
      </c>
      <c r="CK79" s="39">
        <f t="shared" si="187"/>
        <v>0.73198466584788058</v>
      </c>
      <c r="CL79" s="39">
        <f t="shared" si="188"/>
        <v>0.84986134839233463</v>
      </c>
      <c r="CM79" s="39">
        <f t="shared" si="189"/>
        <v>0.87825007534340971</v>
      </c>
      <c r="CN79" s="39">
        <f t="shared" si="190"/>
        <v>0.90776122363836853</v>
      </c>
      <c r="CO79" s="39">
        <f t="shared" si="191"/>
        <v>0.93487823296325789</v>
      </c>
      <c r="CP79" s="39">
        <f t="shared" si="192"/>
        <v>0.96070335739283497</v>
      </c>
      <c r="CQ79" s="39">
        <f t="shared" si="193"/>
        <v>0.98380872938026653</v>
      </c>
      <c r="CR79" s="39">
        <f t="shared" si="194"/>
        <v>1</v>
      </c>
    </row>
    <row r="80" spans="1:96">
      <c r="A80" s="193" t="s">
        <v>104</v>
      </c>
      <c r="B80" s="34">
        <v>5988.45</v>
      </c>
      <c r="C80" s="34">
        <v>9768.6200000000008</v>
      </c>
      <c r="D80" s="34">
        <v>3207.13</v>
      </c>
      <c r="E80" s="34">
        <v>7472.7</v>
      </c>
      <c r="F80" s="34">
        <v>5852.63</v>
      </c>
      <c r="G80" s="34">
        <v>7456.63</v>
      </c>
      <c r="H80" s="34">
        <v>3211.69</v>
      </c>
      <c r="I80" s="34">
        <v>2828.41</v>
      </c>
      <c r="J80" s="34">
        <v>1577.24</v>
      </c>
      <c r="K80" s="34">
        <v>2642.72</v>
      </c>
      <c r="L80" s="34">
        <v>1277.54</v>
      </c>
      <c r="M80" s="34">
        <v>433.02</v>
      </c>
      <c r="N80" s="68">
        <f t="shared" si="208"/>
        <v>51716.780000000006</v>
      </c>
      <c r="P80" s="85" t="s">
        <v>104</v>
      </c>
      <c r="Q80" s="34">
        <v>5462.34</v>
      </c>
      <c r="R80" s="34">
        <v>9345.59</v>
      </c>
      <c r="S80" s="34">
        <v>7550.04</v>
      </c>
      <c r="T80" s="34">
        <v>4501.58</v>
      </c>
      <c r="U80" s="34">
        <v>4117.55</v>
      </c>
      <c r="V80" s="34">
        <v>6798.42</v>
      </c>
      <c r="W80" s="34">
        <v>2256.6999999999998</v>
      </c>
      <c r="X80" s="34">
        <v>3126.15</v>
      </c>
      <c r="Y80" s="34">
        <v>2452.2600000000002</v>
      </c>
      <c r="Z80" s="34">
        <v>1218.81</v>
      </c>
      <c r="AA80" s="34">
        <v>707.46</v>
      </c>
      <c r="AB80" s="34">
        <v>835.02</v>
      </c>
      <c r="AC80" s="68">
        <f t="shared" si="209"/>
        <v>48371.92</v>
      </c>
      <c r="AE80" s="85" t="s">
        <v>104</v>
      </c>
      <c r="AF80" s="34">
        <v>8702.2000000000007</v>
      </c>
      <c r="AG80" s="34">
        <v>7794.6799999999994</v>
      </c>
      <c r="AH80" s="34">
        <v>3246.24</v>
      </c>
      <c r="AI80" s="34">
        <v>4392.99</v>
      </c>
      <c r="AJ80" s="34">
        <v>4257.7300000000005</v>
      </c>
      <c r="AK80" s="34">
        <v>5078.93</v>
      </c>
      <c r="AL80" s="34">
        <v>2678.2200000000003</v>
      </c>
      <c r="AM80" s="34">
        <v>2548.2200000000003</v>
      </c>
      <c r="AN80" s="34">
        <v>1611.85</v>
      </c>
      <c r="AO80" s="34">
        <v>901.05000000000007</v>
      </c>
      <c r="AP80" s="34">
        <v>479.97</v>
      </c>
      <c r="AQ80" s="34">
        <v>977.39</v>
      </c>
      <c r="AR80" s="68">
        <f t="shared" si="210"/>
        <v>42669.470000000008</v>
      </c>
      <c r="AT80" s="39">
        <f t="shared" si="195"/>
        <v>0.1157931719646892</v>
      </c>
      <c r="AU80" s="39">
        <f t="shared" si="196"/>
        <v>0.30468002841630892</v>
      </c>
      <c r="AV80" s="39">
        <f t="shared" si="197"/>
        <v>0.3666933633532482</v>
      </c>
      <c r="AW80" s="39">
        <f t="shared" si="198"/>
        <v>0.51118611792922908</v>
      </c>
      <c r="AX80" s="39">
        <f t="shared" si="199"/>
        <v>0.6243530629710512</v>
      </c>
      <c r="AY80" s="39">
        <f t="shared" si="200"/>
        <v>0.76853508667786352</v>
      </c>
      <c r="AZ80" s="39">
        <f t="shared" si="201"/>
        <v>0.83063659415764091</v>
      </c>
      <c r="BA80" s="39">
        <f t="shared" si="202"/>
        <v>0.88532696737886629</v>
      </c>
      <c r="BB80" s="39">
        <f t="shared" si="203"/>
        <v>0.91582461243720126</v>
      </c>
      <c r="BC80" s="39">
        <f t="shared" si="204"/>
        <v>0.96692446822868716</v>
      </c>
      <c r="BD80" s="39">
        <f t="shared" si="205"/>
        <v>0.99162708892549001</v>
      </c>
      <c r="BE80" s="39">
        <f t="shared" si="206"/>
        <v>1</v>
      </c>
      <c r="BG80" s="39">
        <f t="shared" si="160"/>
        <v>0.11292377891967076</v>
      </c>
      <c r="BH80" s="39">
        <f t="shared" si="161"/>
        <v>0.3061265709527346</v>
      </c>
      <c r="BI80" s="39">
        <f t="shared" si="162"/>
        <v>0.46220968694234177</v>
      </c>
      <c r="BJ80" s="39">
        <f t="shared" si="163"/>
        <v>0.55527152943277847</v>
      </c>
      <c r="BK80" s="39">
        <f t="shared" si="164"/>
        <v>0.64039426179485959</v>
      </c>
      <c r="BL80" s="39">
        <f t="shared" si="165"/>
        <v>0.78093902412804794</v>
      </c>
      <c r="BM80" s="39">
        <f t="shared" si="166"/>
        <v>0.82759212369490409</v>
      </c>
      <c r="BN80" s="39">
        <f t="shared" si="167"/>
        <v>0.89221949428511427</v>
      </c>
      <c r="BO80" s="39">
        <f t="shared" si="168"/>
        <v>0.94291543523597998</v>
      </c>
      <c r="BP80" s="39">
        <f t="shared" si="169"/>
        <v>0.96811207824704915</v>
      </c>
      <c r="BQ80" s="39">
        <f t="shared" si="170"/>
        <v>0.98273750556107764</v>
      </c>
      <c r="BR80" s="39">
        <f t="shared" si="171"/>
        <v>1</v>
      </c>
      <c r="BS80" s="61"/>
      <c r="BT80" s="39">
        <f t="shared" si="172"/>
        <v>0.20394441271475833</v>
      </c>
      <c r="BU80" s="39">
        <f t="shared" si="173"/>
        <v>0.38662022284317094</v>
      </c>
      <c r="BV80" s="39">
        <f t="shared" si="174"/>
        <v>0.46269897423145867</v>
      </c>
      <c r="BW80" s="39">
        <f t="shared" si="175"/>
        <v>0.56565291296095299</v>
      </c>
      <c r="BX80" s="39">
        <f t="shared" si="176"/>
        <v>0.66543690371593545</v>
      </c>
      <c r="BY80" s="39">
        <f t="shared" si="177"/>
        <v>0.78446650497416526</v>
      </c>
      <c r="BZ80" s="39">
        <f t="shared" si="178"/>
        <v>0.84723316225863599</v>
      </c>
      <c r="CA80" s="39">
        <f t="shared" si="179"/>
        <v>0.90695314471916333</v>
      </c>
      <c r="CB80" s="39">
        <f t="shared" si="180"/>
        <v>0.9447283971420315</v>
      </c>
      <c r="CC80" s="39">
        <f t="shared" si="181"/>
        <v>0.96584536906598562</v>
      </c>
      <c r="CD80" s="39">
        <f t="shared" si="182"/>
        <v>0.97709392687558572</v>
      </c>
      <c r="CE80" s="39">
        <f t="shared" si="183"/>
        <v>1</v>
      </c>
      <c r="CG80" s="39">
        <f t="shared" si="207"/>
        <v>0.14422045453303942</v>
      </c>
      <c r="CH80" s="39">
        <f t="shared" si="184"/>
        <v>0.3324756074040715</v>
      </c>
      <c r="CI80" s="39">
        <f t="shared" si="185"/>
        <v>0.43053400817568283</v>
      </c>
      <c r="CJ80" s="39">
        <f t="shared" si="186"/>
        <v>0.54403685344098685</v>
      </c>
      <c r="CK80" s="39">
        <f t="shared" si="187"/>
        <v>0.64339474282728215</v>
      </c>
      <c r="CL80" s="39">
        <f t="shared" si="188"/>
        <v>0.77798020526002565</v>
      </c>
      <c r="CM80" s="39">
        <f t="shared" si="189"/>
        <v>0.83515396003706022</v>
      </c>
      <c r="CN80" s="39">
        <f t="shared" si="190"/>
        <v>0.89483320212771467</v>
      </c>
      <c r="CO80" s="39">
        <f t="shared" si="191"/>
        <v>0.93448948160507095</v>
      </c>
      <c r="CP80" s="39">
        <f t="shared" si="192"/>
        <v>0.96696063851390734</v>
      </c>
      <c r="CQ80" s="39">
        <f t="shared" si="193"/>
        <v>0.98381950712071775</v>
      </c>
      <c r="CR80" s="39">
        <f t="shared" si="194"/>
        <v>1</v>
      </c>
    </row>
    <row r="81" spans="1:96">
      <c r="A81" s="193" t="s">
        <v>105</v>
      </c>
      <c r="B81" s="34">
        <v>144814.26</v>
      </c>
      <c r="C81" s="34">
        <v>182828.88</v>
      </c>
      <c r="D81" s="34">
        <v>56500.32</v>
      </c>
      <c r="E81" s="34">
        <v>69768.55</v>
      </c>
      <c r="F81" s="34">
        <v>82391.61</v>
      </c>
      <c r="G81" s="34">
        <v>85648.2</v>
      </c>
      <c r="H81" s="34">
        <v>99984.22</v>
      </c>
      <c r="I81" s="34">
        <v>56414.74</v>
      </c>
      <c r="J81" s="34">
        <v>34458.11</v>
      </c>
      <c r="K81" s="34">
        <v>35010.11</v>
      </c>
      <c r="L81" s="34">
        <v>23281.53</v>
      </c>
      <c r="M81" s="34">
        <v>21108.720000000001</v>
      </c>
      <c r="N81" s="68">
        <f t="shared" si="208"/>
        <v>892209.24999999988</v>
      </c>
      <c r="P81" s="85" t="s">
        <v>105</v>
      </c>
      <c r="Q81" s="34">
        <v>129250.09</v>
      </c>
      <c r="R81" s="34">
        <v>154788.04</v>
      </c>
      <c r="S81" s="34">
        <v>87708.800000000003</v>
      </c>
      <c r="T81" s="34">
        <v>66696.899999999994</v>
      </c>
      <c r="U81" s="34">
        <v>80007.94</v>
      </c>
      <c r="V81" s="34">
        <v>76457.929999999993</v>
      </c>
      <c r="W81" s="34">
        <v>22016.14</v>
      </c>
      <c r="X81" s="34">
        <v>34284.82</v>
      </c>
      <c r="Y81" s="34">
        <v>26261.61</v>
      </c>
      <c r="Z81" s="34">
        <v>21462.080000000002</v>
      </c>
      <c r="AA81" s="34">
        <v>22792.38</v>
      </c>
      <c r="AB81" s="34">
        <v>14181.73</v>
      </c>
      <c r="AC81" s="68">
        <f t="shared" si="209"/>
        <v>735908.45999999985</v>
      </c>
      <c r="AE81" s="85" t="s">
        <v>105</v>
      </c>
      <c r="AF81" s="34">
        <v>135948.36000000002</v>
      </c>
      <c r="AG81" s="34">
        <v>155312.91</v>
      </c>
      <c r="AH81" s="34">
        <v>62656.729999999996</v>
      </c>
      <c r="AI81" s="34">
        <v>46739.92</v>
      </c>
      <c r="AJ81" s="34">
        <v>70393.88</v>
      </c>
      <c r="AK81" s="34">
        <v>104140.7</v>
      </c>
      <c r="AL81" s="34">
        <v>25894.33</v>
      </c>
      <c r="AM81" s="34">
        <v>37514.92</v>
      </c>
      <c r="AN81" s="34">
        <v>30510.16</v>
      </c>
      <c r="AO81" s="34">
        <v>33117.22</v>
      </c>
      <c r="AP81" s="34">
        <v>21500.010000000002</v>
      </c>
      <c r="AQ81" s="34">
        <v>16711.36</v>
      </c>
      <c r="AR81" s="68">
        <f t="shared" si="210"/>
        <v>740440.5</v>
      </c>
      <c r="AT81" s="39">
        <f t="shared" si="195"/>
        <v>0.1623097496467337</v>
      </c>
      <c r="AU81" s="39">
        <f t="shared" si="196"/>
        <v>0.36722679124880186</v>
      </c>
      <c r="AV81" s="39">
        <f t="shared" si="197"/>
        <v>0.43055310175275596</v>
      </c>
      <c r="AW81" s="39">
        <f t="shared" si="198"/>
        <v>0.50875062100062296</v>
      </c>
      <c r="AX81" s="39">
        <f t="shared" si="199"/>
        <v>0.6010962338711463</v>
      </c>
      <c r="AY81" s="39">
        <f t="shared" si="200"/>
        <v>0.6970918761490088</v>
      </c>
      <c r="AZ81" s="39">
        <f t="shared" si="201"/>
        <v>0.8091555204118317</v>
      </c>
      <c r="BA81" s="39">
        <f t="shared" si="202"/>
        <v>0.87238591171297541</v>
      </c>
      <c r="BB81" s="39">
        <f t="shared" si="203"/>
        <v>0.91100701993394484</v>
      </c>
      <c r="BC81" s="39">
        <f t="shared" si="204"/>
        <v>0.95024681710036074</v>
      </c>
      <c r="BD81" s="39">
        <f t="shared" si="205"/>
        <v>0.97634106573093704</v>
      </c>
      <c r="BE81" s="39">
        <f t="shared" si="206"/>
        <v>1</v>
      </c>
      <c r="BG81" s="39">
        <f t="shared" si="160"/>
        <v>0.17563337972769061</v>
      </c>
      <c r="BH81" s="39">
        <f t="shared" si="161"/>
        <v>0.38596937722390101</v>
      </c>
      <c r="BI81" s="39">
        <f t="shared" si="162"/>
        <v>0.50515376599964634</v>
      </c>
      <c r="BJ81" s="39">
        <f t="shared" si="163"/>
        <v>0.59578582640563749</v>
      </c>
      <c r="BK81" s="39">
        <f t="shared" si="164"/>
        <v>0.70450578866833524</v>
      </c>
      <c r="BL81" s="39">
        <f t="shared" si="165"/>
        <v>0.80840176779595674</v>
      </c>
      <c r="BM81" s="39">
        <f t="shared" si="166"/>
        <v>0.83831872241283933</v>
      </c>
      <c r="BN81" s="39">
        <f t="shared" si="167"/>
        <v>0.8849071527184238</v>
      </c>
      <c r="BO81" s="39">
        <f t="shared" si="168"/>
        <v>0.92059312648749825</v>
      </c>
      <c r="BP81" s="39">
        <f t="shared" si="169"/>
        <v>0.94975718855032598</v>
      </c>
      <c r="BQ81" s="39">
        <f t="shared" si="170"/>
        <v>0.98072894827163692</v>
      </c>
      <c r="BR81" s="39">
        <f t="shared" si="171"/>
        <v>1</v>
      </c>
      <c r="BS81" s="61"/>
      <c r="BT81" s="39">
        <f t="shared" si="172"/>
        <v>0.18360470557728814</v>
      </c>
      <c r="BU81" s="39">
        <f t="shared" si="173"/>
        <v>0.39336215401507618</v>
      </c>
      <c r="BV81" s="39">
        <f t="shared" si="174"/>
        <v>0.4779830384750699</v>
      </c>
      <c r="BW81" s="39">
        <f t="shared" si="175"/>
        <v>0.5411075164040865</v>
      </c>
      <c r="BX81" s="39">
        <f t="shared" si="176"/>
        <v>0.63617778876223008</v>
      </c>
      <c r="BY81" s="39">
        <f t="shared" si="177"/>
        <v>0.7768247414883438</v>
      </c>
      <c r="BZ81" s="39">
        <f t="shared" si="178"/>
        <v>0.81179626181982212</v>
      </c>
      <c r="CA81" s="39">
        <f t="shared" si="179"/>
        <v>0.86246193988578423</v>
      </c>
      <c r="CB81" s="39">
        <f t="shared" si="180"/>
        <v>0.90366735747166727</v>
      </c>
      <c r="CC81" s="39">
        <f t="shared" si="181"/>
        <v>0.94839373318990516</v>
      </c>
      <c r="CD81" s="39">
        <f t="shared" si="182"/>
        <v>0.9774305160239074</v>
      </c>
      <c r="CE81" s="39">
        <f t="shared" si="183"/>
        <v>1</v>
      </c>
      <c r="CG81" s="39">
        <f t="shared" si="207"/>
        <v>0.17384927831723748</v>
      </c>
      <c r="CH81" s="39">
        <f t="shared" si="184"/>
        <v>0.38218610749592635</v>
      </c>
      <c r="CI81" s="39">
        <f t="shared" si="185"/>
        <v>0.47122996874249073</v>
      </c>
      <c r="CJ81" s="39">
        <f t="shared" si="186"/>
        <v>0.54854798793678228</v>
      </c>
      <c r="CK81" s="39">
        <f t="shared" si="187"/>
        <v>0.6472599371005705</v>
      </c>
      <c r="CL81" s="39">
        <f t="shared" si="188"/>
        <v>0.76077279514443641</v>
      </c>
      <c r="CM81" s="39">
        <f t="shared" si="189"/>
        <v>0.81975683488149764</v>
      </c>
      <c r="CN81" s="39">
        <f t="shared" si="190"/>
        <v>0.87325166810572785</v>
      </c>
      <c r="CO81" s="39">
        <f t="shared" si="191"/>
        <v>0.91175583463103671</v>
      </c>
      <c r="CP81" s="39">
        <f t="shared" si="192"/>
        <v>0.94946591294686389</v>
      </c>
      <c r="CQ81" s="39">
        <f t="shared" si="193"/>
        <v>0.97816684334216042</v>
      </c>
      <c r="CR81" s="39">
        <f t="shared" si="194"/>
        <v>1</v>
      </c>
    </row>
    <row r="82" spans="1:96">
      <c r="A82" s="193" t="s">
        <v>106</v>
      </c>
      <c r="B82" s="34">
        <v>4201.12</v>
      </c>
      <c r="C82" s="34">
        <v>11780</v>
      </c>
      <c r="D82" s="34">
        <v>5813.47</v>
      </c>
      <c r="E82" s="34">
        <v>5127.87</v>
      </c>
      <c r="F82" s="34">
        <v>8188.13</v>
      </c>
      <c r="G82" s="34">
        <v>9167.02</v>
      </c>
      <c r="H82" s="34">
        <v>1999.26</v>
      </c>
      <c r="I82" s="34">
        <v>1686.03</v>
      </c>
      <c r="J82" s="34">
        <v>2634.95</v>
      </c>
      <c r="K82" s="34">
        <v>2266.42</v>
      </c>
      <c r="L82" s="34">
        <v>1423.45</v>
      </c>
      <c r="M82" s="34">
        <v>1612.28</v>
      </c>
      <c r="N82" s="68">
        <f t="shared" si="208"/>
        <v>55899.999999999993</v>
      </c>
      <c r="P82" s="85" t="s">
        <v>106</v>
      </c>
      <c r="Q82" s="34">
        <v>2241.87</v>
      </c>
      <c r="R82" s="34">
        <v>6676.68</v>
      </c>
      <c r="S82" s="34">
        <v>10865.37</v>
      </c>
      <c r="T82" s="34">
        <v>5898.31</v>
      </c>
      <c r="U82" s="34">
        <v>5213.2700000000013</v>
      </c>
      <c r="V82" s="34">
        <v>5970.43</v>
      </c>
      <c r="W82" s="34">
        <v>2491.0100000000002</v>
      </c>
      <c r="X82" s="34">
        <v>4477.83</v>
      </c>
      <c r="Y82" s="34">
        <v>2677.76</v>
      </c>
      <c r="Z82" s="34">
        <v>1761.44</v>
      </c>
      <c r="AA82" s="34">
        <v>1856.37</v>
      </c>
      <c r="AB82" s="34">
        <v>702.8</v>
      </c>
      <c r="AC82" s="68">
        <f t="shared" si="209"/>
        <v>50833.140000000014</v>
      </c>
      <c r="AE82" s="85" t="s">
        <v>106</v>
      </c>
      <c r="AF82" s="34">
        <v>2680.8</v>
      </c>
      <c r="AG82" s="34">
        <v>12784.52</v>
      </c>
      <c r="AH82" s="34">
        <v>5503.92</v>
      </c>
      <c r="AI82" s="34">
        <v>4702.6099999999997</v>
      </c>
      <c r="AJ82" s="34">
        <v>6363.46</v>
      </c>
      <c r="AK82" s="34">
        <v>9562.85</v>
      </c>
      <c r="AL82" s="34">
        <v>3463.88</v>
      </c>
      <c r="AM82" s="34">
        <v>3584.92</v>
      </c>
      <c r="AN82" s="34">
        <v>1790.7200000000003</v>
      </c>
      <c r="AO82" s="34">
        <v>1491.98</v>
      </c>
      <c r="AP82" s="34">
        <v>1117.04</v>
      </c>
      <c r="AQ82" s="34">
        <v>698.12</v>
      </c>
      <c r="AR82" s="68">
        <f t="shared" si="210"/>
        <v>53744.82</v>
      </c>
      <c r="AT82" s="39">
        <f t="shared" si="195"/>
        <v>7.5154203935599295E-2</v>
      </c>
      <c r="AU82" s="39">
        <f t="shared" si="196"/>
        <v>0.28588765652951703</v>
      </c>
      <c r="AV82" s="39">
        <f t="shared" si="197"/>
        <v>0.38988533094812172</v>
      </c>
      <c r="AW82" s="39">
        <f t="shared" si="198"/>
        <v>0.48161824686940968</v>
      </c>
      <c r="AX82" s="39">
        <f t="shared" si="199"/>
        <v>0.62809642218246875</v>
      </c>
      <c r="AY82" s="39">
        <f t="shared" si="200"/>
        <v>0.79208604651162806</v>
      </c>
      <c r="AZ82" s="39">
        <f t="shared" si="201"/>
        <v>0.82785098389982126</v>
      </c>
      <c r="BA82" s="39">
        <f t="shared" si="202"/>
        <v>0.85801252236135972</v>
      </c>
      <c r="BB82" s="39">
        <f t="shared" si="203"/>
        <v>0.90514937388193206</v>
      </c>
      <c r="BC82" s="39">
        <f t="shared" si="204"/>
        <v>0.94569355992844373</v>
      </c>
      <c r="BD82" s="39">
        <f t="shared" si="205"/>
        <v>0.97115778175313061</v>
      </c>
      <c r="BE82" s="39">
        <f t="shared" si="206"/>
        <v>1</v>
      </c>
      <c r="BG82" s="39">
        <f t="shared" si="160"/>
        <v>4.4102528389944023E-2</v>
      </c>
      <c r="BH82" s="39">
        <f t="shared" si="161"/>
        <v>0.17544755252183902</v>
      </c>
      <c r="BI82" s="39">
        <f t="shared" si="162"/>
        <v>0.38919334906322911</v>
      </c>
      <c r="BJ82" s="39">
        <f t="shared" si="163"/>
        <v>0.50522611823703967</v>
      </c>
      <c r="BK82" s="39">
        <f t="shared" si="164"/>
        <v>0.60778263943561206</v>
      </c>
      <c r="BL82" s="39">
        <f t="shared" si="165"/>
        <v>0.7252341681037211</v>
      </c>
      <c r="BM82" s="39">
        <f t="shared" si="166"/>
        <v>0.77423782988813972</v>
      </c>
      <c r="BN82" s="39">
        <f t="shared" si="167"/>
        <v>0.86232662393076631</v>
      </c>
      <c r="BO82" s="39">
        <f t="shared" si="168"/>
        <v>0.91500407017941432</v>
      </c>
      <c r="BP82" s="39">
        <f t="shared" si="169"/>
        <v>0.94965548065690997</v>
      </c>
      <c r="BQ82" s="39">
        <f t="shared" si="170"/>
        <v>0.98617437364679805</v>
      </c>
      <c r="BR82" s="39">
        <f t="shared" si="171"/>
        <v>1</v>
      </c>
      <c r="BS82" s="61"/>
      <c r="BT82" s="39">
        <f t="shared" si="172"/>
        <v>4.9880155892232964E-2</v>
      </c>
      <c r="BU82" s="39">
        <f t="shared" si="173"/>
        <v>0.28775461523547757</v>
      </c>
      <c r="BV82" s="39">
        <f t="shared" si="174"/>
        <v>0.39016299617339861</v>
      </c>
      <c r="BW82" s="39">
        <f t="shared" si="175"/>
        <v>0.47766184722546284</v>
      </c>
      <c r="BX82" s="39">
        <f t="shared" si="176"/>
        <v>0.59606321130110762</v>
      </c>
      <c r="BY82" s="39">
        <f t="shared" si="177"/>
        <v>0.77399384722099718</v>
      </c>
      <c r="BZ82" s="39">
        <f t="shared" si="178"/>
        <v>0.83844433751941105</v>
      </c>
      <c r="CA82" s="39">
        <f t="shared" si="179"/>
        <v>0.90514695183647453</v>
      </c>
      <c r="CB82" s="39">
        <f t="shared" si="180"/>
        <v>0.93846588378191598</v>
      </c>
      <c r="CC82" s="39">
        <f t="shared" si="181"/>
        <v>0.96622632655574991</v>
      </c>
      <c r="CD82" s="39">
        <f t="shared" si="182"/>
        <v>0.98701046910195245</v>
      </c>
      <c r="CE82" s="39">
        <f t="shared" si="183"/>
        <v>1</v>
      </c>
      <c r="CG82" s="39">
        <f t="shared" si="207"/>
        <v>5.6378962739258763E-2</v>
      </c>
      <c r="CH82" s="39">
        <f t="shared" si="184"/>
        <v>0.2496966080956112</v>
      </c>
      <c r="CI82" s="39">
        <f t="shared" si="185"/>
        <v>0.38974722539491652</v>
      </c>
      <c r="CJ82" s="39">
        <f t="shared" si="186"/>
        <v>0.48816873744397071</v>
      </c>
      <c r="CK82" s="39">
        <f t="shared" si="187"/>
        <v>0.61064742430639607</v>
      </c>
      <c r="CL82" s="39">
        <f t="shared" si="188"/>
        <v>0.76377135394544882</v>
      </c>
      <c r="CM82" s="39">
        <f t="shared" si="189"/>
        <v>0.81351105043579075</v>
      </c>
      <c r="CN82" s="39">
        <f t="shared" si="190"/>
        <v>0.87516203270953363</v>
      </c>
      <c r="CO82" s="39">
        <f t="shared" si="191"/>
        <v>0.91953977594775405</v>
      </c>
      <c r="CP82" s="39">
        <f t="shared" si="192"/>
        <v>0.9538584557137012</v>
      </c>
      <c r="CQ82" s="39">
        <f t="shared" si="193"/>
        <v>0.98144754150062707</v>
      </c>
      <c r="CR82" s="39">
        <f t="shared" si="194"/>
        <v>1</v>
      </c>
    </row>
    <row r="83" spans="1:96">
      <c r="A83" s="193" t="s">
        <v>107</v>
      </c>
      <c r="B83" s="34">
        <v>109646.09</v>
      </c>
      <c r="C83" s="34">
        <v>154692.45000000001</v>
      </c>
      <c r="D83" s="34">
        <v>53408.800000000003</v>
      </c>
      <c r="E83" s="34">
        <v>81635.929999999993</v>
      </c>
      <c r="F83" s="34">
        <v>79660.899999999994</v>
      </c>
      <c r="G83" s="34">
        <v>86423.19</v>
      </c>
      <c r="H83" s="34">
        <v>28098.36</v>
      </c>
      <c r="I83" s="34">
        <v>24213.8</v>
      </c>
      <c r="J83" s="34">
        <v>21981.74</v>
      </c>
      <c r="K83" s="34">
        <v>30440.93</v>
      </c>
      <c r="L83" s="34">
        <v>21236.55</v>
      </c>
      <c r="M83" s="34">
        <v>23351.14</v>
      </c>
      <c r="N83" s="68">
        <f t="shared" si="208"/>
        <v>714789.88000000024</v>
      </c>
      <c r="P83" s="85" t="s">
        <v>107</v>
      </c>
      <c r="Q83" s="34">
        <v>97565.85</v>
      </c>
      <c r="R83" s="34">
        <v>118881.62</v>
      </c>
      <c r="S83" s="34">
        <v>82919.28</v>
      </c>
      <c r="T83" s="34">
        <v>57330.96</v>
      </c>
      <c r="U83" s="34">
        <v>77333.460000000021</v>
      </c>
      <c r="V83" s="34">
        <v>88122.75</v>
      </c>
      <c r="W83" s="34">
        <v>33238.320000000007</v>
      </c>
      <c r="X83" s="34">
        <v>24451.29</v>
      </c>
      <c r="Y83" s="34">
        <v>19061.599999999999</v>
      </c>
      <c r="Z83" s="34">
        <v>17561.18</v>
      </c>
      <c r="AA83" s="34">
        <v>13763.11</v>
      </c>
      <c r="AB83" s="34">
        <v>18114.599999999999</v>
      </c>
      <c r="AC83" s="68">
        <f t="shared" si="209"/>
        <v>648344.02</v>
      </c>
      <c r="AE83" s="85" t="s">
        <v>107</v>
      </c>
      <c r="AF83" s="34">
        <v>71916.45</v>
      </c>
      <c r="AG83" s="34">
        <v>156093.79999999999</v>
      </c>
      <c r="AH83" s="34">
        <v>55904.31</v>
      </c>
      <c r="AI83" s="34">
        <v>41037.54</v>
      </c>
      <c r="AJ83" s="34">
        <v>69912.41</v>
      </c>
      <c r="AK83" s="34">
        <v>78989.27</v>
      </c>
      <c r="AL83" s="34">
        <v>29616.929999999997</v>
      </c>
      <c r="AM83" s="34">
        <v>24972.65</v>
      </c>
      <c r="AN83" s="34">
        <v>16512.54</v>
      </c>
      <c r="AO83" s="34">
        <v>20798.22</v>
      </c>
      <c r="AP83" s="34">
        <v>11562.33</v>
      </c>
      <c r="AQ83" s="34">
        <v>12022.67</v>
      </c>
      <c r="AR83" s="68">
        <f t="shared" si="210"/>
        <v>589339.12</v>
      </c>
      <c r="AT83" s="39">
        <f t="shared" si="195"/>
        <v>0.15339625401523585</v>
      </c>
      <c r="AU83" s="39">
        <f t="shared" si="196"/>
        <v>0.36981293019985112</v>
      </c>
      <c r="AV83" s="39">
        <f t="shared" si="197"/>
        <v>0.44453251072888711</v>
      </c>
      <c r="AW83" s="39">
        <f t="shared" si="198"/>
        <v>0.55874219987557727</v>
      </c>
      <c r="AX83" s="39">
        <f t="shared" si="199"/>
        <v>0.67018879730082337</v>
      </c>
      <c r="AY83" s="39">
        <f t="shared" si="200"/>
        <v>0.79109592318234823</v>
      </c>
      <c r="AZ83" s="39">
        <f t="shared" si="201"/>
        <v>0.8304058809562328</v>
      </c>
      <c r="BA83" s="39">
        <f t="shared" si="202"/>
        <v>0.86428129060808745</v>
      </c>
      <c r="BB83" s="39">
        <f t="shared" si="203"/>
        <v>0.89503402034735002</v>
      </c>
      <c r="BC83" s="39">
        <f t="shared" si="204"/>
        <v>0.93762126290875847</v>
      </c>
      <c r="BD83" s="39">
        <f t="shared" si="205"/>
        <v>0.96733146249916124</v>
      </c>
      <c r="BE83" s="39">
        <f t="shared" si="206"/>
        <v>1</v>
      </c>
      <c r="BG83" s="39">
        <f t="shared" si="160"/>
        <v>0.15048469175361562</v>
      </c>
      <c r="BH83" s="39">
        <f t="shared" si="161"/>
        <v>0.33384663592640212</v>
      </c>
      <c r="BI83" s="39">
        <f t="shared" si="162"/>
        <v>0.46174058950987162</v>
      </c>
      <c r="BJ83" s="39">
        <f t="shared" si="163"/>
        <v>0.55016734788422972</v>
      </c>
      <c r="BK83" s="39">
        <f t="shared" si="164"/>
        <v>0.66944578281141554</v>
      </c>
      <c r="BL83" s="39">
        <f t="shared" si="165"/>
        <v>0.80536552184132126</v>
      </c>
      <c r="BM83" s="39">
        <f t="shared" si="166"/>
        <v>0.85663200842046783</v>
      </c>
      <c r="BN83" s="39">
        <f t="shared" si="167"/>
        <v>0.89434545875814508</v>
      </c>
      <c r="BO83" s="39">
        <f t="shared" si="168"/>
        <v>0.92374589959200981</v>
      </c>
      <c r="BP83" s="39">
        <f t="shared" si="169"/>
        <v>0.95083210607849833</v>
      </c>
      <c r="BQ83" s="39">
        <f t="shared" si="170"/>
        <v>0.9720602034703737</v>
      </c>
      <c r="BR83" s="39">
        <f t="shared" si="171"/>
        <v>1</v>
      </c>
      <c r="BS83" s="61"/>
      <c r="BT83" s="39">
        <f t="shared" si="172"/>
        <v>0.12202897713628784</v>
      </c>
      <c r="BU83" s="39">
        <f t="shared" si="173"/>
        <v>0.38689142169961499</v>
      </c>
      <c r="BV83" s="39">
        <f t="shared" si="174"/>
        <v>0.4817507448003791</v>
      </c>
      <c r="BW83" s="39">
        <f t="shared" si="175"/>
        <v>0.55138389591378212</v>
      </c>
      <c r="BX83" s="39">
        <f t="shared" si="176"/>
        <v>0.67001238607747604</v>
      </c>
      <c r="BY83" s="39">
        <f t="shared" si="177"/>
        <v>0.80404263677591947</v>
      </c>
      <c r="BZ83" s="39">
        <f t="shared" si="178"/>
        <v>0.85429711504642691</v>
      </c>
      <c r="CA83" s="39">
        <f t="shared" si="179"/>
        <v>0.89667110508462422</v>
      </c>
      <c r="CB83" s="39">
        <f t="shared" si="180"/>
        <v>0.92468984580558644</v>
      </c>
      <c r="CC83" s="39">
        <f t="shared" si="181"/>
        <v>0.95998059657061285</v>
      </c>
      <c r="CD83" s="39">
        <f t="shared" si="182"/>
        <v>0.97959974216542756</v>
      </c>
      <c r="CE83" s="39">
        <f t="shared" si="183"/>
        <v>1</v>
      </c>
      <c r="CG83" s="39">
        <f t="shared" si="207"/>
        <v>0.14196997430171313</v>
      </c>
      <c r="CH83" s="39">
        <f t="shared" si="184"/>
        <v>0.36351699594195602</v>
      </c>
      <c r="CI83" s="39">
        <f t="shared" si="185"/>
        <v>0.46267461501304591</v>
      </c>
      <c r="CJ83" s="39">
        <f t="shared" si="186"/>
        <v>0.55343114789119641</v>
      </c>
      <c r="CK83" s="39">
        <f t="shared" si="187"/>
        <v>0.66988232206323828</v>
      </c>
      <c r="CL83" s="39">
        <f t="shared" si="188"/>
        <v>0.80016802726652969</v>
      </c>
      <c r="CM83" s="39">
        <f t="shared" si="189"/>
        <v>0.84711166814104255</v>
      </c>
      <c r="CN83" s="39">
        <f t="shared" si="190"/>
        <v>0.88509928481695221</v>
      </c>
      <c r="CO83" s="39">
        <f t="shared" si="191"/>
        <v>0.91448992191498213</v>
      </c>
      <c r="CP83" s="39">
        <f t="shared" si="192"/>
        <v>0.94947798851928988</v>
      </c>
      <c r="CQ83" s="39">
        <f t="shared" si="193"/>
        <v>0.9729971360449875</v>
      </c>
      <c r="CR83" s="39">
        <f t="shared" si="194"/>
        <v>1</v>
      </c>
    </row>
    <row r="84" spans="1:96">
      <c r="A84" s="193" t="s">
        <v>108</v>
      </c>
      <c r="B84" s="34">
        <v>5085.5600000000004</v>
      </c>
      <c r="C84" s="34">
        <v>7227.58</v>
      </c>
      <c r="D84" s="34">
        <v>3239.91</v>
      </c>
      <c r="E84" s="34">
        <v>4574.26</v>
      </c>
      <c r="F84" s="34">
        <v>2178.88</v>
      </c>
      <c r="G84" s="34">
        <v>6292.51</v>
      </c>
      <c r="H84" s="34">
        <v>2846.84</v>
      </c>
      <c r="I84" s="34">
        <v>1197.7</v>
      </c>
      <c r="J84" s="34">
        <v>2478.33</v>
      </c>
      <c r="K84" s="34">
        <v>1493.99</v>
      </c>
      <c r="L84" s="34">
        <v>985.82</v>
      </c>
      <c r="M84" s="34">
        <v>635.71</v>
      </c>
      <c r="N84" s="68">
        <f t="shared" si="208"/>
        <v>38237.089999999997</v>
      </c>
      <c r="P84" s="85" t="s">
        <v>108</v>
      </c>
      <c r="Q84" s="34">
        <v>2989.16</v>
      </c>
      <c r="R84" s="34">
        <v>8263.2000000000007</v>
      </c>
      <c r="S84" s="34">
        <v>2615.5300000000002</v>
      </c>
      <c r="T84" s="34">
        <v>1788.17</v>
      </c>
      <c r="U84" s="34">
        <v>2241.88</v>
      </c>
      <c r="V84" s="34">
        <v>4857.45</v>
      </c>
      <c r="W84" s="34">
        <v>2232.98</v>
      </c>
      <c r="X84" s="34">
        <v>3069.24</v>
      </c>
      <c r="Y84" s="34">
        <v>1441.21</v>
      </c>
      <c r="Z84" s="34">
        <v>1156.51</v>
      </c>
      <c r="AA84" s="34">
        <v>809.55</v>
      </c>
      <c r="AB84" s="34">
        <v>1058.67</v>
      </c>
      <c r="AC84" s="68">
        <f t="shared" si="209"/>
        <v>32523.549999999996</v>
      </c>
      <c r="AE84" s="85" t="s">
        <v>108</v>
      </c>
      <c r="AF84" s="34">
        <v>3120.6400000000003</v>
      </c>
      <c r="AG84" s="34">
        <v>5475.13</v>
      </c>
      <c r="AH84" s="34">
        <v>603.89</v>
      </c>
      <c r="AI84" s="34">
        <v>1367.47</v>
      </c>
      <c r="AJ84" s="34">
        <v>2036.79</v>
      </c>
      <c r="AK84" s="34">
        <v>3139.31</v>
      </c>
      <c r="AL84" s="34">
        <v>849.4</v>
      </c>
      <c r="AM84" s="34">
        <v>2063</v>
      </c>
      <c r="AN84" s="34">
        <v>799.36</v>
      </c>
      <c r="AO84" s="34">
        <v>1525.4099999999999</v>
      </c>
      <c r="AP84" s="34">
        <v>1501.02</v>
      </c>
      <c r="AQ84" s="34">
        <v>305.43</v>
      </c>
      <c r="AR84" s="68">
        <f t="shared" si="210"/>
        <v>22786.85</v>
      </c>
      <c r="AT84" s="39">
        <f t="shared" si="195"/>
        <v>0.13300070690525875</v>
      </c>
      <c r="AU84" s="39">
        <f t="shared" si="196"/>
        <v>0.32202084415942744</v>
      </c>
      <c r="AV84" s="39">
        <f t="shared" si="197"/>
        <v>0.40675297204886673</v>
      </c>
      <c r="AW84" s="39">
        <f t="shared" si="198"/>
        <v>0.52638184548039613</v>
      </c>
      <c r="AX84" s="39">
        <f t="shared" si="199"/>
        <v>0.58336526132087985</v>
      </c>
      <c r="AY84" s="39">
        <f t="shared" si="200"/>
        <v>0.74793087026235516</v>
      </c>
      <c r="AZ84" s="39">
        <f t="shared" si="201"/>
        <v>0.82238318867884563</v>
      </c>
      <c r="BA84" s="39">
        <f t="shared" si="202"/>
        <v>0.85370617900054635</v>
      </c>
      <c r="BB84" s="39">
        <f t="shared" si="203"/>
        <v>0.91852099623689987</v>
      </c>
      <c r="BC84" s="39">
        <f t="shared" si="204"/>
        <v>0.95759274568226826</v>
      </c>
      <c r="BD84" s="39">
        <f t="shared" si="205"/>
        <v>0.98337451934757591</v>
      </c>
      <c r="BE84" s="39">
        <f t="shared" si="206"/>
        <v>1</v>
      </c>
      <c r="BG84" s="39">
        <f t="shared" si="160"/>
        <v>9.1907556216956648E-2</v>
      </c>
      <c r="BH84" s="39">
        <f t="shared" si="161"/>
        <v>0.34597576217848303</v>
      </c>
      <c r="BI84" s="39">
        <f t="shared" si="162"/>
        <v>0.42639533507258598</v>
      </c>
      <c r="BJ84" s="39">
        <f t="shared" si="163"/>
        <v>0.48137611054143853</v>
      </c>
      <c r="BK84" s="39">
        <f t="shared" si="164"/>
        <v>0.55030708517366667</v>
      </c>
      <c r="BL84" s="39">
        <f t="shared" si="165"/>
        <v>0.69965886257803978</v>
      </c>
      <c r="BM84" s="39">
        <f t="shared" si="166"/>
        <v>0.7683161893458742</v>
      </c>
      <c r="BN84" s="39">
        <f t="shared" si="167"/>
        <v>0.86268596140335252</v>
      </c>
      <c r="BO84" s="39">
        <f t="shared" si="168"/>
        <v>0.90699877473400059</v>
      </c>
      <c r="BP84" s="39">
        <f t="shared" si="169"/>
        <v>0.94255793109915742</v>
      </c>
      <c r="BQ84" s="39">
        <f t="shared" si="170"/>
        <v>0.96744912532610994</v>
      </c>
      <c r="BR84" s="39">
        <f t="shared" si="171"/>
        <v>1</v>
      </c>
      <c r="BS84" s="61"/>
      <c r="BT84" s="39">
        <f t="shared" si="172"/>
        <v>0.13694916146812747</v>
      </c>
      <c r="BU84" s="39">
        <f t="shared" si="173"/>
        <v>0.37722502232647342</v>
      </c>
      <c r="BV84" s="39">
        <f t="shared" si="174"/>
        <v>0.40372671080030809</v>
      </c>
      <c r="BW84" s="39">
        <f t="shared" si="175"/>
        <v>0.46373807700493924</v>
      </c>
      <c r="BX84" s="39">
        <f t="shared" si="176"/>
        <v>0.55312252461397693</v>
      </c>
      <c r="BY84" s="39">
        <f t="shared" si="177"/>
        <v>0.69089101828466848</v>
      </c>
      <c r="BZ84" s="39">
        <f t="shared" si="178"/>
        <v>0.72816690327974243</v>
      </c>
      <c r="CA84" s="39">
        <f t="shared" si="179"/>
        <v>0.81870157568948754</v>
      </c>
      <c r="CB84" s="39">
        <f t="shared" si="180"/>
        <v>0.85378145728786559</v>
      </c>
      <c r="CC84" s="39">
        <f t="shared" si="181"/>
        <v>0.92072401406951809</v>
      </c>
      <c r="CD84" s="39">
        <f t="shared" si="182"/>
        <v>0.98659621667760133</v>
      </c>
      <c r="CE84" s="39">
        <f t="shared" si="183"/>
        <v>1</v>
      </c>
      <c r="CG84" s="39">
        <f t="shared" si="207"/>
        <v>0.12061914153011428</v>
      </c>
      <c r="CH84" s="39">
        <f t="shared" si="184"/>
        <v>0.34840720955479459</v>
      </c>
      <c r="CI84" s="39">
        <f t="shared" si="185"/>
        <v>0.41229167264058697</v>
      </c>
      <c r="CJ84" s="39">
        <f t="shared" si="186"/>
        <v>0.4904986776755913</v>
      </c>
      <c r="CK84" s="39">
        <f t="shared" si="187"/>
        <v>0.56226495703617452</v>
      </c>
      <c r="CL84" s="39">
        <f t="shared" si="188"/>
        <v>0.71282691704168777</v>
      </c>
      <c r="CM84" s="39">
        <f t="shared" si="189"/>
        <v>0.77295542710148746</v>
      </c>
      <c r="CN84" s="39">
        <f t="shared" si="190"/>
        <v>0.84503123869779539</v>
      </c>
      <c r="CO84" s="39">
        <f t="shared" si="191"/>
        <v>0.89310040941958857</v>
      </c>
      <c r="CP84" s="39">
        <f t="shared" si="192"/>
        <v>0.94029156361698119</v>
      </c>
      <c r="CQ84" s="39">
        <f t="shared" si="193"/>
        <v>0.97913995378376228</v>
      </c>
      <c r="CR84" s="39">
        <f t="shared" si="194"/>
        <v>1</v>
      </c>
    </row>
    <row r="85" spans="1:96">
      <c r="A85" s="193" t="s">
        <v>109</v>
      </c>
      <c r="B85" s="34">
        <v>1105.56</v>
      </c>
      <c r="C85" s="34">
        <v>963.92</v>
      </c>
      <c r="D85" s="34">
        <v>543.58000000000004</v>
      </c>
      <c r="E85" s="34">
        <v>512.87</v>
      </c>
      <c r="F85" s="34">
        <v>374.67</v>
      </c>
      <c r="G85" s="34">
        <v>221.12</v>
      </c>
      <c r="H85" s="34">
        <v>921.31</v>
      </c>
      <c r="I85" s="34">
        <v>230.33</v>
      </c>
      <c r="J85" s="34">
        <v>1041.07</v>
      </c>
      <c r="K85" s="34">
        <v>0</v>
      </c>
      <c r="L85" s="34">
        <v>276.39</v>
      </c>
      <c r="M85" s="34">
        <v>414.59</v>
      </c>
      <c r="N85" s="68">
        <f t="shared" si="208"/>
        <v>6605.41</v>
      </c>
      <c r="P85" s="85" t="s">
        <v>109</v>
      </c>
      <c r="Q85" s="34">
        <v>2402</v>
      </c>
      <c r="R85" s="34">
        <v>106.76</v>
      </c>
      <c r="S85" s="34">
        <v>551.58000000000004</v>
      </c>
      <c r="T85" s="34">
        <v>106.76</v>
      </c>
      <c r="U85" s="34">
        <v>106.76000000000002</v>
      </c>
      <c r="V85" s="34">
        <v>106.76</v>
      </c>
      <c r="W85" s="34">
        <v>533.79</v>
      </c>
      <c r="X85" s="34">
        <v>533.78</v>
      </c>
      <c r="Y85" s="34">
        <v>222.41</v>
      </c>
      <c r="Z85" s="34">
        <v>0</v>
      </c>
      <c r="AA85" s="34">
        <v>355.85</v>
      </c>
      <c r="AB85" s="34">
        <v>266.89</v>
      </c>
      <c r="AC85" s="68">
        <f t="shared" si="209"/>
        <v>5293.3400000000011</v>
      </c>
      <c r="AE85" s="85" t="s">
        <v>109</v>
      </c>
      <c r="AF85" s="34">
        <v>1612.6799999999998</v>
      </c>
      <c r="AG85" s="34">
        <v>1319.48</v>
      </c>
      <c r="AH85" s="34">
        <v>0</v>
      </c>
      <c r="AI85" s="34">
        <v>261.8</v>
      </c>
      <c r="AJ85" s="34">
        <v>523.6</v>
      </c>
      <c r="AK85" s="34">
        <v>471.24</v>
      </c>
      <c r="AL85" s="34">
        <v>0</v>
      </c>
      <c r="AM85" s="34">
        <v>785.40000000000009</v>
      </c>
      <c r="AN85" s="34">
        <v>0</v>
      </c>
      <c r="AO85" s="34">
        <v>0</v>
      </c>
      <c r="AP85" s="34">
        <v>0</v>
      </c>
      <c r="AQ85" s="34">
        <v>0</v>
      </c>
      <c r="AR85" s="68">
        <f t="shared" si="210"/>
        <v>4974.2000000000007</v>
      </c>
      <c r="AT85" s="39">
        <f t="shared" si="195"/>
        <v>0.16737189667257596</v>
      </c>
      <c r="AU85" s="39">
        <f t="shared" si="196"/>
        <v>0.31330076407066332</v>
      </c>
      <c r="AV85" s="39">
        <f t="shared" si="197"/>
        <v>0.39559391468508387</v>
      </c>
      <c r="AW85" s="39">
        <f t="shared" si="198"/>
        <v>0.47323784594748847</v>
      </c>
      <c r="AX85" s="39">
        <f t="shared" si="199"/>
        <v>0.52995953317053746</v>
      </c>
      <c r="AY85" s="39">
        <f t="shared" si="200"/>
        <v>0.56343512363350645</v>
      </c>
      <c r="AZ85" s="39">
        <f t="shared" si="201"/>
        <v>0.70291321810455365</v>
      </c>
      <c r="BA85" s="39">
        <f t="shared" si="202"/>
        <v>0.73778312019995729</v>
      </c>
      <c r="BB85" s="39">
        <f t="shared" si="203"/>
        <v>0.89539180762435633</v>
      </c>
      <c r="BC85" s="39">
        <f t="shared" si="204"/>
        <v>0.89539180762435633</v>
      </c>
      <c r="BD85" s="39">
        <f t="shared" si="205"/>
        <v>0.93723478179250042</v>
      </c>
      <c r="BE85" s="39">
        <f t="shared" si="206"/>
        <v>1</v>
      </c>
      <c r="BG85" s="39">
        <f t="shared" si="160"/>
        <v>0.4537777660229646</v>
      </c>
      <c r="BH85" s="39">
        <f t="shared" si="161"/>
        <v>0.47394650636460151</v>
      </c>
      <c r="BI85" s="39">
        <f t="shared" si="162"/>
        <v>0.57814914590787658</v>
      </c>
      <c r="BJ85" s="39">
        <f t="shared" si="163"/>
        <v>0.59831788624951354</v>
      </c>
      <c r="BK85" s="39">
        <f t="shared" si="164"/>
        <v>0.61848662659115039</v>
      </c>
      <c r="BL85" s="39">
        <f t="shared" si="165"/>
        <v>0.63865536693278724</v>
      </c>
      <c r="BM85" s="39">
        <f t="shared" si="166"/>
        <v>0.73949717947458504</v>
      </c>
      <c r="BN85" s="39">
        <f t="shared" si="167"/>
        <v>0.8403371028499963</v>
      </c>
      <c r="BO85" s="39">
        <f t="shared" si="168"/>
        <v>0.88235405245081544</v>
      </c>
      <c r="BP85" s="39">
        <f t="shared" si="169"/>
        <v>0.88235405245081544</v>
      </c>
      <c r="BQ85" s="39">
        <f t="shared" si="170"/>
        <v>0.94958003831229432</v>
      </c>
      <c r="BR85" s="39">
        <f t="shared" si="171"/>
        <v>1</v>
      </c>
      <c r="BS85" s="61"/>
      <c r="BT85" s="39">
        <f t="shared" si="172"/>
        <v>0.3242089180169675</v>
      </c>
      <c r="BU85" s="39">
        <f t="shared" si="173"/>
        <v>0.58947368421052615</v>
      </c>
      <c r="BV85" s="39">
        <f t="shared" si="174"/>
        <v>0.58947368421052615</v>
      </c>
      <c r="BW85" s="39">
        <f t="shared" si="175"/>
        <v>0.64210526315789462</v>
      </c>
      <c r="BX85" s="39">
        <f t="shared" si="176"/>
        <v>0.74736842105263146</v>
      </c>
      <c r="BY85" s="39">
        <f t="shared" si="177"/>
        <v>0.84210526315789469</v>
      </c>
      <c r="BZ85" s="39">
        <f t="shared" si="178"/>
        <v>0.84210526315789469</v>
      </c>
      <c r="CA85" s="39">
        <f t="shared" si="179"/>
        <v>1</v>
      </c>
      <c r="CB85" s="39">
        <f t="shared" si="180"/>
        <v>1</v>
      </c>
      <c r="CC85" s="39">
        <f t="shared" si="181"/>
        <v>1</v>
      </c>
      <c r="CD85" s="39">
        <f t="shared" si="182"/>
        <v>1</v>
      </c>
      <c r="CE85" s="39">
        <f t="shared" si="183"/>
        <v>1</v>
      </c>
      <c r="CG85" s="39">
        <f t="shared" si="207"/>
        <v>0.31511952690416939</v>
      </c>
      <c r="CH85" s="39">
        <f t="shared" si="184"/>
        <v>0.45890698488193032</v>
      </c>
      <c r="CI85" s="39">
        <f t="shared" si="185"/>
        <v>0.52107224826782883</v>
      </c>
      <c r="CJ85" s="39">
        <f t="shared" si="186"/>
        <v>0.57122033178496556</v>
      </c>
      <c r="CK85" s="39">
        <f t="shared" si="187"/>
        <v>0.6319381936047731</v>
      </c>
      <c r="CL85" s="39">
        <f t="shared" si="188"/>
        <v>0.68139858457472935</v>
      </c>
      <c r="CM85" s="39">
        <f t="shared" si="189"/>
        <v>0.76150522024567779</v>
      </c>
      <c r="CN85" s="39">
        <f t="shared" si="190"/>
        <v>0.85937340768331794</v>
      </c>
      <c r="CO85" s="39">
        <f t="shared" si="191"/>
        <v>0.92591528669172396</v>
      </c>
      <c r="CP85" s="39">
        <f t="shared" si="192"/>
        <v>0.92591528669172396</v>
      </c>
      <c r="CQ85" s="39">
        <f t="shared" si="193"/>
        <v>0.96227160670159828</v>
      </c>
      <c r="CR85" s="39">
        <f t="shared" si="194"/>
        <v>1</v>
      </c>
    </row>
    <row r="86" spans="1:96">
      <c r="A86" s="193" t="s">
        <v>110</v>
      </c>
      <c r="B86" s="34">
        <v>55342.41</v>
      </c>
      <c r="C86" s="34">
        <v>107875.12</v>
      </c>
      <c r="D86" s="34">
        <v>39001.22</v>
      </c>
      <c r="E86" s="34">
        <v>40257.620000000003</v>
      </c>
      <c r="F86" s="34">
        <v>50090.81</v>
      </c>
      <c r="G86" s="34">
        <v>49629.26</v>
      </c>
      <c r="H86" s="34">
        <v>12943.8</v>
      </c>
      <c r="I86" s="34">
        <v>14063.83</v>
      </c>
      <c r="J86" s="34">
        <v>13606.89</v>
      </c>
      <c r="K86" s="34">
        <v>13495.54</v>
      </c>
      <c r="L86" s="34">
        <v>9286.48</v>
      </c>
      <c r="M86" s="34">
        <v>10663.55</v>
      </c>
      <c r="N86" s="68">
        <f t="shared" si="208"/>
        <v>416256.52999999997</v>
      </c>
      <c r="P86" s="85" t="s">
        <v>110</v>
      </c>
      <c r="Q86" s="34">
        <v>52599.040000000001</v>
      </c>
      <c r="R86" s="34">
        <v>101006.68</v>
      </c>
      <c r="S86" s="34">
        <v>44291.58</v>
      </c>
      <c r="T86" s="34">
        <v>37365.19</v>
      </c>
      <c r="U86" s="34">
        <v>41225.57</v>
      </c>
      <c r="V86" s="34">
        <v>49564.01</v>
      </c>
      <c r="W86" s="34">
        <v>15049.68</v>
      </c>
      <c r="X86" s="34">
        <v>16696.189999999999</v>
      </c>
      <c r="Y86" s="34">
        <v>10900.17</v>
      </c>
      <c r="Z86" s="34">
        <v>8400.33</v>
      </c>
      <c r="AA86" s="34">
        <v>8017.78</v>
      </c>
      <c r="AB86" s="34">
        <v>7309.77</v>
      </c>
      <c r="AC86" s="68">
        <f t="shared" si="209"/>
        <v>392425.99000000005</v>
      </c>
      <c r="AE86" s="85" t="s">
        <v>110</v>
      </c>
      <c r="AF86" s="34">
        <v>41117.9</v>
      </c>
      <c r="AG86" s="34">
        <v>116277.06999999999</v>
      </c>
      <c r="AH86" s="34">
        <v>39875.520000000004</v>
      </c>
      <c r="AI86" s="34">
        <v>31984.79</v>
      </c>
      <c r="AJ86" s="34">
        <v>45387.25</v>
      </c>
      <c r="AK86" s="34">
        <v>48505.25</v>
      </c>
      <c r="AL86" s="34">
        <v>13173.220000000001</v>
      </c>
      <c r="AM86" s="34">
        <v>9729.67</v>
      </c>
      <c r="AN86" s="34">
        <v>5021.2</v>
      </c>
      <c r="AO86" s="34">
        <v>10239.42</v>
      </c>
      <c r="AP86" s="34">
        <v>6706.5</v>
      </c>
      <c r="AQ86" s="34">
        <v>3161.9399999999996</v>
      </c>
      <c r="AR86" s="68">
        <f t="shared" si="210"/>
        <v>371179.73</v>
      </c>
      <c r="AT86" s="39">
        <f t="shared" si="195"/>
        <v>0.13295265301904094</v>
      </c>
      <c r="AU86" s="39">
        <f t="shared" si="196"/>
        <v>0.39210803491779461</v>
      </c>
      <c r="AV86" s="39">
        <f t="shared" si="197"/>
        <v>0.48580318968209341</v>
      </c>
      <c r="AW86" s="39">
        <f t="shared" si="198"/>
        <v>0.5825166754741361</v>
      </c>
      <c r="AX86" s="39">
        <f t="shared" si="199"/>
        <v>0.70285306995664432</v>
      </c>
      <c r="AY86" s="39">
        <f t="shared" si="200"/>
        <v>0.82208065300501121</v>
      </c>
      <c r="AZ86" s="39">
        <f t="shared" si="201"/>
        <v>0.85317638140115182</v>
      </c>
      <c r="BA86" s="39">
        <f t="shared" si="202"/>
        <v>0.88696283034887169</v>
      </c>
      <c r="BB86" s="39">
        <f t="shared" si="203"/>
        <v>0.91965154276378569</v>
      </c>
      <c r="BC86" s="39">
        <f t="shared" si="204"/>
        <v>0.95207275186770046</v>
      </c>
      <c r="BD86" s="39">
        <f t="shared" si="205"/>
        <v>0.97438226374490755</v>
      </c>
      <c r="BE86" s="39">
        <f t="shared" si="206"/>
        <v>1</v>
      </c>
      <c r="BG86" s="39">
        <f t="shared" si="160"/>
        <v>0.13403556680840634</v>
      </c>
      <c r="BH86" s="39">
        <f t="shared" si="161"/>
        <v>0.39142596034477734</v>
      </c>
      <c r="BI86" s="39">
        <f t="shared" si="162"/>
        <v>0.50429203223772201</v>
      </c>
      <c r="BJ86" s="39">
        <f t="shared" si="163"/>
        <v>0.59950792250023999</v>
      </c>
      <c r="BK86" s="39">
        <f t="shared" si="164"/>
        <v>0.70456103073091558</v>
      </c>
      <c r="BL86" s="39">
        <f t="shared" si="165"/>
        <v>0.83086257869923441</v>
      </c>
      <c r="BM86" s="39">
        <f t="shared" si="166"/>
        <v>0.8692129438215852</v>
      </c>
      <c r="BN86" s="39">
        <f t="shared" si="167"/>
        <v>0.91175903002754721</v>
      </c>
      <c r="BO86" s="39">
        <f t="shared" si="168"/>
        <v>0.93953540131223201</v>
      </c>
      <c r="BP86" s="39">
        <f t="shared" si="169"/>
        <v>0.96094155231665457</v>
      </c>
      <c r="BQ86" s="39">
        <f t="shared" si="170"/>
        <v>0.9813728698244476</v>
      </c>
      <c r="BR86" s="39">
        <f t="shared" si="171"/>
        <v>1</v>
      </c>
      <c r="BS86" s="61"/>
      <c r="BT86" s="39">
        <f t="shared" si="172"/>
        <v>0.11077625386494032</v>
      </c>
      <c r="BU86" s="39">
        <f t="shared" si="173"/>
        <v>0.4240397771720994</v>
      </c>
      <c r="BV86" s="39">
        <f t="shared" si="174"/>
        <v>0.53146891938307084</v>
      </c>
      <c r="BW86" s="39">
        <f t="shared" si="175"/>
        <v>0.61763954621121153</v>
      </c>
      <c r="BX86" s="39">
        <f t="shared" si="176"/>
        <v>0.73991790984922601</v>
      </c>
      <c r="BY86" s="39">
        <f t="shared" si="177"/>
        <v>0.87059651667939963</v>
      </c>
      <c r="BZ86" s="39">
        <f t="shared" si="178"/>
        <v>0.90608665510910313</v>
      </c>
      <c r="CA86" s="39">
        <f t="shared" si="179"/>
        <v>0.93229948197871693</v>
      </c>
      <c r="CB86" s="39">
        <f t="shared" si="180"/>
        <v>0.94582716033550651</v>
      </c>
      <c r="CC86" s="39">
        <f t="shared" si="181"/>
        <v>0.97341331112019502</v>
      </c>
      <c r="CD86" s="39">
        <f t="shared" si="182"/>
        <v>0.99148137749871201</v>
      </c>
      <c r="CE86" s="39">
        <f t="shared" si="183"/>
        <v>1</v>
      </c>
      <c r="CG86" s="39">
        <f t="shared" si="207"/>
        <v>0.12592149123079585</v>
      </c>
      <c r="CH86" s="39">
        <f t="shared" si="184"/>
        <v>0.40252459081155711</v>
      </c>
      <c r="CI86" s="39">
        <f t="shared" si="185"/>
        <v>0.5071880471009621</v>
      </c>
      <c r="CJ86" s="39">
        <f t="shared" si="186"/>
        <v>0.59988804806186247</v>
      </c>
      <c r="CK86" s="39">
        <f t="shared" si="187"/>
        <v>0.71577733684559519</v>
      </c>
      <c r="CL86" s="39">
        <f t="shared" si="188"/>
        <v>0.84117991612788179</v>
      </c>
      <c r="CM86" s="39">
        <f t="shared" si="189"/>
        <v>0.87615866011061339</v>
      </c>
      <c r="CN86" s="39">
        <f t="shared" si="190"/>
        <v>0.91034044745171194</v>
      </c>
      <c r="CO86" s="39">
        <f t="shared" si="191"/>
        <v>0.93500470147050807</v>
      </c>
      <c r="CP86" s="39">
        <f t="shared" si="192"/>
        <v>0.96214253843484998</v>
      </c>
      <c r="CQ86" s="39">
        <f t="shared" si="193"/>
        <v>0.98241217035602235</v>
      </c>
      <c r="CR86" s="39">
        <f t="shared" si="194"/>
        <v>1</v>
      </c>
    </row>
    <row r="87" spans="1:96">
      <c r="A87" s="193" t="s">
        <v>111</v>
      </c>
      <c r="B87" s="34">
        <v>381981.82</v>
      </c>
      <c r="C87" s="34">
        <v>550940.01</v>
      </c>
      <c r="D87" s="34">
        <v>181502.59</v>
      </c>
      <c r="E87" s="34">
        <v>181374.41</v>
      </c>
      <c r="F87" s="34">
        <v>216593.09</v>
      </c>
      <c r="G87" s="34">
        <v>195518.32</v>
      </c>
      <c r="H87" s="34">
        <v>107339.87</v>
      </c>
      <c r="I87" s="34">
        <v>88291.97</v>
      </c>
      <c r="J87" s="34">
        <v>80649</v>
      </c>
      <c r="K87" s="34">
        <v>68860.05</v>
      </c>
      <c r="L87" s="34">
        <v>91131.86</v>
      </c>
      <c r="M87" s="34">
        <v>91036.67</v>
      </c>
      <c r="N87" s="68">
        <f t="shared" si="208"/>
        <v>2235219.66</v>
      </c>
      <c r="P87" s="85" t="s">
        <v>111</v>
      </c>
      <c r="Q87" s="34">
        <v>638293.59</v>
      </c>
      <c r="R87" s="34">
        <v>360292.5</v>
      </c>
      <c r="S87" s="34">
        <v>62830.879999999997</v>
      </c>
      <c r="T87" s="34">
        <v>259789.19</v>
      </c>
      <c r="U87" s="34">
        <v>200999.32</v>
      </c>
      <c r="V87" s="34">
        <v>140171.41</v>
      </c>
      <c r="W87" s="34">
        <v>55942.98000000001</v>
      </c>
      <c r="X87" s="34">
        <v>45717.05</v>
      </c>
      <c r="Y87" s="34">
        <v>32526.18</v>
      </c>
      <c r="Z87" s="34">
        <v>43150.18</v>
      </c>
      <c r="AA87" s="34">
        <v>35850.69</v>
      </c>
      <c r="AB87" s="34">
        <v>30694.080000000002</v>
      </c>
      <c r="AC87" s="68">
        <f t="shared" si="209"/>
        <v>1906258.0499999998</v>
      </c>
      <c r="AE87" s="85" t="s">
        <v>111</v>
      </c>
      <c r="AF87" s="34">
        <v>725175.12</v>
      </c>
      <c r="AG87" s="34">
        <v>182746.23999999999</v>
      </c>
      <c r="AH87" s="34">
        <v>241990.71</v>
      </c>
      <c r="AI87" s="34">
        <v>70264.639999999999</v>
      </c>
      <c r="AJ87" s="34">
        <v>261352.52000000002</v>
      </c>
      <c r="AK87" s="34">
        <v>85195.14</v>
      </c>
      <c r="AL87" s="34">
        <v>60087.920000000006</v>
      </c>
      <c r="AM87" s="34">
        <v>54276.75</v>
      </c>
      <c r="AN87" s="34">
        <v>21822.36</v>
      </c>
      <c r="AO87" s="34">
        <v>53651.39</v>
      </c>
      <c r="AP87" s="34">
        <v>29994.26</v>
      </c>
      <c r="AQ87" s="34">
        <v>16822.509999999998</v>
      </c>
      <c r="AR87" s="68">
        <f t="shared" si="210"/>
        <v>1803379.5599999998</v>
      </c>
      <c r="AT87" s="39">
        <f t="shared" si="195"/>
        <v>0.17089229610659382</v>
      </c>
      <c r="AU87" s="39">
        <f t="shared" si="196"/>
        <v>0.4173736687695383</v>
      </c>
      <c r="AV87" s="39">
        <f t="shared" si="197"/>
        <v>0.49857490068783666</v>
      </c>
      <c r="AW87" s="39">
        <f t="shared" si="198"/>
        <v>0.57971878701174273</v>
      </c>
      <c r="AX87" s="39">
        <f t="shared" si="199"/>
        <v>0.6766189234394977</v>
      </c>
      <c r="AY87" s="39">
        <f t="shared" si="200"/>
        <v>0.76409055922494884</v>
      </c>
      <c r="AZ87" s="39">
        <f t="shared" si="201"/>
        <v>0.81211262699792119</v>
      </c>
      <c r="BA87" s="39">
        <f t="shared" si="202"/>
        <v>0.85161298196527146</v>
      </c>
      <c r="BB87" s="39">
        <f t="shared" si="203"/>
        <v>0.88769399961344297</v>
      </c>
      <c r="BC87" s="39">
        <f t="shared" si="204"/>
        <v>0.91850083763132262</v>
      </c>
      <c r="BD87" s="39">
        <f t="shared" si="205"/>
        <v>0.95927171202493811</v>
      </c>
      <c r="BE87" s="39">
        <f t="shared" si="206"/>
        <v>1</v>
      </c>
      <c r="BG87" s="39">
        <f t="shared" si="160"/>
        <v>0.33484112499879021</v>
      </c>
      <c r="BH87" s="39">
        <f t="shared" si="161"/>
        <v>0.52384622847887785</v>
      </c>
      <c r="BI87" s="39">
        <f t="shared" si="162"/>
        <v>0.55680655092840137</v>
      </c>
      <c r="BJ87" s="39">
        <f t="shared" si="163"/>
        <v>0.69308882918553449</v>
      </c>
      <c r="BK87" s="39">
        <f t="shared" si="164"/>
        <v>0.79853065013941849</v>
      </c>
      <c r="BL87" s="39">
        <f t="shared" si="165"/>
        <v>0.87206288256723696</v>
      </c>
      <c r="BM87" s="39">
        <f t="shared" si="166"/>
        <v>0.90140989568542418</v>
      </c>
      <c r="BN87" s="39">
        <f t="shared" si="167"/>
        <v>0.92539250916212534</v>
      </c>
      <c r="BO87" s="39">
        <f t="shared" si="168"/>
        <v>0.94245535120494317</v>
      </c>
      <c r="BP87" s="39">
        <f t="shared" si="169"/>
        <v>0.96509141561395639</v>
      </c>
      <c r="BQ87" s="39">
        <f t="shared" si="170"/>
        <v>0.98389825553785859</v>
      </c>
      <c r="BR87" s="39">
        <f t="shared" si="171"/>
        <v>1</v>
      </c>
      <c r="BS87" s="61"/>
      <c r="BT87" s="39">
        <f t="shared" si="172"/>
        <v>0.40212007282593359</v>
      </c>
      <c r="BU87" s="39">
        <f t="shared" si="173"/>
        <v>0.50345550107044579</v>
      </c>
      <c r="BV87" s="39">
        <f t="shared" si="174"/>
        <v>0.63764284319602704</v>
      </c>
      <c r="BW87" s="39">
        <f t="shared" si="175"/>
        <v>0.67660560043166962</v>
      </c>
      <c r="BX87" s="39">
        <f t="shared" si="176"/>
        <v>0.82152934571355574</v>
      </c>
      <c r="BY87" s="39">
        <f t="shared" si="177"/>
        <v>0.86877128073914733</v>
      </c>
      <c r="BZ87" s="39">
        <f t="shared" si="178"/>
        <v>0.90209089982144408</v>
      </c>
      <c r="CA87" s="39">
        <f t="shared" si="179"/>
        <v>0.93218814124742544</v>
      </c>
      <c r="CB87" s="39">
        <f t="shared" si="180"/>
        <v>0.94428895489976616</v>
      </c>
      <c r="CC87" s="39">
        <f t="shared" si="181"/>
        <v>0.97403942517791431</v>
      </c>
      <c r="CD87" s="39">
        <f t="shared" si="182"/>
        <v>0.99067167535158263</v>
      </c>
      <c r="CE87" s="39">
        <f t="shared" si="183"/>
        <v>1</v>
      </c>
      <c r="CG87" s="39">
        <f t="shared" si="207"/>
        <v>0.30261783131043923</v>
      </c>
      <c r="CH87" s="39">
        <f t="shared" si="184"/>
        <v>0.48155846610628733</v>
      </c>
      <c r="CI87" s="39">
        <f t="shared" si="185"/>
        <v>0.56434143160408834</v>
      </c>
      <c r="CJ87" s="39">
        <f t="shared" si="186"/>
        <v>0.64980440554298224</v>
      </c>
      <c r="CK87" s="39">
        <f t="shared" si="187"/>
        <v>0.76555963976415731</v>
      </c>
      <c r="CL87" s="39">
        <f t="shared" si="188"/>
        <v>0.83497490751044434</v>
      </c>
      <c r="CM87" s="39">
        <f t="shared" si="189"/>
        <v>0.87187114083492967</v>
      </c>
      <c r="CN87" s="39">
        <f t="shared" si="190"/>
        <v>0.90306454412494075</v>
      </c>
      <c r="CO87" s="39">
        <f t="shared" si="191"/>
        <v>0.92481276857271733</v>
      </c>
      <c r="CP87" s="39">
        <f t="shared" si="192"/>
        <v>0.95254389280773122</v>
      </c>
      <c r="CQ87" s="39">
        <f t="shared" si="193"/>
        <v>0.97794721430479303</v>
      </c>
      <c r="CR87" s="39">
        <f t="shared" si="194"/>
        <v>1</v>
      </c>
    </row>
    <row r="88" spans="1:96">
      <c r="A88" s="193" t="s">
        <v>112</v>
      </c>
      <c r="B88" s="34">
        <v>8402.24</v>
      </c>
      <c r="C88" s="34">
        <v>9766.9500000000007</v>
      </c>
      <c r="D88" s="34">
        <v>2594.27</v>
      </c>
      <c r="E88" s="34">
        <v>4095.15</v>
      </c>
      <c r="F88" s="34">
        <v>2776.23</v>
      </c>
      <c r="G88" s="34">
        <v>5818.09</v>
      </c>
      <c r="H88" s="34">
        <v>1750.48</v>
      </c>
      <c r="I88" s="34">
        <v>1377.36</v>
      </c>
      <c r="J88" s="34">
        <v>1151.6400000000001</v>
      </c>
      <c r="K88" s="34">
        <v>1386.59</v>
      </c>
      <c r="L88" s="34">
        <v>1861.05</v>
      </c>
      <c r="M88" s="34">
        <v>626.51</v>
      </c>
      <c r="N88" s="68">
        <f t="shared" si="208"/>
        <v>41606.560000000012</v>
      </c>
      <c r="P88" s="85" t="s">
        <v>112</v>
      </c>
      <c r="Q88" s="34">
        <v>7810.96</v>
      </c>
      <c r="R88" s="34">
        <v>4127.92</v>
      </c>
      <c r="S88" s="34">
        <v>6759.03</v>
      </c>
      <c r="T88" s="34">
        <v>2794.21</v>
      </c>
      <c r="U88" s="34">
        <v>3959.61</v>
      </c>
      <c r="V88" s="34">
        <v>2611.8200000000002</v>
      </c>
      <c r="W88" s="34">
        <v>943.0200000000001</v>
      </c>
      <c r="X88" s="34">
        <v>1690.3</v>
      </c>
      <c r="Y88" s="34">
        <v>427.01</v>
      </c>
      <c r="Z88" s="34">
        <v>1156.54</v>
      </c>
      <c r="AA88" s="34">
        <v>1588</v>
      </c>
      <c r="AB88" s="34">
        <v>320.29000000000002</v>
      </c>
      <c r="AC88" s="68">
        <f t="shared" si="209"/>
        <v>34188.71</v>
      </c>
      <c r="AE88" s="85" t="s">
        <v>112</v>
      </c>
      <c r="AF88" s="34">
        <v>3473.16</v>
      </c>
      <c r="AG88" s="34">
        <v>8342.74</v>
      </c>
      <c r="AH88" s="34">
        <v>4180.05</v>
      </c>
      <c r="AI88" s="34">
        <v>5227.26</v>
      </c>
      <c r="AJ88" s="34">
        <v>2527.2400000000002</v>
      </c>
      <c r="AK88" s="34">
        <v>3241.67</v>
      </c>
      <c r="AL88" s="34">
        <v>267.62</v>
      </c>
      <c r="AM88" s="34">
        <v>1255.49</v>
      </c>
      <c r="AN88" s="34">
        <v>1666.7900000000002</v>
      </c>
      <c r="AO88" s="34">
        <v>488.69000000000005</v>
      </c>
      <c r="AP88" s="34">
        <v>802.90000000000009</v>
      </c>
      <c r="AQ88" s="34">
        <v>279.25</v>
      </c>
      <c r="AR88" s="68">
        <f t="shared" si="210"/>
        <v>31752.860000000004</v>
      </c>
      <c r="AT88" s="39">
        <f t="shared" si="195"/>
        <v>0.20194507789156319</v>
      </c>
      <c r="AU88" s="39">
        <f t="shared" si="196"/>
        <v>0.43669051226537348</v>
      </c>
      <c r="AV88" s="39">
        <f t="shared" si="197"/>
        <v>0.49904293938263572</v>
      </c>
      <c r="AW88" s="39">
        <f t="shared" si="198"/>
        <v>0.59746852419426155</v>
      </c>
      <c r="AX88" s="39">
        <f t="shared" si="199"/>
        <v>0.66419430012959479</v>
      </c>
      <c r="AY88" s="39">
        <f t="shared" si="200"/>
        <v>0.80403018177902708</v>
      </c>
      <c r="AZ88" s="39">
        <f t="shared" si="201"/>
        <v>0.84610239346872229</v>
      </c>
      <c r="BA88" s="39">
        <f t="shared" si="202"/>
        <v>0.87920678854488332</v>
      </c>
      <c r="BB88" s="39">
        <f t="shared" si="203"/>
        <v>0.90688607758007389</v>
      </c>
      <c r="BC88" s="39">
        <f t="shared" si="204"/>
        <v>0.94021231267377059</v>
      </c>
      <c r="BD88" s="39">
        <f t="shared" si="205"/>
        <v>0.98494203798631752</v>
      </c>
      <c r="BE88" s="39">
        <f t="shared" si="206"/>
        <v>1</v>
      </c>
      <c r="BG88" s="39">
        <f t="shared" si="160"/>
        <v>0.2284660637970839</v>
      </c>
      <c r="BH88" s="39">
        <f t="shared" si="161"/>
        <v>0.34920533708349927</v>
      </c>
      <c r="BI88" s="39">
        <f t="shared" si="162"/>
        <v>0.54690305659382876</v>
      </c>
      <c r="BJ88" s="39">
        <f t="shared" si="163"/>
        <v>0.6286320835152891</v>
      </c>
      <c r="BK88" s="39">
        <f t="shared" si="164"/>
        <v>0.74444838661651758</v>
      </c>
      <c r="BL88" s="39">
        <f t="shared" si="165"/>
        <v>0.82084261149367732</v>
      </c>
      <c r="BM88" s="39">
        <f t="shared" si="166"/>
        <v>0.84842540125088084</v>
      </c>
      <c r="BN88" s="39">
        <f t="shared" si="167"/>
        <v>0.89786569893979618</v>
      </c>
      <c r="BO88" s="39">
        <f t="shared" si="168"/>
        <v>0.91035549454776143</v>
      </c>
      <c r="BP88" s="39">
        <f t="shared" si="169"/>
        <v>0.94418362085027485</v>
      </c>
      <c r="BQ88" s="39">
        <f t="shared" si="170"/>
        <v>0.99063170268781708</v>
      </c>
      <c r="BR88" s="39">
        <f t="shared" si="171"/>
        <v>1</v>
      </c>
      <c r="BS88" s="61"/>
      <c r="BT88" s="39">
        <f t="shared" si="172"/>
        <v>0.10938101323786265</v>
      </c>
      <c r="BU88" s="39">
        <f t="shared" si="173"/>
        <v>0.37212081053486201</v>
      </c>
      <c r="BV88" s="39">
        <f t="shared" si="174"/>
        <v>0.5037640703861006</v>
      </c>
      <c r="BW88" s="39">
        <f t="shared" si="175"/>
        <v>0.66838735156455187</v>
      </c>
      <c r="BX88" s="39">
        <f t="shared" si="176"/>
        <v>0.74797829234909852</v>
      </c>
      <c r="BY88" s="39">
        <f t="shared" si="177"/>
        <v>0.85006893867198097</v>
      </c>
      <c r="BZ88" s="39">
        <f t="shared" si="178"/>
        <v>0.85849715584674891</v>
      </c>
      <c r="CA88" s="39">
        <f t="shared" si="179"/>
        <v>0.89803658631065042</v>
      </c>
      <c r="CB88" s="39">
        <f t="shared" si="180"/>
        <v>0.95052918067852787</v>
      </c>
      <c r="CC88" s="39">
        <f t="shared" si="181"/>
        <v>0.96591960535208476</v>
      </c>
      <c r="CD88" s="39">
        <f t="shared" si="182"/>
        <v>0.99120551660543332</v>
      </c>
      <c r="CE88" s="39">
        <f t="shared" si="183"/>
        <v>1</v>
      </c>
      <c r="CG88" s="39">
        <f t="shared" si="207"/>
        <v>0.17993071830883656</v>
      </c>
      <c r="CH88" s="39">
        <f t="shared" si="184"/>
        <v>0.38600555329457825</v>
      </c>
      <c r="CI88" s="39">
        <f t="shared" si="185"/>
        <v>0.51657002212085501</v>
      </c>
      <c r="CJ88" s="39">
        <f t="shared" si="186"/>
        <v>0.63149598642470084</v>
      </c>
      <c r="CK88" s="39">
        <f t="shared" si="187"/>
        <v>0.71887365969840367</v>
      </c>
      <c r="CL88" s="39">
        <f t="shared" si="188"/>
        <v>0.82498057731489505</v>
      </c>
      <c r="CM88" s="39">
        <f t="shared" si="189"/>
        <v>0.85100831685545064</v>
      </c>
      <c r="CN88" s="39">
        <f t="shared" si="190"/>
        <v>0.89170302459844331</v>
      </c>
      <c r="CO88" s="39">
        <f t="shared" si="191"/>
        <v>0.92259025093545455</v>
      </c>
      <c r="CP88" s="39">
        <f t="shared" si="192"/>
        <v>0.95010517962537666</v>
      </c>
      <c r="CQ88" s="39">
        <f t="shared" si="193"/>
        <v>0.98892641909318935</v>
      </c>
      <c r="CR88" s="39">
        <f t="shared" si="194"/>
        <v>1</v>
      </c>
    </row>
    <row r="89" spans="1:96">
      <c r="A89" s="193" t="s">
        <v>113</v>
      </c>
      <c r="B89" s="34">
        <v>3703.62</v>
      </c>
      <c r="C89" s="34">
        <v>4528.2</v>
      </c>
      <c r="D89" s="34">
        <v>2388.4899999999998</v>
      </c>
      <c r="E89" s="34">
        <v>3217.68</v>
      </c>
      <c r="F89" s="34">
        <v>3226.89</v>
      </c>
      <c r="G89" s="34">
        <v>7471.83</v>
      </c>
      <c r="H89" s="34">
        <v>3473.36</v>
      </c>
      <c r="I89" s="34">
        <v>2881.39</v>
      </c>
      <c r="J89" s="34">
        <v>2763.89</v>
      </c>
      <c r="K89" s="34">
        <v>2886.06</v>
      </c>
      <c r="L89" s="34">
        <v>1087.1500000000001</v>
      </c>
      <c r="M89" s="34">
        <v>1888.7</v>
      </c>
      <c r="N89" s="68">
        <f t="shared" si="208"/>
        <v>39517.259999999995</v>
      </c>
      <c r="P89" s="85" t="s">
        <v>113</v>
      </c>
      <c r="Q89" s="34">
        <v>1547.95</v>
      </c>
      <c r="R89" s="34">
        <v>3803.18</v>
      </c>
      <c r="S89" s="34">
        <v>2766.75</v>
      </c>
      <c r="T89" s="34">
        <v>1316.7</v>
      </c>
      <c r="U89" s="34">
        <v>1997.23</v>
      </c>
      <c r="V89" s="34">
        <v>5675.91</v>
      </c>
      <c r="W89" s="34">
        <v>2464.3000000000002</v>
      </c>
      <c r="X89" s="34">
        <v>2050.59</v>
      </c>
      <c r="Y89" s="34">
        <v>729.51</v>
      </c>
      <c r="Z89" s="34">
        <v>2028.38</v>
      </c>
      <c r="AA89" s="34">
        <v>1227.7</v>
      </c>
      <c r="AB89" s="34">
        <v>1094.21</v>
      </c>
      <c r="AC89" s="68">
        <f t="shared" si="209"/>
        <v>26702.41</v>
      </c>
      <c r="AE89" s="85" t="s">
        <v>113</v>
      </c>
      <c r="AF89" s="34">
        <v>3769.92</v>
      </c>
      <c r="AG89" s="34">
        <v>3560.49</v>
      </c>
      <c r="AH89" s="34">
        <v>2199.59</v>
      </c>
      <c r="AI89" s="34">
        <v>1021.02</v>
      </c>
      <c r="AJ89" s="34">
        <v>2357.96</v>
      </c>
      <c r="AK89" s="34">
        <v>2997.62</v>
      </c>
      <c r="AL89" s="34">
        <v>2188.66</v>
      </c>
      <c r="AM89" s="34">
        <v>750.49</v>
      </c>
      <c r="AN89" s="34">
        <v>1500.98</v>
      </c>
      <c r="AO89" s="34">
        <v>733.01</v>
      </c>
      <c r="AP89" s="34">
        <v>846.49</v>
      </c>
      <c r="AQ89" s="34">
        <v>1108.28</v>
      </c>
      <c r="AR89" s="68">
        <f t="shared" si="210"/>
        <v>23034.51</v>
      </c>
      <c r="AT89" s="39">
        <f t="shared" si="195"/>
        <v>9.3721578874648714E-2</v>
      </c>
      <c r="AU89" s="39">
        <f t="shared" si="196"/>
        <v>0.20830948299553159</v>
      </c>
      <c r="AV89" s="39">
        <f t="shared" si="197"/>
        <v>0.26875117353784145</v>
      </c>
      <c r="AW89" s="39">
        <f t="shared" si="198"/>
        <v>0.35017584721207901</v>
      </c>
      <c r="AX89" s="39">
        <f t="shared" si="199"/>
        <v>0.43183358360372159</v>
      </c>
      <c r="AY89" s="39">
        <f t="shared" si="200"/>
        <v>0.62091121702263774</v>
      </c>
      <c r="AZ89" s="39">
        <f t="shared" si="201"/>
        <v>0.70880597490817943</v>
      </c>
      <c r="BA89" s="39">
        <f t="shared" si="202"/>
        <v>0.78172069622235962</v>
      </c>
      <c r="BB89" s="39">
        <f t="shared" si="203"/>
        <v>0.85166203324825662</v>
      </c>
      <c r="BC89" s="39">
        <f t="shared" si="204"/>
        <v>0.92469493077202214</v>
      </c>
      <c r="BD89" s="39">
        <f t="shared" si="205"/>
        <v>0.95220569442314584</v>
      </c>
      <c r="BE89" s="39">
        <f t="shared" si="206"/>
        <v>1</v>
      </c>
      <c r="BG89" s="39">
        <f t="shared" si="160"/>
        <v>5.7970422894412905E-2</v>
      </c>
      <c r="BH89" s="39">
        <f t="shared" si="161"/>
        <v>0.20039876550468666</v>
      </c>
      <c r="BI89" s="39">
        <f t="shared" si="162"/>
        <v>0.30401300856364649</v>
      </c>
      <c r="BJ89" s="39">
        <f t="shared" si="163"/>
        <v>0.35332316446343232</v>
      </c>
      <c r="BK89" s="39">
        <f t="shared" si="164"/>
        <v>0.42811903494853082</v>
      </c>
      <c r="BL89" s="39">
        <f t="shared" si="165"/>
        <v>0.64068074754301207</v>
      </c>
      <c r="BM89" s="39">
        <f t="shared" si="166"/>
        <v>0.73296829761808013</v>
      </c>
      <c r="BN89" s="39">
        <f t="shared" si="167"/>
        <v>0.80976248960299846</v>
      </c>
      <c r="BO89" s="39">
        <f t="shared" si="168"/>
        <v>0.83708249555002712</v>
      </c>
      <c r="BP89" s="39">
        <f t="shared" si="169"/>
        <v>0.91304492740542897</v>
      </c>
      <c r="BQ89" s="39">
        <f t="shared" si="170"/>
        <v>0.95902205081863401</v>
      </c>
      <c r="BR89" s="39">
        <f t="shared" si="171"/>
        <v>1</v>
      </c>
      <c r="BS89" s="61"/>
      <c r="BT89" s="39">
        <f t="shared" si="172"/>
        <v>0.16366399806203824</v>
      </c>
      <c r="BU89" s="39">
        <f t="shared" si="173"/>
        <v>0.31823598591851965</v>
      </c>
      <c r="BV89" s="39">
        <f t="shared" si="174"/>
        <v>0.41372705562219475</v>
      </c>
      <c r="BW89" s="39">
        <f t="shared" si="175"/>
        <v>0.45805272176399675</v>
      </c>
      <c r="BX89" s="39">
        <f t="shared" si="176"/>
        <v>0.5604191276480377</v>
      </c>
      <c r="BY89" s="39">
        <f t="shared" si="177"/>
        <v>0.69055517134942312</v>
      </c>
      <c r="BZ89" s="39">
        <f t="shared" si="178"/>
        <v>0.78557173562624083</v>
      </c>
      <c r="CA89" s="39">
        <f t="shared" si="179"/>
        <v>0.81815284978929448</v>
      </c>
      <c r="CB89" s="39">
        <f t="shared" si="180"/>
        <v>0.88331507811540166</v>
      </c>
      <c r="CC89" s="39">
        <f t="shared" si="181"/>
        <v>0.9151373309004619</v>
      </c>
      <c r="CD89" s="39">
        <f t="shared" si="182"/>
        <v>0.95188610480535518</v>
      </c>
      <c r="CE89" s="39">
        <f t="shared" si="183"/>
        <v>1</v>
      </c>
      <c r="CG89" s="39">
        <f t="shared" si="207"/>
        <v>0.10511866661036662</v>
      </c>
      <c r="CH89" s="39">
        <f t="shared" si="184"/>
        <v>0.24231474480624596</v>
      </c>
      <c r="CI89" s="39">
        <f t="shared" si="185"/>
        <v>0.32883041257456092</v>
      </c>
      <c r="CJ89" s="39">
        <f t="shared" si="186"/>
        <v>0.38718391114650269</v>
      </c>
      <c r="CK89" s="39">
        <f t="shared" si="187"/>
        <v>0.47345724873343004</v>
      </c>
      <c r="CL89" s="39">
        <f t="shared" si="188"/>
        <v>0.65071571197169098</v>
      </c>
      <c r="CM89" s="39">
        <f t="shared" si="189"/>
        <v>0.74244866938416676</v>
      </c>
      <c r="CN89" s="39">
        <f t="shared" si="190"/>
        <v>0.80321201187155078</v>
      </c>
      <c r="CO89" s="39">
        <f t="shared" si="191"/>
        <v>0.8573532023045618</v>
      </c>
      <c r="CP89" s="39">
        <f t="shared" si="192"/>
        <v>0.91762572969263767</v>
      </c>
      <c r="CQ89" s="39">
        <f t="shared" si="193"/>
        <v>0.95437128334904509</v>
      </c>
      <c r="CR89" s="39">
        <f t="shared" si="194"/>
        <v>1</v>
      </c>
    </row>
    <row r="90" spans="1:96">
      <c r="A90" s="193" t="s">
        <v>241</v>
      </c>
      <c r="N90" s="63">
        <f t="shared" si="208"/>
        <v>0</v>
      </c>
      <c r="P90" s="176" t="s">
        <v>241</v>
      </c>
      <c r="AC90" s="63">
        <f t="shared" si="209"/>
        <v>0</v>
      </c>
      <c r="AR90" s="63">
        <f t="shared" si="210"/>
        <v>0</v>
      </c>
      <c r="AT90" s="61">
        <f>AVERAGE(AT63:AT89)</f>
        <v>0.13428730868418104</v>
      </c>
      <c r="AU90" s="61">
        <f t="shared" ref="AU90:BE90" si="211">AVERAGE(AU63:AU89)</f>
        <v>0.33633598781331386</v>
      </c>
      <c r="AV90" s="61">
        <f t="shared" si="211"/>
        <v>0.41707510073809817</v>
      </c>
      <c r="AW90" s="61">
        <f t="shared" si="211"/>
        <v>0.51400653281587905</v>
      </c>
      <c r="AX90" s="61">
        <f t="shared" si="211"/>
        <v>0.62805938544454076</v>
      </c>
      <c r="AY90" s="61">
        <f t="shared" si="211"/>
        <v>0.75256867700177188</v>
      </c>
      <c r="AZ90" s="61">
        <f t="shared" si="211"/>
        <v>0.81232050012464185</v>
      </c>
      <c r="BA90" s="61">
        <f t="shared" si="211"/>
        <v>0.85328006235633891</v>
      </c>
      <c r="BB90" s="61">
        <f t="shared" si="211"/>
        <v>0.89651524015055084</v>
      </c>
      <c r="BC90" s="61">
        <f t="shared" si="211"/>
        <v>0.93522062230904757</v>
      </c>
      <c r="BD90" s="61">
        <f t="shared" si="211"/>
        <v>0.96829809741311934</v>
      </c>
      <c r="BE90" s="61">
        <f t="shared" si="211"/>
        <v>1</v>
      </c>
      <c r="BG90" s="61">
        <f>AVERAGE(BG63:BG89)</f>
        <v>0.13596341858573577</v>
      </c>
      <c r="BH90" s="61">
        <f t="shared" ref="BH90" si="212">AVERAGE(BH63:BH89)</f>
        <v>0.31930859198039258</v>
      </c>
      <c r="BI90" s="61">
        <f t="shared" ref="BI90" si="213">AVERAGE(BI63:BI89)</f>
        <v>0.44368221435821509</v>
      </c>
      <c r="BJ90" s="61">
        <f t="shared" ref="BJ90" si="214">AVERAGE(BJ63:BJ89)</f>
        <v>0.54166087337477642</v>
      </c>
      <c r="BK90" s="61">
        <f t="shared" ref="BK90" si="215">AVERAGE(BK63:BK89)</f>
        <v>0.64677125541421243</v>
      </c>
      <c r="BL90" s="61">
        <f t="shared" ref="BL90" si="216">AVERAGE(BL63:BL89)</f>
        <v>0.77208588358387831</v>
      </c>
      <c r="BM90" s="61">
        <f t="shared" ref="BM90" si="217">AVERAGE(BM63:BM89)</f>
        <v>0.82172579715443483</v>
      </c>
      <c r="BN90" s="61">
        <f t="shared" ref="BN90" si="218">AVERAGE(BN63:BN89)</f>
        <v>0.87201729160805497</v>
      </c>
      <c r="BO90" s="61">
        <f t="shared" ref="BO90" si="219">AVERAGE(BO63:BO89)</f>
        <v>0.90822230149877481</v>
      </c>
      <c r="BP90" s="61">
        <f t="shared" ref="BP90" si="220">AVERAGE(BP63:BP89)</f>
        <v>0.9439088955772662</v>
      </c>
      <c r="BQ90" s="61">
        <f t="shared" ref="BQ90" si="221">AVERAGE(BQ63:BQ89)</f>
        <v>0.97365768648604378</v>
      </c>
      <c r="BR90" s="61">
        <f t="shared" ref="BR90" si="222">AVERAGE(BR63:BR89)</f>
        <v>1</v>
      </c>
      <c r="BS90" s="61"/>
      <c r="BT90" s="61">
        <f>AVERAGE(BT63:BT89)</f>
        <v>0.15753512414847323</v>
      </c>
      <c r="BU90" s="61">
        <f t="shared" ref="BU90" si="223">AVERAGE(BU63:BU89)</f>
        <v>0.38195210496282173</v>
      </c>
      <c r="BV90" s="61">
        <f t="shared" ref="BV90" si="224">AVERAGE(BV63:BV89)</f>
        <v>0.48230666543974604</v>
      </c>
      <c r="BW90" s="61">
        <f t="shared" ref="BW90" si="225">AVERAGE(BW63:BW89)</f>
        <v>0.5558434578343181</v>
      </c>
      <c r="BX90" s="61">
        <f t="shared" ref="BX90" si="226">AVERAGE(BX63:BX89)</f>
        <v>0.66762336513437492</v>
      </c>
      <c r="BY90" s="61">
        <f t="shared" ref="BY90" si="227">AVERAGE(BY63:BY89)</f>
        <v>0.78244359134605912</v>
      </c>
      <c r="BZ90" s="61">
        <f t="shared" ref="BZ90" si="228">AVERAGE(BZ63:BZ89)</f>
        <v>0.82871452116125754</v>
      </c>
      <c r="CA90" s="61">
        <f t="shared" ref="CA90" si="229">AVERAGE(CA63:CA89)</f>
        <v>0.88245344098418654</v>
      </c>
      <c r="CB90" s="61">
        <f t="shared" ref="CB90" si="230">AVERAGE(CB63:CB89)</f>
        <v>0.91960395255802874</v>
      </c>
      <c r="CC90" s="61">
        <f t="shared" ref="CC90" si="231">AVERAGE(CC63:CC89)</f>
        <v>0.9517638970888217</v>
      </c>
      <c r="CD90" s="61">
        <f t="shared" ref="CD90" si="232">AVERAGE(CD63:CD89)</f>
        <v>0.9751875710962703</v>
      </c>
      <c r="CE90" s="61">
        <f t="shared" ref="CE90" si="233">AVERAGE(CE63:CE89)</f>
        <v>1</v>
      </c>
      <c r="CG90" s="61">
        <f>AVERAGE(CG63:CG89)</f>
        <v>0.14259528380613004</v>
      </c>
      <c r="CH90" s="61">
        <f t="shared" ref="CH90" si="234">AVERAGE(CH63:CH89)</f>
        <v>0.34586556158550946</v>
      </c>
      <c r="CI90" s="61">
        <f t="shared" ref="CI90" si="235">AVERAGE(CI63:CI89)</f>
        <v>0.44768799351201982</v>
      </c>
      <c r="CJ90" s="61">
        <f t="shared" ref="CJ90" si="236">AVERAGE(CJ63:CJ89)</f>
        <v>0.53717028800832456</v>
      </c>
      <c r="CK90" s="61">
        <f t="shared" ref="CK90" si="237">AVERAGE(CK63:CK89)</f>
        <v>0.64748466866437582</v>
      </c>
      <c r="CL90" s="61">
        <f t="shared" ref="CL90" si="238">AVERAGE(CL63:CL89)</f>
        <v>0.76903271731056988</v>
      </c>
      <c r="CM90" s="61">
        <f t="shared" ref="CM90" si="239">AVERAGE(CM63:CM89)</f>
        <v>0.82092027281344471</v>
      </c>
      <c r="CN90" s="61">
        <f t="shared" ref="CN90" si="240">AVERAGE(CN63:CN89)</f>
        <v>0.86925026498286018</v>
      </c>
      <c r="CO90" s="61">
        <f t="shared" ref="CO90" si="241">AVERAGE(CO63:CO89)</f>
        <v>0.90811383140245117</v>
      </c>
      <c r="CP90" s="61">
        <f t="shared" ref="CP90" si="242">AVERAGE(CP63:CP89)</f>
        <v>0.9436311383250453</v>
      </c>
      <c r="CQ90" s="61">
        <f t="shared" ref="CQ90" si="243">AVERAGE(CQ63:CQ89)</f>
        <v>0.97238111833181118</v>
      </c>
      <c r="CR90" s="61">
        <f t="shared" ref="CR90" si="244">AVERAGE(CR63:CR89)</f>
        <v>1</v>
      </c>
    </row>
    <row r="91" spans="1:96">
      <c r="B91" s="1255" t="s">
        <v>408</v>
      </c>
      <c r="C91" s="1255"/>
      <c r="D91" s="1255"/>
      <c r="E91" s="1255"/>
      <c r="F91" s="1255"/>
      <c r="G91" s="1255"/>
      <c r="H91" s="1255"/>
      <c r="I91" s="1255"/>
      <c r="J91" s="1255"/>
      <c r="K91" s="1255"/>
      <c r="L91" s="1255"/>
      <c r="M91" s="1255"/>
      <c r="N91" s="1255">
        <f t="shared" si="208"/>
        <v>0</v>
      </c>
      <c r="Q91" s="1255" t="s">
        <v>189</v>
      </c>
      <c r="R91" s="1255"/>
      <c r="S91" s="1255"/>
      <c r="T91" s="1255"/>
      <c r="U91" s="1255"/>
      <c r="V91" s="1255"/>
      <c r="W91" s="1255"/>
      <c r="X91" s="1255"/>
      <c r="Y91" s="1255"/>
      <c r="Z91" s="1255"/>
      <c r="AA91" s="1255"/>
      <c r="AB91" s="1255"/>
      <c r="AC91" s="1255">
        <f t="shared" si="209"/>
        <v>0</v>
      </c>
      <c r="AF91" s="1255" t="s">
        <v>171</v>
      </c>
      <c r="AG91" s="1255"/>
      <c r="AH91" s="1255"/>
      <c r="AI91" s="1255"/>
      <c r="AJ91" s="1255"/>
      <c r="AK91" s="1255"/>
      <c r="AL91" s="1255"/>
      <c r="AM91" s="1255"/>
      <c r="AN91" s="1255"/>
      <c r="AO91" s="1255"/>
      <c r="AP91" s="1255"/>
      <c r="AQ91" s="1255"/>
      <c r="AR91" s="1255">
        <f t="shared" si="210"/>
        <v>0</v>
      </c>
      <c r="AT91" s="1256" t="s">
        <v>427</v>
      </c>
      <c r="AU91" s="1256"/>
      <c r="AV91" s="1256"/>
      <c r="AW91" s="1256"/>
      <c r="AX91" s="1256"/>
      <c r="AY91" s="1256"/>
      <c r="AZ91" s="1256"/>
      <c r="BA91" s="1256"/>
      <c r="BB91" s="1256"/>
      <c r="BC91" s="1256"/>
      <c r="BD91" s="1256"/>
      <c r="BE91" s="1256"/>
      <c r="BG91" s="1256" t="s">
        <v>144</v>
      </c>
      <c r="BH91" s="1256"/>
      <c r="BI91" s="1256"/>
      <c r="BJ91" s="1256"/>
      <c r="BK91" s="1256"/>
      <c r="BL91" s="1256"/>
      <c r="BM91" s="1256"/>
      <c r="BN91" s="1256"/>
      <c r="BO91" s="1256"/>
      <c r="BP91" s="1256"/>
      <c r="BQ91" s="1256"/>
      <c r="BR91" s="1256"/>
      <c r="BS91" s="61"/>
      <c r="BT91" s="1256" t="s">
        <v>145</v>
      </c>
      <c r="BU91" s="1256"/>
      <c r="BV91" s="1256"/>
      <c r="BW91" s="1256"/>
      <c r="BX91" s="1256"/>
      <c r="BY91" s="1256"/>
      <c r="BZ91" s="1256"/>
      <c r="CA91" s="1256"/>
      <c r="CB91" s="1256"/>
      <c r="CC91" s="1256"/>
      <c r="CD91" s="1256"/>
      <c r="CE91" s="1256"/>
      <c r="CG91" s="1256" t="s">
        <v>431</v>
      </c>
      <c r="CH91" s="1256"/>
      <c r="CI91" s="1256"/>
      <c r="CJ91" s="1256"/>
      <c r="CK91" s="1256"/>
      <c r="CL91" s="1256"/>
      <c r="CM91" s="1256"/>
      <c r="CN91" s="1256"/>
      <c r="CO91" s="1256"/>
      <c r="CP91" s="1256"/>
      <c r="CQ91" s="1256"/>
      <c r="CR91" s="1256"/>
    </row>
    <row r="92" spans="1:96">
      <c r="B92" s="193" t="s">
        <v>130</v>
      </c>
      <c r="C92" s="193" t="s">
        <v>146</v>
      </c>
      <c r="D92" s="193" t="s">
        <v>147</v>
      </c>
      <c r="E92" s="193" t="s">
        <v>148</v>
      </c>
      <c r="F92" s="193" t="s">
        <v>149</v>
      </c>
      <c r="G92" s="193" t="s">
        <v>150</v>
      </c>
      <c r="H92" s="193" t="s">
        <v>151</v>
      </c>
      <c r="I92" s="193" t="s">
        <v>152</v>
      </c>
      <c r="J92" s="193" t="s">
        <v>153</v>
      </c>
      <c r="K92" s="193" t="s">
        <v>154</v>
      </c>
      <c r="L92" s="193" t="s">
        <v>155</v>
      </c>
      <c r="M92" s="193" t="s">
        <v>156</v>
      </c>
      <c r="N92" s="193" t="s">
        <v>128</v>
      </c>
      <c r="Q92" s="85" t="s">
        <v>130</v>
      </c>
      <c r="R92" s="85" t="s">
        <v>146</v>
      </c>
      <c r="S92" s="85" t="s">
        <v>147</v>
      </c>
      <c r="T92" s="85" t="s">
        <v>148</v>
      </c>
      <c r="U92" s="85" t="s">
        <v>149</v>
      </c>
      <c r="V92" s="85" t="s">
        <v>150</v>
      </c>
      <c r="W92" s="85" t="s">
        <v>151</v>
      </c>
      <c r="X92" s="85" t="s">
        <v>152</v>
      </c>
      <c r="Y92" s="85" t="s">
        <v>153</v>
      </c>
      <c r="Z92" s="85" t="s">
        <v>154</v>
      </c>
      <c r="AA92" s="85" t="s">
        <v>155</v>
      </c>
      <c r="AB92" s="85" t="s">
        <v>156</v>
      </c>
      <c r="AC92" s="85" t="s">
        <v>128</v>
      </c>
      <c r="AF92" s="85" t="s">
        <v>130</v>
      </c>
      <c r="AG92" s="85" t="s">
        <v>146</v>
      </c>
      <c r="AH92" s="85" t="s">
        <v>147</v>
      </c>
      <c r="AI92" s="85" t="s">
        <v>148</v>
      </c>
      <c r="AJ92" s="85" t="s">
        <v>149</v>
      </c>
      <c r="AK92" s="85" t="s">
        <v>150</v>
      </c>
      <c r="AL92" s="85" t="s">
        <v>151</v>
      </c>
      <c r="AM92" s="85" t="s">
        <v>152</v>
      </c>
      <c r="AN92" s="85" t="s">
        <v>153</v>
      </c>
      <c r="AO92" s="85" t="s">
        <v>154</v>
      </c>
      <c r="AP92" s="85" t="s">
        <v>155</v>
      </c>
      <c r="AQ92" s="85" t="s">
        <v>156</v>
      </c>
      <c r="AR92" s="85">
        <f t="shared" si="210"/>
        <v>0</v>
      </c>
      <c r="AT92" s="195" t="s">
        <v>157</v>
      </c>
      <c r="AU92" s="195" t="s">
        <v>158</v>
      </c>
      <c r="AV92" s="195" t="s">
        <v>159</v>
      </c>
      <c r="AW92" s="195" t="s">
        <v>160</v>
      </c>
      <c r="AX92" s="195" t="s">
        <v>161</v>
      </c>
      <c r="AY92" s="195" t="s">
        <v>162</v>
      </c>
      <c r="AZ92" s="195" t="s">
        <v>163</v>
      </c>
      <c r="BA92" s="195" t="s">
        <v>164</v>
      </c>
      <c r="BB92" s="195" t="s">
        <v>165</v>
      </c>
      <c r="BC92" s="195" t="s">
        <v>166</v>
      </c>
      <c r="BD92" s="195" t="s">
        <v>167</v>
      </c>
      <c r="BE92" s="195" t="s">
        <v>168</v>
      </c>
      <c r="BG92" s="85" t="s">
        <v>157</v>
      </c>
      <c r="BH92" s="85" t="s">
        <v>158</v>
      </c>
      <c r="BI92" s="85" t="s">
        <v>159</v>
      </c>
      <c r="BJ92" s="85" t="s">
        <v>160</v>
      </c>
      <c r="BK92" s="85" t="s">
        <v>161</v>
      </c>
      <c r="BL92" s="85" t="s">
        <v>162</v>
      </c>
      <c r="BM92" s="85" t="s">
        <v>163</v>
      </c>
      <c r="BN92" s="85" t="s">
        <v>164</v>
      </c>
      <c r="BO92" s="85" t="s">
        <v>165</v>
      </c>
      <c r="BP92" s="85" t="s">
        <v>166</v>
      </c>
      <c r="BQ92" s="85" t="s">
        <v>167</v>
      </c>
      <c r="BR92" s="85" t="s">
        <v>168</v>
      </c>
      <c r="BS92" s="61"/>
      <c r="BT92" s="85" t="s">
        <v>157</v>
      </c>
      <c r="BU92" s="85" t="s">
        <v>158</v>
      </c>
      <c r="BV92" s="85" t="s">
        <v>190</v>
      </c>
      <c r="BW92" s="85" t="s">
        <v>191</v>
      </c>
      <c r="BX92" s="85" t="s">
        <v>192</v>
      </c>
      <c r="BY92" s="85" t="s">
        <v>162</v>
      </c>
      <c r="BZ92" s="85" t="s">
        <v>163</v>
      </c>
      <c r="CA92" s="85" t="s">
        <v>164</v>
      </c>
      <c r="CB92" s="85" t="s">
        <v>165</v>
      </c>
      <c r="CC92" s="85" t="s">
        <v>166</v>
      </c>
      <c r="CD92" s="85" t="s">
        <v>167</v>
      </c>
      <c r="CE92" s="85" t="s">
        <v>168</v>
      </c>
      <c r="CG92" s="85" t="s">
        <v>157</v>
      </c>
      <c r="CH92" s="85" t="s">
        <v>158</v>
      </c>
      <c r="CI92" s="85" t="s">
        <v>190</v>
      </c>
      <c r="CJ92" s="85" t="s">
        <v>191</v>
      </c>
      <c r="CK92" s="85" t="s">
        <v>192</v>
      </c>
      <c r="CL92" s="85" t="s">
        <v>162</v>
      </c>
      <c r="CM92" s="85" t="s">
        <v>163</v>
      </c>
      <c r="CN92" s="85" t="s">
        <v>164</v>
      </c>
      <c r="CO92" s="85" t="s">
        <v>165</v>
      </c>
      <c r="CP92" s="85" t="s">
        <v>166</v>
      </c>
      <c r="CQ92" s="85" t="s">
        <v>167</v>
      </c>
      <c r="CR92" s="85" t="s">
        <v>168</v>
      </c>
    </row>
    <row r="93" spans="1:96">
      <c r="A93" s="193" t="s">
        <v>87</v>
      </c>
      <c r="B93" s="34">
        <v>449.44</v>
      </c>
      <c r="C93" s="34">
        <v>266.89</v>
      </c>
      <c r="D93" s="34">
        <v>404.97</v>
      </c>
      <c r="E93" s="34">
        <v>493.91</v>
      </c>
      <c r="F93" s="34">
        <v>919.63</v>
      </c>
      <c r="G93" s="34">
        <v>272.82</v>
      </c>
      <c r="H93" s="34">
        <v>626.45000000000005</v>
      </c>
      <c r="I93" s="34">
        <v>270.57</v>
      </c>
      <c r="J93" s="34">
        <v>92.65</v>
      </c>
      <c r="K93" s="34">
        <v>475.05</v>
      </c>
      <c r="L93" s="34">
        <v>320.25</v>
      </c>
      <c r="M93" s="34">
        <v>0</v>
      </c>
      <c r="N93" s="68">
        <f t="shared" ref="N93:N121" si="245">SUM(B93:M93)</f>
        <v>4592.630000000001</v>
      </c>
      <c r="P93" s="85" t="s">
        <v>87</v>
      </c>
      <c r="Q93" s="34">
        <v>0</v>
      </c>
      <c r="R93" s="34">
        <v>333.78999999999996</v>
      </c>
      <c r="S93" s="34">
        <v>1119.19</v>
      </c>
      <c r="T93" s="34">
        <v>595.59000000000015</v>
      </c>
      <c r="U93" s="34">
        <v>71.989999999999782</v>
      </c>
      <c r="V93" s="34">
        <v>333.8</v>
      </c>
      <c r="W93" s="34">
        <v>0</v>
      </c>
      <c r="X93" s="34">
        <v>0</v>
      </c>
      <c r="Y93" s="34">
        <v>0</v>
      </c>
      <c r="Z93" s="34">
        <v>395.82</v>
      </c>
      <c r="AA93" s="34">
        <v>186.38</v>
      </c>
      <c r="AB93" s="34">
        <v>0</v>
      </c>
      <c r="AC93" s="68">
        <f t="shared" si="209"/>
        <v>3036.5600000000004</v>
      </c>
      <c r="AE93" s="85" t="s">
        <v>87</v>
      </c>
      <c r="AF93" s="34">
        <v>40.629999999999939</v>
      </c>
      <c r="AG93" s="34">
        <v>278.08000000000015</v>
      </c>
      <c r="AH93" s="34">
        <v>258.5299999999998</v>
      </c>
      <c r="AI93" s="34">
        <v>165.82999999999998</v>
      </c>
      <c r="AJ93" s="34">
        <v>92.700000000000045</v>
      </c>
      <c r="AK93" s="34">
        <v>571.77</v>
      </c>
      <c r="AL93" s="34">
        <v>0</v>
      </c>
      <c r="AM93" s="34">
        <v>0</v>
      </c>
      <c r="AN93" s="34">
        <v>0</v>
      </c>
      <c r="AO93" s="34">
        <v>0</v>
      </c>
      <c r="AP93" s="34">
        <v>0</v>
      </c>
      <c r="AQ93" s="34">
        <v>219.38999999999987</v>
      </c>
      <c r="AR93" s="68">
        <f t="shared" si="210"/>
        <v>1626.9299999999998</v>
      </c>
      <c r="AT93" s="39">
        <f>B93/$N93</f>
        <v>9.7861138389114713E-2</v>
      </c>
      <c r="AU93" s="39">
        <f>SUM(B93:C93)/$N93</f>
        <v>0.15597381021331999</v>
      </c>
      <c r="AV93" s="39">
        <f>SUM(B93:D93)/$N93</f>
        <v>0.24415204360028997</v>
      </c>
      <c r="AW93" s="39">
        <f>SUM(B93:E93)/$N93</f>
        <v>0.35169608699154942</v>
      </c>
      <c r="AX93" s="39">
        <f>SUM(B93:F93)/$N93</f>
        <v>0.55193647213034791</v>
      </c>
      <c r="AY93" s="39">
        <f>SUM(B93:G93)/$N93</f>
        <v>0.61134034311494712</v>
      </c>
      <c r="AZ93" s="39">
        <f>SUM(B93:H93)/$N93</f>
        <v>0.74774366757173993</v>
      </c>
      <c r="BA93" s="39">
        <f>SUM(B93:I93)/$N93</f>
        <v>0.80665762319194012</v>
      </c>
      <c r="BB93" s="39">
        <f>SUM(B93:J93)/$N93</f>
        <v>0.82683124919708317</v>
      </c>
      <c r="BC93" s="39">
        <f>SUM(B93:K93)/$N93</f>
        <v>0.93026871313386883</v>
      </c>
      <c r="BD93" s="39">
        <f>SUM(B93:L93)/$N93</f>
        <v>1</v>
      </c>
      <c r="BE93" s="39">
        <f>SUM(B93:M93)/$N93</f>
        <v>1</v>
      </c>
      <c r="BG93" s="39">
        <f t="shared" ref="BG93:BG119" si="246">Q93/AC93</f>
        <v>0</v>
      </c>
      <c r="BH93" s="39">
        <f t="shared" ref="BH93:BH119" si="247">SUM(Q93:R93)/$AC93</f>
        <v>0.10992372948336272</v>
      </c>
      <c r="BI93" s="39">
        <f t="shared" ref="BI93:BI119" si="248">SUM(Q93:S93)/$AC93</f>
        <v>0.47849540269252044</v>
      </c>
      <c r="BJ93" s="39">
        <f t="shared" ref="BJ93:BJ119" si="249">SUM(Q93:T93)/$AC93</f>
        <v>0.6746351134178149</v>
      </c>
      <c r="BK93" s="39">
        <f t="shared" ref="BK93:BK119" si="250">SUM(Q93:U93)/$AC93</f>
        <v>0.69834286165924586</v>
      </c>
      <c r="BL93" s="39">
        <f t="shared" ref="BL93:BL119" si="251">SUM(Q93:V93)/$AC93</f>
        <v>0.80826988434280889</v>
      </c>
      <c r="BM93" s="39">
        <f t="shared" ref="BM93:BM119" si="252">SUM(Q93:W93)/$AC93</f>
        <v>0.80826988434280889</v>
      </c>
      <c r="BN93" s="39">
        <f t="shared" ref="BN93:BN119" si="253">SUM(Q93:X93)/$AC93</f>
        <v>0.80826988434280889</v>
      </c>
      <c r="BO93" s="39">
        <f t="shared" ref="BO93:BO119" si="254">SUM(Q93:Y93)/$AC93</f>
        <v>0.80826988434280889</v>
      </c>
      <c r="BP93" s="39">
        <f t="shared" ref="BP93:BP119" si="255">SUM(Q93:Z93)/$AC93</f>
        <v>0.9386213346681771</v>
      </c>
      <c r="BQ93" s="39">
        <f t="shared" ref="BQ93:BQ119" si="256">SUM(Q93:AA93)/$AC93</f>
        <v>1</v>
      </c>
      <c r="BR93" s="39">
        <f t="shared" ref="BR93:BR119" si="257">SUM(Q93:AB93)/$AC93</f>
        <v>1</v>
      </c>
      <c r="BS93" s="61"/>
      <c r="BT93" s="39">
        <f t="shared" ref="BT93:BT119" si="258">AF93/AR93</f>
        <v>2.4973416188772683E-2</v>
      </c>
      <c r="BU93" s="39">
        <f t="shared" ref="BU93:BU119" si="259">SUM(AF93:AG93)/$AR93</f>
        <v>0.19589656592477864</v>
      </c>
      <c r="BV93" s="39">
        <f t="shared" ref="BV93:BV119" si="260">SUM(AF93:AH93)/$AR93</f>
        <v>0.35480321833145861</v>
      </c>
      <c r="BW93" s="39">
        <f t="shared" ref="BW93:BW119" si="261">SUM(AF93:AI93)/$AR93</f>
        <v>0.45673138979550443</v>
      </c>
      <c r="BX93" s="39">
        <f t="shared" ref="BX93:BX119" si="262">SUM(AF93:AJ93)/$AR93</f>
        <v>0.51370987073813879</v>
      </c>
      <c r="BY93" s="39">
        <f t="shared" ref="BY93:BY119" si="263">SUM(AF93:AK93)/$AR93</f>
        <v>0.86515092843576558</v>
      </c>
      <c r="BZ93" s="39">
        <f t="shared" ref="BZ93:BZ119" si="264">SUM(AF93:AL93)/$AR93</f>
        <v>0.86515092843576558</v>
      </c>
      <c r="CA93" s="39">
        <f t="shared" ref="CA93:CA119" si="265">SUM(AF93:AM93)/$AR93</f>
        <v>0.86515092843576558</v>
      </c>
      <c r="CB93" s="39">
        <f t="shared" ref="CB93:CB119" si="266">SUM(AF93:AN93)/$AR93</f>
        <v>0.86515092843576558</v>
      </c>
      <c r="CC93" s="39">
        <f t="shared" ref="CC93:CC119" si="267">SUM(AF93:AO93)/$AR93</f>
        <v>0.86515092843576558</v>
      </c>
      <c r="CD93" s="39">
        <f t="shared" ref="CD93:CD119" si="268">SUM(AF93:AP93)/$AR93</f>
        <v>0.86515092843576558</v>
      </c>
      <c r="CE93" s="39">
        <f t="shared" ref="CE93:CE119" si="269">SUM(AF93:AQ93)/$AR93</f>
        <v>1</v>
      </c>
      <c r="CG93" s="39">
        <f>(AT93+BG93+BT93)/3</f>
        <v>4.0944851525962465E-2</v>
      </c>
      <c r="CH93" s="39">
        <f t="shared" ref="CH93:CH119" si="270">(AU93+BH93+BU93)/3</f>
        <v>0.15393136854048714</v>
      </c>
      <c r="CI93" s="39">
        <f t="shared" ref="CI93:CI119" si="271">(AV93+BI93+BV93)/3</f>
        <v>0.35915022154142301</v>
      </c>
      <c r="CJ93" s="39">
        <f t="shared" ref="CJ93:CJ119" si="272">(AW93+BJ93+BW93)/3</f>
        <v>0.49435419673495629</v>
      </c>
      <c r="CK93" s="39">
        <f t="shared" ref="CK93:CK119" si="273">(AX93+BK93+BX93)/3</f>
        <v>0.58799640150924415</v>
      </c>
      <c r="CL93" s="39">
        <f t="shared" ref="CL93:CL119" si="274">(AY93+BL93+BY93)/3</f>
        <v>0.76158705196450727</v>
      </c>
      <c r="CM93" s="39">
        <f t="shared" ref="CM93:CM119" si="275">(AZ93+BM93+BZ93)/3</f>
        <v>0.8070548267834381</v>
      </c>
      <c r="CN93" s="39">
        <f t="shared" ref="CN93:CN119" si="276">(BA93+BN93+CA93)/3</f>
        <v>0.82669281199017153</v>
      </c>
      <c r="CO93" s="39">
        <f t="shared" ref="CO93:CO119" si="277">(BB93+BO93+CB93)/3</f>
        <v>0.83341735399188588</v>
      </c>
      <c r="CP93" s="39">
        <f t="shared" ref="CP93:CP119" si="278">(BC93+BP93+CC93)/3</f>
        <v>0.91134699207927039</v>
      </c>
      <c r="CQ93" s="39">
        <f t="shared" ref="CQ93:CQ119" si="279">(BD93+BQ93+CD93)/3</f>
        <v>0.95505030947858849</v>
      </c>
      <c r="CR93" s="39">
        <f t="shared" ref="CR93:CR119" si="280">(BE93+BR93+CE93)/3</f>
        <v>1</v>
      </c>
    </row>
    <row r="94" spans="1:96">
      <c r="A94" s="193" t="s">
        <v>88</v>
      </c>
      <c r="B94" s="34">
        <v>213.52</v>
      </c>
      <c r="C94" s="34">
        <v>892.37</v>
      </c>
      <c r="D94" s="34">
        <v>0</v>
      </c>
      <c r="E94" s="34">
        <v>88.95</v>
      </c>
      <c r="F94" s="34">
        <v>305.2</v>
      </c>
      <c r="G94" s="34">
        <v>331.88</v>
      </c>
      <c r="H94" s="34">
        <v>1030.8399999999999</v>
      </c>
      <c r="I94" s="34">
        <v>358.11</v>
      </c>
      <c r="J94" s="34">
        <v>684.2</v>
      </c>
      <c r="K94" s="34">
        <v>1394.66</v>
      </c>
      <c r="L94" s="34">
        <v>473.76</v>
      </c>
      <c r="M94" s="34">
        <v>195.98</v>
      </c>
      <c r="N94" s="68">
        <f t="shared" si="245"/>
        <v>5969.47</v>
      </c>
      <c r="P94" s="85" t="s">
        <v>88</v>
      </c>
      <c r="Q94" s="34">
        <v>703.84999999999991</v>
      </c>
      <c r="R94" s="34">
        <v>759.21999999999935</v>
      </c>
      <c r="S94" s="34">
        <v>523.59999999999991</v>
      </c>
      <c r="T94" s="34">
        <v>1396.27</v>
      </c>
      <c r="U94" s="34">
        <v>523.59999999999991</v>
      </c>
      <c r="V94" s="34">
        <v>1256.6500000000001</v>
      </c>
      <c r="W94" s="34">
        <v>0</v>
      </c>
      <c r="X94" s="34">
        <v>0</v>
      </c>
      <c r="Y94" s="34">
        <v>1001.53</v>
      </c>
      <c r="Z94" s="34">
        <v>0</v>
      </c>
      <c r="AA94" s="34">
        <v>0</v>
      </c>
      <c r="AB94" s="34">
        <v>0</v>
      </c>
      <c r="AC94" s="68">
        <f t="shared" si="209"/>
        <v>6164.7199999999984</v>
      </c>
      <c r="AE94" s="85" t="s">
        <v>88</v>
      </c>
      <c r="AF94" s="34">
        <v>568.83999999999992</v>
      </c>
      <c r="AG94" s="34">
        <v>406.32000000000039</v>
      </c>
      <c r="AH94" s="34">
        <v>376.80999999999995</v>
      </c>
      <c r="AI94" s="34">
        <v>279.3</v>
      </c>
      <c r="AJ94" s="34">
        <v>121.88999999999999</v>
      </c>
      <c r="AK94" s="34">
        <v>0</v>
      </c>
      <c r="AL94" s="34">
        <v>163.41999999999996</v>
      </c>
      <c r="AM94" s="34">
        <v>0</v>
      </c>
      <c r="AN94" s="34">
        <v>0</v>
      </c>
      <c r="AO94" s="34">
        <v>0</v>
      </c>
      <c r="AP94" s="34">
        <v>0</v>
      </c>
      <c r="AQ94" s="34">
        <v>0</v>
      </c>
      <c r="AR94" s="68">
        <f t="shared" si="210"/>
        <v>1916.5800000000004</v>
      </c>
      <c r="AT94" s="39">
        <f t="shared" ref="AT94:AT119" si="281">B94/$N94</f>
        <v>3.576866958038151E-2</v>
      </c>
      <c r="AU94" s="39">
        <f t="shared" ref="AU94:AU119" si="282">SUM(B94:C94)/$N94</f>
        <v>0.18525765268943475</v>
      </c>
      <c r="AV94" s="39">
        <f t="shared" ref="AV94:AV119" si="283">SUM(B94:D94)/$N94</f>
        <v>0.18525765268943475</v>
      </c>
      <c r="AW94" s="39">
        <f t="shared" ref="AW94:AW119" si="284">SUM(B94:E94)/$N94</f>
        <v>0.20015847303026904</v>
      </c>
      <c r="AX94" s="39">
        <f t="shared" ref="AX94:AX119" si="285">SUM(B94:F94)/$N94</f>
        <v>0.25128528998386795</v>
      </c>
      <c r="AY94" s="39">
        <f t="shared" ref="AY94:AY119" si="286">SUM(B94:G94)/$N94</f>
        <v>0.30688151544441966</v>
      </c>
      <c r="AZ94" s="39">
        <f t="shared" ref="AZ94:AZ119" si="287">SUM(B94:H94)/$N94</f>
        <v>0.47956686271980598</v>
      </c>
      <c r="BA94" s="39">
        <f t="shared" ref="BA94:BA119" si="288">SUM(B94:I94)/$N94</f>
        <v>0.53955711311054422</v>
      </c>
      <c r="BB94" s="39">
        <f t="shared" ref="BB94:BB119" si="289">SUM(B94:J94)/$N94</f>
        <v>0.65417365360743929</v>
      </c>
      <c r="BC94" s="39">
        <f t="shared" ref="BC94:BC119" si="290">SUM(B94:K94)/$N94</f>
        <v>0.88780578510320018</v>
      </c>
      <c r="BD94" s="39">
        <f t="shared" ref="BD94:BD119" si="291">SUM(B94:L94)/$N94</f>
        <v>0.96716961472291518</v>
      </c>
      <c r="BE94" s="39">
        <f t="shared" ref="BE94:BE119" si="292">SUM(B94:M94)/$N94</f>
        <v>1</v>
      </c>
      <c r="BG94" s="39">
        <f t="shared" si="246"/>
        <v>0.11417387975447386</v>
      </c>
      <c r="BH94" s="39">
        <f t="shared" si="247"/>
        <v>0.23732951374920511</v>
      </c>
      <c r="BI94" s="39">
        <f t="shared" si="248"/>
        <v>0.32226443374557151</v>
      </c>
      <c r="BJ94" s="39">
        <f t="shared" si="249"/>
        <v>0.54875809444711199</v>
      </c>
      <c r="BK94" s="39">
        <f t="shared" si="250"/>
        <v>0.63369301444347836</v>
      </c>
      <c r="BL94" s="39">
        <f t="shared" si="251"/>
        <v>0.8375384445684475</v>
      </c>
      <c r="BM94" s="39">
        <f t="shared" si="252"/>
        <v>0.8375384445684475</v>
      </c>
      <c r="BN94" s="39">
        <f t="shared" si="253"/>
        <v>0.8375384445684475</v>
      </c>
      <c r="BO94" s="39">
        <f t="shared" si="254"/>
        <v>1</v>
      </c>
      <c r="BP94" s="39">
        <f t="shared" si="255"/>
        <v>1</v>
      </c>
      <c r="BQ94" s="39">
        <f t="shared" si="256"/>
        <v>1</v>
      </c>
      <c r="BR94" s="39">
        <f t="shared" si="257"/>
        <v>1</v>
      </c>
      <c r="BS94" s="61"/>
      <c r="BT94" s="39">
        <f t="shared" si="258"/>
        <v>0.29679950745598921</v>
      </c>
      <c r="BU94" s="39">
        <f t="shared" si="259"/>
        <v>0.50880213714011424</v>
      </c>
      <c r="BV94" s="39">
        <f t="shared" si="260"/>
        <v>0.70540754886307899</v>
      </c>
      <c r="BW94" s="39">
        <f t="shared" si="261"/>
        <v>0.85113587744837149</v>
      </c>
      <c r="BX94" s="39">
        <f t="shared" si="262"/>
        <v>0.9147335357772699</v>
      </c>
      <c r="BY94" s="39">
        <f t="shared" si="263"/>
        <v>0.9147335357772699</v>
      </c>
      <c r="BZ94" s="39">
        <f t="shared" si="264"/>
        <v>1</v>
      </c>
      <c r="CA94" s="39">
        <f t="shared" si="265"/>
        <v>1</v>
      </c>
      <c r="CB94" s="39">
        <f t="shared" si="266"/>
        <v>1</v>
      </c>
      <c r="CC94" s="39">
        <f t="shared" si="267"/>
        <v>1</v>
      </c>
      <c r="CD94" s="39">
        <f t="shared" si="268"/>
        <v>1</v>
      </c>
      <c r="CE94" s="39">
        <f t="shared" si="269"/>
        <v>1</v>
      </c>
      <c r="CG94" s="39">
        <f t="shared" ref="CG94:CG119" si="293">(AT94+BG94+BT94)/3</f>
        <v>0.14891401893028153</v>
      </c>
      <c r="CH94" s="39">
        <f t="shared" si="270"/>
        <v>0.31046310119291803</v>
      </c>
      <c r="CI94" s="39">
        <f t="shared" si="271"/>
        <v>0.40430987843269506</v>
      </c>
      <c r="CJ94" s="39">
        <f t="shared" si="272"/>
        <v>0.53335081497525083</v>
      </c>
      <c r="CK94" s="39">
        <f t="shared" si="273"/>
        <v>0.59990394673487202</v>
      </c>
      <c r="CL94" s="39">
        <f t="shared" si="274"/>
        <v>0.68638449859671236</v>
      </c>
      <c r="CM94" s="39">
        <f t="shared" si="275"/>
        <v>0.77236843576275105</v>
      </c>
      <c r="CN94" s="39">
        <f t="shared" si="276"/>
        <v>0.7923651858929972</v>
      </c>
      <c r="CO94" s="39">
        <f t="shared" si="277"/>
        <v>0.88472455120247984</v>
      </c>
      <c r="CP94" s="39">
        <f t="shared" si="278"/>
        <v>0.96260192836773351</v>
      </c>
      <c r="CQ94" s="39">
        <f t="shared" si="279"/>
        <v>0.98905653824097184</v>
      </c>
      <c r="CR94" s="39">
        <f t="shared" si="280"/>
        <v>1</v>
      </c>
    </row>
    <row r="95" spans="1:96">
      <c r="A95" s="193" t="s">
        <v>89</v>
      </c>
      <c r="B95" s="34">
        <v>814.38</v>
      </c>
      <c r="C95" s="34">
        <v>434.99</v>
      </c>
      <c r="D95" s="34">
        <v>1207.67</v>
      </c>
      <c r="E95" s="34">
        <v>86.25</v>
      </c>
      <c r="F95" s="34">
        <v>813.06</v>
      </c>
      <c r="G95" s="34">
        <v>1536.5</v>
      </c>
      <c r="H95" s="34">
        <v>2830.65</v>
      </c>
      <c r="I95" s="34">
        <v>373.75</v>
      </c>
      <c r="J95" s="34">
        <v>193.02</v>
      </c>
      <c r="K95" s="34">
        <v>467.9</v>
      </c>
      <c r="L95" s="34">
        <v>147.15</v>
      </c>
      <c r="M95" s="34">
        <v>1544.95</v>
      </c>
      <c r="N95" s="68">
        <f t="shared" si="245"/>
        <v>10450.27</v>
      </c>
      <c r="P95" s="85" t="s">
        <v>89</v>
      </c>
      <c r="Q95" s="34">
        <v>1151.9100000000001</v>
      </c>
      <c r="R95" s="34">
        <v>523.60000000000036</v>
      </c>
      <c r="S95" s="34">
        <v>759.22</v>
      </c>
      <c r="T95" s="34">
        <v>733.15999999999985</v>
      </c>
      <c r="U95" s="34">
        <v>894.69</v>
      </c>
      <c r="V95" s="34">
        <v>272.54000000000002</v>
      </c>
      <c r="W95" s="34">
        <v>0</v>
      </c>
      <c r="X95" s="34">
        <v>0</v>
      </c>
      <c r="Y95" s="34">
        <v>0</v>
      </c>
      <c r="Z95" s="34">
        <v>540</v>
      </c>
      <c r="AA95" s="34">
        <v>603.36</v>
      </c>
      <c r="AB95" s="34">
        <v>262.02</v>
      </c>
      <c r="AC95" s="68">
        <f t="shared" si="209"/>
        <v>5740.5</v>
      </c>
      <c r="AE95" s="85" t="s">
        <v>89</v>
      </c>
      <c r="AF95" s="34">
        <v>495.85000000000008</v>
      </c>
      <c r="AG95" s="34">
        <v>231.74999999999983</v>
      </c>
      <c r="AH95" s="34">
        <v>73.139999999999986</v>
      </c>
      <c r="AI95" s="34">
        <v>357.5499999999999</v>
      </c>
      <c r="AJ95" s="34">
        <v>73.129999999999768</v>
      </c>
      <c r="AK95" s="34">
        <v>658.22</v>
      </c>
      <c r="AL95" s="34">
        <v>251.92000000000019</v>
      </c>
      <c r="AM95" s="34">
        <v>162.5300000000002</v>
      </c>
      <c r="AN95" s="34">
        <v>481.12999999999994</v>
      </c>
      <c r="AO95" s="34">
        <v>65.009999999999991</v>
      </c>
      <c r="AP95" s="34">
        <v>137.12999999999994</v>
      </c>
      <c r="AQ95" s="34">
        <v>156.08999999999992</v>
      </c>
      <c r="AR95" s="68">
        <f t="shared" si="210"/>
        <v>3143.4500000000007</v>
      </c>
      <c r="AT95" s="39">
        <f t="shared" si="281"/>
        <v>7.7929086999666039E-2</v>
      </c>
      <c r="AU95" s="39">
        <f t="shared" si="282"/>
        <v>0.11955384884792448</v>
      </c>
      <c r="AV95" s="39">
        <f t="shared" si="283"/>
        <v>0.23511737017321083</v>
      </c>
      <c r="AW95" s="39">
        <f t="shared" si="284"/>
        <v>0.24337074544485451</v>
      </c>
      <c r="AX95" s="39">
        <f t="shared" si="285"/>
        <v>0.32117351991862408</v>
      </c>
      <c r="AY95" s="39">
        <f t="shared" si="286"/>
        <v>0.46820321388825364</v>
      </c>
      <c r="AZ95" s="39">
        <f t="shared" si="287"/>
        <v>0.73907181345553752</v>
      </c>
      <c r="BA95" s="39">
        <f t="shared" si="288"/>
        <v>0.77483643963266013</v>
      </c>
      <c r="BB95" s="39">
        <f t="shared" si="289"/>
        <v>0.79330677580579256</v>
      </c>
      <c r="BC95" s="39">
        <f t="shared" si="290"/>
        <v>0.83808073858378773</v>
      </c>
      <c r="BD95" s="39">
        <f t="shared" si="291"/>
        <v>0.85216171448201805</v>
      </c>
      <c r="BE95" s="39">
        <f t="shared" si="292"/>
        <v>1</v>
      </c>
      <c r="BG95" s="39">
        <f t="shared" si="246"/>
        <v>0.20066370525215574</v>
      </c>
      <c r="BH95" s="39">
        <f t="shared" si="247"/>
        <v>0.2918752721888338</v>
      </c>
      <c r="BI95" s="39">
        <f t="shared" si="248"/>
        <v>0.42413204424701689</v>
      </c>
      <c r="BJ95" s="39">
        <f t="shared" si="249"/>
        <v>0.55184914206079616</v>
      </c>
      <c r="BK95" s="39">
        <f t="shared" si="250"/>
        <v>0.7077049037540285</v>
      </c>
      <c r="BL95" s="39">
        <f t="shared" si="251"/>
        <v>0.7551816043898617</v>
      </c>
      <c r="BM95" s="39">
        <f t="shared" si="252"/>
        <v>0.7551816043898617</v>
      </c>
      <c r="BN95" s="39">
        <f t="shared" si="253"/>
        <v>0.7551816043898617</v>
      </c>
      <c r="BO95" s="39">
        <f t="shared" si="254"/>
        <v>0.7551816043898617</v>
      </c>
      <c r="BP95" s="39">
        <f t="shared" si="255"/>
        <v>0.84925006532532021</v>
      </c>
      <c r="BQ95" s="39">
        <f t="shared" si="256"/>
        <v>0.95435589234387252</v>
      </c>
      <c r="BR95" s="39">
        <f t="shared" si="257"/>
        <v>1</v>
      </c>
      <c r="BS95" s="61"/>
      <c r="BT95" s="39">
        <f t="shared" si="258"/>
        <v>0.157740698913614</v>
      </c>
      <c r="BU95" s="39">
        <f t="shared" si="259"/>
        <v>0.23146542811242415</v>
      </c>
      <c r="BV95" s="39">
        <f t="shared" si="260"/>
        <v>0.25473285721102601</v>
      </c>
      <c r="BW95" s="39">
        <f t="shared" si="261"/>
        <v>0.3684773099619843</v>
      </c>
      <c r="BX95" s="39">
        <f t="shared" si="262"/>
        <v>0.3917415578424977</v>
      </c>
      <c r="BY95" s="39">
        <f t="shared" si="263"/>
        <v>0.60113569485756069</v>
      </c>
      <c r="BZ95" s="39">
        <f t="shared" si="264"/>
        <v>0.68127694094068603</v>
      </c>
      <c r="CA95" s="39">
        <f t="shared" si="265"/>
        <v>0.7329812785315496</v>
      </c>
      <c r="CB95" s="39">
        <f t="shared" si="266"/>
        <v>0.88603922441902994</v>
      </c>
      <c r="CC95" s="39">
        <f t="shared" si="267"/>
        <v>0.90672032321175777</v>
      </c>
      <c r="CD95" s="39">
        <f t="shared" si="268"/>
        <v>0.95034436685806989</v>
      </c>
      <c r="CE95" s="39">
        <f t="shared" si="269"/>
        <v>1</v>
      </c>
      <c r="CG95" s="39">
        <f t="shared" si="293"/>
        <v>0.14544449705514526</v>
      </c>
      <c r="CH95" s="39">
        <f t="shared" si="270"/>
        <v>0.21429818304972748</v>
      </c>
      <c r="CI95" s="39">
        <f t="shared" si="271"/>
        <v>0.30466075721041791</v>
      </c>
      <c r="CJ95" s="39">
        <f t="shared" si="272"/>
        <v>0.38789906582254496</v>
      </c>
      <c r="CK95" s="39">
        <f t="shared" si="273"/>
        <v>0.47353999383838347</v>
      </c>
      <c r="CL95" s="39">
        <f t="shared" si="274"/>
        <v>0.60817350437855866</v>
      </c>
      <c r="CM95" s="39">
        <f t="shared" si="275"/>
        <v>0.72517678626202853</v>
      </c>
      <c r="CN95" s="39">
        <f t="shared" si="276"/>
        <v>0.75433310751802374</v>
      </c>
      <c r="CO95" s="39">
        <f t="shared" si="277"/>
        <v>0.81150920153822803</v>
      </c>
      <c r="CP95" s="39">
        <f t="shared" si="278"/>
        <v>0.86468370904028857</v>
      </c>
      <c r="CQ95" s="39">
        <f t="shared" si="279"/>
        <v>0.91895399122798682</v>
      </c>
      <c r="CR95" s="39">
        <f t="shared" si="280"/>
        <v>1</v>
      </c>
    </row>
    <row r="96" spans="1:96">
      <c r="A96" s="193" t="s">
        <v>90</v>
      </c>
      <c r="B96" s="34">
        <v>3309</v>
      </c>
      <c r="C96" s="34">
        <v>1139.6400000000001</v>
      </c>
      <c r="D96" s="34">
        <v>1603.08</v>
      </c>
      <c r="E96" s="34">
        <v>2599.14</v>
      </c>
      <c r="F96" s="34">
        <v>502.08</v>
      </c>
      <c r="G96" s="34">
        <v>262.54000000000002</v>
      </c>
      <c r="H96" s="34">
        <v>342.7</v>
      </c>
      <c r="I96" s="34">
        <v>1008.0600000000001</v>
      </c>
      <c r="J96" s="34">
        <v>1594.37</v>
      </c>
      <c r="K96" s="34">
        <v>1653.61</v>
      </c>
      <c r="L96" s="34">
        <v>979.92</v>
      </c>
      <c r="M96" s="34">
        <v>748.33</v>
      </c>
      <c r="N96" s="68">
        <f t="shared" si="245"/>
        <v>15742.470000000001</v>
      </c>
      <c r="P96" s="85" t="s">
        <v>90</v>
      </c>
      <c r="Q96" s="34">
        <v>2573.0200000000004</v>
      </c>
      <c r="R96" s="34">
        <v>2121.4700000000003</v>
      </c>
      <c r="S96" s="34">
        <v>3382.59</v>
      </c>
      <c r="T96" s="34">
        <v>1613.3499999999995</v>
      </c>
      <c r="U96" s="34">
        <v>1551.88</v>
      </c>
      <c r="V96" s="34">
        <v>2929.96</v>
      </c>
      <c r="W96" s="34">
        <v>1288.98</v>
      </c>
      <c r="X96" s="34">
        <v>936.78</v>
      </c>
      <c r="Y96" s="34">
        <v>810.02</v>
      </c>
      <c r="Z96" s="34">
        <v>725.83</v>
      </c>
      <c r="AA96" s="34">
        <v>374.03</v>
      </c>
      <c r="AB96" s="34">
        <v>3668.49</v>
      </c>
      <c r="AC96" s="68">
        <f t="shared" si="209"/>
        <v>21976.400000000001</v>
      </c>
      <c r="AE96" s="85" t="s">
        <v>90</v>
      </c>
      <c r="AF96" s="34">
        <v>3263.19</v>
      </c>
      <c r="AG96" s="34">
        <v>2585.71</v>
      </c>
      <c r="AH96" s="34">
        <v>3208.86</v>
      </c>
      <c r="AI96" s="34">
        <v>3547.8700000000003</v>
      </c>
      <c r="AJ96" s="34">
        <v>3504.45</v>
      </c>
      <c r="AK96" s="34">
        <v>2647.3300000000004</v>
      </c>
      <c r="AL96" s="34">
        <v>597.29999999999995</v>
      </c>
      <c r="AM96" s="34">
        <v>3665.1499999999996</v>
      </c>
      <c r="AN96" s="34">
        <v>461.40999999999997</v>
      </c>
      <c r="AO96" s="34">
        <v>286.33000000000004</v>
      </c>
      <c r="AP96" s="34">
        <v>2014.5</v>
      </c>
      <c r="AQ96" s="34">
        <v>779.2399999999999</v>
      </c>
      <c r="AR96" s="68">
        <f t="shared" si="210"/>
        <v>26561.340000000004</v>
      </c>
      <c r="AT96" s="39">
        <f t="shared" si="281"/>
        <v>0.21019573167361918</v>
      </c>
      <c r="AU96" s="39">
        <f t="shared" si="282"/>
        <v>0.28258843751965224</v>
      </c>
      <c r="AV96" s="39">
        <f t="shared" si="283"/>
        <v>0.38441997983797965</v>
      </c>
      <c r="AW96" s="39">
        <f t="shared" si="284"/>
        <v>0.54952367703416305</v>
      </c>
      <c r="AX96" s="39">
        <f t="shared" si="285"/>
        <v>0.58141702032781384</v>
      </c>
      <c r="AY96" s="39">
        <f t="shared" si="286"/>
        <v>0.59809419995718593</v>
      </c>
      <c r="AZ96" s="39">
        <f t="shared" si="287"/>
        <v>0.61986333783707392</v>
      </c>
      <c r="BA96" s="39">
        <f t="shared" si="288"/>
        <v>0.68389776191410878</v>
      </c>
      <c r="BB96" s="39">
        <f t="shared" si="289"/>
        <v>0.78517602383869878</v>
      </c>
      <c r="BC96" s="39">
        <f t="shared" si="290"/>
        <v>0.8902173547099026</v>
      </c>
      <c r="BD96" s="39">
        <f t="shared" si="291"/>
        <v>0.95246425751486263</v>
      </c>
      <c r="BE96" s="39">
        <f t="shared" si="292"/>
        <v>1</v>
      </c>
      <c r="BG96" s="39">
        <f t="shared" si="246"/>
        <v>0.11708105058153292</v>
      </c>
      <c r="BH96" s="39">
        <f t="shared" si="247"/>
        <v>0.21361505979141263</v>
      </c>
      <c r="BI96" s="39">
        <f t="shared" si="248"/>
        <v>0.36753426402868533</v>
      </c>
      <c r="BJ96" s="39">
        <f t="shared" si="249"/>
        <v>0.44094710689648897</v>
      </c>
      <c r="BK96" s="39">
        <f t="shared" si="250"/>
        <v>0.51156285833894544</v>
      </c>
      <c r="BL96" s="39">
        <f t="shared" si="251"/>
        <v>0.64488587757776517</v>
      </c>
      <c r="BM96" s="39">
        <f t="shared" si="252"/>
        <v>0.70353879616315684</v>
      </c>
      <c r="BN96" s="39">
        <f t="shared" si="253"/>
        <v>0.74616543200888219</v>
      </c>
      <c r="BO96" s="39">
        <f t="shared" si="254"/>
        <v>0.78302406217578846</v>
      </c>
      <c r="BP96" s="39">
        <f t="shared" si="255"/>
        <v>0.81605176462022899</v>
      </c>
      <c r="BQ96" s="39">
        <f t="shared" si="256"/>
        <v>0.83307138566826222</v>
      </c>
      <c r="BR96" s="39">
        <f t="shared" si="257"/>
        <v>1</v>
      </c>
      <c r="BS96" s="61"/>
      <c r="BT96" s="39">
        <f t="shared" si="258"/>
        <v>0.12285487102683824</v>
      </c>
      <c r="BU96" s="39">
        <f t="shared" si="259"/>
        <v>0.22020349876926384</v>
      </c>
      <c r="BV96" s="39">
        <f t="shared" si="260"/>
        <v>0.34101291576403897</v>
      </c>
      <c r="BW96" s="39">
        <f t="shared" si="261"/>
        <v>0.47458561955082085</v>
      </c>
      <c r="BX96" s="39">
        <f t="shared" si="262"/>
        <v>0.60652361665488264</v>
      </c>
      <c r="BY96" s="39">
        <f t="shared" si="263"/>
        <v>0.7061921574739829</v>
      </c>
      <c r="BZ96" s="39">
        <f t="shared" si="264"/>
        <v>0.72867972775469914</v>
      </c>
      <c r="CA96" s="39">
        <f t="shared" si="265"/>
        <v>0.86666787142516144</v>
      </c>
      <c r="CB96" s="39">
        <f t="shared" si="266"/>
        <v>0.8840393594600271</v>
      </c>
      <c r="CC96" s="39">
        <f t="shared" si="267"/>
        <v>0.89481931257986225</v>
      </c>
      <c r="CD96" s="39">
        <f t="shared" si="268"/>
        <v>0.97066262470191633</v>
      </c>
      <c r="CE96" s="39">
        <f t="shared" si="269"/>
        <v>1</v>
      </c>
      <c r="CG96" s="39">
        <f t="shared" si="293"/>
        <v>0.1500438844273301</v>
      </c>
      <c r="CH96" s="39">
        <f t="shared" si="270"/>
        <v>0.23880233202677623</v>
      </c>
      <c r="CI96" s="39">
        <f t="shared" si="271"/>
        <v>0.36432238654356802</v>
      </c>
      <c r="CJ96" s="39">
        <f t="shared" si="272"/>
        <v>0.48835213449382425</v>
      </c>
      <c r="CK96" s="39">
        <f t="shared" si="273"/>
        <v>0.56650116510721393</v>
      </c>
      <c r="CL96" s="39">
        <f t="shared" si="274"/>
        <v>0.64972407833631129</v>
      </c>
      <c r="CM96" s="39">
        <f t="shared" si="275"/>
        <v>0.6840272872516433</v>
      </c>
      <c r="CN96" s="39">
        <f t="shared" si="276"/>
        <v>0.76557702178271747</v>
      </c>
      <c r="CO96" s="39">
        <f t="shared" si="277"/>
        <v>0.8174131484915047</v>
      </c>
      <c r="CP96" s="39">
        <f t="shared" si="278"/>
        <v>0.86702947730333124</v>
      </c>
      <c r="CQ96" s="39">
        <f t="shared" si="279"/>
        <v>0.91873275596168036</v>
      </c>
      <c r="CR96" s="39">
        <f t="shared" si="280"/>
        <v>1</v>
      </c>
    </row>
    <row r="97" spans="1:96">
      <c r="A97" s="193" t="s">
        <v>91</v>
      </c>
      <c r="B97" s="34">
        <v>2815.51</v>
      </c>
      <c r="C97" s="34">
        <v>4584.57</v>
      </c>
      <c r="D97" s="34">
        <v>7779.46</v>
      </c>
      <c r="E97" s="34">
        <v>3005.1</v>
      </c>
      <c r="F97" s="34">
        <v>6898.49</v>
      </c>
      <c r="G97" s="34">
        <v>4161.9399999999996</v>
      </c>
      <c r="H97" s="34">
        <v>9680.2800000000007</v>
      </c>
      <c r="I97" s="34">
        <v>4399.97</v>
      </c>
      <c r="J97" s="34">
        <v>3907.35</v>
      </c>
      <c r="K97" s="34">
        <v>3204.58</v>
      </c>
      <c r="L97" s="34">
        <v>3874.49</v>
      </c>
      <c r="M97" s="34">
        <v>2067.71</v>
      </c>
      <c r="N97" s="68">
        <f t="shared" si="245"/>
        <v>56379.45</v>
      </c>
      <c r="P97" s="85" t="s">
        <v>91</v>
      </c>
      <c r="Q97" s="34">
        <v>4167.29</v>
      </c>
      <c r="R97" s="34">
        <v>6240.630000000001</v>
      </c>
      <c r="S97" s="34">
        <v>3113.48</v>
      </c>
      <c r="T97" s="34">
        <v>2672.57</v>
      </c>
      <c r="U97" s="34">
        <v>7408.0700000000006</v>
      </c>
      <c r="V97" s="34">
        <v>8761.0400000000009</v>
      </c>
      <c r="W97" s="34">
        <v>3660.4299999999994</v>
      </c>
      <c r="X97" s="34">
        <v>4804.63</v>
      </c>
      <c r="Y97" s="34">
        <v>2169.67</v>
      </c>
      <c r="Z97" s="34">
        <v>1607.29</v>
      </c>
      <c r="AA97" s="34">
        <v>1257.58</v>
      </c>
      <c r="AB97" s="34">
        <v>1653.88</v>
      </c>
      <c r="AC97" s="68">
        <f t="shared" si="209"/>
        <v>47516.56</v>
      </c>
      <c r="AE97" s="85" t="s">
        <v>91</v>
      </c>
      <c r="AF97" s="34">
        <v>6527.3700000000017</v>
      </c>
      <c r="AG97" s="34">
        <v>7348.0700000000033</v>
      </c>
      <c r="AH97" s="34">
        <v>3359.1799999999989</v>
      </c>
      <c r="AI97" s="34">
        <v>1616.1300000000006</v>
      </c>
      <c r="AJ97" s="34">
        <v>3418.76</v>
      </c>
      <c r="AK97" s="34">
        <v>1135.0999999999985</v>
      </c>
      <c r="AL97" s="34">
        <v>3106.3299999999995</v>
      </c>
      <c r="AM97" s="34">
        <v>2240.5300000000002</v>
      </c>
      <c r="AN97" s="34">
        <v>2718.09</v>
      </c>
      <c r="AO97" s="34">
        <v>2200.12</v>
      </c>
      <c r="AP97" s="34">
        <v>1419.3799999999999</v>
      </c>
      <c r="AQ97" s="34">
        <v>913.04000000000019</v>
      </c>
      <c r="AR97" s="68">
        <f t="shared" si="210"/>
        <v>36002.100000000006</v>
      </c>
      <c r="AT97" s="39">
        <f t="shared" si="281"/>
        <v>4.9938585779038293E-2</v>
      </c>
      <c r="AU97" s="39">
        <f t="shared" si="282"/>
        <v>0.13125491646335677</v>
      </c>
      <c r="AV97" s="39">
        <f t="shared" si="283"/>
        <v>0.26923888047861416</v>
      </c>
      <c r="AW97" s="39">
        <f t="shared" si="284"/>
        <v>0.32254021633769042</v>
      </c>
      <c r="AX97" s="39">
        <f t="shared" si="285"/>
        <v>0.4448984514747838</v>
      </c>
      <c r="AY97" s="39">
        <f t="shared" si="286"/>
        <v>0.51871861112515283</v>
      </c>
      <c r="AZ97" s="39">
        <f t="shared" si="287"/>
        <v>0.69041734177967329</v>
      </c>
      <c r="BA97" s="39">
        <f t="shared" si="288"/>
        <v>0.76845942980997517</v>
      </c>
      <c r="BB97" s="39">
        <f t="shared" si="289"/>
        <v>0.83776393703734253</v>
      </c>
      <c r="BC97" s="39">
        <f t="shared" si="290"/>
        <v>0.89460344150217863</v>
      </c>
      <c r="BD97" s="39">
        <f t="shared" si="291"/>
        <v>0.96332511225278006</v>
      </c>
      <c r="BE97" s="39">
        <f t="shared" si="292"/>
        <v>1</v>
      </c>
      <c r="BG97" s="39">
        <f t="shared" si="246"/>
        <v>8.770184541978629E-2</v>
      </c>
      <c r="BH97" s="39">
        <f t="shared" si="247"/>
        <v>0.21903774178938884</v>
      </c>
      <c r="BI97" s="39">
        <f t="shared" si="248"/>
        <v>0.28456184538611384</v>
      </c>
      <c r="BJ97" s="39">
        <f t="shared" si="249"/>
        <v>0.34080686817395878</v>
      </c>
      <c r="BK97" s="39">
        <f t="shared" si="250"/>
        <v>0.49671188318346282</v>
      </c>
      <c r="BL97" s="39">
        <f t="shared" si="251"/>
        <v>0.68109055032603383</v>
      </c>
      <c r="BM97" s="39">
        <f t="shared" si="252"/>
        <v>0.75812537776303679</v>
      </c>
      <c r="BN97" s="39">
        <f t="shared" si="253"/>
        <v>0.85924023119518755</v>
      </c>
      <c r="BO97" s="39">
        <f t="shared" si="254"/>
        <v>0.9049015753665669</v>
      </c>
      <c r="BP97" s="39">
        <f t="shared" si="255"/>
        <v>0.93872746680315244</v>
      </c>
      <c r="BQ97" s="39">
        <f t="shared" si="256"/>
        <v>0.96519360829150935</v>
      </c>
      <c r="BR97" s="39">
        <f t="shared" si="257"/>
        <v>1</v>
      </c>
      <c r="BS97" s="61"/>
      <c r="BT97" s="39">
        <f t="shared" si="258"/>
        <v>0.1813052571933304</v>
      </c>
      <c r="BU97" s="39">
        <f t="shared" si="259"/>
        <v>0.38540640684848948</v>
      </c>
      <c r="BV97" s="39">
        <f t="shared" si="260"/>
        <v>0.47871151960580088</v>
      </c>
      <c r="BW97" s="39">
        <f t="shared" si="261"/>
        <v>0.52360140102938446</v>
      </c>
      <c r="BX97" s="39">
        <f t="shared" si="262"/>
        <v>0.61856141725066049</v>
      </c>
      <c r="BY97" s="39">
        <f t="shared" si="263"/>
        <v>0.6500901336310938</v>
      </c>
      <c r="BZ97" s="39">
        <f t="shared" si="264"/>
        <v>0.73637204496404385</v>
      </c>
      <c r="CA97" s="39">
        <f t="shared" si="265"/>
        <v>0.7986053591318284</v>
      </c>
      <c r="CB97" s="39">
        <f t="shared" si="266"/>
        <v>0.87410345507623166</v>
      </c>
      <c r="CC97" s="39">
        <f t="shared" si="267"/>
        <v>0.93521433471936366</v>
      </c>
      <c r="CD97" s="39">
        <f t="shared" si="268"/>
        <v>0.97463925715444377</v>
      </c>
      <c r="CE97" s="39">
        <f t="shared" si="269"/>
        <v>1</v>
      </c>
      <c r="CG97" s="39">
        <f t="shared" si="293"/>
        <v>0.10631522946405166</v>
      </c>
      <c r="CH97" s="39">
        <f t="shared" si="270"/>
        <v>0.2452330217004117</v>
      </c>
      <c r="CI97" s="39">
        <f t="shared" si="271"/>
        <v>0.34417074849017631</v>
      </c>
      <c r="CJ97" s="39">
        <f t="shared" si="272"/>
        <v>0.39564949518034459</v>
      </c>
      <c r="CK97" s="39">
        <f t="shared" si="273"/>
        <v>0.52005725063630237</v>
      </c>
      <c r="CL97" s="39">
        <f t="shared" si="274"/>
        <v>0.61663309836076019</v>
      </c>
      <c r="CM97" s="39">
        <f t="shared" si="275"/>
        <v>0.72830492150225135</v>
      </c>
      <c r="CN97" s="39">
        <f t="shared" si="276"/>
        <v>0.80876834004566378</v>
      </c>
      <c r="CO97" s="39">
        <f t="shared" si="277"/>
        <v>0.87225632249338025</v>
      </c>
      <c r="CP97" s="39">
        <f t="shared" si="278"/>
        <v>0.92284841434156484</v>
      </c>
      <c r="CQ97" s="39">
        <f t="shared" si="279"/>
        <v>0.96771932589957776</v>
      </c>
      <c r="CR97" s="39">
        <f t="shared" si="280"/>
        <v>1</v>
      </c>
    </row>
    <row r="98" spans="1:96">
      <c r="A98" s="193" t="s">
        <v>92</v>
      </c>
      <c r="B98" s="34">
        <v>2807.96</v>
      </c>
      <c r="C98" s="34">
        <v>3050.89</v>
      </c>
      <c r="D98" s="34">
        <v>1351.83</v>
      </c>
      <c r="E98" s="34">
        <v>938.22</v>
      </c>
      <c r="F98" s="34">
        <v>851.71</v>
      </c>
      <c r="G98" s="34">
        <v>1117.6400000000001</v>
      </c>
      <c r="H98" s="34">
        <v>1768.34</v>
      </c>
      <c r="I98" s="34">
        <v>2122.08</v>
      </c>
      <c r="J98" s="34">
        <v>1793.27</v>
      </c>
      <c r="K98" s="34">
        <v>2506.2399999999998</v>
      </c>
      <c r="L98" s="34">
        <v>2003.5</v>
      </c>
      <c r="M98" s="34">
        <v>948.23</v>
      </c>
      <c r="N98" s="68">
        <f t="shared" si="245"/>
        <v>21259.91</v>
      </c>
      <c r="P98" s="85" t="s">
        <v>92</v>
      </c>
      <c r="Q98" s="34">
        <v>1585.4399999999989</v>
      </c>
      <c r="R98" s="34">
        <v>1605.3800000000024</v>
      </c>
      <c r="S98" s="34">
        <v>2290.2800000000016</v>
      </c>
      <c r="T98" s="34">
        <v>2880.97</v>
      </c>
      <c r="U98" s="34">
        <v>1891.3899999999994</v>
      </c>
      <c r="V98" s="34">
        <v>854.69</v>
      </c>
      <c r="W98" s="34">
        <v>1277.1599999999999</v>
      </c>
      <c r="X98" s="34">
        <v>1378.77</v>
      </c>
      <c r="Y98" s="34">
        <v>1957.81</v>
      </c>
      <c r="Z98" s="34">
        <v>2670.7</v>
      </c>
      <c r="AA98" s="34">
        <v>2554.86</v>
      </c>
      <c r="AB98" s="34">
        <v>794.91</v>
      </c>
      <c r="AC98" s="68">
        <f t="shared" si="209"/>
        <v>21742.360000000004</v>
      </c>
      <c r="AE98" s="85" t="s">
        <v>92</v>
      </c>
      <c r="AF98" s="34">
        <v>688.06999999999925</v>
      </c>
      <c r="AG98" s="34">
        <v>1710.4300000000021</v>
      </c>
      <c r="AH98" s="34">
        <v>5471.48</v>
      </c>
      <c r="AI98" s="34">
        <v>2612.1299999999992</v>
      </c>
      <c r="AJ98" s="34">
        <v>1824.3899999999999</v>
      </c>
      <c r="AK98" s="34">
        <v>2320.2700000000009</v>
      </c>
      <c r="AL98" s="34">
        <v>923.94999999999982</v>
      </c>
      <c r="AM98" s="34">
        <v>1130.9099999999999</v>
      </c>
      <c r="AN98" s="34">
        <v>164.76000000000002</v>
      </c>
      <c r="AO98" s="34">
        <v>301.41999999999996</v>
      </c>
      <c r="AP98" s="34">
        <v>359.79999999999995</v>
      </c>
      <c r="AQ98" s="34">
        <v>1302.1699999999996</v>
      </c>
      <c r="AR98" s="68">
        <f t="shared" si="210"/>
        <v>18809.779999999995</v>
      </c>
      <c r="AT98" s="39">
        <f t="shared" si="281"/>
        <v>0.13207769929411742</v>
      </c>
      <c r="AU98" s="39">
        <f t="shared" si="282"/>
        <v>0.27558206972654165</v>
      </c>
      <c r="AV98" s="39">
        <f t="shared" si="283"/>
        <v>0.3391679456780391</v>
      </c>
      <c r="AW98" s="39">
        <f t="shared" si="284"/>
        <v>0.38329889449202753</v>
      </c>
      <c r="AX98" s="39">
        <f t="shared" si="285"/>
        <v>0.42336068214776079</v>
      </c>
      <c r="AY98" s="39">
        <f t="shared" si="286"/>
        <v>0.47593098935978562</v>
      </c>
      <c r="AZ98" s="39">
        <f t="shared" si="287"/>
        <v>0.55910819942323364</v>
      </c>
      <c r="BA98" s="39">
        <f t="shared" si="288"/>
        <v>0.65892423815528856</v>
      </c>
      <c r="BB98" s="39">
        <f t="shared" si="289"/>
        <v>0.74327407783005672</v>
      </c>
      <c r="BC98" s="39">
        <f t="shared" si="290"/>
        <v>0.86115980735572262</v>
      </c>
      <c r="BD98" s="39">
        <f t="shared" si="291"/>
        <v>0.9553982119397495</v>
      </c>
      <c r="BE98" s="39">
        <f t="shared" si="292"/>
        <v>1</v>
      </c>
      <c r="BG98" s="39">
        <f t="shared" si="246"/>
        <v>7.2919407092882221E-2</v>
      </c>
      <c r="BH98" s="39">
        <f t="shared" si="247"/>
        <v>0.14675591794083076</v>
      </c>
      <c r="BI98" s="39">
        <f t="shared" si="248"/>
        <v>0.25209314904177843</v>
      </c>
      <c r="BJ98" s="39">
        <f t="shared" si="249"/>
        <v>0.38459808410862489</v>
      </c>
      <c r="BK98" s="39">
        <f t="shared" si="250"/>
        <v>0.4715891007231966</v>
      </c>
      <c r="BL98" s="39">
        <f t="shared" si="251"/>
        <v>0.51089900084443463</v>
      </c>
      <c r="BM98" s="39">
        <f t="shared" si="252"/>
        <v>0.56963963433592313</v>
      </c>
      <c r="BN98" s="39">
        <f t="shared" si="253"/>
        <v>0.63305363355219957</v>
      </c>
      <c r="BO98" s="39">
        <f t="shared" si="254"/>
        <v>0.72309951633585312</v>
      </c>
      <c r="BP98" s="39">
        <f t="shared" si="255"/>
        <v>0.84593346812397552</v>
      </c>
      <c r="BQ98" s="39">
        <f t="shared" si="256"/>
        <v>0.96343957141727021</v>
      </c>
      <c r="BR98" s="39">
        <f t="shared" si="257"/>
        <v>1</v>
      </c>
      <c r="BS98" s="61"/>
      <c r="BT98" s="39">
        <f t="shared" si="258"/>
        <v>3.6580438474027845E-2</v>
      </c>
      <c r="BU98" s="39">
        <f t="shared" si="259"/>
        <v>0.1275134531079046</v>
      </c>
      <c r="BV98" s="39">
        <f t="shared" si="260"/>
        <v>0.41839830130921274</v>
      </c>
      <c r="BW98" s="39">
        <f t="shared" si="261"/>
        <v>0.55726914403039285</v>
      </c>
      <c r="BX98" s="39">
        <f t="shared" si="262"/>
        <v>0.65426070905667177</v>
      </c>
      <c r="BY98" s="39">
        <f t="shared" si="263"/>
        <v>0.77761515552016047</v>
      </c>
      <c r="BZ98" s="39">
        <f t="shared" si="264"/>
        <v>0.82673587888853595</v>
      </c>
      <c r="CA98" s="39">
        <f t="shared" si="265"/>
        <v>0.88685938910502971</v>
      </c>
      <c r="CB98" s="39">
        <f t="shared" si="266"/>
        <v>0.89561866220657571</v>
      </c>
      <c r="CC98" s="39">
        <f t="shared" si="267"/>
        <v>0.91164330470638155</v>
      </c>
      <c r="CD98" s="39">
        <f t="shared" si="268"/>
        <v>0.93077165176838861</v>
      </c>
      <c r="CE98" s="39">
        <f t="shared" si="269"/>
        <v>1</v>
      </c>
      <c r="CG98" s="39">
        <f t="shared" si="293"/>
        <v>8.0525848287009164E-2</v>
      </c>
      <c r="CH98" s="39">
        <f t="shared" si="270"/>
        <v>0.18328381359175902</v>
      </c>
      <c r="CI98" s="39">
        <f t="shared" si="271"/>
        <v>0.33655313200967679</v>
      </c>
      <c r="CJ98" s="39">
        <f t="shared" si="272"/>
        <v>0.44172204087701505</v>
      </c>
      <c r="CK98" s="39">
        <f t="shared" si="273"/>
        <v>0.51640349730920976</v>
      </c>
      <c r="CL98" s="39">
        <f t="shared" si="274"/>
        <v>0.5881483819081269</v>
      </c>
      <c r="CM98" s="39">
        <f t="shared" si="275"/>
        <v>0.65182790421589754</v>
      </c>
      <c r="CN98" s="39">
        <f t="shared" si="276"/>
        <v>0.72627908693750598</v>
      </c>
      <c r="CO98" s="39">
        <f t="shared" si="277"/>
        <v>0.78733075212416181</v>
      </c>
      <c r="CP98" s="39">
        <f t="shared" si="278"/>
        <v>0.87291219339535997</v>
      </c>
      <c r="CQ98" s="39">
        <f t="shared" si="279"/>
        <v>0.9498698117084694</v>
      </c>
      <c r="CR98" s="39">
        <f t="shared" si="280"/>
        <v>1</v>
      </c>
    </row>
    <row r="99" spans="1:96">
      <c r="A99" s="193" t="s">
        <v>93</v>
      </c>
      <c r="B99" s="34">
        <v>3741.6</v>
      </c>
      <c r="C99" s="34">
        <v>6786.46</v>
      </c>
      <c r="D99" s="34">
        <v>8697.48</v>
      </c>
      <c r="E99" s="34">
        <v>8819.2900000000009</v>
      </c>
      <c r="F99" s="34">
        <v>8817.0300000000007</v>
      </c>
      <c r="G99" s="34">
        <v>6565.9</v>
      </c>
      <c r="H99" s="34">
        <v>8968.92</v>
      </c>
      <c r="I99" s="34">
        <v>3362.55</v>
      </c>
      <c r="J99" s="34">
        <v>5912.58</v>
      </c>
      <c r="K99" s="34">
        <v>3855.38</v>
      </c>
      <c r="L99" s="34">
        <v>4103.41</v>
      </c>
      <c r="M99" s="34">
        <v>6781.32</v>
      </c>
      <c r="N99" s="68">
        <f t="shared" si="245"/>
        <v>76411.920000000013</v>
      </c>
      <c r="P99" s="85" t="s">
        <v>93</v>
      </c>
      <c r="Q99" s="34">
        <v>7338.9299999999994</v>
      </c>
      <c r="R99" s="34">
        <v>2279.0900000000038</v>
      </c>
      <c r="S99" s="34">
        <v>3110.119999999999</v>
      </c>
      <c r="T99" s="34">
        <v>3230.8899999999985</v>
      </c>
      <c r="U99" s="34">
        <v>3119.5200000000013</v>
      </c>
      <c r="V99" s="34">
        <v>4198.95</v>
      </c>
      <c r="W99" s="34">
        <v>3405.2500000000005</v>
      </c>
      <c r="X99" s="34">
        <v>428.40000000000003</v>
      </c>
      <c r="Y99" s="34">
        <v>1534.78</v>
      </c>
      <c r="Z99" s="34">
        <v>1913.46</v>
      </c>
      <c r="AA99" s="34">
        <v>2613.8000000000002</v>
      </c>
      <c r="AB99" s="34">
        <v>732.16</v>
      </c>
      <c r="AC99" s="68">
        <f t="shared" si="209"/>
        <v>33905.350000000006</v>
      </c>
      <c r="AE99" s="85" t="s">
        <v>93</v>
      </c>
      <c r="AF99" s="34">
        <v>1554.85</v>
      </c>
      <c r="AG99" s="34">
        <v>1360.2899999999991</v>
      </c>
      <c r="AH99" s="34">
        <v>870.56999999999971</v>
      </c>
      <c r="AI99" s="34">
        <v>2848.1200000000003</v>
      </c>
      <c r="AJ99" s="34">
        <v>2872.7</v>
      </c>
      <c r="AK99" s="34">
        <v>859.95999999999958</v>
      </c>
      <c r="AL99" s="34">
        <v>2176.6999999999994</v>
      </c>
      <c r="AM99" s="34">
        <v>2153.14</v>
      </c>
      <c r="AN99" s="34">
        <v>2744.5</v>
      </c>
      <c r="AO99" s="34">
        <v>3174.21</v>
      </c>
      <c r="AP99" s="34">
        <v>593.86999999999989</v>
      </c>
      <c r="AQ99" s="34">
        <v>1531.49</v>
      </c>
      <c r="AR99" s="68">
        <f t="shared" si="210"/>
        <v>22740.399999999994</v>
      </c>
      <c r="AT99" s="39">
        <f t="shared" si="281"/>
        <v>4.8966182239629619E-2</v>
      </c>
      <c r="AU99" s="39">
        <f t="shared" si="282"/>
        <v>0.1377803358428894</v>
      </c>
      <c r="AV99" s="39">
        <f t="shared" si="283"/>
        <v>0.25160393823372057</v>
      </c>
      <c r="AW99" s="39">
        <f t="shared" si="284"/>
        <v>0.36702166363572591</v>
      </c>
      <c r="AX99" s="39">
        <f t="shared" si="285"/>
        <v>0.48240981250045795</v>
      </c>
      <c r="AY99" s="39">
        <f t="shared" si="286"/>
        <v>0.56833750545726369</v>
      </c>
      <c r="AZ99" s="39">
        <f t="shared" si="287"/>
        <v>0.68571343319209876</v>
      </c>
      <c r="BA99" s="39">
        <f t="shared" si="288"/>
        <v>0.72971900195676265</v>
      </c>
      <c r="BB99" s="39">
        <f t="shared" si="289"/>
        <v>0.80709671998819021</v>
      </c>
      <c r="BC99" s="39">
        <f t="shared" si="290"/>
        <v>0.85755193692293019</v>
      </c>
      <c r="BD99" s="39">
        <f t="shared" si="291"/>
        <v>0.91125311338859161</v>
      </c>
      <c r="BE99" s="39">
        <f t="shared" si="292"/>
        <v>1</v>
      </c>
      <c r="BG99" s="39">
        <f t="shared" si="246"/>
        <v>0.21645345056163698</v>
      </c>
      <c r="BH99" s="39">
        <f t="shared" si="247"/>
        <v>0.28367263573447854</v>
      </c>
      <c r="BI99" s="39">
        <f t="shared" si="248"/>
        <v>0.375402112056062</v>
      </c>
      <c r="BJ99" s="39">
        <f t="shared" si="249"/>
        <v>0.47069356311024663</v>
      </c>
      <c r="BK99" s="39">
        <f t="shared" si="250"/>
        <v>0.56270028181393206</v>
      </c>
      <c r="BL99" s="39">
        <f t="shared" si="251"/>
        <v>0.68654356908275538</v>
      </c>
      <c r="BM99" s="39">
        <f t="shared" si="252"/>
        <v>0.78697757138622659</v>
      </c>
      <c r="BN99" s="39">
        <f t="shared" si="253"/>
        <v>0.79961274548117034</v>
      </c>
      <c r="BO99" s="39">
        <f t="shared" si="254"/>
        <v>0.84487934794951236</v>
      </c>
      <c r="BP99" s="39">
        <f t="shared" si="255"/>
        <v>0.90131468927470137</v>
      </c>
      <c r="BQ99" s="39">
        <f t="shared" si="256"/>
        <v>0.9784057678213024</v>
      </c>
      <c r="BR99" s="39">
        <f t="shared" si="257"/>
        <v>1</v>
      </c>
      <c r="BS99" s="61"/>
      <c r="BT99" s="39">
        <f t="shared" si="258"/>
        <v>6.8373907231183279E-2</v>
      </c>
      <c r="BU99" s="39">
        <f t="shared" si="259"/>
        <v>0.12819211623366342</v>
      </c>
      <c r="BV99" s="39">
        <f t="shared" si="260"/>
        <v>0.1664750839914865</v>
      </c>
      <c r="BW99" s="39">
        <f t="shared" si="261"/>
        <v>0.29172002251499535</v>
      </c>
      <c r="BX99" s="39">
        <f t="shared" si="262"/>
        <v>0.41804585671316252</v>
      </c>
      <c r="BY99" s="39">
        <f t="shared" si="263"/>
        <v>0.4558622539621115</v>
      </c>
      <c r="BZ99" s="39">
        <f t="shared" si="264"/>
        <v>0.55158176637174372</v>
      </c>
      <c r="CA99" s="39">
        <f t="shared" si="265"/>
        <v>0.64626523719899387</v>
      </c>
      <c r="CB99" s="39">
        <f t="shared" si="266"/>
        <v>0.76695352764243363</v>
      </c>
      <c r="CC99" s="39">
        <f t="shared" si="267"/>
        <v>0.90653814356827489</v>
      </c>
      <c r="CD99" s="39">
        <f t="shared" si="268"/>
        <v>0.93265333943114448</v>
      </c>
      <c r="CE99" s="39">
        <f t="shared" si="269"/>
        <v>1</v>
      </c>
      <c r="CG99" s="39">
        <f t="shared" si="293"/>
        <v>0.11126451334414995</v>
      </c>
      <c r="CH99" s="39">
        <f t="shared" si="270"/>
        <v>0.1832150292703438</v>
      </c>
      <c r="CI99" s="39">
        <f t="shared" si="271"/>
        <v>0.26449371142708966</v>
      </c>
      <c r="CJ99" s="39">
        <f t="shared" si="272"/>
        <v>0.37647841642032259</v>
      </c>
      <c r="CK99" s="39">
        <f t="shared" si="273"/>
        <v>0.48771865034251755</v>
      </c>
      <c r="CL99" s="39">
        <f t="shared" si="274"/>
        <v>0.57024777616737687</v>
      </c>
      <c r="CM99" s="39">
        <f t="shared" si="275"/>
        <v>0.67475759031668969</v>
      </c>
      <c r="CN99" s="39">
        <f t="shared" si="276"/>
        <v>0.72519899487897554</v>
      </c>
      <c r="CO99" s="39">
        <f t="shared" si="277"/>
        <v>0.80630986519337877</v>
      </c>
      <c r="CP99" s="39">
        <f t="shared" si="278"/>
        <v>0.8884682565886356</v>
      </c>
      <c r="CQ99" s="39">
        <f t="shared" si="279"/>
        <v>0.94077074021367946</v>
      </c>
      <c r="CR99" s="39">
        <f t="shared" si="280"/>
        <v>1</v>
      </c>
    </row>
    <row r="100" spans="1:96">
      <c r="A100" s="193" t="s">
        <v>94</v>
      </c>
      <c r="B100" s="34">
        <v>5543.74</v>
      </c>
      <c r="C100" s="34">
        <v>4473.16</v>
      </c>
      <c r="D100" s="34">
        <v>3177.33</v>
      </c>
      <c r="E100" s="34">
        <v>2794.69</v>
      </c>
      <c r="F100" s="34">
        <v>2542.89</v>
      </c>
      <c r="G100" s="34">
        <v>2387.7600000000002</v>
      </c>
      <c r="H100" s="34">
        <v>3980.56</v>
      </c>
      <c r="I100" s="34">
        <v>4370.28</v>
      </c>
      <c r="J100" s="34">
        <v>4658.13</v>
      </c>
      <c r="K100" s="34">
        <v>4687.09</v>
      </c>
      <c r="L100" s="34">
        <v>1760.59</v>
      </c>
      <c r="M100" s="34">
        <v>3876.81</v>
      </c>
      <c r="N100" s="68">
        <f t="shared" si="245"/>
        <v>44253.03</v>
      </c>
      <c r="P100" s="85" t="s">
        <v>94</v>
      </c>
      <c r="Q100" s="34">
        <v>4108.2800000000007</v>
      </c>
      <c r="R100" s="34">
        <v>2879.7800000000025</v>
      </c>
      <c r="S100" s="34">
        <v>1172.1100000000006</v>
      </c>
      <c r="T100" s="34">
        <v>1979.4600000000009</v>
      </c>
      <c r="U100" s="34">
        <v>654.5</v>
      </c>
      <c r="V100" s="34">
        <v>1802.89</v>
      </c>
      <c r="W100" s="34">
        <v>1570.8099999999995</v>
      </c>
      <c r="X100" s="34">
        <v>3645.75</v>
      </c>
      <c r="Y100" s="34">
        <v>2673.8799999999997</v>
      </c>
      <c r="Z100" s="34">
        <v>3042.6</v>
      </c>
      <c r="AA100" s="34">
        <v>3406.92</v>
      </c>
      <c r="AB100" s="34">
        <v>4779.04</v>
      </c>
      <c r="AC100" s="68">
        <f t="shared" si="209"/>
        <v>31716.020000000004</v>
      </c>
      <c r="AE100" s="85" t="s">
        <v>94</v>
      </c>
      <c r="AF100" s="34">
        <v>3074.4199999999996</v>
      </c>
      <c r="AG100" s="34">
        <v>560.70000000000346</v>
      </c>
      <c r="AH100" s="34">
        <v>1213.5800000000004</v>
      </c>
      <c r="AI100" s="34">
        <v>390.05000000000018</v>
      </c>
      <c r="AJ100" s="34">
        <v>753.8299999999997</v>
      </c>
      <c r="AK100" s="34">
        <v>1297.6999999999994</v>
      </c>
      <c r="AL100" s="34">
        <v>2375.4499999999998</v>
      </c>
      <c r="AM100" s="34">
        <v>1973.4400000000005</v>
      </c>
      <c r="AN100" s="34">
        <v>4634.7899999999991</v>
      </c>
      <c r="AO100" s="34">
        <v>4471.2999999999993</v>
      </c>
      <c r="AP100" s="34">
        <v>5392.57</v>
      </c>
      <c r="AQ100" s="34">
        <v>2999.94</v>
      </c>
      <c r="AR100" s="68">
        <f t="shared" si="210"/>
        <v>29137.77</v>
      </c>
      <c r="AT100" s="39">
        <f t="shared" si="281"/>
        <v>0.12527368182472476</v>
      </c>
      <c r="AU100" s="39">
        <f t="shared" si="282"/>
        <v>0.22635512189786777</v>
      </c>
      <c r="AV100" s="39">
        <f t="shared" si="283"/>
        <v>0.29815427327801058</v>
      </c>
      <c r="AW100" s="39">
        <f t="shared" si="284"/>
        <v>0.36130678509471553</v>
      </c>
      <c r="AX100" s="39">
        <f t="shared" si="285"/>
        <v>0.41876929105193478</v>
      </c>
      <c r="AY100" s="39">
        <f t="shared" si="286"/>
        <v>0.47272627433646919</v>
      </c>
      <c r="AZ100" s="39">
        <f t="shared" si="287"/>
        <v>0.56267627324049907</v>
      </c>
      <c r="BA100" s="39">
        <f t="shared" si="288"/>
        <v>0.6614329007527846</v>
      </c>
      <c r="BB100" s="39">
        <f t="shared" si="289"/>
        <v>0.76669416760841014</v>
      </c>
      <c r="BC100" s="39">
        <f t="shared" si="290"/>
        <v>0.87260985292984472</v>
      </c>
      <c r="BD100" s="39">
        <f t="shared" si="291"/>
        <v>0.91239447332758916</v>
      </c>
      <c r="BE100" s="39">
        <f t="shared" si="292"/>
        <v>1</v>
      </c>
      <c r="BG100" s="39">
        <f t="shared" si="246"/>
        <v>0.12953327687395833</v>
      </c>
      <c r="BH100" s="39">
        <f t="shared" si="247"/>
        <v>0.22033218543814773</v>
      </c>
      <c r="BI100" s="39">
        <f t="shared" si="248"/>
        <v>0.25728858791235476</v>
      </c>
      <c r="BJ100" s="39">
        <f t="shared" si="249"/>
        <v>0.31970058033763388</v>
      </c>
      <c r="BK100" s="39">
        <f t="shared" si="250"/>
        <v>0.34033683923771024</v>
      </c>
      <c r="BL100" s="39">
        <f t="shared" si="251"/>
        <v>0.39718161358203213</v>
      </c>
      <c r="BM100" s="39">
        <f t="shared" si="252"/>
        <v>0.44670895024028873</v>
      </c>
      <c r="BN100" s="39">
        <f t="shared" si="253"/>
        <v>0.56165874532807081</v>
      </c>
      <c r="BO100" s="39">
        <f t="shared" si="254"/>
        <v>0.64596566656219789</v>
      </c>
      <c r="BP100" s="39">
        <f t="shared" si="255"/>
        <v>0.74189825835650247</v>
      </c>
      <c r="BQ100" s="39">
        <f t="shared" si="256"/>
        <v>0.84931778955871506</v>
      </c>
      <c r="BR100" s="39">
        <f t="shared" si="257"/>
        <v>1</v>
      </c>
      <c r="BS100" s="61"/>
      <c r="BT100" s="39">
        <f t="shared" si="258"/>
        <v>0.10551322218550011</v>
      </c>
      <c r="BU100" s="39">
        <f t="shared" si="259"/>
        <v>0.1247562871146283</v>
      </c>
      <c r="BV100" s="39">
        <f t="shared" si="260"/>
        <v>0.1664060084213721</v>
      </c>
      <c r="BW100" s="39">
        <f t="shared" si="261"/>
        <v>0.17979241376399099</v>
      </c>
      <c r="BX100" s="39">
        <f t="shared" si="262"/>
        <v>0.20566364550204094</v>
      </c>
      <c r="BY100" s="39">
        <f t="shared" si="263"/>
        <v>0.2502003413438984</v>
      </c>
      <c r="BZ100" s="39">
        <f t="shared" si="264"/>
        <v>0.33172511142753902</v>
      </c>
      <c r="CA100" s="39">
        <f t="shared" si="265"/>
        <v>0.39945301236161873</v>
      </c>
      <c r="CB100" s="39">
        <f t="shared" si="266"/>
        <v>0.55851769026936526</v>
      </c>
      <c r="CC100" s="39">
        <f t="shared" si="267"/>
        <v>0.71197143775930694</v>
      </c>
      <c r="CD100" s="39">
        <f t="shared" si="268"/>
        <v>0.89704291028448646</v>
      </c>
      <c r="CE100" s="39">
        <f t="shared" si="269"/>
        <v>1</v>
      </c>
      <c r="CG100" s="39">
        <f t="shared" si="293"/>
        <v>0.12010672696139439</v>
      </c>
      <c r="CH100" s="39">
        <f t="shared" si="270"/>
        <v>0.19048119815021458</v>
      </c>
      <c r="CI100" s="39">
        <f t="shared" si="271"/>
        <v>0.24061628987057915</v>
      </c>
      <c r="CJ100" s="39">
        <f t="shared" si="272"/>
        <v>0.28693325973211348</v>
      </c>
      <c r="CK100" s="39">
        <f t="shared" si="273"/>
        <v>0.32158992526389535</v>
      </c>
      <c r="CL100" s="39">
        <f t="shared" si="274"/>
        <v>0.3733694097541333</v>
      </c>
      <c r="CM100" s="39">
        <f t="shared" si="275"/>
        <v>0.44703677830277561</v>
      </c>
      <c r="CN100" s="39">
        <f t="shared" si="276"/>
        <v>0.54084821948082473</v>
      </c>
      <c r="CO100" s="39">
        <f t="shared" si="277"/>
        <v>0.65705917481332443</v>
      </c>
      <c r="CP100" s="39">
        <f t="shared" si="278"/>
        <v>0.77549318301521808</v>
      </c>
      <c r="CQ100" s="39">
        <f t="shared" si="279"/>
        <v>0.88625172439026356</v>
      </c>
      <c r="CR100" s="39">
        <f t="shared" si="280"/>
        <v>1</v>
      </c>
    </row>
    <row r="101" spans="1:96">
      <c r="A101" s="193" t="s">
        <v>95</v>
      </c>
      <c r="B101" s="34">
        <v>4161.8100000000004</v>
      </c>
      <c r="C101" s="34">
        <v>7274.69</v>
      </c>
      <c r="D101" s="34">
        <v>1957.71</v>
      </c>
      <c r="E101" s="34">
        <v>2842.94</v>
      </c>
      <c r="F101" s="34">
        <v>4635.93</v>
      </c>
      <c r="G101" s="34">
        <v>3286.64</v>
      </c>
      <c r="H101" s="34">
        <v>2657.33</v>
      </c>
      <c r="I101" s="34">
        <v>1980.79</v>
      </c>
      <c r="J101" s="34">
        <v>2327.81</v>
      </c>
      <c r="K101" s="34">
        <v>2320.2399999999998</v>
      </c>
      <c r="L101" s="34">
        <v>2169.3000000000002</v>
      </c>
      <c r="M101" s="34">
        <v>1187.02</v>
      </c>
      <c r="N101" s="68">
        <f t="shared" si="245"/>
        <v>36802.210000000006</v>
      </c>
      <c r="P101" s="85" t="s">
        <v>95</v>
      </c>
      <c r="Q101" s="34">
        <v>3484.2299999999996</v>
      </c>
      <c r="R101" s="34">
        <v>5436.24</v>
      </c>
      <c r="S101" s="34">
        <v>2276.8599999999992</v>
      </c>
      <c r="T101" s="34">
        <v>2453.0400000000013</v>
      </c>
      <c r="U101" s="34">
        <v>2159.7999999999993</v>
      </c>
      <c r="V101" s="34">
        <v>1638.53</v>
      </c>
      <c r="W101" s="34">
        <v>1398.4600000000009</v>
      </c>
      <c r="X101" s="34">
        <v>3622.1</v>
      </c>
      <c r="Y101" s="34">
        <v>1719.55</v>
      </c>
      <c r="Z101" s="34">
        <v>1385.92</v>
      </c>
      <c r="AA101" s="34">
        <v>1346.63</v>
      </c>
      <c r="AB101" s="34">
        <v>5432.07</v>
      </c>
      <c r="AC101" s="68">
        <f t="shared" si="209"/>
        <v>32353.429999999997</v>
      </c>
      <c r="AE101" s="85" t="s">
        <v>95</v>
      </c>
      <c r="AF101" s="34">
        <v>2030.5300000000007</v>
      </c>
      <c r="AG101" s="34">
        <v>2860.4000000000033</v>
      </c>
      <c r="AH101" s="34">
        <v>1802.29</v>
      </c>
      <c r="AI101" s="34">
        <v>2079.4800000000005</v>
      </c>
      <c r="AJ101" s="34">
        <v>1715.7099999999996</v>
      </c>
      <c r="AK101" s="34">
        <v>2698.0599999999995</v>
      </c>
      <c r="AL101" s="34">
        <v>2636.7799999999997</v>
      </c>
      <c r="AM101" s="34">
        <v>2369.4300000000007</v>
      </c>
      <c r="AN101" s="34">
        <v>1715.16</v>
      </c>
      <c r="AO101" s="34">
        <v>1867.76</v>
      </c>
      <c r="AP101" s="34">
        <v>1013.38</v>
      </c>
      <c r="AQ101" s="34">
        <v>693.19</v>
      </c>
      <c r="AR101" s="68">
        <f t="shared" si="210"/>
        <v>23482.170000000002</v>
      </c>
      <c r="AT101" s="39">
        <f t="shared" si="281"/>
        <v>0.11308587174520225</v>
      </c>
      <c r="AU101" s="39">
        <f t="shared" si="282"/>
        <v>0.31075579428518008</v>
      </c>
      <c r="AV101" s="39">
        <f t="shared" si="283"/>
        <v>0.36395124097166981</v>
      </c>
      <c r="AW101" s="39">
        <f t="shared" si="284"/>
        <v>0.44120040617125972</v>
      </c>
      <c r="AX101" s="39">
        <f t="shared" si="285"/>
        <v>0.5671691998931585</v>
      </c>
      <c r="AY101" s="39">
        <f t="shared" si="286"/>
        <v>0.65647470627443294</v>
      </c>
      <c r="AZ101" s="39">
        <f t="shared" si="287"/>
        <v>0.7286804243549504</v>
      </c>
      <c r="BA101" s="39">
        <f t="shared" si="288"/>
        <v>0.78250300729222511</v>
      </c>
      <c r="BB101" s="39">
        <f t="shared" si="289"/>
        <v>0.8457549152618824</v>
      </c>
      <c r="BC101" s="39">
        <f t="shared" si="290"/>
        <v>0.90880112906262966</v>
      </c>
      <c r="BD101" s="39">
        <f t="shared" si="291"/>
        <v>0.9677459587345435</v>
      </c>
      <c r="BE101" s="39">
        <f t="shared" si="292"/>
        <v>1</v>
      </c>
      <c r="BG101" s="39">
        <f t="shared" si="246"/>
        <v>0.10769275467856113</v>
      </c>
      <c r="BH101" s="39">
        <f t="shared" si="247"/>
        <v>0.27571945231154782</v>
      </c>
      <c r="BI101" s="39">
        <f t="shared" si="248"/>
        <v>0.34609406174244894</v>
      </c>
      <c r="BJ101" s="39">
        <f t="shared" si="249"/>
        <v>0.42191415253344083</v>
      </c>
      <c r="BK101" s="39">
        <f t="shared" si="250"/>
        <v>0.48867059844968525</v>
      </c>
      <c r="BL101" s="39">
        <f t="shared" si="251"/>
        <v>0.53931530598146782</v>
      </c>
      <c r="BM101" s="39">
        <f t="shared" si="252"/>
        <v>0.58253978017168495</v>
      </c>
      <c r="BN101" s="39">
        <f t="shared" si="253"/>
        <v>0.69449390682842582</v>
      </c>
      <c r="BO101" s="39">
        <f t="shared" si="254"/>
        <v>0.74764283106922502</v>
      </c>
      <c r="BP101" s="39">
        <f t="shared" si="255"/>
        <v>0.79047971111563742</v>
      </c>
      <c r="BQ101" s="39">
        <f t="shared" si="256"/>
        <v>0.83210219132870922</v>
      </c>
      <c r="BR101" s="39">
        <f t="shared" si="257"/>
        <v>1</v>
      </c>
      <c r="BS101" s="61"/>
      <c r="BT101" s="39">
        <f t="shared" si="258"/>
        <v>8.6471139592294938E-2</v>
      </c>
      <c r="BU101" s="39">
        <f t="shared" si="259"/>
        <v>0.20828270981770439</v>
      </c>
      <c r="BV101" s="39">
        <f t="shared" si="260"/>
        <v>0.2850341344092136</v>
      </c>
      <c r="BW101" s="39">
        <f t="shared" si="261"/>
        <v>0.37358983432962128</v>
      </c>
      <c r="BX101" s="39">
        <f t="shared" si="262"/>
        <v>0.4466542061487504</v>
      </c>
      <c r="BY101" s="39">
        <f t="shared" si="263"/>
        <v>0.56155244596219178</v>
      </c>
      <c r="BZ101" s="39">
        <f t="shared" si="264"/>
        <v>0.6738410462065475</v>
      </c>
      <c r="CA101" s="39">
        <f t="shared" si="265"/>
        <v>0.77474441246273251</v>
      </c>
      <c r="CB101" s="39">
        <f t="shared" si="266"/>
        <v>0.847785362255703</v>
      </c>
      <c r="CC101" s="39">
        <f t="shared" si="267"/>
        <v>0.92732485967012424</v>
      </c>
      <c r="CD101" s="39">
        <f t="shared" si="268"/>
        <v>0.97048015579480096</v>
      </c>
      <c r="CE101" s="39">
        <f t="shared" si="269"/>
        <v>1</v>
      </c>
      <c r="CG101" s="39">
        <f t="shared" si="293"/>
        <v>0.10241658867201946</v>
      </c>
      <c r="CH101" s="39">
        <f t="shared" si="270"/>
        <v>0.26491931880481073</v>
      </c>
      <c r="CI101" s="39">
        <f t="shared" si="271"/>
        <v>0.33169314570777741</v>
      </c>
      <c r="CJ101" s="39">
        <f t="shared" si="272"/>
        <v>0.41223479767810728</v>
      </c>
      <c r="CK101" s="39">
        <f t="shared" si="273"/>
        <v>0.50083133483053144</v>
      </c>
      <c r="CL101" s="39">
        <f t="shared" si="274"/>
        <v>0.58578081940603088</v>
      </c>
      <c r="CM101" s="39">
        <f t="shared" si="275"/>
        <v>0.66168708357772754</v>
      </c>
      <c r="CN101" s="39">
        <f t="shared" si="276"/>
        <v>0.75058044219446118</v>
      </c>
      <c r="CO101" s="39">
        <f t="shared" si="277"/>
        <v>0.81372770286227014</v>
      </c>
      <c r="CP101" s="39">
        <f t="shared" si="278"/>
        <v>0.87553523328279714</v>
      </c>
      <c r="CQ101" s="39">
        <f t="shared" si="279"/>
        <v>0.92344276861935126</v>
      </c>
      <c r="CR101" s="39">
        <f t="shared" si="280"/>
        <v>1</v>
      </c>
    </row>
    <row r="102" spans="1:96">
      <c r="A102" s="193" t="s">
        <v>96</v>
      </c>
      <c r="B102" s="34">
        <v>2229.6</v>
      </c>
      <c r="C102" s="34">
        <v>955.81</v>
      </c>
      <c r="D102" s="34">
        <v>2775.24</v>
      </c>
      <c r="E102" s="34">
        <v>945.34</v>
      </c>
      <c r="F102" s="34">
        <v>549.86</v>
      </c>
      <c r="G102" s="34">
        <v>797.81</v>
      </c>
      <c r="H102" s="34">
        <v>839.09</v>
      </c>
      <c r="I102" s="34">
        <v>825.55</v>
      </c>
      <c r="J102" s="34">
        <v>913.26</v>
      </c>
      <c r="K102" s="34">
        <v>1245.18</v>
      </c>
      <c r="L102" s="34">
        <v>420.89</v>
      </c>
      <c r="M102" s="34">
        <v>1135.8599999999999</v>
      </c>
      <c r="N102" s="68">
        <f t="shared" si="245"/>
        <v>13633.49</v>
      </c>
      <c r="P102" s="85" t="s">
        <v>96</v>
      </c>
      <c r="Q102" s="34">
        <v>628.31999999999971</v>
      </c>
      <c r="R102" s="34">
        <v>681.05000000000018</v>
      </c>
      <c r="S102" s="34">
        <v>358.17999999999938</v>
      </c>
      <c r="T102" s="34">
        <v>881.76999999999953</v>
      </c>
      <c r="U102" s="34">
        <v>148.64999999999964</v>
      </c>
      <c r="V102" s="34">
        <v>253.37</v>
      </c>
      <c r="W102" s="34">
        <v>716.7199999999998</v>
      </c>
      <c r="X102" s="34">
        <v>542.17999999999995</v>
      </c>
      <c r="Y102" s="34">
        <v>782.62</v>
      </c>
      <c r="Z102" s="34">
        <v>1329.43</v>
      </c>
      <c r="AA102" s="34">
        <v>202.24</v>
      </c>
      <c r="AB102" s="34">
        <v>1404.51</v>
      </c>
      <c r="AC102" s="68">
        <f t="shared" si="209"/>
        <v>7929.0399999999981</v>
      </c>
      <c r="AE102" s="85" t="s">
        <v>96</v>
      </c>
      <c r="AF102" s="34">
        <v>1949.2800000000004</v>
      </c>
      <c r="AG102" s="34">
        <v>1621.5700000000008</v>
      </c>
      <c r="AH102" s="34">
        <v>659.13999999999987</v>
      </c>
      <c r="AI102" s="34">
        <v>629.93000000000006</v>
      </c>
      <c r="AJ102" s="34">
        <v>1061.4399999999996</v>
      </c>
      <c r="AK102" s="34">
        <v>453.48000000000025</v>
      </c>
      <c r="AL102" s="34">
        <v>281.80000000000007</v>
      </c>
      <c r="AM102" s="34">
        <v>106.73999999999998</v>
      </c>
      <c r="AN102" s="34">
        <v>0</v>
      </c>
      <c r="AO102" s="34">
        <v>97.509999999999991</v>
      </c>
      <c r="AP102" s="34">
        <v>0</v>
      </c>
      <c r="AQ102" s="34">
        <v>0</v>
      </c>
      <c r="AR102" s="68">
        <f t="shared" si="210"/>
        <v>6860.8900000000021</v>
      </c>
      <c r="AT102" s="39">
        <f t="shared" si="281"/>
        <v>0.16353846300543734</v>
      </c>
      <c r="AU102" s="39">
        <f t="shared" si="282"/>
        <v>0.23364597032748033</v>
      </c>
      <c r="AV102" s="39">
        <f t="shared" si="283"/>
        <v>0.43720646730954432</v>
      </c>
      <c r="AW102" s="39">
        <f t="shared" si="284"/>
        <v>0.50654601279642997</v>
      </c>
      <c r="AX102" s="39">
        <f t="shared" si="285"/>
        <v>0.54687757866841136</v>
      </c>
      <c r="AY102" s="39">
        <f t="shared" si="286"/>
        <v>0.60539597711224347</v>
      </c>
      <c r="AZ102" s="39">
        <f t="shared" si="287"/>
        <v>0.66694221362248407</v>
      </c>
      <c r="BA102" s="39">
        <f t="shared" si="288"/>
        <v>0.72749530751113611</v>
      </c>
      <c r="BB102" s="39">
        <f t="shared" si="289"/>
        <v>0.7944818238030027</v>
      </c>
      <c r="BC102" s="39">
        <f t="shared" si="290"/>
        <v>0.88581427059395645</v>
      </c>
      <c r="BD102" s="39">
        <f t="shared" si="291"/>
        <v>0.91668604297212231</v>
      </c>
      <c r="BE102" s="39">
        <f t="shared" si="292"/>
        <v>1</v>
      </c>
      <c r="BG102" s="39">
        <f t="shared" si="246"/>
        <v>7.9242884384490411E-2</v>
      </c>
      <c r="BH102" s="39">
        <f t="shared" si="247"/>
        <v>0.16513600637656012</v>
      </c>
      <c r="BI102" s="39">
        <f t="shared" si="248"/>
        <v>0.21030919253781033</v>
      </c>
      <c r="BJ102" s="39">
        <f t="shared" si="249"/>
        <v>0.3215168544994097</v>
      </c>
      <c r="BK102" s="39">
        <f t="shared" si="250"/>
        <v>0.34026439518529344</v>
      </c>
      <c r="BL102" s="39">
        <f t="shared" si="251"/>
        <v>0.37221908326859227</v>
      </c>
      <c r="BM102" s="39">
        <f t="shared" si="252"/>
        <v>0.46261085831323828</v>
      </c>
      <c r="BN102" s="39">
        <f t="shared" si="253"/>
        <v>0.53098988023770832</v>
      </c>
      <c r="BO102" s="39">
        <f t="shared" si="254"/>
        <v>0.62969287580842059</v>
      </c>
      <c r="BP102" s="39">
        <f t="shared" si="255"/>
        <v>0.79735882275786218</v>
      </c>
      <c r="BQ102" s="39">
        <f t="shared" si="256"/>
        <v>0.82286506310978369</v>
      </c>
      <c r="BR102" s="39">
        <f t="shared" si="257"/>
        <v>1</v>
      </c>
      <c r="BS102" s="61"/>
      <c r="BT102" s="39">
        <f t="shared" si="258"/>
        <v>0.28411474313099316</v>
      </c>
      <c r="BU102" s="39">
        <f t="shared" si="259"/>
        <v>0.52046454614488791</v>
      </c>
      <c r="BV102" s="39">
        <f t="shared" si="260"/>
        <v>0.61653663008735027</v>
      </c>
      <c r="BW102" s="39">
        <f t="shared" si="261"/>
        <v>0.70835124889045009</v>
      </c>
      <c r="BX102" s="39">
        <f t="shared" si="262"/>
        <v>0.86306004031546923</v>
      </c>
      <c r="BY102" s="39">
        <f t="shared" si="263"/>
        <v>0.92915642139722399</v>
      </c>
      <c r="BZ102" s="39">
        <f t="shared" si="264"/>
        <v>0.97022980983516716</v>
      </c>
      <c r="CA102" s="39">
        <f t="shared" si="265"/>
        <v>0.98578755817393948</v>
      </c>
      <c r="CB102" s="39">
        <f t="shared" si="266"/>
        <v>0.98578755817393948</v>
      </c>
      <c r="CC102" s="39">
        <f t="shared" si="267"/>
        <v>1</v>
      </c>
      <c r="CD102" s="39">
        <f t="shared" si="268"/>
        <v>1</v>
      </c>
      <c r="CE102" s="39">
        <f t="shared" si="269"/>
        <v>1</v>
      </c>
      <c r="CG102" s="39">
        <f t="shared" si="293"/>
        <v>0.17563203017364029</v>
      </c>
      <c r="CH102" s="39">
        <f t="shared" si="270"/>
        <v>0.30641550761630948</v>
      </c>
      <c r="CI102" s="39">
        <f t="shared" si="271"/>
        <v>0.42135076331156829</v>
      </c>
      <c r="CJ102" s="39">
        <f t="shared" si="272"/>
        <v>0.51213803872876318</v>
      </c>
      <c r="CK102" s="39">
        <f t="shared" si="273"/>
        <v>0.58340067138972473</v>
      </c>
      <c r="CL102" s="39">
        <f t="shared" si="274"/>
        <v>0.63559049392601985</v>
      </c>
      <c r="CM102" s="39">
        <f t="shared" si="275"/>
        <v>0.69992762725696311</v>
      </c>
      <c r="CN102" s="39">
        <f t="shared" si="276"/>
        <v>0.74809091530759453</v>
      </c>
      <c r="CO102" s="39">
        <f t="shared" si="277"/>
        <v>0.80332075259512103</v>
      </c>
      <c r="CP102" s="39">
        <f t="shared" si="278"/>
        <v>0.89439103111727292</v>
      </c>
      <c r="CQ102" s="39">
        <f t="shared" si="279"/>
        <v>0.91318370202730204</v>
      </c>
      <c r="CR102" s="39">
        <f t="shared" si="280"/>
        <v>1</v>
      </c>
    </row>
    <row r="103" spans="1:96">
      <c r="A103" s="193" t="s">
        <v>97</v>
      </c>
      <c r="B103" s="34">
        <v>2298.65</v>
      </c>
      <c r="C103" s="34">
        <v>2279.0700000000002</v>
      </c>
      <c r="D103" s="34">
        <v>239.19</v>
      </c>
      <c r="E103" s="34">
        <v>1121.5999999999999</v>
      </c>
      <c r="F103" s="34">
        <v>1539.17</v>
      </c>
      <c r="G103" s="34">
        <v>1044.4100000000001</v>
      </c>
      <c r="H103" s="34">
        <v>1550.58</v>
      </c>
      <c r="I103" s="34">
        <v>1892.14</v>
      </c>
      <c r="J103" s="34">
        <v>641.67999999999995</v>
      </c>
      <c r="K103" s="34">
        <v>3701.39</v>
      </c>
      <c r="L103" s="34">
        <v>754.55</v>
      </c>
      <c r="M103" s="34">
        <v>1717.87</v>
      </c>
      <c r="N103" s="68">
        <f t="shared" si="245"/>
        <v>18780.3</v>
      </c>
      <c r="P103" s="85" t="s">
        <v>97</v>
      </c>
      <c r="Q103" s="34">
        <v>1204.9099999999999</v>
      </c>
      <c r="R103" s="34">
        <v>2091.7100000000009</v>
      </c>
      <c r="S103" s="34">
        <v>4171.3999999999996</v>
      </c>
      <c r="T103" s="34">
        <v>2119.5699999999997</v>
      </c>
      <c r="U103" s="34">
        <v>1797.8500000000006</v>
      </c>
      <c r="V103" s="34">
        <v>677.01</v>
      </c>
      <c r="W103" s="34">
        <v>1702.6500000000008</v>
      </c>
      <c r="X103" s="34">
        <v>259.12</v>
      </c>
      <c r="Y103" s="34">
        <v>1166.98</v>
      </c>
      <c r="Z103" s="34">
        <v>1055.2</v>
      </c>
      <c r="AA103" s="34">
        <v>650.48</v>
      </c>
      <c r="AB103" s="34">
        <v>1829.23</v>
      </c>
      <c r="AC103" s="68">
        <f t="shared" si="209"/>
        <v>18726.110000000004</v>
      </c>
      <c r="AE103" s="85" t="s">
        <v>97</v>
      </c>
      <c r="AF103" s="34">
        <v>808.54999999999973</v>
      </c>
      <c r="AG103" s="34">
        <v>1909.9299999999994</v>
      </c>
      <c r="AH103" s="34">
        <v>913.60999999999967</v>
      </c>
      <c r="AI103" s="34">
        <v>2473.25</v>
      </c>
      <c r="AJ103" s="34">
        <v>1383.7100000000014</v>
      </c>
      <c r="AK103" s="34">
        <v>1329.1799999999996</v>
      </c>
      <c r="AL103" s="34">
        <v>593.77999999999986</v>
      </c>
      <c r="AM103" s="34">
        <v>1202.6100000000001</v>
      </c>
      <c r="AN103" s="34">
        <v>768.80000000000018</v>
      </c>
      <c r="AO103" s="34">
        <v>624.73</v>
      </c>
      <c r="AP103" s="34">
        <v>780.9</v>
      </c>
      <c r="AQ103" s="34">
        <v>1270.44</v>
      </c>
      <c r="AR103" s="68">
        <f t="shared" si="210"/>
        <v>14059.490000000002</v>
      </c>
      <c r="AT103" s="39">
        <f t="shared" si="281"/>
        <v>0.12239687331938255</v>
      </c>
      <c r="AU103" s="39">
        <f t="shared" si="282"/>
        <v>0.24375116478437514</v>
      </c>
      <c r="AV103" s="39">
        <f t="shared" si="283"/>
        <v>0.25648738305564872</v>
      </c>
      <c r="AW103" s="39">
        <f t="shared" si="284"/>
        <v>0.31620953871876384</v>
      </c>
      <c r="AX103" s="39">
        <f t="shared" si="285"/>
        <v>0.39816616347981665</v>
      </c>
      <c r="AY103" s="39">
        <f t="shared" si="286"/>
        <v>0.45377816115823499</v>
      </c>
      <c r="AZ103" s="39">
        <f t="shared" si="287"/>
        <v>0.53634233744934856</v>
      </c>
      <c r="BA103" s="39">
        <f t="shared" si="288"/>
        <v>0.63709365665085227</v>
      </c>
      <c r="BB103" s="39">
        <f t="shared" si="289"/>
        <v>0.67126137495141192</v>
      </c>
      <c r="BC103" s="39">
        <f t="shared" si="290"/>
        <v>0.8683503458411207</v>
      </c>
      <c r="BD103" s="39">
        <f t="shared" si="291"/>
        <v>0.90852808528085283</v>
      </c>
      <c r="BE103" s="39">
        <f t="shared" si="292"/>
        <v>1</v>
      </c>
      <c r="BG103" s="39">
        <f t="shared" si="246"/>
        <v>6.4343849309867321E-2</v>
      </c>
      <c r="BH103" s="39">
        <f t="shared" si="247"/>
        <v>0.17604403690889353</v>
      </c>
      <c r="BI103" s="39">
        <f t="shared" si="248"/>
        <v>0.39880252759382478</v>
      </c>
      <c r="BJ103" s="39">
        <f t="shared" si="249"/>
        <v>0.5119904774670232</v>
      </c>
      <c r="BK103" s="39">
        <f t="shared" si="250"/>
        <v>0.60799813736008157</v>
      </c>
      <c r="BL103" s="39">
        <f t="shared" si="251"/>
        <v>0.64415140143895333</v>
      </c>
      <c r="BM103" s="39">
        <f t="shared" si="252"/>
        <v>0.73507525054589551</v>
      </c>
      <c r="BN103" s="39">
        <f t="shared" si="253"/>
        <v>0.74891261452592128</v>
      </c>
      <c r="BO103" s="39">
        <f t="shared" si="254"/>
        <v>0.81123094972741261</v>
      </c>
      <c r="BP103" s="39">
        <f t="shared" si="255"/>
        <v>0.86758007936512171</v>
      </c>
      <c r="BQ103" s="39">
        <f t="shared" si="256"/>
        <v>0.90231660499698019</v>
      </c>
      <c r="BR103" s="39">
        <f t="shared" si="257"/>
        <v>1</v>
      </c>
      <c r="BS103" s="61"/>
      <c r="BT103" s="39">
        <f t="shared" si="258"/>
        <v>5.7509198413313686E-2</v>
      </c>
      <c r="BU103" s="39">
        <f t="shared" si="259"/>
        <v>0.19335552000819367</v>
      </c>
      <c r="BV103" s="39">
        <f t="shared" si="260"/>
        <v>0.25833725120896978</v>
      </c>
      <c r="BW103" s="39">
        <f t="shared" si="261"/>
        <v>0.43425046000957346</v>
      </c>
      <c r="BX103" s="39">
        <f t="shared" si="262"/>
        <v>0.53266868143865809</v>
      </c>
      <c r="BY103" s="39">
        <f t="shared" si="263"/>
        <v>0.62720838380339528</v>
      </c>
      <c r="BZ103" s="39">
        <f t="shared" si="264"/>
        <v>0.66944177918260184</v>
      </c>
      <c r="CA103" s="39">
        <f t="shared" si="265"/>
        <v>0.75497902128740091</v>
      </c>
      <c r="CB103" s="39">
        <f t="shared" si="266"/>
        <v>0.8096609478722202</v>
      </c>
      <c r="CC103" s="39">
        <f t="shared" si="267"/>
        <v>0.85409570332921037</v>
      </c>
      <c r="CD103" s="39">
        <f t="shared" si="268"/>
        <v>0.9096382585712568</v>
      </c>
      <c r="CE103" s="39">
        <f t="shared" si="269"/>
        <v>1</v>
      </c>
      <c r="CG103" s="39">
        <f t="shared" si="293"/>
        <v>8.1416640347521177E-2</v>
      </c>
      <c r="CH103" s="39">
        <f t="shared" si="270"/>
        <v>0.20438357390048745</v>
      </c>
      <c r="CI103" s="39">
        <f t="shared" si="271"/>
        <v>0.30454238728614774</v>
      </c>
      <c r="CJ103" s="39">
        <f t="shared" si="272"/>
        <v>0.42081682539845344</v>
      </c>
      <c r="CK103" s="39">
        <f t="shared" si="273"/>
        <v>0.51294432742618545</v>
      </c>
      <c r="CL103" s="39">
        <f t="shared" si="274"/>
        <v>0.57504598213352787</v>
      </c>
      <c r="CM103" s="39">
        <f t="shared" si="275"/>
        <v>0.64695312239261538</v>
      </c>
      <c r="CN103" s="39">
        <f t="shared" si="276"/>
        <v>0.71366176415472482</v>
      </c>
      <c r="CO103" s="39">
        <f t="shared" si="277"/>
        <v>0.76405109085034828</v>
      </c>
      <c r="CP103" s="39">
        <f t="shared" si="278"/>
        <v>0.86334204284515093</v>
      </c>
      <c r="CQ103" s="39">
        <f t="shared" si="279"/>
        <v>0.9068276496163632</v>
      </c>
      <c r="CR103" s="39">
        <f t="shared" si="280"/>
        <v>1</v>
      </c>
    </row>
    <row r="104" spans="1:96">
      <c r="A104" s="193" t="s">
        <v>98</v>
      </c>
      <c r="B104" s="34">
        <v>4342.4399999999996</v>
      </c>
      <c r="C104" s="34">
        <v>2778.57</v>
      </c>
      <c r="D104" s="34">
        <v>2166.69</v>
      </c>
      <c r="E104" s="34">
        <v>2450.84</v>
      </c>
      <c r="F104" s="34">
        <v>5913.02</v>
      </c>
      <c r="G104" s="34">
        <v>2059.6799999999998</v>
      </c>
      <c r="H104" s="34">
        <v>4384.33</v>
      </c>
      <c r="I104" s="34">
        <v>3155.61</v>
      </c>
      <c r="J104" s="34">
        <v>2262.2399999999998</v>
      </c>
      <c r="K104" s="34">
        <v>4967.24</v>
      </c>
      <c r="L104" s="34">
        <v>3135.61</v>
      </c>
      <c r="M104" s="34">
        <v>3871.05</v>
      </c>
      <c r="N104" s="68">
        <f t="shared" si="245"/>
        <v>41487.32</v>
      </c>
      <c r="P104" s="85" t="s">
        <v>98</v>
      </c>
      <c r="Q104" s="34">
        <v>1911.0900000000001</v>
      </c>
      <c r="R104" s="34">
        <v>1700.5600000000013</v>
      </c>
      <c r="S104" s="34">
        <v>2983.4700000000012</v>
      </c>
      <c r="T104" s="34">
        <v>3152.8100000000013</v>
      </c>
      <c r="U104" s="34">
        <v>813.70000000000073</v>
      </c>
      <c r="V104" s="34">
        <v>713.13</v>
      </c>
      <c r="W104" s="34">
        <v>1672.3500000000004</v>
      </c>
      <c r="X104" s="34">
        <v>3871.7</v>
      </c>
      <c r="Y104" s="34">
        <v>1171.5999999999999</v>
      </c>
      <c r="Z104" s="34">
        <v>926.8</v>
      </c>
      <c r="AA104" s="34">
        <v>438.65999999999997</v>
      </c>
      <c r="AB104" s="34">
        <v>741.59999999999991</v>
      </c>
      <c r="AC104" s="68">
        <f t="shared" si="209"/>
        <v>20097.47</v>
      </c>
      <c r="AE104" s="85" t="s">
        <v>98</v>
      </c>
      <c r="AF104" s="34">
        <v>3147.400000000001</v>
      </c>
      <c r="AG104" s="34">
        <v>3880.3300000000027</v>
      </c>
      <c r="AH104" s="34">
        <v>2664.03</v>
      </c>
      <c r="AI104" s="34">
        <v>1957.5800000000002</v>
      </c>
      <c r="AJ104" s="34">
        <v>2390.2399999999998</v>
      </c>
      <c r="AK104" s="34">
        <v>1651.7299999999991</v>
      </c>
      <c r="AL104" s="34">
        <v>800.23</v>
      </c>
      <c r="AM104" s="34">
        <v>1429.7100000000005</v>
      </c>
      <c r="AN104" s="34">
        <v>1497.51</v>
      </c>
      <c r="AO104" s="34">
        <v>1486.0899999999997</v>
      </c>
      <c r="AP104" s="34">
        <v>625.61000000000013</v>
      </c>
      <c r="AQ104" s="34">
        <v>3322.78</v>
      </c>
      <c r="AR104" s="68">
        <f t="shared" si="210"/>
        <v>24853.24</v>
      </c>
      <c r="AT104" s="39">
        <f t="shared" si="281"/>
        <v>0.10466908925425888</v>
      </c>
      <c r="AU104" s="39">
        <f t="shared" si="282"/>
        <v>0.17164304659833415</v>
      </c>
      <c r="AV104" s="39">
        <f t="shared" si="283"/>
        <v>0.22386840123681165</v>
      </c>
      <c r="AW104" s="39">
        <f t="shared" si="284"/>
        <v>0.28294283651004692</v>
      </c>
      <c r="AX104" s="39">
        <f t="shared" si="285"/>
        <v>0.42546879383869579</v>
      </c>
      <c r="AY104" s="39">
        <f t="shared" si="286"/>
        <v>0.47511480616246127</v>
      </c>
      <c r="AZ104" s="39">
        <f t="shared" si="287"/>
        <v>0.58079360151487247</v>
      </c>
      <c r="BA104" s="39">
        <f t="shared" si="288"/>
        <v>0.65685563685482695</v>
      </c>
      <c r="BB104" s="39">
        <f t="shared" si="289"/>
        <v>0.71138410483010228</v>
      </c>
      <c r="BC104" s="39">
        <f t="shared" si="290"/>
        <v>0.83111321724324438</v>
      </c>
      <c r="BD104" s="39">
        <f t="shared" si="291"/>
        <v>0.90669317757811296</v>
      </c>
      <c r="BE104" s="39">
        <f t="shared" si="292"/>
        <v>1</v>
      </c>
      <c r="BG104" s="39">
        <f t="shared" si="246"/>
        <v>9.5091073652554273E-2</v>
      </c>
      <c r="BH104" s="39">
        <f t="shared" si="247"/>
        <v>0.17970669940047188</v>
      </c>
      <c r="BI104" s="39">
        <f t="shared" si="248"/>
        <v>0.32815672818518959</v>
      </c>
      <c r="BJ104" s="39">
        <f t="shared" si="249"/>
        <v>0.48503269316983699</v>
      </c>
      <c r="BK104" s="39">
        <f t="shared" si="250"/>
        <v>0.52552037644539362</v>
      </c>
      <c r="BL104" s="39">
        <f t="shared" si="251"/>
        <v>0.56100394726301384</v>
      </c>
      <c r="BM104" s="39">
        <f t="shared" si="252"/>
        <v>0.64421591374436704</v>
      </c>
      <c r="BN104" s="39">
        <f t="shared" si="253"/>
        <v>0.83686205278574888</v>
      </c>
      <c r="BO104" s="39">
        <f t="shared" si="254"/>
        <v>0.895157947741681</v>
      </c>
      <c r="BP104" s="39">
        <f t="shared" si="255"/>
        <v>0.94127320503526068</v>
      </c>
      <c r="BQ104" s="39">
        <f t="shared" si="256"/>
        <v>0.96309983296404977</v>
      </c>
      <c r="BR104" s="39">
        <f t="shared" si="257"/>
        <v>1</v>
      </c>
      <c r="BS104" s="61"/>
      <c r="BT104" s="39">
        <f t="shared" si="258"/>
        <v>0.12663942407509043</v>
      </c>
      <c r="BU104" s="39">
        <f t="shared" si="259"/>
        <v>0.28276916812455855</v>
      </c>
      <c r="BV104" s="39">
        <f t="shared" si="260"/>
        <v>0.38995961894706699</v>
      </c>
      <c r="BW104" s="39">
        <f t="shared" si="261"/>
        <v>0.46872520444014554</v>
      </c>
      <c r="BX104" s="39">
        <f t="shared" si="262"/>
        <v>0.56489938535176909</v>
      </c>
      <c r="BY104" s="39">
        <f t="shared" si="263"/>
        <v>0.63135872827848616</v>
      </c>
      <c r="BZ104" s="39">
        <f t="shared" si="264"/>
        <v>0.66355694468809712</v>
      </c>
      <c r="CA104" s="39">
        <f t="shared" si="265"/>
        <v>0.72108304591272621</v>
      </c>
      <c r="CB104" s="39">
        <f t="shared" si="266"/>
        <v>0.78133716167389045</v>
      </c>
      <c r="CC104" s="39">
        <f t="shared" si="267"/>
        <v>0.84113178000131983</v>
      </c>
      <c r="CD104" s="39">
        <f t="shared" si="268"/>
        <v>0.86630395071226129</v>
      </c>
      <c r="CE104" s="39">
        <f t="shared" si="269"/>
        <v>1</v>
      </c>
      <c r="CG104" s="39">
        <f t="shared" si="293"/>
        <v>0.1087998623273012</v>
      </c>
      <c r="CH104" s="39">
        <f t="shared" si="270"/>
        <v>0.21137297137445485</v>
      </c>
      <c r="CI104" s="39">
        <f t="shared" si="271"/>
        <v>0.31399491612302272</v>
      </c>
      <c r="CJ104" s="39">
        <f t="shared" si="272"/>
        <v>0.41223357804000987</v>
      </c>
      <c r="CK104" s="39">
        <f t="shared" si="273"/>
        <v>0.50529618521195285</v>
      </c>
      <c r="CL104" s="39">
        <f t="shared" si="274"/>
        <v>0.55582582723465368</v>
      </c>
      <c r="CM104" s="39">
        <f t="shared" si="275"/>
        <v>0.62952215331577888</v>
      </c>
      <c r="CN104" s="39">
        <f t="shared" si="276"/>
        <v>0.73826691185110072</v>
      </c>
      <c r="CO104" s="39">
        <f t="shared" si="277"/>
        <v>0.79595973808189113</v>
      </c>
      <c r="CP104" s="39">
        <f t="shared" si="278"/>
        <v>0.871172734093275</v>
      </c>
      <c r="CQ104" s="39">
        <f t="shared" si="279"/>
        <v>0.91203232041814131</v>
      </c>
      <c r="CR104" s="39">
        <f t="shared" si="280"/>
        <v>1</v>
      </c>
    </row>
    <row r="105" spans="1:96">
      <c r="A105" s="193" t="s">
        <v>99</v>
      </c>
      <c r="B105" s="34">
        <v>22418.23</v>
      </c>
      <c r="C105" s="34">
        <v>24241.79</v>
      </c>
      <c r="D105" s="34">
        <v>19845.47</v>
      </c>
      <c r="E105" s="34">
        <v>20051.34</v>
      </c>
      <c r="F105" s="34">
        <v>22784.639999999999</v>
      </c>
      <c r="G105" s="34">
        <v>18696.47</v>
      </c>
      <c r="H105" s="34">
        <v>15055.98</v>
      </c>
      <c r="I105" s="34">
        <v>13860.33</v>
      </c>
      <c r="J105" s="34">
        <v>13397.02</v>
      </c>
      <c r="K105" s="34">
        <v>24728.9</v>
      </c>
      <c r="L105" s="34">
        <v>31916.66</v>
      </c>
      <c r="M105" s="34">
        <v>30290.03</v>
      </c>
      <c r="N105" s="68">
        <f t="shared" si="245"/>
        <v>257286.86</v>
      </c>
      <c r="P105" s="85" t="s">
        <v>99</v>
      </c>
      <c r="Q105" s="34">
        <v>11238.419999999998</v>
      </c>
      <c r="R105" s="34">
        <v>10943.809999999994</v>
      </c>
      <c r="S105" s="34">
        <v>3917.7200000000016</v>
      </c>
      <c r="T105" s="34">
        <v>6128.2900000000027</v>
      </c>
      <c r="U105" s="34">
        <v>7519.6499999999969</v>
      </c>
      <c r="V105" s="34">
        <v>10373.92</v>
      </c>
      <c r="W105" s="34">
        <v>6544.9099999999989</v>
      </c>
      <c r="X105" s="34">
        <v>7358.27</v>
      </c>
      <c r="Y105" s="34">
        <v>8912.07</v>
      </c>
      <c r="Z105" s="34">
        <v>20386.91</v>
      </c>
      <c r="AA105" s="34">
        <v>15135.95</v>
      </c>
      <c r="AB105" s="34">
        <v>8739.1200000000008</v>
      </c>
      <c r="AC105" s="68">
        <f t="shared" si="209"/>
        <v>117199.03999999999</v>
      </c>
      <c r="AE105" s="85" t="s">
        <v>99</v>
      </c>
      <c r="AF105" s="34">
        <v>20641.869999999984</v>
      </c>
      <c r="AG105" s="34">
        <v>4700.1400000000031</v>
      </c>
      <c r="AH105" s="34">
        <v>8630.2800000000007</v>
      </c>
      <c r="AI105" s="34">
        <v>4741.43</v>
      </c>
      <c r="AJ105" s="34">
        <v>8576.4599999999937</v>
      </c>
      <c r="AK105" s="34">
        <v>4080.6400000000031</v>
      </c>
      <c r="AL105" s="34">
        <v>1460.5299999999997</v>
      </c>
      <c r="AM105" s="34">
        <v>6508.17</v>
      </c>
      <c r="AN105" s="34">
        <v>2392.2600000000002</v>
      </c>
      <c r="AO105" s="34">
        <v>3852</v>
      </c>
      <c r="AP105" s="34">
        <v>2900.59</v>
      </c>
      <c r="AQ105" s="34">
        <v>6160.3</v>
      </c>
      <c r="AR105" s="68">
        <f t="shared" si="210"/>
        <v>74644.669999999969</v>
      </c>
      <c r="AT105" s="39">
        <f t="shared" si="281"/>
        <v>8.7133209989814484E-2</v>
      </c>
      <c r="AU105" s="39">
        <f t="shared" si="282"/>
        <v>0.18135407303738715</v>
      </c>
      <c r="AV105" s="39">
        <f t="shared" si="283"/>
        <v>0.25848770512415603</v>
      </c>
      <c r="AW105" s="39">
        <f t="shared" si="284"/>
        <v>0.33642149466941301</v>
      </c>
      <c r="AX105" s="39">
        <f t="shared" si="285"/>
        <v>0.42497883490824212</v>
      </c>
      <c r="AY105" s="39">
        <f t="shared" si="286"/>
        <v>0.49764663457745184</v>
      </c>
      <c r="AZ105" s="39">
        <f t="shared" si="287"/>
        <v>0.55616489703360683</v>
      </c>
      <c r="BA105" s="39">
        <f t="shared" si="288"/>
        <v>0.61003601194402235</v>
      </c>
      <c r="BB105" s="39">
        <f t="shared" si="289"/>
        <v>0.66210637418483009</v>
      </c>
      <c r="BC105" s="39">
        <f t="shared" si="290"/>
        <v>0.75822049365443689</v>
      </c>
      <c r="BD105" s="39">
        <f t="shared" si="291"/>
        <v>0.88227136823077557</v>
      </c>
      <c r="BE105" s="39">
        <f t="shared" si="292"/>
        <v>1</v>
      </c>
      <c r="BG105" s="39">
        <f t="shared" si="246"/>
        <v>9.5891741092759789E-2</v>
      </c>
      <c r="BH105" s="39">
        <f t="shared" si="247"/>
        <v>0.18926972439364687</v>
      </c>
      <c r="BI105" s="39">
        <f t="shared" si="248"/>
        <v>0.22269764325714608</v>
      </c>
      <c r="BJ105" s="39">
        <f t="shared" si="249"/>
        <v>0.27498723539032399</v>
      </c>
      <c r="BK105" s="39">
        <f t="shared" si="250"/>
        <v>0.3391485971216146</v>
      </c>
      <c r="BL105" s="39">
        <f t="shared" si="251"/>
        <v>0.42766399793035842</v>
      </c>
      <c r="BM105" s="39">
        <f t="shared" si="252"/>
        <v>0.48350839733840817</v>
      </c>
      <c r="BN105" s="39">
        <f t="shared" si="253"/>
        <v>0.5462927853333952</v>
      </c>
      <c r="BO105" s="39">
        <f t="shared" si="254"/>
        <v>0.62233496110548348</v>
      </c>
      <c r="BP105" s="39">
        <f t="shared" si="255"/>
        <v>0.79628612998877812</v>
      </c>
      <c r="BQ105" s="39">
        <f t="shared" si="256"/>
        <v>0.92543351890936998</v>
      </c>
      <c r="BR105" s="39">
        <f t="shared" si="257"/>
        <v>1</v>
      </c>
      <c r="BS105" s="61"/>
      <c r="BT105" s="39">
        <f t="shared" si="258"/>
        <v>0.27653508281301253</v>
      </c>
      <c r="BU105" s="39">
        <f t="shared" si="259"/>
        <v>0.33950193630703973</v>
      </c>
      <c r="BV105" s="39">
        <f t="shared" si="260"/>
        <v>0.45512010435574302</v>
      </c>
      <c r="BW105" s="39">
        <f t="shared" si="261"/>
        <v>0.51864011187938808</v>
      </c>
      <c r="BX105" s="39">
        <f t="shared" si="262"/>
        <v>0.63353726394664212</v>
      </c>
      <c r="BY105" s="39">
        <f t="shared" si="263"/>
        <v>0.68820479747582775</v>
      </c>
      <c r="BZ105" s="39">
        <f t="shared" si="264"/>
        <v>0.70777123135516573</v>
      </c>
      <c r="CA105" s="39">
        <f t="shared" si="265"/>
        <v>0.79495990805505601</v>
      </c>
      <c r="CB105" s="39">
        <f t="shared" si="266"/>
        <v>0.82700854595512319</v>
      </c>
      <c r="CC105" s="39">
        <f t="shared" si="267"/>
        <v>0.87861303425951243</v>
      </c>
      <c r="CD105" s="39">
        <f t="shared" si="268"/>
        <v>0.91747166944404734</v>
      </c>
      <c r="CE105" s="39">
        <f t="shared" si="269"/>
        <v>1</v>
      </c>
      <c r="CG105" s="39">
        <f t="shared" si="293"/>
        <v>0.15318667796519561</v>
      </c>
      <c r="CH105" s="39">
        <f t="shared" si="270"/>
        <v>0.23670857791269126</v>
      </c>
      <c r="CI105" s="39">
        <f t="shared" si="271"/>
        <v>0.31210181757901506</v>
      </c>
      <c r="CJ105" s="39">
        <f t="shared" si="272"/>
        <v>0.37668294731304169</v>
      </c>
      <c r="CK105" s="39">
        <f t="shared" si="273"/>
        <v>0.46588823199216628</v>
      </c>
      <c r="CL105" s="39">
        <f t="shared" si="274"/>
        <v>0.53783847666121265</v>
      </c>
      <c r="CM105" s="39">
        <f t="shared" si="275"/>
        <v>0.58248150857572689</v>
      </c>
      <c r="CN105" s="39">
        <f t="shared" si="276"/>
        <v>0.65042956844415789</v>
      </c>
      <c r="CO105" s="39">
        <f t="shared" si="277"/>
        <v>0.70381662708181214</v>
      </c>
      <c r="CP105" s="39">
        <f t="shared" si="278"/>
        <v>0.81103988596757581</v>
      </c>
      <c r="CQ105" s="39">
        <f t="shared" si="279"/>
        <v>0.90839218552806422</v>
      </c>
      <c r="CR105" s="39">
        <f t="shared" si="280"/>
        <v>1</v>
      </c>
    </row>
    <row r="106" spans="1:96">
      <c r="A106" s="193" t="s">
        <v>100</v>
      </c>
      <c r="B106" s="34">
        <v>2414.27</v>
      </c>
      <c r="C106" s="34">
        <v>4918.18</v>
      </c>
      <c r="D106" s="34">
        <v>3118.46</v>
      </c>
      <c r="E106" s="34">
        <v>3605.88</v>
      </c>
      <c r="F106" s="34">
        <v>433.91</v>
      </c>
      <c r="G106" s="34">
        <v>595.22</v>
      </c>
      <c r="H106" s="34">
        <v>167.02</v>
      </c>
      <c r="I106" s="34">
        <v>529.55999999999995</v>
      </c>
      <c r="J106" s="34">
        <v>792.14</v>
      </c>
      <c r="K106" s="34">
        <v>1256.74</v>
      </c>
      <c r="L106" s="34">
        <v>277.32</v>
      </c>
      <c r="M106" s="34">
        <v>2060.5700000000002</v>
      </c>
      <c r="N106" s="68">
        <f t="shared" si="245"/>
        <v>20169.27</v>
      </c>
      <c r="P106" s="85" t="s">
        <v>100</v>
      </c>
      <c r="Q106" s="34">
        <v>654.49000000000024</v>
      </c>
      <c r="R106" s="34">
        <v>2639.2900000000004</v>
      </c>
      <c r="S106" s="34">
        <v>1735.3999999999996</v>
      </c>
      <c r="T106" s="34">
        <v>371.05000000000018</v>
      </c>
      <c r="U106" s="34">
        <v>421.55999999999949</v>
      </c>
      <c r="V106" s="34">
        <v>469.4</v>
      </c>
      <c r="W106" s="34">
        <v>565.38999999999987</v>
      </c>
      <c r="X106" s="34">
        <v>2697.36</v>
      </c>
      <c r="Y106" s="34">
        <v>798.67</v>
      </c>
      <c r="Z106" s="34">
        <v>1137.1600000000001</v>
      </c>
      <c r="AA106" s="34">
        <v>677.9</v>
      </c>
      <c r="AB106" s="34">
        <v>287.02999999999997</v>
      </c>
      <c r="AC106" s="68">
        <f t="shared" si="209"/>
        <v>12454.7</v>
      </c>
      <c r="AE106" s="85" t="s">
        <v>100</v>
      </c>
      <c r="AF106" s="34">
        <v>1398.0500000000004</v>
      </c>
      <c r="AG106" s="34">
        <v>1818.4500000000005</v>
      </c>
      <c r="AH106" s="34">
        <v>943.21999999999935</v>
      </c>
      <c r="AI106" s="34">
        <v>197.30000000000007</v>
      </c>
      <c r="AJ106" s="34">
        <v>377.05000000000018</v>
      </c>
      <c r="AK106" s="34">
        <v>673.69</v>
      </c>
      <c r="AL106" s="34">
        <v>1194.8599999999997</v>
      </c>
      <c r="AM106" s="34">
        <v>271.74000000000024</v>
      </c>
      <c r="AN106" s="34">
        <v>415.10999999999967</v>
      </c>
      <c r="AO106" s="34">
        <v>1281.9099999999999</v>
      </c>
      <c r="AP106" s="34">
        <v>837.31</v>
      </c>
      <c r="AQ106" s="34">
        <v>185.38</v>
      </c>
      <c r="AR106" s="68">
        <f t="shared" si="210"/>
        <v>9594.07</v>
      </c>
      <c r="AT106" s="39">
        <f t="shared" si="281"/>
        <v>0.1197004155331353</v>
      </c>
      <c r="AU106" s="39">
        <f t="shared" si="282"/>
        <v>0.36354563154739861</v>
      </c>
      <c r="AV106" s="39">
        <f t="shared" si="283"/>
        <v>0.51816005239654184</v>
      </c>
      <c r="AW106" s="39">
        <f t="shared" si="284"/>
        <v>0.69694094035133647</v>
      </c>
      <c r="AX106" s="39">
        <f t="shared" si="285"/>
        <v>0.71845436151134867</v>
      </c>
      <c r="AY106" s="39">
        <f t="shared" si="286"/>
        <v>0.74796559320193545</v>
      </c>
      <c r="AZ106" s="39">
        <f t="shared" si="287"/>
        <v>0.75624650768223145</v>
      </c>
      <c r="BA106" s="39">
        <f t="shared" si="288"/>
        <v>0.78250229185290299</v>
      </c>
      <c r="BB106" s="39">
        <f t="shared" si="289"/>
        <v>0.82177689128064624</v>
      </c>
      <c r="BC106" s="39">
        <f t="shared" si="290"/>
        <v>0.88408653362268441</v>
      </c>
      <c r="BD106" s="39">
        <f t="shared" si="291"/>
        <v>0.89783616362912488</v>
      </c>
      <c r="BE106" s="39">
        <f t="shared" si="292"/>
        <v>1</v>
      </c>
      <c r="BG106" s="39">
        <f t="shared" si="246"/>
        <v>5.2549639894979419E-2</v>
      </c>
      <c r="BH106" s="39">
        <f t="shared" si="247"/>
        <v>0.26446080596080196</v>
      </c>
      <c r="BI106" s="39">
        <f t="shared" si="248"/>
        <v>0.40379776309345067</v>
      </c>
      <c r="BJ106" s="39">
        <f t="shared" si="249"/>
        <v>0.43358972917854305</v>
      </c>
      <c r="BK106" s="39">
        <f t="shared" si="250"/>
        <v>0.46743719238520393</v>
      </c>
      <c r="BL106" s="39">
        <f t="shared" si="251"/>
        <v>0.50512577581154094</v>
      </c>
      <c r="BM106" s="39">
        <f t="shared" si="252"/>
        <v>0.55052148987932259</v>
      </c>
      <c r="BN106" s="39">
        <f t="shared" si="253"/>
        <v>0.76709515283386998</v>
      </c>
      <c r="BO106" s="39">
        <f t="shared" si="254"/>
        <v>0.83122114543104209</v>
      </c>
      <c r="BP106" s="39">
        <f t="shared" si="255"/>
        <v>0.92252482998386154</v>
      </c>
      <c r="BQ106" s="39">
        <f t="shared" si="256"/>
        <v>0.97695408159168817</v>
      </c>
      <c r="BR106" s="39">
        <f t="shared" si="257"/>
        <v>1</v>
      </c>
      <c r="BS106" s="61"/>
      <c r="BT106" s="39">
        <f t="shared" si="258"/>
        <v>0.14572022092813586</v>
      </c>
      <c r="BU106" s="39">
        <f t="shared" si="259"/>
        <v>0.33525917572000213</v>
      </c>
      <c r="BV106" s="39">
        <f t="shared" si="260"/>
        <v>0.4335719876965668</v>
      </c>
      <c r="BW106" s="39">
        <f t="shared" si="261"/>
        <v>0.45413677406981612</v>
      </c>
      <c r="BX106" s="39">
        <f t="shared" si="262"/>
        <v>0.49343709187029078</v>
      </c>
      <c r="BY106" s="39">
        <f t="shared" si="263"/>
        <v>0.56365650865586769</v>
      </c>
      <c r="BZ106" s="39">
        <f t="shared" si="264"/>
        <v>0.68819802232003724</v>
      </c>
      <c r="CA106" s="39">
        <f t="shared" si="265"/>
        <v>0.71652176813385782</v>
      </c>
      <c r="CB106" s="39">
        <f t="shared" si="266"/>
        <v>0.75978911973750463</v>
      </c>
      <c r="CC106" s="39">
        <f t="shared" si="267"/>
        <v>0.89340394639605525</v>
      </c>
      <c r="CD106" s="39">
        <f t="shared" si="268"/>
        <v>0.98067764775533228</v>
      </c>
      <c r="CE106" s="39">
        <f t="shared" si="269"/>
        <v>1</v>
      </c>
      <c r="CG106" s="39">
        <f t="shared" si="293"/>
        <v>0.1059900921187502</v>
      </c>
      <c r="CH106" s="39">
        <f t="shared" si="270"/>
        <v>0.32108853774273421</v>
      </c>
      <c r="CI106" s="39">
        <f t="shared" si="271"/>
        <v>0.45184326772885308</v>
      </c>
      <c r="CJ106" s="39">
        <f t="shared" si="272"/>
        <v>0.52822248119989856</v>
      </c>
      <c r="CK106" s="39">
        <f t="shared" si="273"/>
        <v>0.5597762152556145</v>
      </c>
      <c r="CL106" s="39">
        <f t="shared" si="274"/>
        <v>0.6055826258897814</v>
      </c>
      <c r="CM106" s="39">
        <f t="shared" si="275"/>
        <v>0.6649886732938638</v>
      </c>
      <c r="CN106" s="39">
        <f t="shared" si="276"/>
        <v>0.75537307094021033</v>
      </c>
      <c r="CO106" s="39">
        <f t="shared" si="277"/>
        <v>0.80426238548306428</v>
      </c>
      <c r="CP106" s="39">
        <f t="shared" si="278"/>
        <v>0.90000510333420036</v>
      </c>
      <c r="CQ106" s="39">
        <f t="shared" si="279"/>
        <v>0.95182263099204845</v>
      </c>
      <c r="CR106" s="39">
        <f t="shared" si="280"/>
        <v>1</v>
      </c>
    </row>
    <row r="107" spans="1:96">
      <c r="A107" s="193" t="s">
        <v>101</v>
      </c>
      <c r="B107" s="34">
        <v>3101.94</v>
      </c>
      <c r="C107" s="34">
        <v>4140.79</v>
      </c>
      <c r="D107" s="34">
        <v>2550.13</v>
      </c>
      <c r="E107" s="34">
        <v>943.91</v>
      </c>
      <c r="F107" s="34">
        <v>6159.93</v>
      </c>
      <c r="G107" s="34">
        <v>1311.39</v>
      </c>
      <c r="H107" s="34">
        <v>3420.16</v>
      </c>
      <c r="I107" s="34">
        <v>3753.85</v>
      </c>
      <c r="J107" s="34">
        <v>2263.2199999999998</v>
      </c>
      <c r="K107" s="34">
        <v>2897.05</v>
      </c>
      <c r="L107" s="34">
        <v>1455.22</v>
      </c>
      <c r="M107" s="34">
        <v>1818.54</v>
      </c>
      <c r="N107" s="68">
        <f t="shared" si="245"/>
        <v>33816.129999999997</v>
      </c>
      <c r="P107" s="85" t="s">
        <v>101</v>
      </c>
      <c r="Q107" s="34">
        <v>4175.01</v>
      </c>
      <c r="R107" s="34">
        <v>2560.0800000000017</v>
      </c>
      <c r="S107" s="34">
        <v>5648.0199999999995</v>
      </c>
      <c r="T107" s="34">
        <v>1397.79</v>
      </c>
      <c r="U107" s="34">
        <v>2736.5900000000011</v>
      </c>
      <c r="V107" s="34">
        <v>1161.18</v>
      </c>
      <c r="W107" s="34">
        <v>3231.9300000000003</v>
      </c>
      <c r="X107" s="34">
        <v>2043.09</v>
      </c>
      <c r="Y107" s="34">
        <v>1423.33</v>
      </c>
      <c r="Z107" s="34">
        <v>3013.39</v>
      </c>
      <c r="AA107" s="34">
        <v>2029.28</v>
      </c>
      <c r="AB107" s="34">
        <v>4256.68</v>
      </c>
      <c r="AC107" s="68">
        <f t="shared" si="209"/>
        <v>33676.370000000003</v>
      </c>
      <c r="AE107" s="85" t="s">
        <v>101</v>
      </c>
      <c r="AF107" s="34">
        <v>1162.5900000000001</v>
      </c>
      <c r="AG107" s="34">
        <v>779.69000000000051</v>
      </c>
      <c r="AH107" s="34">
        <v>2575.91</v>
      </c>
      <c r="AI107" s="34">
        <v>441.59000000000015</v>
      </c>
      <c r="AJ107" s="34">
        <v>1764.62</v>
      </c>
      <c r="AK107" s="34">
        <v>2908.9199999999992</v>
      </c>
      <c r="AL107" s="34">
        <v>2942.5499999999997</v>
      </c>
      <c r="AM107" s="34">
        <v>1818.6499999999996</v>
      </c>
      <c r="AN107" s="34">
        <v>1308.23</v>
      </c>
      <c r="AO107" s="34">
        <v>1942.5300000000002</v>
      </c>
      <c r="AP107" s="34">
        <v>3209.8999999999996</v>
      </c>
      <c r="AQ107" s="34">
        <v>363.34999999999968</v>
      </c>
      <c r="AR107" s="68">
        <f t="shared" si="210"/>
        <v>21218.53</v>
      </c>
      <c r="AT107" s="39">
        <f t="shared" si="281"/>
        <v>9.1729597680160341E-2</v>
      </c>
      <c r="AU107" s="39">
        <f t="shared" si="282"/>
        <v>0.2141797420343487</v>
      </c>
      <c r="AV107" s="39">
        <f t="shared" si="283"/>
        <v>0.28959138730540723</v>
      </c>
      <c r="AW107" s="39">
        <f t="shared" si="284"/>
        <v>0.31750439804909675</v>
      </c>
      <c r="AX107" s="39">
        <f t="shared" si="285"/>
        <v>0.49966391778124825</v>
      </c>
      <c r="AY107" s="39">
        <f t="shared" si="286"/>
        <v>0.53844393193425744</v>
      </c>
      <c r="AZ107" s="39">
        <f t="shared" si="287"/>
        <v>0.63958383173946876</v>
      </c>
      <c r="BA107" s="39">
        <f t="shared" si="288"/>
        <v>0.75059150766217186</v>
      </c>
      <c r="BB107" s="39">
        <f t="shared" si="289"/>
        <v>0.81751874031712091</v>
      </c>
      <c r="BC107" s="39">
        <f t="shared" si="290"/>
        <v>0.90318939512002117</v>
      </c>
      <c r="BD107" s="39">
        <f t="shared" si="291"/>
        <v>0.94622270496357808</v>
      </c>
      <c r="BE107" s="39">
        <f t="shared" si="292"/>
        <v>1</v>
      </c>
      <c r="BG107" s="39">
        <f t="shared" si="246"/>
        <v>0.12397446636914845</v>
      </c>
      <c r="BH107" s="39">
        <f t="shared" si="247"/>
        <v>0.1999945362282218</v>
      </c>
      <c r="BI107" s="39">
        <f t="shared" si="248"/>
        <v>0.36770916817934951</v>
      </c>
      <c r="BJ107" s="39">
        <f t="shared" si="249"/>
        <v>0.40921572010284957</v>
      </c>
      <c r="BK107" s="39">
        <f t="shared" si="250"/>
        <v>0.49047715059550662</v>
      </c>
      <c r="BL107" s="39">
        <f t="shared" si="251"/>
        <v>0.52495770773393924</v>
      </c>
      <c r="BM107" s="39">
        <f t="shared" si="252"/>
        <v>0.6209279681865949</v>
      </c>
      <c r="BN107" s="39">
        <f t="shared" si="253"/>
        <v>0.68159632406936976</v>
      </c>
      <c r="BO107" s="39">
        <f t="shared" si="254"/>
        <v>0.7238612712712208</v>
      </c>
      <c r="BP107" s="39">
        <f t="shared" si="255"/>
        <v>0.81334211496072772</v>
      </c>
      <c r="BQ107" s="39">
        <f t="shared" si="256"/>
        <v>0.87360039101601505</v>
      </c>
      <c r="BR107" s="39">
        <f t="shared" si="257"/>
        <v>1</v>
      </c>
      <c r="BS107" s="61"/>
      <c r="BT107" s="39">
        <f t="shared" si="258"/>
        <v>5.4791260280518971E-2</v>
      </c>
      <c r="BU107" s="39">
        <f t="shared" si="259"/>
        <v>9.1536972636653002E-2</v>
      </c>
      <c r="BV107" s="39">
        <f t="shared" si="260"/>
        <v>0.21293605164919535</v>
      </c>
      <c r="BW107" s="39">
        <f t="shared" si="261"/>
        <v>0.23374757817813019</v>
      </c>
      <c r="BX107" s="39">
        <f t="shared" si="262"/>
        <v>0.31691168049813068</v>
      </c>
      <c r="BY107" s="39">
        <f t="shared" si="263"/>
        <v>0.45400506067102669</v>
      </c>
      <c r="BZ107" s="39">
        <f t="shared" si="264"/>
        <v>0.59268337627535927</v>
      </c>
      <c r="CA107" s="39">
        <f t="shared" si="265"/>
        <v>0.67839383783890772</v>
      </c>
      <c r="CB107" s="39">
        <f t="shared" si="266"/>
        <v>0.74004891008001017</v>
      </c>
      <c r="CC107" s="39">
        <f t="shared" si="267"/>
        <v>0.83159766487122344</v>
      </c>
      <c r="CD107" s="39">
        <f t="shared" si="268"/>
        <v>0.98287581656222189</v>
      </c>
      <c r="CE107" s="39">
        <f t="shared" si="269"/>
        <v>1</v>
      </c>
      <c r="CG107" s="39">
        <f t="shared" si="293"/>
        <v>9.0165108109942591E-2</v>
      </c>
      <c r="CH107" s="39">
        <f t="shared" si="270"/>
        <v>0.16857041696640782</v>
      </c>
      <c r="CI107" s="39">
        <f t="shared" si="271"/>
        <v>0.29007886904465069</v>
      </c>
      <c r="CJ107" s="39">
        <f t="shared" si="272"/>
        <v>0.32015589877669215</v>
      </c>
      <c r="CK107" s="39">
        <f t="shared" si="273"/>
        <v>0.43568424962496183</v>
      </c>
      <c r="CL107" s="39">
        <f t="shared" si="274"/>
        <v>0.50580223344640773</v>
      </c>
      <c r="CM107" s="39">
        <f t="shared" si="275"/>
        <v>0.61773172540047439</v>
      </c>
      <c r="CN107" s="39">
        <f t="shared" si="276"/>
        <v>0.70352722319014982</v>
      </c>
      <c r="CO107" s="39">
        <f t="shared" si="277"/>
        <v>0.76047630722278392</v>
      </c>
      <c r="CP107" s="39">
        <f t="shared" si="278"/>
        <v>0.84937639165065748</v>
      </c>
      <c r="CQ107" s="39">
        <f t="shared" si="279"/>
        <v>0.93423297084727164</v>
      </c>
      <c r="CR107" s="39">
        <f t="shared" si="280"/>
        <v>1</v>
      </c>
    </row>
    <row r="108" spans="1:96">
      <c r="A108" s="193" t="s">
        <v>102</v>
      </c>
      <c r="B108" s="34">
        <v>24606</v>
      </c>
      <c r="C108" s="34">
        <v>17504.55</v>
      </c>
      <c r="D108" s="34">
        <v>13606.57</v>
      </c>
      <c r="E108" s="34">
        <v>21930.38</v>
      </c>
      <c r="F108" s="34">
        <v>16251.56</v>
      </c>
      <c r="G108" s="34">
        <v>12078.02</v>
      </c>
      <c r="H108" s="34">
        <v>14001.57</v>
      </c>
      <c r="I108" s="34">
        <v>15062.7</v>
      </c>
      <c r="J108" s="34">
        <v>14109.6</v>
      </c>
      <c r="K108" s="34">
        <v>16612.87</v>
      </c>
      <c r="L108" s="34">
        <v>12147.45</v>
      </c>
      <c r="M108" s="34">
        <v>34691.54</v>
      </c>
      <c r="N108" s="68">
        <f t="shared" si="245"/>
        <v>212602.81000000003</v>
      </c>
      <c r="P108" s="85" t="s">
        <v>102</v>
      </c>
      <c r="Q108" s="34">
        <v>22366.500000000004</v>
      </c>
      <c r="R108" s="34">
        <v>16733.409999999993</v>
      </c>
      <c r="S108" s="34">
        <v>10133.200000000006</v>
      </c>
      <c r="T108" s="34">
        <v>13399.550000000005</v>
      </c>
      <c r="U108" s="34">
        <v>11648.550000000012</v>
      </c>
      <c r="V108" s="34">
        <v>11835.5</v>
      </c>
      <c r="W108" s="34">
        <v>11179.489999999996</v>
      </c>
      <c r="X108" s="34">
        <v>7201.43</v>
      </c>
      <c r="Y108" s="34">
        <v>6752.28</v>
      </c>
      <c r="Z108" s="34">
        <v>6533.66</v>
      </c>
      <c r="AA108" s="34">
        <v>7635.32</v>
      </c>
      <c r="AB108" s="34">
        <v>12257.55</v>
      </c>
      <c r="AC108" s="68">
        <f t="shared" si="209"/>
        <v>137676.44</v>
      </c>
      <c r="AE108" s="85" t="s">
        <v>102</v>
      </c>
      <c r="AF108" s="34">
        <v>12719.08</v>
      </c>
      <c r="AG108" s="34">
        <v>9953.09</v>
      </c>
      <c r="AH108" s="34">
        <v>11727.56</v>
      </c>
      <c r="AI108" s="34">
        <v>5938.340000000002</v>
      </c>
      <c r="AJ108" s="34">
        <v>7960.2700000000023</v>
      </c>
      <c r="AK108" s="34">
        <v>8482.3599999999988</v>
      </c>
      <c r="AL108" s="34">
        <v>6685.43</v>
      </c>
      <c r="AM108" s="34">
        <v>6524.4300000000021</v>
      </c>
      <c r="AN108" s="34">
        <v>9387.68</v>
      </c>
      <c r="AO108" s="34">
        <v>7332.37</v>
      </c>
      <c r="AP108" s="34">
        <v>6150.27</v>
      </c>
      <c r="AQ108" s="34">
        <v>8934.5800000000017</v>
      </c>
      <c r="AR108" s="68">
        <f t="shared" si="210"/>
        <v>101795.46000000002</v>
      </c>
      <c r="AT108" s="39">
        <f t="shared" si="281"/>
        <v>0.11573694628024905</v>
      </c>
      <c r="AU108" s="39">
        <f t="shared" si="282"/>
        <v>0.19807146481271812</v>
      </c>
      <c r="AV108" s="39">
        <f t="shared" si="283"/>
        <v>0.26207141852922827</v>
      </c>
      <c r="AW108" s="39">
        <f t="shared" si="284"/>
        <v>0.36522330067039088</v>
      </c>
      <c r="AX108" s="39">
        <f t="shared" si="285"/>
        <v>0.44166424705299046</v>
      </c>
      <c r="AY108" s="39">
        <f t="shared" si="286"/>
        <v>0.49847450275939431</v>
      </c>
      <c r="AZ108" s="39">
        <f t="shared" si="287"/>
        <v>0.56433238111951567</v>
      </c>
      <c r="BA108" s="39">
        <f t="shared" si="288"/>
        <v>0.63518139764944781</v>
      </c>
      <c r="BB108" s="39">
        <f t="shared" si="289"/>
        <v>0.70154740664058013</v>
      </c>
      <c r="BC108" s="39">
        <f t="shared" si="290"/>
        <v>0.77968781315731428</v>
      </c>
      <c r="BD108" s="39">
        <f t="shared" si="291"/>
        <v>0.83682464027639147</v>
      </c>
      <c r="BE108" s="39">
        <f t="shared" si="292"/>
        <v>1</v>
      </c>
      <c r="BG108" s="39">
        <f t="shared" si="246"/>
        <v>0.16245698973622505</v>
      </c>
      <c r="BH108" s="39">
        <f t="shared" si="247"/>
        <v>0.28399855487256931</v>
      </c>
      <c r="BI108" s="39">
        <f t="shared" si="248"/>
        <v>0.3576001093578538</v>
      </c>
      <c r="BJ108" s="39">
        <f t="shared" si="249"/>
        <v>0.45492649286980402</v>
      </c>
      <c r="BK108" s="39">
        <f t="shared" si="250"/>
        <v>0.53953465095407771</v>
      </c>
      <c r="BL108" s="39">
        <f t="shared" si="251"/>
        <v>0.62550070295251692</v>
      </c>
      <c r="BM108" s="39">
        <f t="shared" si="252"/>
        <v>0.70670188741080175</v>
      </c>
      <c r="BN108" s="39">
        <f t="shared" si="253"/>
        <v>0.7590088035396616</v>
      </c>
      <c r="BO108" s="39">
        <f t="shared" si="254"/>
        <v>0.80805336047329523</v>
      </c>
      <c r="BP108" s="39">
        <f t="shared" si="255"/>
        <v>0.85550999139722095</v>
      </c>
      <c r="BQ108" s="39">
        <f t="shared" si="256"/>
        <v>0.91096842713248549</v>
      </c>
      <c r="BR108" s="39">
        <f t="shared" si="257"/>
        <v>1</v>
      </c>
      <c r="BS108" s="61"/>
      <c r="BT108" s="39">
        <f t="shared" si="258"/>
        <v>0.12494741906957341</v>
      </c>
      <c r="BU108" s="39">
        <f t="shared" si="259"/>
        <v>0.22272280119368776</v>
      </c>
      <c r="BV108" s="39">
        <f t="shared" si="260"/>
        <v>0.33792990375012782</v>
      </c>
      <c r="BW108" s="39">
        <f t="shared" si="261"/>
        <v>0.3962659041965132</v>
      </c>
      <c r="BX108" s="39">
        <f t="shared" si="262"/>
        <v>0.47446457828276423</v>
      </c>
      <c r="BY108" s="39">
        <f t="shared" si="263"/>
        <v>0.55779206656171099</v>
      </c>
      <c r="BZ108" s="39">
        <f t="shared" si="264"/>
        <v>0.62346719588476729</v>
      </c>
      <c r="CA108" s="39">
        <f t="shared" si="265"/>
        <v>0.68756072225617915</v>
      </c>
      <c r="CB108" s="39">
        <f t="shared" si="266"/>
        <v>0.77978173093377645</v>
      </c>
      <c r="CC108" s="39">
        <f t="shared" si="267"/>
        <v>0.85181215350861417</v>
      </c>
      <c r="CD108" s="39">
        <f t="shared" si="268"/>
        <v>0.91223007391488775</v>
      </c>
      <c r="CE108" s="39">
        <f t="shared" si="269"/>
        <v>1</v>
      </c>
      <c r="CG108" s="39">
        <f t="shared" si="293"/>
        <v>0.13438045169534918</v>
      </c>
      <c r="CH108" s="39">
        <f t="shared" si="270"/>
        <v>0.23493094029299169</v>
      </c>
      <c r="CI108" s="39">
        <f t="shared" si="271"/>
        <v>0.3192004772124033</v>
      </c>
      <c r="CJ108" s="39">
        <f t="shared" si="272"/>
        <v>0.40547189924556931</v>
      </c>
      <c r="CK108" s="39">
        <f t="shared" si="273"/>
        <v>0.48522115876327748</v>
      </c>
      <c r="CL108" s="39">
        <f t="shared" si="274"/>
        <v>0.560589090757874</v>
      </c>
      <c r="CM108" s="39">
        <f t="shared" si="275"/>
        <v>0.63150048813836157</v>
      </c>
      <c r="CN108" s="39">
        <f t="shared" si="276"/>
        <v>0.69391697448176293</v>
      </c>
      <c r="CO108" s="39">
        <f t="shared" si="277"/>
        <v>0.76312749934921731</v>
      </c>
      <c r="CP108" s="39">
        <f t="shared" si="278"/>
        <v>0.82900331935438309</v>
      </c>
      <c r="CQ108" s="39">
        <f t="shared" si="279"/>
        <v>0.88667438044125479</v>
      </c>
      <c r="CR108" s="39">
        <f t="shared" si="280"/>
        <v>1</v>
      </c>
    </row>
    <row r="109" spans="1:96">
      <c r="A109" s="193" t="s">
        <v>103</v>
      </c>
      <c r="B109" s="34">
        <v>5572.06</v>
      </c>
      <c r="C109" s="34">
        <v>6982.89</v>
      </c>
      <c r="D109" s="34">
        <v>2401.0700000000002</v>
      </c>
      <c r="E109" s="34">
        <v>5399.05</v>
      </c>
      <c r="F109" s="34">
        <v>8836.82</v>
      </c>
      <c r="G109" s="34">
        <v>5206.8500000000004</v>
      </c>
      <c r="H109" s="34">
        <v>7258.89</v>
      </c>
      <c r="I109" s="34">
        <v>8467.34</v>
      </c>
      <c r="J109" s="34">
        <v>3646.74</v>
      </c>
      <c r="K109" s="34">
        <v>4080.03</v>
      </c>
      <c r="L109" s="34">
        <v>4025.77</v>
      </c>
      <c r="M109" s="34">
        <v>4310.3100000000004</v>
      </c>
      <c r="N109" s="68">
        <f t="shared" si="245"/>
        <v>66187.819999999992</v>
      </c>
      <c r="P109" s="85" t="s">
        <v>103</v>
      </c>
      <c r="Q109" s="34">
        <v>2397.7900000000009</v>
      </c>
      <c r="R109" s="34">
        <v>1752.4400000000026</v>
      </c>
      <c r="S109" s="34">
        <v>1621</v>
      </c>
      <c r="T109" s="34">
        <v>2022.4199999999992</v>
      </c>
      <c r="U109" s="34">
        <v>2923.7100000000005</v>
      </c>
      <c r="V109" s="34">
        <v>856.58</v>
      </c>
      <c r="W109" s="34">
        <v>3663.78</v>
      </c>
      <c r="X109" s="34">
        <v>1918.49</v>
      </c>
      <c r="Y109" s="34">
        <v>1736.1499999999999</v>
      </c>
      <c r="Z109" s="34">
        <v>337.83</v>
      </c>
      <c r="AA109" s="34">
        <v>2901.57</v>
      </c>
      <c r="AB109" s="34">
        <v>1316.75</v>
      </c>
      <c r="AC109" s="68">
        <f t="shared" si="209"/>
        <v>23448.510000000006</v>
      </c>
      <c r="AE109" s="85" t="s">
        <v>103</v>
      </c>
      <c r="AF109" s="34">
        <v>4757.28</v>
      </c>
      <c r="AG109" s="34">
        <v>3462.6899999999996</v>
      </c>
      <c r="AH109" s="34">
        <v>6104.3200000000015</v>
      </c>
      <c r="AI109" s="34">
        <v>4091.4599999999996</v>
      </c>
      <c r="AJ109" s="34">
        <v>3283.4100000000012</v>
      </c>
      <c r="AK109" s="34">
        <v>4588.9900000000007</v>
      </c>
      <c r="AL109" s="34">
        <v>2570.48</v>
      </c>
      <c r="AM109" s="34">
        <v>1780.9499999999996</v>
      </c>
      <c r="AN109" s="34">
        <v>1168.7300000000002</v>
      </c>
      <c r="AO109" s="34">
        <v>1192.6500000000003</v>
      </c>
      <c r="AP109" s="34">
        <v>836.58</v>
      </c>
      <c r="AQ109" s="34">
        <v>628.19000000000017</v>
      </c>
      <c r="AR109" s="68">
        <f t="shared" si="210"/>
        <v>34465.730000000003</v>
      </c>
      <c r="AT109" s="39">
        <f t="shared" si="281"/>
        <v>8.4185579763769239E-2</v>
      </c>
      <c r="AU109" s="39">
        <f t="shared" si="282"/>
        <v>0.18968671275168153</v>
      </c>
      <c r="AV109" s="39">
        <f t="shared" si="283"/>
        <v>0.22596332678731529</v>
      </c>
      <c r="AW109" s="39">
        <f t="shared" si="284"/>
        <v>0.30753498151170416</v>
      </c>
      <c r="AX109" s="39">
        <f t="shared" si="285"/>
        <v>0.44104625292085464</v>
      </c>
      <c r="AY109" s="39">
        <f t="shared" si="286"/>
        <v>0.51971405010770866</v>
      </c>
      <c r="AZ109" s="39">
        <f t="shared" si="287"/>
        <v>0.62938513460633694</v>
      </c>
      <c r="BA109" s="39">
        <f t="shared" si="288"/>
        <v>0.75731411005831595</v>
      </c>
      <c r="BB109" s="39">
        <f t="shared" si="289"/>
        <v>0.81241095416044828</v>
      </c>
      <c r="BC109" s="39">
        <f t="shared" si="290"/>
        <v>0.87405416887880583</v>
      </c>
      <c r="BD109" s="39">
        <f t="shared" si="291"/>
        <v>0.93487759530378856</v>
      </c>
      <c r="BE109" s="39">
        <f t="shared" si="292"/>
        <v>1</v>
      </c>
      <c r="BG109" s="39">
        <f t="shared" si="246"/>
        <v>0.10225767010355884</v>
      </c>
      <c r="BH109" s="39">
        <f t="shared" si="247"/>
        <v>0.17699333561066363</v>
      </c>
      <c r="BI109" s="39">
        <f t="shared" si="248"/>
        <v>0.24612352767830459</v>
      </c>
      <c r="BJ109" s="39">
        <f t="shared" si="249"/>
        <v>0.33237293115852568</v>
      </c>
      <c r="BK109" s="39">
        <f t="shared" si="250"/>
        <v>0.45705931848121695</v>
      </c>
      <c r="BL109" s="39">
        <f t="shared" si="251"/>
        <v>0.4935895713629565</v>
      </c>
      <c r="BM109" s="39">
        <f t="shared" si="252"/>
        <v>0.64983745235838009</v>
      </c>
      <c r="BN109" s="39">
        <f t="shared" si="253"/>
        <v>0.73165459127253707</v>
      </c>
      <c r="BO109" s="39">
        <f t="shared" si="254"/>
        <v>0.8056955431283267</v>
      </c>
      <c r="BP109" s="39">
        <f t="shared" si="255"/>
        <v>0.82010285514943171</v>
      </c>
      <c r="BQ109" s="39">
        <f t="shared" si="256"/>
        <v>0.94384504601784935</v>
      </c>
      <c r="BR109" s="39">
        <f t="shared" si="257"/>
        <v>1</v>
      </c>
      <c r="BS109" s="61"/>
      <c r="BT109" s="39">
        <f t="shared" si="258"/>
        <v>0.13802928300082429</v>
      </c>
      <c r="BU109" s="39">
        <f t="shared" si="259"/>
        <v>0.23849690692754799</v>
      </c>
      <c r="BV109" s="39">
        <f t="shared" si="260"/>
        <v>0.41560965051371318</v>
      </c>
      <c r="BW109" s="39">
        <f t="shared" si="261"/>
        <v>0.53432061354858862</v>
      </c>
      <c r="BX109" s="39">
        <f t="shared" si="262"/>
        <v>0.62958654872535702</v>
      </c>
      <c r="BY109" s="39">
        <f t="shared" si="263"/>
        <v>0.76273301044254682</v>
      </c>
      <c r="BZ109" s="39">
        <f t="shared" si="264"/>
        <v>0.83731376065442398</v>
      </c>
      <c r="CA109" s="39">
        <f t="shared" si="265"/>
        <v>0.88898682836545173</v>
      </c>
      <c r="CB109" s="39">
        <f t="shared" si="266"/>
        <v>0.92289674409913847</v>
      </c>
      <c r="CC109" s="39">
        <f t="shared" si="267"/>
        <v>0.95750068256206955</v>
      </c>
      <c r="CD109" s="39">
        <f t="shared" si="268"/>
        <v>0.98177348920217267</v>
      </c>
      <c r="CE109" s="39">
        <f t="shared" si="269"/>
        <v>1</v>
      </c>
      <c r="CG109" s="39">
        <f t="shared" si="293"/>
        <v>0.10815751095605079</v>
      </c>
      <c r="CH109" s="39">
        <f t="shared" si="270"/>
        <v>0.20172565176329771</v>
      </c>
      <c r="CI109" s="39">
        <f t="shared" si="271"/>
        <v>0.29589883499311104</v>
      </c>
      <c r="CJ109" s="39">
        <f t="shared" si="272"/>
        <v>0.39140950873960617</v>
      </c>
      <c r="CK109" s="39">
        <f t="shared" si="273"/>
        <v>0.50923070670914283</v>
      </c>
      <c r="CL109" s="39">
        <f t="shared" si="274"/>
        <v>0.59201221063773735</v>
      </c>
      <c r="CM109" s="39">
        <f t="shared" si="275"/>
        <v>0.70551211587304696</v>
      </c>
      <c r="CN109" s="39">
        <f t="shared" si="276"/>
        <v>0.79265184323210158</v>
      </c>
      <c r="CO109" s="39">
        <f t="shared" si="277"/>
        <v>0.84700108046263789</v>
      </c>
      <c r="CP109" s="39">
        <f t="shared" si="278"/>
        <v>0.8838859021967691</v>
      </c>
      <c r="CQ109" s="39">
        <f t="shared" si="279"/>
        <v>0.95349871017460341</v>
      </c>
      <c r="CR109" s="39">
        <f t="shared" si="280"/>
        <v>1</v>
      </c>
    </row>
    <row r="110" spans="1:96">
      <c r="A110" s="193" t="s">
        <v>104</v>
      </c>
      <c r="B110" s="34">
        <v>1170.32</v>
      </c>
      <c r="C110" s="34">
        <v>168.62</v>
      </c>
      <c r="D110" s="34">
        <v>230.9</v>
      </c>
      <c r="E110" s="34">
        <v>307.16000000000003</v>
      </c>
      <c r="F110" s="34">
        <v>710.25</v>
      </c>
      <c r="G110" s="34">
        <v>2394.4899999999998</v>
      </c>
      <c r="H110" s="34">
        <v>446.11</v>
      </c>
      <c r="I110" s="34">
        <v>1847.63</v>
      </c>
      <c r="J110" s="34">
        <v>653.55999999999995</v>
      </c>
      <c r="K110" s="34">
        <v>713.01</v>
      </c>
      <c r="L110" s="34">
        <v>1599.18</v>
      </c>
      <c r="M110" s="34">
        <v>911.94</v>
      </c>
      <c r="N110" s="68">
        <f t="shared" si="245"/>
        <v>11153.17</v>
      </c>
      <c r="P110" s="85" t="s">
        <v>104</v>
      </c>
      <c r="Q110" s="34">
        <v>671.94999999999982</v>
      </c>
      <c r="R110" s="34">
        <v>993.20000000000073</v>
      </c>
      <c r="S110" s="34">
        <v>854.64000000000033</v>
      </c>
      <c r="T110" s="34">
        <v>1848.9099999999999</v>
      </c>
      <c r="U110" s="34">
        <v>306.94999999999982</v>
      </c>
      <c r="V110" s="34">
        <v>1050.18</v>
      </c>
      <c r="W110" s="34">
        <v>628.32000000000016</v>
      </c>
      <c r="X110" s="34">
        <v>680.68</v>
      </c>
      <c r="Y110" s="34">
        <v>411.68</v>
      </c>
      <c r="Z110" s="34">
        <v>985.39</v>
      </c>
      <c r="AA110" s="34">
        <v>494.42</v>
      </c>
      <c r="AB110" s="34">
        <v>233.66</v>
      </c>
      <c r="AC110" s="68">
        <f t="shared" si="209"/>
        <v>9159.9800000000014</v>
      </c>
      <c r="AE110" s="85" t="s">
        <v>104</v>
      </c>
      <c r="AF110" s="34">
        <v>1445.6200000000003</v>
      </c>
      <c r="AG110" s="34">
        <v>649.54999999999995</v>
      </c>
      <c r="AH110" s="34">
        <v>197.37999999999988</v>
      </c>
      <c r="AI110" s="34">
        <v>466.89000000000021</v>
      </c>
      <c r="AJ110" s="34">
        <v>571.0599999999996</v>
      </c>
      <c r="AK110" s="34">
        <v>92.049999999999955</v>
      </c>
      <c r="AL110" s="34">
        <v>310.84000000000009</v>
      </c>
      <c r="AM110" s="34">
        <v>0</v>
      </c>
      <c r="AN110" s="34">
        <v>357.73</v>
      </c>
      <c r="AO110" s="34">
        <v>308.96999999999991</v>
      </c>
      <c r="AP110" s="34">
        <v>357.74</v>
      </c>
      <c r="AQ110" s="34">
        <v>0</v>
      </c>
      <c r="AR110" s="68">
        <f t="shared" si="210"/>
        <v>4757.83</v>
      </c>
      <c r="AT110" s="39">
        <f t="shared" si="281"/>
        <v>0.10493160240541478</v>
      </c>
      <c r="AU110" s="39">
        <f t="shared" si="282"/>
        <v>0.12005017407606985</v>
      </c>
      <c r="AV110" s="39">
        <f t="shared" si="283"/>
        <v>0.14075280839438475</v>
      </c>
      <c r="AW110" s="39">
        <f t="shared" si="284"/>
        <v>0.16829296065602875</v>
      </c>
      <c r="AX110" s="39">
        <f t="shared" si="285"/>
        <v>0.23197440727613763</v>
      </c>
      <c r="AY110" s="39">
        <f t="shared" si="286"/>
        <v>0.44666583581170194</v>
      </c>
      <c r="AZ110" s="39">
        <f t="shared" si="287"/>
        <v>0.48666432951349253</v>
      </c>
      <c r="BA110" s="39">
        <f t="shared" si="288"/>
        <v>0.65232395812132327</v>
      </c>
      <c r="BB110" s="39">
        <f t="shared" si="289"/>
        <v>0.71092254489082463</v>
      </c>
      <c r="BC110" s="39">
        <f t="shared" si="290"/>
        <v>0.77485145478819017</v>
      </c>
      <c r="BD110" s="39">
        <f t="shared" si="291"/>
        <v>0.91823490541254182</v>
      </c>
      <c r="BE110" s="39">
        <f t="shared" si="292"/>
        <v>1</v>
      </c>
      <c r="BG110" s="39">
        <f t="shared" si="246"/>
        <v>7.3357147068006667E-2</v>
      </c>
      <c r="BH110" s="39">
        <f t="shared" si="247"/>
        <v>0.18178533140902059</v>
      </c>
      <c r="BI110" s="39">
        <f t="shared" si="248"/>
        <v>0.27508684516778426</v>
      </c>
      <c r="BJ110" s="39">
        <f t="shared" si="249"/>
        <v>0.47693335574968504</v>
      </c>
      <c r="BK110" s="39">
        <f t="shared" si="250"/>
        <v>0.51044325424291315</v>
      </c>
      <c r="BL110" s="39">
        <f t="shared" si="251"/>
        <v>0.6250919761833541</v>
      </c>
      <c r="BM110" s="39">
        <f t="shared" si="252"/>
        <v>0.69368601241487438</v>
      </c>
      <c r="BN110" s="39">
        <f t="shared" si="253"/>
        <v>0.76799621833235454</v>
      </c>
      <c r="BO110" s="39">
        <f t="shared" si="254"/>
        <v>0.81293954790294309</v>
      </c>
      <c r="BP110" s="39">
        <f t="shared" si="255"/>
        <v>0.92051511029500066</v>
      </c>
      <c r="BQ110" s="39">
        <f t="shared" si="256"/>
        <v>0.97449121067949929</v>
      </c>
      <c r="BR110" s="39">
        <f t="shared" si="257"/>
        <v>1</v>
      </c>
      <c r="BS110" s="61"/>
      <c r="BT110" s="39">
        <f t="shared" si="258"/>
        <v>0.30384019605576501</v>
      </c>
      <c r="BU110" s="39">
        <f t="shared" si="259"/>
        <v>0.44036251820682959</v>
      </c>
      <c r="BV110" s="39">
        <f t="shared" si="260"/>
        <v>0.48184781717715852</v>
      </c>
      <c r="BW110" s="39">
        <f t="shared" si="261"/>
        <v>0.57997868776311901</v>
      </c>
      <c r="BX110" s="39">
        <f t="shared" si="262"/>
        <v>0.70000399341716713</v>
      </c>
      <c r="BY110" s="39">
        <f t="shared" si="263"/>
        <v>0.7193510486923661</v>
      </c>
      <c r="BZ110" s="39">
        <f t="shared" si="264"/>
        <v>0.78468335354562913</v>
      </c>
      <c r="CA110" s="39">
        <f t="shared" si="265"/>
        <v>0.78468335354562913</v>
      </c>
      <c r="CB110" s="39">
        <f t="shared" si="266"/>
        <v>0.85987099160751868</v>
      </c>
      <c r="CC110" s="39">
        <f t="shared" si="267"/>
        <v>0.92481026013960155</v>
      </c>
      <c r="CD110" s="39">
        <f t="shared" si="268"/>
        <v>1</v>
      </c>
      <c r="CE110" s="39">
        <f t="shared" si="269"/>
        <v>1</v>
      </c>
      <c r="CG110" s="39">
        <f t="shared" si="293"/>
        <v>0.16070964850972883</v>
      </c>
      <c r="CH110" s="39">
        <f t="shared" si="270"/>
        <v>0.24739934123064</v>
      </c>
      <c r="CI110" s="39">
        <f t="shared" si="271"/>
        <v>0.2992291569131092</v>
      </c>
      <c r="CJ110" s="39">
        <f t="shared" si="272"/>
        <v>0.40840166805627759</v>
      </c>
      <c r="CK110" s="39">
        <f t="shared" si="273"/>
        <v>0.48080721831207263</v>
      </c>
      <c r="CL110" s="39">
        <f t="shared" si="274"/>
        <v>0.59703628689580734</v>
      </c>
      <c r="CM110" s="39">
        <f t="shared" si="275"/>
        <v>0.65501123182466536</v>
      </c>
      <c r="CN110" s="39">
        <f t="shared" si="276"/>
        <v>0.73500117666643561</v>
      </c>
      <c r="CO110" s="39">
        <f t="shared" si="277"/>
        <v>0.79457769480042872</v>
      </c>
      <c r="CP110" s="39">
        <f t="shared" si="278"/>
        <v>0.87339227507426409</v>
      </c>
      <c r="CQ110" s="39">
        <f t="shared" si="279"/>
        <v>0.96424203869734704</v>
      </c>
      <c r="CR110" s="39">
        <f t="shared" si="280"/>
        <v>1</v>
      </c>
    </row>
    <row r="111" spans="1:96">
      <c r="A111" s="193" t="s">
        <v>105</v>
      </c>
      <c r="B111" s="34">
        <v>22949.69</v>
      </c>
      <c r="C111" s="34">
        <v>22327.129999999997</v>
      </c>
      <c r="D111" s="34">
        <v>10686.980000000001</v>
      </c>
      <c r="E111" s="34">
        <v>14450.2</v>
      </c>
      <c r="F111" s="34">
        <v>7653.25</v>
      </c>
      <c r="G111" s="34">
        <v>20683.560000000001</v>
      </c>
      <c r="H111" s="34">
        <v>61476.39</v>
      </c>
      <c r="I111" s="34">
        <v>55353.409999999996</v>
      </c>
      <c r="J111" s="34">
        <v>32918.18</v>
      </c>
      <c r="K111" s="34">
        <v>36380.86</v>
      </c>
      <c r="L111" s="34">
        <v>22376.83</v>
      </c>
      <c r="M111" s="34">
        <v>22732.45</v>
      </c>
      <c r="N111" s="68">
        <f t="shared" si="245"/>
        <v>329988.93000000005</v>
      </c>
      <c r="P111" s="85" t="s">
        <v>105</v>
      </c>
      <c r="Q111" s="34">
        <v>29500.19</v>
      </c>
      <c r="R111" s="34">
        <v>22511.47</v>
      </c>
      <c r="S111" s="34">
        <v>16513.239999999991</v>
      </c>
      <c r="T111" s="34">
        <v>12906.880000000003</v>
      </c>
      <c r="U111" s="34">
        <v>13672.160000000002</v>
      </c>
      <c r="V111" s="34">
        <v>6618.6</v>
      </c>
      <c r="W111" s="34">
        <v>8775.2200000000012</v>
      </c>
      <c r="X111" s="34">
        <v>11864.24</v>
      </c>
      <c r="Y111" s="34">
        <v>6028.1</v>
      </c>
      <c r="Z111" s="34">
        <v>10408.480000000001</v>
      </c>
      <c r="AA111" s="34">
        <v>6150.7800000000007</v>
      </c>
      <c r="AB111" s="34">
        <v>8234.880000000001</v>
      </c>
      <c r="AC111" s="68">
        <f t="shared" si="209"/>
        <v>153184.24000000002</v>
      </c>
      <c r="AE111" s="85" t="s">
        <v>105</v>
      </c>
      <c r="AF111" s="34">
        <v>13207.139999999996</v>
      </c>
      <c r="AG111" s="34">
        <v>11923.710000000017</v>
      </c>
      <c r="AH111" s="34">
        <v>9534.7400000000052</v>
      </c>
      <c r="AI111" s="34">
        <v>18162.390000000007</v>
      </c>
      <c r="AJ111" s="34">
        <v>13957.430000000002</v>
      </c>
      <c r="AK111" s="34">
        <v>37185.240000000005</v>
      </c>
      <c r="AL111" s="34">
        <v>16613.89</v>
      </c>
      <c r="AM111" s="34">
        <v>18569.64</v>
      </c>
      <c r="AN111" s="34">
        <v>20804.529999999995</v>
      </c>
      <c r="AO111" s="34">
        <v>21544.690000000002</v>
      </c>
      <c r="AP111" s="34">
        <v>19148.45</v>
      </c>
      <c r="AQ111" s="34">
        <v>23740.260000000002</v>
      </c>
      <c r="AR111" s="68">
        <f t="shared" si="210"/>
        <v>224392.11000000007</v>
      </c>
      <c r="AT111" s="39">
        <f t="shared" si="281"/>
        <v>6.954684813214794E-2</v>
      </c>
      <c r="AU111" s="39">
        <f t="shared" si="282"/>
        <v>0.13720708752260261</v>
      </c>
      <c r="AV111" s="39">
        <f t="shared" si="283"/>
        <v>0.16959296180026398</v>
      </c>
      <c r="AW111" s="39">
        <f t="shared" si="284"/>
        <v>0.21338291560265366</v>
      </c>
      <c r="AX111" s="39">
        <f t="shared" si="285"/>
        <v>0.23657536027041873</v>
      </c>
      <c r="AY111" s="39">
        <f t="shared" si="286"/>
        <v>0.2992549174301089</v>
      </c>
      <c r="AZ111" s="39">
        <f t="shared" si="287"/>
        <v>0.48555325780170866</v>
      </c>
      <c r="BA111" s="39">
        <f t="shared" si="288"/>
        <v>0.65329649088531538</v>
      </c>
      <c r="BB111" s="39">
        <f t="shared" si="289"/>
        <v>0.75305189783184534</v>
      </c>
      <c r="BC111" s="39">
        <f t="shared" si="290"/>
        <v>0.86330062647859118</v>
      </c>
      <c r="BD111" s="39">
        <f t="shared" si="291"/>
        <v>0.93111147698197028</v>
      </c>
      <c r="BE111" s="39">
        <f t="shared" si="292"/>
        <v>1</v>
      </c>
      <c r="BG111" s="39">
        <f t="shared" si="246"/>
        <v>0.19257979802621988</v>
      </c>
      <c r="BH111" s="39">
        <f t="shared" si="247"/>
        <v>0.33953662596099965</v>
      </c>
      <c r="BI111" s="39">
        <f t="shared" si="248"/>
        <v>0.44733648840115658</v>
      </c>
      <c r="BJ111" s="39">
        <f t="shared" si="249"/>
        <v>0.53159372008504258</v>
      </c>
      <c r="BK111" s="39">
        <f t="shared" si="250"/>
        <v>0.62084676595973576</v>
      </c>
      <c r="BL111" s="39">
        <f t="shared" si="251"/>
        <v>0.6640535606012733</v>
      </c>
      <c r="BM111" s="39">
        <f t="shared" si="252"/>
        <v>0.72133895758467059</v>
      </c>
      <c r="BN111" s="39">
        <f t="shared" si="253"/>
        <v>0.79878974495026378</v>
      </c>
      <c r="BO111" s="39">
        <f t="shared" si="254"/>
        <v>0.83814170439465574</v>
      </c>
      <c r="BP111" s="39">
        <f t="shared" si="255"/>
        <v>0.90608916426389552</v>
      </c>
      <c r="BQ111" s="39">
        <f t="shared" si="256"/>
        <v>0.94624198938480875</v>
      </c>
      <c r="BR111" s="39">
        <f t="shared" si="257"/>
        <v>1</v>
      </c>
      <c r="BS111" s="61"/>
      <c r="BT111" s="39">
        <f t="shared" si="258"/>
        <v>5.8857417045545812E-2</v>
      </c>
      <c r="BU111" s="39">
        <f t="shared" si="259"/>
        <v>0.11199524796125855</v>
      </c>
      <c r="BV111" s="39">
        <f t="shared" si="260"/>
        <v>0.15448667067661162</v>
      </c>
      <c r="BW111" s="39">
        <f t="shared" si="261"/>
        <v>0.23542708342107041</v>
      </c>
      <c r="BX111" s="39">
        <f t="shared" si="262"/>
        <v>0.29762815635540846</v>
      </c>
      <c r="BY111" s="39">
        <f t="shared" si="263"/>
        <v>0.46334360865005458</v>
      </c>
      <c r="BZ111" s="39">
        <f t="shared" si="264"/>
        <v>0.53738315487117616</v>
      </c>
      <c r="CA111" s="39">
        <f t="shared" si="265"/>
        <v>0.62013847100060693</v>
      </c>
      <c r="CB111" s="39">
        <f t="shared" si="266"/>
        <v>0.71285354017126534</v>
      </c>
      <c r="CC111" s="39">
        <f t="shared" si="267"/>
        <v>0.80886712104093139</v>
      </c>
      <c r="CD111" s="39">
        <f t="shared" si="268"/>
        <v>0.89420189506663139</v>
      </c>
      <c r="CE111" s="39">
        <f t="shared" si="269"/>
        <v>1</v>
      </c>
      <c r="CG111" s="39">
        <f t="shared" si="293"/>
        <v>0.10699468773463788</v>
      </c>
      <c r="CH111" s="39">
        <f t="shared" si="270"/>
        <v>0.19624632048162027</v>
      </c>
      <c r="CI111" s="39">
        <f t="shared" si="271"/>
        <v>0.25713870695934404</v>
      </c>
      <c r="CJ111" s="39">
        <f t="shared" si="272"/>
        <v>0.32680123970292224</v>
      </c>
      <c r="CK111" s="39">
        <f t="shared" si="273"/>
        <v>0.38501676086185427</v>
      </c>
      <c r="CL111" s="39">
        <f t="shared" si="274"/>
        <v>0.47555069556047891</v>
      </c>
      <c r="CM111" s="39">
        <f t="shared" si="275"/>
        <v>0.58142512341918506</v>
      </c>
      <c r="CN111" s="39">
        <f t="shared" si="276"/>
        <v>0.69074156894539529</v>
      </c>
      <c r="CO111" s="39">
        <f t="shared" si="277"/>
        <v>0.76801571413258884</v>
      </c>
      <c r="CP111" s="39">
        <f t="shared" si="278"/>
        <v>0.8594189705944727</v>
      </c>
      <c r="CQ111" s="39">
        <f t="shared" si="279"/>
        <v>0.92385178714447014</v>
      </c>
      <c r="CR111" s="39">
        <f t="shared" si="280"/>
        <v>1</v>
      </c>
    </row>
    <row r="112" spans="1:96">
      <c r="A112" s="193" t="s">
        <v>106</v>
      </c>
      <c r="B112" s="34">
        <v>1410.45</v>
      </c>
      <c r="C112" s="34">
        <v>4318.91</v>
      </c>
      <c r="D112" s="34">
        <v>1229.1500000000001</v>
      </c>
      <c r="E112" s="34">
        <v>1978.46</v>
      </c>
      <c r="F112" s="34">
        <v>1890.11</v>
      </c>
      <c r="G112" s="34">
        <v>2384.73</v>
      </c>
      <c r="H112" s="34">
        <v>550.42999999999995</v>
      </c>
      <c r="I112" s="34">
        <v>655.16</v>
      </c>
      <c r="J112" s="34">
        <v>1894.57</v>
      </c>
      <c r="K112" s="34">
        <v>1286.9000000000001</v>
      </c>
      <c r="L112" s="34">
        <v>580</v>
      </c>
      <c r="M112" s="34">
        <v>2400.7600000000002</v>
      </c>
      <c r="N112" s="68">
        <f t="shared" si="245"/>
        <v>20579.630000000005</v>
      </c>
      <c r="P112" s="85" t="s">
        <v>106</v>
      </c>
      <c r="Q112" s="34">
        <v>1140.4300000000003</v>
      </c>
      <c r="R112" s="34">
        <v>1437.12</v>
      </c>
      <c r="S112" s="34">
        <v>837.7599999999984</v>
      </c>
      <c r="T112" s="34">
        <v>0</v>
      </c>
      <c r="U112" s="34">
        <v>959.92999999999938</v>
      </c>
      <c r="V112" s="34">
        <v>1139.9000000000001</v>
      </c>
      <c r="W112" s="34">
        <v>1324.8399999999997</v>
      </c>
      <c r="X112" s="34">
        <v>2456.2800000000002</v>
      </c>
      <c r="Y112" s="34">
        <v>745.49</v>
      </c>
      <c r="Z112" s="34">
        <v>1754.07</v>
      </c>
      <c r="AA112" s="34">
        <v>1391.1</v>
      </c>
      <c r="AB112" s="34">
        <v>253.25</v>
      </c>
      <c r="AC112" s="68">
        <f t="shared" si="209"/>
        <v>13440.169999999998</v>
      </c>
      <c r="AE112" s="85" t="s">
        <v>106</v>
      </c>
      <c r="AF112" s="34">
        <v>1387.7899999999997</v>
      </c>
      <c r="AG112" s="34">
        <v>1756.9199999999996</v>
      </c>
      <c r="AH112" s="34">
        <v>1698.2199999999993</v>
      </c>
      <c r="AI112" s="34">
        <v>1032.0899999999997</v>
      </c>
      <c r="AJ112" s="34">
        <v>1576.9599999999994</v>
      </c>
      <c r="AK112" s="34">
        <v>1522.4299999999994</v>
      </c>
      <c r="AL112" s="34">
        <v>1595.84</v>
      </c>
      <c r="AM112" s="34">
        <v>1103.67</v>
      </c>
      <c r="AN112" s="34">
        <v>1338.6899999999998</v>
      </c>
      <c r="AO112" s="34">
        <v>18.539999999999992</v>
      </c>
      <c r="AP112" s="34">
        <v>1093.81</v>
      </c>
      <c r="AQ112" s="34">
        <v>0</v>
      </c>
      <c r="AR112" s="68">
        <f t="shared" si="210"/>
        <v>14124.959999999997</v>
      </c>
      <c r="AT112" s="39">
        <f t="shared" si="281"/>
        <v>6.853621760935448E-2</v>
      </c>
      <c r="AU112" s="39">
        <f t="shared" si="282"/>
        <v>0.27839956306308705</v>
      </c>
      <c r="AV112" s="39">
        <f t="shared" si="283"/>
        <v>0.3381260984769891</v>
      </c>
      <c r="AW112" s="39">
        <f t="shared" si="284"/>
        <v>0.43426290948865454</v>
      </c>
      <c r="AX112" s="39">
        <f t="shared" si="285"/>
        <v>0.52610664040121224</v>
      </c>
      <c r="AY112" s="39">
        <f t="shared" si="286"/>
        <v>0.64198481702537891</v>
      </c>
      <c r="AZ112" s="39">
        <f t="shared" si="287"/>
        <v>0.66873116766433593</v>
      </c>
      <c r="BA112" s="39">
        <f t="shared" si="288"/>
        <v>0.70056653107951883</v>
      </c>
      <c r="BB112" s="39">
        <f t="shared" si="289"/>
        <v>0.79262698114591945</v>
      </c>
      <c r="BC112" s="39">
        <f t="shared" si="290"/>
        <v>0.85515968945991738</v>
      </c>
      <c r="BD112" s="39">
        <f t="shared" si="291"/>
        <v>0.88334289780720054</v>
      </c>
      <c r="BE112" s="39">
        <f t="shared" si="292"/>
        <v>1</v>
      </c>
      <c r="BG112" s="39">
        <f t="shared" si="246"/>
        <v>8.4852349337843233E-2</v>
      </c>
      <c r="BH112" s="39">
        <f t="shared" si="247"/>
        <v>0.19177956826438955</v>
      </c>
      <c r="BI112" s="39">
        <f t="shared" si="248"/>
        <v>0.25411211316523519</v>
      </c>
      <c r="BJ112" s="39">
        <f t="shared" si="249"/>
        <v>0.25411211316523519</v>
      </c>
      <c r="BK112" s="39">
        <f t="shared" si="250"/>
        <v>0.32553457285138493</v>
      </c>
      <c r="BL112" s="39">
        <f t="shared" si="251"/>
        <v>0.41034748816421207</v>
      </c>
      <c r="BM112" s="39">
        <f t="shared" si="252"/>
        <v>0.50892064609301801</v>
      </c>
      <c r="BN112" s="39">
        <f t="shared" si="253"/>
        <v>0.69167726301081012</v>
      </c>
      <c r="BO112" s="39">
        <f t="shared" si="254"/>
        <v>0.74714456736782342</v>
      </c>
      <c r="BP112" s="39">
        <f t="shared" si="255"/>
        <v>0.87765407729217704</v>
      </c>
      <c r="BQ112" s="39">
        <f t="shared" si="256"/>
        <v>0.98115723238619745</v>
      </c>
      <c r="BR112" s="39">
        <f t="shared" si="257"/>
        <v>1</v>
      </c>
      <c r="BS112" s="61"/>
      <c r="BT112" s="39">
        <f t="shared" si="258"/>
        <v>9.8250897701657208E-2</v>
      </c>
      <c r="BU112" s="39">
        <f t="shared" si="259"/>
        <v>0.22263496675388814</v>
      </c>
      <c r="BV112" s="39">
        <f t="shared" si="260"/>
        <v>0.34286327182519449</v>
      </c>
      <c r="BW112" s="39">
        <f t="shared" si="261"/>
        <v>0.41593179732898355</v>
      </c>
      <c r="BX112" s="39">
        <f t="shared" si="262"/>
        <v>0.52757529932828118</v>
      </c>
      <c r="BY112" s="39">
        <f t="shared" si="263"/>
        <v>0.6353582594216195</v>
      </c>
      <c r="BZ112" s="39">
        <f t="shared" si="264"/>
        <v>0.74833840237423666</v>
      </c>
      <c r="CA112" s="39">
        <f t="shared" si="265"/>
        <v>0.82647455284829119</v>
      </c>
      <c r="CB112" s="39">
        <f t="shared" si="266"/>
        <v>0.92124933451138968</v>
      </c>
      <c r="CC112" s="39">
        <f t="shared" si="267"/>
        <v>0.9225619046000838</v>
      </c>
      <c r="CD112" s="39">
        <f t="shared" si="268"/>
        <v>1</v>
      </c>
      <c r="CE112" s="39">
        <f t="shared" si="269"/>
        <v>1</v>
      </c>
      <c r="CG112" s="39">
        <f t="shared" si="293"/>
        <v>8.3879821549618303E-2</v>
      </c>
      <c r="CH112" s="39">
        <f t="shared" si="270"/>
        <v>0.23093803269378824</v>
      </c>
      <c r="CI112" s="39">
        <f t="shared" si="271"/>
        <v>0.31170049448913956</v>
      </c>
      <c r="CJ112" s="39">
        <f t="shared" si="272"/>
        <v>0.36810227332762446</v>
      </c>
      <c r="CK112" s="39">
        <f t="shared" si="273"/>
        <v>0.45973883752695949</v>
      </c>
      <c r="CL112" s="39">
        <f t="shared" si="274"/>
        <v>0.56256352153707023</v>
      </c>
      <c r="CM112" s="39">
        <f t="shared" si="275"/>
        <v>0.6419967387105302</v>
      </c>
      <c r="CN112" s="39">
        <f t="shared" si="276"/>
        <v>0.73957278231287338</v>
      </c>
      <c r="CO112" s="39">
        <f t="shared" si="277"/>
        <v>0.82034029434171085</v>
      </c>
      <c r="CP112" s="39">
        <f t="shared" si="278"/>
        <v>0.88512522378405933</v>
      </c>
      <c r="CQ112" s="39">
        <f t="shared" si="279"/>
        <v>0.95483337673113267</v>
      </c>
      <c r="CR112" s="39">
        <f t="shared" si="280"/>
        <v>1</v>
      </c>
    </row>
    <row r="113" spans="1:96">
      <c r="A113" s="193" t="s">
        <v>107</v>
      </c>
      <c r="B113" s="34">
        <v>26814.27</v>
      </c>
      <c r="C113" s="34">
        <v>29023.22</v>
      </c>
      <c r="D113" s="34">
        <v>20343.739999999998</v>
      </c>
      <c r="E113" s="34">
        <v>27630.32</v>
      </c>
      <c r="F113" s="34">
        <v>16260.78</v>
      </c>
      <c r="G113" s="34">
        <v>14690.69</v>
      </c>
      <c r="H113" s="34">
        <v>16767.93</v>
      </c>
      <c r="I113" s="34">
        <v>18204.259999999998</v>
      </c>
      <c r="J113" s="34">
        <v>18124.57</v>
      </c>
      <c r="K113" s="34">
        <v>24724.639999999999</v>
      </c>
      <c r="L113" s="34">
        <v>21674.15</v>
      </c>
      <c r="M113" s="34">
        <v>32701.33</v>
      </c>
      <c r="N113" s="68">
        <f t="shared" si="245"/>
        <v>266959.90000000002</v>
      </c>
      <c r="P113" s="85" t="s">
        <v>107</v>
      </c>
      <c r="Q113" s="34">
        <v>21506.789999999997</v>
      </c>
      <c r="R113" s="34">
        <v>19907.72</v>
      </c>
      <c r="S113" s="34">
        <v>19253.960000000003</v>
      </c>
      <c r="T113" s="34">
        <v>19337.470000000005</v>
      </c>
      <c r="U113" s="34">
        <v>16480.709999999992</v>
      </c>
      <c r="V113" s="34">
        <v>12641.189999999999</v>
      </c>
      <c r="W113" s="34">
        <v>18088.059999999998</v>
      </c>
      <c r="X113" s="34">
        <v>9612.380000000001</v>
      </c>
      <c r="Y113" s="34">
        <v>9664.52</v>
      </c>
      <c r="Z113" s="34">
        <v>13122.19</v>
      </c>
      <c r="AA113" s="34">
        <v>14842.050000000001</v>
      </c>
      <c r="AB113" s="34">
        <v>20365.62</v>
      </c>
      <c r="AC113" s="68">
        <f t="shared" si="209"/>
        <v>194822.65999999997</v>
      </c>
      <c r="AE113" s="85" t="s">
        <v>107</v>
      </c>
      <c r="AF113" s="34">
        <v>10640.759999999995</v>
      </c>
      <c r="AG113" s="34">
        <v>10200.679999999993</v>
      </c>
      <c r="AH113" s="34">
        <v>12644.900000000005</v>
      </c>
      <c r="AI113" s="34">
        <v>6118.6200000000008</v>
      </c>
      <c r="AJ113" s="34">
        <v>5362.1999999999953</v>
      </c>
      <c r="AK113" s="34">
        <v>9345.2300000000032</v>
      </c>
      <c r="AL113" s="34">
        <v>7603.8900000000021</v>
      </c>
      <c r="AM113" s="34">
        <v>10944.82</v>
      </c>
      <c r="AN113" s="34">
        <v>7014.83</v>
      </c>
      <c r="AO113" s="34">
        <v>5822.619999999999</v>
      </c>
      <c r="AP113" s="34">
        <v>3975.62</v>
      </c>
      <c r="AQ113" s="34">
        <v>10678.38</v>
      </c>
      <c r="AR113" s="68">
        <f t="shared" si="210"/>
        <v>100352.55</v>
      </c>
      <c r="AT113" s="39">
        <f t="shared" si="281"/>
        <v>0.10044306279707177</v>
      </c>
      <c r="AU113" s="39">
        <f t="shared" si="282"/>
        <v>0.20916058928700529</v>
      </c>
      <c r="AV113" s="39">
        <f t="shared" si="283"/>
        <v>0.28536581711335673</v>
      </c>
      <c r="AW113" s="39">
        <f t="shared" si="284"/>
        <v>0.38886570604798704</v>
      </c>
      <c r="AX113" s="39">
        <f t="shared" si="285"/>
        <v>0.44977665184921034</v>
      </c>
      <c r="AY113" s="39">
        <f t="shared" si="286"/>
        <v>0.50480622745213799</v>
      </c>
      <c r="AZ113" s="39">
        <f t="shared" si="287"/>
        <v>0.56761689676988936</v>
      </c>
      <c r="BA113" s="39">
        <f t="shared" si="288"/>
        <v>0.63580788725198056</v>
      </c>
      <c r="BB113" s="39">
        <f t="shared" si="289"/>
        <v>0.70370036848230766</v>
      </c>
      <c r="BC113" s="39">
        <f t="shared" si="290"/>
        <v>0.79631592609976265</v>
      </c>
      <c r="BD113" s="39">
        <f t="shared" si="291"/>
        <v>0.8775047113817469</v>
      </c>
      <c r="BE113" s="39">
        <f t="shared" si="292"/>
        <v>1</v>
      </c>
      <c r="BG113" s="39">
        <f t="shared" si="246"/>
        <v>0.11039162487566898</v>
      </c>
      <c r="BH113" s="39">
        <f t="shared" si="247"/>
        <v>0.21257542628768131</v>
      </c>
      <c r="BI113" s="39">
        <f t="shared" si="248"/>
        <v>0.31140356055091339</v>
      </c>
      <c r="BJ113" s="39">
        <f t="shared" si="249"/>
        <v>0.41066034105067661</v>
      </c>
      <c r="BK113" s="39">
        <f t="shared" si="250"/>
        <v>0.49525373485815255</v>
      </c>
      <c r="BL113" s="39">
        <f t="shared" si="251"/>
        <v>0.56013935955909855</v>
      </c>
      <c r="BM113" s="39">
        <f t="shared" si="252"/>
        <v>0.65298307701989089</v>
      </c>
      <c r="BN113" s="39">
        <f t="shared" si="253"/>
        <v>0.70232220420355629</v>
      </c>
      <c r="BO113" s="39">
        <f t="shared" si="254"/>
        <v>0.75192895939312199</v>
      </c>
      <c r="BP113" s="39">
        <f t="shared" si="255"/>
        <v>0.81928349607792039</v>
      </c>
      <c r="BQ113" s="39">
        <f t="shared" si="256"/>
        <v>0.89546585597383799</v>
      </c>
      <c r="BR113" s="39">
        <f t="shared" si="257"/>
        <v>1</v>
      </c>
      <c r="BS113" s="61"/>
      <c r="BT113" s="39">
        <f t="shared" si="258"/>
        <v>0.10603377791595724</v>
      </c>
      <c r="BU113" s="39">
        <f t="shared" si="259"/>
        <v>0.2076822163462711</v>
      </c>
      <c r="BV113" s="39">
        <f t="shared" si="260"/>
        <v>0.33368698652899198</v>
      </c>
      <c r="BW113" s="39">
        <f t="shared" si="261"/>
        <v>0.39465823240166792</v>
      </c>
      <c r="BX113" s="39">
        <f t="shared" si="262"/>
        <v>0.44809185217515646</v>
      </c>
      <c r="BY113" s="39">
        <f t="shared" si="263"/>
        <v>0.54121584354358709</v>
      </c>
      <c r="BZ113" s="39">
        <f t="shared" si="264"/>
        <v>0.61698761018030934</v>
      </c>
      <c r="CA113" s="39">
        <f t="shared" si="265"/>
        <v>0.72605130612027302</v>
      </c>
      <c r="CB113" s="39">
        <f t="shared" si="266"/>
        <v>0.79595316710935604</v>
      </c>
      <c r="CC113" s="39">
        <f t="shared" si="267"/>
        <v>0.85397481180099555</v>
      </c>
      <c r="CD113" s="39">
        <f t="shared" si="268"/>
        <v>0.89359134371772309</v>
      </c>
      <c r="CE113" s="39">
        <f t="shared" si="269"/>
        <v>1</v>
      </c>
      <c r="CG113" s="39">
        <f t="shared" si="293"/>
        <v>0.10562282186289933</v>
      </c>
      <c r="CH113" s="39">
        <f t="shared" si="270"/>
        <v>0.20980607730698589</v>
      </c>
      <c r="CI113" s="39">
        <f t="shared" si="271"/>
        <v>0.31015212139775405</v>
      </c>
      <c r="CJ113" s="39">
        <f t="shared" si="272"/>
        <v>0.3980614265001105</v>
      </c>
      <c r="CK113" s="39">
        <f t="shared" si="273"/>
        <v>0.46437407962750643</v>
      </c>
      <c r="CL113" s="39">
        <f t="shared" si="274"/>
        <v>0.53538714351827454</v>
      </c>
      <c r="CM113" s="39">
        <f t="shared" si="275"/>
        <v>0.61252919465669653</v>
      </c>
      <c r="CN113" s="39">
        <f t="shared" si="276"/>
        <v>0.68806046585860337</v>
      </c>
      <c r="CO113" s="39">
        <f t="shared" si="277"/>
        <v>0.75052749832826182</v>
      </c>
      <c r="CP113" s="39">
        <f t="shared" si="278"/>
        <v>0.82319141132622631</v>
      </c>
      <c r="CQ113" s="39">
        <f t="shared" si="279"/>
        <v>0.88885397035776936</v>
      </c>
      <c r="CR113" s="39">
        <f t="shared" si="280"/>
        <v>1</v>
      </c>
    </row>
    <row r="114" spans="1:96">
      <c r="A114" s="193" t="s">
        <v>108</v>
      </c>
      <c r="B114" s="34">
        <v>1035.68</v>
      </c>
      <c r="C114" s="34">
        <v>1154.8399999999999</v>
      </c>
      <c r="D114" s="34">
        <v>729.32</v>
      </c>
      <c r="E114" s="34">
        <v>1698.95</v>
      </c>
      <c r="F114" s="34">
        <v>194.28</v>
      </c>
      <c r="G114" s="34">
        <v>515.9</v>
      </c>
      <c r="H114" s="34">
        <v>709.17</v>
      </c>
      <c r="I114" s="34">
        <v>702.42</v>
      </c>
      <c r="J114" s="34">
        <v>897.31</v>
      </c>
      <c r="K114" s="34">
        <v>398.65</v>
      </c>
      <c r="L114" s="34">
        <v>658.81</v>
      </c>
      <c r="M114" s="34">
        <v>227.93</v>
      </c>
      <c r="N114" s="68">
        <f t="shared" si="245"/>
        <v>8923.2599999999984</v>
      </c>
      <c r="P114" s="85" t="s">
        <v>108</v>
      </c>
      <c r="Q114" s="34">
        <v>785.40000000000009</v>
      </c>
      <c r="R114" s="34">
        <v>465.40999999999985</v>
      </c>
      <c r="S114" s="34">
        <v>0</v>
      </c>
      <c r="T114" s="34">
        <v>0</v>
      </c>
      <c r="U114" s="34">
        <v>1011.18</v>
      </c>
      <c r="V114" s="34">
        <v>43.64</v>
      </c>
      <c r="W114" s="34">
        <v>551.29</v>
      </c>
      <c r="X114" s="34">
        <v>494.68</v>
      </c>
      <c r="Y114" s="34">
        <v>90.19</v>
      </c>
      <c r="Z114" s="34">
        <v>215.76</v>
      </c>
      <c r="AA114" s="34">
        <v>202.23</v>
      </c>
      <c r="AB114" s="34">
        <v>559.35</v>
      </c>
      <c r="AC114" s="68">
        <f t="shared" si="209"/>
        <v>4419.1299999999992</v>
      </c>
      <c r="AE114" s="85" t="s">
        <v>108</v>
      </c>
      <c r="AF114" s="34">
        <v>243.77999999999975</v>
      </c>
      <c r="AG114" s="34">
        <v>295.7800000000002</v>
      </c>
      <c r="AH114" s="34">
        <v>0</v>
      </c>
      <c r="AI114" s="34">
        <v>191.70999999999987</v>
      </c>
      <c r="AJ114" s="34">
        <v>433.1</v>
      </c>
      <c r="AK114" s="34">
        <v>710.67</v>
      </c>
      <c r="AL114" s="34">
        <v>446.15000000000003</v>
      </c>
      <c r="AM114" s="34">
        <v>253.52999999999997</v>
      </c>
      <c r="AN114" s="34">
        <v>341.29999999999995</v>
      </c>
      <c r="AO114" s="34">
        <v>360.78999999999996</v>
      </c>
      <c r="AP114" s="34">
        <v>524.95000000000005</v>
      </c>
      <c r="AQ114" s="34">
        <v>0</v>
      </c>
      <c r="AR114" s="68">
        <f t="shared" si="210"/>
        <v>3801.76</v>
      </c>
      <c r="AT114" s="39">
        <f t="shared" si="281"/>
        <v>0.11606520486907254</v>
      </c>
      <c r="AU114" s="39">
        <f t="shared" si="282"/>
        <v>0.24548427368472961</v>
      </c>
      <c r="AV114" s="39">
        <f t="shared" si="283"/>
        <v>0.32721673469113316</v>
      </c>
      <c r="AW114" s="39">
        <f t="shared" si="284"/>
        <v>0.51761239726288388</v>
      </c>
      <c r="AX114" s="39">
        <f t="shared" si="285"/>
        <v>0.53938470917579451</v>
      </c>
      <c r="AY114" s="39">
        <f t="shared" si="286"/>
        <v>0.59719990227786712</v>
      </c>
      <c r="AZ114" s="39">
        <f t="shared" si="287"/>
        <v>0.67667421995996979</v>
      </c>
      <c r="BA114" s="39">
        <f t="shared" si="288"/>
        <v>0.75539208764509835</v>
      </c>
      <c r="BB114" s="39">
        <f t="shared" si="289"/>
        <v>0.85595062790953091</v>
      </c>
      <c r="BC114" s="39">
        <f t="shared" si="290"/>
        <v>0.90062600439749596</v>
      </c>
      <c r="BD114" s="39">
        <f t="shared" si="291"/>
        <v>0.97445664476884009</v>
      </c>
      <c r="BE114" s="39">
        <f t="shared" si="292"/>
        <v>1</v>
      </c>
      <c r="BG114" s="39">
        <f t="shared" si="246"/>
        <v>0.17772729021323208</v>
      </c>
      <c r="BH114" s="39">
        <f t="shared" si="247"/>
        <v>0.28304440014210946</v>
      </c>
      <c r="BI114" s="39">
        <f t="shared" si="248"/>
        <v>0.28304440014210946</v>
      </c>
      <c r="BJ114" s="39">
        <f t="shared" si="249"/>
        <v>0.28304440014210946</v>
      </c>
      <c r="BK114" s="39">
        <f t="shared" si="250"/>
        <v>0.51186319479173503</v>
      </c>
      <c r="BL114" s="39">
        <f t="shared" si="251"/>
        <v>0.5217384417294807</v>
      </c>
      <c r="BM114" s="39">
        <f t="shared" si="252"/>
        <v>0.64648924109496664</v>
      </c>
      <c r="BN114" s="39">
        <f t="shared" si="253"/>
        <v>0.75842982668534309</v>
      </c>
      <c r="BO114" s="39">
        <f t="shared" si="254"/>
        <v>0.77883882121594072</v>
      </c>
      <c r="BP114" s="39">
        <f t="shared" si="255"/>
        <v>0.82766291102547329</v>
      </c>
      <c r="BQ114" s="39">
        <f t="shared" si="256"/>
        <v>0.87342531222208897</v>
      </c>
      <c r="BR114" s="39">
        <f t="shared" si="257"/>
        <v>1</v>
      </c>
      <c r="BS114" s="61"/>
      <c r="BT114" s="39">
        <f t="shared" si="258"/>
        <v>6.4122932536509331E-2</v>
      </c>
      <c r="BU114" s="39">
        <f t="shared" si="259"/>
        <v>0.14192374058330876</v>
      </c>
      <c r="BV114" s="39">
        <f t="shared" si="260"/>
        <v>0.14192374058330876</v>
      </c>
      <c r="BW114" s="39">
        <f t="shared" si="261"/>
        <v>0.19235038508480276</v>
      </c>
      <c r="BX114" s="39">
        <f t="shared" si="262"/>
        <v>0.3062713059214679</v>
      </c>
      <c r="BY114" s="39">
        <f t="shared" si="263"/>
        <v>0.49320314801565585</v>
      </c>
      <c r="BZ114" s="39">
        <f t="shared" si="264"/>
        <v>0.6105566895332688</v>
      </c>
      <c r="CA114" s="39">
        <f t="shared" si="265"/>
        <v>0.67724422372795756</v>
      </c>
      <c r="CB114" s="39">
        <f t="shared" si="266"/>
        <v>0.7670184335676109</v>
      </c>
      <c r="CC114" s="39">
        <f t="shared" si="267"/>
        <v>0.86191921636294777</v>
      </c>
      <c r="CD114" s="39">
        <f t="shared" si="268"/>
        <v>1</v>
      </c>
      <c r="CE114" s="39">
        <f t="shared" si="269"/>
        <v>1</v>
      </c>
      <c r="CG114" s="39">
        <f t="shared" si="293"/>
        <v>0.11930514253960467</v>
      </c>
      <c r="CH114" s="39">
        <f t="shared" si="270"/>
        <v>0.22348413813671594</v>
      </c>
      <c r="CI114" s="39">
        <f t="shared" si="271"/>
        <v>0.25072829180551715</v>
      </c>
      <c r="CJ114" s="39">
        <f t="shared" si="272"/>
        <v>0.33100239416326538</v>
      </c>
      <c r="CK114" s="39">
        <f t="shared" si="273"/>
        <v>0.45250640329633246</v>
      </c>
      <c r="CL114" s="39">
        <f t="shared" si="274"/>
        <v>0.53738049734100124</v>
      </c>
      <c r="CM114" s="39">
        <f t="shared" si="275"/>
        <v>0.64457338352940174</v>
      </c>
      <c r="CN114" s="39">
        <f t="shared" si="276"/>
        <v>0.73035537935279971</v>
      </c>
      <c r="CO114" s="39">
        <f t="shared" si="277"/>
        <v>0.80060262756436085</v>
      </c>
      <c r="CP114" s="39">
        <f t="shared" si="278"/>
        <v>0.8634027105953056</v>
      </c>
      <c r="CQ114" s="39">
        <f t="shared" si="279"/>
        <v>0.94929398566364309</v>
      </c>
      <c r="CR114" s="39">
        <f t="shared" si="280"/>
        <v>1</v>
      </c>
    </row>
    <row r="115" spans="1:96">
      <c r="A115" s="193" t="s">
        <v>109</v>
      </c>
      <c r="B115" s="34">
        <v>0</v>
      </c>
      <c r="C115" s="34">
        <v>84.8</v>
      </c>
      <c r="D115" s="34">
        <v>0</v>
      </c>
      <c r="E115" s="34">
        <v>105.74</v>
      </c>
      <c r="F115" s="34">
        <v>0</v>
      </c>
      <c r="G115" s="34">
        <v>0</v>
      </c>
      <c r="H115" s="34">
        <v>0</v>
      </c>
      <c r="I115" s="34">
        <v>0</v>
      </c>
      <c r="J115" s="34">
        <v>0</v>
      </c>
      <c r="K115" s="34">
        <v>0</v>
      </c>
      <c r="L115" s="34">
        <v>0</v>
      </c>
      <c r="M115" s="34">
        <v>0</v>
      </c>
      <c r="N115" s="68">
        <f t="shared" si="245"/>
        <v>190.54</v>
      </c>
      <c r="P115" s="85" t="s">
        <v>109</v>
      </c>
      <c r="Q115" s="34">
        <v>0</v>
      </c>
      <c r="R115" s="34">
        <v>0</v>
      </c>
      <c r="S115" s="34">
        <v>0</v>
      </c>
      <c r="T115" s="34">
        <v>0</v>
      </c>
      <c r="U115" s="34">
        <v>290.12</v>
      </c>
      <c r="V115" s="34">
        <v>0</v>
      </c>
      <c r="W115" s="34">
        <v>0</v>
      </c>
      <c r="X115" s="34">
        <v>0</v>
      </c>
      <c r="Y115" s="34">
        <v>0</v>
      </c>
      <c r="Z115" s="34">
        <v>0</v>
      </c>
      <c r="AA115" s="34">
        <v>0</v>
      </c>
      <c r="AB115" s="34">
        <v>0</v>
      </c>
      <c r="AC115" s="68">
        <f t="shared" si="209"/>
        <v>290.12</v>
      </c>
      <c r="AE115" s="85" t="s">
        <v>109</v>
      </c>
      <c r="AF115" s="34">
        <v>548.43000000000006</v>
      </c>
      <c r="AG115" s="34">
        <v>0</v>
      </c>
      <c r="AH115" s="34">
        <v>0</v>
      </c>
      <c r="AI115" s="34">
        <v>215.80999999999997</v>
      </c>
      <c r="AJ115" s="34">
        <v>0</v>
      </c>
      <c r="AK115" s="34">
        <v>0</v>
      </c>
      <c r="AL115" s="34">
        <v>351.82</v>
      </c>
      <c r="AM115" s="34">
        <v>0</v>
      </c>
      <c r="AN115" s="34">
        <v>147.69999999999999</v>
      </c>
      <c r="AO115" s="34">
        <v>0</v>
      </c>
      <c r="AP115" s="34">
        <v>0</v>
      </c>
      <c r="AQ115" s="34">
        <v>0</v>
      </c>
      <c r="AR115" s="68">
        <f t="shared" si="210"/>
        <v>1263.76</v>
      </c>
      <c r="AT115" s="39">
        <f t="shared" si="281"/>
        <v>0</v>
      </c>
      <c r="AU115" s="39">
        <f t="shared" si="282"/>
        <v>0.44505090794583813</v>
      </c>
      <c r="AV115" s="39">
        <f t="shared" si="283"/>
        <v>0.44505090794583813</v>
      </c>
      <c r="AW115" s="39">
        <f t="shared" si="284"/>
        <v>1</v>
      </c>
      <c r="AX115" s="39">
        <f t="shared" si="285"/>
        <v>1</v>
      </c>
      <c r="AY115" s="39">
        <f t="shared" si="286"/>
        <v>1</v>
      </c>
      <c r="AZ115" s="39">
        <f t="shared" si="287"/>
        <v>1</v>
      </c>
      <c r="BA115" s="39">
        <f t="shared" si="288"/>
        <v>1</v>
      </c>
      <c r="BB115" s="39">
        <f t="shared" si="289"/>
        <v>1</v>
      </c>
      <c r="BC115" s="39">
        <f t="shared" si="290"/>
        <v>1</v>
      </c>
      <c r="BD115" s="39">
        <f t="shared" si="291"/>
        <v>1</v>
      </c>
      <c r="BE115" s="39">
        <f t="shared" si="292"/>
        <v>1</v>
      </c>
      <c r="BG115" s="39">
        <f t="shared" si="246"/>
        <v>0</v>
      </c>
      <c r="BH115" s="39">
        <f t="shared" si="247"/>
        <v>0</v>
      </c>
      <c r="BI115" s="39">
        <f t="shared" si="248"/>
        <v>0</v>
      </c>
      <c r="BJ115" s="39">
        <f t="shared" si="249"/>
        <v>0</v>
      </c>
      <c r="BK115" s="39">
        <f t="shared" si="250"/>
        <v>1</v>
      </c>
      <c r="BL115" s="39">
        <f t="shared" si="251"/>
        <v>1</v>
      </c>
      <c r="BM115" s="39">
        <f t="shared" si="252"/>
        <v>1</v>
      </c>
      <c r="BN115" s="39">
        <f t="shared" si="253"/>
        <v>1</v>
      </c>
      <c r="BO115" s="39">
        <f t="shared" si="254"/>
        <v>1</v>
      </c>
      <c r="BP115" s="39">
        <f t="shared" si="255"/>
        <v>1</v>
      </c>
      <c r="BQ115" s="39">
        <f t="shared" si="256"/>
        <v>1</v>
      </c>
      <c r="BR115" s="39">
        <f t="shared" si="257"/>
        <v>1</v>
      </c>
      <c r="BS115" s="61"/>
      <c r="BT115" s="39">
        <f t="shared" si="258"/>
        <v>0.43396689244793318</v>
      </c>
      <c r="BU115" s="39">
        <f t="shared" si="259"/>
        <v>0.43396689244793318</v>
      </c>
      <c r="BV115" s="39">
        <f t="shared" si="260"/>
        <v>0.43396689244793318</v>
      </c>
      <c r="BW115" s="39">
        <f t="shared" si="261"/>
        <v>0.60473507628030643</v>
      </c>
      <c r="BX115" s="39">
        <f t="shared" si="262"/>
        <v>0.60473507628030643</v>
      </c>
      <c r="BY115" s="39">
        <f t="shared" si="263"/>
        <v>0.60473507628030643</v>
      </c>
      <c r="BZ115" s="39">
        <f t="shared" si="264"/>
        <v>0.88312654301449633</v>
      </c>
      <c r="CA115" s="39">
        <f t="shared" si="265"/>
        <v>0.88312654301449633</v>
      </c>
      <c r="CB115" s="39">
        <f t="shared" si="266"/>
        <v>1</v>
      </c>
      <c r="CC115" s="39">
        <f t="shared" si="267"/>
        <v>1</v>
      </c>
      <c r="CD115" s="39">
        <f t="shared" si="268"/>
        <v>1</v>
      </c>
      <c r="CE115" s="39">
        <f t="shared" si="269"/>
        <v>1</v>
      </c>
      <c r="CG115" s="39">
        <f t="shared" si="293"/>
        <v>0.14465563081597774</v>
      </c>
      <c r="CH115" s="39">
        <f t="shared" si="270"/>
        <v>0.29300593346459042</v>
      </c>
      <c r="CI115" s="39">
        <f t="shared" si="271"/>
        <v>0.29300593346459042</v>
      </c>
      <c r="CJ115" s="39">
        <f t="shared" si="272"/>
        <v>0.53491169209343548</v>
      </c>
      <c r="CK115" s="39">
        <f t="shared" si="273"/>
        <v>0.86824502542676874</v>
      </c>
      <c r="CL115" s="39">
        <f t="shared" si="274"/>
        <v>0.86824502542676874</v>
      </c>
      <c r="CM115" s="39">
        <f t="shared" si="275"/>
        <v>0.96104218100483207</v>
      </c>
      <c r="CN115" s="39">
        <f t="shared" si="276"/>
        <v>0.96104218100483207</v>
      </c>
      <c r="CO115" s="39">
        <f t="shared" si="277"/>
        <v>1</v>
      </c>
      <c r="CP115" s="39">
        <f t="shared" si="278"/>
        <v>1</v>
      </c>
      <c r="CQ115" s="39">
        <f t="shared" si="279"/>
        <v>1</v>
      </c>
      <c r="CR115" s="39">
        <f t="shared" si="280"/>
        <v>1</v>
      </c>
    </row>
    <row r="116" spans="1:96">
      <c r="A116" s="193" t="s">
        <v>110</v>
      </c>
      <c r="B116" s="34">
        <v>11876.75</v>
      </c>
      <c r="C116" s="34">
        <v>10214.99</v>
      </c>
      <c r="D116" s="34">
        <v>10686.85</v>
      </c>
      <c r="E116" s="34">
        <v>9523.15</v>
      </c>
      <c r="F116" s="34">
        <v>9204.6299999999992</v>
      </c>
      <c r="G116" s="34">
        <v>6082.79</v>
      </c>
      <c r="H116" s="34">
        <v>5673.9</v>
      </c>
      <c r="I116" s="34">
        <v>6813.97</v>
      </c>
      <c r="J116" s="34">
        <v>5857.48</v>
      </c>
      <c r="K116" s="34">
        <v>4969.13</v>
      </c>
      <c r="L116" s="34">
        <v>3061.57</v>
      </c>
      <c r="M116" s="34">
        <v>5477.93</v>
      </c>
      <c r="N116" s="68">
        <f t="shared" si="245"/>
        <v>89443.140000000014</v>
      </c>
      <c r="P116" s="85" t="s">
        <v>110</v>
      </c>
      <c r="Q116" s="34">
        <v>5412.74</v>
      </c>
      <c r="R116" s="34">
        <v>7274.9100000000062</v>
      </c>
      <c r="S116" s="34">
        <v>4434.5399999999972</v>
      </c>
      <c r="T116" s="34">
        <v>7124.9599999999955</v>
      </c>
      <c r="U116" s="34">
        <v>4121.0300000000007</v>
      </c>
      <c r="V116" s="34">
        <v>5849.08</v>
      </c>
      <c r="W116" s="34">
        <v>5207.51</v>
      </c>
      <c r="X116" s="34">
        <v>5353.8099999999995</v>
      </c>
      <c r="Y116" s="34">
        <v>5814.3399999999992</v>
      </c>
      <c r="Z116" s="34">
        <v>2178.15</v>
      </c>
      <c r="AA116" s="34">
        <v>4030.3</v>
      </c>
      <c r="AB116" s="34">
        <v>2989.03</v>
      </c>
      <c r="AC116" s="68">
        <f t="shared" si="209"/>
        <v>59790.400000000001</v>
      </c>
      <c r="AE116" s="85" t="s">
        <v>110</v>
      </c>
      <c r="AF116" s="34">
        <v>6204.0599999999959</v>
      </c>
      <c r="AG116" s="34">
        <v>5823.1099999999969</v>
      </c>
      <c r="AH116" s="34">
        <v>7923.9800000000014</v>
      </c>
      <c r="AI116" s="34">
        <v>13102.970000000001</v>
      </c>
      <c r="AJ116" s="34">
        <v>5918.5099999999929</v>
      </c>
      <c r="AK116" s="34">
        <v>6903.2200000000012</v>
      </c>
      <c r="AL116" s="34">
        <v>4597.12</v>
      </c>
      <c r="AM116" s="34">
        <v>3774.76</v>
      </c>
      <c r="AN116" s="34">
        <v>1774.0700000000002</v>
      </c>
      <c r="AO116" s="34">
        <v>2220.3700000000003</v>
      </c>
      <c r="AP116" s="34">
        <v>2222.48</v>
      </c>
      <c r="AQ116" s="34">
        <v>1954.06</v>
      </c>
      <c r="AR116" s="68">
        <f t="shared" si="210"/>
        <v>62418.71</v>
      </c>
      <c r="AT116" s="39">
        <f t="shared" si="281"/>
        <v>0.13278547689627174</v>
      </c>
      <c r="AU116" s="39">
        <f t="shared" si="282"/>
        <v>0.24699199961003152</v>
      </c>
      <c r="AV116" s="39">
        <f t="shared" si="283"/>
        <v>0.36647405267748862</v>
      </c>
      <c r="AW116" s="39">
        <f t="shared" si="284"/>
        <v>0.47294560544274261</v>
      </c>
      <c r="AX116" s="39">
        <f t="shared" si="285"/>
        <v>0.57585601310508538</v>
      </c>
      <c r="AY116" s="39">
        <f t="shared" si="286"/>
        <v>0.64386335274007589</v>
      </c>
      <c r="AZ116" s="39">
        <f t="shared" si="287"/>
        <v>0.70729918471109121</v>
      </c>
      <c r="BA116" s="39">
        <f t="shared" si="288"/>
        <v>0.78348132679599558</v>
      </c>
      <c r="BB116" s="39">
        <f t="shared" si="289"/>
        <v>0.84896963590500041</v>
      </c>
      <c r="BC116" s="39">
        <f t="shared" si="290"/>
        <v>0.90452593681304105</v>
      </c>
      <c r="BD116" s="39">
        <f t="shared" si="291"/>
        <v>0.9387551689263145</v>
      </c>
      <c r="BE116" s="39">
        <f t="shared" si="292"/>
        <v>1</v>
      </c>
      <c r="BG116" s="39">
        <f t="shared" si="246"/>
        <v>9.0528579838903903E-2</v>
      </c>
      <c r="BH116" s="39">
        <f t="shared" si="247"/>
        <v>0.21220212609382116</v>
      </c>
      <c r="BI116" s="39">
        <f t="shared" si="248"/>
        <v>0.28637021996842305</v>
      </c>
      <c r="BJ116" s="39">
        <f t="shared" si="249"/>
        <v>0.40553583852926217</v>
      </c>
      <c r="BK116" s="39">
        <f t="shared" si="250"/>
        <v>0.47446044850009367</v>
      </c>
      <c r="BL116" s="39">
        <f t="shared" si="251"/>
        <v>0.57228685541491608</v>
      </c>
      <c r="BM116" s="39">
        <f t="shared" si="252"/>
        <v>0.659382944419171</v>
      </c>
      <c r="BN116" s="39">
        <f t="shared" si="253"/>
        <v>0.74892591452808477</v>
      </c>
      <c r="BO116" s="39">
        <f t="shared" si="254"/>
        <v>0.84617129171238192</v>
      </c>
      <c r="BP116" s="39">
        <f t="shared" si="255"/>
        <v>0.88260105301185476</v>
      </c>
      <c r="BQ116" s="39">
        <f t="shared" si="256"/>
        <v>0.9500081952955659</v>
      </c>
      <c r="BR116" s="39">
        <f t="shared" si="257"/>
        <v>1</v>
      </c>
      <c r="BS116" s="61"/>
      <c r="BT116" s="39">
        <f t="shared" si="258"/>
        <v>9.9394236119266094E-2</v>
      </c>
      <c r="BU116" s="39">
        <f t="shared" si="259"/>
        <v>0.19268533425314288</v>
      </c>
      <c r="BV116" s="39">
        <f t="shared" si="260"/>
        <v>0.31963412893345594</v>
      </c>
      <c r="BW116" s="39">
        <f t="shared" si="261"/>
        <v>0.52955467999899386</v>
      </c>
      <c r="BX116" s="39">
        <f t="shared" si="262"/>
        <v>0.62437416601528595</v>
      </c>
      <c r="BY116" s="39">
        <f t="shared" si="263"/>
        <v>0.7349695307705012</v>
      </c>
      <c r="BZ116" s="39">
        <f t="shared" si="264"/>
        <v>0.80861924253160622</v>
      </c>
      <c r="CA116" s="39">
        <f t="shared" si="265"/>
        <v>0.86909405849624255</v>
      </c>
      <c r="CB116" s="39">
        <f t="shared" si="266"/>
        <v>0.89751614539935221</v>
      </c>
      <c r="CC116" s="39">
        <f t="shared" si="267"/>
        <v>0.93308833200814301</v>
      </c>
      <c r="CD116" s="39">
        <f t="shared" si="268"/>
        <v>0.96869432258372534</v>
      </c>
      <c r="CE116" s="39">
        <f t="shared" si="269"/>
        <v>1</v>
      </c>
      <c r="CG116" s="39">
        <f t="shared" si="293"/>
        <v>0.10756943095148057</v>
      </c>
      <c r="CH116" s="39">
        <f t="shared" si="270"/>
        <v>0.21729315331899848</v>
      </c>
      <c r="CI116" s="39">
        <f t="shared" si="271"/>
        <v>0.3241594671931225</v>
      </c>
      <c r="CJ116" s="39">
        <f t="shared" si="272"/>
        <v>0.46934537465699955</v>
      </c>
      <c r="CK116" s="39">
        <f t="shared" si="273"/>
        <v>0.55823020920682165</v>
      </c>
      <c r="CL116" s="39">
        <f t="shared" si="274"/>
        <v>0.65037324630849769</v>
      </c>
      <c r="CM116" s="39">
        <f t="shared" si="275"/>
        <v>0.72510045722062288</v>
      </c>
      <c r="CN116" s="39">
        <f t="shared" si="276"/>
        <v>0.800500433273441</v>
      </c>
      <c r="CO116" s="39">
        <f t="shared" si="277"/>
        <v>0.86421902433891151</v>
      </c>
      <c r="CP116" s="39">
        <f t="shared" si="278"/>
        <v>0.90673844061101294</v>
      </c>
      <c r="CQ116" s="39">
        <f t="shared" si="279"/>
        <v>0.95248589560186858</v>
      </c>
      <c r="CR116" s="39">
        <f t="shared" si="280"/>
        <v>1</v>
      </c>
    </row>
    <row r="117" spans="1:96">
      <c r="A117" s="193" t="s">
        <v>111</v>
      </c>
      <c r="B117" s="34">
        <v>49492.159999999996</v>
      </c>
      <c r="C117" s="34">
        <v>60388.52</v>
      </c>
      <c r="D117" s="34">
        <v>37439.870000000003</v>
      </c>
      <c r="E117" s="34">
        <v>45650.27</v>
      </c>
      <c r="F117" s="34">
        <v>42598.9</v>
      </c>
      <c r="G117" s="34">
        <v>29718.58</v>
      </c>
      <c r="H117" s="34">
        <v>96759.62</v>
      </c>
      <c r="I117" s="34">
        <v>132001.59999999998</v>
      </c>
      <c r="J117" s="34">
        <v>91847.59</v>
      </c>
      <c r="K117" s="34">
        <v>89258.42</v>
      </c>
      <c r="L117" s="34">
        <v>59062.080000000002</v>
      </c>
      <c r="M117" s="34">
        <v>75725.460000000006</v>
      </c>
      <c r="N117" s="68">
        <f t="shared" si="245"/>
        <v>809943.07</v>
      </c>
      <c r="P117" s="85" t="s">
        <v>111</v>
      </c>
      <c r="Q117" s="34">
        <v>75184.530000000028</v>
      </c>
      <c r="R117" s="34">
        <v>49514.25999999998</v>
      </c>
      <c r="S117" s="34">
        <v>17098.22</v>
      </c>
      <c r="T117" s="34">
        <v>38583.119999999966</v>
      </c>
      <c r="U117" s="34">
        <v>22504.799999999985</v>
      </c>
      <c r="V117" s="34">
        <v>22109.11</v>
      </c>
      <c r="W117" s="34">
        <v>23716.43</v>
      </c>
      <c r="X117" s="34">
        <v>25776.57</v>
      </c>
      <c r="Y117" s="34">
        <v>24703.95</v>
      </c>
      <c r="Z117" s="34">
        <v>25138.46</v>
      </c>
      <c r="AA117" s="34">
        <v>26113.68</v>
      </c>
      <c r="AB117" s="34">
        <v>27447.439999999999</v>
      </c>
      <c r="AC117" s="68">
        <f t="shared" si="209"/>
        <v>377890.57</v>
      </c>
      <c r="AE117" s="85" t="s">
        <v>111</v>
      </c>
      <c r="AF117" s="34">
        <v>91900.59</v>
      </c>
      <c r="AG117" s="34">
        <v>40915.409999999989</v>
      </c>
      <c r="AH117" s="34">
        <v>65265.820000000007</v>
      </c>
      <c r="AI117" s="34">
        <v>22472.079999999998</v>
      </c>
      <c r="AJ117" s="34">
        <v>51852.909999999974</v>
      </c>
      <c r="AK117" s="34">
        <v>30825.260000000009</v>
      </c>
      <c r="AL117" s="34">
        <v>33929.259999999995</v>
      </c>
      <c r="AM117" s="34">
        <v>38859.440000000002</v>
      </c>
      <c r="AN117" s="34">
        <v>14783.78</v>
      </c>
      <c r="AO117" s="34">
        <v>39525.26</v>
      </c>
      <c r="AP117" s="34">
        <v>29090.5</v>
      </c>
      <c r="AQ117" s="34">
        <v>12681.739999999998</v>
      </c>
      <c r="AR117" s="68">
        <f t="shared" si="210"/>
        <v>472102.05</v>
      </c>
      <c r="AT117" s="39">
        <f t="shared" si="281"/>
        <v>6.1105726850653838E-2</v>
      </c>
      <c r="AU117" s="39">
        <f t="shared" si="282"/>
        <v>0.13566469554458932</v>
      </c>
      <c r="AV117" s="39">
        <f t="shared" si="283"/>
        <v>0.18189000617043369</v>
      </c>
      <c r="AW117" s="39">
        <f t="shared" si="284"/>
        <v>0.23825232556159778</v>
      </c>
      <c r="AX117" s="39">
        <f t="shared" si="285"/>
        <v>0.29084725670904249</v>
      </c>
      <c r="AY117" s="39">
        <f t="shared" si="286"/>
        <v>0.32753944051894907</v>
      </c>
      <c r="AZ117" s="39">
        <f t="shared" si="287"/>
        <v>0.44700415795890447</v>
      </c>
      <c r="BA117" s="39">
        <f t="shared" si="288"/>
        <v>0.60998055085525948</v>
      </c>
      <c r="BB117" s="39">
        <f t="shared" si="289"/>
        <v>0.72338060747899235</v>
      </c>
      <c r="BC117" s="39">
        <f t="shared" si="290"/>
        <v>0.83358393325101243</v>
      </c>
      <c r="BD117" s="39">
        <f t="shared" si="291"/>
        <v>0.90650520659433509</v>
      </c>
      <c r="BE117" s="39">
        <f t="shared" si="292"/>
        <v>1</v>
      </c>
      <c r="BG117" s="39">
        <f t="shared" si="246"/>
        <v>0.19895847096687283</v>
      </c>
      <c r="BH117" s="39">
        <f t="shared" si="247"/>
        <v>0.32998650905737076</v>
      </c>
      <c r="BI117" s="39">
        <f t="shared" si="248"/>
        <v>0.37523299403845933</v>
      </c>
      <c r="BJ117" s="39">
        <f t="shared" si="249"/>
        <v>0.47733429812762984</v>
      </c>
      <c r="BK117" s="39">
        <f t="shared" si="250"/>
        <v>0.53688804671680468</v>
      </c>
      <c r="BL117" s="39">
        <f t="shared" si="251"/>
        <v>0.59539469323090011</v>
      </c>
      <c r="BM117" s="39">
        <f t="shared" si="252"/>
        <v>0.65815474040540356</v>
      </c>
      <c r="BN117" s="39">
        <f t="shared" si="253"/>
        <v>0.72636647164812806</v>
      </c>
      <c r="BO117" s="39">
        <f t="shared" si="254"/>
        <v>0.79173976212214026</v>
      </c>
      <c r="BP117" s="39">
        <f t="shared" si="255"/>
        <v>0.85826288282345864</v>
      </c>
      <c r="BQ117" s="39">
        <f t="shared" si="256"/>
        <v>0.92736669771886604</v>
      </c>
      <c r="BR117" s="39">
        <f t="shared" si="257"/>
        <v>1</v>
      </c>
      <c r="BS117" s="61"/>
      <c r="BT117" s="39">
        <f t="shared" si="258"/>
        <v>0.1946625523019864</v>
      </c>
      <c r="BU117" s="39">
        <f t="shared" si="259"/>
        <v>0.28132900503185698</v>
      </c>
      <c r="BV117" s="39">
        <f t="shared" si="260"/>
        <v>0.41957415774830892</v>
      </c>
      <c r="BW117" s="39">
        <f t="shared" si="261"/>
        <v>0.46717420523804121</v>
      </c>
      <c r="BX117" s="39">
        <f t="shared" si="262"/>
        <v>0.5770083184345417</v>
      </c>
      <c r="BY117" s="39">
        <f t="shared" si="263"/>
        <v>0.64230195568945303</v>
      </c>
      <c r="BZ117" s="39">
        <f t="shared" si="264"/>
        <v>0.71417044259816276</v>
      </c>
      <c r="CA117" s="39">
        <f t="shared" si="265"/>
        <v>0.79648196825241491</v>
      </c>
      <c r="CB117" s="39">
        <f t="shared" si="266"/>
        <v>0.82779676555100745</v>
      </c>
      <c r="CC117" s="39">
        <f t="shared" si="267"/>
        <v>0.91151862187423249</v>
      </c>
      <c r="CD117" s="39">
        <f t="shared" si="268"/>
        <v>0.97313771461064402</v>
      </c>
      <c r="CE117" s="39">
        <f t="shared" si="269"/>
        <v>1</v>
      </c>
      <c r="CG117" s="39">
        <f t="shared" si="293"/>
        <v>0.15157558337317101</v>
      </c>
      <c r="CH117" s="39">
        <f t="shared" si="270"/>
        <v>0.24899340321127236</v>
      </c>
      <c r="CI117" s="39">
        <f t="shared" si="271"/>
        <v>0.3255657193190673</v>
      </c>
      <c r="CJ117" s="39">
        <f t="shared" si="272"/>
        <v>0.39425360964242295</v>
      </c>
      <c r="CK117" s="39">
        <f t="shared" si="273"/>
        <v>0.46824787395346296</v>
      </c>
      <c r="CL117" s="39">
        <f t="shared" si="274"/>
        <v>0.52174536314643405</v>
      </c>
      <c r="CM117" s="39">
        <f t="shared" si="275"/>
        <v>0.60644311365415693</v>
      </c>
      <c r="CN117" s="39">
        <f t="shared" si="276"/>
        <v>0.71094299691860086</v>
      </c>
      <c r="CO117" s="39">
        <f t="shared" si="277"/>
        <v>0.78097237838404665</v>
      </c>
      <c r="CP117" s="39">
        <f t="shared" si="278"/>
        <v>0.8677884793162346</v>
      </c>
      <c r="CQ117" s="39">
        <f t="shared" si="279"/>
        <v>0.93566987297461501</v>
      </c>
      <c r="CR117" s="39">
        <f t="shared" si="280"/>
        <v>1</v>
      </c>
    </row>
    <row r="118" spans="1:96">
      <c r="A118" s="193" t="s">
        <v>112</v>
      </c>
      <c r="B118" s="34">
        <v>2027.82</v>
      </c>
      <c r="C118" s="34">
        <v>595.24</v>
      </c>
      <c r="D118" s="34">
        <v>180.06</v>
      </c>
      <c r="E118" s="34">
        <v>533.78</v>
      </c>
      <c r="F118" s="34">
        <v>105.74</v>
      </c>
      <c r="G118" s="34">
        <v>959.81</v>
      </c>
      <c r="H118" s="34">
        <v>1143.01</v>
      </c>
      <c r="I118" s="34">
        <v>721.74</v>
      </c>
      <c r="J118" s="34">
        <v>285.27</v>
      </c>
      <c r="K118" s="34">
        <v>365.89</v>
      </c>
      <c r="L118" s="34">
        <v>251.86</v>
      </c>
      <c r="M118" s="34">
        <v>225.37</v>
      </c>
      <c r="N118" s="68">
        <f t="shared" si="245"/>
        <v>7395.5899999999992</v>
      </c>
      <c r="P118" s="85" t="s">
        <v>112</v>
      </c>
      <c r="Q118" s="34">
        <v>2223.2799999999997</v>
      </c>
      <c r="R118" s="34">
        <v>934.39999999999964</v>
      </c>
      <c r="S118" s="34">
        <v>1713.3100000000004</v>
      </c>
      <c r="T118" s="34">
        <v>1124.58</v>
      </c>
      <c r="U118" s="34">
        <v>338.5300000000002</v>
      </c>
      <c r="V118" s="34">
        <v>306.95</v>
      </c>
      <c r="W118" s="34">
        <v>104.72000000000003</v>
      </c>
      <c r="X118" s="34">
        <v>306.95</v>
      </c>
      <c r="Y118" s="34">
        <v>306.95999999999998</v>
      </c>
      <c r="Z118" s="34">
        <v>621.12</v>
      </c>
      <c r="AA118" s="34">
        <v>628.36</v>
      </c>
      <c r="AB118" s="34">
        <v>104.72</v>
      </c>
      <c r="AC118" s="68">
        <f t="shared" si="209"/>
        <v>8713.8799999999992</v>
      </c>
      <c r="AE118" s="85" t="s">
        <v>112</v>
      </c>
      <c r="AF118" s="34">
        <v>1360.7400000000002</v>
      </c>
      <c r="AG118" s="34">
        <v>525.24</v>
      </c>
      <c r="AH118" s="34">
        <v>1723.6099999999997</v>
      </c>
      <c r="AI118" s="34">
        <v>687.46000000000015</v>
      </c>
      <c r="AJ118" s="34">
        <v>263.28000000000003</v>
      </c>
      <c r="AK118" s="34">
        <v>188.53999999999996</v>
      </c>
      <c r="AL118" s="34">
        <v>182.02999999999997</v>
      </c>
      <c r="AM118" s="34">
        <v>0</v>
      </c>
      <c r="AN118" s="34">
        <v>16.25</v>
      </c>
      <c r="AO118" s="34">
        <v>16.25</v>
      </c>
      <c r="AP118" s="34">
        <v>533.52</v>
      </c>
      <c r="AQ118" s="34">
        <v>598.95000000000005</v>
      </c>
      <c r="AR118" s="68">
        <f t="shared" si="210"/>
        <v>6095.87</v>
      </c>
      <c r="AT118" s="39">
        <f t="shared" si="281"/>
        <v>0.27419313401635304</v>
      </c>
      <c r="AU118" s="39">
        <f t="shared" si="282"/>
        <v>0.35467893704221032</v>
      </c>
      <c r="AV118" s="39">
        <f t="shared" si="283"/>
        <v>0.37902587893596051</v>
      </c>
      <c r="AW118" s="39">
        <f t="shared" si="284"/>
        <v>0.4512013240322949</v>
      </c>
      <c r="AX118" s="39">
        <f t="shared" si="285"/>
        <v>0.46549903388370634</v>
      </c>
      <c r="AY118" s="39">
        <f t="shared" si="286"/>
        <v>0.59528043063501346</v>
      </c>
      <c r="AZ118" s="39">
        <f t="shared" si="287"/>
        <v>0.74983334662954537</v>
      </c>
      <c r="BA118" s="39">
        <f t="shared" si="288"/>
        <v>0.84742393777913594</v>
      </c>
      <c r="BB118" s="39">
        <f t="shared" si="289"/>
        <v>0.88599692519460926</v>
      </c>
      <c r="BC118" s="39">
        <f t="shared" si="290"/>
        <v>0.93547100366569813</v>
      </c>
      <c r="BD118" s="39">
        <f t="shared" si="291"/>
        <v>0.96952643399647631</v>
      </c>
      <c r="BE118" s="39">
        <f t="shared" si="292"/>
        <v>1</v>
      </c>
      <c r="BG118" s="39">
        <f t="shared" si="246"/>
        <v>0.25514237056282618</v>
      </c>
      <c r="BH118" s="39">
        <f t="shared" si="247"/>
        <v>0.36237359247545292</v>
      </c>
      <c r="BI118" s="39">
        <f t="shared" si="248"/>
        <v>0.55899209077930845</v>
      </c>
      <c r="BJ118" s="39">
        <f t="shared" si="249"/>
        <v>0.68804826323061596</v>
      </c>
      <c r="BK118" s="39">
        <f t="shared" si="250"/>
        <v>0.72689777688010404</v>
      </c>
      <c r="BL118" s="39">
        <f t="shared" si="251"/>
        <v>0.76212318737462537</v>
      </c>
      <c r="BM118" s="39">
        <f t="shared" si="252"/>
        <v>0.77414079606329222</v>
      </c>
      <c r="BN118" s="39">
        <f t="shared" si="253"/>
        <v>0.80936620655781366</v>
      </c>
      <c r="BO118" s="39">
        <f t="shared" si="254"/>
        <v>0.8445927646467476</v>
      </c>
      <c r="BP118" s="39">
        <f t="shared" si="255"/>
        <v>0.915872148801682</v>
      </c>
      <c r="BQ118" s="39">
        <f t="shared" si="256"/>
        <v>0.98798239131133325</v>
      </c>
      <c r="BR118" s="39">
        <f t="shared" si="257"/>
        <v>1</v>
      </c>
      <c r="BS118" s="61"/>
      <c r="BT118" s="39">
        <f t="shared" si="258"/>
        <v>0.22322326427564895</v>
      </c>
      <c r="BU118" s="39">
        <f t="shared" si="259"/>
        <v>0.3093865190694684</v>
      </c>
      <c r="BV118" s="39">
        <f t="shared" si="260"/>
        <v>0.59213697142491561</v>
      </c>
      <c r="BW118" s="39">
        <f t="shared" si="261"/>
        <v>0.70491168610879174</v>
      </c>
      <c r="BX118" s="39">
        <f t="shared" si="262"/>
        <v>0.74810158353114486</v>
      </c>
      <c r="BY118" s="39">
        <f t="shared" si="263"/>
        <v>0.77903072079949209</v>
      </c>
      <c r="BZ118" s="39">
        <f t="shared" si="264"/>
        <v>0.80889192190778347</v>
      </c>
      <c r="CA118" s="39">
        <f t="shared" si="265"/>
        <v>0.80889192190778347</v>
      </c>
      <c r="CB118" s="39">
        <f t="shared" si="266"/>
        <v>0.8115576611705958</v>
      </c>
      <c r="CC118" s="39">
        <f t="shared" si="267"/>
        <v>0.81422340043340813</v>
      </c>
      <c r="CD118" s="39">
        <f t="shared" si="268"/>
        <v>0.90174495191006376</v>
      </c>
      <c r="CE118" s="39">
        <f t="shared" si="269"/>
        <v>1</v>
      </c>
      <c r="CG118" s="39">
        <f t="shared" si="293"/>
        <v>0.25085292295160938</v>
      </c>
      <c r="CH118" s="39">
        <f t="shared" si="270"/>
        <v>0.34214634952904394</v>
      </c>
      <c r="CI118" s="39">
        <f t="shared" si="271"/>
        <v>0.51005164704672812</v>
      </c>
      <c r="CJ118" s="39">
        <f t="shared" si="272"/>
        <v>0.61472042445723429</v>
      </c>
      <c r="CK118" s="39">
        <f t="shared" si="273"/>
        <v>0.6468327980983184</v>
      </c>
      <c r="CL118" s="39">
        <f t="shared" si="274"/>
        <v>0.71214477960304368</v>
      </c>
      <c r="CM118" s="39">
        <f t="shared" si="275"/>
        <v>0.77762202153354032</v>
      </c>
      <c r="CN118" s="39">
        <f t="shared" si="276"/>
        <v>0.82189402208157769</v>
      </c>
      <c r="CO118" s="39">
        <f t="shared" si="277"/>
        <v>0.84738245033731763</v>
      </c>
      <c r="CP118" s="39">
        <f t="shared" si="278"/>
        <v>0.88852218430026275</v>
      </c>
      <c r="CQ118" s="39">
        <f t="shared" si="279"/>
        <v>0.95308459240595766</v>
      </c>
      <c r="CR118" s="39">
        <f t="shared" si="280"/>
        <v>1</v>
      </c>
    </row>
    <row r="119" spans="1:96">
      <c r="A119" s="193" t="s">
        <v>113</v>
      </c>
      <c r="B119" s="34">
        <v>3339.71</v>
      </c>
      <c r="C119" s="34">
        <v>504.53999999999996</v>
      </c>
      <c r="D119" s="34">
        <v>3529.28</v>
      </c>
      <c r="E119" s="34">
        <v>1546.1</v>
      </c>
      <c r="F119" s="34">
        <v>823.37</v>
      </c>
      <c r="G119" s="34">
        <v>4724.55</v>
      </c>
      <c r="H119" s="34">
        <v>3291.96</v>
      </c>
      <c r="I119" s="34">
        <v>4041.79</v>
      </c>
      <c r="J119" s="34">
        <v>1485.37</v>
      </c>
      <c r="K119" s="34">
        <v>1739.43</v>
      </c>
      <c r="L119" s="34">
        <v>1128.6099999999999</v>
      </c>
      <c r="M119" s="34">
        <v>1125.97</v>
      </c>
      <c r="N119" s="68">
        <f t="shared" si="245"/>
        <v>27280.680000000004</v>
      </c>
      <c r="P119" s="85" t="s">
        <v>113</v>
      </c>
      <c r="Q119" s="34">
        <v>837.74999999999977</v>
      </c>
      <c r="R119" s="34">
        <v>1772.5800000000004</v>
      </c>
      <c r="S119" s="34">
        <v>909.07999999999993</v>
      </c>
      <c r="T119" s="34">
        <v>824.31999999999994</v>
      </c>
      <c r="U119" s="34">
        <v>209.44000000000005</v>
      </c>
      <c r="V119" s="34">
        <v>1474.32</v>
      </c>
      <c r="W119" s="34">
        <v>761.1</v>
      </c>
      <c r="X119" s="34">
        <v>2539.0100000000002</v>
      </c>
      <c r="Y119" s="34">
        <v>173.24</v>
      </c>
      <c r="Z119" s="34">
        <v>1019.27</v>
      </c>
      <c r="AA119" s="34">
        <v>1910.1100000000001</v>
      </c>
      <c r="AB119" s="34">
        <v>503.93999999999994</v>
      </c>
      <c r="AC119" s="68">
        <f t="shared" si="209"/>
        <v>12934.160000000002</v>
      </c>
      <c r="AE119" s="85" t="s">
        <v>113</v>
      </c>
      <c r="AF119" s="34">
        <v>1670.12</v>
      </c>
      <c r="AG119" s="34">
        <v>439.38</v>
      </c>
      <c r="AH119" s="34">
        <v>621.50999999999976</v>
      </c>
      <c r="AI119" s="34">
        <v>114.67000000000002</v>
      </c>
      <c r="AJ119" s="34">
        <v>567.13</v>
      </c>
      <c r="AK119" s="34">
        <v>370.76</v>
      </c>
      <c r="AL119" s="34">
        <v>1649.2000000000003</v>
      </c>
      <c r="AM119" s="34">
        <v>671.94</v>
      </c>
      <c r="AN119" s="34">
        <v>436.11999999999989</v>
      </c>
      <c r="AO119" s="34">
        <v>97.509999999999991</v>
      </c>
      <c r="AP119" s="34">
        <v>371.76</v>
      </c>
      <c r="AQ119" s="34">
        <v>422.54999999999995</v>
      </c>
      <c r="AR119" s="68">
        <f t="shared" si="210"/>
        <v>7432.6500000000015</v>
      </c>
      <c r="AT119" s="39">
        <f t="shared" si="281"/>
        <v>0.122420335563483</v>
      </c>
      <c r="AU119" s="39">
        <f t="shared" si="282"/>
        <v>0.14091474259439279</v>
      </c>
      <c r="AV119" s="39">
        <f t="shared" si="283"/>
        <v>0.27028395186630244</v>
      </c>
      <c r="AW119" s="39">
        <f t="shared" si="284"/>
        <v>0.32695775911744135</v>
      </c>
      <c r="AX119" s="39">
        <f t="shared" si="285"/>
        <v>0.35713919154507878</v>
      </c>
      <c r="AY119" s="39">
        <f t="shared" si="286"/>
        <v>0.53032219138232628</v>
      </c>
      <c r="AZ119" s="39">
        <f t="shared" si="287"/>
        <v>0.65099220400664493</v>
      </c>
      <c r="BA119" s="39">
        <f t="shared" si="288"/>
        <v>0.79914796845239933</v>
      </c>
      <c r="BB119" s="39">
        <f t="shared" si="289"/>
        <v>0.85359565817274341</v>
      </c>
      <c r="BC119" s="39">
        <f t="shared" si="290"/>
        <v>0.91735616560877509</v>
      </c>
      <c r="BD119" s="39">
        <f t="shared" si="291"/>
        <v>0.95872646869506184</v>
      </c>
      <c r="BE119" s="39">
        <f t="shared" si="292"/>
        <v>1</v>
      </c>
      <c r="BG119" s="39">
        <f t="shared" si="246"/>
        <v>6.4770344575913685E-2</v>
      </c>
      <c r="BH119" s="39">
        <f t="shared" si="247"/>
        <v>0.20181673954860613</v>
      </c>
      <c r="BI119" s="39">
        <f t="shared" si="248"/>
        <v>0.27210193781428399</v>
      </c>
      <c r="BJ119" s="39">
        <f t="shared" si="249"/>
        <v>0.33583394669619049</v>
      </c>
      <c r="BK119" s="39">
        <f t="shared" si="250"/>
        <v>0.3520267261267836</v>
      </c>
      <c r="BL119" s="39">
        <f t="shared" si="251"/>
        <v>0.46601325482288752</v>
      </c>
      <c r="BM119" s="39">
        <f t="shared" si="252"/>
        <v>0.52485743179301936</v>
      </c>
      <c r="BN119" s="39">
        <f t="shared" si="253"/>
        <v>0.72116009079832</v>
      </c>
      <c r="BO119" s="39">
        <f t="shared" si="254"/>
        <v>0.73455408004849165</v>
      </c>
      <c r="BP119" s="39">
        <f t="shared" si="255"/>
        <v>0.81335857914236409</v>
      </c>
      <c r="BQ119" s="39">
        <f t="shared" si="256"/>
        <v>0.96103805736128201</v>
      </c>
      <c r="BR119" s="39">
        <f t="shared" si="257"/>
        <v>1</v>
      </c>
      <c r="BS119" s="61"/>
      <c r="BT119" s="39">
        <f t="shared" si="258"/>
        <v>0.22470047694967468</v>
      </c>
      <c r="BU119" s="39">
        <f t="shared" si="259"/>
        <v>0.28381532831493472</v>
      </c>
      <c r="BV119" s="39">
        <f t="shared" si="260"/>
        <v>0.36743422601629289</v>
      </c>
      <c r="BW119" s="39">
        <f t="shared" si="261"/>
        <v>0.38286210167302365</v>
      </c>
      <c r="BX119" s="39">
        <f t="shared" si="262"/>
        <v>0.45916463172623484</v>
      </c>
      <c r="BY119" s="39">
        <f t="shared" si="263"/>
        <v>0.50904724425339531</v>
      </c>
      <c r="BZ119" s="39">
        <f t="shared" si="264"/>
        <v>0.73093311268524674</v>
      </c>
      <c r="CA119" s="39">
        <f t="shared" si="265"/>
        <v>0.82133693904596605</v>
      </c>
      <c r="CB119" s="39">
        <f t="shared" si="266"/>
        <v>0.8800131850685825</v>
      </c>
      <c r="CC119" s="39">
        <f t="shared" si="267"/>
        <v>0.89313232830820766</v>
      </c>
      <c r="CD119" s="39">
        <f t="shared" si="268"/>
        <v>0.94314948235151663</v>
      </c>
      <c r="CE119" s="39">
        <f t="shared" si="269"/>
        <v>1</v>
      </c>
      <c r="CG119" s="39">
        <f t="shared" si="293"/>
        <v>0.13729705236302378</v>
      </c>
      <c r="CH119" s="39">
        <f t="shared" si="270"/>
        <v>0.20884893681931124</v>
      </c>
      <c r="CI119" s="39">
        <f t="shared" si="271"/>
        <v>0.30327337189895975</v>
      </c>
      <c r="CJ119" s="39">
        <f t="shared" si="272"/>
        <v>0.34855126916221851</v>
      </c>
      <c r="CK119" s="39">
        <f t="shared" si="273"/>
        <v>0.38944351646603237</v>
      </c>
      <c r="CL119" s="39">
        <f t="shared" si="274"/>
        <v>0.50179423015286972</v>
      </c>
      <c r="CM119" s="39">
        <f t="shared" si="275"/>
        <v>0.63559424949497034</v>
      </c>
      <c r="CN119" s="39">
        <f t="shared" si="276"/>
        <v>0.78054833276556179</v>
      </c>
      <c r="CO119" s="39">
        <f t="shared" si="277"/>
        <v>0.82272097442993919</v>
      </c>
      <c r="CP119" s="39">
        <f t="shared" si="278"/>
        <v>0.87461569101978232</v>
      </c>
      <c r="CQ119" s="39">
        <f t="shared" si="279"/>
        <v>0.95430466946928683</v>
      </c>
      <c r="CR119" s="39">
        <f t="shared" si="280"/>
        <v>1</v>
      </c>
    </row>
    <row r="120" spans="1:96">
      <c r="A120" s="193" t="s">
        <v>241</v>
      </c>
      <c r="N120" s="63">
        <f t="shared" si="245"/>
        <v>0</v>
      </c>
      <c r="P120" s="176" t="s">
        <v>241</v>
      </c>
      <c r="AC120" s="63">
        <f t="shared" si="209"/>
        <v>0</v>
      </c>
      <c r="AR120" s="63">
        <f t="shared" si="210"/>
        <v>0</v>
      </c>
      <c r="AT120" s="61">
        <f>AVERAGE(AT93:AT119)</f>
        <v>0.10482275672190831</v>
      </c>
      <c r="AU120" s="61">
        <f t="shared" ref="AU120:BE120" si="294">AVERAGE(AU93:AU119)</f>
        <v>0.21979936162038693</v>
      </c>
      <c r="AV120" s="61">
        <f t="shared" si="294"/>
        <v>0.2943214327688064</v>
      </c>
      <c r="AW120" s="61">
        <f t="shared" si="294"/>
        <v>0.39115608721191558</v>
      </c>
      <c r="AX120" s="61">
        <f t="shared" si="294"/>
        <v>0.46710737606689046</v>
      </c>
      <c r="AY120" s="61">
        <f t="shared" si="294"/>
        <v>0.54074659745352438</v>
      </c>
      <c r="AZ120" s="61">
        <f t="shared" si="294"/>
        <v>0.63640744530955784</v>
      </c>
      <c r="BA120" s="61">
        <f t="shared" si="294"/>
        <v>0.71853622869874056</v>
      </c>
      <c r="BB120" s="61">
        <f t="shared" si="294"/>
        <v>0.78447238656869678</v>
      </c>
      <c r="BC120" s="61">
        <f t="shared" si="294"/>
        <v>0.87062243473993073</v>
      </c>
      <c r="BD120" s="61">
        <f t="shared" si="294"/>
        <v>0.92851911663564024</v>
      </c>
      <c r="BE120" s="61">
        <f t="shared" si="294"/>
        <v>1</v>
      </c>
      <c r="BG120" s="61">
        <f>AVERAGE(BG93:BG119)</f>
        <v>0.11371613556385402</v>
      </c>
      <c r="BH120" s="61">
        <f t="shared" ref="BH120" si="295">AVERAGE(BH93:BH119)</f>
        <v>0.22033205657105506</v>
      </c>
      <c r="BI120" s="61">
        <f t="shared" ref="BI120" si="296">AVERAGE(BI93:BI119)</f>
        <v>0.32247197076900574</v>
      </c>
      <c r="BJ120" s="61">
        <f t="shared" ref="BJ120" si="297">AVERAGE(BJ93:BJ119)</f>
        <v>0.41631967095181038</v>
      </c>
      <c r="BK120" s="61">
        <f t="shared" ref="BK120" si="298">AVERAGE(BK93:BK119)</f>
        <v>0.52714691411332526</v>
      </c>
      <c r="BL120" s="61">
        <f t="shared" ref="BL120" si="299">AVERAGE(BL93:BL119)</f>
        <v>0.599715068723638</v>
      </c>
      <c r="BM120" s="61">
        <f t="shared" ref="BM120" si="300">AVERAGE(BM93:BM119)</f>
        <v>0.66451381881580562</v>
      </c>
      <c r="BN120" s="61">
        <f t="shared" ref="BN120" si="301">AVERAGE(BN93:BN119)</f>
        <v>0.74158002862992378</v>
      </c>
      <c r="BO120" s="61">
        <f t="shared" ref="BO120" si="302">AVERAGE(BO93:BO119)</f>
        <v>0.79578755709936844</v>
      </c>
      <c r="BP120" s="61">
        <f t="shared" ref="BP120" si="303">AVERAGE(BP93:BP119)</f>
        <v>0.86879830406147363</v>
      </c>
      <c r="BQ120" s="61">
        <f t="shared" ref="BQ120" si="304">AVERAGE(BQ93:BQ119)</f>
        <v>0.93304244868523523</v>
      </c>
      <c r="BR120" s="61">
        <f t="shared" ref="BR120" si="305">AVERAGE(BR93:BR119)</f>
        <v>1</v>
      </c>
      <c r="BS120" s="61"/>
      <c r="BT120" s="61">
        <f>AVERAGE(BT93:BT119)</f>
        <v>0.15170191604899838</v>
      </c>
      <c r="BU120" s="61">
        <f t="shared" ref="BU120" si="306">AVERAGE(BU93:BU119)</f>
        <v>0.25853360737409015</v>
      </c>
      <c r="BV120" s="61">
        <f t="shared" ref="BV120" si="307">AVERAGE(BV93:BV119)</f>
        <v>0.36587176479546646</v>
      </c>
      <c r="BW120" s="61">
        <f t="shared" ref="BW120" si="308">AVERAGE(BW93:BW119)</f>
        <v>0.45677499418283224</v>
      </c>
      <c r="BX120" s="61">
        <f t="shared" ref="BX120" si="309">AVERAGE(BX93:BX119)</f>
        <v>0.53968200256659826</v>
      </c>
      <c r="BY120" s="61">
        <f t="shared" ref="BY120" si="310">AVERAGE(BY93:BY119)</f>
        <v>0.63404459482839071</v>
      </c>
      <c r="BZ120" s="61">
        <f t="shared" ref="BZ120" si="311">AVERAGE(BZ93:BZ119)</f>
        <v>0.71821170512692944</v>
      </c>
      <c r="CA120" s="61">
        <f t="shared" ref="CA120" si="312">AVERAGE(CA93:CA119)</f>
        <v>0.77824161172725392</v>
      </c>
      <c r="CB120" s="61">
        <f t="shared" ref="CB120" si="313">AVERAGE(CB93:CB119)</f>
        <v>0.83919807972027438</v>
      </c>
      <c r="CC120" s="61">
        <f t="shared" ref="CC120" si="314">AVERAGE(CC93:CC119)</f>
        <v>0.89228272615360738</v>
      </c>
      <c r="CD120" s="61">
        <f t="shared" ref="CD120" si="315">AVERAGE(CD93:CD119)</f>
        <v>0.94878651299375938</v>
      </c>
      <c r="CE120" s="61">
        <f t="shared" ref="CE120" si="316">AVERAGE(CE93:CE119)</f>
        <v>1</v>
      </c>
      <c r="CG120" s="61">
        <f>AVERAGE(CG93:CG119)</f>
        <v>0.12341360277825358</v>
      </c>
      <c r="CH120" s="61">
        <f t="shared" ref="CH120" si="317">AVERAGE(CH93:CH119)</f>
        <v>0.2328883418551774</v>
      </c>
      <c r="CI120" s="61">
        <f t="shared" ref="CI120" si="318">AVERAGE(CI93:CI119)</f>
        <v>0.32755505611109287</v>
      </c>
      <c r="CJ120" s="61">
        <f t="shared" ref="CJ120" si="319">AVERAGE(CJ93:CJ119)</f>
        <v>0.42141691744885279</v>
      </c>
      <c r="CK120" s="61">
        <f t="shared" ref="CK120" si="320">AVERAGE(CK93:CK119)</f>
        <v>0.51131209758227125</v>
      </c>
      <c r="CL120" s="61">
        <f t="shared" ref="CL120" si="321">AVERAGE(CL93:CL119)</f>
        <v>0.59150208700185103</v>
      </c>
      <c r="CM120" s="61">
        <f t="shared" ref="CM120" si="322">AVERAGE(CM93:CM119)</f>
        <v>0.67304432308409767</v>
      </c>
      <c r="CN120" s="61">
        <f t="shared" ref="CN120" si="323">AVERAGE(CN93:CN119)</f>
        <v>0.74611928968530605</v>
      </c>
      <c r="CO120" s="61">
        <f t="shared" ref="CO120" si="324">AVERAGE(CO93:CO119)</f>
        <v>0.80648600779611301</v>
      </c>
      <c r="CP120" s="61">
        <f t="shared" ref="CP120" si="325">AVERAGE(CP93:CP119)</f>
        <v>0.87723448831833728</v>
      </c>
      <c r="CQ120" s="61">
        <f t="shared" ref="CQ120" si="326">AVERAGE(CQ93:CQ119)</f>
        <v>0.93678269277154491</v>
      </c>
      <c r="CR120" s="61">
        <f t="shared" ref="CR120" si="327">AVERAGE(CR93:CR119)</f>
        <v>1</v>
      </c>
    </row>
    <row r="121" spans="1:96">
      <c r="B121" s="1255" t="s">
        <v>409</v>
      </c>
      <c r="C121" s="1255"/>
      <c r="D121" s="1255"/>
      <c r="E121" s="1255"/>
      <c r="F121" s="1255"/>
      <c r="G121" s="1255"/>
      <c r="H121" s="1255"/>
      <c r="I121" s="1255"/>
      <c r="J121" s="1255"/>
      <c r="K121" s="1255"/>
      <c r="L121" s="1255"/>
      <c r="M121" s="1255"/>
      <c r="N121" s="1255">
        <f t="shared" si="245"/>
        <v>0</v>
      </c>
      <c r="Q121" s="1255" t="s">
        <v>172</v>
      </c>
      <c r="R121" s="1255"/>
      <c r="S121" s="1255"/>
      <c r="T121" s="1255"/>
      <c r="U121" s="1255"/>
      <c r="V121" s="1255"/>
      <c r="W121" s="1255"/>
      <c r="X121" s="1255"/>
      <c r="Y121" s="1255"/>
      <c r="Z121" s="1255"/>
      <c r="AA121" s="1255"/>
      <c r="AB121" s="1255"/>
      <c r="AC121" s="1255">
        <f t="shared" si="209"/>
        <v>0</v>
      </c>
      <c r="AF121" s="1255" t="s">
        <v>173</v>
      </c>
      <c r="AG121" s="1255"/>
      <c r="AH121" s="1255"/>
      <c r="AI121" s="1255"/>
      <c r="AJ121" s="1255"/>
      <c r="AK121" s="1255"/>
      <c r="AL121" s="1255"/>
      <c r="AM121" s="1255"/>
      <c r="AN121" s="1255"/>
      <c r="AO121" s="1255"/>
      <c r="AP121" s="1255"/>
      <c r="AQ121" s="1255"/>
      <c r="AR121" s="1255">
        <f t="shared" si="210"/>
        <v>0</v>
      </c>
      <c r="AT121" s="1256" t="s">
        <v>427</v>
      </c>
      <c r="AU121" s="1256"/>
      <c r="AV121" s="1256"/>
      <c r="AW121" s="1256"/>
      <c r="AX121" s="1256"/>
      <c r="AY121" s="1256"/>
      <c r="AZ121" s="1256"/>
      <c r="BA121" s="1256"/>
      <c r="BB121" s="1256"/>
      <c r="BC121" s="1256"/>
      <c r="BD121" s="1256"/>
      <c r="BE121" s="1256"/>
      <c r="BG121" s="1256" t="s">
        <v>144</v>
      </c>
      <c r="BH121" s="1256"/>
      <c r="BI121" s="1256"/>
      <c r="BJ121" s="1256"/>
      <c r="BK121" s="1256"/>
      <c r="BL121" s="1256"/>
      <c r="BM121" s="1256"/>
      <c r="BN121" s="1256"/>
      <c r="BO121" s="1256"/>
      <c r="BP121" s="1256"/>
      <c r="BQ121" s="1256"/>
      <c r="BR121" s="1256"/>
      <c r="BS121" s="61"/>
      <c r="BT121" s="1256" t="s">
        <v>145</v>
      </c>
      <c r="BU121" s="1256"/>
      <c r="BV121" s="1256"/>
      <c r="BW121" s="1256"/>
      <c r="BX121" s="1256"/>
      <c r="BY121" s="1256"/>
      <c r="BZ121" s="1256"/>
      <c r="CA121" s="1256"/>
      <c r="CB121" s="1256"/>
      <c r="CC121" s="1256"/>
      <c r="CD121" s="1256"/>
      <c r="CE121" s="1256"/>
      <c r="CG121" s="1256" t="s">
        <v>432</v>
      </c>
      <c r="CH121" s="1256"/>
      <c r="CI121" s="1256"/>
      <c r="CJ121" s="1256"/>
      <c r="CK121" s="1256"/>
      <c r="CL121" s="1256"/>
      <c r="CM121" s="1256"/>
      <c r="CN121" s="1256"/>
      <c r="CO121" s="1256"/>
      <c r="CP121" s="1256"/>
      <c r="CQ121" s="1256"/>
      <c r="CR121" s="1256"/>
    </row>
    <row r="122" spans="1:96">
      <c r="B122" s="193" t="s">
        <v>130</v>
      </c>
      <c r="C122" s="193" t="s">
        <v>146</v>
      </c>
      <c r="D122" s="193" t="s">
        <v>147</v>
      </c>
      <c r="E122" s="193" t="s">
        <v>148</v>
      </c>
      <c r="F122" s="193" t="s">
        <v>149</v>
      </c>
      <c r="G122" s="193" t="s">
        <v>150</v>
      </c>
      <c r="H122" s="193" t="s">
        <v>151</v>
      </c>
      <c r="I122" s="193" t="s">
        <v>152</v>
      </c>
      <c r="J122" s="193" t="s">
        <v>153</v>
      </c>
      <c r="K122" s="193" t="s">
        <v>154</v>
      </c>
      <c r="L122" s="193" t="s">
        <v>155</v>
      </c>
      <c r="M122" s="193" t="s">
        <v>156</v>
      </c>
      <c r="N122" s="193" t="s">
        <v>128</v>
      </c>
      <c r="Q122" s="85" t="s">
        <v>130</v>
      </c>
      <c r="R122" s="85" t="s">
        <v>146</v>
      </c>
      <c r="S122" s="85" t="s">
        <v>147</v>
      </c>
      <c r="T122" s="85" t="s">
        <v>148</v>
      </c>
      <c r="U122" s="85" t="s">
        <v>149</v>
      </c>
      <c r="V122" s="85" t="s">
        <v>150</v>
      </c>
      <c r="W122" s="85" t="s">
        <v>151</v>
      </c>
      <c r="X122" s="85" t="s">
        <v>152</v>
      </c>
      <c r="Y122" s="85" t="s">
        <v>153</v>
      </c>
      <c r="Z122" s="85" t="s">
        <v>154</v>
      </c>
      <c r="AA122" s="85" t="s">
        <v>155</v>
      </c>
      <c r="AB122" s="85" t="s">
        <v>156</v>
      </c>
      <c r="AC122" s="85" t="s">
        <v>128</v>
      </c>
      <c r="AF122" s="85" t="s">
        <v>130</v>
      </c>
      <c r="AG122" s="85" t="s">
        <v>146</v>
      </c>
      <c r="AH122" s="85" t="s">
        <v>147</v>
      </c>
      <c r="AI122" s="85" t="s">
        <v>148</v>
      </c>
      <c r="AJ122" s="85" t="s">
        <v>149</v>
      </c>
      <c r="AK122" s="85" t="s">
        <v>150</v>
      </c>
      <c r="AL122" s="85" t="s">
        <v>151</v>
      </c>
      <c r="AM122" s="85" t="s">
        <v>152</v>
      </c>
      <c r="AN122" s="85" t="s">
        <v>153</v>
      </c>
      <c r="AO122" s="85" t="s">
        <v>154</v>
      </c>
      <c r="AP122" s="85" t="s">
        <v>155</v>
      </c>
      <c r="AQ122" s="85" t="s">
        <v>156</v>
      </c>
      <c r="AR122" s="85">
        <f t="shared" si="210"/>
        <v>0</v>
      </c>
      <c r="AT122" s="195" t="s">
        <v>157</v>
      </c>
      <c r="AU122" s="195" t="s">
        <v>158</v>
      </c>
      <c r="AV122" s="195" t="s">
        <v>159</v>
      </c>
      <c r="AW122" s="195" t="s">
        <v>160</v>
      </c>
      <c r="AX122" s="195" t="s">
        <v>161</v>
      </c>
      <c r="AY122" s="195" t="s">
        <v>162</v>
      </c>
      <c r="AZ122" s="195" t="s">
        <v>163</v>
      </c>
      <c r="BA122" s="195" t="s">
        <v>164</v>
      </c>
      <c r="BB122" s="195" t="s">
        <v>165</v>
      </c>
      <c r="BC122" s="195" t="s">
        <v>166</v>
      </c>
      <c r="BD122" s="195" t="s">
        <v>167</v>
      </c>
      <c r="BE122" s="195" t="s">
        <v>168</v>
      </c>
      <c r="BG122" s="85" t="s">
        <v>157</v>
      </c>
      <c r="BH122" s="85" t="s">
        <v>158</v>
      </c>
      <c r="BI122" s="85" t="s">
        <v>159</v>
      </c>
      <c r="BJ122" s="85" t="s">
        <v>160</v>
      </c>
      <c r="BK122" s="85" t="s">
        <v>161</v>
      </c>
      <c r="BL122" s="85" t="s">
        <v>162</v>
      </c>
      <c r="BM122" s="85" t="s">
        <v>163</v>
      </c>
      <c r="BN122" s="85" t="s">
        <v>164</v>
      </c>
      <c r="BO122" s="85" t="s">
        <v>165</v>
      </c>
      <c r="BP122" s="85" t="s">
        <v>166</v>
      </c>
      <c r="BQ122" s="85" t="s">
        <v>167</v>
      </c>
      <c r="BR122" s="85" t="s">
        <v>168</v>
      </c>
      <c r="BS122" s="61"/>
      <c r="BT122" s="85" t="s">
        <v>157</v>
      </c>
      <c r="BU122" s="85" t="s">
        <v>158</v>
      </c>
      <c r="BV122" s="85" t="s">
        <v>190</v>
      </c>
      <c r="BW122" s="85" t="s">
        <v>191</v>
      </c>
      <c r="BX122" s="85" t="s">
        <v>192</v>
      </c>
      <c r="BY122" s="85" t="s">
        <v>162</v>
      </c>
      <c r="BZ122" s="85" t="s">
        <v>163</v>
      </c>
      <c r="CA122" s="85" t="s">
        <v>164</v>
      </c>
      <c r="CB122" s="85" t="s">
        <v>165</v>
      </c>
      <c r="CC122" s="85" t="s">
        <v>166</v>
      </c>
      <c r="CD122" s="85" t="s">
        <v>167</v>
      </c>
      <c r="CE122" s="85" t="s">
        <v>168</v>
      </c>
      <c r="CG122" s="85" t="s">
        <v>157</v>
      </c>
      <c r="CH122" s="85" t="s">
        <v>158</v>
      </c>
      <c r="CI122" s="85" t="s">
        <v>190</v>
      </c>
      <c r="CJ122" s="85" t="s">
        <v>191</v>
      </c>
      <c r="CK122" s="85" t="s">
        <v>192</v>
      </c>
      <c r="CL122" s="85" t="s">
        <v>162</v>
      </c>
      <c r="CM122" s="85" t="s">
        <v>163</v>
      </c>
      <c r="CN122" s="85" t="s">
        <v>164</v>
      </c>
      <c r="CO122" s="85" t="s">
        <v>165</v>
      </c>
      <c r="CP122" s="85" t="s">
        <v>166</v>
      </c>
      <c r="CQ122" s="85" t="s">
        <v>167</v>
      </c>
      <c r="CR122" s="85" t="s">
        <v>168</v>
      </c>
    </row>
    <row r="123" spans="1:96">
      <c r="A123" s="193" t="s">
        <v>87</v>
      </c>
      <c r="B123" s="34">
        <v>9266.92</v>
      </c>
      <c r="C123" s="34">
        <v>13929.72</v>
      </c>
      <c r="D123" s="34">
        <v>13550.68</v>
      </c>
      <c r="E123" s="34">
        <v>18762.48</v>
      </c>
      <c r="F123" s="34">
        <v>21794.799999999999</v>
      </c>
      <c r="G123" s="34">
        <v>16014.44</v>
      </c>
      <c r="H123" s="34">
        <v>20847.2</v>
      </c>
      <c r="I123" s="34">
        <v>20183.88</v>
      </c>
      <c r="J123" s="34">
        <v>21131.48</v>
      </c>
      <c r="K123" s="34">
        <v>27006.6</v>
      </c>
      <c r="L123" s="34">
        <v>19899.599999999999</v>
      </c>
      <c r="M123" s="34">
        <v>20468.16</v>
      </c>
      <c r="N123" s="68">
        <f t="shared" ref="N123:N151" si="328">SUM(B123:M123)</f>
        <v>222855.96000000002</v>
      </c>
      <c r="P123" s="85" t="s">
        <v>87</v>
      </c>
      <c r="Q123" s="34">
        <v>12588.5</v>
      </c>
      <c r="R123" s="34">
        <v>9607.5</v>
      </c>
      <c r="S123" s="34">
        <v>15555</v>
      </c>
      <c r="T123" s="34">
        <v>18574.5</v>
      </c>
      <c r="U123" s="34">
        <v>24522.000000000004</v>
      </c>
      <c r="V123" s="34">
        <v>18666</v>
      </c>
      <c r="W123" s="34">
        <v>23332.5</v>
      </c>
      <c r="X123" s="34">
        <v>18666</v>
      </c>
      <c r="Y123" s="34">
        <v>15372</v>
      </c>
      <c r="Z123" s="34">
        <v>19672.5</v>
      </c>
      <c r="AA123" s="34">
        <v>14731.5</v>
      </c>
      <c r="AB123" s="34">
        <v>9241.5</v>
      </c>
      <c r="AC123" s="68">
        <f t="shared" si="209"/>
        <v>200529.5</v>
      </c>
      <c r="AE123" s="85" t="s">
        <v>87</v>
      </c>
      <c r="AF123" s="34">
        <v>8693.2900000000009</v>
      </c>
      <c r="AG123" s="34">
        <v>10909.6</v>
      </c>
      <c r="AH123" s="34">
        <v>11539.630000000001</v>
      </c>
      <c r="AI123" s="34">
        <v>12619.33</v>
      </c>
      <c r="AJ123" s="34">
        <v>13164.51</v>
      </c>
      <c r="AK123" s="34">
        <v>17560.28</v>
      </c>
      <c r="AL123" s="34">
        <v>15402.58</v>
      </c>
      <c r="AM123" s="34">
        <v>18757.75</v>
      </c>
      <c r="AN123" s="34">
        <v>15706.25</v>
      </c>
      <c r="AO123" s="34">
        <v>19206.5</v>
      </c>
      <c r="AP123" s="34">
        <v>15616.5</v>
      </c>
      <c r="AQ123" s="34">
        <v>16065.25</v>
      </c>
      <c r="AR123" s="68">
        <f t="shared" si="210"/>
        <v>175241.47</v>
      </c>
      <c r="AT123" s="39">
        <f>B123/$N123</f>
        <v>4.1582554040735548E-2</v>
      </c>
      <c r="AU123" s="39">
        <f>SUM(B123:C123)/$N123</f>
        <v>0.10408803964677452</v>
      </c>
      <c r="AV123" s="39">
        <f>SUM(B123:D123)/$N123</f>
        <v>0.16489269571251314</v>
      </c>
      <c r="AW123" s="39">
        <f>SUM(B123:E123)/$N123</f>
        <v>0.24908375795738197</v>
      </c>
      <c r="AX123" s="39">
        <f>SUM(B123:F123)/$N123</f>
        <v>0.34688145652465385</v>
      </c>
      <c r="AY123" s="39">
        <f>SUM(B123:G123)/$N123</f>
        <v>0.41874150460234494</v>
      </c>
      <c r="AZ123" s="39">
        <f>SUM(B123:H123)/$N123</f>
        <v>0.51228712931886589</v>
      </c>
      <c r="BA123" s="39">
        <f>SUM(B123:I123)/$N123</f>
        <v>0.60285630233986109</v>
      </c>
      <c r="BB123" s="39">
        <f>SUM(B123:J123)/$N123</f>
        <v>0.6976775492116073</v>
      </c>
      <c r="BC123" s="39">
        <f>SUM(B123:K123)/$N123</f>
        <v>0.81886165395800947</v>
      </c>
      <c r="BD123" s="39">
        <f>SUM(B123:L123)/$N123</f>
        <v>0.90815520482377943</v>
      </c>
      <c r="BE123" s="39">
        <f>SUM(B123:M123)/$N123</f>
        <v>1</v>
      </c>
      <c r="BG123" s="39">
        <f t="shared" ref="BG123:BG149" si="329">Q123/AC123</f>
        <v>6.2776299746421349E-2</v>
      </c>
      <c r="BH123" s="39">
        <f t="shared" ref="BH123:BH149" si="330">SUM(Q123:R123)/$AC123</f>
        <v>0.11068695628324011</v>
      </c>
      <c r="BI123" s="39">
        <f t="shared" ref="BI123:BI149" si="331">SUM(Q123:S123)/$AC123</f>
        <v>0.1882565906761848</v>
      </c>
      <c r="BJ123" s="39">
        <f t="shared" ref="BJ123:BJ149" si="332">SUM(Q123:T123)/$AC123</f>
        <v>0.28088385998070109</v>
      </c>
      <c r="BK123" s="39">
        <f t="shared" ref="BK123:BK149" si="333">SUM(Q123:U123)/$AC123</f>
        <v>0.40317010714134327</v>
      </c>
      <c r="BL123" s="39">
        <f t="shared" ref="BL123:BL149" si="334">SUM(Q123:V123)/$AC123</f>
        <v>0.49625366841287694</v>
      </c>
      <c r="BM123" s="39">
        <f t="shared" ref="BM123:BM149" si="335">SUM(Q123:W123)/$AC123</f>
        <v>0.61260812000229392</v>
      </c>
      <c r="BN123" s="39">
        <f t="shared" ref="BN123:BN149" si="336">SUM(Q123:X123)/$AC123</f>
        <v>0.70569168127382753</v>
      </c>
      <c r="BO123" s="39">
        <f t="shared" ref="BO123:BO149" si="337">SUM(Q123:Y123)/$AC123</f>
        <v>0.78234873173273756</v>
      </c>
      <c r="BP123" s="39">
        <f t="shared" ref="BP123:BP149" si="338">SUM(Q123:Z123)/$AC123</f>
        <v>0.88045150464146171</v>
      </c>
      <c r="BQ123" s="39">
        <f t="shared" ref="BQ123:BQ149" si="339">SUM(Q123:AA123)/$AC123</f>
        <v>0.95391451133125049</v>
      </c>
      <c r="BR123" s="39">
        <f t="shared" ref="BR123:BR149" si="340">SUM(Q123:AB123)/$AC123</f>
        <v>1</v>
      </c>
      <c r="BS123" s="61"/>
      <c r="BT123" s="39">
        <f t="shared" ref="BT123:BT149" si="341">AF123/AR123</f>
        <v>4.9607493020915661E-2</v>
      </c>
      <c r="BU123" s="39">
        <f t="shared" ref="BU123:BU149" si="342">SUM(AF123:AG123)/$AR123</f>
        <v>0.11186216367621203</v>
      </c>
      <c r="BV123" s="39">
        <f t="shared" ref="BV123:BV149" si="343">SUM(AF123:AH123)/$AR123</f>
        <v>0.17771204498569887</v>
      </c>
      <c r="BW123" s="39">
        <f t="shared" ref="BW123:BW149" si="344">SUM(AF123:AI123)/$AR123</f>
        <v>0.24972313916334984</v>
      </c>
      <c r="BX123" s="39">
        <f t="shared" ref="BX123:BX149" si="345">SUM(AF123:AJ123)/$AR123</f>
        <v>0.32484525495021244</v>
      </c>
      <c r="BY123" s="39">
        <f t="shared" ref="BY123:BY149" si="346">SUM(AF123:AK123)/$AR123</f>
        <v>0.42505144472937828</v>
      </c>
      <c r="BZ123" s="39">
        <f t="shared" ref="BZ123:BZ149" si="347">SUM(AF123:AL123)/$AR123</f>
        <v>0.51294490967235096</v>
      </c>
      <c r="CA123" s="39">
        <f t="shared" ref="CA123:CA149" si="348">SUM(AF123:AM123)/$AR123</f>
        <v>0.61998435644257033</v>
      </c>
      <c r="CB123" s="39">
        <f t="shared" ref="CB123:CB149" si="349">SUM(AF123:AN123)/$AR123</f>
        <v>0.70961068747026601</v>
      </c>
      <c r="CC123" s="39">
        <f t="shared" ref="CC123:CC149" si="350">SUM(AF123:AO123)/$AR123</f>
        <v>0.8192108865555624</v>
      </c>
      <c r="CD123" s="39">
        <f t="shared" ref="CD123:CD149" si="351">SUM(AF123:AP123)/$AR123</f>
        <v>0.90832506712024275</v>
      </c>
      <c r="CE123" s="39">
        <f t="shared" ref="CE123:CE149" si="352">SUM(AF123:AQ123)/$AR123</f>
        <v>1</v>
      </c>
      <c r="CG123" s="39">
        <f>(AT123+BG123+BT123)/3</f>
        <v>5.132211560269085E-2</v>
      </c>
      <c r="CH123" s="39">
        <f t="shared" ref="CH123:CH149" si="353">(AU123+BH123+BU123)/3</f>
        <v>0.10887905320207557</v>
      </c>
      <c r="CI123" s="39">
        <f t="shared" ref="CI123:CI149" si="354">(AV123+BI123+BV123)/3</f>
        <v>0.17695377712479896</v>
      </c>
      <c r="CJ123" s="39">
        <f t="shared" ref="CJ123:CJ149" si="355">(AW123+BJ123+BW123)/3</f>
        <v>0.25989691903381096</v>
      </c>
      <c r="CK123" s="39">
        <f t="shared" ref="CK123:CK149" si="356">(AX123+BK123+BX123)/3</f>
        <v>0.35829893953873654</v>
      </c>
      <c r="CL123" s="39">
        <f t="shared" ref="CL123:CL149" si="357">(AY123+BL123+BY123)/3</f>
        <v>0.44668220591486674</v>
      </c>
      <c r="CM123" s="39">
        <f t="shared" ref="CM123:CM149" si="358">(AZ123+BM123+BZ123)/3</f>
        <v>0.54594671966450348</v>
      </c>
      <c r="CN123" s="39">
        <f t="shared" ref="CN123:CN149" si="359">(BA123+BN123+CA123)/3</f>
        <v>0.64284411335208624</v>
      </c>
      <c r="CO123" s="39">
        <f t="shared" ref="CO123:CO149" si="360">(BB123+BO123+CB123)/3</f>
        <v>0.72987898947153695</v>
      </c>
      <c r="CP123" s="39">
        <f t="shared" ref="CP123:CP149" si="361">(BC123+BP123+CC123)/3</f>
        <v>0.83950801505167794</v>
      </c>
      <c r="CQ123" s="39">
        <f t="shared" ref="CQ123:CQ149" si="362">(BD123+BQ123+CD123)/3</f>
        <v>0.92346492775842426</v>
      </c>
      <c r="CR123" s="39">
        <f t="shared" ref="CR123:CR149" si="363">(BE123+BR123+CE123)/3</f>
        <v>1</v>
      </c>
    </row>
    <row r="124" spans="1:96">
      <c r="A124" s="193" t="s">
        <v>88</v>
      </c>
      <c r="B124" s="34">
        <v>38214.58</v>
      </c>
      <c r="C124" s="34">
        <v>50222.8</v>
      </c>
      <c r="D124" s="34">
        <v>43589.599999999999</v>
      </c>
      <c r="E124" s="34">
        <v>64342.04</v>
      </c>
      <c r="F124" s="34">
        <v>64531.56</v>
      </c>
      <c r="G124" s="34">
        <v>50317.56</v>
      </c>
      <c r="H124" s="34">
        <v>62920.639999999999</v>
      </c>
      <c r="I124" s="34">
        <v>58277.4</v>
      </c>
      <c r="J124" s="34">
        <v>51454.68</v>
      </c>
      <c r="K124" s="34">
        <v>59509.279999999999</v>
      </c>
      <c r="L124" s="34">
        <v>56382.2</v>
      </c>
      <c r="M124" s="34">
        <v>51549.440000000002</v>
      </c>
      <c r="N124" s="68">
        <f t="shared" si="328"/>
        <v>651311.78</v>
      </c>
      <c r="P124" s="85" t="s">
        <v>88</v>
      </c>
      <c r="Q124" s="34">
        <v>47209.25</v>
      </c>
      <c r="R124" s="34">
        <v>39802.5</v>
      </c>
      <c r="S124" s="34">
        <v>52887</v>
      </c>
      <c r="T124" s="34">
        <v>56638.5</v>
      </c>
      <c r="U124" s="34">
        <v>57736.500000000007</v>
      </c>
      <c r="V124" s="34">
        <v>52795.5</v>
      </c>
      <c r="W124" s="34">
        <v>55266</v>
      </c>
      <c r="X124" s="34">
        <v>61396.5</v>
      </c>
      <c r="Y124" s="34">
        <v>49776</v>
      </c>
      <c r="Z124" s="34">
        <v>71187</v>
      </c>
      <c r="AA124" s="34">
        <v>46390.5</v>
      </c>
      <c r="AB124" s="34">
        <v>46573.5</v>
      </c>
      <c r="AC124" s="68">
        <f t="shared" si="209"/>
        <v>637658.75</v>
      </c>
      <c r="AE124" s="85" t="s">
        <v>88</v>
      </c>
      <c r="AF124" s="34">
        <v>38495.9</v>
      </c>
      <c r="AG124" s="34">
        <v>46272.68</v>
      </c>
      <c r="AH124" s="34">
        <v>51109.34</v>
      </c>
      <c r="AI124" s="34">
        <v>42696.67</v>
      </c>
      <c r="AJ124" s="34">
        <v>58122.1</v>
      </c>
      <c r="AK124" s="34">
        <v>49866.41</v>
      </c>
      <c r="AL124" s="34">
        <v>43959.55</v>
      </c>
      <c r="AM124" s="34">
        <v>58247.73</v>
      </c>
      <c r="AN124" s="34">
        <v>51516.5</v>
      </c>
      <c r="AO124" s="34">
        <v>56318.52</v>
      </c>
      <c r="AP124" s="34">
        <v>45952.3</v>
      </c>
      <c r="AQ124" s="34">
        <v>43349.25</v>
      </c>
      <c r="AR124" s="68">
        <f t="shared" si="210"/>
        <v>585906.94999999995</v>
      </c>
      <c r="AT124" s="39">
        <f t="shared" ref="AT124:AT149" si="364">B124/$N124</f>
        <v>5.8673251695217303E-2</v>
      </c>
      <c r="AU124" s="39">
        <f t="shared" ref="AU124:AU149" si="365">SUM(B124:C124)/$N124</f>
        <v>0.13578347991802023</v>
      </c>
      <c r="AV124" s="39">
        <f t="shared" ref="AV124:AV149" si="366">SUM(B124:D124)/$N124</f>
        <v>0.20270933837554728</v>
      </c>
      <c r="AW124" s="39">
        <f t="shared" ref="AW124:AW149" si="367">SUM(B124:E124)/$N124</f>
        <v>0.30149772509872308</v>
      </c>
      <c r="AX124" s="39">
        <f t="shared" ref="AX124:AX149" si="368">SUM(B124:F124)/$N124</f>
        <v>0.40057709381519246</v>
      </c>
      <c r="AY124" s="39">
        <f t="shared" ref="AY124:AY149" si="369">SUM(B124:G124)/$N124</f>
        <v>0.4778328130346422</v>
      </c>
      <c r="AZ124" s="39">
        <f t="shared" ref="AZ124:AZ149" si="370">SUM(B124:H124)/$N124</f>
        <v>0.57443883480811608</v>
      </c>
      <c r="BA124" s="39">
        <f t="shared" ref="BA124:BA149" si="371">SUM(B124:I124)/$N124</f>
        <v>0.66391579774589682</v>
      </c>
      <c r="BB124" s="39">
        <f t="shared" ref="BB124:BB149" si="372">SUM(B124:J124)/$N124</f>
        <v>0.74291740892510805</v>
      </c>
      <c r="BC124" s="39">
        <f t="shared" ref="BC124:BC149" si="373">SUM(B124:K124)/$N124</f>
        <v>0.83428575481929712</v>
      </c>
      <c r="BD124" s="39">
        <f t="shared" ref="BD124:BD149" si="374">SUM(B124:L124)/$N124</f>
        <v>0.92085289782414181</v>
      </c>
      <c r="BE124" s="39">
        <f t="shared" ref="BE124:BE149" si="375">SUM(B124:M124)/$N124</f>
        <v>1</v>
      </c>
      <c r="BG124" s="39">
        <f t="shared" si="329"/>
        <v>7.4035289251500117E-2</v>
      </c>
      <c r="BH124" s="39">
        <f t="shared" si="330"/>
        <v>0.13645503962738689</v>
      </c>
      <c r="BI124" s="39">
        <f t="shared" si="331"/>
        <v>0.21939438610385256</v>
      </c>
      <c r="BJ124" s="39">
        <f t="shared" si="332"/>
        <v>0.30821697342034432</v>
      </c>
      <c r="BK124" s="39">
        <f t="shared" si="333"/>
        <v>0.39876148488513646</v>
      </c>
      <c r="BL124" s="39">
        <f t="shared" si="334"/>
        <v>0.48155733768257708</v>
      </c>
      <c r="BM124" s="39">
        <f t="shared" si="335"/>
        <v>0.56822751981369346</v>
      </c>
      <c r="BN124" s="39">
        <f t="shared" si="336"/>
        <v>0.66451177843948661</v>
      </c>
      <c r="BO124" s="39">
        <f t="shared" si="337"/>
        <v>0.74257233982910142</v>
      </c>
      <c r="BP124" s="39">
        <f t="shared" si="338"/>
        <v>0.85421042211057252</v>
      </c>
      <c r="BQ124" s="39">
        <f t="shared" si="339"/>
        <v>0.92696171737626121</v>
      </c>
      <c r="BR124" s="39">
        <f t="shared" si="340"/>
        <v>1</v>
      </c>
      <c r="BS124" s="61"/>
      <c r="BT124" s="39">
        <f t="shared" si="341"/>
        <v>6.5703095005102782E-2</v>
      </c>
      <c r="BU124" s="39">
        <f t="shared" si="342"/>
        <v>0.14467925325002548</v>
      </c>
      <c r="BV124" s="39">
        <f t="shared" si="343"/>
        <v>0.23191040829947485</v>
      </c>
      <c r="BW124" s="39">
        <f t="shared" si="344"/>
        <v>0.3047831912558811</v>
      </c>
      <c r="BX124" s="39">
        <f t="shared" si="345"/>
        <v>0.40398341408989941</v>
      </c>
      <c r="BY124" s="39">
        <f t="shared" si="346"/>
        <v>0.48909319133353857</v>
      </c>
      <c r="BZ124" s="39">
        <f t="shared" si="347"/>
        <v>0.56412140187106496</v>
      </c>
      <c r="CA124" s="39">
        <f t="shared" si="348"/>
        <v>0.66353604441797454</v>
      </c>
      <c r="CB124" s="39">
        <f t="shared" si="349"/>
        <v>0.75146212209976337</v>
      </c>
      <c r="CC124" s="39">
        <f t="shared" si="350"/>
        <v>0.84758407457020268</v>
      </c>
      <c r="CD124" s="39">
        <f t="shared" si="351"/>
        <v>0.92601342243849472</v>
      </c>
      <c r="CE124" s="39">
        <f t="shared" si="352"/>
        <v>1</v>
      </c>
      <c r="CG124" s="39">
        <f t="shared" ref="CG124:CG149" si="376">(AT124+BG124+BT124)/3</f>
        <v>6.613721198394007E-2</v>
      </c>
      <c r="CH124" s="39">
        <f t="shared" si="353"/>
        <v>0.13897259093181089</v>
      </c>
      <c r="CI124" s="39">
        <f t="shared" si="354"/>
        <v>0.21800471092629156</v>
      </c>
      <c r="CJ124" s="39">
        <f t="shared" si="355"/>
        <v>0.30483262992498283</v>
      </c>
      <c r="CK124" s="39">
        <f t="shared" si="356"/>
        <v>0.40110733093007611</v>
      </c>
      <c r="CL124" s="39">
        <f t="shared" si="357"/>
        <v>0.48282778068358595</v>
      </c>
      <c r="CM124" s="39">
        <f t="shared" si="358"/>
        <v>0.56892925216429147</v>
      </c>
      <c r="CN124" s="39">
        <f t="shared" si="359"/>
        <v>0.66398787353445266</v>
      </c>
      <c r="CO124" s="39">
        <f t="shared" si="360"/>
        <v>0.74565062361799095</v>
      </c>
      <c r="CP124" s="39">
        <f t="shared" si="361"/>
        <v>0.84536008383335748</v>
      </c>
      <c r="CQ124" s="39">
        <f t="shared" si="362"/>
        <v>0.92460934587963262</v>
      </c>
      <c r="CR124" s="39">
        <f t="shared" si="363"/>
        <v>1</v>
      </c>
    </row>
    <row r="125" spans="1:96">
      <c r="A125" s="193" t="s">
        <v>89</v>
      </c>
      <c r="B125" s="34">
        <v>18811.599999999999</v>
      </c>
      <c r="C125" s="34">
        <v>22173.84</v>
      </c>
      <c r="D125" s="34">
        <v>21984.32</v>
      </c>
      <c r="E125" s="34">
        <v>21419.35</v>
      </c>
      <c r="F125" s="34">
        <v>22552.880000000001</v>
      </c>
      <c r="G125" s="34">
        <v>23974.28</v>
      </c>
      <c r="H125" s="34">
        <v>34682.160000000003</v>
      </c>
      <c r="I125" s="34">
        <v>31270.799999999999</v>
      </c>
      <c r="J125" s="34">
        <v>30891.759999999998</v>
      </c>
      <c r="K125" s="34">
        <v>34303.120000000003</v>
      </c>
      <c r="L125" s="34">
        <v>33177.160000000003</v>
      </c>
      <c r="M125" s="34">
        <v>28143.72</v>
      </c>
      <c r="N125" s="68">
        <f t="shared" si="328"/>
        <v>323384.99</v>
      </c>
      <c r="P125" s="85" t="s">
        <v>89</v>
      </c>
      <c r="Q125" s="34">
        <v>19171.25</v>
      </c>
      <c r="R125" s="34">
        <v>17209.509999999998</v>
      </c>
      <c r="S125" s="34">
        <v>16838.38</v>
      </c>
      <c r="T125" s="34">
        <v>16521.5</v>
      </c>
      <c r="U125" s="34">
        <v>19947</v>
      </c>
      <c r="V125" s="34">
        <v>24430.5</v>
      </c>
      <c r="W125" s="34">
        <v>19215</v>
      </c>
      <c r="X125" s="34">
        <v>21136.5</v>
      </c>
      <c r="Y125" s="34">
        <v>20679</v>
      </c>
      <c r="Z125" s="34">
        <v>22600.5</v>
      </c>
      <c r="AA125" s="34">
        <v>29463</v>
      </c>
      <c r="AB125" s="34">
        <v>21777</v>
      </c>
      <c r="AC125" s="68">
        <f t="shared" si="209"/>
        <v>248989.14</v>
      </c>
      <c r="AE125" s="85" t="s">
        <v>89</v>
      </c>
      <c r="AF125" s="34">
        <v>16227.84</v>
      </c>
      <c r="AG125" s="34">
        <v>15636.26</v>
      </c>
      <c r="AH125" s="34">
        <v>19947.84</v>
      </c>
      <c r="AI125" s="34">
        <v>15686.01</v>
      </c>
      <c r="AJ125" s="34">
        <v>16588.59</v>
      </c>
      <c r="AK125" s="34">
        <v>18293.93</v>
      </c>
      <c r="AL125" s="34">
        <v>16298.599999999999</v>
      </c>
      <c r="AM125" s="34">
        <v>23694</v>
      </c>
      <c r="AN125" s="34">
        <v>17375.599999999999</v>
      </c>
      <c r="AO125" s="34">
        <v>27777.9</v>
      </c>
      <c r="AP125" s="34">
        <v>19306.68</v>
      </c>
      <c r="AQ125" s="34">
        <v>18505.650000000001</v>
      </c>
      <c r="AR125" s="68">
        <f t="shared" si="210"/>
        <v>225338.9</v>
      </c>
      <c r="AT125" s="39">
        <f t="shared" si="364"/>
        <v>5.8170912632648779E-2</v>
      </c>
      <c r="AU125" s="39">
        <f t="shared" si="365"/>
        <v>0.12673884461984461</v>
      </c>
      <c r="AV125" s="39">
        <f t="shared" si="366"/>
        <v>0.19472072590629516</v>
      </c>
      <c r="AW125" s="39">
        <f t="shared" si="367"/>
        <v>0.26095555640971463</v>
      </c>
      <c r="AX125" s="39">
        <f t="shared" si="368"/>
        <v>0.33069558979840102</v>
      </c>
      <c r="AY125" s="39">
        <f t="shared" si="369"/>
        <v>0.40483100344267681</v>
      </c>
      <c r="AZ125" s="39">
        <f t="shared" si="370"/>
        <v>0.51207828167906</v>
      </c>
      <c r="BA125" s="39">
        <f t="shared" si="371"/>
        <v>0.60877664730202841</v>
      </c>
      <c r="BB125" s="39">
        <f t="shared" si="372"/>
        <v>0.70430291152350644</v>
      </c>
      <c r="BC125" s="39">
        <f t="shared" si="373"/>
        <v>0.81037808835839908</v>
      </c>
      <c r="BD125" s="39">
        <f t="shared" si="374"/>
        <v>0.91297147093932851</v>
      </c>
      <c r="BE125" s="39">
        <f t="shared" si="375"/>
        <v>1</v>
      </c>
      <c r="BG125" s="39">
        <f t="shared" si="329"/>
        <v>7.6996330040739927E-2</v>
      </c>
      <c r="BH125" s="39">
        <f t="shared" si="330"/>
        <v>0.14611384255554274</v>
      </c>
      <c r="BI125" s="39">
        <f t="shared" si="331"/>
        <v>0.21374080813323826</v>
      </c>
      <c r="BJ125" s="39">
        <f t="shared" si="332"/>
        <v>0.28009510776253133</v>
      </c>
      <c r="BK125" s="39">
        <f t="shared" si="333"/>
        <v>0.36020703553576672</v>
      </c>
      <c r="BL125" s="39">
        <f t="shared" si="334"/>
        <v>0.45832577276261927</v>
      </c>
      <c r="BM125" s="39">
        <f t="shared" si="335"/>
        <v>0.53549781327812129</v>
      </c>
      <c r="BN125" s="39">
        <f t="shared" si="336"/>
        <v>0.62038705784517356</v>
      </c>
      <c r="BO125" s="39">
        <f t="shared" si="337"/>
        <v>0.70343887287614237</v>
      </c>
      <c r="BP125" s="39">
        <f t="shared" si="338"/>
        <v>0.79420789195866137</v>
      </c>
      <c r="BQ125" s="39">
        <f t="shared" si="339"/>
        <v>0.91253835408243111</v>
      </c>
      <c r="BR125" s="39">
        <f t="shared" si="340"/>
        <v>1</v>
      </c>
      <c r="BS125" s="61"/>
      <c r="BT125" s="39">
        <f t="shared" si="341"/>
        <v>7.2015262344850353E-2</v>
      </c>
      <c r="BU125" s="39">
        <f t="shared" si="342"/>
        <v>0.1414052345156562</v>
      </c>
      <c r="BV125" s="39">
        <f t="shared" si="343"/>
        <v>0.22992896477261585</v>
      </c>
      <c r="BW125" s="39">
        <f t="shared" si="344"/>
        <v>0.29953971551294517</v>
      </c>
      <c r="BX125" s="39">
        <f t="shared" si="345"/>
        <v>0.37315589984685288</v>
      </c>
      <c r="BY125" s="39">
        <f t="shared" si="346"/>
        <v>0.45433997414560912</v>
      </c>
      <c r="BZ125" s="39">
        <f t="shared" si="347"/>
        <v>0.52666925240160489</v>
      </c>
      <c r="CA125" s="39">
        <f t="shared" si="348"/>
        <v>0.6318175423772816</v>
      </c>
      <c r="CB125" s="39">
        <f t="shared" si="349"/>
        <v>0.70892628835944449</v>
      </c>
      <c r="CC125" s="39">
        <f t="shared" si="350"/>
        <v>0.83219794718089068</v>
      </c>
      <c r="CD125" s="39">
        <f t="shared" si="351"/>
        <v>0.91787636311351484</v>
      </c>
      <c r="CE125" s="39">
        <f t="shared" si="352"/>
        <v>1</v>
      </c>
      <c r="CG125" s="39">
        <f t="shared" si="376"/>
        <v>6.9060835006079679E-2</v>
      </c>
      <c r="CH125" s="39">
        <f t="shared" si="353"/>
        <v>0.13808597389701452</v>
      </c>
      <c r="CI125" s="39">
        <f t="shared" si="354"/>
        <v>0.21279683293738308</v>
      </c>
      <c r="CJ125" s="39">
        <f t="shared" si="355"/>
        <v>0.28019679322839702</v>
      </c>
      <c r="CK125" s="39">
        <f t="shared" si="356"/>
        <v>0.35468617506034023</v>
      </c>
      <c r="CL125" s="39">
        <f t="shared" si="357"/>
        <v>0.43916558345030171</v>
      </c>
      <c r="CM125" s="39">
        <f t="shared" si="358"/>
        <v>0.52474844911959539</v>
      </c>
      <c r="CN125" s="39">
        <f t="shared" si="359"/>
        <v>0.62032708250816115</v>
      </c>
      <c r="CO125" s="39">
        <f t="shared" si="360"/>
        <v>0.70555602425303121</v>
      </c>
      <c r="CP125" s="39">
        <f t="shared" si="361"/>
        <v>0.81226130916598382</v>
      </c>
      <c r="CQ125" s="39">
        <f t="shared" si="362"/>
        <v>0.91446206271175823</v>
      </c>
      <c r="CR125" s="39">
        <f t="shared" si="363"/>
        <v>1</v>
      </c>
    </row>
    <row r="126" spans="1:96">
      <c r="A126" s="193" t="s">
        <v>90</v>
      </c>
      <c r="B126" s="34">
        <v>33813.24</v>
      </c>
      <c r="C126" s="34">
        <v>42642</v>
      </c>
      <c r="D126" s="34">
        <v>43494.84</v>
      </c>
      <c r="E126" s="34">
        <v>46906.2</v>
      </c>
      <c r="F126" s="34">
        <v>53634.16</v>
      </c>
      <c r="G126" s="34">
        <v>44726.720000000001</v>
      </c>
      <c r="H126" s="34">
        <v>52118</v>
      </c>
      <c r="I126" s="34">
        <v>56666.48</v>
      </c>
      <c r="J126" s="34">
        <v>52497.04</v>
      </c>
      <c r="K126" s="34">
        <v>51454.68</v>
      </c>
      <c r="L126" s="34">
        <v>50980.88</v>
      </c>
      <c r="M126" s="34">
        <v>41789.160000000003</v>
      </c>
      <c r="N126" s="68">
        <f t="shared" si="328"/>
        <v>570723.39999999991</v>
      </c>
      <c r="P126" s="85" t="s">
        <v>90</v>
      </c>
      <c r="Q126" s="34">
        <v>35069.5</v>
      </c>
      <c r="R126" s="34">
        <v>32574</v>
      </c>
      <c r="S126" s="34">
        <v>36142.5</v>
      </c>
      <c r="T126" s="34">
        <v>43096.5</v>
      </c>
      <c r="U126" s="34">
        <v>42547.5</v>
      </c>
      <c r="V126" s="34">
        <v>38064</v>
      </c>
      <c r="W126" s="34">
        <v>43279.5</v>
      </c>
      <c r="X126" s="34">
        <v>50965.5</v>
      </c>
      <c r="Y126" s="34">
        <v>35227.5</v>
      </c>
      <c r="Z126" s="34">
        <v>47122.5</v>
      </c>
      <c r="AA126" s="34">
        <v>40534.5</v>
      </c>
      <c r="AB126" s="34">
        <v>36325.5</v>
      </c>
      <c r="AC126" s="68">
        <f t="shared" si="209"/>
        <v>480949</v>
      </c>
      <c r="AE126" s="85" t="s">
        <v>90</v>
      </c>
      <c r="AF126" s="34">
        <v>29246.720000000001</v>
      </c>
      <c r="AG126" s="34">
        <v>26786.45</v>
      </c>
      <c r="AH126" s="34">
        <v>37755.15</v>
      </c>
      <c r="AI126" s="34">
        <v>28109.7</v>
      </c>
      <c r="AJ126" s="34">
        <v>32536.57</v>
      </c>
      <c r="AK126" s="34">
        <v>35882.050000000003</v>
      </c>
      <c r="AL126" s="34">
        <v>31807.4</v>
      </c>
      <c r="AM126" s="34">
        <v>41428.6</v>
      </c>
      <c r="AN126" s="34">
        <v>36348.75</v>
      </c>
      <c r="AO126" s="34">
        <v>36707.75</v>
      </c>
      <c r="AP126" s="34">
        <v>37515.5</v>
      </c>
      <c r="AQ126" s="34">
        <v>29079</v>
      </c>
      <c r="AR126" s="68">
        <f t="shared" si="210"/>
        <v>403203.64</v>
      </c>
      <c r="AT126" s="39">
        <f t="shared" si="364"/>
        <v>5.9246282875382375E-2</v>
      </c>
      <c r="AU126" s="39">
        <f t="shared" si="365"/>
        <v>0.13396198578856239</v>
      </c>
      <c r="AV126" s="39">
        <f t="shared" si="366"/>
        <v>0.210172002760006</v>
      </c>
      <c r="AW126" s="39">
        <f t="shared" si="367"/>
        <v>0.29235927596450401</v>
      </c>
      <c r="AX126" s="39">
        <f t="shared" si="368"/>
        <v>0.38633502673974818</v>
      </c>
      <c r="AY126" s="39">
        <f t="shared" si="369"/>
        <v>0.46470349735090594</v>
      </c>
      <c r="AZ126" s="39">
        <f t="shared" si="370"/>
        <v>0.55602268980034819</v>
      </c>
      <c r="BA126" s="39">
        <f t="shared" si="371"/>
        <v>0.65531155722719625</v>
      </c>
      <c r="BB126" s="39">
        <f t="shared" si="372"/>
        <v>0.74729488925808896</v>
      </c>
      <c r="BC126" s="39">
        <f t="shared" si="373"/>
        <v>0.83745183743999285</v>
      </c>
      <c r="BD126" s="39">
        <f t="shared" si="374"/>
        <v>0.92677861114508353</v>
      </c>
      <c r="BE126" s="39">
        <f t="shared" si="375"/>
        <v>1</v>
      </c>
      <c r="BG126" s="39">
        <f t="shared" si="329"/>
        <v>7.2917294765141416E-2</v>
      </c>
      <c r="BH126" s="39">
        <f t="shared" si="330"/>
        <v>0.14064588968892752</v>
      </c>
      <c r="BI126" s="39">
        <f t="shared" si="331"/>
        <v>0.21579419023638682</v>
      </c>
      <c r="BJ126" s="39">
        <f t="shared" si="332"/>
        <v>0.30540140430690155</v>
      </c>
      <c r="BK126" s="39">
        <f t="shared" si="333"/>
        <v>0.39386712520454353</v>
      </c>
      <c r="BL126" s="39">
        <f t="shared" si="334"/>
        <v>0.4730106518570576</v>
      </c>
      <c r="BM126" s="39">
        <f t="shared" si="335"/>
        <v>0.56299836365186329</v>
      </c>
      <c r="BN126" s="39">
        <f t="shared" si="336"/>
        <v>0.66896697986688813</v>
      </c>
      <c r="BO126" s="39">
        <f t="shared" si="337"/>
        <v>0.74221279179289279</v>
      </c>
      <c r="BP126" s="39">
        <f t="shared" si="338"/>
        <v>0.84019095579780811</v>
      </c>
      <c r="BQ126" s="39">
        <f t="shared" si="339"/>
        <v>0.92447120172824981</v>
      </c>
      <c r="BR126" s="39">
        <f t="shared" si="340"/>
        <v>1</v>
      </c>
      <c r="BS126" s="61"/>
      <c r="BT126" s="39">
        <f t="shared" si="341"/>
        <v>7.2535853098945238E-2</v>
      </c>
      <c r="BU126" s="39">
        <f t="shared" si="342"/>
        <v>0.13896990116458274</v>
      </c>
      <c r="BV126" s="39">
        <f t="shared" si="343"/>
        <v>0.23260782070320596</v>
      </c>
      <c r="BW126" s="39">
        <f t="shared" si="344"/>
        <v>0.30232370918080004</v>
      </c>
      <c r="BX126" s="39">
        <f t="shared" si="345"/>
        <v>0.38301883881802257</v>
      </c>
      <c r="BY126" s="39">
        <f t="shared" si="346"/>
        <v>0.47201121497811876</v>
      </c>
      <c r="BZ126" s="39">
        <f t="shared" si="347"/>
        <v>0.55089790360027502</v>
      </c>
      <c r="CA126" s="39">
        <f t="shared" si="348"/>
        <v>0.65364647997721448</v>
      </c>
      <c r="CB126" s="39">
        <f t="shared" si="349"/>
        <v>0.74379633576720683</v>
      </c>
      <c r="CC126" s="39">
        <f t="shared" si="350"/>
        <v>0.83483656050327326</v>
      </c>
      <c r="CD126" s="39">
        <f t="shared" si="351"/>
        <v>0.92788011536800608</v>
      </c>
      <c r="CE126" s="39">
        <f t="shared" si="352"/>
        <v>1</v>
      </c>
      <c r="CG126" s="39">
        <f t="shared" si="376"/>
        <v>6.8233143579823005E-2</v>
      </c>
      <c r="CH126" s="39">
        <f t="shared" si="353"/>
        <v>0.13785925888069087</v>
      </c>
      <c r="CI126" s="39">
        <f t="shared" si="354"/>
        <v>0.2195246712331996</v>
      </c>
      <c r="CJ126" s="39">
        <f t="shared" si="355"/>
        <v>0.30002812981740185</v>
      </c>
      <c r="CK126" s="39">
        <f t="shared" si="356"/>
        <v>0.38774033025410476</v>
      </c>
      <c r="CL126" s="39">
        <f t="shared" si="357"/>
        <v>0.46990845472869408</v>
      </c>
      <c r="CM126" s="39">
        <f t="shared" si="358"/>
        <v>0.55663965235082891</v>
      </c>
      <c r="CN126" s="39">
        <f t="shared" si="359"/>
        <v>0.65930833902376629</v>
      </c>
      <c r="CO126" s="39">
        <f t="shared" si="360"/>
        <v>0.74443467227272953</v>
      </c>
      <c r="CP126" s="39">
        <f t="shared" si="361"/>
        <v>0.83749311791369141</v>
      </c>
      <c r="CQ126" s="39">
        <f t="shared" si="362"/>
        <v>0.92637664274711307</v>
      </c>
      <c r="CR126" s="39">
        <f t="shared" si="363"/>
        <v>1</v>
      </c>
    </row>
    <row r="127" spans="1:96">
      <c r="A127" s="193" t="s">
        <v>91</v>
      </c>
      <c r="B127" s="34">
        <v>121496.02</v>
      </c>
      <c r="C127" s="34">
        <v>159860.12</v>
      </c>
      <c r="D127" s="34">
        <v>128589.32</v>
      </c>
      <c r="E127" s="34">
        <v>153700.72</v>
      </c>
      <c r="F127" s="34">
        <v>175969.32</v>
      </c>
      <c r="G127" s="34">
        <v>133990.64000000001</v>
      </c>
      <c r="H127" s="34">
        <v>169525.64</v>
      </c>
      <c r="I127" s="34">
        <v>174168.88</v>
      </c>
      <c r="J127" s="34">
        <v>173316.04</v>
      </c>
      <c r="K127" s="34">
        <v>180044</v>
      </c>
      <c r="L127" s="34">
        <v>164977.16</v>
      </c>
      <c r="M127" s="34">
        <v>158817.76</v>
      </c>
      <c r="N127" s="68">
        <f t="shared" si="328"/>
        <v>1894455.62</v>
      </c>
      <c r="P127" s="85" t="s">
        <v>91</v>
      </c>
      <c r="Q127" s="34">
        <v>105857.75</v>
      </c>
      <c r="R127" s="34">
        <v>106045</v>
      </c>
      <c r="S127" s="34">
        <v>132034.5</v>
      </c>
      <c r="T127" s="34">
        <v>147315</v>
      </c>
      <c r="U127" s="34">
        <v>150155.29999999999</v>
      </c>
      <c r="V127" s="34">
        <v>130662</v>
      </c>
      <c r="W127" s="34">
        <v>139995</v>
      </c>
      <c r="X127" s="34">
        <v>160857</v>
      </c>
      <c r="Y127" s="34">
        <v>146949</v>
      </c>
      <c r="Z127" s="34">
        <v>157929</v>
      </c>
      <c r="AA127" s="34">
        <v>141276</v>
      </c>
      <c r="AB127" s="34">
        <v>125721</v>
      </c>
      <c r="AC127" s="68">
        <f t="shared" si="209"/>
        <v>1644796.55</v>
      </c>
      <c r="AE127" s="85" t="s">
        <v>91</v>
      </c>
      <c r="AF127" s="34">
        <v>101428.78</v>
      </c>
      <c r="AG127" s="34">
        <v>116303.67000000001</v>
      </c>
      <c r="AH127" s="34">
        <v>129991.91</v>
      </c>
      <c r="AI127" s="34">
        <v>104688.05</v>
      </c>
      <c r="AJ127" s="34">
        <v>138637.52000000002</v>
      </c>
      <c r="AK127" s="34">
        <v>130104.03</v>
      </c>
      <c r="AL127" s="34">
        <v>115464.73</v>
      </c>
      <c r="AM127" s="34">
        <v>142612.75</v>
      </c>
      <c r="AN127" s="34">
        <v>130760.33</v>
      </c>
      <c r="AO127" s="34">
        <v>133368.5</v>
      </c>
      <c r="AP127" s="34">
        <v>122149.75</v>
      </c>
      <c r="AQ127" s="34">
        <v>121252.25</v>
      </c>
      <c r="AR127" s="68">
        <f t="shared" si="210"/>
        <v>1486762.27</v>
      </c>
      <c r="AT127" s="39">
        <f t="shared" si="364"/>
        <v>6.4132418156092774E-2</v>
      </c>
      <c r="AU127" s="39">
        <f t="shared" si="365"/>
        <v>0.14851556142550335</v>
      </c>
      <c r="AV127" s="39">
        <f t="shared" si="366"/>
        <v>0.21639222142348205</v>
      </c>
      <c r="AW127" s="39">
        <f t="shared" si="367"/>
        <v>0.29752408768488331</v>
      </c>
      <c r="AX127" s="39">
        <f t="shared" si="368"/>
        <v>0.39041057082139508</v>
      </c>
      <c r="AY127" s="39">
        <f t="shared" si="369"/>
        <v>0.46113835065716663</v>
      </c>
      <c r="AZ127" s="39">
        <f t="shared" si="370"/>
        <v>0.55062349784683795</v>
      </c>
      <c r="BA127" s="39">
        <f t="shared" si="371"/>
        <v>0.64255960770408549</v>
      </c>
      <c r="BB127" s="39">
        <f t="shared" si="372"/>
        <v>0.73404554074483941</v>
      </c>
      <c r="BC127" s="39">
        <f t="shared" si="373"/>
        <v>0.82908286867126513</v>
      </c>
      <c r="BD127" s="39">
        <f t="shared" si="374"/>
        <v>0.91616707283963716</v>
      </c>
      <c r="BE127" s="39">
        <f t="shared" si="375"/>
        <v>1</v>
      </c>
      <c r="BG127" s="39">
        <f t="shared" si="329"/>
        <v>6.4359175607463431E-2</v>
      </c>
      <c r="BH127" s="39">
        <f t="shared" si="330"/>
        <v>0.12883219508212124</v>
      </c>
      <c r="BI127" s="39">
        <f t="shared" si="331"/>
        <v>0.20910625694101803</v>
      </c>
      <c r="BJ127" s="39">
        <f t="shared" si="332"/>
        <v>0.29867052554311352</v>
      </c>
      <c r="BK127" s="39">
        <f t="shared" si="333"/>
        <v>0.38996163385678312</v>
      </c>
      <c r="BL127" s="39">
        <f t="shared" si="334"/>
        <v>0.46940124600820693</v>
      </c>
      <c r="BM127" s="39">
        <f t="shared" si="335"/>
        <v>0.5545151161704468</v>
      </c>
      <c r="BN127" s="39">
        <f t="shared" si="336"/>
        <v>0.65231262188627526</v>
      </c>
      <c r="BO127" s="39">
        <f t="shared" si="337"/>
        <v>0.74165437056637795</v>
      </c>
      <c r="BP127" s="39">
        <f t="shared" si="338"/>
        <v>0.83767171690626419</v>
      </c>
      <c r="BQ127" s="39">
        <f t="shared" si="339"/>
        <v>0.9235644067954788</v>
      </c>
      <c r="BR127" s="39">
        <f t="shared" si="340"/>
        <v>1</v>
      </c>
      <c r="BS127" s="61"/>
      <c r="BT127" s="39">
        <f t="shared" si="341"/>
        <v>6.8221249655467789E-2</v>
      </c>
      <c r="BU127" s="39">
        <f t="shared" si="342"/>
        <v>0.14644738731498749</v>
      </c>
      <c r="BV127" s="39">
        <f t="shared" si="343"/>
        <v>0.23388026923766364</v>
      </c>
      <c r="BW127" s="39">
        <f t="shared" si="344"/>
        <v>0.30429371200010341</v>
      </c>
      <c r="BX127" s="39">
        <f t="shared" si="345"/>
        <v>0.39754165270820324</v>
      </c>
      <c r="BY127" s="39">
        <f t="shared" si="346"/>
        <v>0.48504994682169328</v>
      </c>
      <c r="BZ127" s="39">
        <f t="shared" si="347"/>
        <v>0.56271181135098347</v>
      </c>
      <c r="CA127" s="39">
        <f t="shared" si="348"/>
        <v>0.65863350164246492</v>
      </c>
      <c r="CB127" s="39">
        <f t="shared" si="349"/>
        <v>0.74658322476800543</v>
      </c>
      <c r="CC127" s="39">
        <f t="shared" si="350"/>
        <v>0.83628720952139846</v>
      </c>
      <c r="CD127" s="39">
        <f t="shared" si="351"/>
        <v>0.91844543512662591</v>
      </c>
      <c r="CE127" s="39">
        <f t="shared" si="352"/>
        <v>1</v>
      </c>
      <c r="CG127" s="39">
        <f t="shared" si="376"/>
        <v>6.5570947806341331E-2</v>
      </c>
      <c r="CH127" s="39">
        <f t="shared" si="353"/>
        <v>0.14126504794087069</v>
      </c>
      <c r="CI127" s="39">
        <f t="shared" si="354"/>
        <v>0.21979291586738792</v>
      </c>
      <c r="CJ127" s="39">
        <f t="shared" si="355"/>
        <v>0.30016277507603339</v>
      </c>
      <c r="CK127" s="39">
        <f t="shared" si="356"/>
        <v>0.39263795246212713</v>
      </c>
      <c r="CL127" s="39">
        <f t="shared" si="357"/>
        <v>0.47186318116235565</v>
      </c>
      <c r="CM127" s="39">
        <f t="shared" si="358"/>
        <v>0.5559501417894227</v>
      </c>
      <c r="CN127" s="39">
        <f t="shared" si="359"/>
        <v>0.65116857707760856</v>
      </c>
      <c r="CO127" s="39">
        <f t="shared" si="360"/>
        <v>0.74076104535974086</v>
      </c>
      <c r="CP127" s="39">
        <f t="shared" si="361"/>
        <v>0.83434726503297585</v>
      </c>
      <c r="CQ127" s="39">
        <f t="shared" si="362"/>
        <v>0.91939230492058066</v>
      </c>
      <c r="CR127" s="39">
        <f t="shared" si="363"/>
        <v>1</v>
      </c>
    </row>
    <row r="128" spans="1:96">
      <c r="A128" s="193" t="s">
        <v>92</v>
      </c>
      <c r="B128" s="34">
        <v>68998.759999999995</v>
      </c>
      <c r="C128" s="34">
        <v>73533.759999999995</v>
      </c>
      <c r="D128" s="34">
        <v>63015.4</v>
      </c>
      <c r="E128" s="34">
        <v>93149.08</v>
      </c>
      <c r="F128" s="34">
        <v>95612.84</v>
      </c>
      <c r="G128" s="34">
        <v>91538.16</v>
      </c>
      <c r="H128" s="34">
        <v>103572.68</v>
      </c>
      <c r="I128" s="34">
        <v>105657.4</v>
      </c>
      <c r="J128" s="34">
        <v>106320.72</v>
      </c>
      <c r="K128" s="34">
        <v>126883.64</v>
      </c>
      <c r="L128" s="34">
        <v>98834.68</v>
      </c>
      <c r="M128" s="34">
        <v>86800.16</v>
      </c>
      <c r="N128" s="68">
        <f t="shared" si="328"/>
        <v>1113917.2799999998</v>
      </c>
      <c r="P128" s="85" t="s">
        <v>92</v>
      </c>
      <c r="Q128" s="34">
        <v>67165</v>
      </c>
      <c r="R128" s="34">
        <v>65605.5</v>
      </c>
      <c r="S128" s="34">
        <v>76493.899999999994</v>
      </c>
      <c r="T128" s="34">
        <v>73200</v>
      </c>
      <c r="U128" s="34">
        <v>78964.5</v>
      </c>
      <c r="V128" s="34">
        <v>88572</v>
      </c>
      <c r="W128" s="34">
        <v>82899</v>
      </c>
      <c r="X128" s="34">
        <v>89670</v>
      </c>
      <c r="Y128" s="34">
        <v>76311</v>
      </c>
      <c r="Z128" s="34">
        <v>88663.5</v>
      </c>
      <c r="AA128" s="34">
        <v>82716</v>
      </c>
      <c r="AB128" s="34">
        <v>79788</v>
      </c>
      <c r="AC128" s="68">
        <f t="shared" si="209"/>
        <v>950048.4</v>
      </c>
      <c r="AE128" s="85" t="s">
        <v>92</v>
      </c>
      <c r="AF128" s="34">
        <v>52899.47</v>
      </c>
      <c r="AG128" s="34">
        <v>52106.43</v>
      </c>
      <c r="AH128" s="34">
        <v>71317.149999999994</v>
      </c>
      <c r="AI128" s="34">
        <v>58014.400000000001</v>
      </c>
      <c r="AJ128" s="34">
        <v>74859.289999999994</v>
      </c>
      <c r="AK128" s="34">
        <v>94399.049999999988</v>
      </c>
      <c r="AL128" s="34">
        <v>71117.899999999994</v>
      </c>
      <c r="AM128" s="34">
        <v>70992.25</v>
      </c>
      <c r="AN128" s="34">
        <v>69556.25</v>
      </c>
      <c r="AO128" s="34">
        <v>77722.5</v>
      </c>
      <c r="AP128" s="34">
        <v>77633.75</v>
      </c>
      <c r="AQ128" s="34">
        <v>74581.649999999994</v>
      </c>
      <c r="AR128" s="68">
        <f t="shared" si="210"/>
        <v>845200.09</v>
      </c>
      <c r="AT128" s="39">
        <f t="shared" si="364"/>
        <v>6.1942445133807429E-2</v>
      </c>
      <c r="AU128" s="39">
        <f t="shared" si="365"/>
        <v>0.12795610819503583</v>
      </c>
      <c r="AV128" s="39">
        <f t="shared" si="366"/>
        <v>0.18452709522559882</v>
      </c>
      <c r="AW128" s="39">
        <f t="shared" si="367"/>
        <v>0.26815007304671679</v>
      </c>
      <c r="AX128" s="39">
        <f t="shared" si="368"/>
        <v>0.35398484885699955</v>
      </c>
      <c r="AY128" s="39">
        <f t="shared" si="369"/>
        <v>0.43616165106981741</v>
      </c>
      <c r="AZ128" s="39">
        <f t="shared" si="370"/>
        <v>0.52914223576817121</v>
      </c>
      <c r="BA128" s="39">
        <f t="shared" si="371"/>
        <v>0.62399434184197244</v>
      </c>
      <c r="BB128" s="39">
        <f t="shared" si="372"/>
        <v>0.71944193198977946</v>
      </c>
      <c r="BC128" s="39">
        <f t="shared" si="373"/>
        <v>0.83334952843177024</v>
      </c>
      <c r="BD128" s="39">
        <f t="shared" si="374"/>
        <v>0.92207665545865314</v>
      </c>
      <c r="BE128" s="39">
        <f t="shared" si="375"/>
        <v>1</v>
      </c>
      <c r="BG128" s="39">
        <f t="shared" si="329"/>
        <v>7.0696398204554631E-2</v>
      </c>
      <c r="BH128" s="39">
        <f t="shared" si="330"/>
        <v>0.13975130109160755</v>
      </c>
      <c r="BI128" s="39">
        <f t="shared" si="331"/>
        <v>0.22026709376069681</v>
      </c>
      <c r="BJ128" s="39">
        <f t="shared" si="332"/>
        <v>0.29731579991082563</v>
      </c>
      <c r="BK128" s="39">
        <f t="shared" si="333"/>
        <v>0.38043209167027703</v>
      </c>
      <c r="BL128" s="39">
        <f t="shared" si="334"/>
        <v>0.47366102611193284</v>
      </c>
      <c r="BM128" s="39">
        <f t="shared" si="335"/>
        <v>0.5609186858269537</v>
      </c>
      <c r="BN128" s="39">
        <f t="shared" si="336"/>
        <v>0.65530335086086144</v>
      </c>
      <c r="BO128" s="39">
        <f t="shared" si="337"/>
        <v>0.73562662702237069</v>
      </c>
      <c r="BP128" s="39">
        <f t="shared" si="338"/>
        <v>0.82895187234671408</v>
      </c>
      <c r="BQ128" s="39">
        <f t="shared" si="339"/>
        <v>0.91601691029635968</v>
      </c>
      <c r="BR128" s="39">
        <f t="shared" si="340"/>
        <v>1</v>
      </c>
      <c r="BS128" s="61"/>
      <c r="BT128" s="39">
        <f t="shared" si="341"/>
        <v>6.2588102658626077E-2</v>
      </c>
      <c r="BU128" s="39">
        <f t="shared" si="342"/>
        <v>0.12423791862113975</v>
      </c>
      <c r="BV128" s="39">
        <f t="shared" si="343"/>
        <v>0.20861693235266929</v>
      </c>
      <c r="BW128" s="39">
        <f t="shared" si="344"/>
        <v>0.27725677360020157</v>
      </c>
      <c r="BX128" s="39">
        <f t="shared" si="345"/>
        <v>0.36582667661571122</v>
      </c>
      <c r="BY128" s="39">
        <f t="shared" si="346"/>
        <v>0.47751508166545509</v>
      </c>
      <c r="BZ128" s="39">
        <f t="shared" si="347"/>
        <v>0.56165835240268369</v>
      </c>
      <c r="CA128" s="39">
        <f t="shared" si="348"/>
        <v>0.64565296011740836</v>
      </c>
      <c r="CB128" s="39">
        <f t="shared" si="349"/>
        <v>0.72794856186065948</v>
      </c>
      <c r="CC128" s="39">
        <f t="shared" si="350"/>
        <v>0.81990607691487583</v>
      </c>
      <c r="CD128" s="39">
        <f t="shared" si="351"/>
        <v>0.91175858724766579</v>
      </c>
      <c r="CE128" s="39">
        <f t="shared" si="352"/>
        <v>1</v>
      </c>
      <c r="CG128" s="39">
        <f t="shared" si="376"/>
        <v>6.5075648665662719E-2</v>
      </c>
      <c r="CH128" s="39">
        <f t="shared" si="353"/>
        <v>0.1306484426359277</v>
      </c>
      <c r="CI128" s="39">
        <f t="shared" si="354"/>
        <v>0.20447037377965496</v>
      </c>
      <c r="CJ128" s="39">
        <f t="shared" si="355"/>
        <v>0.28090754885258135</v>
      </c>
      <c r="CK128" s="39">
        <f t="shared" si="356"/>
        <v>0.36674787238099588</v>
      </c>
      <c r="CL128" s="39">
        <f t="shared" si="357"/>
        <v>0.46244591961573511</v>
      </c>
      <c r="CM128" s="39">
        <f t="shared" si="358"/>
        <v>0.5505730913326029</v>
      </c>
      <c r="CN128" s="39">
        <f t="shared" si="359"/>
        <v>0.64165021760674745</v>
      </c>
      <c r="CO128" s="39">
        <f t="shared" si="360"/>
        <v>0.72767237362426984</v>
      </c>
      <c r="CP128" s="39">
        <f t="shared" si="361"/>
        <v>0.82740249256445342</v>
      </c>
      <c r="CQ128" s="39">
        <f t="shared" si="362"/>
        <v>0.91661738433422624</v>
      </c>
      <c r="CR128" s="39">
        <f t="shared" si="363"/>
        <v>1</v>
      </c>
    </row>
    <row r="129" spans="1:96">
      <c r="A129" s="193" t="s">
        <v>93</v>
      </c>
      <c r="B129" s="34">
        <v>95740.86</v>
      </c>
      <c r="C129" s="34">
        <v>100824.64</v>
      </c>
      <c r="D129" s="34">
        <v>106984.04</v>
      </c>
      <c r="E129" s="34">
        <v>135696.32000000001</v>
      </c>
      <c r="F129" s="34">
        <v>151805.51999999999</v>
      </c>
      <c r="G129" s="34">
        <v>123756.56</v>
      </c>
      <c r="H129" s="34">
        <v>145077.56</v>
      </c>
      <c r="I129" s="34">
        <v>135791.07999999999</v>
      </c>
      <c r="J129" s="34">
        <v>128115.52</v>
      </c>
      <c r="K129" s="34">
        <v>147541.32</v>
      </c>
      <c r="L129" s="34">
        <v>124040.84</v>
      </c>
      <c r="M129" s="34">
        <v>113996.28</v>
      </c>
      <c r="N129" s="68">
        <f t="shared" si="328"/>
        <v>1509370.54</v>
      </c>
      <c r="P129" s="85" t="s">
        <v>93</v>
      </c>
      <c r="Q129" s="34">
        <v>91962</v>
      </c>
      <c r="R129" s="34">
        <v>89388.5</v>
      </c>
      <c r="S129" s="34">
        <v>116022</v>
      </c>
      <c r="T129" s="34">
        <v>131028</v>
      </c>
      <c r="U129" s="34">
        <v>133407</v>
      </c>
      <c r="V129" s="34">
        <v>120963</v>
      </c>
      <c r="W129" s="34">
        <v>121054.5</v>
      </c>
      <c r="X129" s="34">
        <v>132492</v>
      </c>
      <c r="Y129" s="34">
        <v>109983</v>
      </c>
      <c r="Z129" s="34">
        <v>135694.5</v>
      </c>
      <c r="AA129" s="34">
        <v>114924</v>
      </c>
      <c r="AB129" s="34">
        <v>106323</v>
      </c>
      <c r="AC129" s="68">
        <f t="shared" si="209"/>
        <v>1403241.5</v>
      </c>
      <c r="AE129" s="85" t="s">
        <v>93</v>
      </c>
      <c r="AF129" s="34">
        <v>72821.33</v>
      </c>
      <c r="AG129" s="34">
        <v>88469.88</v>
      </c>
      <c r="AH129" s="34">
        <v>115780.03</v>
      </c>
      <c r="AI129" s="34">
        <v>94172.4</v>
      </c>
      <c r="AJ129" s="34">
        <v>123998.54999999999</v>
      </c>
      <c r="AK129" s="34">
        <v>116209.60000000001</v>
      </c>
      <c r="AL129" s="34">
        <v>108974.45</v>
      </c>
      <c r="AM129" s="34">
        <v>131028.82</v>
      </c>
      <c r="AN129" s="34">
        <v>112348.08</v>
      </c>
      <c r="AO129" s="34">
        <v>111732.58</v>
      </c>
      <c r="AP129" s="34">
        <v>126797.83</v>
      </c>
      <c r="AQ129" s="34">
        <v>100789.25</v>
      </c>
      <c r="AR129" s="68">
        <f t="shared" si="210"/>
        <v>1303122.8</v>
      </c>
      <c r="AT129" s="39">
        <f t="shared" si="364"/>
        <v>6.3430984945552202E-2</v>
      </c>
      <c r="AU129" s="39">
        <f t="shared" si="365"/>
        <v>0.13023011566132728</v>
      </c>
      <c r="AV129" s="39">
        <f t="shared" si="366"/>
        <v>0.20111002034000211</v>
      </c>
      <c r="AW129" s="39">
        <f t="shared" si="367"/>
        <v>0.2910126097995791</v>
      </c>
      <c r="AX129" s="39">
        <f t="shared" si="368"/>
        <v>0.39158799270058631</v>
      </c>
      <c r="AY129" s="39">
        <f t="shared" si="369"/>
        <v>0.47358015878592669</v>
      </c>
      <c r="AZ129" s="39">
        <f t="shared" si="370"/>
        <v>0.5696980808966895</v>
      </c>
      <c r="BA129" s="39">
        <f t="shared" si="371"/>
        <v>0.65966345149415728</v>
      </c>
      <c r="BB129" s="39">
        <f t="shared" si="372"/>
        <v>0.74454354992247285</v>
      </c>
      <c r="BC129" s="39">
        <f t="shared" si="373"/>
        <v>0.84229378161839563</v>
      </c>
      <c r="BD129" s="39">
        <f t="shared" si="374"/>
        <v>0.92447429111740842</v>
      </c>
      <c r="BE129" s="39">
        <f t="shared" si="375"/>
        <v>1</v>
      </c>
      <c r="BG129" s="39">
        <f t="shared" si="329"/>
        <v>6.5535404989091328E-2</v>
      </c>
      <c r="BH129" s="39">
        <f t="shared" si="330"/>
        <v>0.12923684198336494</v>
      </c>
      <c r="BI129" s="39">
        <f t="shared" si="331"/>
        <v>0.21191826210955134</v>
      </c>
      <c r="BJ129" s="39">
        <f t="shared" si="332"/>
        <v>0.30529349367161673</v>
      </c>
      <c r="BK129" s="39">
        <f t="shared" si="333"/>
        <v>0.40036408558327274</v>
      </c>
      <c r="BL129" s="39">
        <f t="shared" si="334"/>
        <v>0.48656663874322414</v>
      </c>
      <c r="BM129" s="39">
        <f t="shared" si="335"/>
        <v>0.57283439807046754</v>
      </c>
      <c r="BN129" s="39">
        <f t="shared" si="336"/>
        <v>0.66725292830920413</v>
      </c>
      <c r="BO129" s="39">
        <f t="shared" si="337"/>
        <v>0.74563074139412211</v>
      </c>
      <c r="BP129" s="39">
        <f t="shared" si="338"/>
        <v>0.84233148748807674</v>
      </c>
      <c r="BQ129" s="39">
        <f t="shared" si="339"/>
        <v>0.92423043360675983</v>
      </c>
      <c r="BR129" s="39">
        <f t="shared" si="340"/>
        <v>1</v>
      </c>
      <c r="BS129" s="61"/>
      <c r="BT129" s="39">
        <f t="shared" si="341"/>
        <v>5.5882170122416704E-2</v>
      </c>
      <c r="BU129" s="39">
        <f t="shared" si="342"/>
        <v>0.12377284013448311</v>
      </c>
      <c r="BV129" s="39">
        <f t="shared" si="343"/>
        <v>0.21262097478457131</v>
      </c>
      <c r="BW129" s="39">
        <f t="shared" si="344"/>
        <v>0.28488768671686199</v>
      </c>
      <c r="BX129" s="39">
        <f t="shared" si="345"/>
        <v>0.38004260995203215</v>
      </c>
      <c r="BY129" s="39">
        <f t="shared" si="346"/>
        <v>0.46922039120181153</v>
      </c>
      <c r="BZ129" s="39">
        <f t="shared" si="347"/>
        <v>0.55284600960093699</v>
      </c>
      <c r="CA129" s="39">
        <f t="shared" si="348"/>
        <v>0.65339587335898042</v>
      </c>
      <c r="CB129" s="39">
        <f t="shared" si="349"/>
        <v>0.73961037286739206</v>
      </c>
      <c r="CC129" s="39">
        <f t="shared" si="350"/>
        <v>0.82535254543930925</v>
      </c>
      <c r="CD129" s="39">
        <f t="shared" si="351"/>
        <v>0.92265560083823261</v>
      </c>
      <c r="CE129" s="39">
        <f t="shared" si="352"/>
        <v>1</v>
      </c>
      <c r="CG129" s="39">
        <f t="shared" si="376"/>
        <v>6.1616186685686747E-2</v>
      </c>
      <c r="CH129" s="39">
        <f t="shared" si="353"/>
        <v>0.12774659925972509</v>
      </c>
      <c r="CI129" s="39">
        <f t="shared" si="354"/>
        <v>0.20854975241137494</v>
      </c>
      <c r="CJ129" s="39">
        <f t="shared" si="355"/>
        <v>0.29373126339601924</v>
      </c>
      <c r="CK129" s="39">
        <f t="shared" si="356"/>
        <v>0.39066489607863036</v>
      </c>
      <c r="CL129" s="39">
        <f t="shared" si="357"/>
        <v>0.47645572957698751</v>
      </c>
      <c r="CM129" s="39">
        <f t="shared" si="358"/>
        <v>0.56512616285603146</v>
      </c>
      <c r="CN129" s="39">
        <f t="shared" si="359"/>
        <v>0.66010408438744728</v>
      </c>
      <c r="CO129" s="39">
        <f t="shared" si="360"/>
        <v>0.7432615547279956</v>
      </c>
      <c r="CP129" s="39">
        <f t="shared" si="361"/>
        <v>0.83665927151526054</v>
      </c>
      <c r="CQ129" s="39">
        <f t="shared" si="362"/>
        <v>0.92378677518746699</v>
      </c>
      <c r="CR129" s="39">
        <f t="shared" si="363"/>
        <v>1</v>
      </c>
    </row>
    <row r="130" spans="1:96">
      <c r="A130" s="193" t="s">
        <v>94</v>
      </c>
      <c r="B130" s="34">
        <v>89127.22</v>
      </c>
      <c r="C130" s="34">
        <v>115698.7</v>
      </c>
      <c r="D130" s="34">
        <v>88695.360000000001</v>
      </c>
      <c r="E130" s="34">
        <v>116554.8</v>
      </c>
      <c r="F130" s="34">
        <v>116175.76</v>
      </c>
      <c r="G130" s="34">
        <v>107457.84</v>
      </c>
      <c r="H130" s="34">
        <v>136359.64000000001</v>
      </c>
      <c r="I130" s="34">
        <v>142898.07999999999</v>
      </c>
      <c r="J130" s="34">
        <v>124988.44</v>
      </c>
      <c r="K130" s="34">
        <v>150005.07999999999</v>
      </c>
      <c r="L130" s="34">
        <v>119681.88</v>
      </c>
      <c r="M130" s="34">
        <v>112480.12</v>
      </c>
      <c r="N130" s="68">
        <f t="shared" si="328"/>
        <v>1420122.92</v>
      </c>
      <c r="P130" s="85" t="s">
        <v>94</v>
      </c>
      <c r="Q130" s="34">
        <v>89843.5</v>
      </c>
      <c r="R130" s="34">
        <v>79696.5</v>
      </c>
      <c r="S130" s="34">
        <v>111447</v>
      </c>
      <c r="T130" s="34">
        <v>106048.5</v>
      </c>
      <c r="U130" s="34">
        <v>115839.00000000001</v>
      </c>
      <c r="V130" s="34">
        <v>110074.5</v>
      </c>
      <c r="W130" s="34">
        <v>110806.50000000001</v>
      </c>
      <c r="X130" s="34">
        <v>132858</v>
      </c>
      <c r="Y130" s="34">
        <v>105865.5</v>
      </c>
      <c r="Z130" s="34">
        <v>135603</v>
      </c>
      <c r="AA130" s="34">
        <v>105042</v>
      </c>
      <c r="AB130" s="34">
        <v>100924.5</v>
      </c>
      <c r="AC130" s="68">
        <f t="shared" si="209"/>
        <v>1304048.5</v>
      </c>
      <c r="AE130" s="85" t="s">
        <v>94</v>
      </c>
      <c r="AF130" s="34">
        <v>76477.17</v>
      </c>
      <c r="AG130" s="34">
        <v>71996.92</v>
      </c>
      <c r="AH130" s="34">
        <v>104239.04000000001</v>
      </c>
      <c r="AI130" s="34">
        <v>86538.29</v>
      </c>
      <c r="AJ130" s="34">
        <v>125112.88</v>
      </c>
      <c r="AK130" s="34">
        <v>112170.16</v>
      </c>
      <c r="AL130" s="34">
        <v>108034.88</v>
      </c>
      <c r="AM130" s="34">
        <v>125165.35</v>
      </c>
      <c r="AN130" s="34">
        <v>102290.88</v>
      </c>
      <c r="AO130" s="34">
        <v>106802.5</v>
      </c>
      <c r="AP130" s="34">
        <v>100968.75</v>
      </c>
      <c r="AQ130" s="34">
        <v>97468.5</v>
      </c>
      <c r="AR130" s="68">
        <f t="shared" si="210"/>
        <v>1217265.3199999998</v>
      </c>
      <c r="AT130" s="39">
        <f t="shared" si="364"/>
        <v>6.2760215150953272E-2</v>
      </c>
      <c r="AU130" s="39">
        <f t="shared" si="365"/>
        <v>0.14423112050047049</v>
      </c>
      <c r="AV130" s="39">
        <f t="shared" si="366"/>
        <v>0.2066872352148221</v>
      </c>
      <c r="AW130" s="39">
        <f t="shared" si="367"/>
        <v>0.28876097570483544</v>
      </c>
      <c r="AX130" s="39">
        <f t="shared" si="368"/>
        <v>0.37056780972171055</v>
      </c>
      <c r="AY130" s="39">
        <f t="shared" si="369"/>
        <v>0.4462357948564058</v>
      </c>
      <c r="AZ130" s="39">
        <f t="shared" si="370"/>
        <v>0.54225539856789295</v>
      </c>
      <c r="BA130" s="39">
        <f t="shared" si="371"/>
        <v>0.642879138941015</v>
      </c>
      <c r="BB130" s="39">
        <f t="shared" si="372"/>
        <v>0.73089154845835447</v>
      </c>
      <c r="BC130" s="39">
        <f t="shared" si="373"/>
        <v>0.83651978520281889</v>
      </c>
      <c r="BD130" s="39">
        <f t="shared" si="374"/>
        <v>0.92079550409622279</v>
      </c>
      <c r="BE130" s="39">
        <f t="shared" si="375"/>
        <v>1</v>
      </c>
      <c r="BG130" s="39">
        <f t="shared" si="329"/>
        <v>6.8895827110724797E-2</v>
      </c>
      <c r="BH130" s="39">
        <f t="shared" si="330"/>
        <v>0.13001050191001332</v>
      </c>
      <c r="BI130" s="39">
        <f t="shared" si="331"/>
        <v>0.21547281408628591</v>
      </c>
      <c r="BJ130" s="39">
        <f t="shared" si="332"/>
        <v>0.2967953262474517</v>
      </c>
      <c r="BK130" s="39">
        <f t="shared" si="333"/>
        <v>0.3856256113173705</v>
      </c>
      <c r="BL130" s="39">
        <f t="shared" si="334"/>
        <v>0.47003543196437864</v>
      </c>
      <c r="BM130" s="39">
        <f t="shared" si="335"/>
        <v>0.55500658142699444</v>
      </c>
      <c r="BN130" s="39">
        <f t="shared" si="336"/>
        <v>0.65688776145979233</v>
      </c>
      <c r="BO130" s="39">
        <f t="shared" si="337"/>
        <v>0.73806994141705617</v>
      </c>
      <c r="BP130" s="39">
        <f t="shared" si="338"/>
        <v>0.84205610450838297</v>
      </c>
      <c r="BQ130" s="39">
        <f t="shared" si="339"/>
        <v>0.92260678954808817</v>
      </c>
      <c r="BR130" s="39">
        <f t="shared" si="340"/>
        <v>1</v>
      </c>
      <c r="BS130" s="61"/>
      <c r="BT130" s="39">
        <f t="shared" si="341"/>
        <v>6.2827034290272893E-2</v>
      </c>
      <c r="BU130" s="39">
        <f t="shared" si="342"/>
        <v>0.12197348233004783</v>
      </c>
      <c r="BV130" s="39">
        <f t="shared" si="343"/>
        <v>0.20760727004035573</v>
      </c>
      <c r="BW130" s="39">
        <f t="shared" si="344"/>
        <v>0.27869965111632361</v>
      </c>
      <c r="BX130" s="39">
        <f t="shared" si="345"/>
        <v>0.3814815820104035</v>
      </c>
      <c r="BY130" s="39">
        <f t="shared" si="346"/>
        <v>0.47363089256498331</v>
      </c>
      <c r="BZ130" s="39">
        <f t="shared" si="347"/>
        <v>0.56238301441135286</v>
      </c>
      <c r="CA130" s="39">
        <f t="shared" si="348"/>
        <v>0.66520805012337003</v>
      </c>
      <c r="CB130" s="39">
        <f t="shared" si="349"/>
        <v>0.74924139792300992</v>
      </c>
      <c r="CC130" s="39">
        <f t="shared" si="350"/>
        <v>0.83698110285438843</v>
      </c>
      <c r="CD130" s="39">
        <f t="shared" si="351"/>
        <v>0.91992830289455707</v>
      </c>
      <c r="CE130" s="39">
        <f t="shared" si="352"/>
        <v>1</v>
      </c>
      <c r="CG130" s="39">
        <f t="shared" si="376"/>
        <v>6.4827692183983654E-2</v>
      </c>
      <c r="CH130" s="39">
        <f t="shared" si="353"/>
        <v>0.1320717015801772</v>
      </c>
      <c r="CI130" s="39">
        <f t="shared" si="354"/>
        <v>0.20992243978048788</v>
      </c>
      <c r="CJ130" s="39">
        <f t="shared" si="355"/>
        <v>0.28808531768953688</v>
      </c>
      <c r="CK130" s="39">
        <f t="shared" si="356"/>
        <v>0.37922500101649481</v>
      </c>
      <c r="CL130" s="39">
        <f t="shared" si="357"/>
        <v>0.46330070646192256</v>
      </c>
      <c r="CM130" s="39">
        <f t="shared" si="358"/>
        <v>0.55321499813541342</v>
      </c>
      <c r="CN130" s="39">
        <f t="shared" si="359"/>
        <v>0.65499165017472583</v>
      </c>
      <c r="CO130" s="39">
        <f t="shared" si="360"/>
        <v>0.73940096259947341</v>
      </c>
      <c r="CP130" s="39">
        <f t="shared" si="361"/>
        <v>0.83851899752186343</v>
      </c>
      <c r="CQ130" s="39">
        <f t="shared" si="362"/>
        <v>0.92111019884628931</v>
      </c>
      <c r="CR130" s="39">
        <f t="shared" si="363"/>
        <v>1</v>
      </c>
    </row>
    <row r="131" spans="1:96">
      <c r="A131" s="193" t="s">
        <v>95</v>
      </c>
      <c r="B131" s="34">
        <v>151172.42000000001</v>
      </c>
      <c r="C131" s="34">
        <v>188477.64</v>
      </c>
      <c r="D131" s="34">
        <v>206292.52</v>
      </c>
      <c r="E131" s="34">
        <v>275846.36</v>
      </c>
      <c r="F131" s="34">
        <v>265500.64</v>
      </c>
      <c r="G131" s="34">
        <v>199564.56</v>
      </c>
      <c r="H131" s="34">
        <v>238889.96</v>
      </c>
      <c r="I131" s="34">
        <v>255946.76</v>
      </c>
      <c r="J131" s="34">
        <v>232635.8</v>
      </c>
      <c r="K131" s="34">
        <v>248081.68</v>
      </c>
      <c r="L131" s="34">
        <v>207903.44</v>
      </c>
      <c r="M131" s="34">
        <v>214347.12</v>
      </c>
      <c r="N131" s="68">
        <f t="shared" si="328"/>
        <v>2684658.9000000004</v>
      </c>
      <c r="P131" s="85" t="s">
        <v>95</v>
      </c>
      <c r="Q131" s="34">
        <v>155402.25</v>
      </c>
      <c r="R131" s="34">
        <v>148687.20000000001</v>
      </c>
      <c r="S131" s="34">
        <v>209901</v>
      </c>
      <c r="T131" s="34">
        <v>219325.5</v>
      </c>
      <c r="U131" s="34">
        <v>200476.5</v>
      </c>
      <c r="V131" s="34">
        <v>207705</v>
      </c>
      <c r="W131" s="34">
        <v>203496.00000000003</v>
      </c>
      <c r="X131" s="34">
        <v>222619.5</v>
      </c>
      <c r="Y131" s="34">
        <v>196450.5</v>
      </c>
      <c r="Z131" s="34">
        <v>220881</v>
      </c>
      <c r="AA131" s="34">
        <v>169915.5</v>
      </c>
      <c r="AB131" s="34">
        <v>159393</v>
      </c>
      <c r="AC131" s="68">
        <f t="shared" ref="AC131:AC179" si="377">SUM(Q131:AB131)</f>
        <v>2314252.9500000002</v>
      </c>
      <c r="AE131" s="85" t="s">
        <v>95</v>
      </c>
      <c r="AF131" s="34">
        <v>122511.58</v>
      </c>
      <c r="AG131" s="34">
        <v>146276.46</v>
      </c>
      <c r="AH131" s="34">
        <v>214864.58000000002</v>
      </c>
      <c r="AI131" s="34">
        <v>174047.38</v>
      </c>
      <c r="AJ131" s="34">
        <v>251524.32</v>
      </c>
      <c r="AK131" s="34">
        <v>264662.75</v>
      </c>
      <c r="AL131" s="34">
        <v>179410.25</v>
      </c>
      <c r="AM131" s="34">
        <v>211594.59999999998</v>
      </c>
      <c r="AN131" s="34">
        <v>184920.9</v>
      </c>
      <c r="AO131" s="34">
        <v>172212.3</v>
      </c>
      <c r="AP131" s="34">
        <v>158785.70000000001</v>
      </c>
      <c r="AQ131" s="34">
        <v>144479.53</v>
      </c>
      <c r="AR131" s="68">
        <f t="shared" si="210"/>
        <v>2225290.3499999996</v>
      </c>
      <c r="AT131" s="39">
        <f t="shared" si="364"/>
        <v>5.6309730819062334E-2</v>
      </c>
      <c r="AU131" s="39">
        <f t="shared" si="365"/>
        <v>0.12651516362097248</v>
      </c>
      <c r="AV131" s="39">
        <f t="shared" si="366"/>
        <v>0.20335640404820143</v>
      </c>
      <c r="AW131" s="39">
        <f t="shared" si="367"/>
        <v>0.30610553169343035</v>
      </c>
      <c r="AX131" s="39">
        <f t="shared" si="368"/>
        <v>0.4050010152127706</v>
      </c>
      <c r="AY131" s="39">
        <f t="shared" si="369"/>
        <v>0.47933617935596956</v>
      </c>
      <c r="AZ131" s="39">
        <f t="shared" si="370"/>
        <v>0.56831953586356909</v>
      </c>
      <c r="BA131" s="39">
        <f t="shared" si="371"/>
        <v>0.66365632520392059</v>
      </c>
      <c r="BB131" s="39">
        <f t="shared" si="372"/>
        <v>0.7503100896728444</v>
      </c>
      <c r="BC131" s="39">
        <f t="shared" si="373"/>
        <v>0.84271724054031594</v>
      </c>
      <c r="BD131" s="39">
        <f t="shared" si="374"/>
        <v>0.92015852740174919</v>
      </c>
      <c r="BE131" s="39">
        <f t="shared" si="375"/>
        <v>1</v>
      </c>
      <c r="BG131" s="39">
        <f t="shared" si="329"/>
        <v>6.7150071041283538E-2</v>
      </c>
      <c r="BH131" s="39">
        <f t="shared" si="330"/>
        <v>0.13139853618853548</v>
      </c>
      <c r="BI131" s="39">
        <f t="shared" si="331"/>
        <v>0.22209778321769016</v>
      </c>
      <c r="BJ131" s="39">
        <f t="shared" si="332"/>
        <v>0.31686940271589581</v>
      </c>
      <c r="BK131" s="39">
        <f t="shared" si="333"/>
        <v>0.40349627727599952</v>
      </c>
      <c r="BL131" s="39">
        <f t="shared" si="334"/>
        <v>0.49324662198226854</v>
      </c>
      <c r="BM131" s="39">
        <f t="shared" si="335"/>
        <v>0.5811782372363401</v>
      </c>
      <c r="BN131" s="39">
        <f t="shared" si="336"/>
        <v>0.6773732102188742</v>
      </c>
      <c r="BO131" s="39">
        <f t="shared" si="337"/>
        <v>0.76226043052035419</v>
      </c>
      <c r="BP131" s="39">
        <f t="shared" si="338"/>
        <v>0.8577041891639372</v>
      </c>
      <c r="BQ131" s="39">
        <f t="shared" si="339"/>
        <v>0.93112550639721559</v>
      </c>
      <c r="BR131" s="39">
        <f t="shared" si="340"/>
        <v>1</v>
      </c>
      <c r="BS131" s="61"/>
      <c r="BT131" s="39">
        <f t="shared" si="341"/>
        <v>5.5054200005855425E-2</v>
      </c>
      <c r="BU131" s="39">
        <f t="shared" si="342"/>
        <v>0.12078785134712872</v>
      </c>
      <c r="BV131" s="39">
        <f t="shared" si="343"/>
        <v>0.217343601925924</v>
      </c>
      <c r="BW131" s="39">
        <f t="shared" si="344"/>
        <v>0.29555693709811848</v>
      </c>
      <c r="BX131" s="39">
        <f t="shared" si="345"/>
        <v>0.40858682553492409</v>
      </c>
      <c r="BY131" s="39">
        <f t="shared" si="346"/>
        <v>0.52752085587393138</v>
      </c>
      <c r="BZ131" s="39">
        <f t="shared" si="347"/>
        <v>0.60814415521102683</v>
      </c>
      <c r="CA131" s="39">
        <f t="shared" si="348"/>
        <v>0.70323044361379639</v>
      </c>
      <c r="CB131" s="39">
        <f t="shared" si="349"/>
        <v>0.7863301164272789</v>
      </c>
      <c r="CC131" s="39">
        <f t="shared" si="350"/>
        <v>0.86371880415515223</v>
      </c>
      <c r="CD131" s="39">
        <f t="shared" si="351"/>
        <v>0.93507385227280571</v>
      </c>
      <c r="CE131" s="39">
        <f t="shared" si="352"/>
        <v>1</v>
      </c>
      <c r="CG131" s="39">
        <f t="shared" si="376"/>
        <v>5.950466728873377E-2</v>
      </c>
      <c r="CH131" s="39">
        <f t="shared" si="353"/>
        <v>0.12623385038554555</v>
      </c>
      <c r="CI131" s="39">
        <f t="shared" si="354"/>
        <v>0.21426592973060518</v>
      </c>
      <c r="CJ131" s="39">
        <f t="shared" si="355"/>
        <v>0.30617729050248155</v>
      </c>
      <c r="CK131" s="39">
        <f t="shared" si="356"/>
        <v>0.40569470600789809</v>
      </c>
      <c r="CL131" s="39">
        <f t="shared" si="357"/>
        <v>0.50003455240405648</v>
      </c>
      <c r="CM131" s="39">
        <f t="shared" si="358"/>
        <v>0.58588064277031204</v>
      </c>
      <c r="CN131" s="39">
        <f t="shared" si="359"/>
        <v>0.68141999301219702</v>
      </c>
      <c r="CO131" s="39">
        <f t="shared" si="360"/>
        <v>0.76630021220682576</v>
      </c>
      <c r="CP131" s="39">
        <f t="shared" si="361"/>
        <v>0.85471341128646838</v>
      </c>
      <c r="CQ131" s="39">
        <f t="shared" si="362"/>
        <v>0.92878596202392349</v>
      </c>
      <c r="CR131" s="39">
        <f t="shared" si="363"/>
        <v>1</v>
      </c>
    </row>
    <row r="132" spans="1:96">
      <c r="A132" s="193" t="s">
        <v>96</v>
      </c>
      <c r="B132" s="34">
        <v>29875.7</v>
      </c>
      <c r="C132" s="34">
        <v>35819.279999999999</v>
      </c>
      <c r="D132" s="34">
        <v>30323.200000000001</v>
      </c>
      <c r="E132" s="34">
        <v>38567.32</v>
      </c>
      <c r="F132" s="34">
        <v>41789.160000000003</v>
      </c>
      <c r="G132" s="34">
        <v>37904</v>
      </c>
      <c r="H132" s="34">
        <v>43210.559999999998</v>
      </c>
      <c r="I132" s="34">
        <v>48043.32</v>
      </c>
      <c r="J132" s="34">
        <v>45390.04</v>
      </c>
      <c r="K132" s="34">
        <v>48138.080000000002</v>
      </c>
      <c r="L132" s="34">
        <v>40462.519999999997</v>
      </c>
      <c r="M132" s="34">
        <v>32976.480000000003</v>
      </c>
      <c r="N132" s="68">
        <f t="shared" si="328"/>
        <v>472499.66</v>
      </c>
      <c r="P132" s="85" t="s">
        <v>96</v>
      </c>
      <c r="Q132" s="34">
        <v>29320.75</v>
      </c>
      <c r="R132" s="34">
        <v>25894.5</v>
      </c>
      <c r="S132" s="34">
        <v>37606.5</v>
      </c>
      <c r="T132" s="34">
        <v>35593.5</v>
      </c>
      <c r="U132" s="34">
        <v>32665.5</v>
      </c>
      <c r="V132" s="34">
        <v>35868</v>
      </c>
      <c r="W132" s="34">
        <v>32940</v>
      </c>
      <c r="X132" s="34">
        <v>41907</v>
      </c>
      <c r="Y132" s="34">
        <v>36874.5</v>
      </c>
      <c r="Z132" s="34">
        <v>40260</v>
      </c>
      <c r="AA132" s="34">
        <v>45750</v>
      </c>
      <c r="AB132" s="34">
        <v>36142.5</v>
      </c>
      <c r="AC132" s="68">
        <f t="shared" si="377"/>
        <v>430822.75</v>
      </c>
      <c r="AE132" s="85" t="s">
        <v>96</v>
      </c>
      <c r="AF132" s="34">
        <v>24985.449999999997</v>
      </c>
      <c r="AG132" s="34">
        <v>24209.059999999998</v>
      </c>
      <c r="AH132" s="34">
        <v>31303.03</v>
      </c>
      <c r="AI132" s="34">
        <v>29228.039999999997</v>
      </c>
      <c r="AJ132" s="34">
        <v>36784.35</v>
      </c>
      <c r="AK132" s="34">
        <v>36058.090000000004</v>
      </c>
      <c r="AL132" s="34">
        <v>34194.75</v>
      </c>
      <c r="AM132" s="34">
        <v>35720.5</v>
      </c>
      <c r="AN132" s="34">
        <v>38861.75</v>
      </c>
      <c r="AO132" s="34">
        <v>36707.75</v>
      </c>
      <c r="AP132" s="34">
        <v>38772</v>
      </c>
      <c r="AQ132" s="34">
        <v>35002.5</v>
      </c>
      <c r="AR132" s="68">
        <f t="shared" ref="AR132:AR179" si="378">SUM(AF132:AQ132)</f>
        <v>401827.27</v>
      </c>
      <c r="AT132" s="39">
        <f t="shared" si="364"/>
        <v>6.3229040207140041E-2</v>
      </c>
      <c r="AU132" s="39">
        <f t="shared" si="365"/>
        <v>0.13903709475685125</v>
      </c>
      <c r="AV132" s="39">
        <f t="shared" si="366"/>
        <v>0.20321322559258562</v>
      </c>
      <c r="AW132" s="39">
        <f t="shared" si="367"/>
        <v>0.28483724199928528</v>
      </c>
      <c r="AX132" s="39">
        <f t="shared" si="368"/>
        <v>0.37327997230728172</v>
      </c>
      <c r="AY132" s="39">
        <f t="shared" si="369"/>
        <v>0.45350013585194965</v>
      </c>
      <c r="AZ132" s="39">
        <f t="shared" si="370"/>
        <v>0.54495112229287113</v>
      </c>
      <c r="BA132" s="39">
        <f t="shared" si="371"/>
        <v>0.64663017958573765</v>
      </c>
      <c r="BB132" s="39">
        <f t="shared" si="372"/>
        <v>0.74269382543047746</v>
      </c>
      <c r="BC132" s="39">
        <f t="shared" si="373"/>
        <v>0.8445734331322059</v>
      </c>
      <c r="BD132" s="39">
        <f t="shared" si="374"/>
        <v>0.93020845771613891</v>
      </c>
      <c r="BE132" s="39">
        <f t="shared" si="375"/>
        <v>1</v>
      </c>
      <c r="BG132" s="39">
        <f t="shared" si="329"/>
        <v>6.8057571240144582E-2</v>
      </c>
      <c r="BH132" s="39">
        <f t="shared" si="330"/>
        <v>0.12816233590264209</v>
      </c>
      <c r="BI132" s="39">
        <f t="shared" si="331"/>
        <v>0.21545229447609254</v>
      </c>
      <c r="BJ132" s="39">
        <f t="shared" si="332"/>
        <v>0.29806979784609794</v>
      </c>
      <c r="BK132" s="39">
        <f t="shared" si="333"/>
        <v>0.37389100273836512</v>
      </c>
      <c r="BL132" s="39">
        <f t="shared" si="334"/>
        <v>0.45714565909065852</v>
      </c>
      <c r="BM132" s="39">
        <f t="shared" si="335"/>
        <v>0.53360401696521365</v>
      </c>
      <c r="BN132" s="39">
        <f t="shared" si="336"/>
        <v>0.63087603892784216</v>
      </c>
      <c r="BO132" s="39">
        <f t="shared" si="337"/>
        <v>0.71646692288185798</v>
      </c>
      <c r="BP132" s="39">
        <f t="shared" si="338"/>
        <v>0.80991602695075871</v>
      </c>
      <c r="BQ132" s="39">
        <f t="shared" si="339"/>
        <v>0.91610819066541871</v>
      </c>
      <c r="BR132" s="39">
        <f t="shared" si="340"/>
        <v>1</v>
      </c>
      <c r="BS132" s="61"/>
      <c r="BT132" s="39">
        <f t="shared" si="341"/>
        <v>6.2179577807150811E-2</v>
      </c>
      <c r="BU132" s="39">
        <f t="shared" si="342"/>
        <v>0.12242700700726457</v>
      </c>
      <c r="BV132" s="39">
        <f t="shared" si="343"/>
        <v>0.20032871337975641</v>
      </c>
      <c r="BW132" s="39">
        <f t="shared" si="344"/>
        <v>0.27306653428474376</v>
      </c>
      <c r="BX132" s="39">
        <f t="shared" si="345"/>
        <v>0.36460922624788505</v>
      </c>
      <c r="BY132" s="39">
        <f t="shared" si="346"/>
        <v>0.45434452470087455</v>
      </c>
      <c r="BZ132" s="39">
        <f t="shared" si="347"/>
        <v>0.53944265654244916</v>
      </c>
      <c r="CA132" s="39">
        <f t="shared" si="348"/>
        <v>0.62833781788876597</v>
      </c>
      <c r="CB132" s="39">
        <f t="shared" si="349"/>
        <v>0.72505039292131668</v>
      </c>
      <c r="CC132" s="39">
        <f t="shared" si="350"/>
        <v>0.81640245571187842</v>
      </c>
      <c r="CD132" s="39">
        <f t="shared" si="351"/>
        <v>0.91289167606767951</v>
      </c>
      <c r="CE132" s="39">
        <f t="shared" si="352"/>
        <v>1</v>
      </c>
      <c r="CG132" s="39">
        <f t="shared" si="376"/>
        <v>6.4488729751478471E-2</v>
      </c>
      <c r="CH132" s="39">
        <f t="shared" si="353"/>
        <v>0.12987547922225265</v>
      </c>
      <c r="CI132" s="39">
        <f t="shared" si="354"/>
        <v>0.2063314111494782</v>
      </c>
      <c r="CJ132" s="39">
        <f t="shared" si="355"/>
        <v>0.28532452471004238</v>
      </c>
      <c r="CK132" s="39">
        <f t="shared" si="356"/>
        <v>0.37059340043117728</v>
      </c>
      <c r="CL132" s="39">
        <f t="shared" si="357"/>
        <v>0.45499677321449422</v>
      </c>
      <c r="CM132" s="39">
        <f t="shared" si="358"/>
        <v>0.5393325986001779</v>
      </c>
      <c r="CN132" s="39">
        <f t="shared" si="359"/>
        <v>0.63528134546744863</v>
      </c>
      <c r="CO132" s="39">
        <f t="shared" si="360"/>
        <v>0.72807038041121741</v>
      </c>
      <c r="CP132" s="39">
        <f t="shared" si="361"/>
        <v>0.82363063859828101</v>
      </c>
      <c r="CQ132" s="39">
        <f t="shared" si="362"/>
        <v>0.91973610814974582</v>
      </c>
      <c r="CR132" s="39">
        <f t="shared" si="363"/>
        <v>1</v>
      </c>
    </row>
    <row r="133" spans="1:96">
      <c r="A133" s="193" t="s">
        <v>97</v>
      </c>
      <c r="B133" s="34">
        <v>151002.23999999999</v>
      </c>
      <c r="C133" s="34">
        <v>205818.72</v>
      </c>
      <c r="D133" s="34">
        <v>209419.6</v>
      </c>
      <c r="E133" s="34">
        <v>245333.64</v>
      </c>
      <c r="F133" s="34">
        <v>249313.56</v>
      </c>
      <c r="G133" s="34">
        <v>221454.12</v>
      </c>
      <c r="H133" s="34">
        <v>270445.03999999998</v>
      </c>
      <c r="I133" s="34">
        <v>244575.56</v>
      </c>
      <c r="J133" s="34">
        <v>223065.04</v>
      </c>
      <c r="K133" s="34">
        <v>249603.78</v>
      </c>
      <c r="L133" s="34">
        <v>208092.96</v>
      </c>
      <c r="M133" s="34">
        <v>194826.56</v>
      </c>
      <c r="N133" s="68">
        <f t="shared" si="328"/>
        <v>2672950.8199999998</v>
      </c>
      <c r="P133" s="85" t="s">
        <v>97</v>
      </c>
      <c r="Q133" s="34">
        <v>110394.03</v>
      </c>
      <c r="R133" s="34">
        <v>143153.74</v>
      </c>
      <c r="S133" s="34">
        <v>203977.39</v>
      </c>
      <c r="T133" s="34">
        <v>197640</v>
      </c>
      <c r="U133" s="34">
        <v>216397.5</v>
      </c>
      <c r="V133" s="34">
        <v>217312.5</v>
      </c>
      <c r="W133" s="34">
        <v>219325.50000000003</v>
      </c>
      <c r="X133" s="34">
        <v>236710.5</v>
      </c>
      <c r="Y133" s="34">
        <v>188581.5</v>
      </c>
      <c r="Z133" s="34">
        <v>214294.86</v>
      </c>
      <c r="AA133" s="34">
        <v>173398.26</v>
      </c>
      <c r="AB133" s="34">
        <v>172477.5</v>
      </c>
      <c r="AC133" s="68">
        <f t="shared" si="377"/>
        <v>2293663.2800000003</v>
      </c>
      <c r="AE133" s="85" t="s">
        <v>97</v>
      </c>
      <c r="AF133" s="34">
        <v>99432.57</v>
      </c>
      <c r="AG133" s="34">
        <v>137333.68</v>
      </c>
      <c r="AH133" s="34">
        <v>203090.32</v>
      </c>
      <c r="AI133" s="34">
        <v>148308.44999999998</v>
      </c>
      <c r="AJ133" s="34">
        <v>198201.39</v>
      </c>
      <c r="AK133" s="34">
        <v>204017.57</v>
      </c>
      <c r="AL133" s="34">
        <v>189050.87</v>
      </c>
      <c r="AM133" s="34">
        <v>205294.52999999997</v>
      </c>
      <c r="AN133" s="34">
        <v>177418.91</v>
      </c>
      <c r="AO133" s="34">
        <v>170983.28</v>
      </c>
      <c r="AP133" s="34">
        <v>153869.78</v>
      </c>
      <c r="AQ133" s="34">
        <v>154144.22</v>
      </c>
      <c r="AR133" s="68">
        <f t="shared" si="378"/>
        <v>2041145.57</v>
      </c>
      <c r="AT133" s="39">
        <f t="shared" si="364"/>
        <v>5.6492711676603163E-2</v>
      </c>
      <c r="AU133" s="39">
        <f t="shared" si="365"/>
        <v>0.13349327542060799</v>
      </c>
      <c r="AV133" s="39">
        <f t="shared" si="366"/>
        <v>0.21184099451556687</v>
      </c>
      <c r="AW133" s="39">
        <f t="shared" si="367"/>
        <v>0.30362481566346217</v>
      </c>
      <c r="AX133" s="39">
        <f t="shared" si="368"/>
        <v>0.3968975979887277</v>
      </c>
      <c r="AY133" s="39">
        <f t="shared" si="369"/>
        <v>0.47974765207240139</v>
      </c>
      <c r="AZ133" s="39">
        <f t="shared" si="370"/>
        <v>0.58092610922037091</v>
      </c>
      <c r="BA133" s="39">
        <f t="shared" si="371"/>
        <v>0.67242631871543379</v>
      </c>
      <c r="BB133" s="39">
        <f t="shared" si="372"/>
        <v>0.75587904756137647</v>
      </c>
      <c r="BC133" s="39">
        <f t="shared" si="373"/>
        <v>0.84926040651956325</v>
      </c>
      <c r="BD133" s="39">
        <f t="shared" si="374"/>
        <v>0.92711180522206538</v>
      </c>
      <c r="BE133" s="39">
        <f t="shared" si="375"/>
        <v>1</v>
      </c>
      <c r="BG133" s="39">
        <f t="shared" si="329"/>
        <v>4.8130007121184759E-2</v>
      </c>
      <c r="BH133" s="39">
        <f t="shared" si="330"/>
        <v>0.11054271662752518</v>
      </c>
      <c r="BI133" s="39">
        <f t="shared" si="331"/>
        <v>0.19947355132266842</v>
      </c>
      <c r="BJ133" s="39">
        <f t="shared" si="332"/>
        <v>0.28564138673397604</v>
      </c>
      <c r="BK133" s="39">
        <f t="shared" si="333"/>
        <v>0.37998718800607906</v>
      </c>
      <c r="BL133" s="39">
        <f t="shared" si="334"/>
        <v>0.47473191444212337</v>
      </c>
      <c r="BM133" s="39">
        <f t="shared" si="335"/>
        <v>0.57035427623883839</v>
      </c>
      <c r="BN133" s="39">
        <f t="shared" si="336"/>
        <v>0.67355621615043682</v>
      </c>
      <c r="BO133" s="39">
        <f t="shared" si="337"/>
        <v>0.75577469243872619</v>
      </c>
      <c r="BP133" s="39">
        <f t="shared" si="338"/>
        <v>0.84920377676360581</v>
      </c>
      <c r="BQ133" s="39">
        <f t="shared" si="339"/>
        <v>0.92480260659707647</v>
      </c>
      <c r="BR133" s="39">
        <f t="shared" si="340"/>
        <v>1</v>
      </c>
      <c r="BS133" s="61"/>
      <c r="BT133" s="39">
        <f t="shared" si="341"/>
        <v>4.8714100288300359E-2</v>
      </c>
      <c r="BU133" s="39">
        <f t="shared" si="342"/>
        <v>0.11599674882570966</v>
      </c>
      <c r="BV133" s="39">
        <f t="shared" si="343"/>
        <v>0.21549495364997412</v>
      </c>
      <c r="BW133" s="39">
        <f t="shared" si="344"/>
        <v>0.28815437205686412</v>
      </c>
      <c r="BX133" s="39">
        <f t="shared" si="345"/>
        <v>0.3852573875953394</v>
      </c>
      <c r="BY133" s="39">
        <f t="shared" si="346"/>
        <v>0.48520987163105667</v>
      </c>
      <c r="BZ133" s="39">
        <f t="shared" si="347"/>
        <v>0.57782985561387479</v>
      </c>
      <c r="CA133" s="39">
        <f t="shared" si="348"/>
        <v>0.67840794912045399</v>
      </c>
      <c r="CB133" s="39">
        <f t="shared" si="349"/>
        <v>0.76532919207717265</v>
      </c>
      <c r="CC133" s="39">
        <f t="shared" si="350"/>
        <v>0.84909748499711368</v>
      </c>
      <c r="CD133" s="39">
        <f t="shared" si="351"/>
        <v>0.9244815155442343</v>
      </c>
      <c r="CE133" s="39">
        <f t="shared" si="352"/>
        <v>1</v>
      </c>
      <c r="CG133" s="39">
        <f t="shared" si="376"/>
        <v>5.1112273028696094E-2</v>
      </c>
      <c r="CH133" s="39">
        <f t="shared" si="353"/>
        <v>0.12001091362461429</v>
      </c>
      <c r="CI133" s="39">
        <f t="shared" si="354"/>
        <v>0.20893649982940313</v>
      </c>
      <c r="CJ133" s="39">
        <f t="shared" si="355"/>
        <v>0.29247352481810079</v>
      </c>
      <c r="CK133" s="39">
        <f t="shared" si="356"/>
        <v>0.38738072453004868</v>
      </c>
      <c r="CL133" s="39">
        <f t="shared" si="357"/>
        <v>0.47989647938186047</v>
      </c>
      <c r="CM133" s="39">
        <f t="shared" si="358"/>
        <v>0.57637008035769466</v>
      </c>
      <c r="CN133" s="39">
        <f t="shared" si="359"/>
        <v>0.67479682799544138</v>
      </c>
      <c r="CO133" s="39">
        <f t="shared" si="360"/>
        <v>0.75899431069242507</v>
      </c>
      <c r="CP133" s="39">
        <f t="shared" si="361"/>
        <v>0.84918722276009417</v>
      </c>
      <c r="CQ133" s="39">
        <f t="shared" si="362"/>
        <v>0.92546530912112546</v>
      </c>
      <c r="CR133" s="39">
        <f t="shared" si="363"/>
        <v>1</v>
      </c>
    </row>
    <row r="134" spans="1:96">
      <c r="A134" s="193" t="s">
        <v>98</v>
      </c>
      <c r="B134" s="34">
        <v>123799.38</v>
      </c>
      <c r="C134" s="34">
        <v>170473.24</v>
      </c>
      <c r="D134" s="34">
        <v>171326.07999999999</v>
      </c>
      <c r="E134" s="34">
        <v>216905.64</v>
      </c>
      <c r="F134" s="34">
        <v>242206.56</v>
      </c>
      <c r="G134" s="34">
        <v>154743.07999999999</v>
      </c>
      <c r="H134" s="34">
        <v>192173.28</v>
      </c>
      <c r="I134" s="34">
        <v>183455.35999999999</v>
      </c>
      <c r="J134" s="34">
        <v>163840.04</v>
      </c>
      <c r="K134" s="34">
        <v>175779.8</v>
      </c>
      <c r="L134" s="34">
        <v>167725.20000000001</v>
      </c>
      <c r="M134" s="34">
        <v>134464.44</v>
      </c>
      <c r="N134" s="68">
        <f t="shared" si="328"/>
        <v>2096892.1</v>
      </c>
      <c r="P134" s="85" t="s">
        <v>98</v>
      </c>
      <c r="Q134" s="34">
        <v>116847.75</v>
      </c>
      <c r="R134" s="34">
        <v>131943</v>
      </c>
      <c r="S134" s="34">
        <v>175039.5</v>
      </c>
      <c r="T134" s="34">
        <v>172660.5</v>
      </c>
      <c r="U134" s="34">
        <v>174765</v>
      </c>
      <c r="V134" s="34">
        <v>156373.5</v>
      </c>
      <c r="W134" s="34">
        <v>171105</v>
      </c>
      <c r="X134" s="34">
        <v>177510</v>
      </c>
      <c r="Y134" s="34">
        <v>157288.5</v>
      </c>
      <c r="Z134" s="34">
        <v>162778.5</v>
      </c>
      <c r="AA134" s="34">
        <v>150609</v>
      </c>
      <c r="AB134" s="34">
        <v>142374</v>
      </c>
      <c r="AC134" s="68">
        <f t="shared" si="377"/>
        <v>1889294.25</v>
      </c>
      <c r="AE134" s="85" t="s">
        <v>98</v>
      </c>
      <c r="AF134" s="34">
        <v>103901.22</v>
      </c>
      <c r="AG134" s="34">
        <v>126896.70999999999</v>
      </c>
      <c r="AH134" s="34">
        <v>178313.47</v>
      </c>
      <c r="AI134" s="34">
        <v>133753.91</v>
      </c>
      <c r="AJ134" s="34">
        <v>184095.08</v>
      </c>
      <c r="AK134" s="34">
        <v>168197.24</v>
      </c>
      <c r="AL134" s="34">
        <v>157062.5</v>
      </c>
      <c r="AM134" s="34">
        <v>184076.36</v>
      </c>
      <c r="AN134" s="34">
        <v>147363.29999999999</v>
      </c>
      <c r="AO134" s="34">
        <v>137577</v>
      </c>
      <c r="AP134" s="34">
        <v>143398.5</v>
      </c>
      <c r="AQ134" s="34">
        <v>125739.75</v>
      </c>
      <c r="AR134" s="68">
        <f t="shared" si="378"/>
        <v>1790375.0399999998</v>
      </c>
      <c r="AT134" s="39">
        <f t="shared" si="364"/>
        <v>5.9039461305615104E-2</v>
      </c>
      <c r="AU134" s="39">
        <f t="shared" si="365"/>
        <v>0.14033751188246643</v>
      </c>
      <c r="AV134" s="39">
        <f t="shared" si="366"/>
        <v>0.22204227866564996</v>
      </c>
      <c r="AW134" s="39">
        <f t="shared" si="367"/>
        <v>0.32548376714281096</v>
      </c>
      <c r="AX134" s="39">
        <f t="shared" si="368"/>
        <v>0.44099116974116115</v>
      </c>
      <c r="AY134" s="39">
        <f t="shared" si="369"/>
        <v>0.51478756584566265</v>
      </c>
      <c r="AZ134" s="39">
        <f t="shared" si="370"/>
        <v>0.60643428433918944</v>
      </c>
      <c r="BA134" s="39">
        <f t="shared" si="371"/>
        <v>0.69392345939020894</v>
      </c>
      <c r="BB134" s="39">
        <f t="shared" si="372"/>
        <v>0.7720581616955875</v>
      </c>
      <c r="BC134" s="39">
        <f t="shared" si="373"/>
        <v>0.85588689088961711</v>
      </c>
      <c r="BD134" s="39">
        <f t="shared" si="374"/>
        <v>0.93587441146828687</v>
      </c>
      <c r="BE134" s="39">
        <f t="shared" si="375"/>
        <v>1</v>
      </c>
      <c r="BG134" s="39">
        <f t="shared" si="329"/>
        <v>6.1847300916731206E-2</v>
      </c>
      <c r="BH134" s="39">
        <f t="shared" si="330"/>
        <v>0.13168449012111269</v>
      </c>
      <c r="BI134" s="39">
        <f t="shared" si="331"/>
        <v>0.22433257815716107</v>
      </c>
      <c r="BJ134" s="39">
        <f t="shared" si="332"/>
        <v>0.31572146583307498</v>
      </c>
      <c r="BK134" s="39">
        <f t="shared" si="333"/>
        <v>0.40822426151987706</v>
      </c>
      <c r="BL134" s="39">
        <f t="shared" si="334"/>
        <v>0.49099246980717798</v>
      </c>
      <c r="BM134" s="39">
        <f t="shared" si="335"/>
        <v>0.58155803417069629</v>
      </c>
      <c r="BN134" s="39">
        <f t="shared" si="336"/>
        <v>0.67551375334996122</v>
      </c>
      <c r="BO134" s="39">
        <f t="shared" si="337"/>
        <v>0.75876626946808312</v>
      </c>
      <c r="BP134" s="39">
        <f t="shared" si="338"/>
        <v>0.84492463257113071</v>
      </c>
      <c r="BQ134" s="39">
        <f t="shared" si="339"/>
        <v>0.92464170152425962</v>
      </c>
      <c r="BR134" s="39">
        <f t="shared" si="340"/>
        <v>1</v>
      </c>
      <c r="BS134" s="61"/>
      <c r="BT134" s="39">
        <f t="shared" si="341"/>
        <v>5.803321520836216E-2</v>
      </c>
      <c r="BU134" s="39">
        <f t="shared" si="342"/>
        <v>0.12891038181586803</v>
      </c>
      <c r="BV134" s="39">
        <f t="shared" si="343"/>
        <v>0.22850597827816013</v>
      </c>
      <c r="BW134" s="39">
        <f t="shared" si="344"/>
        <v>0.30321318040716211</v>
      </c>
      <c r="BX134" s="39">
        <f t="shared" si="345"/>
        <v>0.40603804999426268</v>
      </c>
      <c r="BY134" s="39">
        <f t="shared" si="346"/>
        <v>0.49998330517387024</v>
      </c>
      <c r="BZ134" s="39">
        <f t="shared" si="347"/>
        <v>0.58770933826244587</v>
      </c>
      <c r="CA134" s="39">
        <f t="shared" si="348"/>
        <v>0.69052375193970528</v>
      </c>
      <c r="CB134" s="39">
        <f t="shared" si="349"/>
        <v>0.77283237259607906</v>
      </c>
      <c r="CC134" s="39">
        <f t="shared" si="350"/>
        <v>0.84967493179529574</v>
      </c>
      <c r="CD134" s="39">
        <f t="shared" si="351"/>
        <v>0.92976904436737451</v>
      </c>
      <c r="CE134" s="39">
        <f t="shared" si="352"/>
        <v>1</v>
      </c>
      <c r="CG134" s="39">
        <f t="shared" si="376"/>
        <v>5.9639992476902826E-2</v>
      </c>
      <c r="CH134" s="39">
        <f t="shared" si="353"/>
        <v>0.13364412793981573</v>
      </c>
      <c r="CI134" s="39">
        <f t="shared" si="354"/>
        <v>0.2249602783669904</v>
      </c>
      <c r="CJ134" s="39">
        <f t="shared" si="355"/>
        <v>0.31480613779434935</v>
      </c>
      <c r="CK134" s="39">
        <f t="shared" si="356"/>
        <v>0.41841782708510028</v>
      </c>
      <c r="CL134" s="39">
        <f t="shared" si="357"/>
        <v>0.50192111360890357</v>
      </c>
      <c r="CM134" s="39">
        <f t="shared" si="358"/>
        <v>0.59190055225744387</v>
      </c>
      <c r="CN134" s="39">
        <f t="shared" si="359"/>
        <v>0.68665365489329178</v>
      </c>
      <c r="CO134" s="39">
        <f t="shared" si="360"/>
        <v>0.76788560125324989</v>
      </c>
      <c r="CP134" s="39">
        <f t="shared" si="361"/>
        <v>0.85016215175201459</v>
      </c>
      <c r="CQ134" s="39">
        <f t="shared" si="362"/>
        <v>0.93009505245330704</v>
      </c>
      <c r="CR134" s="39">
        <f t="shared" si="363"/>
        <v>1</v>
      </c>
    </row>
    <row r="135" spans="1:96">
      <c r="A135" s="193" t="s">
        <v>99</v>
      </c>
      <c r="B135" s="34">
        <v>336712.72</v>
      </c>
      <c r="C135" s="34">
        <v>387284.12</v>
      </c>
      <c r="D135" s="34">
        <v>373449.16</v>
      </c>
      <c r="E135" s="34">
        <v>447267.2</v>
      </c>
      <c r="F135" s="34">
        <v>483749.8</v>
      </c>
      <c r="G135" s="34">
        <v>400171.48</v>
      </c>
      <c r="H135" s="34">
        <v>491520.12</v>
      </c>
      <c r="I135" s="34">
        <v>490288.24</v>
      </c>
      <c r="J135" s="34">
        <v>444424.4</v>
      </c>
      <c r="K135" s="34">
        <v>506776.48</v>
      </c>
      <c r="L135" s="34">
        <v>440539.24</v>
      </c>
      <c r="M135" s="34">
        <v>419881.56</v>
      </c>
      <c r="N135" s="68">
        <f t="shared" si="328"/>
        <v>5222064.5199999996</v>
      </c>
      <c r="P135" s="85" t="s">
        <v>99</v>
      </c>
      <c r="Q135" s="34">
        <v>300816.75</v>
      </c>
      <c r="R135" s="34">
        <v>304329</v>
      </c>
      <c r="S135" s="34">
        <v>401044.5</v>
      </c>
      <c r="T135" s="34">
        <v>399031.5</v>
      </c>
      <c r="U135" s="34">
        <v>416142.00000000006</v>
      </c>
      <c r="V135" s="34">
        <v>401868</v>
      </c>
      <c r="W135" s="34">
        <v>423096.00000000006</v>
      </c>
      <c r="X135" s="34">
        <v>443866.5</v>
      </c>
      <c r="Y135" s="34">
        <v>400403.99</v>
      </c>
      <c r="Z135" s="34">
        <v>436363.5</v>
      </c>
      <c r="AA135" s="34">
        <v>370117.5</v>
      </c>
      <c r="AB135" s="34">
        <v>341478</v>
      </c>
      <c r="AC135" s="68">
        <f t="shared" si="377"/>
        <v>4638557.24</v>
      </c>
      <c r="AE135" s="85" t="s">
        <v>99</v>
      </c>
      <c r="AF135" s="34">
        <v>285332.84000000003</v>
      </c>
      <c r="AG135" s="34">
        <v>285507.7</v>
      </c>
      <c r="AH135" s="34">
        <v>383715.35</v>
      </c>
      <c r="AI135" s="34">
        <v>318487.81</v>
      </c>
      <c r="AJ135" s="34">
        <v>423994.01</v>
      </c>
      <c r="AK135" s="34">
        <v>415648</v>
      </c>
      <c r="AL135" s="34">
        <v>364177.08999999997</v>
      </c>
      <c r="AM135" s="34">
        <v>427389.5</v>
      </c>
      <c r="AN135" s="34">
        <v>374616.43</v>
      </c>
      <c r="AO135" s="34">
        <v>386540.91</v>
      </c>
      <c r="AP135" s="34">
        <v>350920.25</v>
      </c>
      <c r="AQ135" s="34">
        <v>334585.37</v>
      </c>
      <c r="AR135" s="68">
        <f t="shared" si="378"/>
        <v>4350915.26</v>
      </c>
      <c r="AT135" s="39">
        <f t="shared" si="364"/>
        <v>6.4478850981335628E-2</v>
      </c>
      <c r="AU135" s="39">
        <f t="shared" si="365"/>
        <v>0.13864187951473261</v>
      </c>
      <c r="AV135" s="39">
        <f t="shared" si="366"/>
        <v>0.21015558038336915</v>
      </c>
      <c r="AW135" s="39">
        <f t="shared" si="367"/>
        <v>0.29580507749069329</v>
      </c>
      <c r="AX135" s="39">
        <f t="shared" si="368"/>
        <v>0.38844081535783098</v>
      </c>
      <c r="AY135" s="39">
        <f t="shared" si="369"/>
        <v>0.46507171075703219</v>
      </c>
      <c r="AZ135" s="39">
        <f t="shared" si="370"/>
        <v>0.55919542717561066</v>
      </c>
      <c r="BA135" s="39">
        <f t="shared" si="371"/>
        <v>0.65308324455554601</v>
      </c>
      <c r="BB135" s="39">
        <f t="shared" si="372"/>
        <v>0.73818835926600157</v>
      </c>
      <c r="BC135" s="39">
        <f t="shared" si="373"/>
        <v>0.83523359454777479</v>
      </c>
      <c r="BD135" s="39">
        <f t="shared" si="374"/>
        <v>0.91959471998250997</v>
      </c>
      <c r="BE135" s="39">
        <f t="shared" si="375"/>
        <v>1</v>
      </c>
      <c r="BG135" s="39">
        <f t="shared" si="329"/>
        <v>6.4851360980510392E-2</v>
      </c>
      <c r="BH135" s="39">
        <f t="shared" si="330"/>
        <v>0.13045990783116865</v>
      </c>
      <c r="BI135" s="39">
        <f t="shared" si="331"/>
        <v>0.21691879563827479</v>
      </c>
      <c r="BJ135" s="39">
        <f t="shared" si="332"/>
        <v>0.30294371229964601</v>
      </c>
      <c r="BK135" s="39">
        <f t="shared" si="333"/>
        <v>0.39265738369976433</v>
      </c>
      <c r="BL135" s="39">
        <f t="shared" si="334"/>
        <v>0.47929380515739844</v>
      </c>
      <c r="BM135" s="39">
        <f t="shared" si="335"/>
        <v>0.57050664960641939</v>
      </c>
      <c r="BN135" s="39">
        <f t="shared" si="336"/>
        <v>0.66619728724097838</v>
      </c>
      <c r="BO135" s="39">
        <f t="shared" si="337"/>
        <v>0.75251809116405344</v>
      </c>
      <c r="BP135" s="39">
        <f t="shared" si="338"/>
        <v>0.84659119998269117</v>
      </c>
      <c r="BQ135" s="39">
        <f t="shared" si="339"/>
        <v>0.92638271291441476</v>
      </c>
      <c r="BR135" s="39">
        <f t="shared" si="340"/>
        <v>1</v>
      </c>
      <c r="BS135" s="61"/>
      <c r="BT135" s="39">
        <f t="shared" si="341"/>
        <v>6.5579957997159433E-2</v>
      </c>
      <c r="BU135" s="39">
        <f t="shared" si="342"/>
        <v>0.13120010523946635</v>
      </c>
      <c r="BV135" s="39">
        <f t="shared" si="343"/>
        <v>0.21939197455203943</v>
      </c>
      <c r="BW135" s="39">
        <f t="shared" si="344"/>
        <v>0.29259216140192074</v>
      </c>
      <c r="BX135" s="39">
        <f t="shared" si="345"/>
        <v>0.39004154495989884</v>
      </c>
      <c r="BY135" s="39">
        <f t="shared" si="346"/>
        <v>0.48557270913154948</v>
      </c>
      <c r="BZ135" s="39">
        <f t="shared" si="347"/>
        <v>0.56927396926595164</v>
      </c>
      <c r="CA135" s="39">
        <f t="shared" si="348"/>
        <v>0.66750376103624687</v>
      </c>
      <c r="CB135" s="39">
        <f t="shared" si="349"/>
        <v>0.75360436461361924</v>
      </c>
      <c r="CC135" s="39">
        <f t="shared" si="350"/>
        <v>0.8424456513087778</v>
      </c>
      <c r="CD135" s="39">
        <f t="shared" si="351"/>
        <v>0.92310000310141649</v>
      </c>
      <c r="CE135" s="39">
        <f t="shared" si="352"/>
        <v>1</v>
      </c>
      <c r="CG135" s="39">
        <f t="shared" si="376"/>
        <v>6.4970056653001818E-2</v>
      </c>
      <c r="CH135" s="39">
        <f t="shared" si="353"/>
        <v>0.13343396419512255</v>
      </c>
      <c r="CI135" s="39">
        <f t="shared" si="354"/>
        <v>0.21548878352456113</v>
      </c>
      <c r="CJ135" s="39">
        <f t="shared" si="355"/>
        <v>0.29711365039742005</v>
      </c>
      <c r="CK135" s="39">
        <f t="shared" si="356"/>
        <v>0.39037991467249805</v>
      </c>
      <c r="CL135" s="39">
        <f t="shared" si="357"/>
        <v>0.47664607501532669</v>
      </c>
      <c r="CM135" s="39">
        <f t="shared" si="358"/>
        <v>0.5663253486826606</v>
      </c>
      <c r="CN135" s="39">
        <f t="shared" si="359"/>
        <v>0.66226143094425705</v>
      </c>
      <c r="CO135" s="39">
        <f t="shared" si="360"/>
        <v>0.74810360501455797</v>
      </c>
      <c r="CP135" s="39">
        <f t="shared" si="361"/>
        <v>0.84142348194641459</v>
      </c>
      <c r="CQ135" s="39">
        <f t="shared" si="362"/>
        <v>0.92302581199944711</v>
      </c>
      <c r="CR135" s="39">
        <f t="shared" si="363"/>
        <v>1</v>
      </c>
    </row>
    <row r="136" spans="1:96">
      <c r="A136" s="193" t="s">
        <v>100</v>
      </c>
      <c r="B136" s="34">
        <v>43155.659999999996</v>
      </c>
      <c r="C136" s="34">
        <v>58751.199999999997</v>
      </c>
      <c r="D136" s="34">
        <v>57424.56</v>
      </c>
      <c r="E136" s="34">
        <v>58656.44</v>
      </c>
      <c r="F136" s="34">
        <v>69459.08</v>
      </c>
      <c r="G136" s="34">
        <v>62446.84</v>
      </c>
      <c r="H136" s="34">
        <v>68321.960000000006</v>
      </c>
      <c r="I136" s="34">
        <v>67279.600000000006</v>
      </c>
      <c r="J136" s="34">
        <v>71733.320000000007</v>
      </c>
      <c r="K136" s="34">
        <v>70975.240000000005</v>
      </c>
      <c r="L136" s="34">
        <v>66237.240000000005</v>
      </c>
      <c r="M136" s="34">
        <v>56287.44</v>
      </c>
      <c r="N136" s="68">
        <f t="shared" si="328"/>
        <v>750728.58000000007</v>
      </c>
      <c r="P136" s="85" t="s">
        <v>100</v>
      </c>
      <c r="Q136" s="34">
        <v>37450.25</v>
      </c>
      <c r="R136" s="34">
        <v>40900.15</v>
      </c>
      <c r="S136" s="34">
        <v>57847.64</v>
      </c>
      <c r="T136" s="34">
        <v>58194</v>
      </c>
      <c r="U136" s="34">
        <v>54076.500000000007</v>
      </c>
      <c r="V136" s="34">
        <v>58629</v>
      </c>
      <c r="W136" s="34">
        <v>63409.500000000007</v>
      </c>
      <c r="X136" s="34">
        <v>64233</v>
      </c>
      <c r="Y136" s="34">
        <v>61305</v>
      </c>
      <c r="Z136" s="34">
        <v>77134.5</v>
      </c>
      <c r="AA136" s="34">
        <v>58743</v>
      </c>
      <c r="AB136" s="34">
        <v>52521</v>
      </c>
      <c r="AC136" s="68">
        <f t="shared" si="377"/>
        <v>684443.54</v>
      </c>
      <c r="AE136" s="85" t="s">
        <v>100</v>
      </c>
      <c r="AF136" s="34">
        <v>39918.93</v>
      </c>
      <c r="AG136" s="34">
        <v>45383.22</v>
      </c>
      <c r="AH136" s="34">
        <v>55268.66</v>
      </c>
      <c r="AI136" s="34">
        <v>48135.729999999996</v>
      </c>
      <c r="AJ136" s="34">
        <v>59172.729999999996</v>
      </c>
      <c r="AK136" s="34">
        <v>58391.35</v>
      </c>
      <c r="AL136" s="34">
        <v>53377.13</v>
      </c>
      <c r="AM136" s="34">
        <v>52467.399999999994</v>
      </c>
      <c r="AN136" s="34">
        <v>62428.3</v>
      </c>
      <c r="AO136" s="34">
        <v>60312</v>
      </c>
      <c r="AP136" s="34">
        <v>56363</v>
      </c>
      <c r="AQ136" s="34">
        <v>47028</v>
      </c>
      <c r="AR136" s="68">
        <f t="shared" si="378"/>
        <v>638246.44999999995</v>
      </c>
      <c r="AT136" s="39">
        <f t="shared" si="364"/>
        <v>5.748503673591325E-2</v>
      </c>
      <c r="AU136" s="39">
        <f t="shared" si="365"/>
        <v>0.13574394623420355</v>
      </c>
      <c r="AV136" s="39">
        <f t="shared" si="366"/>
        <v>0.21223571906640343</v>
      </c>
      <c r="AW136" s="39">
        <f t="shared" si="367"/>
        <v>0.29036840451711582</v>
      </c>
      <c r="AX136" s="39">
        <f t="shared" si="368"/>
        <v>0.38289063139170748</v>
      </c>
      <c r="AY136" s="39">
        <f t="shared" si="369"/>
        <v>0.46607227874553542</v>
      </c>
      <c r="AZ136" s="39">
        <f t="shared" si="370"/>
        <v>0.55707981704919241</v>
      </c>
      <c r="BA136" s="39">
        <f t="shared" si="371"/>
        <v>0.64669889082949261</v>
      </c>
      <c r="BB136" s="39">
        <f t="shared" si="372"/>
        <v>0.74225049484595362</v>
      </c>
      <c r="BC136" s="39">
        <f t="shared" si="373"/>
        <v>0.83679230648179148</v>
      </c>
      <c r="BD136" s="39">
        <f t="shared" si="374"/>
        <v>0.92502291573873485</v>
      </c>
      <c r="BE136" s="39">
        <f t="shared" si="375"/>
        <v>1</v>
      </c>
      <c r="BG136" s="39">
        <f t="shared" si="329"/>
        <v>5.4716346654393143E-2</v>
      </c>
      <c r="BH136" s="39">
        <f t="shared" si="330"/>
        <v>0.11447313828106258</v>
      </c>
      <c r="BI136" s="39">
        <f t="shared" si="331"/>
        <v>0.1989909058094112</v>
      </c>
      <c r="BJ136" s="39">
        <f t="shared" si="332"/>
        <v>0.28401471946100909</v>
      </c>
      <c r="BK136" s="39">
        <f t="shared" si="333"/>
        <v>0.3630226972410317</v>
      </c>
      <c r="BL136" s="39">
        <f t="shared" si="334"/>
        <v>0.44868206368051916</v>
      </c>
      <c r="BM136" s="39">
        <f t="shared" si="335"/>
        <v>0.54132593610277913</v>
      </c>
      <c r="BN136" s="39">
        <f t="shared" si="336"/>
        <v>0.63517297569935416</v>
      </c>
      <c r="BO136" s="39">
        <f t="shared" si="337"/>
        <v>0.72474208756503122</v>
      </c>
      <c r="BP136" s="39">
        <f t="shared" si="338"/>
        <v>0.83743874622587566</v>
      </c>
      <c r="BQ136" s="39">
        <f t="shared" si="339"/>
        <v>0.92326467132701695</v>
      </c>
      <c r="BR136" s="39">
        <f t="shared" si="340"/>
        <v>1</v>
      </c>
      <c r="BS136" s="61"/>
      <c r="BT136" s="39">
        <f t="shared" si="341"/>
        <v>6.2544695704927156E-2</v>
      </c>
      <c r="BU136" s="39">
        <f t="shared" si="342"/>
        <v>0.13365080213137104</v>
      </c>
      <c r="BV136" s="39">
        <f t="shared" si="343"/>
        <v>0.22024534566545573</v>
      </c>
      <c r="BW136" s="39">
        <f t="shared" si="344"/>
        <v>0.2956640651898651</v>
      </c>
      <c r="BX136" s="39">
        <f t="shared" si="345"/>
        <v>0.38837547784245408</v>
      </c>
      <c r="BY136" s="39">
        <f t="shared" si="346"/>
        <v>0.47986262986656636</v>
      </c>
      <c r="BZ136" s="39">
        <f t="shared" si="347"/>
        <v>0.56349353764521526</v>
      </c>
      <c r="CA136" s="39">
        <f t="shared" si="348"/>
        <v>0.64569908692794131</v>
      </c>
      <c r="CB136" s="39">
        <f t="shared" si="349"/>
        <v>0.74351130350979611</v>
      </c>
      <c r="CC136" s="39">
        <f t="shared" si="350"/>
        <v>0.83800771629830451</v>
      </c>
      <c r="CD136" s="39">
        <f t="shared" si="351"/>
        <v>0.92631686396375568</v>
      </c>
      <c r="CE136" s="39">
        <f t="shared" si="352"/>
        <v>1</v>
      </c>
      <c r="CG136" s="39">
        <f t="shared" si="376"/>
        <v>5.8248693031744514E-2</v>
      </c>
      <c r="CH136" s="39">
        <f t="shared" si="353"/>
        <v>0.12795596221554573</v>
      </c>
      <c r="CI136" s="39">
        <f t="shared" si="354"/>
        <v>0.21049065684709012</v>
      </c>
      <c r="CJ136" s="39">
        <f t="shared" si="355"/>
        <v>0.29001572972266337</v>
      </c>
      <c r="CK136" s="39">
        <f t="shared" si="356"/>
        <v>0.37809626882506442</v>
      </c>
      <c r="CL136" s="39">
        <f t="shared" si="357"/>
        <v>0.46487232409754031</v>
      </c>
      <c r="CM136" s="39">
        <f t="shared" si="358"/>
        <v>0.55396643026572889</v>
      </c>
      <c r="CN136" s="39">
        <f t="shared" si="359"/>
        <v>0.64252365115226262</v>
      </c>
      <c r="CO136" s="39">
        <f t="shared" si="360"/>
        <v>0.73683462864026028</v>
      </c>
      <c r="CP136" s="39">
        <f t="shared" si="361"/>
        <v>0.83741292300199055</v>
      </c>
      <c r="CQ136" s="39">
        <f t="shared" si="362"/>
        <v>0.92486815034316916</v>
      </c>
      <c r="CR136" s="39">
        <f t="shared" si="363"/>
        <v>1</v>
      </c>
    </row>
    <row r="137" spans="1:96">
      <c r="A137" s="193" t="s">
        <v>101</v>
      </c>
      <c r="B137" s="34">
        <v>56869.48</v>
      </c>
      <c r="C137" s="34">
        <v>77794.7</v>
      </c>
      <c r="D137" s="34">
        <v>64247.28</v>
      </c>
      <c r="E137" s="34">
        <v>81777.88</v>
      </c>
      <c r="F137" s="34">
        <v>86989.68</v>
      </c>
      <c r="G137" s="34">
        <v>71449.039999999994</v>
      </c>
      <c r="H137" s="34">
        <v>78935.08</v>
      </c>
      <c r="I137" s="34">
        <v>81872.639999999999</v>
      </c>
      <c r="J137" s="34">
        <v>92864.8</v>
      </c>
      <c r="K137" s="34">
        <v>95612.84</v>
      </c>
      <c r="L137" s="34">
        <v>77797.960000000006</v>
      </c>
      <c r="M137" s="34">
        <v>77608.44</v>
      </c>
      <c r="N137" s="68">
        <f t="shared" si="328"/>
        <v>943819.81999999983</v>
      </c>
      <c r="P137" s="85" t="s">
        <v>101</v>
      </c>
      <c r="Q137" s="34">
        <v>59790.75</v>
      </c>
      <c r="R137" s="34">
        <v>56179.25</v>
      </c>
      <c r="S137" s="34">
        <v>74664</v>
      </c>
      <c r="T137" s="34">
        <v>65422.5</v>
      </c>
      <c r="U137" s="34">
        <v>78598.5</v>
      </c>
      <c r="V137" s="34">
        <v>70089</v>
      </c>
      <c r="W137" s="34">
        <v>78873</v>
      </c>
      <c r="X137" s="34">
        <v>93055.5</v>
      </c>
      <c r="Y137" s="34">
        <v>75853.5</v>
      </c>
      <c r="Z137" s="34">
        <v>74663.649999999994</v>
      </c>
      <c r="AA137" s="34">
        <v>82258.5</v>
      </c>
      <c r="AB137" s="34">
        <v>63226.5</v>
      </c>
      <c r="AC137" s="68">
        <f t="shared" si="377"/>
        <v>872674.65</v>
      </c>
      <c r="AE137" s="85" t="s">
        <v>101</v>
      </c>
      <c r="AF137" s="34">
        <v>57764.37</v>
      </c>
      <c r="AG137" s="34">
        <v>60126.44</v>
      </c>
      <c r="AH137" s="34">
        <v>69764.44</v>
      </c>
      <c r="AI137" s="34">
        <v>50895.35</v>
      </c>
      <c r="AJ137" s="34">
        <v>76207.86</v>
      </c>
      <c r="AK137" s="34">
        <v>80867.33</v>
      </c>
      <c r="AL137" s="34">
        <v>66325.25</v>
      </c>
      <c r="AM137" s="34">
        <v>84185.5</v>
      </c>
      <c r="AN137" s="34">
        <v>66952.5</v>
      </c>
      <c r="AO137" s="34">
        <v>69466</v>
      </c>
      <c r="AP137" s="34">
        <v>59953</v>
      </c>
      <c r="AQ137" s="34">
        <v>64153.3</v>
      </c>
      <c r="AR137" s="68">
        <f t="shared" si="378"/>
        <v>806661.34000000008</v>
      </c>
      <c r="AT137" s="39">
        <f t="shared" si="364"/>
        <v>6.025459393298184E-2</v>
      </c>
      <c r="AU137" s="39">
        <f t="shared" si="365"/>
        <v>0.14267996618252837</v>
      </c>
      <c r="AV137" s="39">
        <f t="shared" si="366"/>
        <v>0.21075151822940105</v>
      </c>
      <c r="AW137" s="39">
        <f t="shared" si="367"/>
        <v>0.29739716633626112</v>
      </c>
      <c r="AX137" s="39">
        <f t="shared" si="368"/>
        <v>0.3895648430014958</v>
      </c>
      <c r="AY137" s="39">
        <f t="shared" si="369"/>
        <v>0.46526683451084977</v>
      </c>
      <c r="AZ137" s="39">
        <f t="shared" si="370"/>
        <v>0.54890046704041462</v>
      </c>
      <c r="BA137" s="39">
        <f t="shared" si="371"/>
        <v>0.63564651566651786</v>
      </c>
      <c r="BB137" s="39">
        <f t="shared" si="372"/>
        <v>0.73403902452482939</v>
      </c>
      <c r="BC137" s="39">
        <f t="shared" si="373"/>
        <v>0.83534314844119306</v>
      </c>
      <c r="BD137" s="39">
        <f t="shared" si="374"/>
        <v>0.91777197473983974</v>
      </c>
      <c r="BE137" s="39">
        <f t="shared" si="375"/>
        <v>1</v>
      </c>
      <c r="BG137" s="39">
        <f t="shared" si="329"/>
        <v>6.8514365577136901E-2</v>
      </c>
      <c r="BH137" s="39">
        <f t="shared" si="330"/>
        <v>0.13289030453674802</v>
      </c>
      <c r="BI137" s="39">
        <f t="shared" si="331"/>
        <v>0.21844796339620956</v>
      </c>
      <c r="BJ137" s="39">
        <f t="shared" si="332"/>
        <v>0.29341576497037009</v>
      </c>
      <c r="BK137" s="39">
        <f t="shared" si="333"/>
        <v>0.38348197693149444</v>
      </c>
      <c r="BL137" s="39">
        <f t="shared" si="334"/>
        <v>0.46379713218437135</v>
      </c>
      <c r="BM137" s="39">
        <f t="shared" si="335"/>
        <v>0.5541778943618908</v>
      </c>
      <c r="BN137" s="39">
        <f t="shared" si="336"/>
        <v>0.66081041771982263</v>
      </c>
      <c r="BO137" s="39">
        <f t="shared" si="337"/>
        <v>0.74773112751699611</v>
      </c>
      <c r="BP137" s="39">
        <f t="shared" si="338"/>
        <v>0.833288385310608</v>
      </c>
      <c r="BQ137" s="39">
        <f t="shared" si="339"/>
        <v>0.92754860015700014</v>
      </c>
      <c r="BR137" s="39">
        <f t="shared" si="340"/>
        <v>1</v>
      </c>
      <c r="BS137" s="61"/>
      <c r="BT137" s="39">
        <f t="shared" si="341"/>
        <v>7.1609195997914071E-2</v>
      </c>
      <c r="BU137" s="39">
        <f t="shared" si="342"/>
        <v>0.14614659728207624</v>
      </c>
      <c r="BV137" s="39">
        <f t="shared" si="343"/>
        <v>0.23263201134691788</v>
      </c>
      <c r="BW137" s="39">
        <f t="shared" si="344"/>
        <v>0.29572583706565136</v>
      </c>
      <c r="BX137" s="39">
        <f t="shared" si="345"/>
        <v>0.3901990146199395</v>
      </c>
      <c r="BY137" s="39">
        <f t="shared" si="346"/>
        <v>0.4904484327958496</v>
      </c>
      <c r="BZ137" s="39">
        <f t="shared" si="347"/>
        <v>0.57267036002989802</v>
      </c>
      <c r="CA137" s="39">
        <f t="shared" si="348"/>
        <v>0.67703323925254677</v>
      </c>
      <c r="CB137" s="39">
        <f t="shared" si="349"/>
        <v>0.76003275426587313</v>
      </c>
      <c r="CC137" s="39">
        <f t="shared" si="350"/>
        <v>0.84614819894554505</v>
      </c>
      <c r="CD137" s="39">
        <f t="shared" si="351"/>
        <v>0.92047059054546976</v>
      </c>
      <c r="CE137" s="39">
        <f t="shared" si="352"/>
        <v>1</v>
      </c>
      <c r="CG137" s="39">
        <f t="shared" si="376"/>
        <v>6.6792718502677609E-2</v>
      </c>
      <c r="CH137" s="39">
        <f t="shared" si="353"/>
        <v>0.14057228933378421</v>
      </c>
      <c r="CI137" s="39">
        <f t="shared" si="354"/>
        <v>0.22061049765750951</v>
      </c>
      <c r="CJ137" s="39">
        <f t="shared" si="355"/>
        <v>0.29551292279076086</v>
      </c>
      <c r="CK137" s="39">
        <f t="shared" si="356"/>
        <v>0.38774861151764323</v>
      </c>
      <c r="CL137" s="39">
        <f t="shared" si="357"/>
        <v>0.47317079983035693</v>
      </c>
      <c r="CM137" s="39">
        <f t="shared" si="358"/>
        <v>0.55858290714406778</v>
      </c>
      <c r="CN137" s="39">
        <f t="shared" si="359"/>
        <v>0.65783005754629575</v>
      </c>
      <c r="CO137" s="39">
        <f t="shared" si="360"/>
        <v>0.74726763543589947</v>
      </c>
      <c r="CP137" s="39">
        <f t="shared" si="361"/>
        <v>0.83825991089911545</v>
      </c>
      <c r="CQ137" s="39">
        <f t="shared" si="362"/>
        <v>0.92193038848076991</v>
      </c>
      <c r="CR137" s="39">
        <f t="shared" si="363"/>
        <v>1</v>
      </c>
    </row>
    <row r="138" spans="1:96">
      <c r="A138" s="193" t="s">
        <v>102</v>
      </c>
      <c r="B138" s="34">
        <v>463616.36</v>
      </c>
      <c r="C138" s="34">
        <v>587417.24</v>
      </c>
      <c r="D138" s="34">
        <v>568560</v>
      </c>
      <c r="E138" s="34">
        <v>665120.43999999994</v>
      </c>
      <c r="F138" s="34">
        <v>690326.6</v>
      </c>
      <c r="G138" s="34">
        <v>459708.05</v>
      </c>
      <c r="H138" s="34">
        <v>694875.08</v>
      </c>
      <c r="I138" s="34">
        <v>645126.07999999996</v>
      </c>
      <c r="J138" s="34">
        <v>626742.64</v>
      </c>
      <c r="K138" s="34">
        <v>694306.52</v>
      </c>
      <c r="L138" s="34">
        <v>605611.16</v>
      </c>
      <c r="M138" s="34">
        <v>538236.80000000005</v>
      </c>
      <c r="N138" s="68">
        <f t="shared" si="328"/>
        <v>7239646.9699999997</v>
      </c>
      <c r="P138" s="85" t="s">
        <v>102</v>
      </c>
      <c r="Q138" s="34">
        <v>395130.5</v>
      </c>
      <c r="R138" s="34">
        <v>462344.25</v>
      </c>
      <c r="S138" s="34">
        <v>616893</v>
      </c>
      <c r="T138" s="34">
        <v>627781.5</v>
      </c>
      <c r="U138" s="34">
        <v>593103</v>
      </c>
      <c r="V138" s="34">
        <v>568686.5</v>
      </c>
      <c r="W138" s="34">
        <v>622017</v>
      </c>
      <c r="X138" s="34">
        <v>674538.09</v>
      </c>
      <c r="Y138" s="34">
        <v>561800</v>
      </c>
      <c r="Z138" s="34">
        <v>612867</v>
      </c>
      <c r="AA138" s="34">
        <v>563365.5</v>
      </c>
      <c r="AB138" s="34">
        <v>538386</v>
      </c>
      <c r="AC138" s="68">
        <f t="shared" si="377"/>
        <v>6836912.3399999999</v>
      </c>
      <c r="AE138" s="85" t="s">
        <v>102</v>
      </c>
      <c r="AF138" s="34">
        <v>381205.19</v>
      </c>
      <c r="AG138" s="34">
        <v>422998.42000000004</v>
      </c>
      <c r="AH138" s="34">
        <v>607085.34</v>
      </c>
      <c r="AI138" s="34">
        <v>521608.32</v>
      </c>
      <c r="AJ138" s="34">
        <v>658412.21</v>
      </c>
      <c r="AK138" s="34">
        <v>658321.35000000009</v>
      </c>
      <c r="AL138" s="34">
        <v>581920.18999999994</v>
      </c>
      <c r="AM138" s="34">
        <v>612899.75</v>
      </c>
      <c r="AN138" s="34">
        <v>554568.07999999996</v>
      </c>
      <c r="AO138" s="34">
        <v>586488.6</v>
      </c>
      <c r="AP138" s="34">
        <v>534999.76</v>
      </c>
      <c r="AQ138" s="34">
        <v>502492.85000000003</v>
      </c>
      <c r="AR138" s="68">
        <f t="shared" si="378"/>
        <v>6623000.0599999996</v>
      </c>
      <c r="AT138" s="39">
        <f t="shared" si="364"/>
        <v>6.403853142579409E-2</v>
      </c>
      <c r="AU138" s="39">
        <f t="shared" si="365"/>
        <v>0.14517746574595752</v>
      </c>
      <c r="AV138" s="39">
        <f t="shared" si="366"/>
        <v>0.22371168189710777</v>
      </c>
      <c r="AW138" s="39">
        <f t="shared" si="367"/>
        <v>0.31558362575792837</v>
      </c>
      <c r="AX138" s="39">
        <f t="shared" si="368"/>
        <v>0.41093725320144997</v>
      </c>
      <c r="AY138" s="39">
        <f t="shared" si="369"/>
        <v>0.47443593648047733</v>
      </c>
      <c r="AZ138" s="39">
        <f t="shared" si="370"/>
        <v>0.57041783765320808</v>
      </c>
      <c r="BA138" s="39">
        <f t="shared" si="371"/>
        <v>0.65952799491271319</v>
      </c>
      <c r="BB138" s="39">
        <f t="shared" si="372"/>
        <v>0.74609887918333118</v>
      </c>
      <c r="BC138" s="39">
        <f t="shared" si="373"/>
        <v>0.84200224613991093</v>
      </c>
      <c r="BD138" s="39">
        <f t="shared" si="374"/>
        <v>0.92565427537691114</v>
      </c>
      <c r="BE138" s="39">
        <f t="shared" si="375"/>
        <v>1</v>
      </c>
      <c r="BG138" s="39">
        <f t="shared" si="329"/>
        <v>5.7793705747586049E-2</v>
      </c>
      <c r="BH138" s="39">
        <f t="shared" si="330"/>
        <v>0.12541842097100808</v>
      </c>
      <c r="BI138" s="39">
        <f t="shared" si="331"/>
        <v>0.21564818688314497</v>
      </c>
      <c r="BJ138" s="39">
        <f t="shared" si="332"/>
        <v>0.30747055768159814</v>
      </c>
      <c r="BK138" s="39">
        <f t="shared" si="333"/>
        <v>0.39422068266564902</v>
      </c>
      <c r="BL138" s="39">
        <f t="shared" si="334"/>
        <v>0.47739953178922873</v>
      </c>
      <c r="BM138" s="39">
        <f t="shared" si="335"/>
        <v>0.56837875882433797</v>
      </c>
      <c r="BN138" s="39">
        <f t="shared" si="336"/>
        <v>0.66703997553375094</v>
      </c>
      <c r="BO138" s="39">
        <f t="shared" si="337"/>
        <v>0.74921157172537334</v>
      </c>
      <c r="BP138" s="39">
        <f t="shared" si="338"/>
        <v>0.83885247532660334</v>
      </c>
      <c r="BQ138" s="39">
        <f t="shared" si="339"/>
        <v>0.92125304915054684</v>
      </c>
      <c r="BR138" s="39">
        <f t="shared" si="340"/>
        <v>1</v>
      </c>
      <c r="BS138" s="61"/>
      <c r="BT138" s="39">
        <f t="shared" si="341"/>
        <v>5.755778145048062E-2</v>
      </c>
      <c r="BU138" s="39">
        <f t="shared" si="342"/>
        <v>0.12142587992064735</v>
      </c>
      <c r="BV138" s="39">
        <f t="shared" si="343"/>
        <v>0.2130890740170098</v>
      </c>
      <c r="BW138" s="39">
        <f t="shared" si="344"/>
        <v>0.29184618035470777</v>
      </c>
      <c r="BX138" s="39">
        <f t="shared" si="345"/>
        <v>0.39125916601607286</v>
      </c>
      <c r="BY138" s="39">
        <f t="shared" si="346"/>
        <v>0.49065843281903893</v>
      </c>
      <c r="BZ138" s="39">
        <f t="shared" si="347"/>
        <v>0.57852196667502387</v>
      </c>
      <c r="CA138" s="39">
        <f t="shared" si="348"/>
        <v>0.67106307258586995</v>
      </c>
      <c r="CB138" s="39">
        <f t="shared" si="349"/>
        <v>0.75479673934956915</v>
      </c>
      <c r="CC138" s="39">
        <f t="shared" si="350"/>
        <v>0.84335005275539743</v>
      </c>
      <c r="CD138" s="39">
        <f t="shared" si="351"/>
        <v>0.92412911891170968</v>
      </c>
      <c r="CE138" s="39">
        <f t="shared" si="352"/>
        <v>1</v>
      </c>
      <c r="CG138" s="39">
        <f t="shared" si="376"/>
        <v>5.9796672874620253E-2</v>
      </c>
      <c r="CH138" s="39">
        <f t="shared" si="353"/>
        <v>0.13067392221253765</v>
      </c>
      <c r="CI138" s="39">
        <f t="shared" si="354"/>
        <v>0.21748298093242083</v>
      </c>
      <c r="CJ138" s="39">
        <f t="shared" si="355"/>
        <v>0.30496678793141141</v>
      </c>
      <c r="CK138" s="39">
        <f t="shared" si="356"/>
        <v>0.39880570062772397</v>
      </c>
      <c r="CL138" s="39">
        <f t="shared" si="357"/>
        <v>0.48083130036291499</v>
      </c>
      <c r="CM138" s="39">
        <f t="shared" si="358"/>
        <v>0.57243952105085671</v>
      </c>
      <c r="CN138" s="39">
        <f t="shared" si="359"/>
        <v>0.6658770143441114</v>
      </c>
      <c r="CO138" s="39">
        <f t="shared" si="360"/>
        <v>0.75003573008609126</v>
      </c>
      <c r="CP138" s="39">
        <f t="shared" si="361"/>
        <v>0.84140159140730386</v>
      </c>
      <c r="CQ138" s="39">
        <f t="shared" si="362"/>
        <v>0.92367881447972255</v>
      </c>
      <c r="CR138" s="39">
        <f t="shared" si="363"/>
        <v>1</v>
      </c>
    </row>
    <row r="139" spans="1:96">
      <c r="A139" s="193" t="s">
        <v>103</v>
      </c>
      <c r="B139" s="34">
        <v>109977.9</v>
      </c>
      <c r="C139" s="34">
        <v>145456.6</v>
      </c>
      <c r="D139" s="34">
        <v>125651.76</v>
      </c>
      <c r="E139" s="34">
        <v>144982.79999999999</v>
      </c>
      <c r="F139" s="34">
        <v>177864.52</v>
      </c>
      <c r="G139" s="34">
        <v>135222.51999999999</v>
      </c>
      <c r="H139" s="34">
        <v>154269.28</v>
      </c>
      <c r="I139" s="34">
        <v>160428.68</v>
      </c>
      <c r="J139" s="34">
        <v>161186.76</v>
      </c>
      <c r="K139" s="34">
        <v>172273.68</v>
      </c>
      <c r="L139" s="34">
        <v>153700.72</v>
      </c>
      <c r="M139" s="34">
        <v>133706.35999999999</v>
      </c>
      <c r="N139" s="68">
        <f t="shared" si="328"/>
        <v>1774721.58</v>
      </c>
      <c r="P139" s="85" t="s">
        <v>103</v>
      </c>
      <c r="Q139" s="34">
        <v>119229.5</v>
      </c>
      <c r="R139" s="34">
        <v>105042</v>
      </c>
      <c r="S139" s="34">
        <v>123799.5</v>
      </c>
      <c r="T139" s="34">
        <v>133773</v>
      </c>
      <c r="U139" s="34">
        <v>131577</v>
      </c>
      <c r="V139" s="34">
        <v>123067.5</v>
      </c>
      <c r="W139" s="34">
        <v>131668.5</v>
      </c>
      <c r="X139" s="34">
        <v>159118.5</v>
      </c>
      <c r="Y139" s="34">
        <v>138348</v>
      </c>
      <c r="Z139" s="34">
        <v>154543.5</v>
      </c>
      <c r="AA139" s="34">
        <v>129015</v>
      </c>
      <c r="AB139" s="34">
        <v>132675</v>
      </c>
      <c r="AC139" s="68">
        <f t="shared" si="377"/>
        <v>1581857</v>
      </c>
      <c r="AE139" s="85" t="s">
        <v>103</v>
      </c>
      <c r="AF139" s="34">
        <v>80768.11</v>
      </c>
      <c r="AG139" s="34">
        <v>100231.68000000001</v>
      </c>
      <c r="AH139" s="34">
        <v>99227.04</v>
      </c>
      <c r="AI139" s="34">
        <v>104301.28</v>
      </c>
      <c r="AJ139" s="34">
        <v>133763.4</v>
      </c>
      <c r="AK139" s="34">
        <v>128546.45</v>
      </c>
      <c r="AL139" s="34">
        <v>114251.15000000001</v>
      </c>
      <c r="AM139" s="34">
        <v>137332.79999999999</v>
      </c>
      <c r="AN139" s="34">
        <v>133440.29999999999</v>
      </c>
      <c r="AO139" s="34">
        <v>119008.5</v>
      </c>
      <c r="AP139" s="34">
        <v>122951.33</v>
      </c>
      <c r="AQ139" s="34">
        <v>116585.25</v>
      </c>
      <c r="AR139" s="68">
        <f t="shared" si="378"/>
        <v>1390407.29</v>
      </c>
      <c r="AT139" s="39">
        <f t="shared" si="364"/>
        <v>6.1969100527869837E-2</v>
      </c>
      <c r="AU139" s="39">
        <f t="shared" si="365"/>
        <v>0.14392933679208431</v>
      </c>
      <c r="AV139" s="39">
        <f t="shared" si="366"/>
        <v>0.21473016629459141</v>
      </c>
      <c r="AW139" s="39">
        <f t="shared" si="367"/>
        <v>0.29642343110517655</v>
      </c>
      <c r="AX139" s="39">
        <f t="shared" si="368"/>
        <v>0.39664451479763946</v>
      </c>
      <c r="AY139" s="39">
        <f t="shared" si="369"/>
        <v>0.47283816766345965</v>
      </c>
      <c r="AZ139" s="39">
        <f t="shared" si="370"/>
        <v>0.55976407296518027</v>
      </c>
      <c r="BA139" s="39">
        <f t="shared" si="371"/>
        <v>0.65016060716408264</v>
      </c>
      <c r="BB139" s="39">
        <f t="shared" si="372"/>
        <v>0.74098429568879198</v>
      </c>
      <c r="BC139" s="39">
        <f t="shared" si="373"/>
        <v>0.83805511622842832</v>
      </c>
      <c r="BD139" s="39">
        <f t="shared" si="374"/>
        <v>0.92466065578579371</v>
      </c>
      <c r="BE139" s="39">
        <f t="shared" si="375"/>
        <v>1</v>
      </c>
      <c r="BG139" s="39">
        <f t="shared" si="329"/>
        <v>7.5373121590636832E-2</v>
      </c>
      <c r="BH139" s="39">
        <f t="shared" si="330"/>
        <v>0.14177735408447162</v>
      </c>
      <c r="BI139" s="39">
        <f t="shared" si="331"/>
        <v>0.22003948523791975</v>
      </c>
      <c r="BJ139" s="39">
        <f t="shared" si="332"/>
        <v>0.30460654787379643</v>
      </c>
      <c r="BK139" s="39">
        <f t="shared" si="333"/>
        <v>0.38778536871537694</v>
      </c>
      <c r="BL139" s="39">
        <f t="shared" si="334"/>
        <v>0.46558475260405968</v>
      </c>
      <c r="BM139" s="39">
        <f t="shared" si="335"/>
        <v>0.54882141685373587</v>
      </c>
      <c r="BN139" s="39">
        <f t="shared" si="336"/>
        <v>0.64941110353211451</v>
      </c>
      <c r="BO139" s="39">
        <f t="shared" si="337"/>
        <v>0.7368703365727749</v>
      </c>
      <c r="BP139" s="39">
        <f t="shared" si="338"/>
        <v>0.83456785284636981</v>
      </c>
      <c r="BQ139" s="39">
        <f t="shared" si="339"/>
        <v>0.91612705826127139</v>
      </c>
      <c r="BR139" s="39">
        <f t="shared" si="340"/>
        <v>1</v>
      </c>
      <c r="BS139" s="61"/>
      <c r="BT139" s="39">
        <f t="shared" si="341"/>
        <v>5.8089532887877764E-2</v>
      </c>
      <c r="BU139" s="39">
        <f t="shared" si="342"/>
        <v>0.13017753236895069</v>
      </c>
      <c r="BV139" s="39">
        <f t="shared" si="343"/>
        <v>0.2015429809778975</v>
      </c>
      <c r="BW139" s="39">
        <f t="shared" si="344"/>
        <v>0.27655789261576724</v>
      </c>
      <c r="BX139" s="39">
        <f t="shared" si="345"/>
        <v>0.37276236519156913</v>
      </c>
      <c r="BY139" s="39">
        <f t="shared" si="346"/>
        <v>0.46521473574840072</v>
      </c>
      <c r="BZ139" s="39">
        <f t="shared" si="347"/>
        <v>0.54738573040709526</v>
      </c>
      <c r="CA139" s="39">
        <f t="shared" si="348"/>
        <v>0.64615736443671834</v>
      </c>
      <c r="CB139" s="39">
        <f t="shared" si="349"/>
        <v>0.74212945905943861</v>
      </c>
      <c r="CC139" s="39">
        <f t="shared" si="350"/>
        <v>0.82772200511117855</v>
      </c>
      <c r="CD139" s="39">
        <f t="shared" si="351"/>
        <v>0.91615028859637238</v>
      </c>
      <c r="CE139" s="39">
        <f t="shared" si="352"/>
        <v>1</v>
      </c>
      <c r="CG139" s="39">
        <f t="shared" si="376"/>
        <v>6.5143918335461473E-2</v>
      </c>
      <c r="CH139" s="39">
        <f t="shared" si="353"/>
        <v>0.13862807441516886</v>
      </c>
      <c r="CI139" s="39">
        <f t="shared" si="354"/>
        <v>0.21210421083680286</v>
      </c>
      <c r="CJ139" s="39">
        <f t="shared" si="355"/>
        <v>0.29252929053158011</v>
      </c>
      <c r="CK139" s="39">
        <f t="shared" si="356"/>
        <v>0.3857307495681952</v>
      </c>
      <c r="CL139" s="39">
        <f t="shared" si="357"/>
        <v>0.46787921867197335</v>
      </c>
      <c r="CM139" s="39">
        <f t="shared" si="358"/>
        <v>0.55199040674200384</v>
      </c>
      <c r="CN139" s="39">
        <f t="shared" si="359"/>
        <v>0.6485763583776385</v>
      </c>
      <c r="CO139" s="39">
        <f t="shared" si="360"/>
        <v>0.73999469710700183</v>
      </c>
      <c r="CP139" s="39">
        <f t="shared" si="361"/>
        <v>0.83344832472865893</v>
      </c>
      <c r="CQ139" s="39">
        <f t="shared" si="362"/>
        <v>0.91897933421447908</v>
      </c>
      <c r="CR139" s="39">
        <f t="shared" si="363"/>
        <v>1</v>
      </c>
    </row>
    <row r="140" spans="1:96">
      <c r="A140" s="193" t="s">
        <v>104</v>
      </c>
      <c r="B140" s="34">
        <v>30445.21</v>
      </c>
      <c r="C140" s="34">
        <v>29668.58</v>
      </c>
      <c r="D140" s="34">
        <v>34785.79</v>
      </c>
      <c r="E140" s="34">
        <v>30911.759999999998</v>
      </c>
      <c r="F140" s="34">
        <v>38488.97</v>
      </c>
      <c r="G140" s="34">
        <v>34801.629999999997</v>
      </c>
      <c r="H140" s="34">
        <v>42473.45</v>
      </c>
      <c r="I140" s="34">
        <v>41891.08</v>
      </c>
      <c r="J140" s="34">
        <v>38769.089999999997</v>
      </c>
      <c r="K140" s="34">
        <v>51000.67</v>
      </c>
      <c r="L140" s="34">
        <v>39546.06</v>
      </c>
      <c r="M140" s="34">
        <v>29967.41</v>
      </c>
      <c r="N140" s="68">
        <f t="shared" si="328"/>
        <v>442749.7</v>
      </c>
      <c r="P140" s="85" t="s">
        <v>104</v>
      </c>
      <c r="Q140" s="34">
        <v>29799.64</v>
      </c>
      <c r="R140" s="34">
        <v>24615.7</v>
      </c>
      <c r="S140" s="34">
        <v>32401.62</v>
      </c>
      <c r="T140" s="34">
        <v>26901</v>
      </c>
      <c r="U140" s="34">
        <v>35688.699999999997</v>
      </c>
      <c r="V140" s="34">
        <v>42641.01</v>
      </c>
      <c r="W140" s="34">
        <v>36060.5</v>
      </c>
      <c r="X140" s="34">
        <v>43653.36</v>
      </c>
      <c r="Y140" s="34">
        <v>32032.13</v>
      </c>
      <c r="Z140" s="34">
        <v>40721.699999999997</v>
      </c>
      <c r="AA140" s="34">
        <v>35513.15</v>
      </c>
      <c r="AB140" s="34">
        <v>36516.54</v>
      </c>
      <c r="AC140" s="68">
        <f t="shared" si="377"/>
        <v>416545.05</v>
      </c>
      <c r="AE140" s="85" t="s">
        <v>104</v>
      </c>
      <c r="AF140" s="34">
        <v>24953.83</v>
      </c>
      <c r="AG140" s="34">
        <v>21441.309999999998</v>
      </c>
      <c r="AH140" s="34">
        <v>29579.030000000002</v>
      </c>
      <c r="AI140" s="34">
        <v>38592.5</v>
      </c>
      <c r="AJ140" s="34">
        <v>33302.11</v>
      </c>
      <c r="AK140" s="34">
        <v>34087.050000000003</v>
      </c>
      <c r="AL140" s="34">
        <v>31897.149999999998</v>
      </c>
      <c r="AM140" s="34">
        <v>41626.050000000003</v>
      </c>
      <c r="AN140" s="34">
        <v>33132.870000000003</v>
      </c>
      <c r="AO140" s="34">
        <v>42926.58</v>
      </c>
      <c r="AP140" s="34">
        <v>39053.480000000003</v>
      </c>
      <c r="AQ140" s="34">
        <v>26217.79</v>
      </c>
      <c r="AR140" s="68">
        <f t="shared" si="378"/>
        <v>396809.75</v>
      </c>
      <c r="AT140" s="39">
        <f t="shared" si="364"/>
        <v>6.876393140413195E-2</v>
      </c>
      <c r="AU140" s="39">
        <f t="shared" si="365"/>
        <v>0.13577375659430146</v>
      </c>
      <c r="AV140" s="39">
        <f t="shared" si="366"/>
        <v>0.21434137617710414</v>
      </c>
      <c r="AW140" s="39">
        <f t="shared" si="367"/>
        <v>0.28415906323595475</v>
      </c>
      <c r="AX140" s="39">
        <f t="shared" si="368"/>
        <v>0.37109073139970505</v>
      </c>
      <c r="AY140" s="39">
        <f t="shared" si="369"/>
        <v>0.44969412740426473</v>
      </c>
      <c r="AZ140" s="39">
        <f t="shared" si="370"/>
        <v>0.54562519184089797</v>
      </c>
      <c r="BA140" s="39">
        <f t="shared" si="371"/>
        <v>0.64024090812483903</v>
      </c>
      <c r="BB140" s="39">
        <f t="shared" si="372"/>
        <v>0.72780525881779268</v>
      </c>
      <c r="BC140" s="39">
        <f t="shared" si="373"/>
        <v>0.84299600880587844</v>
      </c>
      <c r="BD140" s="39">
        <f t="shared" si="374"/>
        <v>0.93231523364103919</v>
      </c>
      <c r="BE140" s="39">
        <f t="shared" si="375"/>
        <v>1</v>
      </c>
      <c r="BG140" s="39">
        <f t="shared" si="329"/>
        <v>7.15400171001912E-2</v>
      </c>
      <c r="BH140" s="39">
        <f t="shared" si="330"/>
        <v>0.13063494572795908</v>
      </c>
      <c r="BI140" s="39">
        <f t="shared" si="331"/>
        <v>0.20842153807853434</v>
      </c>
      <c r="BJ140" s="39">
        <f t="shared" si="332"/>
        <v>0.27300278805377715</v>
      </c>
      <c r="BK140" s="39">
        <f t="shared" si="333"/>
        <v>0.35868067571562784</v>
      </c>
      <c r="BL140" s="39">
        <f t="shared" si="334"/>
        <v>0.46104897897598346</v>
      </c>
      <c r="BM140" s="39">
        <f t="shared" si="335"/>
        <v>0.54761944716423827</v>
      </c>
      <c r="BN140" s="39">
        <f t="shared" si="336"/>
        <v>0.65241809979496812</v>
      </c>
      <c r="BO140" s="39">
        <f t="shared" si="337"/>
        <v>0.72931765723779451</v>
      </c>
      <c r="BP140" s="39">
        <f t="shared" si="338"/>
        <v>0.82707827160591629</v>
      </c>
      <c r="BQ140" s="39">
        <f t="shared" si="339"/>
        <v>0.91233471625698115</v>
      </c>
      <c r="BR140" s="39">
        <f t="shared" si="340"/>
        <v>1</v>
      </c>
      <c r="BS140" s="61"/>
      <c r="BT140" s="39">
        <f t="shared" si="341"/>
        <v>6.2886131200153225E-2</v>
      </c>
      <c r="BU140" s="39">
        <f t="shared" si="342"/>
        <v>0.1169203629699119</v>
      </c>
      <c r="BV140" s="39">
        <f t="shared" si="343"/>
        <v>0.19146245776470966</v>
      </c>
      <c r="BW140" s="39">
        <f t="shared" si="344"/>
        <v>0.28871939260565044</v>
      </c>
      <c r="BX140" s="39">
        <f t="shared" si="345"/>
        <v>0.37264401895366733</v>
      </c>
      <c r="BY140" s="39">
        <f t="shared" si="346"/>
        <v>0.4585467720992239</v>
      </c>
      <c r="BZ140" s="39">
        <f t="shared" si="347"/>
        <v>0.5389307596398526</v>
      </c>
      <c r="CA140" s="39">
        <f t="shared" si="348"/>
        <v>0.64383254191712791</v>
      </c>
      <c r="CB140" s="39">
        <f t="shared" si="349"/>
        <v>0.72733066664818602</v>
      </c>
      <c r="CC140" s="39">
        <f t="shared" si="350"/>
        <v>0.83550991375589945</v>
      </c>
      <c r="CD140" s="39">
        <f t="shared" si="351"/>
        <v>0.93392856400327873</v>
      </c>
      <c r="CE140" s="39">
        <f t="shared" si="352"/>
        <v>1</v>
      </c>
      <c r="CG140" s="39">
        <f t="shared" si="376"/>
        <v>6.7730026568158797E-2</v>
      </c>
      <c r="CH140" s="39">
        <f t="shared" si="353"/>
        <v>0.12777635509739083</v>
      </c>
      <c r="CI140" s="39">
        <f t="shared" si="354"/>
        <v>0.20474179067344936</v>
      </c>
      <c r="CJ140" s="39">
        <f t="shared" si="355"/>
        <v>0.28196041463179405</v>
      </c>
      <c r="CK140" s="39">
        <f t="shared" si="356"/>
        <v>0.36747180868966672</v>
      </c>
      <c r="CL140" s="39">
        <f t="shared" si="357"/>
        <v>0.45642995949315734</v>
      </c>
      <c r="CM140" s="39">
        <f t="shared" si="358"/>
        <v>0.54405846621499621</v>
      </c>
      <c r="CN140" s="39">
        <f t="shared" si="359"/>
        <v>0.64549718327897831</v>
      </c>
      <c r="CO140" s="39">
        <f t="shared" si="360"/>
        <v>0.72815119423459107</v>
      </c>
      <c r="CP140" s="39">
        <f t="shared" si="361"/>
        <v>0.83519473138923139</v>
      </c>
      <c r="CQ140" s="39">
        <f t="shared" si="362"/>
        <v>0.92619283796709961</v>
      </c>
      <c r="CR140" s="39">
        <f t="shared" si="363"/>
        <v>1</v>
      </c>
    </row>
    <row r="141" spans="1:96">
      <c r="A141" s="193" t="s">
        <v>105</v>
      </c>
      <c r="B141" s="34">
        <v>426189.42</v>
      </c>
      <c r="C141" s="34">
        <v>463546.36</v>
      </c>
      <c r="D141" s="34">
        <v>425946.2</v>
      </c>
      <c r="E141" s="34">
        <v>457311.76</v>
      </c>
      <c r="F141" s="34">
        <v>554810.02</v>
      </c>
      <c r="G141" s="34">
        <v>549586</v>
      </c>
      <c r="H141" s="34">
        <v>583525.56000000006</v>
      </c>
      <c r="I141" s="34">
        <v>572350.4</v>
      </c>
      <c r="J141" s="34">
        <v>541932.43999999994</v>
      </c>
      <c r="K141" s="34">
        <v>573487.52</v>
      </c>
      <c r="L141" s="34">
        <v>488866.84</v>
      </c>
      <c r="M141" s="34">
        <v>447930.52</v>
      </c>
      <c r="N141" s="68">
        <f t="shared" si="328"/>
        <v>6085483.0399999991</v>
      </c>
      <c r="P141" s="85" t="s">
        <v>105</v>
      </c>
      <c r="Q141" s="34">
        <v>345036.43</v>
      </c>
      <c r="R141" s="34">
        <v>309893.37</v>
      </c>
      <c r="S141" s="34">
        <v>415776</v>
      </c>
      <c r="T141" s="34">
        <v>415955.5</v>
      </c>
      <c r="U141" s="34">
        <v>429135</v>
      </c>
      <c r="V141" s="34">
        <v>414495</v>
      </c>
      <c r="W141" s="34">
        <v>462075</v>
      </c>
      <c r="X141" s="34">
        <v>543011.5</v>
      </c>
      <c r="Y141" s="34">
        <v>462898.51</v>
      </c>
      <c r="Z141" s="34">
        <v>542595</v>
      </c>
      <c r="AA141" s="34">
        <v>418612.5</v>
      </c>
      <c r="AB141" s="34">
        <v>410926.5</v>
      </c>
      <c r="AC141" s="68">
        <f t="shared" si="377"/>
        <v>5170410.3099999996</v>
      </c>
      <c r="AE141" s="85" t="s">
        <v>105</v>
      </c>
      <c r="AF141" s="34">
        <v>279480.99</v>
      </c>
      <c r="AG141" s="34">
        <v>292566.09999999998</v>
      </c>
      <c r="AH141" s="34">
        <v>403949.02</v>
      </c>
      <c r="AI141" s="34">
        <v>341009.48</v>
      </c>
      <c r="AJ141" s="34">
        <v>447552.25</v>
      </c>
      <c r="AK141" s="34">
        <v>432061.48</v>
      </c>
      <c r="AL141" s="34">
        <v>415321.47000000003</v>
      </c>
      <c r="AM141" s="34">
        <v>496351.46</v>
      </c>
      <c r="AN141" s="34">
        <v>429086.32</v>
      </c>
      <c r="AO141" s="34">
        <v>436809.25</v>
      </c>
      <c r="AP141" s="34">
        <v>391193.82</v>
      </c>
      <c r="AQ141" s="34">
        <v>372538.56</v>
      </c>
      <c r="AR141" s="68">
        <f t="shared" si="378"/>
        <v>4737920.1999999993</v>
      </c>
      <c r="AT141" s="39">
        <f t="shared" si="364"/>
        <v>7.0033786504480999E-2</v>
      </c>
      <c r="AU141" s="39">
        <f t="shared" si="365"/>
        <v>0.14620627058719074</v>
      </c>
      <c r="AV141" s="39">
        <f t="shared" si="366"/>
        <v>0.2162000898452919</v>
      </c>
      <c r="AW141" s="39">
        <f t="shared" si="367"/>
        <v>0.29134807021005193</v>
      </c>
      <c r="AX141" s="39">
        <f t="shared" si="368"/>
        <v>0.38251750020488107</v>
      </c>
      <c r="AY141" s="39">
        <f t="shared" si="369"/>
        <v>0.47282849053836162</v>
      </c>
      <c r="AZ141" s="39">
        <f t="shared" si="370"/>
        <v>0.56871661579719079</v>
      </c>
      <c r="BA141" s="39">
        <f t="shared" si="371"/>
        <v>0.66276837738093508</v>
      </c>
      <c r="BB141" s="39">
        <f t="shared" si="372"/>
        <v>0.75182169269507992</v>
      </c>
      <c r="BC141" s="39">
        <f t="shared" si="373"/>
        <v>0.84606031208329524</v>
      </c>
      <c r="BD141" s="39">
        <f t="shared" si="374"/>
        <v>0.92639359652212594</v>
      </c>
      <c r="BE141" s="39">
        <f t="shared" si="375"/>
        <v>1</v>
      </c>
      <c r="BG141" s="39">
        <f t="shared" si="329"/>
        <v>6.6732891455958745E-2</v>
      </c>
      <c r="BH141" s="39">
        <f t="shared" si="330"/>
        <v>0.12666882524454817</v>
      </c>
      <c r="BI141" s="39">
        <f t="shared" si="331"/>
        <v>0.2070833330053452</v>
      </c>
      <c r="BJ141" s="39">
        <f t="shared" si="332"/>
        <v>0.28753255754667567</v>
      </c>
      <c r="BK141" s="39">
        <f t="shared" si="333"/>
        <v>0.37053080609380112</v>
      </c>
      <c r="BL141" s="39">
        <f t="shared" si="334"/>
        <v>0.45069755788878579</v>
      </c>
      <c r="BM141" s="39">
        <f t="shared" si="335"/>
        <v>0.54006667412822795</v>
      </c>
      <c r="BN141" s="39">
        <f t="shared" si="336"/>
        <v>0.64508957703977654</v>
      </c>
      <c r="BO141" s="39">
        <f t="shared" si="337"/>
        <v>0.7346179669056091</v>
      </c>
      <c r="BP141" s="39">
        <f t="shared" si="338"/>
        <v>0.83956031528182529</v>
      </c>
      <c r="BQ141" s="39">
        <f t="shared" si="339"/>
        <v>0.92052342553834954</v>
      </c>
      <c r="BR141" s="39">
        <f t="shared" si="340"/>
        <v>1</v>
      </c>
      <c r="BS141" s="61"/>
      <c r="BT141" s="39">
        <f t="shared" si="341"/>
        <v>5.8988116769041414E-2</v>
      </c>
      <c r="BU141" s="39">
        <f t="shared" si="342"/>
        <v>0.1207380170733986</v>
      </c>
      <c r="BV141" s="39">
        <f t="shared" si="343"/>
        <v>0.20599673882223685</v>
      </c>
      <c r="BW141" s="39">
        <f t="shared" si="344"/>
        <v>0.27797124780615767</v>
      </c>
      <c r="BX141" s="39">
        <f t="shared" si="345"/>
        <v>0.37243300129875556</v>
      </c>
      <c r="BY141" s="39">
        <f t="shared" si="346"/>
        <v>0.46362522526234196</v>
      </c>
      <c r="BZ141" s="39">
        <f t="shared" si="347"/>
        <v>0.5512842512628221</v>
      </c>
      <c r="CA141" s="39">
        <f t="shared" si="348"/>
        <v>0.6560457160084715</v>
      </c>
      <c r="CB141" s="39">
        <f t="shared" si="349"/>
        <v>0.74660999355793289</v>
      </c>
      <c r="CC141" s="39">
        <f t="shared" si="350"/>
        <v>0.83880429645058197</v>
      </c>
      <c r="CD141" s="39">
        <f t="shared" si="351"/>
        <v>0.92137086648272382</v>
      </c>
      <c r="CE141" s="39">
        <f t="shared" si="352"/>
        <v>1</v>
      </c>
      <c r="CG141" s="39">
        <f t="shared" si="376"/>
        <v>6.5251598243160389E-2</v>
      </c>
      <c r="CH141" s="39">
        <f t="shared" si="353"/>
        <v>0.13120437096837917</v>
      </c>
      <c r="CI141" s="39">
        <f t="shared" si="354"/>
        <v>0.209760053890958</v>
      </c>
      <c r="CJ141" s="39">
        <f t="shared" si="355"/>
        <v>0.28561729185429507</v>
      </c>
      <c r="CK141" s="39">
        <f t="shared" si="356"/>
        <v>0.37516043586581255</v>
      </c>
      <c r="CL141" s="39">
        <f t="shared" si="357"/>
        <v>0.46238375789649649</v>
      </c>
      <c r="CM141" s="39">
        <f t="shared" si="358"/>
        <v>0.55335584706274688</v>
      </c>
      <c r="CN141" s="39">
        <f t="shared" si="359"/>
        <v>0.65463455680972771</v>
      </c>
      <c r="CO141" s="39">
        <f t="shared" si="360"/>
        <v>0.74434988438620719</v>
      </c>
      <c r="CP141" s="39">
        <f t="shared" si="361"/>
        <v>0.84147497460523413</v>
      </c>
      <c r="CQ141" s="39">
        <f t="shared" si="362"/>
        <v>0.9227626295143998</v>
      </c>
      <c r="CR141" s="39">
        <f t="shared" si="363"/>
        <v>1</v>
      </c>
    </row>
    <row r="142" spans="1:96">
      <c r="A142" s="193" t="s">
        <v>106</v>
      </c>
      <c r="B142" s="34">
        <v>55330.5</v>
      </c>
      <c r="C142" s="34">
        <v>54960.800000000003</v>
      </c>
      <c r="D142" s="34">
        <v>52212.76</v>
      </c>
      <c r="E142" s="34">
        <v>69838.12</v>
      </c>
      <c r="F142" s="34">
        <v>70217.16</v>
      </c>
      <c r="G142" s="34">
        <v>59225</v>
      </c>
      <c r="H142" s="34">
        <v>77892.72</v>
      </c>
      <c r="I142" s="34">
        <v>70217.16</v>
      </c>
      <c r="J142" s="34">
        <v>74386.600000000006</v>
      </c>
      <c r="K142" s="34">
        <v>71543.8</v>
      </c>
      <c r="L142" s="34">
        <v>65005.36</v>
      </c>
      <c r="M142" s="34">
        <v>58940.72</v>
      </c>
      <c r="N142" s="68">
        <f t="shared" si="328"/>
        <v>779770.7</v>
      </c>
      <c r="P142" s="85" t="s">
        <v>106</v>
      </c>
      <c r="Q142" s="34">
        <v>49229.65</v>
      </c>
      <c r="R142" s="34">
        <v>57745.65</v>
      </c>
      <c r="S142" s="34">
        <v>60518.1</v>
      </c>
      <c r="T142" s="34">
        <v>58578.3</v>
      </c>
      <c r="U142" s="34">
        <v>63409.500000000007</v>
      </c>
      <c r="V142" s="34">
        <v>64782</v>
      </c>
      <c r="W142" s="34">
        <v>62805.600000000006</v>
      </c>
      <c r="X142" s="34">
        <v>72303.3</v>
      </c>
      <c r="Y142" s="34">
        <v>57086.85</v>
      </c>
      <c r="Z142" s="34">
        <v>71077.2</v>
      </c>
      <c r="AA142" s="34">
        <v>67618.5</v>
      </c>
      <c r="AB142" s="34">
        <v>56089.5</v>
      </c>
      <c r="AC142" s="68">
        <f t="shared" si="377"/>
        <v>741244.15</v>
      </c>
      <c r="AE142" s="85" t="s">
        <v>106</v>
      </c>
      <c r="AF142" s="34">
        <v>43757.99</v>
      </c>
      <c r="AG142" s="34">
        <v>48912.820000000007</v>
      </c>
      <c r="AH142" s="34">
        <v>51697.13</v>
      </c>
      <c r="AI142" s="34">
        <v>59063.35</v>
      </c>
      <c r="AJ142" s="34">
        <v>66423.02</v>
      </c>
      <c r="AK142" s="34">
        <v>72796.540000000008</v>
      </c>
      <c r="AL142" s="34">
        <v>57457.95</v>
      </c>
      <c r="AM142" s="34">
        <v>70884.490000000005</v>
      </c>
      <c r="AN142" s="34">
        <v>61056.91</v>
      </c>
      <c r="AO142" s="34">
        <v>54641.15</v>
      </c>
      <c r="AP142" s="34">
        <v>56722</v>
      </c>
      <c r="AQ142" s="34">
        <v>51525.47</v>
      </c>
      <c r="AR142" s="68">
        <f t="shared" si="378"/>
        <v>694938.82</v>
      </c>
      <c r="AT142" s="39">
        <f t="shared" si="364"/>
        <v>7.095739811716445E-2</v>
      </c>
      <c r="AU142" s="39">
        <f t="shared" si="365"/>
        <v>0.14144068249807284</v>
      </c>
      <c r="AV142" s="39">
        <f t="shared" si="366"/>
        <v>0.2083998026599358</v>
      </c>
      <c r="AW142" s="39">
        <f t="shared" si="367"/>
        <v>0.29796218298533145</v>
      </c>
      <c r="AX142" s="39">
        <f t="shared" si="368"/>
        <v>0.38801065492714715</v>
      </c>
      <c r="AY142" s="39">
        <f t="shared" si="369"/>
        <v>0.46396246999278118</v>
      </c>
      <c r="AZ142" s="39">
        <f t="shared" si="370"/>
        <v>0.563854297167103</v>
      </c>
      <c r="BA142" s="39">
        <f t="shared" si="371"/>
        <v>0.65390276910891887</v>
      </c>
      <c r="BB142" s="39">
        <f t="shared" si="372"/>
        <v>0.7492982488313551</v>
      </c>
      <c r="BC142" s="39">
        <f t="shared" si="373"/>
        <v>0.84104804143064116</v>
      </c>
      <c r="BD142" s="39">
        <f t="shared" si="374"/>
        <v>0.92441275364668107</v>
      </c>
      <c r="BE142" s="39">
        <f t="shared" si="375"/>
        <v>1</v>
      </c>
      <c r="BG142" s="39">
        <f t="shared" si="329"/>
        <v>6.6414891773513493E-2</v>
      </c>
      <c r="BH142" s="39">
        <f t="shared" si="330"/>
        <v>0.14431857573513396</v>
      </c>
      <c r="BI142" s="39">
        <f t="shared" si="331"/>
        <v>0.22596252530289782</v>
      </c>
      <c r="BJ142" s="39">
        <f t="shared" si="332"/>
        <v>0.3049895233574525</v>
      </c>
      <c r="BK142" s="39">
        <f t="shared" si="333"/>
        <v>0.39053421197320748</v>
      </c>
      <c r="BL142" s="39">
        <f t="shared" si="334"/>
        <v>0.47793051722566715</v>
      </c>
      <c r="BM142" s="39">
        <f t="shared" si="335"/>
        <v>0.5626604945212722</v>
      </c>
      <c r="BN142" s="39">
        <f t="shared" si="336"/>
        <v>0.66020365894287325</v>
      </c>
      <c r="BO142" s="39">
        <f t="shared" si="337"/>
        <v>0.73721856691887555</v>
      </c>
      <c r="BP142" s="39">
        <f t="shared" si="338"/>
        <v>0.83310762047835385</v>
      </c>
      <c r="BQ142" s="39">
        <f t="shared" si="339"/>
        <v>0.92433060011333645</v>
      </c>
      <c r="BR142" s="39">
        <f t="shared" si="340"/>
        <v>1</v>
      </c>
      <c r="BS142" s="61"/>
      <c r="BT142" s="39">
        <f t="shared" si="341"/>
        <v>6.2966679570440456E-2</v>
      </c>
      <c r="BU142" s="39">
        <f t="shared" si="342"/>
        <v>0.13335103369243353</v>
      </c>
      <c r="BV142" s="39">
        <f t="shared" si="343"/>
        <v>0.20774194194533557</v>
      </c>
      <c r="BW142" s="39">
        <f t="shared" si="344"/>
        <v>0.29273266098445905</v>
      </c>
      <c r="BX142" s="39">
        <f t="shared" si="345"/>
        <v>0.38831376551967556</v>
      </c>
      <c r="BY142" s="39">
        <f t="shared" si="346"/>
        <v>0.49306620977081117</v>
      </c>
      <c r="BZ142" s="39">
        <f t="shared" si="347"/>
        <v>0.57574679739433754</v>
      </c>
      <c r="CA142" s="39">
        <f t="shared" si="348"/>
        <v>0.67774784836455104</v>
      </c>
      <c r="CB142" s="39">
        <f t="shared" si="349"/>
        <v>0.76560725158511078</v>
      </c>
      <c r="CC142" s="39">
        <f t="shared" si="350"/>
        <v>0.84423453276074001</v>
      </c>
      <c r="CD142" s="39">
        <f t="shared" si="351"/>
        <v>0.92585610629724213</v>
      </c>
      <c r="CE142" s="39">
        <f t="shared" si="352"/>
        <v>1</v>
      </c>
      <c r="CG142" s="39">
        <f t="shared" si="376"/>
        <v>6.6779656487039471E-2</v>
      </c>
      <c r="CH142" s="39">
        <f t="shared" si="353"/>
        <v>0.13970343064188009</v>
      </c>
      <c r="CI142" s="39">
        <f t="shared" si="354"/>
        <v>0.21403475663605639</v>
      </c>
      <c r="CJ142" s="39">
        <f t="shared" si="355"/>
        <v>0.29856145577574766</v>
      </c>
      <c r="CK142" s="39">
        <f t="shared" si="356"/>
        <v>0.38895287747334334</v>
      </c>
      <c r="CL142" s="39">
        <f t="shared" si="357"/>
        <v>0.47831973232975317</v>
      </c>
      <c r="CM142" s="39">
        <f t="shared" si="358"/>
        <v>0.56742052969423751</v>
      </c>
      <c r="CN142" s="39">
        <f t="shared" si="359"/>
        <v>0.66395142547211439</v>
      </c>
      <c r="CO142" s="39">
        <f t="shared" si="360"/>
        <v>0.75070802244511381</v>
      </c>
      <c r="CP142" s="39">
        <f t="shared" si="361"/>
        <v>0.83946339822324501</v>
      </c>
      <c r="CQ142" s="39">
        <f t="shared" si="362"/>
        <v>0.92486648668575322</v>
      </c>
      <c r="CR142" s="39">
        <f t="shared" si="363"/>
        <v>1</v>
      </c>
    </row>
    <row r="143" spans="1:96">
      <c r="A143" s="193" t="s">
        <v>107</v>
      </c>
      <c r="B143" s="34">
        <v>618323.79</v>
      </c>
      <c r="C143" s="34">
        <v>740075.6</v>
      </c>
      <c r="D143" s="34">
        <v>741876.04</v>
      </c>
      <c r="E143" s="34">
        <v>836257</v>
      </c>
      <c r="F143" s="34">
        <v>901167.6</v>
      </c>
      <c r="G143" s="34">
        <v>739317.52</v>
      </c>
      <c r="H143" s="34">
        <v>919835.32</v>
      </c>
      <c r="I143" s="34">
        <v>896145.32</v>
      </c>
      <c r="J143" s="34">
        <v>878993.76</v>
      </c>
      <c r="K143" s="34">
        <v>980860.76</v>
      </c>
      <c r="L143" s="34">
        <v>853787.6</v>
      </c>
      <c r="M143" s="34">
        <v>829718.56</v>
      </c>
      <c r="N143" s="68">
        <f t="shared" si="328"/>
        <v>9936358.870000001</v>
      </c>
      <c r="P143" s="85" t="s">
        <v>107</v>
      </c>
      <c r="Q143" s="34">
        <v>635010.15</v>
      </c>
      <c r="R143" s="34">
        <v>617259</v>
      </c>
      <c r="S143" s="34">
        <v>755149.5</v>
      </c>
      <c r="T143" s="34">
        <v>795135</v>
      </c>
      <c r="U143" s="34">
        <v>796782.07999999996</v>
      </c>
      <c r="V143" s="34">
        <v>740418.3</v>
      </c>
      <c r="W143" s="34">
        <v>784505.45</v>
      </c>
      <c r="X143" s="34">
        <v>889735.65</v>
      </c>
      <c r="Y143" s="34">
        <v>726235.5</v>
      </c>
      <c r="Z143" s="34">
        <v>895693.5</v>
      </c>
      <c r="AA143" s="34">
        <v>778848</v>
      </c>
      <c r="AB143" s="34">
        <v>727882.5</v>
      </c>
      <c r="AC143" s="68">
        <f t="shared" si="377"/>
        <v>9142654.6300000008</v>
      </c>
      <c r="AE143" s="85" t="s">
        <v>107</v>
      </c>
      <c r="AF143" s="34">
        <v>571081.51</v>
      </c>
      <c r="AG143" s="34">
        <v>596751.05000000005</v>
      </c>
      <c r="AH143" s="34">
        <v>775283.98</v>
      </c>
      <c r="AI143" s="34">
        <v>653514.98</v>
      </c>
      <c r="AJ143" s="34">
        <v>812934.99</v>
      </c>
      <c r="AK143" s="34">
        <v>744383.92</v>
      </c>
      <c r="AL143" s="34">
        <v>766948.15</v>
      </c>
      <c r="AM143" s="34">
        <v>894083.33</v>
      </c>
      <c r="AN143" s="34">
        <v>757103.58000000007</v>
      </c>
      <c r="AO143" s="34">
        <v>779178.95</v>
      </c>
      <c r="AP143" s="34">
        <v>764126.3</v>
      </c>
      <c r="AQ143" s="34">
        <v>692617.88</v>
      </c>
      <c r="AR143" s="68">
        <f t="shared" si="378"/>
        <v>8808008.620000001</v>
      </c>
      <c r="AT143" s="39">
        <f t="shared" si="364"/>
        <v>6.2228407617890315E-2</v>
      </c>
      <c r="AU143" s="39">
        <f t="shared" si="365"/>
        <v>0.13670997674020202</v>
      </c>
      <c r="AV143" s="39">
        <f t="shared" si="366"/>
        <v>0.21137274302171011</v>
      </c>
      <c r="AW143" s="39">
        <f t="shared" si="367"/>
        <v>0.29553405512214553</v>
      </c>
      <c r="AX143" s="39">
        <f t="shared" si="368"/>
        <v>0.38622800164624083</v>
      </c>
      <c r="AY143" s="39">
        <f t="shared" si="369"/>
        <v>0.46063327722783831</v>
      </c>
      <c r="AZ143" s="39">
        <f t="shared" si="370"/>
        <v>0.55320595219202273</v>
      </c>
      <c r="BA143" s="39">
        <f t="shared" si="371"/>
        <v>0.64339445400888595</v>
      </c>
      <c r="BB143" s="39">
        <f t="shared" si="372"/>
        <v>0.73185681446708861</v>
      </c>
      <c r="BC143" s="39">
        <f t="shared" si="373"/>
        <v>0.83057111945877216</v>
      </c>
      <c r="BD143" s="39">
        <f t="shared" si="374"/>
        <v>0.9164967196882251</v>
      </c>
      <c r="BE143" s="39">
        <f t="shared" si="375"/>
        <v>1</v>
      </c>
      <c r="BG143" s="39">
        <f t="shared" si="329"/>
        <v>6.9455773590782574E-2</v>
      </c>
      <c r="BH143" s="39">
        <f t="shared" si="330"/>
        <v>0.13696997214473142</v>
      </c>
      <c r="BI143" s="39">
        <f t="shared" si="331"/>
        <v>0.21956627820250493</v>
      </c>
      <c r="BJ143" s="39">
        <f t="shared" si="332"/>
        <v>0.30653609519536229</v>
      </c>
      <c r="BK143" s="39">
        <f t="shared" si="333"/>
        <v>0.39368606555358854</v>
      </c>
      <c r="BL143" s="39">
        <f t="shared" si="334"/>
        <v>0.47467111092218955</v>
      </c>
      <c r="BM143" s="39">
        <f t="shared" si="335"/>
        <v>0.56047829513166247</v>
      </c>
      <c r="BN143" s="39">
        <f t="shared" si="336"/>
        <v>0.65779528740658555</v>
      </c>
      <c r="BO143" s="39">
        <f t="shared" si="337"/>
        <v>0.73722905466461885</v>
      </c>
      <c r="BP143" s="39">
        <f t="shared" si="338"/>
        <v>0.83519770121733239</v>
      </c>
      <c r="BQ143" s="39">
        <f t="shared" si="339"/>
        <v>0.92038608812679168</v>
      </c>
      <c r="BR143" s="39">
        <f t="shared" si="340"/>
        <v>1</v>
      </c>
      <c r="BS143" s="61"/>
      <c r="BT143" s="39">
        <f t="shared" si="341"/>
        <v>6.4836620243907073E-2</v>
      </c>
      <c r="BU143" s="39">
        <f t="shared" si="342"/>
        <v>0.13258758141406088</v>
      </c>
      <c r="BV143" s="39">
        <f t="shared" si="343"/>
        <v>0.22060792896907949</v>
      </c>
      <c r="BW143" s="39">
        <f t="shared" si="344"/>
        <v>0.29480347170686577</v>
      </c>
      <c r="BX143" s="39">
        <f t="shared" si="345"/>
        <v>0.38709845290773559</v>
      </c>
      <c r="BY143" s="39">
        <f t="shared" si="346"/>
        <v>0.47161062269714255</v>
      </c>
      <c r="BZ143" s="39">
        <f t="shared" si="347"/>
        <v>0.55868457812658223</v>
      </c>
      <c r="CA143" s="39">
        <f t="shared" si="348"/>
        <v>0.66019257710490287</v>
      </c>
      <c r="CB143" s="39">
        <f t="shared" si="349"/>
        <v>0.74614884856913311</v>
      </c>
      <c r="CC143" s="39">
        <f t="shared" si="350"/>
        <v>0.83461140391118271</v>
      </c>
      <c r="CD143" s="39">
        <f t="shared" si="351"/>
        <v>0.92136498613008844</v>
      </c>
      <c r="CE143" s="39">
        <f t="shared" si="352"/>
        <v>1</v>
      </c>
      <c r="CG143" s="39">
        <f t="shared" si="376"/>
        <v>6.5506933817526661E-2</v>
      </c>
      <c r="CH143" s="39">
        <f t="shared" si="353"/>
        <v>0.13542251009966477</v>
      </c>
      <c r="CI143" s="39">
        <f t="shared" si="354"/>
        <v>0.21718231673109814</v>
      </c>
      <c r="CJ143" s="39">
        <f t="shared" si="355"/>
        <v>0.29895787400812451</v>
      </c>
      <c r="CK143" s="39">
        <f t="shared" si="356"/>
        <v>0.3890041733691883</v>
      </c>
      <c r="CL143" s="39">
        <f t="shared" si="357"/>
        <v>0.46897167028239012</v>
      </c>
      <c r="CM143" s="39">
        <f t="shared" si="358"/>
        <v>0.55745627515008911</v>
      </c>
      <c r="CN143" s="39">
        <f t="shared" si="359"/>
        <v>0.65379410617345812</v>
      </c>
      <c r="CO143" s="39">
        <f t="shared" si="360"/>
        <v>0.73841157256694689</v>
      </c>
      <c r="CP143" s="39">
        <f t="shared" si="361"/>
        <v>0.83346007486242912</v>
      </c>
      <c r="CQ143" s="39">
        <f t="shared" si="362"/>
        <v>0.91941593131503507</v>
      </c>
      <c r="CR143" s="39">
        <f t="shared" si="363"/>
        <v>1</v>
      </c>
    </row>
    <row r="144" spans="1:96">
      <c r="A144" s="193" t="s">
        <v>108</v>
      </c>
      <c r="B144" s="34">
        <v>43060.6</v>
      </c>
      <c r="C144" s="34">
        <v>54866.04</v>
      </c>
      <c r="D144" s="34">
        <v>58845.96</v>
      </c>
      <c r="E144" s="34">
        <v>71070</v>
      </c>
      <c r="F144" s="34">
        <v>74955.16</v>
      </c>
      <c r="G144" s="34">
        <v>66332</v>
      </c>
      <c r="H144" s="34">
        <v>82915</v>
      </c>
      <c r="I144" s="34">
        <v>83199.28</v>
      </c>
      <c r="J144" s="34">
        <v>75049.919999999998</v>
      </c>
      <c r="K144" s="34">
        <v>75523.72</v>
      </c>
      <c r="L144" s="34">
        <v>69743.360000000001</v>
      </c>
      <c r="M144" s="34">
        <v>63678.720000000001</v>
      </c>
      <c r="N144" s="68">
        <f t="shared" si="328"/>
        <v>819239.76</v>
      </c>
      <c r="P144" s="85" t="s">
        <v>108</v>
      </c>
      <c r="Q144" s="34">
        <v>38891.5</v>
      </c>
      <c r="R144" s="34">
        <v>41175</v>
      </c>
      <c r="S144" s="34">
        <v>63409.5</v>
      </c>
      <c r="T144" s="34">
        <v>62961.15</v>
      </c>
      <c r="U144" s="34">
        <v>63135</v>
      </c>
      <c r="V144" s="34">
        <v>64965</v>
      </c>
      <c r="W144" s="34">
        <v>66337.5</v>
      </c>
      <c r="X144" s="34">
        <v>74298</v>
      </c>
      <c r="Y144" s="34">
        <v>58743</v>
      </c>
      <c r="Z144" s="34">
        <v>63409.5</v>
      </c>
      <c r="AA144" s="34">
        <v>61762.5</v>
      </c>
      <c r="AB144" s="34">
        <v>60115.5</v>
      </c>
      <c r="AC144" s="68">
        <f t="shared" si="377"/>
        <v>719203.15</v>
      </c>
      <c r="AE144" s="85" t="s">
        <v>108</v>
      </c>
      <c r="AF144" s="34">
        <v>27600.47</v>
      </c>
      <c r="AG144" s="34">
        <v>35104.03</v>
      </c>
      <c r="AH144" s="34">
        <v>51201.270000000004</v>
      </c>
      <c r="AI144" s="34">
        <v>40745.97</v>
      </c>
      <c r="AJ144" s="34">
        <v>53845.16</v>
      </c>
      <c r="AK144" s="34">
        <v>68676.7</v>
      </c>
      <c r="AL144" s="34">
        <v>60994.1</v>
      </c>
      <c r="AM144" s="34">
        <v>63812.25</v>
      </c>
      <c r="AN144" s="34">
        <v>54549.08</v>
      </c>
      <c r="AO144" s="34">
        <v>53042.25</v>
      </c>
      <c r="AP144" s="34">
        <v>47567.5</v>
      </c>
      <c r="AQ144" s="34">
        <v>44516</v>
      </c>
      <c r="AR144" s="68">
        <f t="shared" si="378"/>
        <v>601654.78</v>
      </c>
      <c r="AT144" s="39">
        <f t="shared" si="364"/>
        <v>5.256165789609625E-2</v>
      </c>
      <c r="AU144" s="39">
        <f t="shared" si="365"/>
        <v>0.11953355388903487</v>
      </c>
      <c r="AV144" s="39">
        <f t="shared" si="366"/>
        <v>0.19136351487627992</v>
      </c>
      <c r="AW144" s="39">
        <f t="shared" si="367"/>
        <v>0.27811467548889474</v>
      </c>
      <c r="AX144" s="39">
        <f t="shared" si="368"/>
        <v>0.36960823288166583</v>
      </c>
      <c r="AY144" s="39">
        <f t="shared" si="369"/>
        <v>0.45057598278677297</v>
      </c>
      <c r="AZ144" s="39">
        <f t="shared" si="370"/>
        <v>0.55178567016815683</v>
      </c>
      <c r="BA144" s="39">
        <f t="shared" si="371"/>
        <v>0.65334236219199127</v>
      </c>
      <c r="BB144" s="39">
        <f t="shared" si="372"/>
        <v>0.74495158779891257</v>
      </c>
      <c r="BC144" s="39">
        <f t="shared" si="373"/>
        <v>0.83713915447658449</v>
      </c>
      <c r="BD144" s="39">
        <f t="shared" si="374"/>
        <v>0.92227096009109721</v>
      </c>
      <c r="BE144" s="39">
        <f t="shared" si="375"/>
        <v>1</v>
      </c>
      <c r="BG144" s="39">
        <f t="shared" si="329"/>
        <v>5.4075819884826695E-2</v>
      </c>
      <c r="BH144" s="39">
        <f t="shared" si="330"/>
        <v>0.11132668148074712</v>
      </c>
      <c r="BI144" s="39">
        <f t="shared" si="331"/>
        <v>0.19949300833846459</v>
      </c>
      <c r="BJ144" s="39">
        <f t="shared" si="332"/>
        <v>0.28703593692547091</v>
      </c>
      <c r="BK144" s="39">
        <f t="shared" si="333"/>
        <v>0.37482059137254892</v>
      </c>
      <c r="BL144" s="39">
        <f t="shared" si="334"/>
        <v>0.46514972855722336</v>
      </c>
      <c r="BM144" s="39">
        <f t="shared" si="335"/>
        <v>0.5573872277950952</v>
      </c>
      <c r="BN144" s="39">
        <f t="shared" si="336"/>
        <v>0.66069322694151156</v>
      </c>
      <c r="BO144" s="39">
        <f t="shared" si="337"/>
        <v>0.74237112281835804</v>
      </c>
      <c r="BP144" s="39">
        <f t="shared" si="338"/>
        <v>0.83053744967607557</v>
      </c>
      <c r="BQ144" s="39">
        <f t="shared" si="339"/>
        <v>0.91641374206995618</v>
      </c>
      <c r="BR144" s="39">
        <f t="shared" si="340"/>
        <v>1</v>
      </c>
      <c r="BS144" s="61"/>
      <c r="BT144" s="39">
        <f t="shared" si="341"/>
        <v>4.5874263643347103E-2</v>
      </c>
      <c r="BU144" s="39">
        <f t="shared" si="342"/>
        <v>0.10422006453601182</v>
      </c>
      <c r="BV144" s="39">
        <f t="shared" si="343"/>
        <v>0.18932080951804289</v>
      </c>
      <c r="BW144" s="39">
        <f t="shared" si="344"/>
        <v>0.2570439812677961</v>
      </c>
      <c r="BX144" s="39">
        <f t="shared" si="345"/>
        <v>0.34653909007421163</v>
      </c>
      <c r="BY144" s="39">
        <f t="shared" si="346"/>
        <v>0.46068544489914959</v>
      </c>
      <c r="BZ144" s="39">
        <f t="shared" si="347"/>
        <v>0.56206268318852204</v>
      </c>
      <c r="CA144" s="39">
        <f t="shared" si="348"/>
        <v>0.6681239198332305</v>
      </c>
      <c r="CB144" s="39">
        <f t="shared" si="349"/>
        <v>0.75878900189241405</v>
      </c>
      <c r="CC144" s="39">
        <f t="shared" si="350"/>
        <v>0.84694960787978768</v>
      </c>
      <c r="CD144" s="39">
        <f t="shared" si="351"/>
        <v>0.92601072661634964</v>
      </c>
      <c r="CE144" s="39">
        <f t="shared" si="352"/>
        <v>1</v>
      </c>
      <c r="CG144" s="39">
        <f t="shared" si="376"/>
        <v>5.0837247141423347E-2</v>
      </c>
      <c r="CH144" s="39">
        <f t="shared" si="353"/>
        <v>0.11169343330193127</v>
      </c>
      <c r="CI144" s="39">
        <f t="shared" si="354"/>
        <v>0.19339244424426247</v>
      </c>
      <c r="CJ144" s="39">
        <f t="shared" si="355"/>
        <v>0.2740648645607206</v>
      </c>
      <c r="CK144" s="39">
        <f t="shared" si="356"/>
        <v>0.36365597144280876</v>
      </c>
      <c r="CL144" s="39">
        <f t="shared" si="357"/>
        <v>0.45880371874771525</v>
      </c>
      <c r="CM144" s="39">
        <f t="shared" si="358"/>
        <v>0.55707852705059135</v>
      </c>
      <c r="CN144" s="39">
        <f t="shared" si="359"/>
        <v>0.66071983632224451</v>
      </c>
      <c r="CO144" s="39">
        <f t="shared" si="360"/>
        <v>0.74870390416989485</v>
      </c>
      <c r="CP144" s="39">
        <f t="shared" si="361"/>
        <v>0.83820873734414925</v>
      </c>
      <c r="CQ144" s="39">
        <f t="shared" si="362"/>
        <v>0.92156514292580105</v>
      </c>
      <c r="CR144" s="39">
        <f t="shared" si="363"/>
        <v>1</v>
      </c>
    </row>
    <row r="145" spans="1:96">
      <c r="A145" s="193" t="s">
        <v>109</v>
      </c>
      <c r="B145" s="34">
        <v>8410.82</v>
      </c>
      <c r="C145" s="34">
        <v>10802.64</v>
      </c>
      <c r="D145" s="34">
        <v>9760.2800000000007</v>
      </c>
      <c r="E145" s="34">
        <v>18099.16</v>
      </c>
      <c r="F145" s="34">
        <v>12413.56</v>
      </c>
      <c r="G145" s="34">
        <v>9949.7999999999993</v>
      </c>
      <c r="H145" s="34">
        <v>28428</v>
      </c>
      <c r="I145" s="34">
        <v>11181.68</v>
      </c>
      <c r="J145" s="34">
        <v>12413.56</v>
      </c>
      <c r="K145" s="34">
        <v>11655.48</v>
      </c>
      <c r="L145" s="34">
        <v>12792.6</v>
      </c>
      <c r="M145" s="34">
        <v>10234.08</v>
      </c>
      <c r="N145" s="68">
        <f t="shared" si="328"/>
        <v>156141.66</v>
      </c>
      <c r="P145" s="85" t="s">
        <v>109</v>
      </c>
      <c r="Q145" s="34">
        <v>7378.25</v>
      </c>
      <c r="R145" s="34">
        <v>6771</v>
      </c>
      <c r="S145" s="34">
        <v>11254.5</v>
      </c>
      <c r="T145" s="34">
        <v>8052</v>
      </c>
      <c r="U145" s="34">
        <v>10156.5</v>
      </c>
      <c r="V145" s="34">
        <v>7594.5</v>
      </c>
      <c r="W145" s="34">
        <v>7594.5</v>
      </c>
      <c r="X145" s="34">
        <v>9424.5</v>
      </c>
      <c r="Y145" s="34">
        <v>8601</v>
      </c>
      <c r="Z145" s="34">
        <v>9607.5</v>
      </c>
      <c r="AA145" s="34">
        <v>7137</v>
      </c>
      <c r="AB145" s="34">
        <v>8418</v>
      </c>
      <c r="AC145" s="68">
        <f t="shared" si="377"/>
        <v>101989.25</v>
      </c>
      <c r="AE145" s="85" t="s">
        <v>109</v>
      </c>
      <c r="AF145" s="34">
        <v>10816.25</v>
      </c>
      <c r="AG145" s="34">
        <v>5995.2999999999993</v>
      </c>
      <c r="AH145" s="34">
        <v>11006.82</v>
      </c>
      <c r="AI145" s="34">
        <v>6861.48</v>
      </c>
      <c r="AJ145" s="34">
        <v>11147.140000000001</v>
      </c>
      <c r="AK145" s="34">
        <v>8150.06</v>
      </c>
      <c r="AL145" s="34">
        <v>5474.75</v>
      </c>
      <c r="AM145" s="34">
        <v>11111.05</v>
      </c>
      <c r="AN145" s="34">
        <v>6192.75</v>
      </c>
      <c r="AO145" s="34">
        <v>6551.75</v>
      </c>
      <c r="AP145" s="34">
        <v>7718.5</v>
      </c>
      <c r="AQ145" s="34">
        <v>6372.25</v>
      </c>
      <c r="AR145" s="68">
        <f t="shared" si="378"/>
        <v>97398.099999999991</v>
      </c>
      <c r="AT145" s="39">
        <f t="shared" si="364"/>
        <v>5.3866597806120416E-2</v>
      </c>
      <c r="AU145" s="39">
        <f t="shared" si="365"/>
        <v>0.12305146493254907</v>
      </c>
      <c r="AV145" s="39">
        <f t="shared" si="366"/>
        <v>0.18556059926607671</v>
      </c>
      <c r="AW145" s="39">
        <f t="shared" si="367"/>
        <v>0.30147559594281242</v>
      </c>
      <c r="AX145" s="39">
        <f t="shared" si="368"/>
        <v>0.38097750465826985</v>
      </c>
      <c r="AY145" s="39">
        <f t="shared" si="369"/>
        <v>0.4447004085905068</v>
      </c>
      <c r="AZ145" s="39">
        <f t="shared" si="370"/>
        <v>0.62676584839689797</v>
      </c>
      <c r="BA145" s="39">
        <f t="shared" si="371"/>
        <v>0.69837825472074522</v>
      </c>
      <c r="BB145" s="39">
        <f t="shared" si="372"/>
        <v>0.7778801634362027</v>
      </c>
      <c r="BC145" s="39">
        <f t="shared" si="373"/>
        <v>0.85252699375682317</v>
      </c>
      <c r="BD145" s="39">
        <f t="shared" si="374"/>
        <v>0.93445644166969921</v>
      </c>
      <c r="BE145" s="39">
        <f t="shared" si="375"/>
        <v>1</v>
      </c>
      <c r="BG145" s="39">
        <f t="shared" si="329"/>
        <v>7.2343408741607565E-2</v>
      </c>
      <c r="BH145" s="39">
        <f t="shared" si="330"/>
        <v>0.13873275859955828</v>
      </c>
      <c r="BI145" s="39">
        <f t="shared" si="331"/>
        <v>0.24908262390398989</v>
      </c>
      <c r="BJ145" s="39">
        <f t="shared" si="332"/>
        <v>0.32803212103236373</v>
      </c>
      <c r="BK145" s="39">
        <f t="shared" si="333"/>
        <v>0.42761614581928981</v>
      </c>
      <c r="BL145" s="39">
        <f t="shared" si="334"/>
        <v>0.50207987606536963</v>
      </c>
      <c r="BM145" s="39">
        <f t="shared" si="335"/>
        <v>0.57654360631144952</v>
      </c>
      <c r="BN145" s="39">
        <f t="shared" si="336"/>
        <v>0.66895040408670525</v>
      </c>
      <c r="BO145" s="39">
        <f t="shared" si="337"/>
        <v>0.75328282147383185</v>
      </c>
      <c r="BP145" s="39">
        <f t="shared" si="338"/>
        <v>0.84748392600200506</v>
      </c>
      <c r="BQ145" s="39">
        <f t="shared" si="339"/>
        <v>0.91746188936579098</v>
      </c>
      <c r="BR145" s="39">
        <f t="shared" si="340"/>
        <v>1</v>
      </c>
      <c r="BS145" s="61"/>
      <c r="BT145" s="39">
        <f t="shared" si="341"/>
        <v>0.11105196097254465</v>
      </c>
      <c r="BU145" s="39">
        <f t="shared" si="342"/>
        <v>0.17260654981976034</v>
      </c>
      <c r="BV145" s="39">
        <f t="shared" si="343"/>
        <v>0.28561511980213167</v>
      </c>
      <c r="BW145" s="39">
        <f t="shared" si="344"/>
        <v>0.35606290061099755</v>
      </c>
      <c r="BX145" s="39">
        <f t="shared" si="345"/>
        <v>0.47051215578127298</v>
      </c>
      <c r="BY145" s="39">
        <f t="shared" si="346"/>
        <v>0.55418996879815929</v>
      </c>
      <c r="BZ145" s="39">
        <f t="shared" si="347"/>
        <v>0.61039999753588625</v>
      </c>
      <c r="CA145" s="39">
        <f t="shared" si="348"/>
        <v>0.72447871159704347</v>
      </c>
      <c r="CB145" s="39">
        <f t="shared" si="349"/>
        <v>0.7880605473823411</v>
      </c>
      <c r="CC145" s="39">
        <f t="shared" si="350"/>
        <v>0.85532828669142413</v>
      </c>
      <c r="CD145" s="39">
        <f t="shared" si="351"/>
        <v>0.93457521245280961</v>
      </c>
      <c r="CE145" s="39">
        <f t="shared" si="352"/>
        <v>1</v>
      </c>
      <c r="CG145" s="39">
        <f t="shared" si="376"/>
        <v>7.908732250675754E-2</v>
      </c>
      <c r="CH145" s="39">
        <f t="shared" si="353"/>
        <v>0.14479692445062256</v>
      </c>
      <c r="CI145" s="39">
        <f t="shared" si="354"/>
        <v>0.2400861143240661</v>
      </c>
      <c r="CJ145" s="39">
        <f t="shared" si="355"/>
        <v>0.32852353919539123</v>
      </c>
      <c r="CK145" s="39">
        <f t="shared" si="356"/>
        <v>0.42636860208627758</v>
      </c>
      <c r="CL145" s="39">
        <f t="shared" si="357"/>
        <v>0.50032341781801193</v>
      </c>
      <c r="CM145" s="39">
        <f t="shared" si="358"/>
        <v>0.60456981741474458</v>
      </c>
      <c r="CN145" s="39">
        <f t="shared" si="359"/>
        <v>0.69726912346816461</v>
      </c>
      <c r="CO145" s="39">
        <f t="shared" si="360"/>
        <v>0.77307451076412514</v>
      </c>
      <c r="CP145" s="39">
        <f t="shared" si="361"/>
        <v>0.85177973548341746</v>
      </c>
      <c r="CQ145" s="39">
        <f t="shared" si="362"/>
        <v>0.92883118116276664</v>
      </c>
      <c r="CR145" s="39">
        <f t="shared" si="363"/>
        <v>1</v>
      </c>
    </row>
    <row r="146" spans="1:96">
      <c r="A146" s="193" t="s">
        <v>110</v>
      </c>
      <c r="B146" s="34">
        <v>283209.40000000002</v>
      </c>
      <c r="C146" s="34">
        <v>420355.36</v>
      </c>
      <c r="D146" s="34">
        <v>461860.24</v>
      </c>
      <c r="E146" s="34">
        <v>492278.2</v>
      </c>
      <c r="F146" s="34">
        <v>517010.56</v>
      </c>
      <c r="G146" s="34">
        <v>433527</v>
      </c>
      <c r="H146" s="34">
        <v>511704</v>
      </c>
      <c r="I146" s="34">
        <v>505828.88</v>
      </c>
      <c r="J146" s="34">
        <v>510756.4</v>
      </c>
      <c r="K146" s="34">
        <v>535867.80000000005</v>
      </c>
      <c r="L146" s="34">
        <v>482233.64</v>
      </c>
      <c r="M146" s="34">
        <v>455890.36</v>
      </c>
      <c r="N146" s="68">
        <f t="shared" si="328"/>
        <v>5610521.8399999999</v>
      </c>
      <c r="P146" s="85" t="s">
        <v>110</v>
      </c>
      <c r="Q146" s="34">
        <v>234413.55</v>
      </c>
      <c r="R146" s="34">
        <v>339002.26</v>
      </c>
      <c r="S146" s="34">
        <v>419772</v>
      </c>
      <c r="T146" s="34">
        <v>422394</v>
      </c>
      <c r="U146" s="34">
        <v>420166.25</v>
      </c>
      <c r="V146" s="34">
        <v>408364.5</v>
      </c>
      <c r="W146" s="34">
        <v>439840.5</v>
      </c>
      <c r="X146" s="34">
        <v>482662.5</v>
      </c>
      <c r="Y146" s="34">
        <v>419881.75</v>
      </c>
      <c r="Z146" s="34">
        <v>482754</v>
      </c>
      <c r="AA146" s="34">
        <v>411201</v>
      </c>
      <c r="AB146" s="34">
        <v>431697</v>
      </c>
      <c r="AC146" s="68">
        <f t="shared" si="377"/>
        <v>4912149.3100000005</v>
      </c>
      <c r="AE146" s="85" t="s">
        <v>110</v>
      </c>
      <c r="AF146" s="34">
        <v>201763.79</v>
      </c>
      <c r="AG146" s="34">
        <v>286403.68</v>
      </c>
      <c r="AH146" s="34">
        <v>388925.8</v>
      </c>
      <c r="AI146" s="34">
        <v>324289.08</v>
      </c>
      <c r="AJ146" s="34">
        <v>420692.01</v>
      </c>
      <c r="AK146" s="34">
        <v>376264.87</v>
      </c>
      <c r="AL146" s="34">
        <v>409194.4</v>
      </c>
      <c r="AM146" s="34">
        <v>449192.57999999996</v>
      </c>
      <c r="AN146" s="34">
        <v>411611.45</v>
      </c>
      <c r="AO146" s="34">
        <v>426578.47</v>
      </c>
      <c r="AP146" s="34">
        <v>386355.5</v>
      </c>
      <c r="AQ146" s="34">
        <v>378218.53</v>
      </c>
      <c r="AR146" s="68">
        <f t="shared" si="378"/>
        <v>4459490.16</v>
      </c>
      <c r="AT146" s="39">
        <f t="shared" si="364"/>
        <v>5.0478263533504049E-2</v>
      </c>
      <c r="AU146" s="39">
        <f t="shared" si="365"/>
        <v>0.12540094844368346</v>
      </c>
      <c r="AV146" s="39">
        <f t="shared" si="366"/>
        <v>0.20772131955554424</v>
      </c>
      <c r="AW146" s="39">
        <f t="shared" si="367"/>
        <v>0.29546328260973315</v>
      </c>
      <c r="AX146" s="39">
        <f t="shared" si="368"/>
        <v>0.38761345593478697</v>
      </c>
      <c r="AY146" s="39">
        <f t="shared" si="369"/>
        <v>0.46488380838385612</v>
      </c>
      <c r="AZ146" s="39">
        <f t="shared" si="370"/>
        <v>0.5560881588155443</v>
      </c>
      <c r="BA146" s="39">
        <f t="shared" si="371"/>
        <v>0.64624534818672053</v>
      </c>
      <c r="BB146" s="39">
        <f t="shared" si="372"/>
        <v>0.73728080167316479</v>
      </c>
      <c r="BC146" s="39">
        <f t="shared" si="373"/>
        <v>0.83279202420857168</v>
      </c>
      <c r="BD146" s="39">
        <f t="shared" si="374"/>
        <v>0.91874367964317549</v>
      </c>
      <c r="BE146" s="39">
        <f t="shared" si="375"/>
        <v>1</v>
      </c>
      <c r="BG146" s="39">
        <f t="shared" si="329"/>
        <v>4.7721177677312897E-2</v>
      </c>
      <c r="BH146" s="39">
        <f t="shared" si="330"/>
        <v>0.11673419796761023</v>
      </c>
      <c r="BI146" s="39">
        <f t="shared" si="331"/>
        <v>0.20219006942197365</v>
      </c>
      <c r="BJ146" s="39">
        <f t="shared" si="332"/>
        <v>0.28817971943935067</v>
      </c>
      <c r="BK146" s="39">
        <f t="shared" si="333"/>
        <v>0.3737158510761962</v>
      </c>
      <c r="BL146" s="39">
        <f t="shared" si="334"/>
        <v>0.45684941934307771</v>
      </c>
      <c r="BM146" s="39">
        <f t="shared" si="335"/>
        <v>0.54639077328860752</v>
      </c>
      <c r="BN146" s="39">
        <f t="shared" si="336"/>
        <v>0.64464969612253087</v>
      </c>
      <c r="BO146" s="39">
        <f t="shared" si="337"/>
        <v>0.73012791013879008</v>
      </c>
      <c r="BP146" s="39">
        <f t="shared" si="338"/>
        <v>0.82840546025666306</v>
      </c>
      <c r="BQ146" s="39">
        <f t="shared" si="339"/>
        <v>0.91211647432598097</v>
      </c>
      <c r="BR146" s="39">
        <f t="shared" si="340"/>
        <v>1</v>
      </c>
      <c r="BS146" s="61"/>
      <c r="BT146" s="39">
        <f t="shared" si="341"/>
        <v>4.5243689919925736E-2</v>
      </c>
      <c r="BU146" s="39">
        <f t="shared" si="342"/>
        <v>0.10946710329774557</v>
      </c>
      <c r="BV146" s="39">
        <f t="shared" si="343"/>
        <v>0.19668016713372455</v>
      </c>
      <c r="BW146" s="39">
        <f t="shared" si="344"/>
        <v>0.26939903596513376</v>
      </c>
      <c r="BX146" s="39">
        <f t="shared" si="345"/>
        <v>0.3637353827012369</v>
      </c>
      <c r="BY146" s="39">
        <f t="shared" si="346"/>
        <v>0.44810934844623584</v>
      </c>
      <c r="BZ146" s="39">
        <f t="shared" si="347"/>
        <v>0.53986746099244665</v>
      </c>
      <c r="CA146" s="39">
        <f t="shared" si="348"/>
        <v>0.64059480063972152</v>
      </c>
      <c r="CB146" s="39">
        <f t="shared" si="349"/>
        <v>0.73289491460611278</v>
      </c>
      <c r="CC146" s="39">
        <f t="shared" si="350"/>
        <v>0.82855124631556532</v>
      </c>
      <c r="CD146" s="39">
        <f t="shared" si="351"/>
        <v>0.91518794381642943</v>
      </c>
      <c r="CE146" s="39">
        <f t="shared" si="352"/>
        <v>1</v>
      </c>
      <c r="CG146" s="39">
        <f t="shared" si="376"/>
        <v>4.7814377043580901E-2</v>
      </c>
      <c r="CH146" s="39">
        <f t="shared" si="353"/>
        <v>0.11720074990301309</v>
      </c>
      <c r="CI146" s="39">
        <f t="shared" si="354"/>
        <v>0.20219718537041417</v>
      </c>
      <c r="CJ146" s="39">
        <f t="shared" si="355"/>
        <v>0.28434734600473921</v>
      </c>
      <c r="CK146" s="39">
        <f t="shared" si="356"/>
        <v>0.37502156323740671</v>
      </c>
      <c r="CL146" s="39">
        <f t="shared" si="357"/>
        <v>0.4566141920577233</v>
      </c>
      <c r="CM146" s="39">
        <f t="shared" si="358"/>
        <v>0.54744879769886612</v>
      </c>
      <c r="CN146" s="39">
        <f t="shared" si="359"/>
        <v>0.64382994831632423</v>
      </c>
      <c r="CO146" s="39">
        <f t="shared" si="360"/>
        <v>0.73343454213935588</v>
      </c>
      <c r="CP146" s="39">
        <f t="shared" si="361"/>
        <v>0.82991624359359994</v>
      </c>
      <c r="CQ146" s="39">
        <f t="shared" si="362"/>
        <v>0.91534936592852867</v>
      </c>
      <c r="CR146" s="39">
        <f t="shared" si="363"/>
        <v>1</v>
      </c>
    </row>
    <row r="147" spans="1:96">
      <c r="A147" s="193" t="s">
        <v>111</v>
      </c>
      <c r="B147" s="34">
        <v>1984657.6400000001</v>
      </c>
      <c r="C147" s="34">
        <v>2434289.64</v>
      </c>
      <c r="D147" s="34">
        <v>2454943.2999999998</v>
      </c>
      <c r="E147" s="34">
        <v>2846874.68</v>
      </c>
      <c r="F147" s="34">
        <v>3100163.12</v>
      </c>
      <c r="G147" s="34">
        <v>2500053.08</v>
      </c>
      <c r="H147" s="34">
        <v>2909795.32</v>
      </c>
      <c r="I147" s="34">
        <v>2990246.56</v>
      </c>
      <c r="J147" s="34">
        <v>2848011.8</v>
      </c>
      <c r="K147" s="34">
        <v>3014126.08</v>
      </c>
      <c r="L147" s="34">
        <v>2483564.84</v>
      </c>
      <c r="M147" s="34">
        <v>2325031.36</v>
      </c>
      <c r="N147" s="68">
        <f t="shared" si="328"/>
        <v>31891757.419999998</v>
      </c>
      <c r="P147" s="85" t="s">
        <v>111</v>
      </c>
      <c r="Q147" s="34">
        <v>1930866.92</v>
      </c>
      <c r="R147" s="34">
        <v>1998365.1</v>
      </c>
      <c r="S147" s="34">
        <v>2663298.54</v>
      </c>
      <c r="T147" s="34">
        <v>2648980</v>
      </c>
      <c r="U147" s="34">
        <v>2666967.0499999998</v>
      </c>
      <c r="V147" s="34">
        <v>2390054.5299999998</v>
      </c>
      <c r="W147" s="34">
        <v>2541998.1</v>
      </c>
      <c r="X147" s="34">
        <v>2925547.75</v>
      </c>
      <c r="Y147" s="34">
        <v>2402204.27</v>
      </c>
      <c r="Z147" s="34">
        <v>2618272.5699999998</v>
      </c>
      <c r="AA147" s="34">
        <v>2172118.5</v>
      </c>
      <c r="AB147" s="34">
        <v>2068388.87</v>
      </c>
      <c r="AC147" s="68">
        <f t="shared" si="377"/>
        <v>29027062.199999999</v>
      </c>
      <c r="AE147" s="85" t="s">
        <v>111</v>
      </c>
      <c r="AF147" s="34">
        <v>1613880.02</v>
      </c>
      <c r="AG147" s="34">
        <v>1743940.41</v>
      </c>
      <c r="AH147" s="34">
        <v>2437264.2599999998</v>
      </c>
      <c r="AI147" s="34">
        <v>1980429.49</v>
      </c>
      <c r="AJ147" s="34">
        <v>2441361.42</v>
      </c>
      <c r="AK147" s="34">
        <v>2293984.15</v>
      </c>
      <c r="AL147" s="34">
        <v>2306509.81</v>
      </c>
      <c r="AM147" s="34">
        <v>2685913.05</v>
      </c>
      <c r="AN147" s="34">
        <v>2293553.2200000002</v>
      </c>
      <c r="AO147" s="34">
        <v>2363350.0100000002</v>
      </c>
      <c r="AP147" s="34">
        <v>2144451.77</v>
      </c>
      <c r="AQ147" s="34">
        <v>1913304.0899999999</v>
      </c>
      <c r="AR147" s="68">
        <f t="shared" si="378"/>
        <v>26217941.699999999</v>
      </c>
      <c r="AT147" s="39">
        <f t="shared" si="364"/>
        <v>6.2231052803486432E-2</v>
      </c>
      <c r="AU147" s="39">
        <f t="shared" si="365"/>
        <v>0.13856079556245415</v>
      </c>
      <c r="AV147" s="39">
        <f t="shared" si="366"/>
        <v>0.21553815581480743</v>
      </c>
      <c r="AW147" s="39">
        <f t="shared" si="367"/>
        <v>0.30480494166508054</v>
      </c>
      <c r="AX147" s="39">
        <f t="shared" si="368"/>
        <v>0.4020138561558142</v>
      </c>
      <c r="AY147" s="39">
        <f t="shared" si="369"/>
        <v>0.48040568157563768</v>
      </c>
      <c r="AZ147" s="39">
        <f t="shared" si="370"/>
        <v>0.57164541106684486</v>
      </c>
      <c r="BA147" s="39">
        <f t="shared" si="371"/>
        <v>0.66540777482183666</v>
      </c>
      <c r="BB147" s="39">
        <f t="shared" si="372"/>
        <v>0.75471021628007851</v>
      </c>
      <c r="BC147" s="39">
        <f t="shared" si="373"/>
        <v>0.84922134780241287</v>
      </c>
      <c r="BD147" s="39">
        <f t="shared" si="374"/>
        <v>0.92709616690669039</v>
      </c>
      <c r="BE147" s="39">
        <f t="shared" si="375"/>
        <v>1</v>
      </c>
      <c r="BG147" s="39">
        <f t="shared" si="329"/>
        <v>6.651954326952178E-2</v>
      </c>
      <c r="BH147" s="39">
        <f t="shared" si="330"/>
        <v>0.13536444001556588</v>
      </c>
      <c r="BI147" s="39">
        <f t="shared" si="331"/>
        <v>0.22711669939509072</v>
      </c>
      <c r="BJ147" s="39">
        <f t="shared" si="332"/>
        <v>0.31837567633695979</v>
      </c>
      <c r="BK147" s="39">
        <f t="shared" si="333"/>
        <v>0.41025431812386443</v>
      </c>
      <c r="BL147" s="39">
        <f t="shared" si="334"/>
        <v>0.49259315467343434</v>
      </c>
      <c r="BM147" s="39">
        <f t="shared" si="335"/>
        <v>0.58016653989875688</v>
      </c>
      <c r="BN147" s="39">
        <f t="shared" si="336"/>
        <v>0.68095344454114271</v>
      </c>
      <c r="BO147" s="39">
        <f t="shared" si="337"/>
        <v>0.76371084704534786</v>
      </c>
      <c r="BP147" s="39">
        <f t="shared" si="338"/>
        <v>0.85391193429144197</v>
      </c>
      <c r="BQ147" s="39">
        <f t="shared" si="339"/>
        <v>0.92874274166126258</v>
      </c>
      <c r="BR147" s="39">
        <f t="shared" si="340"/>
        <v>1</v>
      </c>
      <c r="BS147" s="61"/>
      <c r="BT147" s="39">
        <f t="shared" si="341"/>
        <v>6.1556320418547583E-2</v>
      </c>
      <c r="BU147" s="39">
        <f t="shared" si="342"/>
        <v>0.12807338075665947</v>
      </c>
      <c r="BV147" s="39">
        <f t="shared" si="343"/>
        <v>0.22103507423696803</v>
      </c>
      <c r="BW147" s="39">
        <f t="shared" si="344"/>
        <v>0.29657225837831502</v>
      </c>
      <c r="BX147" s="39">
        <f t="shared" si="345"/>
        <v>0.38969022499580885</v>
      </c>
      <c r="BY147" s="39">
        <f t="shared" si="346"/>
        <v>0.477186954382464</v>
      </c>
      <c r="BZ147" s="39">
        <f t="shared" si="347"/>
        <v>0.5651614352319656</v>
      </c>
      <c r="CA147" s="39">
        <f t="shared" si="348"/>
        <v>0.66760704597950948</v>
      </c>
      <c r="CB147" s="39">
        <f t="shared" si="349"/>
        <v>0.75508733891188717</v>
      </c>
      <c r="CC147" s="39">
        <f t="shared" si="350"/>
        <v>0.84522980841016981</v>
      </c>
      <c r="CD147" s="39">
        <f t="shared" si="351"/>
        <v>0.92702310074936201</v>
      </c>
      <c r="CE147" s="39">
        <f t="shared" si="352"/>
        <v>1</v>
      </c>
      <c r="CG147" s="39">
        <f t="shared" si="376"/>
        <v>6.3435638830518601E-2</v>
      </c>
      <c r="CH147" s="39">
        <f t="shared" si="353"/>
        <v>0.13399953877822651</v>
      </c>
      <c r="CI147" s="39">
        <f t="shared" si="354"/>
        <v>0.2212299764822887</v>
      </c>
      <c r="CJ147" s="39">
        <f t="shared" si="355"/>
        <v>0.30658429212678512</v>
      </c>
      <c r="CK147" s="39">
        <f t="shared" si="356"/>
        <v>0.40065279975849588</v>
      </c>
      <c r="CL147" s="39">
        <f t="shared" si="357"/>
        <v>0.48339526354384538</v>
      </c>
      <c r="CM147" s="39">
        <f t="shared" si="358"/>
        <v>0.57232446206585574</v>
      </c>
      <c r="CN147" s="39">
        <f t="shared" si="359"/>
        <v>0.67132275511416284</v>
      </c>
      <c r="CO147" s="39">
        <f t="shared" si="360"/>
        <v>0.75783613407910444</v>
      </c>
      <c r="CP147" s="39">
        <f t="shared" si="361"/>
        <v>0.84945436350134151</v>
      </c>
      <c r="CQ147" s="39">
        <f t="shared" si="362"/>
        <v>0.9276206697724384</v>
      </c>
      <c r="CR147" s="39">
        <f t="shared" si="363"/>
        <v>1</v>
      </c>
    </row>
    <row r="148" spans="1:96">
      <c r="A148" s="193" t="s">
        <v>112</v>
      </c>
      <c r="B148" s="34">
        <v>43923.22</v>
      </c>
      <c r="C148" s="34">
        <v>55150.32</v>
      </c>
      <c r="D148" s="34">
        <v>44442.44</v>
      </c>
      <c r="E148" s="34">
        <v>52970.84</v>
      </c>
      <c r="F148" s="34">
        <v>65668.679999999993</v>
      </c>
      <c r="G148" s="34">
        <v>50317.56</v>
      </c>
      <c r="H148" s="34">
        <v>55150.32</v>
      </c>
      <c r="I148" s="34">
        <v>60362.12</v>
      </c>
      <c r="J148" s="34">
        <v>58087.88</v>
      </c>
      <c r="K148" s="34">
        <v>55908.4</v>
      </c>
      <c r="L148" s="34">
        <v>49275.199999999997</v>
      </c>
      <c r="M148" s="34">
        <v>50412.32</v>
      </c>
      <c r="N148" s="68">
        <f t="shared" si="328"/>
        <v>641669.29999999993</v>
      </c>
      <c r="P148" s="85" t="s">
        <v>112</v>
      </c>
      <c r="Q148" s="34">
        <v>42386.2</v>
      </c>
      <c r="R148" s="34">
        <v>47214</v>
      </c>
      <c r="S148" s="34">
        <v>56547</v>
      </c>
      <c r="T148" s="34">
        <v>59749.5</v>
      </c>
      <c r="U148" s="34">
        <v>55083</v>
      </c>
      <c r="V148" s="34">
        <v>50233.5</v>
      </c>
      <c r="W148" s="34">
        <v>56547.000000000007</v>
      </c>
      <c r="X148" s="34">
        <v>61122</v>
      </c>
      <c r="Y148" s="34">
        <v>53070</v>
      </c>
      <c r="Z148" s="34">
        <v>54625.5</v>
      </c>
      <c r="AA148" s="34">
        <v>44743.5</v>
      </c>
      <c r="AB148" s="34">
        <v>45933</v>
      </c>
      <c r="AC148" s="68">
        <f t="shared" si="377"/>
        <v>627254.19999999995</v>
      </c>
      <c r="AE148" s="85" t="s">
        <v>112</v>
      </c>
      <c r="AF148" s="34">
        <v>27813.119999999999</v>
      </c>
      <c r="AG148" s="34">
        <v>33981.25</v>
      </c>
      <c r="AH148" s="34">
        <v>45122.100000000006</v>
      </c>
      <c r="AI148" s="34">
        <v>37466.74</v>
      </c>
      <c r="AJ148" s="34">
        <v>43582.600000000006</v>
      </c>
      <c r="AK148" s="34">
        <v>51319.350000000006</v>
      </c>
      <c r="AL148" s="34">
        <v>43151.8</v>
      </c>
      <c r="AM148" s="34">
        <v>50866.3</v>
      </c>
      <c r="AN148" s="34">
        <v>51875.5</v>
      </c>
      <c r="AO148" s="34">
        <v>54657.75</v>
      </c>
      <c r="AP148" s="34">
        <v>45502.65</v>
      </c>
      <c r="AQ148" s="34">
        <v>42451.75</v>
      </c>
      <c r="AR148" s="68">
        <f t="shared" si="378"/>
        <v>527790.91</v>
      </c>
      <c r="AT148" s="39">
        <f t="shared" si="364"/>
        <v>6.8451490510766225E-2</v>
      </c>
      <c r="AU148" s="39">
        <f t="shared" si="365"/>
        <v>0.15439968843764229</v>
      </c>
      <c r="AV148" s="39">
        <f t="shared" si="366"/>
        <v>0.22366034965363005</v>
      </c>
      <c r="AW148" s="39">
        <f t="shared" si="367"/>
        <v>0.30621196931191819</v>
      </c>
      <c r="AX148" s="39">
        <f t="shared" si="368"/>
        <v>0.4085523493176314</v>
      </c>
      <c r="AY148" s="39">
        <f t="shared" si="369"/>
        <v>0.4869690041272039</v>
      </c>
      <c r="AZ148" s="39">
        <f t="shared" si="370"/>
        <v>0.57291720205407992</v>
      </c>
      <c r="BA148" s="39">
        <f t="shared" si="371"/>
        <v>0.66698765236236179</v>
      </c>
      <c r="BB148" s="39">
        <f t="shared" si="372"/>
        <v>0.7575138470860302</v>
      </c>
      <c r="BC148" s="39">
        <f t="shared" si="373"/>
        <v>0.84464346354111075</v>
      </c>
      <c r="BD148" s="39">
        <f t="shared" si="374"/>
        <v>0.92143566787440201</v>
      </c>
      <c r="BE148" s="39">
        <f t="shared" si="375"/>
        <v>1</v>
      </c>
      <c r="BG148" s="39">
        <f t="shared" si="329"/>
        <v>6.7574198785755435E-2</v>
      </c>
      <c r="BH148" s="39">
        <f t="shared" si="330"/>
        <v>0.14284511765724328</v>
      </c>
      <c r="BI148" s="39">
        <f t="shared" si="331"/>
        <v>0.23299517165449035</v>
      </c>
      <c r="BJ148" s="39">
        <f t="shared" si="332"/>
        <v>0.32825081123410577</v>
      </c>
      <c r="BK148" s="39">
        <f t="shared" si="333"/>
        <v>0.41606688325084157</v>
      </c>
      <c r="BL148" s="39">
        <f t="shared" si="334"/>
        <v>0.49615163995713385</v>
      </c>
      <c r="BM148" s="39">
        <f t="shared" si="335"/>
        <v>0.58630169395438092</v>
      </c>
      <c r="BN148" s="39">
        <f t="shared" si="336"/>
        <v>0.68374544164072559</v>
      </c>
      <c r="BO148" s="39">
        <f t="shared" si="337"/>
        <v>0.76835228843425851</v>
      </c>
      <c r="BP148" s="39">
        <f t="shared" si="338"/>
        <v>0.85543899108208443</v>
      </c>
      <c r="BQ148" s="39">
        <f t="shared" si="339"/>
        <v>0.92677131536145951</v>
      </c>
      <c r="BR148" s="39">
        <f t="shared" si="340"/>
        <v>1</v>
      </c>
      <c r="BS148" s="61"/>
      <c r="BT148" s="39">
        <f t="shared" si="341"/>
        <v>5.2697231939822529E-2</v>
      </c>
      <c r="BU148" s="39">
        <f t="shared" si="342"/>
        <v>0.1170811562480301</v>
      </c>
      <c r="BV148" s="39">
        <f t="shared" si="343"/>
        <v>0.2025735342808386</v>
      </c>
      <c r="BW148" s="39">
        <f t="shared" si="344"/>
        <v>0.27356138058535334</v>
      </c>
      <c r="BX148" s="39">
        <f t="shared" si="345"/>
        <v>0.35613688382772635</v>
      </c>
      <c r="BY148" s="39">
        <f t="shared" si="346"/>
        <v>0.45337112759293258</v>
      </c>
      <c r="BZ148" s="39">
        <f t="shared" si="347"/>
        <v>0.53513039851330524</v>
      </c>
      <c r="CA148" s="39">
        <f t="shared" si="348"/>
        <v>0.63150625311072517</v>
      </c>
      <c r="CB148" s="39">
        <f t="shared" si="349"/>
        <v>0.72979422855160581</v>
      </c>
      <c r="CC148" s="39">
        <f t="shared" si="350"/>
        <v>0.83335370440540546</v>
      </c>
      <c r="CD148" s="39">
        <f t="shared" si="351"/>
        <v>0.91956710660287799</v>
      </c>
      <c r="CE148" s="39">
        <f t="shared" si="352"/>
        <v>1</v>
      </c>
      <c r="CG148" s="39">
        <f t="shared" si="376"/>
        <v>6.2907640412114732E-2</v>
      </c>
      <c r="CH148" s="39">
        <f t="shared" si="353"/>
        <v>0.13810865411430523</v>
      </c>
      <c r="CI148" s="39">
        <f t="shared" si="354"/>
        <v>0.21974301852965297</v>
      </c>
      <c r="CJ148" s="39">
        <f t="shared" si="355"/>
        <v>0.30267472037712578</v>
      </c>
      <c r="CK148" s="39">
        <f t="shared" si="356"/>
        <v>0.3935853721320664</v>
      </c>
      <c r="CL148" s="39">
        <f t="shared" si="357"/>
        <v>0.47883059055909011</v>
      </c>
      <c r="CM148" s="39">
        <f t="shared" si="358"/>
        <v>0.56478309817392203</v>
      </c>
      <c r="CN148" s="39">
        <f t="shared" si="359"/>
        <v>0.66074644903793756</v>
      </c>
      <c r="CO148" s="39">
        <f t="shared" si="360"/>
        <v>0.75188678802396491</v>
      </c>
      <c r="CP148" s="39">
        <f t="shared" si="361"/>
        <v>0.84447871967620014</v>
      </c>
      <c r="CQ148" s="39">
        <f t="shared" si="362"/>
        <v>0.9225913632795798</v>
      </c>
      <c r="CR148" s="39">
        <f t="shared" si="363"/>
        <v>1</v>
      </c>
    </row>
    <row r="149" spans="1:96">
      <c r="A149" s="193" t="s">
        <v>113</v>
      </c>
      <c r="B149" s="34">
        <v>20719.84</v>
      </c>
      <c r="C149" s="34">
        <v>34587.4</v>
      </c>
      <c r="D149" s="34">
        <v>35061.199999999997</v>
      </c>
      <c r="E149" s="34">
        <v>32786.959999999999</v>
      </c>
      <c r="F149" s="34">
        <v>45484.800000000003</v>
      </c>
      <c r="G149" s="34">
        <v>37524.959999999999</v>
      </c>
      <c r="H149" s="34">
        <v>41220.6</v>
      </c>
      <c r="I149" s="34">
        <v>41978.68</v>
      </c>
      <c r="J149" s="34">
        <v>39230.639999999999</v>
      </c>
      <c r="K149" s="34">
        <v>42642</v>
      </c>
      <c r="L149" s="34">
        <v>37430.199999999997</v>
      </c>
      <c r="M149" s="34">
        <v>27669.919999999998</v>
      </c>
      <c r="N149" s="68">
        <f t="shared" si="328"/>
        <v>436337.2</v>
      </c>
      <c r="P149" s="85" t="s">
        <v>113</v>
      </c>
      <c r="Q149" s="34">
        <v>29591.75</v>
      </c>
      <c r="R149" s="34">
        <v>32208</v>
      </c>
      <c r="S149" s="34">
        <v>39985.5</v>
      </c>
      <c r="T149" s="34">
        <v>41083.5</v>
      </c>
      <c r="U149" s="34">
        <v>40992</v>
      </c>
      <c r="V149" s="34">
        <v>33397.5</v>
      </c>
      <c r="W149" s="34">
        <v>38430</v>
      </c>
      <c r="X149" s="34">
        <v>38247</v>
      </c>
      <c r="Y149" s="34">
        <v>29829</v>
      </c>
      <c r="Z149" s="34">
        <v>37057.5</v>
      </c>
      <c r="AA149" s="34">
        <v>33306</v>
      </c>
      <c r="AB149" s="34">
        <v>31110</v>
      </c>
      <c r="AC149" s="68">
        <f t="shared" si="377"/>
        <v>425237.75</v>
      </c>
      <c r="AE149" s="85" t="s">
        <v>113</v>
      </c>
      <c r="AF149" s="34">
        <v>23772.85</v>
      </c>
      <c r="AG149" s="34">
        <v>27605.199999999997</v>
      </c>
      <c r="AH149" s="34">
        <v>30858.199999999997</v>
      </c>
      <c r="AI149" s="34">
        <v>27823.260000000002</v>
      </c>
      <c r="AJ149" s="34">
        <v>48705.619999999995</v>
      </c>
      <c r="AK149" s="34">
        <v>49883</v>
      </c>
      <c r="AL149" s="34">
        <v>42577.37</v>
      </c>
      <c r="AM149" s="34">
        <v>45862.25</v>
      </c>
      <c r="AN149" s="34">
        <v>32489.599999999999</v>
      </c>
      <c r="AO149" s="34">
        <v>40926</v>
      </c>
      <c r="AP149" s="34">
        <v>33566.5</v>
      </c>
      <c r="AQ149" s="34">
        <v>35271.75</v>
      </c>
      <c r="AR149" s="68">
        <f t="shared" si="378"/>
        <v>439341.6</v>
      </c>
      <c r="AT149" s="39">
        <f t="shared" si="364"/>
        <v>4.7485843517353091E-2</v>
      </c>
      <c r="AU149" s="39">
        <f t="shared" si="365"/>
        <v>0.12675343747908729</v>
      </c>
      <c r="AV149" s="39">
        <f t="shared" si="366"/>
        <v>0.20710688889235207</v>
      </c>
      <c r="AW149" s="39">
        <f t="shared" si="367"/>
        <v>0.28224822453826992</v>
      </c>
      <c r="AX149" s="39">
        <f t="shared" si="368"/>
        <v>0.38649053988520804</v>
      </c>
      <c r="AY149" s="39">
        <f t="shared" si="369"/>
        <v>0.47249045004643198</v>
      </c>
      <c r="AZ149" s="39">
        <f t="shared" si="370"/>
        <v>0.56696004832959468</v>
      </c>
      <c r="BA149" s="39">
        <f t="shared" si="371"/>
        <v>0.66316701853520621</v>
      </c>
      <c r="BB149" s="39">
        <f t="shared" si="372"/>
        <v>0.75307601552194037</v>
      </c>
      <c r="BC149" s="39">
        <f t="shared" si="373"/>
        <v>0.85080318615969486</v>
      </c>
      <c r="BD149" s="39">
        <f t="shared" si="374"/>
        <v>0.93658592483061265</v>
      </c>
      <c r="BE149" s="39">
        <f t="shared" si="375"/>
        <v>1</v>
      </c>
      <c r="BG149" s="39">
        <f t="shared" si="329"/>
        <v>6.9588718311109493E-2</v>
      </c>
      <c r="BH149" s="39">
        <f t="shared" si="330"/>
        <v>0.1453298772275039</v>
      </c>
      <c r="BI149" s="39">
        <f t="shared" si="331"/>
        <v>0.23936080463223219</v>
      </c>
      <c r="BJ149" s="39">
        <f t="shared" si="332"/>
        <v>0.33597381700001938</v>
      </c>
      <c r="BK149" s="39">
        <f t="shared" si="333"/>
        <v>0.43237165562088503</v>
      </c>
      <c r="BL149" s="39">
        <f t="shared" si="334"/>
        <v>0.5109100732472599</v>
      </c>
      <c r="BM149" s="39">
        <f t="shared" si="335"/>
        <v>0.60128304695432144</v>
      </c>
      <c r="BN149" s="39">
        <f t="shared" si="336"/>
        <v>0.6912256731675398</v>
      </c>
      <c r="BO149" s="39">
        <f t="shared" si="337"/>
        <v>0.76137231466397326</v>
      </c>
      <c r="BP149" s="39">
        <f t="shared" si="338"/>
        <v>0.84851768216721113</v>
      </c>
      <c r="BQ149" s="39">
        <f t="shared" si="339"/>
        <v>0.92684092604666446</v>
      </c>
      <c r="BR149" s="39">
        <f t="shared" si="340"/>
        <v>1</v>
      </c>
      <c r="BS149" s="61"/>
      <c r="BT149" s="39">
        <f t="shared" si="341"/>
        <v>5.4110173040750068E-2</v>
      </c>
      <c r="BU149" s="39">
        <f t="shared" si="342"/>
        <v>0.11694328513393677</v>
      </c>
      <c r="BV149" s="39">
        <f t="shared" si="343"/>
        <v>0.18718065851264712</v>
      </c>
      <c r="BW149" s="39">
        <f t="shared" si="344"/>
        <v>0.25051010421048225</v>
      </c>
      <c r="BX149" s="39">
        <f t="shared" si="345"/>
        <v>0.36137058270830719</v>
      </c>
      <c r="BY149" s="39">
        <f t="shared" si="346"/>
        <v>0.47491093490805336</v>
      </c>
      <c r="BZ149" s="39">
        <f t="shared" si="347"/>
        <v>0.57182270014949643</v>
      </c>
      <c r="CA149" s="39">
        <f t="shared" si="348"/>
        <v>0.67621128980274126</v>
      </c>
      <c r="CB149" s="39">
        <f t="shared" si="349"/>
        <v>0.7501619468768721</v>
      </c>
      <c r="CC149" s="39">
        <f t="shared" si="350"/>
        <v>0.84331497404297706</v>
      </c>
      <c r="CD149" s="39">
        <f t="shared" si="351"/>
        <v>0.91971679895552805</v>
      </c>
      <c r="CE149" s="39">
        <f t="shared" si="352"/>
        <v>1</v>
      </c>
      <c r="CG149" s="39">
        <f t="shared" si="376"/>
        <v>5.7061578289737548E-2</v>
      </c>
      <c r="CH149" s="39">
        <f t="shared" si="353"/>
        <v>0.12967553328017598</v>
      </c>
      <c r="CI149" s="39">
        <f t="shared" si="354"/>
        <v>0.21121611734574378</v>
      </c>
      <c r="CJ149" s="39">
        <f t="shared" si="355"/>
        <v>0.2895773819162572</v>
      </c>
      <c r="CK149" s="39">
        <f t="shared" si="356"/>
        <v>0.39341092607146672</v>
      </c>
      <c r="CL149" s="39">
        <f t="shared" si="357"/>
        <v>0.48610381940058173</v>
      </c>
      <c r="CM149" s="39">
        <f t="shared" si="358"/>
        <v>0.58002193181113759</v>
      </c>
      <c r="CN149" s="39">
        <f t="shared" si="359"/>
        <v>0.67686799383516238</v>
      </c>
      <c r="CO149" s="39">
        <f t="shared" si="360"/>
        <v>0.75487009235426183</v>
      </c>
      <c r="CP149" s="39">
        <f t="shared" si="361"/>
        <v>0.84754528078996094</v>
      </c>
      <c r="CQ149" s="39">
        <f t="shared" si="362"/>
        <v>0.92771454994426839</v>
      </c>
      <c r="CR149" s="39">
        <f t="shared" si="363"/>
        <v>1</v>
      </c>
    </row>
    <row r="150" spans="1:96">
      <c r="A150" s="193" t="s">
        <v>241</v>
      </c>
      <c r="N150" s="63">
        <f t="shared" si="328"/>
        <v>0</v>
      </c>
      <c r="P150" s="176" t="s">
        <v>241</v>
      </c>
      <c r="AC150" s="63">
        <f t="shared" si="377"/>
        <v>0</v>
      </c>
      <c r="AR150" s="63">
        <f t="shared" si="378"/>
        <v>0</v>
      </c>
      <c r="AT150" s="61">
        <f>AVERAGE(AT123:AT149)</f>
        <v>6.0010909331618484E-2</v>
      </c>
      <c r="AU150" s="61">
        <f t="shared" ref="AU150:BE150" si="379">AVERAGE(AU123:AU149)</f>
        <v>0.13499598041000599</v>
      </c>
      <c r="AV150" s="61">
        <f t="shared" si="379"/>
        <v>0.20646347197829171</v>
      </c>
      <c r="AW150" s="61">
        <f t="shared" si="379"/>
        <v>0.29267759942528504</v>
      </c>
      <c r="AX150" s="61">
        <f t="shared" si="379"/>
        <v>0.38588114922185568</v>
      </c>
      <c r="AY150" s="61">
        <f t="shared" si="379"/>
        <v>0.46301573836136584</v>
      </c>
      <c r="AZ150" s="61">
        <f t="shared" si="379"/>
        <v>0.56000367474496016</v>
      </c>
      <c r="BA150" s="61">
        <f t="shared" si="379"/>
        <v>0.65242760370601138</v>
      </c>
      <c r="BB150" s="61">
        <f t="shared" si="379"/>
        <v>0.74184489461150349</v>
      </c>
      <c r="BC150" s="61">
        <f t="shared" si="379"/>
        <v>0.83888479011646433</v>
      </c>
      <c r="BD150" s="61">
        <f t="shared" si="379"/>
        <v>0.92364950356259368</v>
      </c>
      <c r="BE150" s="61">
        <f t="shared" si="379"/>
        <v>1</v>
      </c>
      <c r="BG150" s="61">
        <f>AVERAGE(BG123:BG149)</f>
        <v>6.5726381895400907E-2</v>
      </c>
      <c r="BH150" s="61">
        <f t="shared" ref="BH150" si="380">AVERAGE(BH123:BH149)</f>
        <v>0.13101722831729928</v>
      </c>
      <c r="BI150" s="61">
        <f t="shared" ref="BI150" si="381">AVERAGE(BI123:BI149)</f>
        <v>0.21617125918967822</v>
      </c>
      <c r="BJ150" s="61">
        <f t="shared" ref="BJ150" si="382">AVERAGE(BJ123:BJ149)</f>
        <v>0.30145684786594401</v>
      </c>
      <c r="BK150" s="61">
        <f t="shared" ref="BK150" si="383">AVERAGE(BK123:BK149)</f>
        <v>0.39064567476251794</v>
      </c>
      <c r="BL150" s="61">
        <f t="shared" ref="BL150" si="384">AVERAGE(BL123:BL149)</f>
        <v>0.47584325115321496</v>
      </c>
      <c r="BM150" s="61">
        <f t="shared" ref="BM150" si="385">AVERAGE(BM123:BM149)</f>
        <v>0.56412628213885552</v>
      </c>
      <c r="BN150" s="61">
        <f t="shared" ref="BN150" si="386">AVERAGE(BN123:BN149)</f>
        <v>0.66196257955551874</v>
      </c>
      <c r="BO150" s="61">
        <f t="shared" ref="BO150" si="387">AVERAGE(BO123:BO149)</f>
        <v>0.74420357395501879</v>
      </c>
      <c r="BP150" s="61">
        <f t="shared" ref="BP150" si="388">AVERAGE(BP123:BP149)</f>
        <v>0.83969624418364586</v>
      </c>
      <c r="BQ150" s="61">
        <f t="shared" ref="BQ150" si="389">AVERAGE(BQ123:BQ149)</f>
        <v>0.92301779039354337</v>
      </c>
      <c r="BR150" s="61">
        <f t="shared" ref="BR150" si="390">AVERAGE(BR123:BR149)</f>
        <v>1</v>
      </c>
      <c r="BS150" s="61"/>
      <c r="BT150" s="61">
        <f>AVERAGE(BT123:BT149)</f>
        <v>6.1813100194929811E-2</v>
      </c>
      <c r="BU150" s="61">
        <f t="shared" ref="BU150" si="391">AVERAGE(BU123:BU149)</f>
        <v>0.12800220821805799</v>
      </c>
      <c r="BV150" s="61">
        <f t="shared" ref="BV150" si="392">AVERAGE(BV123:BV149)</f>
        <v>0.21450643518352239</v>
      </c>
      <c r="BW150" s="61">
        <f t="shared" ref="BW150" si="393">AVERAGE(BW123:BW149)</f>
        <v>0.28782448789416593</v>
      </c>
      <c r="BX150" s="61">
        <f t="shared" ref="BX150" si="394">AVERAGE(BX123:BX149)</f>
        <v>0.38205550169489189</v>
      </c>
      <c r="BY150" s="61">
        <f t="shared" ref="BY150" si="395">AVERAGE(BY123:BY149)</f>
        <v>0.47703815718660147</v>
      </c>
      <c r="BZ150" s="61">
        <f t="shared" ref="BZ150" si="396">AVERAGE(BZ123:BZ149)</f>
        <v>0.56102945507405366</v>
      </c>
      <c r="CA150" s="61">
        <f t="shared" ref="CA150" si="397">AVERAGE(CA123:CA149)</f>
        <v>0.6609693333191603</v>
      </c>
      <c r="CB150" s="61">
        <f t="shared" ref="CB150" si="398">AVERAGE(CB123:CB149)</f>
        <v>0.74745483053768469</v>
      </c>
      <c r="CC150" s="61">
        <f t="shared" ref="CC150" si="399">AVERAGE(CC123:CC149)</f>
        <v>0.83832635108304732</v>
      </c>
      <c r="CD150" s="61">
        <f t="shared" ref="CD150" si="400">AVERAGE(CD123:CD149)</f>
        <v>0.92258767628240179</v>
      </c>
      <c r="CE150" s="61">
        <f t="shared" ref="CE150" si="401">AVERAGE(CE123:CE149)</f>
        <v>1</v>
      </c>
      <c r="CG150" s="61">
        <f>AVERAGE(CG123:CG149)</f>
        <v>6.2516797140649741E-2</v>
      </c>
      <c r="CH150" s="61">
        <f t="shared" ref="CH150" si="402">AVERAGE(CH123:CH149)</f>
        <v>0.13133847231512108</v>
      </c>
      <c r="CI150" s="61">
        <f t="shared" ref="CI150" si="403">AVERAGE(CI123:CI149)</f>
        <v>0.21238038878383081</v>
      </c>
      <c r="CJ150" s="61">
        <f t="shared" ref="CJ150" si="404">AVERAGE(CJ123:CJ149)</f>
        <v>0.2939863117284649</v>
      </c>
      <c r="CK150" s="61">
        <f t="shared" ref="CK150" si="405">AVERAGE(CK123:CK149)</f>
        <v>0.38619410855975511</v>
      </c>
      <c r="CL150" s="61">
        <f t="shared" ref="CL150" si="406">AVERAGE(CL123:CL149)</f>
        <v>0.47196571556706074</v>
      </c>
      <c r="CM150" s="61">
        <f t="shared" ref="CM150" si="407">AVERAGE(CM123:CM149)</f>
        <v>0.56171980398595645</v>
      </c>
      <c r="CN150" s="61">
        <f t="shared" ref="CN150" si="408">AVERAGE(CN123:CN149)</f>
        <v>0.65845317219356347</v>
      </c>
      <c r="CO150" s="61">
        <f t="shared" ref="CO150" si="409">AVERAGE(CO123:CO149)</f>
        <v>0.74450109970140232</v>
      </c>
      <c r="CP150" s="61">
        <f t="shared" ref="CP150" si="410">AVERAGE(CP123:CP149)</f>
        <v>0.83896912846105254</v>
      </c>
      <c r="CQ150" s="61">
        <f t="shared" ref="CQ150" si="411">AVERAGE(CQ123:CQ149)</f>
        <v>0.92308499007951295</v>
      </c>
      <c r="CR150" s="61">
        <f t="shared" ref="CR150" si="412">AVERAGE(CR123:CR149)</f>
        <v>1</v>
      </c>
    </row>
    <row r="151" spans="1:96">
      <c r="B151" s="1255" t="s">
        <v>410</v>
      </c>
      <c r="C151" s="1255"/>
      <c r="D151" s="1255"/>
      <c r="E151" s="1255"/>
      <c r="F151" s="1255"/>
      <c r="G151" s="1255"/>
      <c r="H151" s="1255"/>
      <c r="I151" s="1255"/>
      <c r="J151" s="1255"/>
      <c r="K151" s="1255"/>
      <c r="L151" s="1255"/>
      <c r="M151" s="1255"/>
      <c r="N151" s="1255">
        <f t="shared" si="328"/>
        <v>0</v>
      </c>
      <c r="Q151" s="1255" t="s">
        <v>174</v>
      </c>
      <c r="R151" s="1255"/>
      <c r="S151" s="1255"/>
      <c r="T151" s="1255"/>
      <c r="U151" s="1255"/>
      <c r="V151" s="1255"/>
      <c r="W151" s="1255"/>
      <c r="X151" s="1255"/>
      <c r="Y151" s="1255"/>
      <c r="Z151" s="1255"/>
      <c r="AA151" s="1255"/>
      <c r="AB151" s="1255"/>
      <c r="AC151" s="1255">
        <f t="shared" si="377"/>
        <v>0</v>
      </c>
      <c r="AF151" s="1255" t="s">
        <v>175</v>
      </c>
      <c r="AG151" s="1255"/>
      <c r="AH151" s="1255"/>
      <c r="AI151" s="1255"/>
      <c r="AJ151" s="1255"/>
      <c r="AK151" s="1255"/>
      <c r="AL151" s="1255"/>
      <c r="AM151" s="1255"/>
      <c r="AN151" s="1255"/>
      <c r="AO151" s="1255"/>
      <c r="AP151" s="1255"/>
      <c r="AQ151" s="1255"/>
      <c r="AR151" s="1255">
        <f t="shared" si="378"/>
        <v>0</v>
      </c>
      <c r="AT151" s="1256" t="s">
        <v>427</v>
      </c>
      <c r="AU151" s="1256"/>
      <c r="AV151" s="1256"/>
      <c r="AW151" s="1256"/>
      <c r="AX151" s="1256"/>
      <c r="AY151" s="1256"/>
      <c r="AZ151" s="1256"/>
      <c r="BA151" s="1256"/>
      <c r="BB151" s="1256"/>
      <c r="BC151" s="1256"/>
      <c r="BD151" s="1256"/>
      <c r="BE151" s="1256"/>
      <c r="BG151" s="1256" t="s">
        <v>144</v>
      </c>
      <c r="BH151" s="1256"/>
      <c r="BI151" s="1256"/>
      <c r="BJ151" s="1256"/>
      <c r="BK151" s="1256"/>
      <c r="BL151" s="1256"/>
      <c r="BM151" s="1256"/>
      <c r="BN151" s="1256"/>
      <c r="BO151" s="1256"/>
      <c r="BP151" s="1256"/>
      <c r="BQ151" s="1256"/>
      <c r="BR151" s="1256"/>
      <c r="BS151" s="61"/>
      <c r="BT151" s="1256" t="s">
        <v>145</v>
      </c>
      <c r="BU151" s="1256"/>
      <c r="BV151" s="1256"/>
      <c r="BW151" s="1256"/>
      <c r="BX151" s="1256"/>
      <c r="BY151" s="1256"/>
      <c r="BZ151" s="1256"/>
      <c r="CA151" s="1256"/>
      <c r="CB151" s="1256"/>
      <c r="CC151" s="1256"/>
      <c r="CD151" s="1256"/>
      <c r="CE151" s="1256"/>
      <c r="CG151" s="1256" t="s">
        <v>433</v>
      </c>
      <c r="CH151" s="1256"/>
      <c r="CI151" s="1256"/>
      <c r="CJ151" s="1256"/>
      <c r="CK151" s="1256"/>
      <c r="CL151" s="1256"/>
      <c r="CM151" s="1256"/>
      <c r="CN151" s="1256"/>
      <c r="CO151" s="1256"/>
      <c r="CP151" s="1256"/>
      <c r="CQ151" s="1256"/>
      <c r="CR151" s="1256"/>
    </row>
    <row r="152" spans="1:96">
      <c r="B152" s="193" t="s">
        <v>130</v>
      </c>
      <c r="C152" s="193" t="s">
        <v>146</v>
      </c>
      <c r="D152" s="193" t="s">
        <v>147</v>
      </c>
      <c r="E152" s="193" t="s">
        <v>148</v>
      </c>
      <c r="F152" s="193" t="s">
        <v>149</v>
      </c>
      <c r="G152" s="193" t="s">
        <v>150</v>
      </c>
      <c r="H152" s="193" t="s">
        <v>151</v>
      </c>
      <c r="I152" s="193" t="s">
        <v>152</v>
      </c>
      <c r="J152" s="193" t="s">
        <v>153</v>
      </c>
      <c r="K152" s="193" t="s">
        <v>154</v>
      </c>
      <c r="L152" s="193" t="s">
        <v>155</v>
      </c>
      <c r="M152" s="193" t="s">
        <v>156</v>
      </c>
      <c r="N152" s="193" t="s">
        <v>128</v>
      </c>
      <c r="Q152" s="85" t="s">
        <v>130</v>
      </c>
      <c r="R152" s="85" t="s">
        <v>146</v>
      </c>
      <c r="S152" s="85" t="s">
        <v>147</v>
      </c>
      <c r="T152" s="85" t="s">
        <v>148</v>
      </c>
      <c r="U152" s="85" t="s">
        <v>149</v>
      </c>
      <c r="V152" s="85" t="s">
        <v>150</v>
      </c>
      <c r="W152" s="85" t="s">
        <v>151</v>
      </c>
      <c r="X152" s="85" t="s">
        <v>152</v>
      </c>
      <c r="Y152" s="85" t="s">
        <v>153</v>
      </c>
      <c r="Z152" s="85" t="s">
        <v>154</v>
      </c>
      <c r="AA152" s="85" t="s">
        <v>155</v>
      </c>
      <c r="AB152" s="85" t="s">
        <v>156</v>
      </c>
      <c r="AC152" s="85" t="s">
        <v>128</v>
      </c>
      <c r="AF152" s="85" t="s">
        <v>130</v>
      </c>
      <c r="AG152" s="85" t="s">
        <v>146</v>
      </c>
      <c r="AH152" s="85" t="s">
        <v>147</v>
      </c>
      <c r="AI152" s="85" t="s">
        <v>148</v>
      </c>
      <c r="AJ152" s="85" t="s">
        <v>149</v>
      </c>
      <c r="AK152" s="85" t="s">
        <v>150</v>
      </c>
      <c r="AL152" s="85" t="s">
        <v>151</v>
      </c>
      <c r="AM152" s="85" t="s">
        <v>152</v>
      </c>
      <c r="AN152" s="85" t="s">
        <v>153</v>
      </c>
      <c r="AO152" s="85" t="s">
        <v>154</v>
      </c>
      <c r="AP152" s="85" t="s">
        <v>155</v>
      </c>
      <c r="AQ152" s="85" t="s">
        <v>156</v>
      </c>
      <c r="AR152" s="85">
        <f t="shared" si="378"/>
        <v>0</v>
      </c>
      <c r="AT152" s="195" t="s">
        <v>157</v>
      </c>
      <c r="AU152" s="195" t="s">
        <v>158</v>
      </c>
      <c r="AV152" s="195" t="s">
        <v>159</v>
      </c>
      <c r="AW152" s="195" t="s">
        <v>160</v>
      </c>
      <c r="AX152" s="195" t="s">
        <v>161</v>
      </c>
      <c r="AY152" s="195" t="s">
        <v>162</v>
      </c>
      <c r="AZ152" s="195" t="s">
        <v>163</v>
      </c>
      <c r="BA152" s="195" t="s">
        <v>164</v>
      </c>
      <c r="BB152" s="195" t="s">
        <v>165</v>
      </c>
      <c r="BC152" s="195" t="s">
        <v>166</v>
      </c>
      <c r="BD152" s="195" t="s">
        <v>167</v>
      </c>
      <c r="BE152" s="195" t="s">
        <v>168</v>
      </c>
      <c r="BG152" s="85" t="s">
        <v>157</v>
      </c>
      <c r="BH152" s="85" t="s">
        <v>158</v>
      </c>
      <c r="BI152" s="85" t="s">
        <v>159</v>
      </c>
      <c r="BJ152" s="85" t="s">
        <v>160</v>
      </c>
      <c r="BK152" s="85" t="s">
        <v>161</v>
      </c>
      <c r="BL152" s="85" t="s">
        <v>162</v>
      </c>
      <c r="BM152" s="85" t="s">
        <v>163</v>
      </c>
      <c r="BN152" s="85" t="s">
        <v>164</v>
      </c>
      <c r="BO152" s="85" t="s">
        <v>165</v>
      </c>
      <c r="BP152" s="85" t="s">
        <v>166</v>
      </c>
      <c r="BQ152" s="85" t="s">
        <v>167</v>
      </c>
      <c r="BR152" s="85" t="s">
        <v>168</v>
      </c>
      <c r="BS152" s="61"/>
      <c r="BT152" s="85" t="s">
        <v>157</v>
      </c>
      <c r="BU152" s="85" t="s">
        <v>158</v>
      </c>
      <c r="BV152" s="85" t="s">
        <v>190</v>
      </c>
      <c r="BW152" s="85" t="s">
        <v>191</v>
      </c>
      <c r="BX152" s="85" t="s">
        <v>192</v>
      </c>
      <c r="BY152" s="85" t="s">
        <v>162</v>
      </c>
      <c r="BZ152" s="85" t="s">
        <v>163</v>
      </c>
      <c r="CA152" s="85" t="s">
        <v>164</v>
      </c>
      <c r="CB152" s="85" t="s">
        <v>165</v>
      </c>
      <c r="CC152" s="85" t="s">
        <v>166</v>
      </c>
      <c r="CD152" s="85" t="s">
        <v>167</v>
      </c>
      <c r="CE152" s="85" t="s">
        <v>168</v>
      </c>
      <c r="CG152" s="85" t="s">
        <v>157</v>
      </c>
      <c r="CH152" s="85" t="s">
        <v>158</v>
      </c>
      <c r="CI152" s="85" t="s">
        <v>190</v>
      </c>
      <c r="CJ152" s="85" t="s">
        <v>191</v>
      </c>
      <c r="CK152" s="85" t="s">
        <v>192</v>
      </c>
      <c r="CL152" s="85" t="s">
        <v>162</v>
      </c>
      <c r="CM152" s="85" t="s">
        <v>163</v>
      </c>
      <c r="CN152" s="85" t="s">
        <v>164</v>
      </c>
      <c r="CO152" s="85" t="s">
        <v>165</v>
      </c>
      <c r="CP152" s="85" t="s">
        <v>166</v>
      </c>
      <c r="CQ152" s="85" t="s">
        <v>167</v>
      </c>
      <c r="CR152" s="85" t="s">
        <v>168</v>
      </c>
    </row>
    <row r="153" spans="1:96">
      <c r="A153" s="193" t="s">
        <v>87</v>
      </c>
      <c r="B153" s="34">
        <v>2094.08</v>
      </c>
      <c r="C153" s="34">
        <v>1072.4000000000001</v>
      </c>
      <c r="D153" s="34">
        <v>2078.7400000000002</v>
      </c>
      <c r="E153" s="34">
        <v>1604.1299999999999</v>
      </c>
      <c r="F153" s="34">
        <v>2477.3999999999996</v>
      </c>
      <c r="G153" s="34">
        <v>1924.9599999999998</v>
      </c>
      <c r="H153" s="34">
        <v>2001.2600000000002</v>
      </c>
      <c r="I153" s="34">
        <v>1435.85</v>
      </c>
      <c r="J153" s="34">
        <v>1895.65</v>
      </c>
      <c r="K153" s="34">
        <v>3314.36</v>
      </c>
      <c r="L153" s="34">
        <v>5691.2400000000007</v>
      </c>
      <c r="M153" s="34">
        <v>2627.3</v>
      </c>
      <c r="N153" s="68">
        <f t="shared" ref="N153:N179" si="413">SUM(B153:M153)</f>
        <v>28217.370000000003</v>
      </c>
      <c r="P153" s="85" t="s">
        <v>87</v>
      </c>
      <c r="Q153" s="34">
        <v>1273.44</v>
      </c>
      <c r="R153" s="34">
        <v>1240.49</v>
      </c>
      <c r="S153" s="34">
        <v>1025.31</v>
      </c>
      <c r="T153" s="34">
        <v>2818.59</v>
      </c>
      <c r="U153" s="34">
        <v>735.38</v>
      </c>
      <c r="V153" s="34">
        <v>960.93000000000006</v>
      </c>
      <c r="W153" s="34">
        <v>4663.08</v>
      </c>
      <c r="X153" s="34">
        <v>2579.08</v>
      </c>
      <c r="Y153" s="34">
        <v>1741.72</v>
      </c>
      <c r="Z153" s="34">
        <v>2491.9700000000003</v>
      </c>
      <c r="AA153" s="34">
        <v>2780.6600000000003</v>
      </c>
      <c r="AB153" s="34">
        <v>1532.67</v>
      </c>
      <c r="AC153" s="68">
        <f t="shared" si="377"/>
        <v>23843.32</v>
      </c>
      <c r="AE153" s="85" t="s">
        <v>87</v>
      </c>
      <c r="AF153" s="34">
        <v>1082.02</v>
      </c>
      <c r="AG153" s="34">
        <v>1470.8899999999999</v>
      </c>
      <c r="AH153" s="34">
        <v>1009.06</v>
      </c>
      <c r="AI153" s="34">
        <v>1243.28</v>
      </c>
      <c r="AJ153" s="34">
        <v>2239.42</v>
      </c>
      <c r="AK153" s="34">
        <v>887.26</v>
      </c>
      <c r="AL153" s="34">
        <v>1331.16</v>
      </c>
      <c r="AM153" s="34">
        <v>1392.46</v>
      </c>
      <c r="AN153" s="34">
        <v>1326.9299999999998</v>
      </c>
      <c r="AO153" s="34">
        <v>1626.9299999999998</v>
      </c>
      <c r="AP153" s="34">
        <v>2731.2799999999997</v>
      </c>
      <c r="AQ153" s="34">
        <v>3635.59</v>
      </c>
      <c r="AR153" s="68">
        <f t="shared" si="378"/>
        <v>19976.28</v>
      </c>
      <c r="AT153" s="39">
        <f>B153/$N153</f>
        <v>7.4212444320643625E-2</v>
      </c>
      <c r="AU153" s="39">
        <f>SUM(B153:C153)/$N153</f>
        <v>0.11221740367723851</v>
      </c>
      <c r="AV153" s="39">
        <f>SUM(B153:D153)/$N153</f>
        <v>0.18588621122379584</v>
      </c>
      <c r="AW153" s="39">
        <f>SUM(B153:E153)/$N153</f>
        <v>0.24273523719609588</v>
      </c>
      <c r="AX153" s="39">
        <f>SUM(B153:F153)/$N153</f>
        <v>0.33053222181939701</v>
      </c>
      <c r="AY153" s="39">
        <f>SUM(B153:G153)/$N153</f>
        <v>0.39875119474281262</v>
      </c>
      <c r="AZ153" s="39">
        <f>SUM(B153:H153)/$N153</f>
        <v>0.46967417587110344</v>
      </c>
      <c r="BA153" s="39">
        <f>SUM(B153:I153)/$N153</f>
        <v>0.52055949934384382</v>
      </c>
      <c r="BB153" s="39">
        <f>SUM(B153:J153)/$N153</f>
        <v>0.58773975037361736</v>
      </c>
      <c r="BC153" s="39">
        <f>SUM(B153:K153)/$N153</f>
        <v>0.70519789760704132</v>
      </c>
      <c r="BD153" s="39">
        <f>SUM(B153:L153)/$N153</f>
        <v>0.90689068470945378</v>
      </c>
      <c r="BE153" s="39">
        <f>SUM(B153:M153)/$N153</f>
        <v>1</v>
      </c>
      <c r="BG153" s="39">
        <f t="shared" ref="BG153:BG179" si="414">Q153/AC153</f>
        <v>5.3408669598025781E-2</v>
      </c>
      <c r="BH153" s="39">
        <f t="shared" ref="BH153:BH179" si="415">SUM(Q153:R153)/$AC153</f>
        <v>0.10543540077472434</v>
      </c>
      <c r="BI153" s="39">
        <f t="shared" ref="BI153:BI179" si="416">SUM(Q153:S153)/$AC153</f>
        <v>0.1484373820424337</v>
      </c>
      <c r="BJ153" s="39">
        <f t="shared" ref="BJ153:BJ179" si="417">SUM(Q153:T153)/$AC153</f>
        <v>0.26665036580476209</v>
      </c>
      <c r="BK153" s="39">
        <f t="shared" ref="BK153:BK179" si="418">SUM(Q153:U153)/$AC153</f>
        <v>0.2974925471788325</v>
      </c>
      <c r="BL153" s="39">
        <f t="shared" ref="BL153:BL179" si="419">SUM(Q153:V153)/$AC153</f>
        <v>0.33779440111528092</v>
      </c>
      <c r="BM153" s="39">
        <f t="shared" ref="BM153:BM179" si="420">SUM(Q153:W153)/$AC153</f>
        <v>0.53336615873963866</v>
      </c>
      <c r="BN153" s="39">
        <f t="shared" ref="BN153:BN179" si="421">SUM(Q153:X153)/$AC153</f>
        <v>0.6415339810060009</v>
      </c>
      <c r="BO153" s="39">
        <f t="shared" ref="BO153:BO179" si="422">SUM(Q153:Y153)/$AC153</f>
        <v>0.71458253296940188</v>
      </c>
      <c r="BP153" s="39">
        <f t="shared" ref="BP153:BP179" si="423">SUM(Q153:Z153)/$AC153</f>
        <v>0.81909692106636167</v>
      </c>
      <c r="BQ153" s="39">
        <f t="shared" ref="BQ153:BQ179" si="424">SUM(Q153:AA153)/$AC153</f>
        <v>0.93571910287661286</v>
      </c>
      <c r="BR153" s="39">
        <f t="shared" ref="BR153:BR179" si="425">SUM(Q153:AB153)/$AC153</f>
        <v>1</v>
      </c>
      <c r="BS153" s="61"/>
      <c r="BT153" s="39">
        <f t="shared" ref="BT153:BT179" si="426">AF153/AR153</f>
        <v>5.416523997460989E-2</v>
      </c>
      <c r="BU153" s="39">
        <f t="shared" ref="BU153:BU179" si="427">SUM(AF153:AG153)/$AR153</f>
        <v>0.1277970673218437</v>
      </c>
      <c r="BV153" s="39">
        <f t="shared" ref="BV153:BV179" si="428">SUM(AF153:AH153)/$AR153</f>
        <v>0.17830997563109849</v>
      </c>
      <c r="BW153" s="39">
        <f t="shared" ref="BW153:BW179" si="429">SUM(AF153:AI153)/$AR153</f>
        <v>0.24054778967855878</v>
      </c>
      <c r="BX153" s="39">
        <f t="shared" ref="BX153:BX179" si="430">SUM(AF153:AJ153)/$AR153</f>
        <v>0.35265174496953389</v>
      </c>
      <c r="BY153" s="39">
        <f t="shared" ref="BY153:BY179" si="431">SUM(AF153:AK153)/$AR153</f>
        <v>0.39706742196244749</v>
      </c>
      <c r="BZ153" s="39">
        <f t="shared" ref="BZ153:BZ179" si="432">SUM(AF153:AL153)/$AR153</f>
        <v>0.46370445348182948</v>
      </c>
      <c r="CA153" s="39">
        <f t="shared" ref="CA153:CA179" si="433">SUM(AF153:AM153)/$AR153</f>
        <v>0.53341012440754731</v>
      </c>
      <c r="CB153" s="39">
        <f t="shared" ref="CB153:CB179" si="434">SUM(AF153:AN153)/$AR153</f>
        <v>0.59983540479008102</v>
      </c>
      <c r="CC153" s="39">
        <f t="shared" ref="CC153:CC179" si="435">SUM(AF153:AO153)/$AR153</f>
        <v>0.68127849629660786</v>
      </c>
      <c r="CD153" s="39">
        <f t="shared" ref="CD153:CD179" si="436">SUM(AF153:AP153)/$AR153</f>
        <v>0.81800465351907359</v>
      </c>
      <c r="CE153" s="39">
        <f t="shared" ref="CE153:CE179" si="437">SUM(AF153:AQ153)/$AR153</f>
        <v>1</v>
      </c>
      <c r="CG153" s="39">
        <f>(AT153+BG153+BT153)/3</f>
        <v>6.0595451297759763E-2</v>
      </c>
      <c r="CH153" s="39">
        <f t="shared" ref="CH153:CH179" si="438">(AU153+BH153+BU153)/3</f>
        <v>0.11514995725793552</v>
      </c>
      <c r="CI153" s="39">
        <f t="shared" ref="CI153:CI179" si="439">(AV153+BI153+BV153)/3</f>
        <v>0.17087785629910934</v>
      </c>
      <c r="CJ153" s="39">
        <f t="shared" ref="CJ153:CJ179" si="440">(AW153+BJ153+BW153)/3</f>
        <v>0.24997779755980556</v>
      </c>
      <c r="CK153" s="39">
        <f t="shared" ref="CK153:CK179" si="441">(AX153+BK153+BX153)/3</f>
        <v>0.3268921713225878</v>
      </c>
      <c r="CL153" s="39">
        <f t="shared" ref="CL153:CL179" si="442">(AY153+BL153+BY153)/3</f>
        <v>0.37787100594018036</v>
      </c>
      <c r="CM153" s="39">
        <f t="shared" ref="CM153:CM179" si="443">(AZ153+BM153+BZ153)/3</f>
        <v>0.48891492936419056</v>
      </c>
      <c r="CN153" s="39">
        <f t="shared" ref="CN153:CN179" si="444">(BA153+BN153+CA153)/3</f>
        <v>0.56516786825246401</v>
      </c>
      <c r="CO153" s="39">
        <f t="shared" ref="CO153:CO179" si="445">(BB153+BO153+CB153)/3</f>
        <v>0.63405256271103339</v>
      </c>
      <c r="CP153" s="39">
        <f t="shared" ref="CP153:CP179" si="446">(BC153+BP153+CC153)/3</f>
        <v>0.73519110499000373</v>
      </c>
      <c r="CQ153" s="39">
        <f t="shared" ref="CQ153:CQ179" si="447">(BD153+BQ153+CD153)/3</f>
        <v>0.88687148036838004</v>
      </c>
      <c r="CR153" s="39">
        <f t="shared" ref="CR153:CR179" si="448">(BE153+BR153+CE153)/3</f>
        <v>1</v>
      </c>
    </row>
    <row r="154" spans="1:96">
      <c r="A154" s="193" t="s">
        <v>88</v>
      </c>
      <c r="B154" s="34">
        <v>4983.91</v>
      </c>
      <c r="C154" s="34">
        <v>6676.14</v>
      </c>
      <c r="D154" s="34">
        <v>4035.83</v>
      </c>
      <c r="E154" s="34">
        <v>5269.6000000000013</v>
      </c>
      <c r="F154" s="34">
        <v>6344.21</v>
      </c>
      <c r="G154" s="34">
        <v>5660.64</v>
      </c>
      <c r="H154" s="34">
        <v>10028.060000000001</v>
      </c>
      <c r="I154" s="34">
        <v>7722.0899999999992</v>
      </c>
      <c r="J154" s="34">
        <v>7057.630000000001</v>
      </c>
      <c r="K154" s="34">
        <v>10505.289999999999</v>
      </c>
      <c r="L154" s="34">
        <v>13655.34</v>
      </c>
      <c r="M154" s="34">
        <v>13534.470000000001</v>
      </c>
      <c r="N154" s="68">
        <f t="shared" si="413"/>
        <v>95473.209999999992</v>
      </c>
      <c r="P154" s="85" t="s">
        <v>88</v>
      </c>
      <c r="Q154" s="34">
        <v>9853.74</v>
      </c>
      <c r="R154" s="34">
        <v>11162.22</v>
      </c>
      <c r="S154" s="34">
        <v>6164.29</v>
      </c>
      <c r="T154" s="34">
        <v>6508.03</v>
      </c>
      <c r="U154" s="34">
        <v>17131.16</v>
      </c>
      <c r="V154" s="34">
        <v>4340.4699999999993</v>
      </c>
      <c r="W154" s="34">
        <v>7657.7300000000014</v>
      </c>
      <c r="X154" s="34">
        <v>8615.2099999999991</v>
      </c>
      <c r="Y154" s="34">
        <v>11074.119999999999</v>
      </c>
      <c r="Z154" s="34">
        <v>15281.340000000002</v>
      </c>
      <c r="AA154" s="34">
        <v>5008.6399999999994</v>
      </c>
      <c r="AB154" s="34">
        <v>7278.93</v>
      </c>
      <c r="AC154" s="68">
        <f t="shared" si="377"/>
        <v>110075.88</v>
      </c>
      <c r="AE154" s="85" t="s">
        <v>88</v>
      </c>
      <c r="AF154" s="34">
        <v>8801.44</v>
      </c>
      <c r="AG154" s="34">
        <v>9580.7800000000007</v>
      </c>
      <c r="AH154" s="34">
        <v>7949.1100000000006</v>
      </c>
      <c r="AI154" s="34">
        <v>5842.0300000000007</v>
      </c>
      <c r="AJ154" s="34">
        <v>5850.99</v>
      </c>
      <c r="AK154" s="34">
        <v>6504.29</v>
      </c>
      <c r="AL154" s="34">
        <v>4643.32</v>
      </c>
      <c r="AM154" s="34">
        <v>8094.68</v>
      </c>
      <c r="AN154" s="34">
        <v>7082.38</v>
      </c>
      <c r="AO154" s="34">
        <v>9236.68</v>
      </c>
      <c r="AP154" s="34">
        <v>10768.95</v>
      </c>
      <c r="AQ154" s="34">
        <v>6664.7800000000007</v>
      </c>
      <c r="AR154" s="68">
        <f t="shared" si="378"/>
        <v>91019.43</v>
      </c>
      <c r="AT154" s="39">
        <f t="shared" ref="AT154:AT179" si="449">B154/$N154</f>
        <v>5.2202183209300285E-2</v>
      </c>
      <c r="AU154" s="39">
        <f t="shared" ref="AU154:AU179" si="450">SUM(B154:C154)/$N154</f>
        <v>0.12212902446665405</v>
      </c>
      <c r="AV154" s="39">
        <f t="shared" ref="AV154:AV179" si="451">SUM(B154:D154)/$N154</f>
        <v>0.16440088271882763</v>
      </c>
      <c r="AW154" s="39">
        <f t="shared" ref="AW154:AW179" si="452">SUM(B154:E154)/$N154</f>
        <v>0.21959542367958509</v>
      </c>
      <c r="AX154" s="39">
        <f t="shared" ref="AX154:AX179" si="453">SUM(B154:F154)/$N154</f>
        <v>0.28604558283941645</v>
      </c>
      <c r="AY154" s="39">
        <f t="shared" ref="AY154:AY179" si="454">SUM(B154:G154)/$N154</f>
        <v>0.34533593245686411</v>
      </c>
      <c r="AZ154" s="39">
        <f t="shared" ref="AZ154:AZ179" si="455">SUM(B154:H154)/$N154</f>
        <v>0.4503712612155808</v>
      </c>
      <c r="BA154" s="39">
        <f t="shared" ref="BA154:BA179" si="456">SUM(B154:I154)/$N154</f>
        <v>0.53125353174990131</v>
      </c>
      <c r="BB154" s="39">
        <f t="shared" ref="BB154:BB179" si="457">SUM(B154:J154)/$N154</f>
        <v>0.60517615360371779</v>
      </c>
      <c r="BC154" s="39">
        <f t="shared" ref="BC154:BC179" si="458">SUM(B154:K154)/$N154</f>
        <v>0.71521005735535659</v>
      </c>
      <c r="BD154" s="39">
        <f t="shared" ref="BD154:BD179" si="459">SUM(B154:L154)/$N154</f>
        <v>0.85823803347556871</v>
      </c>
      <c r="BE154" s="39">
        <f t="shared" ref="BE154:BE179" si="460">SUM(B154:M154)/$N154</f>
        <v>1</v>
      </c>
      <c r="BG154" s="39">
        <f t="shared" si="414"/>
        <v>8.9517703605912574E-2</v>
      </c>
      <c r="BH154" s="39">
        <f t="shared" si="415"/>
        <v>0.19092248002014608</v>
      </c>
      <c r="BI154" s="39">
        <f t="shared" si="416"/>
        <v>0.24692284994678215</v>
      </c>
      <c r="BJ154" s="39">
        <f t="shared" si="417"/>
        <v>0.30604597483118007</v>
      </c>
      <c r="BK154" s="39">
        <f t="shared" si="418"/>
        <v>0.46167643629103849</v>
      </c>
      <c r="BL154" s="39">
        <f t="shared" si="419"/>
        <v>0.50110805382614254</v>
      </c>
      <c r="BM154" s="39">
        <f t="shared" si="420"/>
        <v>0.57067579200820384</v>
      </c>
      <c r="BN154" s="39">
        <f t="shared" si="421"/>
        <v>0.64894189353743981</v>
      </c>
      <c r="BO154" s="39">
        <f t="shared" si="422"/>
        <v>0.74954631296156793</v>
      </c>
      <c r="BP154" s="39">
        <f t="shared" si="423"/>
        <v>0.88837182132906856</v>
      </c>
      <c r="BQ154" s="39">
        <f t="shared" si="424"/>
        <v>0.93387352433612147</v>
      </c>
      <c r="BR154" s="39">
        <f t="shared" si="425"/>
        <v>1</v>
      </c>
      <c r="BS154" s="61"/>
      <c r="BT154" s="39">
        <f t="shared" si="426"/>
        <v>9.669847416095663E-2</v>
      </c>
      <c r="BU154" s="39">
        <f t="shared" si="427"/>
        <v>0.20195929594373424</v>
      </c>
      <c r="BV154" s="39">
        <f t="shared" si="428"/>
        <v>0.28929350579321367</v>
      </c>
      <c r="BW154" s="39">
        <f t="shared" si="429"/>
        <v>0.35347793322810311</v>
      </c>
      <c r="BX154" s="39">
        <f t="shared" si="430"/>
        <v>0.41776080118278042</v>
      </c>
      <c r="BY154" s="39">
        <f t="shared" si="431"/>
        <v>0.48922125748315498</v>
      </c>
      <c r="BZ154" s="39">
        <f t="shared" si="432"/>
        <v>0.54023585953021247</v>
      </c>
      <c r="CA154" s="39">
        <f t="shared" si="433"/>
        <v>0.62916939822629081</v>
      </c>
      <c r="CB154" s="39">
        <f t="shared" si="434"/>
        <v>0.70698113578606236</v>
      </c>
      <c r="CC154" s="39">
        <f t="shared" si="435"/>
        <v>0.80846144608903836</v>
      </c>
      <c r="CD154" s="39">
        <f t="shared" si="436"/>
        <v>0.92677629380891535</v>
      </c>
      <c r="CE154" s="39">
        <f t="shared" si="437"/>
        <v>1</v>
      </c>
      <c r="CG154" s="39">
        <f t="shared" ref="CG154:CG179" si="461">(AT154+BG154+BT154)/3</f>
        <v>7.9472786992056496E-2</v>
      </c>
      <c r="CH154" s="39">
        <f t="shared" si="438"/>
        <v>0.17167026681017813</v>
      </c>
      <c r="CI154" s="39">
        <f t="shared" si="439"/>
        <v>0.23353907948627448</v>
      </c>
      <c r="CJ154" s="39">
        <f t="shared" si="440"/>
        <v>0.29303977724628943</v>
      </c>
      <c r="CK154" s="39">
        <f t="shared" si="441"/>
        <v>0.38849427343774517</v>
      </c>
      <c r="CL154" s="39">
        <f t="shared" si="442"/>
        <v>0.44522174792205388</v>
      </c>
      <c r="CM154" s="39">
        <f t="shared" si="443"/>
        <v>0.5204276375846657</v>
      </c>
      <c r="CN154" s="39">
        <f t="shared" si="444"/>
        <v>0.60312160783787727</v>
      </c>
      <c r="CO154" s="39">
        <f t="shared" si="445"/>
        <v>0.68723453411711599</v>
      </c>
      <c r="CP154" s="39">
        <f t="shared" si="446"/>
        <v>0.80401444159115443</v>
      </c>
      <c r="CQ154" s="39">
        <f t="shared" si="447"/>
        <v>0.90629595054020184</v>
      </c>
      <c r="CR154" s="39">
        <f t="shared" si="448"/>
        <v>1</v>
      </c>
    </row>
    <row r="155" spans="1:96">
      <c r="A155" s="193" t="s">
        <v>89</v>
      </c>
      <c r="B155" s="34">
        <v>4640.33</v>
      </c>
      <c r="C155" s="34">
        <v>5762.66</v>
      </c>
      <c r="D155" s="34">
        <v>3656.3199999999997</v>
      </c>
      <c r="E155" s="34">
        <v>2736.3799999999997</v>
      </c>
      <c r="F155" s="34">
        <v>4712.16</v>
      </c>
      <c r="G155" s="34">
        <v>3385.2999999999997</v>
      </c>
      <c r="H155" s="34">
        <v>4457.42</v>
      </c>
      <c r="I155" s="34">
        <v>4241.1900000000005</v>
      </c>
      <c r="J155" s="34">
        <v>4143.33</v>
      </c>
      <c r="K155" s="34">
        <v>3794.5299999999997</v>
      </c>
      <c r="L155" s="34">
        <v>4294.88</v>
      </c>
      <c r="M155" s="34">
        <v>4193.75</v>
      </c>
      <c r="N155" s="68">
        <f t="shared" si="413"/>
        <v>50018.25</v>
      </c>
      <c r="P155" s="85" t="s">
        <v>89</v>
      </c>
      <c r="Q155" s="34">
        <v>2989.25</v>
      </c>
      <c r="R155" s="34">
        <v>3705.07</v>
      </c>
      <c r="S155" s="34">
        <v>2249.89</v>
      </c>
      <c r="T155" s="34">
        <v>2153.17</v>
      </c>
      <c r="U155" s="34">
        <v>2835.01</v>
      </c>
      <c r="V155" s="34">
        <v>3317.9100000000003</v>
      </c>
      <c r="W155" s="34">
        <v>3818.73</v>
      </c>
      <c r="X155" s="34">
        <v>4083.99</v>
      </c>
      <c r="Y155" s="34">
        <v>2705.71</v>
      </c>
      <c r="Z155" s="34">
        <v>3956.11</v>
      </c>
      <c r="AA155" s="34">
        <v>3840</v>
      </c>
      <c r="AB155" s="34">
        <v>4089.4300000000003</v>
      </c>
      <c r="AC155" s="68">
        <f t="shared" si="377"/>
        <v>39744.269999999997</v>
      </c>
      <c r="AE155" s="85" t="s">
        <v>89</v>
      </c>
      <c r="AF155" s="34">
        <v>1729.69</v>
      </c>
      <c r="AG155" s="34">
        <v>2319.66</v>
      </c>
      <c r="AH155" s="34">
        <v>4052.56</v>
      </c>
      <c r="AI155" s="34">
        <v>1590.53</v>
      </c>
      <c r="AJ155" s="34">
        <v>2413.8200000000002</v>
      </c>
      <c r="AK155" s="34">
        <v>3320.5000000000005</v>
      </c>
      <c r="AL155" s="34">
        <v>1261.1100000000001</v>
      </c>
      <c r="AM155" s="34">
        <v>7897.8499999999995</v>
      </c>
      <c r="AN155" s="34">
        <v>4350.5600000000004</v>
      </c>
      <c r="AO155" s="34">
        <v>3131.84</v>
      </c>
      <c r="AP155" s="34">
        <v>3013.85</v>
      </c>
      <c r="AQ155" s="34">
        <v>3001.3700000000003</v>
      </c>
      <c r="AR155" s="68">
        <f t="shared" si="378"/>
        <v>38083.340000000004</v>
      </c>
      <c r="AT155" s="39">
        <f t="shared" si="449"/>
        <v>9.2772737950648013E-2</v>
      </c>
      <c r="AU155" s="39">
        <f t="shared" si="450"/>
        <v>0.2079838858816532</v>
      </c>
      <c r="AV155" s="39">
        <f t="shared" si="451"/>
        <v>0.2810836044843632</v>
      </c>
      <c r="AW155" s="39">
        <f t="shared" si="452"/>
        <v>0.33579123619878742</v>
      </c>
      <c r="AX155" s="39">
        <f t="shared" si="453"/>
        <v>0.43000004998175662</v>
      </c>
      <c r="AY155" s="39">
        <f t="shared" si="454"/>
        <v>0.49768134630859734</v>
      </c>
      <c r="AZ155" s="39">
        <f t="shared" si="455"/>
        <v>0.58679721901505955</v>
      </c>
      <c r="BA155" s="39">
        <f t="shared" si="456"/>
        <v>0.67159006962458712</v>
      </c>
      <c r="BB155" s="39">
        <f t="shared" si="457"/>
        <v>0.75442643435146184</v>
      </c>
      <c r="BC155" s="39">
        <f t="shared" si="458"/>
        <v>0.83028934438929791</v>
      </c>
      <c r="BD155" s="39">
        <f t="shared" si="459"/>
        <v>0.91615560320483025</v>
      </c>
      <c r="BE155" s="39">
        <f t="shared" si="460"/>
        <v>1</v>
      </c>
      <c r="BG155" s="39">
        <f t="shared" si="414"/>
        <v>7.5212099756769971E-2</v>
      </c>
      <c r="BH155" s="39">
        <f t="shared" si="415"/>
        <v>0.16843484607969905</v>
      </c>
      <c r="BI155" s="39">
        <f t="shared" si="416"/>
        <v>0.22504401263377086</v>
      </c>
      <c r="BJ155" s="39">
        <f t="shared" si="417"/>
        <v>0.27921962084094137</v>
      </c>
      <c r="BK155" s="39">
        <f t="shared" si="418"/>
        <v>0.35055090960281821</v>
      </c>
      <c r="BL155" s="39">
        <f t="shared" si="419"/>
        <v>0.43403237749743551</v>
      </c>
      <c r="BM155" s="39">
        <f t="shared" si="420"/>
        <v>0.53011490713000897</v>
      </c>
      <c r="BN155" s="39">
        <f t="shared" si="421"/>
        <v>0.63287160639760143</v>
      </c>
      <c r="BO155" s="39">
        <f t="shared" si="422"/>
        <v>0.70094959600465667</v>
      </c>
      <c r="BP155" s="39">
        <f t="shared" si="423"/>
        <v>0.80048872453815356</v>
      </c>
      <c r="BQ155" s="39">
        <f t="shared" si="424"/>
        <v>0.8971064256558241</v>
      </c>
      <c r="BR155" s="39">
        <f t="shared" si="425"/>
        <v>1</v>
      </c>
      <c r="BS155" s="61"/>
      <c r="BT155" s="39">
        <f t="shared" si="426"/>
        <v>4.5418547847956611E-2</v>
      </c>
      <c r="BU155" s="39">
        <f t="shared" si="427"/>
        <v>0.10632864659454763</v>
      </c>
      <c r="BV155" s="39">
        <f t="shared" si="428"/>
        <v>0.21274158201460269</v>
      </c>
      <c r="BW155" s="39">
        <f t="shared" si="429"/>
        <v>0.25450603859850529</v>
      </c>
      <c r="BX155" s="39">
        <f t="shared" si="430"/>
        <v>0.31788860955998077</v>
      </c>
      <c r="BY155" s="39">
        <f t="shared" si="431"/>
        <v>0.40507896628814594</v>
      </c>
      <c r="BZ155" s="39">
        <f t="shared" si="432"/>
        <v>0.43819344626810564</v>
      </c>
      <c r="CA155" s="39">
        <f t="shared" si="433"/>
        <v>0.64557677976774086</v>
      </c>
      <c r="CB155" s="39">
        <f t="shared" si="434"/>
        <v>0.75981465911340751</v>
      </c>
      <c r="CC155" s="39">
        <f t="shared" si="435"/>
        <v>0.84205114362343203</v>
      </c>
      <c r="CD155" s="39">
        <f t="shared" si="436"/>
        <v>0.92118942298653417</v>
      </c>
      <c r="CE155" s="39">
        <f t="shared" si="437"/>
        <v>1</v>
      </c>
      <c r="CG155" s="39">
        <f t="shared" si="461"/>
        <v>7.1134461851791522E-2</v>
      </c>
      <c r="CH155" s="39">
        <f t="shared" si="438"/>
        <v>0.16091579285196664</v>
      </c>
      <c r="CI155" s="39">
        <f t="shared" si="439"/>
        <v>0.23962306637757891</v>
      </c>
      <c r="CJ155" s="39">
        <f t="shared" si="440"/>
        <v>0.28983896521274471</v>
      </c>
      <c r="CK155" s="39">
        <f t="shared" si="441"/>
        <v>0.36614652304818512</v>
      </c>
      <c r="CL155" s="39">
        <f t="shared" si="442"/>
        <v>0.44559756336472628</v>
      </c>
      <c r="CM155" s="39">
        <f t="shared" si="443"/>
        <v>0.51836852413772472</v>
      </c>
      <c r="CN155" s="39">
        <f t="shared" si="444"/>
        <v>0.65001281859664317</v>
      </c>
      <c r="CO155" s="39">
        <f t="shared" si="445"/>
        <v>0.73839689648984208</v>
      </c>
      <c r="CP155" s="39">
        <f t="shared" si="446"/>
        <v>0.8242764041836278</v>
      </c>
      <c r="CQ155" s="39">
        <f t="shared" si="447"/>
        <v>0.91148381728239614</v>
      </c>
      <c r="CR155" s="39">
        <f t="shared" si="448"/>
        <v>1</v>
      </c>
    </row>
    <row r="156" spans="1:96">
      <c r="A156" s="193" t="s">
        <v>90</v>
      </c>
      <c r="B156" s="34">
        <v>6672.8099999999995</v>
      </c>
      <c r="C156" s="34">
        <v>8786.0399999999991</v>
      </c>
      <c r="D156" s="34">
        <v>6803.96</v>
      </c>
      <c r="E156" s="34">
        <v>7462.1799999999994</v>
      </c>
      <c r="F156" s="34">
        <v>7731.59</v>
      </c>
      <c r="G156" s="34">
        <v>5060.2700000000004</v>
      </c>
      <c r="H156" s="34">
        <v>7959.7699999999995</v>
      </c>
      <c r="I156" s="34">
        <v>8984.0399999999991</v>
      </c>
      <c r="J156" s="34">
        <v>6928.0800000000008</v>
      </c>
      <c r="K156" s="34">
        <v>9522.19</v>
      </c>
      <c r="L156" s="34">
        <v>7989.07</v>
      </c>
      <c r="M156" s="34">
        <v>9338.4400000000023</v>
      </c>
      <c r="N156" s="68">
        <f t="shared" si="413"/>
        <v>93238.44</v>
      </c>
      <c r="P156" s="85" t="s">
        <v>90</v>
      </c>
      <c r="Q156" s="34">
        <v>9302.1900000000023</v>
      </c>
      <c r="R156" s="34">
        <v>7831.63</v>
      </c>
      <c r="S156" s="34">
        <v>6546.15</v>
      </c>
      <c r="T156" s="34">
        <v>6556.0499999999993</v>
      </c>
      <c r="U156" s="34">
        <v>5976.6000000000013</v>
      </c>
      <c r="V156" s="34">
        <v>7164.44</v>
      </c>
      <c r="W156" s="34">
        <v>8088.2300000000005</v>
      </c>
      <c r="X156" s="34">
        <v>8529.27</v>
      </c>
      <c r="Y156" s="34">
        <v>4198.0999999999995</v>
      </c>
      <c r="Z156" s="34">
        <v>6261.3899999999994</v>
      </c>
      <c r="AA156" s="34">
        <v>4909.38</v>
      </c>
      <c r="AB156" s="34">
        <v>8668.33</v>
      </c>
      <c r="AC156" s="68">
        <f t="shared" si="377"/>
        <v>84031.760000000024</v>
      </c>
      <c r="AE156" s="85" t="s">
        <v>90</v>
      </c>
      <c r="AF156" s="34">
        <v>6781.2300000000005</v>
      </c>
      <c r="AG156" s="34">
        <v>7840.44</v>
      </c>
      <c r="AH156" s="34">
        <v>7364.29</v>
      </c>
      <c r="AI156" s="34">
        <v>4615.59</v>
      </c>
      <c r="AJ156" s="34">
        <v>5760.73</v>
      </c>
      <c r="AK156" s="34">
        <v>5107.25</v>
      </c>
      <c r="AL156" s="34">
        <v>4538.53</v>
      </c>
      <c r="AM156" s="34">
        <v>10957.539999999999</v>
      </c>
      <c r="AN156" s="34">
        <v>11910.23</v>
      </c>
      <c r="AO156" s="34">
        <v>13177.72</v>
      </c>
      <c r="AP156" s="34">
        <v>11741.97</v>
      </c>
      <c r="AQ156" s="34">
        <v>9982.09</v>
      </c>
      <c r="AR156" s="68">
        <f t="shared" si="378"/>
        <v>99777.61</v>
      </c>
      <c r="AT156" s="39">
        <f t="shared" si="449"/>
        <v>7.1567156207246699E-2</v>
      </c>
      <c r="AU156" s="39">
        <f t="shared" si="450"/>
        <v>0.16579910603394907</v>
      </c>
      <c r="AV156" s="39">
        <f t="shared" si="451"/>
        <v>0.23877287093177446</v>
      </c>
      <c r="AW156" s="39">
        <f t="shared" si="452"/>
        <v>0.31880617050220916</v>
      </c>
      <c r="AX156" s="39">
        <f t="shared" si="453"/>
        <v>0.40172894355589822</v>
      </c>
      <c r="AY156" s="39">
        <f t="shared" si="454"/>
        <v>0.45600130160907887</v>
      </c>
      <c r="AZ156" s="39">
        <f t="shared" si="455"/>
        <v>0.54137134855538127</v>
      </c>
      <c r="BA156" s="39">
        <f t="shared" si="456"/>
        <v>0.63772688603541627</v>
      </c>
      <c r="BB156" s="39">
        <f t="shared" si="457"/>
        <v>0.71203186153693698</v>
      </c>
      <c r="BC156" s="39">
        <f t="shared" si="458"/>
        <v>0.81415916010606793</v>
      </c>
      <c r="BD156" s="39">
        <f t="shared" si="459"/>
        <v>0.89984345512430275</v>
      </c>
      <c r="BE156" s="39">
        <f t="shared" si="460"/>
        <v>1</v>
      </c>
      <c r="BG156" s="39">
        <f t="shared" si="414"/>
        <v>0.1106985025661726</v>
      </c>
      <c r="BH156" s="39">
        <f t="shared" si="415"/>
        <v>0.20389695515124279</v>
      </c>
      <c r="BI156" s="39">
        <f t="shared" si="416"/>
        <v>0.28179785833356336</v>
      </c>
      <c r="BJ156" s="39">
        <f t="shared" si="417"/>
        <v>0.35981657411435858</v>
      </c>
      <c r="BK156" s="39">
        <f t="shared" si="418"/>
        <v>0.43093968280564388</v>
      </c>
      <c r="BL156" s="39">
        <f t="shared" si="419"/>
        <v>0.51619839927189426</v>
      </c>
      <c r="BM156" s="39">
        <f t="shared" si="420"/>
        <v>0.61245045920732821</v>
      </c>
      <c r="BN156" s="39">
        <f t="shared" si="421"/>
        <v>0.71395101090349644</v>
      </c>
      <c r="BO156" s="39">
        <f t="shared" si="422"/>
        <v>0.76390950278799341</v>
      </c>
      <c r="BP156" s="39">
        <f t="shared" si="423"/>
        <v>0.83842168722873345</v>
      </c>
      <c r="BQ156" s="39">
        <f t="shared" si="424"/>
        <v>0.89684459780444914</v>
      </c>
      <c r="BR156" s="39">
        <f t="shared" si="425"/>
        <v>1</v>
      </c>
      <c r="BS156" s="61"/>
      <c r="BT156" s="39">
        <f t="shared" si="426"/>
        <v>6.7963443902895659E-2</v>
      </c>
      <c r="BU156" s="39">
        <f t="shared" si="427"/>
        <v>0.14654259607942102</v>
      </c>
      <c r="BV156" s="39">
        <f t="shared" si="428"/>
        <v>0.22034963555450968</v>
      </c>
      <c r="BW156" s="39">
        <f t="shared" si="429"/>
        <v>0.26660841044398637</v>
      </c>
      <c r="BX156" s="39">
        <f t="shared" si="430"/>
        <v>0.32434410886370196</v>
      </c>
      <c r="BY156" s="39">
        <f t="shared" si="431"/>
        <v>0.37553044215029802</v>
      </c>
      <c r="BZ156" s="39">
        <f t="shared" si="432"/>
        <v>0.42101689948275967</v>
      </c>
      <c r="CA156" s="39">
        <f t="shared" si="433"/>
        <v>0.53083652735318076</v>
      </c>
      <c r="CB156" s="39">
        <f t="shared" si="434"/>
        <v>0.65020428931901653</v>
      </c>
      <c r="CC156" s="39">
        <f t="shared" si="435"/>
        <v>0.78227520182133048</v>
      </c>
      <c r="CD156" s="39">
        <f t="shared" si="436"/>
        <v>0.8999566135127911</v>
      </c>
      <c r="CE156" s="39">
        <f t="shared" si="437"/>
        <v>1</v>
      </c>
      <c r="CG156" s="39">
        <f t="shared" si="461"/>
        <v>8.3409700892104977E-2</v>
      </c>
      <c r="CH156" s="39">
        <f t="shared" si="438"/>
        <v>0.17207955242153761</v>
      </c>
      <c r="CI156" s="39">
        <f t="shared" si="439"/>
        <v>0.24697345493994918</v>
      </c>
      <c r="CJ156" s="39">
        <f t="shared" si="440"/>
        <v>0.31507705168685135</v>
      </c>
      <c r="CK156" s="39">
        <f t="shared" si="441"/>
        <v>0.38567091174174806</v>
      </c>
      <c r="CL156" s="39">
        <f t="shared" si="442"/>
        <v>0.44924338101042371</v>
      </c>
      <c r="CM156" s="39">
        <f t="shared" si="443"/>
        <v>0.52494623574848964</v>
      </c>
      <c r="CN156" s="39">
        <f t="shared" si="444"/>
        <v>0.62750480809736453</v>
      </c>
      <c r="CO156" s="39">
        <f t="shared" si="445"/>
        <v>0.70871521788131575</v>
      </c>
      <c r="CP156" s="39">
        <f t="shared" si="446"/>
        <v>0.81161868305204399</v>
      </c>
      <c r="CQ156" s="39">
        <f t="shared" si="447"/>
        <v>0.89888155548051429</v>
      </c>
      <c r="CR156" s="39">
        <f t="shared" si="448"/>
        <v>1</v>
      </c>
    </row>
    <row r="157" spans="1:96">
      <c r="A157" s="193" t="s">
        <v>91</v>
      </c>
      <c r="B157" s="34">
        <v>17645.89</v>
      </c>
      <c r="C157" s="34">
        <v>19036.38</v>
      </c>
      <c r="D157" s="34">
        <v>14732.97</v>
      </c>
      <c r="E157" s="34">
        <v>11955.279999999999</v>
      </c>
      <c r="F157" s="34">
        <v>13149.650000000001</v>
      </c>
      <c r="G157" s="34">
        <v>13773.070000000003</v>
      </c>
      <c r="H157" s="34">
        <v>17806.370000000003</v>
      </c>
      <c r="I157" s="34">
        <v>16133</v>
      </c>
      <c r="J157" s="34">
        <v>15122.140000000001</v>
      </c>
      <c r="K157" s="34">
        <v>18681.210000000006</v>
      </c>
      <c r="L157" s="34">
        <v>26746.9</v>
      </c>
      <c r="M157" s="34">
        <v>26362.22</v>
      </c>
      <c r="N157" s="68">
        <f t="shared" si="413"/>
        <v>211145.08000000002</v>
      </c>
      <c r="P157" s="85" t="s">
        <v>91</v>
      </c>
      <c r="Q157" s="34">
        <v>27961.77</v>
      </c>
      <c r="R157" s="34">
        <v>25265.339999999997</v>
      </c>
      <c r="S157" s="34">
        <v>19084.93</v>
      </c>
      <c r="T157" s="34">
        <v>22285.52</v>
      </c>
      <c r="U157" s="34">
        <v>18606.91</v>
      </c>
      <c r="V157" s="34">
        <v>15606.41</v>
      </c>
      <c r="W157" s="34">
        <v>20107.079999999998</v>
      </c>
      <c r="X157" s="34">
        <v>34134.020000000004</v>
      </c>
      <c r="Y157" s="34">
        <v>14000.28</v>
      </c>
      <c r="Z157" s="34">
        <v>23090.45</v>
      </c>
      <c r="AA157" s="34">
        <v>13907.65</v>
      </c>
      <c r="AB157" s="34">
        <v>16133.83</v>
      </c>
      <c r="AC157" s="68">
        <f t="shared" si="377"/>
        <v>250184.19000000003</v>
      </c>
      <c r="AE157" s="85" t="s">
        <v>91</v>
      </c>
      <c r="AF157" s="34">
        <v>19331.07</v>
      </c>
      <c r="AG157" s="34">
        <v>16370.189999999997</v>
      </c>
      <c r="AH157" s="34">
        <v>13335.870000000003</v>
      </c>
      <c r="AI157" s="34">
        <v>9705.06</v>
      </c>
      <c r="AJ157" s="34">
        <v>11219.66</v>
      </c>
      <c r="AK157" s="34">
        <v>11421.490000000002</v>
      </c>
      <c r="AL157" s="34">
        <v>14915.300000000001</v>
      </c>
      <c r="AM157" s="34">
        <v>13362.310000000001</v>
      </c>
      <c r="AN157" s="34">
        <v>15225.54</v>
      </c>
      <c r="AO157" s="34">
        <v>18345.810000000001</v>
      </c>
      <c r="AP157" s="34">
        <v>23172.03</v>
      </c>
      <c r="AQ157" s="34">
        <v>26976.86</v>
      </c>
      <c r="AR157" s="68">
        <f t="shared" si="378"/>
        <v>193381.19</v>
      </c>
      <c r="AT157" s="39">
        <f t="shared" si="449"/>
        <v>8.3572347506273875E-2</v>
      </c>
      <c r="AU157" s="39">
        <f t="shared" si="450"/>
        <v>0.17373016695439933</v>
      </c>
      <c r="AV157" s="39">
        <f t="shared" si="451"/>
        <v>0.24350669217582527</v>
      </c>
      <c r="AW157" s="39">
        <f t="shared" si="452"/>
        <v>0.30012785521689633</v>
      </c>
      <c r="AX157" s="39">
        <f t="shared" si="453"/>
        <v>0.36240565018138243</v>
      </c>
      <c r="AY157" s="39">
        <f t="shared" si="454"/>
        <v>0.42763601216755803</v>
      </c>
      <c r="AZ157" s="39">
        <f t="shared" si="455"/>
        <v>0.51196840579946268</v>
      </c>
      <c r="BA157" s="39">
        <f t="shared" si="456"/>
        <v>0.58837558516637001</v>
      </c>
      <c r="BB157" s="39">
        <f t="shared" si="457"/>
        <v>0.65999525065893094</v>
      </c>
      <c r="BC157" s="39">
        <f t="shared" si="458"/>
        <v>0.74847095655745333</v>
      </c>
      <c r="BD157" s="39">
        <f t="shared" si="459"/>
        <v>0.87514641591459297</v>
      </c>
      <c r="BE157" s="39">
        <f t="shared" si="460"/>
        <v>1</v>
      </c>
      <c r="BG157" s="39">
        <f t="shared" si="414"/>
        <v>0.11176473621294773</v>
      </c>
      <c r="BH157" s="39">
        <f t="shared" si="415"/>
        <v>0.21275169306261915</v>
      </c>
      <c r="BI157" s="39">
        <f t="shared" si="416"/>
        <v>0.28903521041837216</v>
      </c>
      <c r="BJ157" s="39">
        <f t="shared" si="417"/>
        <v>0.37811166245157218</v>
      </c>
      <c r="BK157" s="39">
        <f t="shared" si="418"/>
        <v>0.45248450751424379</v>
      </c>
      <c r="BL157" s="39">
        <f t="shared" si="419"/>
        <v>0.51486418866036265</v>
      </c>
      <c r="BM157" s="39">
        <f t="shared" si="420"/>
        <v>0.59523329591690022</v>
      </c>
      <c r="BN157" s="39">
        <f t="shared" si="421"/>
        <v>0.73166885565390849</v>
      </c>
      <c r="BO157" s="39">
        <f t="shared" si="422"/>
        <v>0.78762874664462212</v>
      </c>
      <c r="BP157" s="39">
        <f t="shared" si="423"/>
        <v>0.8799225482633416</v>
      </c>
      <c r="BQ157" s="39">
        <f t="shared" si="424"/>
        <v>0.93551219203739455</v>
      </c>
      <c r="BR157" s="39">
        <f t="shared" si="425"/>
        <v>1</v>
      </c>
      <c r="BS157" s="61"/>
      <c r="BT157" s="39">
        <f t="shared" si="426"/>
        <v>9.9963548678131522E-2</v>
      </c>
      <c r="BU157" s="39">
        <f t="shared" si="427"/>
        <v>0.18461599083137298</v>
      </c>
      <c r="BV157" s="39">
        <f t="shared" si="428"/>
        <v>0.25357755839645002</v>
      </c>
      <c r="BW157" s="39">
        <f t="shared" si="429"/>
        <v>0.30376372179734745</v>
      </c>
      <c r="BX157" s="39">
        <f t="shared" si="430"/>
        <v>0.36178208438990367</v>
      </c>
      <c r="BY157" s="39">
        <f t="shared" si="431"/>
        <v>0.42084413690907579</v>
      </c>
      <c r="BZ157" s="39">
        <f t="shared" si="432"/>
        <v>0.4979731482674194</v>
      </c>
      <c r="CA157" s="39">
        <f t="shared" si="433"/>
        <v>0.56707144060908921</v>
      </c>
      <c r="CB157" s="39">
        <f t="shared" si="434"/>
        <v>0.64580474450488168</v>
      </c>
      <c r="CC157" s="39">
        <f t="shared" si="435"/>
        <v>0.74067338193544052</v>
      </c>
      <c r="CD157" s="39">
        <f t="shared" si="436"/>
        <v>0.8604990485372439</v>
      </c>
      <c r="CE157" s="39">
        <f t="shared" si="437"/>
        <v>1</v>
      </c>
      <c r="CG157" s="39">
        <f t="shared" si="461"/>
        <v>9.8433544132451034E-2</v>
      </c>
      <c r="CH157" s="39">
        <f t="shared" si="438"/>
        <v>0.19036595028279715</v>
      </c>
      <c r="CI157" s="39">
        <f t="shared" si="439"/>
        <v>0.26203982033021583</v>
      </c>
      <c r="CJ157" s="39">
        <f t="shared" si="440"/>
        <v>0.32733441315527201</v>
      </c>
      <c r="CK157" s="39">
        <f t="shared" si="441"/>
        <v>0.39222408069517661</v>
      </c>
      <c r="CL157" s="39">
        <f t="shared" si="442"/>
        <v>0.45444811257899881</v>
      </c>
      <c r="CM157" s="39">
        <f t="shared" si="443"/>
        <v>0.53505828332792749</v>
      </c>
      <c r="CN157" s="39">
        <f t="shared" si="444"/>
        <v>0.62903862714312264</v>
      </c>
      <c r="CO157" s="39">
        <f t="shared" si="445"/>
        <v>0.69780958060281162</v>
      </c>
      <c r="CP157" s="39">
        <f t="shared" si="446"/>
        <v>0.78968896225207852</v>
      </c>
      <c r="CQ157" s="39">
        <f t="shared" si="447"/>
        <v>0.89038588549641051</v>
      </c>
      <c r="CR157" s="39">
        <f t="shared" si="448"/>
        <v>1</v>
      </c>
    </row>
    <row r="158" spans="1:96">
      <c r="A158" s="193" t="s">
        <v>92</v>
      </c>
      <c r="B158" s="34">
        <v>9532.9500000000007</v>
      </c>
      <c r="C158" s="34">
        <v>11944</v>
      </c>
      <c r="D158" s="34">
        <v>5317.24</v>
      </c>
      <c r="E158" s="34">
        <v>6000.2500000000009</v>
      </c>
      <c r="F158" s="34">
        <v>9103.66</v>
      </c>
      <c r="G158" s="34">
        <v>6426.9800000000005</v>
      </c>
      <c r="H158" s="34">
        <v>7586.369999999999</v>
      </c>
      <c r="I158" s="34">
        <v>8800.9299999999985</v>
      </c>
      <c r="J158" s="34">
        <v>9603.9</v>
      </c>
      <c r="K158" s="34">
        <v>15930.5</v>
      </c>
      <c r="L158" s="34">
        <v>10164.1</v>
      </c>
      <c r="M158" s="34">
        <v>8433.9400000000023</v>
      </c>
      <c r="N158" s="68">
        <f t="shared" si="413"/>
        <v>108844.82000000002</v>
      </c>
      <c r="P158" s="85" t="s">
        <v>92</v>
      </c>
      <c r="Q158" s="34">
        <v>9417.42</v>
      </c>
      <c r="R158" s="34">
        <v>14041.17</v>
      </c>
      <c r="S158" s="34">
        <v>7728.1799999999994</v>
      </c>
      <c r="T158" s="34">
        <v>5147.79</v>
      </c>
      <c r="U158" s="34">
        <v>4541.5900000000011</v>
      </c>
      <c r="V158" s="34">
        <v>8640.42</v>
      </c>
      <c r="W158" s="34">
        <v>12984.9</v>
      </c>
      <c r="X158" s="34">
        <v>10104.75</v>
      </c>
      <c r="Y158" s="34">
        <v>7479.9400000000005</v>
      </c>
      <c r="Z158" s="34">
        <v>9881.07</v>
      </c>
      <c r="AA158" s="34">
        <v>8065.63</v>
      </c>
      <c r="AB158" s="34">
        <v>10980.11</v>
      </c>
      <c r="AC158" s="68">
        <f t="shared" si="377"/>
        <v>109012.97000000002</v>
      </c>
      <c r="AE158" s="85" t="s">
        <v>92</v>
      </c>
      <c r="AF158" s="34">
        <v>4850.079999999999</v>
      </c>
      <c r="AG158" s="34">
        <v>15711.319999999998</v>
      </c>
      <c r="AH158" s="34">
        <v>13502.93</v>
      </c>
      <c r="AI158" s="34">
        <v>7465.08</v>
      </c>
      <c r="AJ158" s="34">
        <v>6748.93</v>
      </c>
      <c r="AK158" s="34">
        <v>7870.19</v>
      </c>
      <c r="AL158" s="34">
        <v>7126.0400000000009</v>
      </c>
      <c r="AM158" s="34">
        <v>9020.16</v>
      </c>
      <c r="AN158" s="34">
        <v>6593.14</v>
      </c>
      <c r="AO158" s="34">
        <v>6864.3</v>
      </c>
      <c r="AP158" s="34">
        <v>10435.969999999999</v>
      </c>
      <c r="AQ158" s="34">
        <v>9397.5999999999985</v>
      </c>
      <c r="AR158" s="68">
        <f t="shared" si="378"/>
        <v>105585.74000000002</v>
      </c>
      <c r="AT158" s="39">
        <f t="shared" si="449"/>
        <v>8.7582946069459239E-2</v>
      </c>
      <c r="AU158" s="39">
        <f t="shared" si="450"/>
        <v>0.19731715298899843</v>
      </c>
      <c r="AV158" s="39">
        <f t="shared" si="451"/>
        <v>0.24616871983434763</v>
      </c>
      <c r="AW158" s="39">
        <f t="shared" si="452"/>
        <v>0.30129536711071775</v>
      </c>
      <c r="AX158" s="39">
        <f t="shared" si="453"/>
        <v>0.38493425778093987</v>
      </c>
      <c r="AY158" s="39">
        <f t="shared" si="454"/>
        <v>0.44398144073369777</v>
      </c>
      <c r="AZ158" s="39">
        <f t="shared" si="455"/>
        <v>0.5136803937936596</v>
      </c>
      <c r="BA158" s="39">
        <f t="shared" si="456"/>
        <v>0.59453798536301494</v>
      </c>
      <c r="BB158" s="39">
        <f t="shared" si="457"/>
        <v>0.68277277687629045</v>
      </c>
      <c r="BC158" s="39">
        <f t="shared" si="458"/>
        <v>0.82913252095965606</v>
      </c>
      <c r="BD158" s="39">
        <f t="shared" si="459"/>
        <v>0.92251408932459988</v>
      </c>
      <c r="BE158" s="39">
        <f t="shared" si="460"/>
        <v>1</v>
      </c>
      <c r="BG158" s="39">
        <f t="shared" si="414"/>
        <v>8.6388069236165196E-2</v>
      </c>
      <c r="BH158" s="39">
        <f t="shared" si="415"/>
        <v>0.21519081628543829</v>
      </c>
      <c r="BI158" s="39">
        <f t="shared" si="416"/>
        <v>0.28608311469726949</v>
      </c>
      <c r="BJ158" s="39">
        <f t="shared" si="417"/>
        <v>0.33330492692750224</v>
      </c>
      <c r="BK158" s="39">
        <f t="shared" si="418"/>
        <v>0.3749659329527486</v>
      </c>
      <c r="BL158" s="39">
        <f t="shared" si="419"/>
        <v>0.45422640994002816</v>
      </c>
      <c r="BM158" s="39">
        <f t="shared" si="420"/>
        <v>0.57333975947999571</v>
      </c>
      <c r="BN158" s="39">
        <f t="shared" si="421"/>
        <v>0.66603285829199943</v>
      </c>
      <c r="BO158" s="39">
        <f t="shared" si="422"/>
        <v>0.73464799647234624</v>
      </c>
      <c r="BP158" s="39">
        <f t="shared" si="423"/>
        <v>0.82528922934582916</v>
      </c>
      <c r="BQ158" s="39">
        <f t="shared" si="424"/>
        <v>0.89927703098080902</v>
      </c>
      <c r="BR158" s="39">
        <f t="shared" si="425"/>
        <v>1</v>
      </c>
      <c r="BS158" s="61"/>
      <c r="BT158" s="39">
        <f t="shared" si="426"/>
        <v>4.5934990842513373E-2</v>
      </c>
      <c r="BU158" s="39">
        <f t="shared" si="427"/>
        <v>0.19473652407986147</v>
      </c>
      <c r="BV158" s="39">
        <f t="shared" si="428"/>
        <v>0.32262244882689645</v>
      </c>
      <c r="BW158" s="39">
        <f t="shared" si="429"/>
        <v>0.39332404167456697</v>
      </c>
      <c r="BX158" s="39">
        <f t="shared" si="430"/>
        <v>0.45724299512415212</v>
      </c>
      <c r="BY158" s="39">
        <f t="shared" si="431"/>
        <v>0.53178137502280132</v>
      </c>
      <c r="BZ158" s="39">
        <f t="shared" si="432"/>
        <v>0.59927192819787967</v>
      </c>
      <c r="CA158" s="39">
        <f t="shared" si="433"/>
        <v>0.68470164626397467</v>
      </c>
      <c r="CB158" s="39">
        <f t="shared" si="434"/>
        <v>0.7471451163765106</v>
      </c>
      <c r="CC158" s="39">
        <f t="shared" si="435"/>
        <v>0.81215673631685492</v>
      </c>
      <c r="CD158" s="39">
        <f t="shared" si="436"/>
        <v>0.91099555678636146</v>
      </c>
      <c r="CE158" s="39">
        <f t="shared" si="437"/>
        <v>1</v>
      </c>
      <c r="CG158" s="39">
        <f t="shared" si="461"/>
        <v>7.330200204937927E-2</v>
      </c>
      <c r="CH158" s="39">
        <f t="shared" si="438"/>
        <v>0.20241483111809941</v>
      </c>
      <c r="CI158" s="39">
        <f t="shared" si="439"/>
        <v>0.28495809445283787</v>
      </c>
      <c r="CJ158" s="39">
        <f t="shared" si="440"/>
        <v>0.34264144523759565</v>
      </c>
      <c r="CK158" s="39">
        <f t="shared" si="441"/>
        <v>0.40571439528594683</v>
      </c>
      <c r="CL158" s="39">
        <f t="shared" si="442"/>
        <v>0.47666307523217571</v>
      </c>
      <c r="CM158" s="39">
        <f t="shared" si="443"/>
        <v>0.56209736049051173</v>
      </c>
      <c r="CN158" s="39">
        <f t="shared" si="444"/>
        <v>0.64842416330632968</v>
      </c>
      <c r="CO158" s="39">
        <f t="shared" si="445"/>
        <v>0.7215219632417158</v>
      </c>
      <c r="CP158" s="39">
        <f t="shared" si="446"/>
        <v>0.82219282887411327</v>
      </c>
      <c r="CQ158" s="39">
        <f t="shared" si="447"/>
        <v>0.91092889236392338</v>
      </c>
      <c r="CR158" s="39">
        <f t="shared" si="448"/>
        <v>1</v>
      </c>
    </row>
    <row r="159" spans="1:96">
      <c r="A159" s="193" t="s">
        <v>93</v>
      </c>
      <c r="B159" s="34">
        <v>18831.18</v>
      </c>
      <c r="C159" s="34">
        <v>20279.07</v>
      </c>
      <c r="D159" s="34">
        <v>14244.56</v>
      </c>
      <c r="E159" s="34">
        <v>15411.8</v>
      </c>
      <c r="F159" s="34">
        <v>17069.679999999997</v>
      </c>
      <c r="G159" s="34">
        <v>20191.29</v>
      </c>
      <c r="H159" s="34">
        <v>28201.110000000004</v>
      </c>
      <c r="I159" s="34">
        <v>24202.120000000003</v>
      </c>
      <c r="J159" s="34">
        <v>23960.550000000003</v>
      </c>
      <c r="K159" s="34">
        <v>25798.370000000003</v>
      </c>
      <c r="L159" s="34">
        <v>23411.329999999998</v>
      </c>
      <c r="M159" s="34">
        <v>27165.51</v>
      </c>
      <c r="N159" s="68">
        <f t="shared" si="413"/>
        <v>258766.56999999998</v>
      </c>
      <c r="P159" s="85" t="s">
        <v>93</v>
      </c>
      <c r="Q159" s="34">
        <v>25939.510000000002</v>
      </c>
      <c r="R159" s="34">
        <v>27754.6</v>
      </c>
      <c r="S159" s="34">
        <v>24768.91</v>
      </c>
      <c r="T159" s="34">
        <v>20901.62</v>
      </c>
      <c r="U159" s="34">
        <v>17578.599999999999</v>
      </c>
      <c r="V159" s="34">
        <v>21552.360000000004</v>
      </c>
      <c r="W159" s="34">
        <v>19028.7</v>
      </c>
      <c r="X159" s="34">
        <v>17753.769999999997</v>
      </c>
      <c r="Y159" s="34">
        <v>9958.9999999999982</v>
      </c>
      <c r="Z159" s="34">
        <v>14695.210000000001</v>
      </c>
      <c r="AA159" s="34">
        <v>16332.5</v>
      </c>
      <c r="AB159" s="34">
        <v>21317.31</v>
      </c>
      <c r="AC159" s="68">
        <f t="shared" si="377"/>
        <v>237582.09</v>
      </c>
      <c r="AE159" s="85" t="s">
        <v>93</v>
      </c>
      <c r="AF159" s="34">
        <v>15823.83</v>
      </c>
      <c r="AG159" s="34">
        <v>15491.25</v>
      </c>
      <c r="AH159" s="34">
        <v>16871.030000000002</v>
      </c>
      <c r="AI159" s="34">
        <v>11916.75</v>
      </c>
      <c r="AJ159" s="34">
        <v>16485.330000000002</v>
      </c>
      <c r="AK159" s="34">
        <v>14555.75</v>
      </c>
      <c r="AL159" s="34">
        <v>17140.309999999998</v>
      </c>
      <c r="AM159" s="34">
        <v>24172.73</v>
      </c>
      <c r="AN159" s="34">
        <v>21123.010000000002</v>
      </c>
      <c r="AO159" s="34">
        <v>30031.02</v>
      </c>
      <c r="AP159" s="34">
        <v>31936.71</v>
      </c>
      <c r="AQ159" s="34">
        <v>29046.440000000002</v>
      </c>
      <c r="AR159" s="68">
        <f t="shared" si="378"/>
        <v>244594.16</v>
      </c>
      <c r="AT159" s="39">
        <f t="shared" si="449"/>
        <v>7.277284697169345E-2</v>
      </c>
      <c r="AU159" s="39">
        <f t="shared" si="450"/>
        <v>0.15114104576955209</v>
      </c>
      <c r="AV159" s="39">
        <f t="shared" si="451"/>
        <v>0.20618896018910016</v>
      </c>
      <c r="AW159" s="39">
        <f t="shared" si="452"/>
        <v>0.26574765820793622</v>
      </c>
      <c r="AX159" s="39">
        <f t="shared" si="453"/>
        <v>0.3317132116409009</v>
      </c>
      <c r="AY159" s="39">
        <f t="shared" si="454"/>
        <v>0.40974218578543586</v>
      </c>
      <c r="AZ159" s="39">
        <f t="shared" si="455"/>
        <v>0.51872500377463759</v>
      </c>
      <c r="BA159" s="39">
        <f t="shared" si="456"/>
        <v>0.61225377760349808</v>
      </c>
      <c r="BB159" s="39">
        <f t="shared" si="457"/>
        <v>0.70484900735052447</v>
      </c>
      <c r="BC159" s="39">
        <f t="shared" si="458"/>
        <v>0.8045464682706116</v>
      </c>
      <c r="BD159" s="39">
        <f t="shared" si="459"/>
        <v>0.8950192445647055</v>
      </c>
      <c r="BE159" s="39">
        <f t="shared" si="460"/>
        <v>1</v>
      </c>
      <c r="BG159" s="39">
        <f t="shared" si="414"/>
        <v>0.10918125183594438</v>
      </c>
      <c r="BH159" s="39">
        <f t="shared" si="415"/>
        <v>0.22600234723080348</v>
      </c>
      <c r="BI159" s="39">
        <f t="shared" si="416"/>
        <v>0.33025645998820874</v>
      </c>
      <c r="BJ159" s="39">
        <f t="shared" si="417"/>
        <v>0.41823287268834114</v>
      </c>
      <c r="BK159" s="39">
        <f t="shared" si="418"/>
        <v>0.4922224566675038</v>
      </c>
      <c r="BL159" s="39">
        <f t="shared" si="419"/>
        <v>0.58293788054478357</v>
      </c>
      <c r="BM159" s="39">
        <f t="shared" si="420"/>
        <v>0.66303103908211269</v>
      </c>
      <c r="BN159" s="39">
        <f t="shared" si="421"/>
        <v>0.73775792611303326</v>
      </c>
      <c r="BO159" s="39">
        <f t="shared" si="422"/>
        <v>0.77967606901681863</v>
      </c>
      <c r="BP159" s="39">
        <f t="shared" si="423"/>
        <v>0.84152925837128545</v>
      </c>
      <c r="BQ159" s="39">
        <f t="shared" si="424"/>
        <v>0.91027391837490779</v>
      </c>
      <c r="BR159" s="39">
        <f t="shared" si="425"/>
        <v>1</v>
      </c>
      <c r="BS159" s="61"/>
      <c r="BT159" s="39">
        <f t="shared" si="426"/>
        <v>6.4694226550625733E-2</v>
      </c>
      <c r="BU159" s="39">
        <f t="shared" si="427"/>
        <v>0.12802873134828729</v>
      </c>
      <c r="BV159" s="39">
        <f t="shared" si="428"/>
        <v>0.19700433567179201</v>
      </c>
      <c r="BW159" s="39">
        <f t="shared" si="429"/>
        <v>0.24572483660280359</v>
      </c>
      <c r="BX159" s="39">
        <f t="shared" si="430"/>
        <v>0.31312354309685891</v>
      </c>
      <c r="BY159" s="39">
        <f t="shared" si="431"/>
        <v>0.37263334496620854</v>
      </c>
      <c r="BZ159" s="39">
        <f t="shared" si="432"/>
        <v>0.44270987500273923</v>
      </c>
      <c r="CA159" s="39">
        <f t="shared" si="433"/>
        <v>0.54153778651133788</v>
      </c>
      <c r="CB159" s="39">
        <f t="shared" si="434"/>
        <v>0.62789720735769006</v>
      </c>
      <c r="CC159" s="39">
        <f t="shared" si="435"/>
        <v>0.75067618131193325</v>
      </c>
      <c r="CD159" s="39">
        <f t="shared" si="436"/>
        <v>0.88124638789413445</v>
      </c>
      <c r="CE159" s="39">
        <f t="shared" si="437"/>
        <v>1</v>
      </c>
      <c r="CG159" s="39">
        <f t="shared" si="461"/>
        <v>8.2216108452754524E-2</v>
      </c>
      <c r="CH159" s="39">
        <f t="shared" si="438"/>
        <v>0.16839070811621429</v>
      </c>
      <c r="CI159" s="39">
        <f t="shared" si="439"/>
        <v>0.2444832519497003</v>
      </c>
      <c r="CJ159" s="39">
        <f t="shared" si="440"/>
        <v>0.3099017891663603</v>
      </c>
      <c r="CK159" s="39">
        <f t="shared" si="441"/>
        <v>0.37901973713508785</v>
      </c>
      <c r="CL159" s="39">
        <f t="shared" si="442"/>
        <v>0.45510447043214269</v>
      </c>
      <c r="CM159" s="39">
        <f t="shared" si="443"/>
        <v>0.54148863928649649</v>
      </c>
      <c r="CN159" s="39">
        <f t="shared" si="444"/>
        <v>0.63051649674262311</v>
      </c>
      <c r="CO159" s="39">
        <f t="shared" si="445"/>
        <v>0.70414076124167779</v>
      </c>
      <c r="CP159" s="39">
        <f t="shared" si="446"/>
        <v>0.79891730265127681</v>
      </c>
      <c r="CQ159" s="39">
        <f t="shared" si="447"/>
        <v>0.89551318361124921</v>
      </c>
      <c r="CR159" s="39">
        <f t="shared" si="448"/>
        <v>1</v>
      </c>
    </row>
    <row r="160" spans="1:96">
      <c r="A160" s="193" t="s">
        <v>94</v>
      </c>
      <c r="B160" s="34">
        <v>14703.45</v>
      </c>
      <c r="C160" s="34">
        <v>13480.82</v>
      </c>
      <c r="D160" s="34">
        <v>12189.45</v>
      </c>
      <c r="E160" s="34">
        <v>12341.52</v>
      </c>
      <c r="F160" s="34">
        <v>9452.1100000000024</v>
      </c>
      <c r="G160" s="34">
        <v>10811.529999999999</v>
      </c>
      <c r="H160" s="34">
        <v>15579.730000000001</v>
      </c>
      <c r="I160" s="34">
        <v>16892.2</v>
      </c>
      <c r="J160" s="34">
        <v>15949.730000000001</v>
      </c>
      <c r="K160" s="34">
        <v>23982.399999999998</v>
      </c>
      <c r="L160" s="34">
        <v>24250.54</v>
      </c>
      <c r="M160" s="34">
        <v>23471.19</v>
      </c>
      <c r="N160" s="68">
        <f t="shared" si="413"/>
        <v>193104.67</v>
      </c>
      <c r="P160" s="85" t="s">
        <v>94</v>
      </c>
      <c r="Q160" s="34">
        <v>11118.359999999999</v>
      </c>
      <c r="R160" s="34">
        <v>10215.890000000001</v>
      </c>
      <c r="S160" s="34">
        <v>11028.06</v>
      </c>
      <c r="T160" s="34">
        <v>9503.8300000000017</v>
      </c>
      <c r="U160" s="34">
        <v>10550.640000000001</v>
      </c>
      <c r="V160" s="34">
        <v>10300.720000000001</v>
      </c>
      <c r="W160" s="34">
        <v>14682.310000000001</v>
      </c>
      <c r="X160" s="34">
        <v>24485.600000000002</v>
      </c>
      <c r="Y160" s="34">
        <v>14628.999999999998</v>
      </c>
      <c r="Z160" s="34">
        <v>18727.169999999998</v>
      </c>
      <c r="AA160" s="34">
        <v>16181.83</v>
      </c>
      <c r="AB160" s="34">
        <v>25163.279999999999</v>
      </c>
      <c r="AC160" s="68">
        <f t="shared" si="377"/>
        <v>176586.69</v>
      </c>
      <c r="AE160" s="85" t="s">
        <v>94</v>
      </c>
      <c r="AF160" s="34">
        <v>7381.77</v>
      </c>
      <c r="AG160" s="34">
        <v>5161.55</v>
      </c>
      <c r="AH160" s="34">
        <v>6788.15</v>
      </c>
      <c r="AI160" s="34">
        <v>3507.5</v>
      </c>
      <c r="AJ160" s="34">
        <v>5315.9500000000007</v>
      </c>
      <c r="AK160" s="34">
        <v>6146.9800000000005</v>
      </c>
      <c r="AL160" s="34">
        <v>6317.77</v>
      </c>
      <c r="AM160" s="34">
        <v>9367.0500000000011</v>
      </c>
      <c r="AN160" s="34">
        <v>13030.48</v>
      </c>
      <c r="AO160" s="34">
        <v>10399.44</v>
      </c>
      <c r="AP160" s="34">
        <v>17006.240000000002</v>
      </c>
      <c r="AQ160" s="34">
        <v>14234.349999999999</v>
      </c>
      <c r="AR160" s="68">
        <f t="shared" si="378"/>
        <v>104657.23000000001</v>
      </c>
      <c r="AT160" s="39">
        <f t="shared" si="449"/>
        <v>7.6142384334879104E-2</v>
      </c>
      <c r="AU160" s="39">
        <f t="shared" si="450"/>
        <v>0.14595333194168736</v>
      </c>
      <c r="AV160" s="39">
        <f t="shared" si="451"/>
        <v>0.2090768700725881</v>
      </c>
      <c r="AW160" s="39">
        <f t="shared" si="452"/>
        <v>0.27298790857828553</v>
      </c>
      <c r="AX160" s="39">
        <f t="shared" si="453"/>
        <v>0.32193602567975182</v>
      </c>
      <c r="AY160" s="39">
        <f t="shared" si="454"/>
        <v>0.37792395181328342</v>
      </c>
      <c r="AZ160" s="39">
        <f t="shared" si="455"/>
        <v>0.45860418600958741</v>
      </c>
      <c r="BA160" s="39">
        <f t="shared" si="456"/>
        <v>0.54608109684763184</v>
      </c>
      <c r="BB160" s="39">
        <f t="shared" si="457"/>
        <v>0.62867739035001058</v>
      </c>
      <c r="BC160" s="39">
        <f t="shared" si="458"/>
        <v>0.75287117603111309</v>
      </c>
      <c r="BD160" s="39">
        <f t="shared" si="459"/>
        <v>0.87845353506986656</v>
      </c>
      <c r="BE160" s="39">
        <f t="shared" si="460"/>
        <v>1</v>
      </c>
      <c r="BG160" s="39">
        <f t="shared" si="414"/>
        <v>6.2962616265132998E-2</v>
      </c>
      <c r="BH160" s="39">
        <f t="shared" si="415"/>
        <v>0.1208145982010309</v>
      </c>
      <c r="BI160" s="39">
        <f t="shared" si="416"/>
        <v>0.18326585089736944</v>
      </c>
      <c r="BJ160" s="39">
        <f t="shared" si="417"/>
        <v>0.23708547909245029</v>
      </c>
      <c r="BK160" s="39">
        <f t="shared" si="418"/>
        <v>0.29683313051510279</v>
      </c>
      <c r="BL160" s="39">
        <f t="shared" si="419"/>
        <v>0.35516549973273748</v>
      </c>
      <c r="BM160" s="39">
        <f t="shared" si="420"/>
        <v>0.43831055443646399</v>
      </c>
      <c r="BN160" s="39">
        <f t="shared" si="421"/>
        <v>0.57697106163550604</v>
      </c>
      <c r="BO160" s="39">
        <f t="shared" si="422"/>
        <v>0.65981422495659214</v>
      </c>
      <c r="BP160" s="39">
        <f t="shared" si="423"/>
        <v>0.76586508303655287</v>
      </c>
      <c r="BQ160" s="39">
        <f t="shared" si="424"/>
        <v>0.85750183097038624</v>
      </c>
      <c r="BR160" s="39">
        <f t="shared" si="425"/>
        <v>1</v>
      </c>
      <c r="BS160" s="61"/>
      <c r="BT160" s="39">
        <f t="shared" si="426"/>
        <v>7.0532824153668114E-2</v>
      </c>
      <c r="BU160" s="39">
        <f t="shared" si="427"/>
        <v>0.11985144265713892</v>
      </c>
      <c r="BV160" s="39">
        <f t="shared" si="428"/>
        <v>0.18471222676159113</v>
      </c>
      <c r="BW160" s="39">
        <f t="shared" si="429"/>
        <v>0.21822639487018716</v>
      </c>
      <c r="BX160" s="39">
        <f t="shared" si="430"/>
        <v>0.26902030562054813</v>
      </c>
      <c r="BY160" s="39">
        <f t="shared" si="431"/>
        <v>0.32775470934975059</v>
      </c>
      <c r="BZ160" s="39">
        <f t="shared" si="432"/>
        <v>0.38812101180205127</v>
      </c>
      <c r="CA160" s="39">
        <f t="shared" si="433"/>
        <v>0.47762318953024074</v>
      </c>
      <c r="CB160" s="39">
        <f t="shared" si="434"/>
        <v>0.60212944676636282</v>
      </c>
      <c r="CC160" s="39">
        <f t="shared" si="435"/>
        <v>0.70149611259537437</v>
      </c>
      <c r="CD160" s="39">
        <f t="shared" si="436"/>
        <v>0.86399076298885413</v>
      </c>
      <c r="CE160" s="39">
        <f t="shared" si="437"/>
        <v>1</v>
      </c>
      <c r="CG160" s="39">
        <f t="shared" si="461"/>
        <v>6.9879274917893405E-2</v>
      </c>
      <c r="CH160" s="39">
        <f t="shared" si="438"/>
        <v>0.12887312426661907</v>
      </c>
      <c r="CI160" s="39">
        <f t="shared" si="439"/>
        <v>0.19235164924384954</v>
      </c>
      <c r="CJ160" s="39">
        <f t="shared" si="440"/>
        <v>0.24276659418030766</v>
      </c>
      <c r="CK160" s="39">
        <f t="shared" si="441"/>
        <v>0.29592982060513423</v>
      </c>
      <c r="CL160" s="39">
        <f t="shared" si="442"/>
        <v>0.35361472029859048</v>
      </c>
      <c r="CM160" s="39">
        <f t="shared" si="443"/>
        <v>0.42834525074936752</v>
      </c>
      <c r="CN160" s="39">
        <f t="shared" si="444"/>
        <v>0.53355844933779284</v>
      </c>
      <c r="CO160" s="39">
        <f t="shared" si="445"/>
        <v>0.63020702069098844</v>
      </c>
      <c r="CP160" s="39">
        <f t="shared" si="446"/>
        <v>0.74007745722101348</v>
      </c>
      <c r="CQ160" s="39">
        <f t="shared" si="447"/>
        <v>0.86664870967636898</v>
      </c>
      <c r="CR160" s="39">
        <f t="shared" si="448"/>
        <v>1</v>
      </c>
    </row>
    <row r="161" spans="1:96">
      <c r="A161" s="193" t="s">
        <v>95</v>
      </c>
      <c r="B161" s="34">
        <v>16190.35</v>
      </c>
      <c r="C161" s="34">
        <v>22020.09</v>
      </c>
      <c r="D161" s="34">
        <v>29097.579999999998</v>
      </c>
      <c r="E161" s="34">
        <v>23672.91</v>
      </c>
      <c r="F161" s="34">
        <v>16800.82</v>
      </c>
      <c r="G161" s="34">
        <v>14301.95</v>
      </c>
      <c r="H161" s="34">
        <v>23528.229999999996</v>
      </c>
      <c r="I161" s="34">
        <v>24184.54</v>
      </c>
      <c r="J161" s="34">
        <v>22610.909999999996</v>
      </c>
      <c r="K161" s="34">
        <v>24868.26</v>
      </c>
      <c r="L161" s="34">
        <v>17158.809999999998</v>
      </c>
      <c r="M161" s="34">
        <v>22180.28</v>
      </c>
      <c r="N161" s="68">
        <f t="shared" si="413"/>
        <v>256614.73</v>
      </c>
      <c r="P161" s="85" t="s">
        <v>95</v>
      </c>
      <c r="Q161" s="34">
        <v>15542.9</v>
      </c>
      <c r="R161" s="34">
        <v>13642.14</v>
      </c>
      <c r="S161" s="34">
        <v>8557.26</v>
      </c>
      <c r="T161" s="34">
        <v>9302.67</v>
      </c>
      <c r="U161" s="34">
        <v>9409.84</v>
      </c>
      <c r="V161" s="34">
        <v>8139.77</v>
      </c>
      <c r="W161" s="34">
        <v>12897.310000000001</v>
      </c>
      <c r="X161" s="34">
        <v>14319.62</v>
      </c>
      <c r="Y161" s="34">
        <v>11529.949999999999</v>
      </c>
      <c r="Z161" s="34">
        <v>14895.17</v>
      </c>
      <c r="AA161" s="34">
        <v>11437.750000000002</v>
      </c>
      <c r="AB161" s="34">
        <v>23598.94</v>
      </c>
      <c r="AC161" s="68">
        <f t="shared" si="377"/>
        <v>153273.31999999998</v>
      </c>
      <c r="AE161" s="85" t="s">
        <v>95</v>
      </c>
      <c r="AF161" s="34">
        <v>7997.6499999999987</v>
      </c>
      <c r="AG161" s="34">
        <v>10394.67</v>
      </c>
      <c r="AH161" s="34">
        <v>11408.619999999999</v>
      </c>
      <c r="AI161" s="34">
        <v>10706.12</v>
      </c>
      <c r="AJ161" s="34">
        <v>8100.34</v>
      </c>
      <c r="AK161" s="34">
        <v>9564.7499999999982</v>
      </c>
      <c r="AL161" s="34">
        <v>15380.27</v>
      </c>
      <c r="AM161" s="34">
        <v>16382.68</v>
      </c>
      <c r="AN161" s="34">
        <v>11291.869999999999</v>
      </c>
      <c r="AO161" s="34">
        <v>10928.07</v>
      </c>
      <c r="AP161" s="34">
        <v>15172.57</v>
      </c>
      <c r="AQ161" s="34">
        <v>12155.45</v>
      </c>
      <c r="AR161" s="68">
        <f t="shared" si="378"/>
        <v>139483.06000000003</v>
      </c>
      <c r="AT161" s="39">
        <f t="shared" si="449"/>
        <v>6.3092052432064213E-2</v>
      </c>
      <c r="AU161" s="39">
        <f t="shared" si="450"/>
        <v>0.1489019745670874</v>
      </c>
      <c r="AV161" s="39">
        <f t="shared" si="451"/>
        <v>0.26229211394061441</v>
      </c>
      <c r="AW161" s="39">
        <f t="shared" si="452"/>
        <v>0.35454289782975434</v>
      </c>
      <c r="AX161" s="39">
        <f t="shared" si="453"/>
        <v>0.42001388618650221</v>
      </c>
      <c r="AY161" s="39">
        <f t="shared" si="454"/>
        <v>0.47574704694465508</v>
      </c>
      <c r="AZ161" s="39">
        <f t="shared" si="455"/>
        <v>0.56743402843632551</v>
      </c>
      <c r="BA161" s="39">
        <f t="shared" si="456"/>
        <v>0.66167857940189168</v>
      </c>
      <c r="BB161" s="39">
        <f t="shared" si="457"/>
        <v>0.74979086352525437</v>
      </c>
      <c r="BC161" s="39">
        <f t="shared" si="458"/>
        <v>0.84669979778635474</v>
      </c>
      <c r="BD161" s="39">
        <f t="shared" si="459"/>
        <v>0.91356583466584329</v>
      </c>
      <c r="BE161" s="39">
        <f t="shared" si="460"/>
        <v>1</v>
      </c>
      <c r="BG161" s="39">
        <f t="shared" si="414"/>
        <v>0.10140642872484266</v>
      </c>
      <c r="BH161" s="39">
        <f t="shared" si="415"/>
        <v>0.19041174289171792</v>
      </c>
      <c r="BI161" s="39">
        <f t="shared" si="416"/>
        <v>0.24624181168646969</v>
      </c>
      <c r="BJ161" s="39">
        <f t="shared" si="417"/>
        <v>0.3069351534892048</v>
      </c>
      <c r="BK161" s="39">
        <f t="shared" si="418"/>
        <v>0.36832770373865464</v>
      </c>
      <c r="BL161" s="39">
        <f t="shared" si="419"/>
        <v>0.42143394558165775</v>
      </c>
      <c r="BM161" s="39">
        <f t="shared" si="420"/>
        <v>0.50557977083030503</v>
      </c>
      <c r="BN161" s="39">
        <f t="shared" si="421"/>
        <v>0.59900516280328509</v>
      </c>
      <c r="BO161" s="39">
        <f t="shared" si="422"/>
        <v>0.6742299312104677</v>
      </c>
      <c r="BP161" s="39">
        <f t="shared" si="423"/>
        <v>0.77141037983649086</v>
      </c>
      <c r="BQ161" s="39">
        <f t="shared" si="424"/>
        <v>0.84603360845840625</v>
      </c>
      <c r="BR161" s="39">
        <f t="shared" si="425"/>
        <v>1</v>
      </c>
      <c r="BS161" s="61"/>
      <c r="BT161" s="39">
        <f t="shared" si="426"/>
        <v>5.733778711192597E-2</v>
      </c>
      <c r="BU161" s="39">
        <f t="shared" si="427"/>
        <v>0.13186060013309139</v>
      </c>
      <c r="BV161" s="39">
        <f t="shared" si="428"/>
        <v>0.21365275467859676</v>
      </c>
      <c r="BW161" s="39">
        <f t="shared" si="429"/>
        <v>0.2904084553350062</v>
      </c>
      <c r="BX161" s="39">
        <f t="shared" si="430"/>
        <v>0.34848246088091261</v>
      </c>
      <c r="BY161" s="39">
        <f t="shared" si="431"/>
        <v>0.41705530406344671</v>
      </c>
      <c r="BZ161" s="39">
        <f t="shared" si="432"/>
        <v>0.52732152563902734</v>
      </c>
      <c r="CA161" s="39">
        <f t="shared" si="433"/>
        <v>0.64477435467790845</v>
      </c>
      <c r="CB161" s="39">
        <f t="shared" si="434"/>
        <v>0.72572949001835763</v>
      </c>
      <c r="CC161" s="39">
        <f t="shared" si="435"/>
        <v>0.8040764233305463</v>
      </c>
      <c r="CD161" s="39">
        <f t="shared" si="436"/>
        <v>0.91285357519400556</v>
      </c>
      <c r="CE161" s="39">
        <f t="shared" si="437"/>
        <v>1</v>
      </c>
      <c r="CG161" s="39">
        <f t="shared" si="461"/>
        <v>7.3945422756277621E-2</v>
      </c>
      <c r="CH161" s="39">
        <f t="shared" si="438"/>
        <v>0.1570581058639656</v>
      </c>
      <c r="CI161" s="39">
        <f t="shared" si="439"/>
        <v>0.24072889343522696</v>
      </c>
      <c r="CJ161" s="39">
        <f t="shared" si="440"/>
        <v>0.31729550221798841</v>
      </c>
      <c r="CK161" s="39">
        <f t="shared" si="441"/>
        <v>0.3789413502686898</v>
      </c>
      <c r="CL161" s="39">
        <f t="shared" si="442"/>
        <v>0.43807876552991987</v>
      </c>
      <c r="CM161" s="39">
        <f t="shared" si="443"/>
        <v>0.53344510830188596</v>
      </c>
      <c r="CN161" s="39">
        <f t="shared" si="444"/>
        <v>0.63515269896102833</v>
      </c>
      <c r="CO161" s="39">
        <f t="shared" si="445"/>
        <v>0.71658342825136001</v>
      </c>
      <c r="CP161" s="39">
        <f t="shared" si="446"/>
        <v>0.80739553365113059</v>
      </c>
      <c r="CQ161" s="39">
        <f t="shared" si="447"/>
        <v>0.89081767277275159</v>
      </c>
      <c r="CR161" s="39">
        <f t="shared" si="448"/>
        <v>1</v>
      </c>
    </row>
    <row r="162" spans="1:96">
      <c r="A162" s="193" t="s">
        <v>96</v>
      </c>
      <c r="B162" s="34">
        <v>7020.9599999999991</v>
      </c>
      <c r="C162" s="34">
        <v>5042.8900000000003</v>
      </c>
      <c r="D162" s="34">
        <v>9041.8100000000013</v>
      </c>
      <c r="E162" s="34">
        <v>4659.1500000000005</v>
      </c>
      <c r="F162" s="34">
        <v>5825.0999999999995</v>
      </c>
      <c r="G162" s="34">
        <v>7688.87</v>
      </c>
      <c r="H162" s="34">
        <v>8657.02</v>
      </c>
      <c r="I162" s="34">
        <v>6846.37</v>
      </c>
      <c r="J162" s="34">
        <v>9300.8700000000008</v>
      </c>
      <c r="K162" s="34">
        <v>10469.149999999998</v>
      </c>
      <c r="L162" s="34">
        <v>8280.18</v>
      </c>
      <c r="M162" s="34">
        <v>8862.09</v>
      </c>
      <c r="N162" s="68">
        <f t="shared" si="413"/>
        <v>91694.459999999992</v>
      </c>
      <c r="P162" s="85" t="s">
        <v>96</v>
      </c>
      <c r="Q162" s="34">
        <v>4402.78</v>
      </c>
      <c r="R162" s="34">
        <v>2978.2599999999998</v>
      </c>
      <c r="S162" s="34">
        <v>3559.49</v>
      </c>
      <c r="T162" s="34">
        <v>3696.14</v>
      </c>
      <c r="U162" s="34">
        <v>2549.1499999999996</v>
      </c>
      <c r="V162" s="34">
        <v>3591.69</v>
      </c>
      <c r="W162" s="34">
        <v>9734.7099999999991</v>
      </c>
      <c r="X162" s="34">
        <v>6435.79</v>
      </c>
      <c r="Y162" s="34">
        <v>5195.7299999999996</v>
      </c>
      <c r="Z162" s="34">
        <v>5161.2899999999991</v>
      </c>
      <c r="AA162" s="34">
        <v>5656.18</v>
      </c>
      <c r="AB162" s="34">
        <v>7133.5299999999988</v>
      </c>
      <c r="AC162" s="68">
        <f t="shared" si="377"/>
        <v>60094.739999999991</v>
      </c>
      <c r="AE162" s="85" t="s">
        <v>96</v>
      </c>
      <c r="AF162" s="34">
        <v>6525.97</v>
      </c>
      <c r="AG162" s="34">
        <v>4496.59</v>
      </c>
      <c r="AH162" s="34">
        <v>5685.9</v>
      </c>
      <c r="AI162" s="34">
        <v>2648.2599999999998</v>
      </c>
      <c r="AJ162" s="34">
        <v>4098.7400000000007</v>
      </c>
      <c r="AK162" s="34">
        <v>3568.02</v>
      </c>
      <c r="AL162" s="34">
        <v>5339.0700000000006</v>
      </c>
      <c r="AM162" s="34">
        <v>7097.42</v>
      </c>
      <c r="AN162" s="34">
        <v>6179.3099999999995</v>
      </c>
      <c r="AO162" s="34">
        <v>7779.56</v>
      </c>
      <c r="AP162" s="34">
        <v>9341.06</v>
      </c>
      <c r="AQ162" s="34">
        <v>6876.14</v>
      </c>
      <c r="AR162" s="68">
        <f t="shared" si="378"/>
        <v>69636.039999999994</v>
      </c>
      <c r="AT162" s="39">
        <f t="shared" si="449"/>
        <v>7.6569075165500725E-2</v>
      </c>
      <c r="AU162" s="39">
        <f t="shared" si="450"/>
        <v>0.13156574562956147</v>
      </c>
      <c r="AV162" s="39">
        <f t="shared" si="451"/>
        <v>0.23017377494779948</v>
      </c>
      <c r="AW162" s="39">
        <f t="shared" si="452"/>
        <v>0.28098545975405714</v>
      </c>
      <c r="AX162" s="39">
        <f t="shared" si="453"/>
        <v>0.34451274373609925</v>
      </c>
      <c r="AY162" s="39">
        <f t="shared" si="454"/>
        <v>0.42836590127691471</v>
      </c>
      <c r="AZ162" s="39">
        <f t="shared" si="455"/>
        <v>0.52277749386386052</v>
      </c>
      <c r="BA162" s="39">
        <f t="shared" si="456"/>
        <v>0.59744252815273691</v>
      </c>
      <c r="BB162" s="39">
        <f t="shared" si="457"/>
        <v>0.69887580994533383</v>
      </c>
      <c r="BC162" s="39">
        <f t="shared" si="458"/>
        <v>0.81305010139107647</v>
      </c>
      <c r="BD162" s="39">
        <f t="shared" si="459"/>
        <v>0.90335195823171877</v>
      </c>
      <c r="BE162" s="39">
        <f t="shared" si="460"/>
        <v>1</v>
      </c>
      <c r="BG162" s="39">
        <f t="shared" si="414"/>
        <v>7.3263982837765848E-2</v>
      </c>
      <c r="BH162" s="39">
        <f t="shared" si="415"/>
        <v>0.12282339519232466</v>
      </c>
      <c r="BI162" s="39">
        <f t="shared" si="416"/>
        <v>0.182054702291748</v>
      </c>
      <c r="BJ162" s="39">
        <f t="shared" si="417"/>
        <v>0.24355991888807574</v>
      </c>
      <c r="BK162" s="39">
        <f t="shared" si="418"/>
        <v>0.28597877285100165</v>
      </c>
      <c r="BL162" s="39">
        <f t="shared" si="419"/>
        <v>0.3457459005563549</v>
      </c>
      <c r="BM162" s="39">
        <f t="shared" si="420"/>
        <v>0.50773528598343221</v>
      </c>
      <c r="BN162" s="39">
        <f t="shared" si="421"/>
        <v>0.61482935112124626</v>
      </c>
      <c r="BO162" s="39">
        <f t="shared" si="422"/>
        <v>0.70128833238982313</v>
      </c>
      <c r="BP162" s="39">
        <f t="shared" si="423"/>
        <v>0.78717421857553582</v>
      </c>
      <c r="BQ162" s="39">
        <f t="shared" si="424"/>
        <v>0.88129526810499559</v>
      </c>
      <c r="BR162" s="39">
        <f t="shared" si="425"/>
        <v>1</v>
      </c>
      <c r="BS162" s="61"/>
      <c r="BT162" s="39">
        <f t="shared" si="426"/>
        <v>9.3715409434539945E-2</v>
      </c>
      <c r="BU162" s="39">
        <f t="shared" si="427"/>
        <v>0.1582881507908836</v>
      </c>
      <c r="BV162" s="39">
        <f t="shared" si="428"/>
        <v>0.23993983575171707</v>
      </c>
      <c r="BW162" s="39">
        <f t="shared" si="429"/>
        <v>0.27796985583901668</v>
      </c>
      <c r="BX162" s="39">
        <f t="shared" si="430"/>
        <v>0.33682931999005117</v>
      </c>
      <c r="BY162" s="39">
        <f t="shared" si="431"/>
        <v>0.3880674432377258</v>
      </c>
      <c r="BZ162" s="39">
        <f t="shared" si="432"/>
        <v>0.46473851758371099</v>
      </c>
      <c r="CA162" s="39">
        <f t="shared" si="433"/>
        <v>0.56666016620129467</v>
      </c>
      <c r="CB162" s="39">
        <f t="shared" si="434"/>
        <v>0.65539740628559584</v>
      </c>
      <c r="CC162" s="39">
        <f t="shared" si="435"/>
        <v>0.76711484455463008</v>
      </c>
      <c r="CD162" s="39">
        <f t="shared" si="436"/>
        <v>0.90125601628122454</v>
      </c>
      <c r="CE162" s="39">
        <f t="shared" si="437"/>
        <v>1</v>
      </c>
      <c r="CG162" s="39">
        <f t="shared" si="461"/>
        <v>8.1182822479268835E-2</v>
      </c>
      <c r="CH162" s="39">
        <f t="shared" si="438"/>
        <v>0.13755909720425658</v>
      </c>
      <c r="CI162" s="39">
        <f t="shared" si="439"/>
        <v>0.21738943766375485</v>
      </c>
      <c r="CJ162" s="39">
        <f t="shared" si="440"/>
        <v>0.26750507816038321</v>
      </c>
      <c r="CK162" s="39">
        <f t="shared" si="441"/>
        <v>0.32244027885905069</v>
      </c>
      <c r="CL162" s="39">
        <f t="shared" si="442"/>
        <v>0.38739308169033176</v>
      </c>
      <c r="CM162" s="39">
        <f t="shared" si="443"/>
        <v>0.498417099143668</v>
      </c>
      <c r="CN162" s="39">
        <f t="shared" si="444"/>
        <v>0.59297734849175932</v>
      </c>
      <c r="CO162" s="39">
        <f t="shared" si="445"/>
        <v>0.68518718287358427</v>
      </c>
      <c r="CP162" s="39">
        <f t="shared" si="446"/>
        <v>0.78911305484041405</v>
      </c>
      <c r="CQ162" s="39">
        <f t="shared" si="447"/>
        <v>0.89530108087264626</v>
      </c>
      <c r="CR162" s="39">
        <f t="shared" si="448"/>
        <v>1</v>
      </c>
    </row>
    <row r="163" spans="1:96">
      <c r="A163" s="193" t="s">
        <v>97</v>
      </c>
      <c r="B163" s="34">
        <v>6580.4500000000007</v>
      </c>
      <c r="C163" s="34">
        <v>13242.32</v>
      </c>
      <c r="D163" s="34">
        <v>8374.6</v>
      </c>
      <c r="E163" s="34">
        <v>6314.6100000000015</v>
      </c>
      <c r="F163" s="34">
        <v>6311.9500000000007</v>
      </c>
      <c r="G163" s="34">
        <v>6261.47</v>
      </c>
      <c r="H163" s="34">
        <v>7097.16</v>
      </c>
      <c r="I163" s="34">
        <v>6680.64</v>
      </c>
      <c r="J163" s="34">
        <v>7722.5000000000009</v>
      </c>
      <c r="K163" s="34">
        <v>11219.69</v>
      </c>
      <c r="L163" s="34">
        <v>8903.14</v>
      </c>
      <c r="M163" s="34">
        <v>10957.490000000002</v>
      </c>
      <c r="N163" s="68">
        <f t="shared" si="413"/>
        <v>99666.020000000019</v>
      </c>
      <c r="P163" s="85" t="s">
        <v>97</v>
      </c>
      <c r="Q163" s="34">
        <v>6561.88</v>
      </c>
      <c r="R163" s="34">
        <v>8146.97</v>
      </c>
      <c r="S163" s="34">
        <v>9229.91</v>
      </c>
      <c r="T163" s="34">
        <v>7234.2099999999991</v>
      </c>
      <c r="U163" s="34">
        <v>9098.5800000000017</v>
      </c>
      <c r="V163" s="34">
        <v>6505.7599999999993</v>
      </c>
      <c r="W163" s="34">
        <v>5375.4800000000005</v>
      </c>
      <c r="X163" s="34">
        <v>5479.27</v>
      </c>
      <c r="Y163" s="34">
        <v>5670.1399999999994</v>
      </c>
      <c r="Z163" s="34">
        <v>8330.8499999999985</v>
      </c>
      <c r="AA163" s="34">
        <v>8167.5700000000006</v>
      </c>
      <c r="AB163" s="34">
        <v>8437.010000000002</v>
      </c>
      <c r="AC163" s="68">
        <f t="shared" si="377"/>
        <v>88237.630000000034</v>
      </c>
      <c r="AE163" s="85" t="s">
        <v>97</v>
      </c>
      <c r="AF163" s="34">
        <v>8338.52</v>
      </c>
      <c r="AG163" s="34">
        <v>6723</v>
      </c>
      <c r="AH163" s="34">
        <v>6847.579999999999</v>
      </c>
      <c r="AI163" s="34">
        <v>3637.14</v>
      </c>
      <c r="AJ163" s="34">
        <v>4796.24</v>
      </c>
      <c r="AK163" s="34">
        <v>5666.27</v>
      </c>
      <c r="AL163" s="34">
        <v>4242.97</v>
      </c>
      <c r="AM163" s="34">
        <v>9741.49</v>
      </c>
      <c r="AN163" s="34">
        <v>6392.6100000000006</v>
      </c>
      <c r="AO163" s="34">
        <v>8652.59</v>
      </c>
      <c r="AP163" s="34">
        <v>11943.509999999998</v>
      </c>
      <c r="AQ163" s="34">
        <v>7204.2300000000005</v>
      </c>
      <c r="AR163" s="68">
        <f t="shared" si="378"/>
        <v>84186.15</v>
      </c>
      <c r="AT163" s="39">
        <f t="shared" si="449"/>
        <v>6.6025010329498451E-2</v>
      </c>
      <c r="AU163" s="39">
        <f t="shared" si="450"/>
        <v>0.19889195936589016</v>
      </c>
      <c r="AV163" s="39">
        <f t="shared" si="451"/>
        <v>0.28291859151193155</v>
      </c>
      <c r="AW163" s="39">
        <f t="shared" si="452"/>
        <v>0.34627629356524919</v>
      </c>
      <c r="AX163" s="39">
        <f t="shared" si="453"/>
        <v>0.40960730648218924</v>
      </c>
      <c r="AY163" s="39">
        <f t="shared" si="454"/>
        <v>0.47243182781854837</v>
      </c>
      <c r="AZ163" s="39">
        <f t="shared" si="455"/>
        <v>0.54364125305695965</v>
      </c>
      <c r="BA163" s="39">
        <f t="shared" si="456"/>
        <v>0.6106715207449841</v>
      </c>
      <c r="BB163" s="39">
        <f t="shared" si="457"/>
        <v>0.68815530107452871</v>
      </c>
      <c r="BC163" s="39">
        <f t="shared" si="458"/>
        <v>0.80072817194867418</v>
      </c>
      <c r="BD163" s="39">
        <f t="shared" si="459"/>
        <v>0.89005791542593948</v>
      </c>
      <c r="BE163" s="39">
        <f t="shared" si="460"/>
        <v>1</v>
      </c>
      <c r="BG163" s="39">
        <f t="shared" si="414"/>
        <v>7.4366004617304401E-2</v>
      </c>
      <c r="BH163" s="39">
        <f t="shared" si="415"/>
        <v>0.16669588700421797</v>
      </c>
      <c r="BI163" s="39">
        <f t="shared" si="416"/>
        <v>0.2712987644840415</v>
      </c>
      <c r="BJ163" s="39">
        <f t="shared" si="417"/>
        <v>0.35328430738676897</v>
      </c>
      <c r="BK163" s="39">
        <f t="shared" si="418"/>
        <v>0.45639881760196854</v>
      </c>
      <c r="BL163" s="39">
        <f t="shared" si="419"/>
        <v>0.5301288123899065</v>
      </c>
      <c r="BM163" s="39">
        <f t="shared" si="420"/>
        <v>0.59104930628803143</v>
      </c>
      <c r="BN163" s="39">
        <f t="shared" si="421"/>
        <v>0.65314605571341833</v>
      </c>
      <c r="BO163" s="39">
        <f t="shared" si="422"/>
        <v>0.7174059412067163</v>
      </c>
      <c r="BP163" s="39">
        <f t="shared" si="423"/>
        <v>0.81181974175870308</v>
      </c>
      <c r="BQ163" s="39">
        <f t="shared" si="424"/>
        <v>0.90438308463180617</v>
      </c>
      <c r="BR163" s="39">
        <f t="shared" si="425"/>
        <v>1</v>
      </c>
      <c r="BS163" s="61"/>
      <c r="BT163" s="39">
        <f t="shared" si="426"/>
        <v>9.9048596473410425E-2</v>
      </c>
      <c r="BU163" s="39">
        <f t="shared" si="427"/>
        <v>0.17890733808352088</v>
      </c>
      <c r="BV163" s="39">
        <f t="shared" si="428"/>
        <v>0.26024589555407868</v>
      </c>
      <c r="BW163" s="39">
        <f t="shared" si="429"/>
        <v>0.30344943912983313</v>
      </c>
      <c r="BX163" s="39">
        <f t="shared" si="430"/>
        <v>0.36042128069759694</v>
      </c>
      <c r="BY163" s="39">
        <f t="shared" si="431"/>
        <v>0.42772772005846571</v>
      </c>
      <c r="BZ163" s="39">
        <f t="shared" si="432"/>
        <v>0.47812757799234201</v>
      </c>
      <c r="CA163" s="39">
        <f t="shared" si="433"/>
        <v>0.59384126723932618</v>
      </c>
      <c r="CB163" s="39">
        <f t="shared" si="434"/>
        <v>0.6697754915743267</v>
      </c>
      <c r="CC163" s="39">
        <f t="shared" si="435"/>
        <v>0.77255474920755973</v>
      </c>
      <c r="CD163" s="39">
        <f t="shared" si="436"/>
        <v>0.91442499746098382</v>
      </c>
      <c r="CE163" s="39">
        <f t="shared" si="437"/>
        <v>1</v>
      </c>
      <c r="CG163" s="39">
        <f t="shared" si="461"/>
        <v>7.9813203806737745E-2</v>
      </c>
      <c r="CH163" s="39">
        <f t="shared" si="438"/>
        <v>0.18149839481787633</v>
      </c>
      <c r="CI163" s="39">
        <f t="shared" si="439"/>
        <v>0.27148775051668395</v>
      </c>
      <c r="CJ163" s="39">
        <f t="shared" si="440"/>
        <v>0.33433668002728378</v>
      </c>
      <c r="CK163" s="39">
        <f t="shared" si="441"/>
        <v>0.40880913492725157</v>
      </c>
      <c r="CL163" s="39">
        <f t="shared" si="442"/>
        <v>0.47676278675564016</v>
      </c>
      <c r="CM163" s="39">
        <f t="shared" si="443"/>
        <v>0.53760604577911109</v>
      </c>
      <c r="CN163" s="39">
        <f t="shared" si="444"/>
        <v>0.61921961456590946</v>
      </c>
      <c r="CO163" s="39">
        <f t="shared" si="445"/>
        <v>0.69177891128519053</v>
      </c>
      <c r="CP163" s="39">
        <f t="shared" si="446"/>
        <v>0.79503422097164567</v>
      </c>
      <c r="CQ163" s="39">
        <f t="shared" si="447"/>
        <v>0.90295533250624327</v>
      </c>
      <c r="CR163" s="39">
        <f t="shared" si="448"/>
        <v>1</v>
      </c>
    </row>
    <row r="164" spans="1:96">
      <c r="A164" s="193" t="s">
        <v>98</v>
      </c>
      <c r="B164" s="34">
        <v>8590.99</v>
      </c>
      <c r="C164" s="34">
        <v>11999.73</v>
      </c>
      <c r="D164" s="34">
        <v>10296.6</v>
      </c>
      <c r="E164" s="34">
        <v>11454.38</v>
      </c>
      <c r="F164" s="34">
        <v>13676.8</v>
      </c>
      <c r="G164" s="34">
        <v>8769.6800000000021</v>
      </c>
      <c r="H164" s="34">
        <v>11640.35</v>
      </c>
      <c r="I164" s="34">
        <v>10535.729999999998</v>
      </c>
      <c r="J164" s="34">
        <v>22435.72</v>
      </c>
      <c r="K164" s="34">
        <v>13276.71</v>
      </c>
      <c r="L164" s="34">
        <v>13016.650000000001</v>
      </c>
      <c r="M164" s="34">
        <v>25837.1</v>
      </c>
      <c r="N164" s="68">
        <f t="shared" si="413"/>
        <v>161530.44</v>
      </c>
      <c r="P164" s="85" t="s">
        <v>98</v>
      </c>
      <c r="Q164" s="34">
        <v>17775.96</v>
      </c>
      <c r="R164" s="34">
        <v>18140.940000000002</v>
      </c>
      <c r="S164" s="34">
        <v>12622.95</v>
      </c>
      <c r="T164" s="34">
        <v>15153.380000000001</v>
      </c>
      <c r="U164" s="34">
        <v>11329.04</v>
      </c>
      <c r="V164" s="34">
        <v>19739.310000000001</v>
      </c>
      <c r="W164" s="34">
        <v>14448.449999999999</v>
      </c>
      <c r="X164" s="34">
        <v>14049.210000000001</v>
      </c>
      <c r="Y164" s="34">
        <v>10733.199999999999</v>
      </c>
      <c r="Z164" s="34">
        <v>15669.58</v>
      </c>
      <c r="AA164" s="34">
        <v>12369.199999999999</v>
      </c>
      <c r="AB164" s="34">
        <v>15988.79</v>
      </c>
      <c r="AC164" s="68">
        <f t="shared" si="377"/>
        <v>178020.01000000004</v>
      </c>
      <c r="AE164" s="85" t="s">
        <v>98</v>
      </c>
      <c r="AF164" s="34">
        <v>6587.5</v>
      </c>
      <c r="AG164" s="34">
        <v>7499.52</v>
      </c>
      <c r="AH164" s="34">
        <v>6956.43</v>
      </c>
      <c r="AI164" s="34">
        <v>10267.43</v>
      </c>
      <c r="AJ164" s="34">
        <v>13639.24</v>
      </c>
      <c r="AK164" s="34">
        <v>17759.060000000001</v>
      </c>
      <c r="AL164" s="34">
        <v>10985.820000000002</v>
      </c>
      <c r="AM164" s="34">
        <v>16485.129999999997</v>
      </c>
      <c r="AN164" s="34">
        <v>17731.84</v>
      </c>
      <c r="AO164" s="34">
        <v>16115.679999999998</v>
      </c>
      <c r="AP164" s="34">
        <v>17623.629999999997</v>
      </c>
      <c r="AQ164" s="34">
        <v>12376.03</v>
      </c>
      <c r="AR164" s="68">
        <f t="shared" si="378"/>
        <v>154027.31</v>
      </c>
      <c r="AT164" s="39">
        <f t="shared" si="449"/>
        <v>5.3184960060778635E-2</v>
      </c>
      <c r="AU164" s="39">
        <f t="shared" si="450"/>
        <v>0.12747269183443072</v>
      </c>
      <c r="AV164" s="39">
        <f t="shared" si="451"/>
        <v>0.19121671432331888</v>
      </c>
      <c r="AW164" s="39">
        <f t="shared" si="452"/>
        <v>0.26212830225683775</v>
      </c>
      <c r="AX164" s="39">
        <f t="shared" si="453"/>
        <v>0.34679841149445267</v>
      </c>
      <c r="AY164" s="39">
        <f t="shared" si="454"/>
        <v>0.40108960267798438</v>
      </c>
      <c r="AZ164" s="39">
        <f t="shared" si="455"/>
        <v>0.47315249063891607</v>
      </c>
      <c r="BA164" s="39">
        <f t="shared" si="456"/>
        <v>0.53837691521177056</v>
      </c>
      <c r="BB164" s="39">
        <f t="shared" si="457"/>
        <v>0.67727160280130483</v>
      </c>
      <c r="BC164" s="39">
        <f t="shared" si="458"/>
        <v>0.75946484142555426</v>
      </c>
      <c r="BD164" s="39">
        <f t="shared" si="459"/>
        <v>0.84004810486494064</v>
      </c>
      <c r="BE164" s="39">
        <f t="shared" si="460"/>
        <v>1</v>
      </c>
      <c r="BG164" s="39">
        <f t="shared" si="414"/>
        <v>9.9853718691511106E-2</v>
      </c>
      <c r="BH164" s="39">
        <f t="shared" si="415"/>
        <v>0.2017576563443626</v>
      </c>
      <c r="BI164" s="39">
        <f t="shared" si="416"/>
        <v>0.27266513466660292</v>
      </c>
      <c r="BJ164" s="39">
        <f t="shared" si="417"/>
        <v>0.35778691395422346</v>
      </c>
      <c r="BK164" s="39">
        <f t="shared" si="418"/>
        <v>0.42142605204886802</v>
      </c>
      <c r="BL164" s="39">
        <f t="shared" si="419"/>
        <v>0.53230858710770768</v>
      </c>
      <c r="BM164" s="39">
        <f t="shared" si="420"/>
        <v>0.61347053064427981</v>
      </c>
      <c r="BN164" s="39">
        <f t="shared" si="421"/>
        <v>0.69238980494383751</v>
      </c>
      <c r="BO164" s="39">
        <f t="shared" si="422"/>
        <v>0.75268190356803144</v>
      </c>
      <c r="BP164" s="39">
        <f t="shared" si="423"/>
        <v>0.84070335688667797</v>
      </c>
      <c r="BQ164" s="39">
        <f t="shared" si="424"/>
        <v>0.91018543364872295</v>
      </c>
      <c r="BR164" s="39">
        <f t="shared" si="425"/>
        <v>1</v>
      </c>
      <c r="BS164" s="61"/>
      <c r="BT164" s="39">
        <f t="shared" si="426"/>
        <v>4.2768389579744007E-2</v>
      </c>
      <c r="BU164" s="39">
        <f t="shared" si="427"/>
        <v>9.145793690742246E-2</v>
      </c>
      <c r="BV164" s="39">
        <f t="shared" si="428"/>
        <v>0.13662155107428678</v>
      </c>
      <c r="BW164" s="39">
        <f t="shared" si="429"/>
        <v>0.20328135315743684</v>
      </c>
      <c r="BX164" s="39">
        <f t="shared" si="430"/>
        <v>0.29183214327381296</v>
      </c>
      <c r="BY164" s="39">
        <f t="shared" si="431"/>
        <v>0.40713026800247315</v>
      </c>
      <c r="BZ164" s="39">
        <f t="shared" si="432"/>
        <v>0.47845411310500724</v>
      </c>
      <c r="CA164" s="39">
        <f t="shared" si="433"/>
        <v>0.58548143183179657</v>
      </c>
      <c r="CB164" s="39">
        <f t="shared" si="434"/>
        <v>0.70060283465315343</v>
      </c>
      <c r="CC164" s="39">
        <f t="shared" si="435"/>
        <v>0.80523155276814218</v>
      </c>
      <c r="CD164" s="39">
        <f t="shared" si="436"/>
        <v>0.9196504178382392</v>
      </c>
      <c r="CE164" s="39">
        <f t="shared" si="437"/>
        <v>1</v>
      </c>
      <c r="CG164" s="39">
        <f t="shared" si="461"/>
        <v>6.5269022777344587E-2</v>
      </c>
      <c r="CH164" s="39">
        <f t="shared" si="438"/>
        <v>0.14022942836207195</v>
      </c>
      <c r="CI164" s="39">
        <f t="shared" si="439"/>
        <v>0.20016780002140286</v>
      </c>
      <c r="CJ164" s="39">
        <f t="shared" si="440"/>
        <v>0.27439885645616607</v>
      </c>
      <c r="CK164" s="39">
        <f t="shared" si="441"/>
        <v>0.35335220227237785</v>
      </c>
      <c r="CL164" s="39">
        <f t="shared" si="442"/>
        <v>0.44684281926272168</v>
      </c>
      <c r="CM164" s="39">
        <f t="shared" si="443"/>
        <v>0.52169237812940106</v>
      </c>
      <c r="CN164" s="39">
        <f t="shared" si="444"/>
        <v>0.60541605066246829</v>
      </c>
      <c r="CO164" s="39">
        <f t="shared" si="445"/>
        <v>0.71018544700749653</v>
      </c>
      <c r="CP164" s="39">
        <f t="shared" si="446"/>
        <v>0.80179991702679143</v>
      </c>
      <c r="CQ164" s="39">
        <f t="shared" si="447"/>
        <v>0.88996131878396767</v>
      </c>
      <c r="CR164" s="39">
        <f t="shared" si="448"/>
        <v>1</v>
      </c>
    </row>
    <row r="165" spans="1:96">
      <c r="A165" s="193" t="s">
        <v>99</v>
      </c>
      <c r="B165" s="34">
        <v>68969.010000000009</v>
      </c>
      <c r="C165" s="34">
        <v>57280.82</v>
      </c>
      <c r="D165" s="34">
        <v>41106.870000000003</v>
      </c>
      <c r="E165" s="34">
        <v>48888.12000000001</v>
      </c>
      <c r="F165" s="34">
        <v>47424.75</v>
      </c>
      <c r="G165" s="34">
        <v>41172.660000000003</v>
      </c>
      <c r="H165" s="34">
        <v>54091.48</v>
      </c>
      <c r="I165" s="34">
        <v>40568.980000000003</v>
      </c>
      <c r="J165" s="34">
        <v>57587.19999999999</v>
      </c>
      <c r="K165" s="34">
        <v>80759.070000000007</v>
      </c>
      <c r="L165" s="34">
        <v>79369.180000000008</v>
      </c>
      <c r="M165" s="34">
        <v>93985.52</v>
      </c>
      <c r="N165" s="68">
        <f t="shared" si="413"/>
        <v>711203.66</v>
      </c>
      <c r="P165" s="85" t="s">
        <v>99</v>
      </c>
      <c r="Q165" s="34">
        <v>61048.35</v>
      </c>
      <c r="R165" s="34">
        <v>65152.86</v>
      </c>
      <c r="S165" s="34">
        <v>56768.959999999999</v>
      </c>
      <c r="T165" s="34">
        <v>51728.460000000006</v>
      </c>
      <c r="U165" s="34">
        <v>49655.109999999993</v>
      </c>
      <c r="V165" s="34">
        <v>50331.100000000006</v>
      </c>
      <c r="W165" s="34">
        <v>54245.83</v>
      </c>
      <c r="X165" s="34">
        <v>41180.490000000005</v>
      </c>
      <c r="Y165" s="34">
        <v>40175.350000000006</v>
      </c>
      <c r="Z165" s="34">
        <v>51199.209999999992</v>
      </c>
      <c r="AA165" s="34">
        <v>48193.42</v>
      </c>
      <c r="AB165" s="34">
        <v>41855.32</v>
      </c>
      <c r="AC165" s="68">
        <f t="shared" si="377"/>
        <v>611534.46</v>
      </c>
      <c r="AE165" s="85" t="s">
        <v>99</v>
      </c>
      <c r="AF165" s="34">
        <v>64377.630000000012</v>
      </c>
      <c r="AG165" s="34">
        <v>25456.569999999996</v>
      </c>
      <c r="AH165" s="34">
        <v>41392.599999999991</v>
      </c>
      <c r="AI165" s="34">
        <v>20439.84</v>
      </c>
      <c r="AJ165" s="34">
        <v>38784.040000000008</v>
      </c>
      <c r="AK165" s="34">
        <v>30262.350000000002</v>
      </c>
      <c r="AL165" s="34">
        <v>26457.410000000003</v>
      </c>
      <c r="AM165" s="34">
        <v>45850.159999999996</v>
      </c>
      <c r="AN165" s="34">
        <v>40570.170000000006</v>
      </c>
      <c r="AO165" s="34">
        <v>49833.919999999998</v>
      </c>
      <c r="AP165" s="34">
        <v>64441.46</v>
      </c>
      <c r="AQ165" s="34">
        <v>50727.070000000007</v>
      </c>
      <c r="AR165" s="68">
        <f t="shared" si="378"/>
        <v>498593.22</v>
      </c>
      <c r="AT165" s="39">
        <f t="shared" si="449"/>
        <v>9.6975049312878966E-2</v>
      </c>
      <c r="AU165" s="39">
        <f t="shared" si="450"/>
        <v>0.17751572032123683</v>
      </c>
      <c r="AV165" s="39">
        <f t="shared" si="451"/>
        <v>0.23531473389774177</v>
      </c>
      <c r="AW165" s="39">
        <f t="shared" si="452"/>
        <v>0.30405470635513882</v>
      </c>
      <c r="AX165" s="39">
        <f t="shared" si="453"/>
        <v>0.37073708253976084</v>
      </c>
      <c r="AY165" s="39">
        <f t="shared" si="454"/>
        <v>0.42862860126450975</v>
      </c>
      <c r="AZ165" s="39">
        <f t="shared" si="455"/>
        <v>0.50468484653186396</v>
      </c>
      <c r="BA165" s="39">
        <f t="shared" si="456"/>
        <v>0.5617275507271714</v>
      </c>
      <c r="BB165" s="39">
        <f t="shared" si="457"/>
        <v>0.64269901254445161</v>
      </c>
      <c r="BC165" s="39">
        <f t="shared" si="458"/>
        <v>0.75625167620762801</v>
      </c>
      <c r="BD165" s="39">
        <f t="shared" si="459"/>
        <v>0.86785006140153997</v>
      </c>
      <c r="BE165" s="39">
        <f t="shared" si="460"/>
        <v>1</v>
      </c>
      <c r="BG165" s="39">
        <f t="shared" si="414"/>
        <v>9.9828143781137052E-2</v>
      </c>
      <c r="BH165" s="39">
        <f t="shared" si="415"/>
        <v>0.20636810883887066</v>
      </c>
      <c r="BI165" s="39">
        <f t="shared" si="416"/>
        <v>0.29919846217660406</v>
      </c>
      <c r="BJ165" s="39">
        <f t="shared" si="417"/>
        <v>0.38378643453714778</v>
      </c>
      <c r="BK165" s="39">
        <f t="shared" si="418"/>
        <v>0.46498400106512394</v>
      </c>
      <c r="BL165" s="39">
        <f t="shared" si="419"/>
        <v>0.5472869672789985</v>
      </c>
      <c r="BM165" s="39">
        <f t="shared" si="420"/>
        <v>0.6359914206633589</v>
      </c>
      <c r="BN165" s="39">
        <f t="shared" si="421"/>
        <v>0.70333102733082287</v>
      </c>
      <c r="BO165" s="39">
        <f t="shared" si="422"/>
        <v>0.76902699808609321</v>
      </c>
      <c r="BP165" s="39">
        <f t="shared" si="423"/>
        <v>0.85274952453210895</v>
      </c>
      <c r="BQ165" s="39">
        <f t="shared" si="424"/>
        <v>0.93155689051439561</v>
      </c>
      <c r="BR165" s="39">
        <f t="shared" si="425"/>
        <v>1</v>
      </c>
      <c r="BS165" s="61"/>
      <c r="BT165" s="39">
        <f t="shared" si="426"/>
        <v>0.12911854276718809</v>
      </c>
      <c r="BU165" s="39">
        <f t="shared" si="427"/>
        <v>0.18017533411304715</v>
      </c>
      <c r="BV165" s="39">
        <f t="shared" si="428"/>
        <v>0.26319411242696</v>
      </c>
      <c r="BW165" s="39">
        <f t="shared" si="429"/>
        <v>0.30418913438092882</v>
      </c>
      <c r="BX165" s="39">
        <f t="shared" si="430"/>
        <v>0.38197607259882116</v>
      </c>
      <c r="BY165" s="39">
        <f t="shared" si="431"/>
        <v>0.44267154294637223</v>
      </c>
      <c r="BZ165" s="39">
        <f t="shared" si="432"/>
        <v>0.49573566202925906</v>
      </c>
      <c r="CA165" s="39">
        <f t="shared" si="433"/>
        <v>0.58769471434047982</v>
      </c>
      <c r="CB165" s="39">
        <f t="shared" si="434"/>
        <v>0.66906399168444364</v>
      </c>
      <c r="CC165" s="39">
        <f t="shared" si="435"/>
        <v>0.76901304434103612</v>
      </c>
      <c r="CD165" s="39">
        <f t="shared" si="436"/>
        <v>0.89825960730071697</v>
      </c>
      <c r="CE165" s="39">
        <f t="shared" si="437"/>
        <v>1</v>
      </c>
      <c r="CG165" s="39">
        <f t="shared" si="461"/>
        <v>0.10864057862040137</v>
      </c>
      <c r="CH165" s="39">
        <f t="shared" si="438"/>
        <v>0.18801972109105156</v>
      </c>
      <c r="CI165" s="39">
        <f t="shared" si="439"/>
        <v>0.26590243616710196</v>
      </c>
      <c r="CJ165" s="39">
        <f t="shared" si="440"/>
        <v>0.33067675842440519</v>
      </c>
      <c r="CK165" s="39">
        <f t="shared" si="441"/>
        <v>0.40589905206790194</v>
      </c>
      <c r="CL165" s="39">
        <f t="shared" si="442"/>
        <v>0.47286237049662683</v>
      </c>
      <c r="CM165" s="39">
        <f t="shared" si="443"/>
        <v>0.54547064307482729</v>
      </c>
      <c r="CN165" s="39">
        <f t="shared" si="444"/>
        <v>0.61758443079949132</v>
      </c>
      <c r="CO165" s="39">
        <f t="shared" si="445"/>
        <v>0.69359666743832948</v>
      </c>
      <c r="CP165" s="39">
        <f t="shared" si="446"/>
        <v>0.79267141502692429</v>
      </c>
      <c r="CQ165" s="39">
        <f t="shared" si="447"/>
        <v>0.89922218640555085</v>
      </c>
      <c r="CR165" s="39">
        <f t="shared" si="448"/>
        <v>1</v>
      </c>
    </row>
    <row r="166" spans="1:96">
      <c r="A166" s="193" t="s">
        <v>100</v>
      </c>
      <c r="B166" s="34">
        <v>9116.1</v>
      </c>
      <c r="C166" s="34">
        <v>11703.86</v>
      </c>
      <c r="D166" s="34">
        <v>8483.33</v>
      </c>
      <c r="E166" s="34">
        <v>10027.869999999999</v>
      </c>
      <c r="F166" s="34">
        <v>7450.62</v>
      </c>
      <c r="G166" s="34">
        <v>8579.81</v>
      </c>
      <c r="H166" s="34">
        <v>9648.0800000000017</v>
      </c>
      <c r="I166" s="34">
        <v>8492.3700000000008</v>
      </c>
      <c r="J166" s="34">
        <v>8274.8300000000017</v>
      </c>
      <c r="K166" s="34">
        <v>12971.25</v>
      </c>
      <c r="L166" s="34">
        <v>12470.400000000001</v>
      </c>
      <c r="M166" s="34">
        <v>16857.670000000002</v>
      </c>
      <c r="N166" s="68">
        <f t="shared" si="413"/>
        <v>124076.19000000002</v>
      </c>
      <c r="P166" s="85" t="s">
        <v>100</v>
      </c>
      <c r="Q166" s="34">
        <v>13904.65</v>
      </c>
      <c r="R166" s="34">
        <v>9218.08</v>
      </c>
      <c r="S166" s="34">
        <v>8673.73</v>
      </c>
      <c r="T166" s="34">
        <v>8249.02</v>
      </c>
      <c r="U166" s="34">
        <v>6809.71</v>
      </c>
      <c r="V166" s="34">
        <v>5969.44</v>
      </c>
      <c r="W166" s="34">
        <v>7576.0600000000013</v>
      </c>
      <c r="X166" s="34">
        <v>8202.0999999999985</v>
      </c>
      <c r="Y166" s="34">
        <v>8966.8700000000008</v>
      </c>
      <c r="Z166" s="34">
        <v>8335.57</v>
      </c>
      <c r="AA166" s="34">
        <v>10814.839999999998</v>
      </c>
      <c r="AB166" s="34">
        <v>9536.4200000000019</v>
      </c>
      <c r="AC166" s="68">
        <f t="shared" si="377"/>
        <v>106256.49</v>
      </c>
      <c r="AE166" s="85" t="s">
        <v>100</v>
      </c>
      <c r="AF166" s="34">
        <v>7891.7</v>
      </c>
      <c r="AG166" s="34">
        <v>9291.02</v>
      </c>
      <c r="AH166" s="34">
        <v>7431.77</v>
      </c>
      <c r="AI166" s="34">
        <v>3975.7400000000002</v>
      </c>
      <c r="AJ166" s="34">
        <v>8816.2900000000009</v>
      </c>
      <c r="AK166" s="34">
        <v>8504.51</v>
      </c>
      <c r="AL166" s="34">
        <v>7398.83</v>
      </c>
      <c r="AM166" s="34">
        <v>7997.8399999999992</v>
      </c>
      <c r="AN166" s="34">
        <v>10469.41</v>
      </c>
      <c r="AO166" s="34">
        <v>9656.26</v>
      </c>
      <c r="AP166" s="34">
        <v>13334.830000000002</v>
      </c>
      <c r="AQ166" s="34">
        <v>7214.2100000000009</v>
      </c>
      <c r="AR166" s="68">
        <f t="shared" si="378"/>
        <v>101982.41</v>
      </c>
      <c r="AT166" s="39">
        <f t="shared" si="449"/>
        <v>7.34717918079206E-2</v>
      </c>
      <c r="AU166" s="39">
        <f t="shared" si="450"/>
        <v>0.16779980107384015</v>
      </c>
      <c r="AV166" s="39">
        <f t="shared" si="451"/>
        <v>0.23617174253980555</v>
      </c>
      <c r="AW166" s="39">
        <f t="shared" si="452"/>
        <v>0.31699200305876574</v>
      </c>
      <c r="AX166" s="39">
        <f t="shared" si="453"/>
        <v>0.37704075213785981</v>
      </c>
      <c r="AY166" s="39">
        <f t="shared" si="454"/>
        <v>0.44619028034306984</v>
      </c>
      <c r="AZ166" s="39">
        <f t="shared" si="455"/>
        <v>0.52394959903265881</v>
      </c>
      <c r="BA166" s="39">
        <f t="shared" si="456"/>
        <v>0.59239439895760826</v>
      </c>
      <c r="BB166" s="39">
        <f t="shared" si="457"/>
        <v>0.65908592131979549</v>
      </c>
      <c r="BC166" s="39">
        <f t="shared" si="458"/>
        <v>0.76362854146311232</v>
      </c>
      <c r="BD166" s="39">
        <f t="shared" si="459"/>
        <v>0.86413452895354059</v>
      </c>
      <c r="BE166" s="39">
        <f t="shared" si="460"/>
        <v>1</v>
      </c>
      <c r="BG166" s="39">
        <f t="shared" si="414"/>
        <v>0.1308593009236424</v>
      </c>
      <c r="BH166" s="39">
        <f t="shared" si="415"/>
        <v>0.21761240184011346</v>
      </c>
      <c r="BI166" s="39">
        <f t="shared" si="416"/>
        <v>0.29924252156268288</v>
      </c>
      <c r="BJ166" s="39">
        <f t="shared" si="417"/>
        <v>0.3768756148447967</v>
      </c>
      <c r="BK166" s="39">
        <f t="shared" si="418"/>
        <v>0.44096308846640797</v>
      </c>
      <c r="BL166" s="39">
        <f t="shared" si="419"/>
        <v>0.49714262159421974</v>
      </c>
      <c r="BM166" s="39">
        <f t="shared" si="420"/>
        <v>0.56844236055604702</v>
      </c>
      <c r="BN166" s="39">
        <f t="shared" si="421"/>
        <v>0.64563388081048045</v>
      </c>
      <c r="BO166" s="39">
        <f t="shared" si="422"/>
        <v>0.73002279672516945</v>
      </c>
      <c r="BP166" s="39">
        <f t="shared" si="423"/>
        <v>0.80847042848865047</v>
      </c>
      <c r="BQ166" s="39">
        <f t="shared" si="424"/>
        <v>0.91025094090723313</v>
      </c>
      <c r="BR166" s="39">
        <f t="shared" si="425"/>
        <v>1</v>
      </c>
      <c r="BS166" s="61"/>
      <c r="BT166" s="39">
        <f t="shared" si="426"/>
        <v>7.738295260918035E-2</v>
      </c>
      <c r="BU166" s="39">
        <f t="shared" si="427"/>
        <v>0.16848709498039907</v>
      </c>
      <c r="BV166" s="39">
        <f t="shared" si="428"/>
        <v>0.24136015220664034</v>
      </c>
      <c r="BW166" s="39">
        <f t="shared" si="429"/>
        <v>0.28034471827053314</v>
      </c>
      <c r="BX166" s="39">
        <f t="shared" si="430"/>
        <v>0.36679384219298211</v>
      </c>
      <c r="BY166" s="39">
        <f t="shared" si="431"/>
        <v>0.45018577223268214</v>
      </c>
      <c r="BZ166" s="39">
        <f t="shared" si="432"/>
        <v>0.52273583258132461</v>
      </c>
      <c r="CA166" s="39">
        <f t="shared" si="433"/>
        <v>0.60115955290721212</v>
      </c>
      <c r="CB166" s="39">
        <f t="shared" si="434"/>
        <v>0.70381853105844427</v>
      </c>
      <c r="CC166" s="39">
        <f t="shared" si="435"/>
        <v>0.79850407535966239</v>
      </c>
      <c r="CD166" s="39">
        <f t="shared" si="436"/>
        <v>0.92926025184146943</v>
      </c>
      <c r="CE166" s="39">
        <f t="shared" si="437"/>
        <v>1</v>
      </c>
      <c r="CG166" s="39">
        <f t="shared" si="461"/>
        <v>9.3904681780247787E-2</v>
      </c>
      <c r="CH166" s="39">
        <f t="shared" si="438"/>
        <v>0.18463309929811755</v>
      </c>
      <c r="CI166" s="39">
        <f t="shared" si="439"/>
        <v>0.25892480543637625</v>
      </c>
      <c r="CJ166" s="39">
        <f t="shared" si="440"/>
        <v>0.32473744539136518</v>
      </c>
      <c r="CK166" s="39">
        <f t="shared" si="441"/>
        <v>0.39493256093241663</v>
      </c>
      <c r="CL166" s="39">
        <f t="shared" si="442"/>
        <v>0.46450622472332387</v>
      </c>
      <c r="CM166" s="39">
        <f t="shared" si="443"/>
        <v>0.53837593072334355</v>
      </c>
      <c r="CN166" s="39">
        <f t="shared" si="444"/>
        <v>0.61306261089176683</v>
      </c>
      <c r="CO166" s="39">
        <f t="shared" si="445"/>
        <v>0.69764241636780311</v>
      </c>
      <c r="CP166" s="39">
        <f t="shared" si="446"/>
        <v>0.79020101510380847</v>
      </c>
      <c r="CQ166" s="39">
        <f t="shared" si="447"/>
        <v>0.90121524056741442</v>
      </c>
      <c r="CR166" s="39">
        <f t="shared" si="448"/>
        <v>1</v>
      </c>
    </row>
    <row r="167" spans="1:96">
      <c r="A167" s="193" t="s">
        <v>101</v>
      </c>
      <c r="B167" s="34">
        <v>9901.369999999999</v>
      </c>
      <c r="C167" s="34">
        <v>7758.3099999999995</v>
      </c>
      <c r="D167" s="34">
        <v>8532.2000000000007</v>
      </c>
      <c r="E167" s="34">
        <v>4753.21</v>
      </c>
      <c r="F167" s="34">
        <v>8670.0499999999993</v>
      </c>
      <c r="G167" s="34">
        <v>5448.63</v>
      </c>
      <c r="H167" s="34">
        <v>7445.79</v>
      </c>
      <c r="I167" s="34">
        <v>7648.1799999999994</v>
      </c>
      <c r="J167" s="34">
        <v>7561.2000000000007</v>
      </c>
      <c r="K167" s="34">
        <v>10192.259999999998</v>
      </c>
      <c r="L167" s="34">
        <v>12759.719999999998</v>
      </c>
      <c r="M167" s="34">
        <v>10698.02</v>
      </c>
      <c r="N167" s="68">
        <f t="shared" si="413"/>
        <v>101368.94</v>
      </c>
      <c r="P167" s="85" t="s">
        <v>101</v>
      </c>
      <c r="Q167" s="34">
        <v>7977.3799999999992</v>
      </c>
      <c r="R167" s="34">
        <v>7666.7120000000004</v>
      </c>
      <c r="S167" s="34">
        <v>11209.56</v>
      </c>
      <c r="T167" s="34">
        <v>6990.29</v>
      </c>
      <c r="U167" s="34">
        <v>7857.1</v>
      </c>
      <c r="V167" s="34">
        <v>8319.6299999999992</v>
      </c>
      <c r="W167" s="34">
        <v>8343.9700000000012</v>
      </c>
      <c r="X167" s="34">
        <v>9412.1200000000008</v>
      </c>
      <c r="Y167" s="34">
        <v>5170.6799999999994</v>
      </c>
      <c r="Z167" s="34">
        <v>9251.52</v>
      </c>
      <c r="AA167" s="34">
        <v>6689.69</v>
      </c>
      <c r="AB167" s="34">
        <v>9020.869999999999</v>
      </c>
      <c r="AC167" s="68">
        <f t="shared" si="377"/>
        <v>97909.521999999997</v>
      </c>
      <c r="AE167" s="85" t="s">
        <v>101</v>
      </c>
      <c r="AF167" s="34">
        <v>7270.71</v>
      </c>
      <c r="AG167" s="34">
        <v>5385.22</v>
      </c>
      <c r="AH167" s="34">
        <v>5535.51</v>
      </c>
      <c r="AI167" s="34">
        <v>11892.86</v>
      </c>
      <c r="AJ167" s="34">
        <v>4835.01</v>
      </c>
      <c r="AK167" s="34">
        <v>9823.25</v>
      </c>
      <c r="AL167" s="34">
        <v>5338.86</v>
      </c>
      <c r="AM167" s="34">
        <v>7599.54</v>
      </c>
      <c r="AN167" s="34">
        <v>9041.2000000000007</v>
      </c>
      <c r="AO167" s="34">
        <v>7837.25</v>
      </c>
      <c r="AP167" s="34">
        <v>9946.2800000000007</v>
      </c>
      <c r="AQ167" s="34">
        <v>8167.62</v>
      </c>
      <c r="AR167" s="68">
        <f t="shared" si="378"/>
        <v>92673.31</v>
      </c>
      <c r="AT167" s="39">
        <f t="shared" si="449"/>
        <v>9.7676566411762797E-2</v>
      </c>
      <c r="AU167" s="39">
        <f t="shared" si="450"/>
        <v>0.17421194302712448</v>
      </c>
      <c r="AV167" s="39">
        <f t="shared" si="451"/>
        <v>0.25838170942697042</v>
      </c>
      <c r="AW167" s="39">
        <f t="shared" si="452"/>
        <v>0.30527191070558696</v>
      </c>
      <c r="AX167" s="39">
        <f t="shared" si="453"/>
        <v>0.39080156110934966</v>
      </c>
      <c r="AY167" s="39">
        <f t="shared" si="454"/>
        <v>0.44455204917798286</v>
      </c>
      <c r="AZ167" s="39">
        <f t="shared" si="455"/>
        <v>0.51800443015385178</v>
      </c>
      <c r="BA167" s="39">
        <f t="shared" si="456"/>
        <v>0.59345337930928344</v>
      </c>
      <c r="BB167" s="39">
        <f t="shared" si="457"/>
        <v>0.66804427470584182</v>
      </c>
      <c r="BC167" s="39">
        <f t="shared" si="458"/>
        <v>0.76859045778716828</v>
      </c>
      <c r="BD167" s="39">
        <f t="shared" si="459"/>
        <v>0.89446451743502498</v>
      </c>
      <c r="BE167" s="39">
        <f t="shared" si="460"/>
        <v>1</v>
      </c>
      <c r="BG167" s="39">
        <f t="shared" si="414"/>
        <v>8.1477060014653116E-2</v>
      </c>
      <c r="BH167" s="39">
        <f t="shared" si="415"/>
        <v>0.15978110893034492</v>
      </c>
      <c r="BI167" s="39">
        <f t="shared" si="416"/>
        <v>0.27427007559080924</v>
      </c>
      <c r="BJ167" s="39">
        <f t="shared" si="417"/>
        <v>0.34566548083035276</v>
      </c>
      <c r="BK167" s="39">
        <f t="shared" si="418"/>
        <v>0.42591405971729696</v>
      </c>
      <c r="BL167" s="39">
        <f t="shared" si="419"/>
        <v>0.51088669394178021</v>
      </c>
      <c r="BM167" s="39">
        <f t="shared" si="420"/>
        <v>0.59610792502898746</v>
      </c>
      <c r="BN167" s="39">
        <f t="shared" si="421"/>
        <v>0.6922387181095625</v>
      </c>
      <c r="BO167" s="39">
        <f t="shared" si="422"/>
        <v>0.74504951622580695</v>
      </c>
      <c r="BP167" s="39">
        <f t="shared" si="423"/>
        <v>0.83954001940689693</v>
      </c>
      <c r="BQ167" s="39">
        <f t="shared" si="424"/>
        <v>0.90786524317828865</v>
      </c>
      <c r="BR167" s="39">
        <f t="shared" si="425"/>
        <v>1</v>
      </c>
      <c r="BS167" s="61"/>
      <c r="BT167" s="39">
        <f t="shared" si="426"/>
        <v>7.8455274771128819E-2</v>
      </c>
      <c r="BU167" s="39">
        <f t="shared" si="427"/>
        <v>0.1365649937398373</v>
      </c>
      <c r="BV167" s="39">
        <f t="shared" si="428"/>
        <v>0.19629643097888705</v>
      </c>
      <c r="BW167" s="39">
        <f t="shared" si="429"/>
        <v>0.32462744667261806</v>
      </c>
      <c r="BX167" s="39">
        <f t="shared" si="430"/>
        <v>0.37680007328970988</v>
      </c>
      <c r="BY167" s="39">
        <f t="shared" si="431"/>
        <v>0.48279876913860104</v>
      </c>
      <c r="BZ167" s="39">
        <f t="shared" si="432"/>
        <v>0.54040823620090839</v>
      </c>
      <c r="CA167" s="39">
        <f t="shared" si="433"/>
        <v>0.62241178177406209</v>
      </c>
      <c r="CB167" s="39">
        <f t="shared" si="434"/>
        <v>0.71997169411559814</v>
      </c>
      <c r="CC167" s="39">
        <f t="shared" si="435"/>
        <v>0.80454027162728947</v>
      </c>
      <c r="CD167" s="39">
        <f t="shared" si="436"/>
        <v>0.91186653417256813</v>
      </c>
      <c r="CE167" s="39">
        <f t="shared" si="437"/>
        <v>1</v>
      </c>
      <c r="CG167" s="39">
        <f t="shared" si="461"/>
        <v>8.5869633732514924E-2</v>
      </c>
      <c r="CH167" s="39">
        <f t="shared" si="438"/>
        <v>0.15685268189910226</v>
      </c>
      <c r="CI167" s="39">
        <f t="shared" si="439"/>
        <v>0.24298273866555556</v>
      </c>
      <c r="CJ167" s="39">
        <f t="shared" si="440"/>
        <v>0.32518827940285261</v>
      </c>
      <c r="CK167" s="39">
        <f t="shared" si="441"/>
        <v>0.39783856470545215</v>
      </c>
      <c r="CL167" s="39">
        <f t="shared" si="442"/>
        <v>0.4794125040861214</v>
      </c>
      <c r="CM167" s="39">
        <f t="shared" si="443"/>
        <v>0.55150686379458247</v>
      </c>
      <c r="CN167" s="39">
        <f t="shared" si="444"/>
        <v>0.63603462639763597</v>
      </c>
      <c r="CO167" s="39">
        <f t="shared" si="445"/>
        <v>0.71102182834908234</v>
      </c>
      <c r="CP167" s="39">
        <f t="shared" si="446"/>
        <v>0.80422358294045149</v>
      </c>
      <c r="CQ167" s="39">
        <f t="shared" si="447"/>
        <v>0.90473209826196055</v>
      </c>
      <c r="CR167" s="39">
        <f t="shared" si="448"/>
        <v>1</v>
      </c>
    </row>
    <row r="168" spans="1:96">
      <c r="A168" s="193" t="s">
        <v>102</v>
      </c>
      <c r="B168" s="34">
        <v>38439.800000000003</v>
      </c>
      <c r="C168" s="34">
        <v>34366.92</v>
      </c>
      <c r="D168" s="34">
        <v>25592.71</v>
      </c>
      <c r="E168" s="34">
        <v>31952.52</v>
      </c>
      <c r="F168" s="34">
        <v>31814.99</v>
      </c>
      <c r="G168" s="34">
        <v>26550.16</v>
      </c>
      <c r="H168" s="34">
        <v>37211.689999999995</v>
      </c>
      <c r="I168" s="34">
        <v>34567.4</v>
      </c>
      <c r="J168" s="34">
        <v>33453.06</v>
      </c>
      <c r="K168" s="34">
        <v>61076.770000000004</v>
      </c>
      <c r="L168" s="34">
        <v>68983.42</v>
      </c>
      <c r="M168" s="34">
        <v>110944.04999999999</v>
      </c>
      <c r="N168" s="68">
        <f t="shared" si="413"/>
        <v>534953.49</v>
      </c>
      <c r="P168" s="85" t="s">
        <v>102</v>
      </c>
      <c r="Q168" s="34">
        <v>46879.17</v>
      </c>
      <c r="R168" s="34">
        <v>40835.32</v>
      </c>
      <c r="S168" s="34">
        <v>34842.959999999999</v>
      </c>
      <c r="T168" s="34">
        <v>40003.839999999997</v>
      </c>
      <c r="U168" s="34">
        <v>25849.63</v>
      </c>
      <c r="V168" s="34">
        <v>33926.729999999996</v>
      </c>
      <c r="W168" s="34">
        <v>37992.89</v>
      </c>
      <c r="X168" s="34">
        <v>34568.170000000006</v>
      </c>
      <c r="Y168" s="34">
        <v>34319.46</v>
      </c>
      <c r="Z168" s="34">
        <v>37316.01</v>
      </c>
      <c r="AA168" s="34">
        <v>29139.47</v>
      </c>
      <c r="AB168" s="34">
        <v>34053.230000000003</v>
      </c>
      <c r="AC168" s="68">
        <f t="shared" si="377"/>
        <v>429726.88</v>
      </c>
      <c r="AE168" s="85" t="s">
        <v>102</v>
      </c>
      <c r="AF168" s="34">
        <v>27184.959999999995</v>
      </c>
      <c r="AG168" s="34">
        <v>28701.540000000005</v>
      </c>
      <c r="AH168" s="34">
        <v>24747.569999999996</v>
      </c>
      <c r="AI168" s="34">
        <v>24317.56</v>
      </c>
      <c r="AJ168" s="34">
        <v>22262.480000000003</v>
      </c>
      <c r="AK168" s="34">
        <v>24912.73</v>
      </c>
      <c r="AL168" s="34">
        <v>24320.760000000002</v>
      </c>
      <c r="AM168" s="34">
        <v>34808.200000000004</v>
      </c>
      <c r="AN168" s="34">
        <v>23908.649999999998</v>
      </c>
      <c r="AO168" s="34">
        <v>42116.17</v>
      </c>
      <c r="AP168" s="34">
        <v>49050.7</v>
      </c>
      <c r="AQ168" s="34">
        <v>54241.210000000006</v>
      </c>
      <c r="AR168" s="68">
        <f t="shared" si="378"/>
        <v>380572.53</v>
      </c>
      <c r="AT168" s="39">
        <f t="shared" si="449"/>
        <v>7.1856340258664358E-2</v>
      </c>
      <c r="AU168" s="39">
        <f t="shared" si="450"/>
        <v>0.13609915882593832</v>
      </c>
      <c r="AV168" s="39">
        <f t="shared" si="451"/>
        <v>0.18394015898466237</v>
      </c>
      <c r="AW168" s="39">
        <f t="shared" si="452"/>
        <v>0.24366968799474512</v>
      </c>
      <c r="AX168" s="39">
        <f t="shared" si="453"/>
        <v>0.30314212923444989</v>
      </c>
      <c r="AY168" s="39">
        <f t="shared" si="454"/>
        <v>0.35277291115532305</v>
      </c>
      <c r="AZ168" s="39">
        <f t="shared" si="455"/>
        <v>0.42233351912518602</v>
      </c>
      <c r="BA168" s="39">
        <f t="shared" si="456"/>
        <v>0.48695109924416047</v>
      </c>
      <c r="BB168" s="39">
        <f t="shared" si="457"/>
        <v>0.54948561976855226</v>
      </c>
      <c r="BC168" s="39">
        <f t="shared" si="458"/>
        <v>0.66365773218901702</v>
      </c>
      <c r="BD168" s="39">
        <f t="shared" si="459"/>
        <v>0.79260991455537566</v>
      </c>
      <c r="BE168" s="39">
        <f t="shared" si="460"/>
        <v>1</v>
      </c>
      <c r="BG168" s="39">
        <f t="shared" si="414"/>
        <v>0.10909061588141751</v>
      </c>
      <c r="BH168" s="39">
        <f t="shared" si="415"/>
        <v>0.20411683346408302</v>
      </c>
      <c r="BI168" s="39">
        <f t="shared" si="416"/>
        <v>0.28519847303943374</v>
      </c>
      <c r="BJ168" s="39">
        <f t="shared" si="417"/>
        <v>0.37828978722485307</v>
      </c>
      <c r="BK168" s="39">
        <f t="shared" si="418"/>
        <v>0.43844341317443297</v>
      </c>
      <c r="BL168" s="39">
        <f t="shared" si="419"/>
        <v>0.51739293106356288</v>
      </c>
      <c r="BM168" s="39">
        <f t="shared" si="420"/>
        <v>0.60580464503407372</v>
      </c>
      <c r="BN168" s="39">
        <f t="shared" si="421"/>
        <v>0.68624683194125524</v>
      </c>
      <c r="BO168" s="39">
        <f t="shared" si="422"/>
        <v>0.76611025589090442</v>
      </c>
      <c r="BP168" s="39">
        <f t="shared" si="423"/>
        <v>0.85294682985621006</v>
      </c>
      <c r="BQ168" s="39">
        <f t="shared" si="424"/>
        <v>0.92075610908956873</v>
      </c>
      <c r="BR168" s="39">
        <f t="shared" si="425"/>
        <v>1</v>
      </c>
      <c r="BS168" s="61"/>
      <c r="BT168" s="39">
        <f t="shared" si="426"/>
        <v>7.1431745218184808E-2</v>
      </c>
      <c r="BU168" s="39">
        <f t="shared" si="427"/>
        <v>0.14684848641072437</v>
      </c>
      <c r="BV168" s="39">
        <f t="shared" si="428"/>
        <v>0.21187569686125265</v>
      </c>
      <c r="BW168" s="39">
        <f t="shared" si="429"/>
        <v>0.27577300442572661</v>
      </c>
      <c r="BX168" s="39">
        <f t="shared" si="430"/>
        <v>0.3342703426335053</v>
      </c>
      <c r="BY168" s="39">
        <f t="shared" si="431"/>
        <v>0.39973153080701851</v>
      </c>
      <c r="BZ168" s="39">
        <f t="shared" si="432"/>
        <v>0.46363724675556589</v>
      </c>
      <c r="CA168" s="39">
        <f t="shared" si="433"/>
        <v>0.55509997003724887</v>
      </c>
      <c r="CB168" s="39">
        <f t="shared" si="434"/>
        <v>0.61792281749815203</v>
      </c>
      <c r="CC168" s="39">
        <f t="shared" si="435"/>
        <v>0.7285881090787083</v>
      </c>
      <c r="CD168" s="39">
        <f t="shared" si="436"/>
        <v>0.85747471053677993</v>
      </c>
      <c r="CE168" s="39">
        <f t="shared" si="437"/>
        <v>1</v>
      </c>
      <c r="CG168" s="39">
        <f t="shared" si="461"/>
        <v>8.4126233786088897E-2</v>
      </c>
      <c r="CH168" s="39">
        <f t="shared" si="438"/>
        <v>0.16235482623358188</v>
      </c>
      <c r="CI168" s="39">
        <f t="shared" si="439"/>
        <v>0.22700477629511626</v>
      </c>
      <c r="CJ168" s="39">
        <f t="shared" si="440"/>
        <v>0.29924415988177494</v>
      </c>
      <c r="CK168" s="39">
        <f t="shared" si="441"/>
        <v>0.35861862834746266</v>
      </c>
      <c r="CL168" s="39">
        <f t="shared" si="442"/>
        <v>0.42329912434196815</v>
      </c>
      <c r="CM168" s="39">
        <f t="shared" si="443"/>
        <v>0.49725847030494186</v>
      </c>
      <c r="CN168" s="39">
        <f t="shared" si="444"/>
        <v>0.57609930040755486</v>
      </c>
      <c r="CO168" s="39">
        <f t="shared" si="445"/>
        <v>0.64450623105253613</v>
      </c>
      <c r="CP168" s="39">
        <f t="shared" si="446"/>
        <v>0.74839755704131183</v>
      </c>
      <c r="CQ168" s="39">
        <f t="shared" si="447"/>
        <v>0.85694691139390811</v>
      </c>
      <c r="CR168" s="39">
        <f t="shared" si="448"/>
        <v>1</v>
      </c>
    </row>
    <row r="169" spans="1:96">
      <c r="A169" s="193" t="s">
        <v>103</v>
      </c>
      <c r="B169" s="34">
        <v>18655.839999999997</v>
      </c>
      <c r="C169" s="34">
        <v>23815.289999999997</v>
      </c>
      <c r="D169" s="34">
        <v>16274.81</v>
      </c>
      <c r="E169" s="34">
        <v>18605.97</v>
      </c>
      <c r="F169" s="34">
        <v>23805.47</v>
      </c>
      <c r="G169" s="34">
        <v>15314.17</v>
      </c>
      <c r="H169" s="34">
        <v>38440.279999999992</v>
      </c>
      <c r="I169" s="34">
        <v>21140.31</v>
      </c>
      <c r="J169" s="34">
        <v>17436.909999999996</v>
      </c>
      <c r="K169" s="34">
        <v>19357.47</v>
      </c>
      <c r="L169" s="34">
        <v>17945.739999999998</v>
      </c>
      <c r="M169" s="34">
        <v>18134.490000000002</v>
      </c>
      <c r="N169" s="68">
        <f t="shared" si="413"/>
        <v>248926.74999999997</v>
      </c>
      <c r="P169" s="85" t="s">
        <v>103</v>
      </c>
      <c r="Q169" s="34">
        <v>18575.27</v>
      </c>
      <c r="R169" s="34">
        <v>13309.269999999999</v>
      </c>
      <c r="S169" s="34">
        <v>12036.71</v>
      </c>
      <c r="T169" s="34">
        <v>11677.08</v>
      </c>
      <c r="U169" s="34">
        <v>10209.68</v>
      </c>
      <c r="V169" s="34">
        <v>8438.85</v>
      </c>
      <c r="W169" s="34">
        <v>11485.87</v>
      </c>
      <c r="X169" s="34">
        <v>16817.23</v>
      </c>
      <c r="Y169" s="34">
        <v>11520.269999999999</v>
      </c>
      <c r="Z169" s="34">
        <v>10417.699999999999</v>
      </c>
      <c r="AA169" s="34">
        <v>11162.09</v>
      </c>
      <c r="AB169" s="34">
        <v>17137.68</v>
      </c>
      <c r="AC169" s="68">
        <f t="shared" si="377"/>
        <v>152787.70000000001</v>
      </c>
      <c r="AE169" s="85" t="s">
        <v>103</v>
      </c>
      <c r="AF169" s="34">
        <v>13824.720000000001</v>
      </c>
      <c r="AG169" s="34">
        <v>12727.43</v>
      </c>
      <c r="AH169" s="34">
        <v>14779.71</v>
      </c>
      <c r="AI169" s="34">
        <v>11605.710000000001</v>
      </c>
      <c r="AJ169" s="34">
        <v>14323.03</v>
      </c>
      <c r="AK169" s="34">
        <v>12990.5</v>
      </c>
      <c r="AL169" s="34">
        <v>11541.789999999999</v>
      </c>
      <c r="AM169" s="34">
        <v>13867.79</v>
      </c>
      <c r="AN169" s="34">
        <v>9140.69</v>
      </c>
      <c r="AO169" s="34">
        <v>10328.540000000001</v>
      </c>
      <c r="AP169" s="34">
        <v>13901.570000000002</v>
      </c>
      <c r="AQ169" s="34">
        <v>11877.23</v>
      </c>
      <c r="AR169" s="68">
        <f t="shared" si="378"/>
        <v>150908.71000000002</v>
      </c>
      <c r="AT169" s="39">
        <f t="shared" si="449"/>
        <v>7.4945099311343591E-2</v>
      </c>
      <c r="AU169" s="39">
        <f t="shared" si="450"/>
        <v>0.17061697868951406</v>
      </c>
      <c r="AV169" s="39">
        <f t="shared" si="451"/>
        <v>0.23599689466881318</v>
      </c>
      <c r="AW169" s="39">
        <f t="shared" si="452"/>
        <v>0.31074165392027975</v>
      </c>
      <c r="AX169" s="39">
        <f t="shared" si="453"/>
        <v>0.40637408394236457</v>
      </c>
      <c r="AY169" s="39">
        <f t="shared" si="454"/>
        <v>0.46789487268845154</v>
      </c>
      <c r="AZ169" s="39">
        <f t="shared" si="455"/>
        <v>0.62231893518876535</v>
      </c>
      <c r="BA169" s="39">
        <f t="shared" si="456"/>
        <v>0.70724476176224538</v>
      </c>
      <c r="BB169" s="39">
        <f t="shared" si="457"/>
        <v>0.77729311936141865</v>
      </c>
      <c r="BC169" s="39">
        <f t="shared" si="458"/>
        <v>0.8550568390098694</v>
      </c>
      <c r="BD169" s="39">
        <f t="shared" si="459"/>
        <v>0.92714929191017037</v>
      </c>
      <c r="BE169" s="39">
        <f t="shared" si="460"/>
        <v>1</v>
      </c>
      <c r="BG169" s="39">
        <f t="shared" si="414"/>
        <v>0.12157568966611841</v>
      </c>
      <c r="BH169" s="39">
        <f t="shared" si="415"/>
        <v>0.2086852541140419</v>
      </c>
      <c r="BI169" s="39">
        <f t="shared" si="416"/>
        <v>0.28746587585257188</v>
      </c>
      <c r="BJ169" s="39">
        <f t="shared" si="417"/>
        <v>0.36389270864081336</v>
      </c>
      <c r="BK169" s="39">
        <f t="shared" si="418"/>
        <v>0.4307153651766471</v>
      </c>
      <c r="BL169" s="39">
        <f t="shared" si="419"/>
        <v>0.48594788716630993</v>
      </c>
      <c r="BM169" s="39">
        <f t="shared" si="420"/>
        <v>0.56112324486853327</v>
      </c>
      <c r="BN169" s="39">
        <f t="shared" si="421"/>
        <v>0.67119251091547294</v>
      </c>
      <c r="BO169" s="39">
        <f t="shared" si="422"/>
        <v>0.74659301763165486</v>
      </c>
      <c r="BP169" s="39">
        <f t="shared" si="423"/>
        <v>0.81477717119899051</v>
      </c>
      <c r="BQ169" s="39">
        <f t="shared" si="424"/>
        <v>0.88783337925762351</v>
      </c>
      <c r="BR169" s="39">
        <f t="shared" si="425"/>
        <v>1</v>
      </c>
      <c r="BS169" s="61"/>
      <c r="BT169" s="39">
        <f t="shared" si="426"/>
        <v>9.160982159346534E-2</v>
      </c>
      <c r="BU169" s="39">
        <f t="shared" si="427"/>
        <v>0.17594842603849703</v>
      </c>
      <c r="BV169" s="39">
        <f t="shared" si="428"/>
        <v>0.27388651059305985</v>
      </c>
      <c r="BW169" s="39">
        <f t="shared" si="429"/>
        <v>0.35079201193887344</v>
      </c>
      <c r="BX169" s="39">
        <f t="shared" si="430"/>
        <v>0.44570389608393046</v>
      </c>
      <c r="BY169" s="39">
        <f t="shared" si="431"/>
        <v>0.53178573986882527</v>
      </c>
      <c r="BZ169" s="39">
        <f t="shared" si="432"/>
        <v>0.60826767388045389</v>
      </c>
      <c r="CA169" s="39">
        <f t="shared" si="433"/>
        <v>0.700162899808765</v>
      </c>
      <c r="CB169" s="39">
        <f t="shared" si="434"/>
        <v>0.76073389004518011</v>
      </c>
      <c r="CC169" s="39">
        <f t="shared" si="435"/>
        <v>0.82917619533027609</v>
      </c>
      <c r="CD169" s="39">
        <f t="shared" si="436"/>
        <v>0.92129526519708493</v>
      </c>
      <c r="CE169" s="39">
        <f t="shared" si="437"/>
        <v>1</v>
      </c>
      <c r="CG169" s="39">
        <f t="shared" si="461"/>
        <v>9.6043536856975795E-2</v>
      </c>
      <c r="CH169" s="39">
        <f t="shared" si="438"/>
        <v>0.18508355294735099</v>
      </c>
      <c r="CI169" s="39">
        <f t="shared" si="439"/>
        <v>0.26578309370481495</v>
      </c>
      <c r="CJ169" s="39">
        <f t="shared" si="440"/>
        <v>0.34180879149998883</v>
      </c>
      <c r="CK169" s="39">
        <f t="shared" si="441"/>
        <v>0.42759778173431401</v>
      </c>
      <c r="CL169" s="39">
        <f t="shared" si="442"/>
        <v>0.49520949990786223</v>
      </c>
      <c r="CM169" s="39">
        <f t="shared" si="443"/>
        <v>0.59723661797925087</v>
      </c>
      <c r="CN169" s="39">
        <f t="shared" si="444"/>
        <v>0.69286672416216122</v>
      </c>
      <c r="CO169" s="39">
        <f t="shared" si="445"/>
        <v>0.76154000901275121</v>
      </c>
      <c r="CP169" s="39">
        <f t="shared" si="446"/>
        <v>0.83300340184637867</v>
      </c>
      <c r="CQ169" s="39">
        <f t="shared" si="447"/>
        <v>0.91209264545495961</v>
      </c>
      <c r="CR169" s="39">
        <f t="shared" si="448"/>
        <v>1</v>
      </c>
    </row>
    <row r="170" spans="1:96">
      <c r="A170" s="193" t="s">
        <v>104</v>
      </c>
      <c r="B170" s="34">
        <v>3988.2499999999995</v>
      </c>
      <c r="C170" s="34">
        <v>4893.62</v>
      </c>
      <c r="D170" s="34">
        <v>3696.62</v>
      </c>
      <c r="E170" s="34">
        <v>10503.68</v>
      </c>
      <c r="F170" s="34">
        <v>5384.72</v>
      </c>
      <c r="G170" s="34">
        <v>3136.2500000000005</v>
      </c>
      <c r="H170" s="34">
        <v>5221.9800000000005</v>
      </c>
      <c r="I170" s="34">
        <v>4657.45</v>
      </c>
      <c r="J170" s="34">
        <v>3412.9</v>
      </c>
      <c r="K170" s="34">
        <v>4417.04</v>
      </c>
      <c r="L170" s="34">
        <v>7195.88</v>
      </c>
      <c r="M170" s="34">
        <v>4096.8600000000006</v>
      </c>
      <c r="N170" s="68">
        <f t="shared" si="413"/>
        <v>60605.25</v>
      </c>
      <c r="P170" s="85" t="s">
        <v>104</v>
      </c>
      <c r="Q170" s="34">
        <v>6492.97</v>
      </c>
      <c r="R170" s="34">
        <v>4172.78</v>
      </c>
      <c r="S170" s="34">
        <v>7304.83</v>
      </c>
      <c r="T170" s="34">
        <v>4204.58</v>
      </c>
      <c r="U170" s="34">
        <v>6889.53</v>
      </c>
      <c r="V170" s="34">
        <v>10310.120000000001</v>
      </c>
      <c r="W170" s="34">
        <v>6317.48</v>
      </c>
      <c r="X170" s="34">
        <v>6856.45</v>
      </c>
      <c r="Y170" s="34">
        <v>6822.5199999999995</v>
      </c>
      <c r="Z170" s="34">
        <v>6475.4299999999994</v>
      </c>
      <c r="AA170" s="34">
        <v>7882.9</v>
      </c>
      <c r="AB170" s="34">
        <v>8797.23</v>
      </c>
      <c r="AC170" s="68">
        <f t="shared" si="377"/>
        <v>82526.819999999992</v>
      </c>
      <c r="AE170" s="85" t="s">
        <v>104</v>
      </c>
      <c r="AF170" s="34">
        <v>8960.85</v>
      </c>
      <c r="AG170" s="34">
        <v>11922.68</v>
      </c>
      <c r="AH170" s="34">
        <v>4420.54</v>
      </c>
      <c r="AI170" s="34">
        <v>3996.93</v>
      </c>
      <c r="AJ170" s="34">
        <v>6084.7099999999991</v>
      </c>
      <c r="AK170" s="34">
        <v>3023.39</v>
      </c>
      <c r="AL170" s="34">
        <v>4385</v>
      </c>
      <c r="AM170" s="34">
        <v>6817.08</v>
      </c>
      <c r="AN170" s="34">
        <v>4542.71</v>
      </c>
      <c r="AO170" s="34">
        <v>3071.4</v>
      </c>
      <c r="AP170" s="34">
        <v>3808.48</v>
      </c>
      <c r="AQ170" s="34">
        <v>3518.27</v>
      </c>
      <c r="AR170" s="68">
        <f t="shared" si="378"/>
        <v>64552.04</v>
      </c>
      <c r="AT170" s="39">
        <f t="shared" si="449"/>
        <v>6.580700516869413E-2</v>
      </c>
      <c r="AU170" s="39">
        <f t="shared" si="450"/>
        <v>0.14655281514390253</v>
      </c>
      <c r="AV170" s="39">
        <f t="shared" si="451"/>
        <v>0.20754786095264022</v>
      </c>
      <c r="AW170" s="39">
        <f t="shared" si="452"/>
        <v>0.3808608990145243</v>
      </c>
      <c r="AX170" s="39">
        <f t="shared" si="453"/>
        <v>0.46970996737081355</v>
      </c>
      <c r="AY170" s="39">
        <f t="shared" si="454"/>
        <v>0.52145878451124283</v>
      </c>
      <c r="AZ170" s="39">
        <f t="shared" si="455"/>
        <v>0.60762260695236803</v>
      </c>
      <c r="BA170" s="39">
        <f t="shared" si="456"/>
        <v>0.68447155980711238</v>
      </c>
      <c r="BB170" s="39">
        <f t="shared" si="457"/>
        <v>0.74078516300155517</v>
      </c>
      <c r="BC170" s="39">
        <f t="shared" si="458"/>
        <v>0.81366729780010816</v>
      </c>
      <c r="BD170" s="39">
        <f t="shared" si="459"/>
        <v>0.93240090586211588</v>
      </c>
      <c r="BE170" s="39">
        <f t="shared" si="460"/>
        <v>1</v>
      </c>
      <c r="BG170" s="39">
        <f t="shared" si="414"/>
        <v>7.8677089460129454E-2</v>
      </c>
      <c r="BH170" s="39">
        <f t="shared" si="415"/>
        <v>0.12923980349660874</v>
      </c>
      <c r="BI170" s="39">
        <f t="shared" si="416"/>
        <v>0.21775442213816071</v>
      </c>
      <c r="BJ170" s="39">
        <f t="shared" si="417"/>
        <v>0.26870246545304916</v>
      </c>
      <c r="BK170" s="39">
        <f t="shared" si="418"/>
        <v>0.35218478065676112</v>
      </c>
      <c r="BL170" s="39">
        <f t="shared" si="419"/>
        <v>0.47711531838982779</v>
      </c>
      <c r="BM170" s="39">
        <f t="shared" si="420"/>
        <v>0.55366594762769261</v>
      </c>
      <c r="BN170" s="39">
        <f t="shared" si="421"/>
        <v>0.63674742344367574</v>
      </c>
      <c r="BO170" s="39">
        <f t="shared" si="422"/>
        <v>0.71941776018996018</v>
      </c>
      <c r="BP170" s="39">
        <f t="shared" si="423"/>
        <v>0.79788231268331933</v>
      </c>
      <c r="BQ170" s="39">
        <f t="shared" si="424"/>
        <v>0.8934015632736122</v>
      </c>
      <c r="BR170" s="39">
        <f t="shared" si="425"/>
        <v>1</v>
      </c>
      <c r="BS170" s="61"/>
      <c r="BT170" s="39">
        <f t="shared" si="426"/>
        <v>0.13881590728968443</v>
      </c>
      <c r="BU170" s="39">
        <f t="shared" si="427"/>
        <v>0.3235146402809268</v>
      </c>
      <c r="BV170" s="39">
        <f t="shared" si="428"/>
        <v>0.39199489280276811</v>
      </c>
      <c r="BW170" s="39">
        <f t="shared" si="429"/>
        <v>0.45391284303331081</v>
      </c>
      <c r="BX170" s="39">
        <f t="shared" si="430"/>
        <v>0.54817338073281652</v>
      </c>
      <c r="BY170" s="39">
        <f t="shared" si="431"/>
        <v>0.59500985561416797</v>
      </c>
      <c r="BZ170" s="39">
        <f t="shared" si="432"/>
        <v>0.66293954459068993</v>
      </c>
      <c r="CA170" s="39">
        <f t="shared" si="433"/>
        <v>0.76854550220256401</v>
      </c>
      <c r="CB170" s="39">
        <f t="shared" si="434"/>
        <v>0.83891833627566226</v>
      </c>
      <c r="CC170" s="39">
        <f t="shared" si="435"/>
        <v>0.88649855217588791</v>
      </c>
      <c r="CD170" s="39">
        <f t="shared" si="436"/>
        <v>0.94549715237504506</v>
      </c>
      <c r="CE170" s="39">
        <f t="shared" si="437"/>
        <v>1</v>
      </c>
      <c r="CG170" s="39">
        <f t="shared" si="461"/>
        <v>9.4433333972836001E-2</v>
      </c>
      <c r="CH170" s="39">
        <f t="shared" si="438"/>
        <v>0.19976908630714604</v>
      </c>
      <c r="CI170" s="39">
        <f t="shared" si="439"/>
        <v>0.27243239196452301</v>
      </c>
      <c r="CJ170" s="39">
        <f t="shared" si="440"/>
        <v>0.36782540250029472</v>
      </c>
      <c r="CK170" s="39">
        <f t="shared" si="441"/>
        <v>0.45668937625346367</v>
      </c>
      <c r="CL170" s="39">
        <f t="shared" si="442"/>
        <v>0.53119465283841283</v>
      </c>
      <c r="CM170" s="39">
        <f t="shared" si="443"/>
        <v>0.60807603305691682</v>
      </c>
      <c r="CN170" s="39">
        <f t="shared" si="444"/>
        <v>0.69658816181778394</v>
      </c>
      <c r="CO170" s="39">
        <f t="shared" si="445"/>
        <v>0.76637375315572598</v>
      </c>
      <c r="CP170" s="39">
        <f t="shared" si="446"/>
        <v>0.83268272088643835</v>
      </c>
      <c r="CQ170" s="39">
        <f t="shared" si="447"/>
        <v>0.92376654050359097</v>
      </c>
      <c r="CR170" s="39">
        <f t="shared" si="448"/>
        <v>1</v>
      </c>
    </row>
    <row r="171" spans="1:96">
      <c r="A171" s="193" t="s">
        <v>105</v>
      </c>
      <c r="B171" s="34">
        <v>69339.67</v>
      </c>
      <c r="C171" s="34">
        <v>67007.820000000007</v>
      </c>
      <c r="D171" s="34">
        <v>52397.02</v>
      </c>
      <c r="E171" s="34">
        <v>50239.28</v>
      </c>
      <c r="F171" s="34">
        <v>45956.990000000005</v>
      </c>
      <c r="G171" s="34">
        <v>45984.130000000005</v>
      </c>
      <c r="H171" s="34">
        <v>122608.68</v>
      </c>
      <c r="I171" s="34">
        <v>120450.31999999999</v>
      </c>
      <c r="J171" s="34">
        <v>92435.079999999987</v>
      </c>
      <c r="K171" s="34">
        <v>113669.55</v>
      </c>
      <c r="L171" s="34">
        <v>88683.15</v>
      </c>
      <c r="M171" s="34">
        <v>104424.65999999999</v>
      </c>
      <c r="N171" s="68">
        <f t="shared" si="413"/>
        <v>973196.35</v>
      </c>
      <c r="P171" s="85" t="s">
        <v>105</v>
      </c>
      <c r="Q171" s="34">
        <v>97409.25</v>
      </c>
      <c r="R171" s="34">
        <v>75718.760000000009</v>
      </c>
      <c r="S171" s="34">
        <v>61100.359999999993</v>
      </c>
      <c r="T171" s="34">
        <v>66209.27</v>
      </c>
      <c r="U171" s="34">
        <v>57707.770000000004</v>
      </c>
      <c r="V171" s="34">
        <v>52296.990000000005</v>
      </c>
      <c r="W171" s="34">
        <v>52946.170000000006</v>
      </c>
      <c r="X171" s="34">
        <v>80475.47</v>
      </c>
      <c r="Y171" s="34">
        <v>63252.44</v>
      </c>
      <c r="Z171" s="34">
        <v>84118.400000000009</v>
      </c>
      <c r="AA171" s="34">
        <v>62664.71</v>
      </c>
      <c r="AB171" s="34">
        <v>77320.36</v>
      </c>
      <c r="AC171" s="68">
        <f t="shared" si="377"/>
        <v>831219.95</v>
      </c>
      <c r="AE171" s="85" t="s">
        <v>105</v>
      </c>
      <c r="AF171" s="34">
        <v>57930.22</v>
      </c>
      <c r="AG171" s="34">
        <v>56227.21</v>
      </c>
      <c r="AH171" s="34">
        <v>47143.360000000001</v>
      </c>
      <c r="AI171" s="34">
        <v>66290.450000000012</v>
      </c>
      <c r="AJ171" s="34">
        <v>84061.37000000001</v>
      </c>
      <c r="AK171" s="34">
        <v>104142.54</v>
      </c>
      <c r="AL171" s="34">
        <v>101144.75</v>
      </c>
      <c r="AM171" s="34">
        <v>127118.22</v>
      </c>
      <c r="AN171" s="34">
        <v>94126.51999999999</v>
      </c>
      <c r="AO171" s="34">
        <v>117908.57</v>
      </c>
      <c r="AP171" s="34">
        <v>104545.11000000002</v>
      </c>
      <c r="AQ171" s="34">
        <v>109224.22</v>
      </c>
      <c r="AR171" s="68">
        <f t="shared" si="378"/>
        <v>1069862.54</v>
      </c>
      <c r="AT171" s="39">
        <f t="shared" si="449"/>
        <v>7.1249414365353925E-2</v>
      </c>
      <c r="AU171" s="39">
        <f t="shared" si="450"/>
        <v>0.14010275521481352</v>
      </c>
      <c r="AV171" s="39">
        <f t="shared" si="451"/>
        <v>0.19394288727038483</v>
      </c>
      <c r="AW171" s="39">
        <f t="shared" si="452"/>
        <v>0.24556585112552054</v>
      </c>
      <c r="AX171" s="39">
        <f t="shared" si="453"/>
        <v>0.2927885826945405</v>
      </c>
      <c r="AY171" s="39">
        <f t="shared" si="454"/>
        <v>0.34003920174998598</v>
      </c>
      <c r="AZ171" s="39">
        <f t="shared" si="455"/>
        <v>0.46602475440850138</v>
      </c>
      <c r="BA171" s="39">
        <f t="shared" si="456"/>
        <v>0.58979250179062004</v>
      </c>
      <c r="BB171" s="39">
        <f t="shared" si="457"/>
        <v>0.68477341699853256</v>
      </c>
      <c r="BC171" s="39">
        <f t="shared" si="458"/>
        <v>0.80157363927639058</v>
      </c>
      <c r="BD171" s="39">
        <f t="shared" si="459"/>
        <v>0.89269928930580145</v>
      </c>
      <c r="BE171" s="39">
        <f t="shared" si="460"/>
        <v>1</v>
      </c>
      <c r="BG171" s="39">
        <f t="shared" si="414"/>
        <v>0.11718829655135203</v>
      </c>
      <c r="BH171" s="39">
        <f t="shared" si="415"/>
        <v>0.20828182721071603</v>
      </c>
      <c r="BI171" s="39">
        <f t="shared" si="416"/>
        <v>0.2817886769921728</v>
      </c>
      <c r="BJ171" s="39">
        <f t="shared" si="417"/>
        <v>0.36144180610679522</v>
      </c>
      <c r="BK171" s="39">
        <f t="shared" si="418"/>
        <v>0.43086719706378562</v>
      </c>
      <c r="BL171" s="39">
        <f t="shared" si="419"/>
        <v>0.49378314367935955</v>
      </c>
      <c r="BM171" s="39">
        <f t="shared" si="420"/>
        <v>0.55748008694930873</v>
      </c>
      <c r="BN171" s="39">
        <f t="shared" si="421"/>
        <v>0.65429618237627729</v>
      </c>
      <c r="BO171" s="39">
        <f t="shared" si="422"/>
        <v>0.7303920941743518</v>
      </c>
      <c r="BP171" s="39">
        <f t="shared" si="423"/>
        <v>0.83159082021551578</v>
      </c>
      <c r="BQ171" s="39">
        <f t="shared" si="424"/>
        <v>0.90697966284375153</v>
      </c>
      <c r="BR171" s="39">
        <f t="shared" si="425"/>
        <v>1</v>
      </c>
      <c r="BS171" s="61"/>
      <c r="BT171" s="39">
        <f t="shared" si="426"/>
        <v>5.414734868649574E-2</v>
      </c>
      <c r="BU171" s="39">
        <f t="shared" si="427"/>
        <v>0.10670289474758129</v>
      </c>
      <c r="BV171" s="39">
        <f t="shared" si="428"/>
        <v>0.15076777059602439</v>
      </c>
      <c r="BW171" s="39">
        <f t="shared" si="429"/>
        <v>0.21272942223026145</v>
      </c>
      <c r="BX171" s="39">
        <f t="shared" si="430"/>
        <v>0.29130154421520355</v>
      </c>
      <c r="BY171" s="39">
        <f t="shared" si="431"/>
        <v>0.38864352611130765</v>
      </c>
      <c r="BZ171" s="39">
        <f t="shared" si="432"/>
        <v>0.48318347514064747</v>
      </c>
      <c r="CA171" s="39">
        <f t="shared" si="433"/>
        <v>0.60200081404850381</v>
      </c>
      <c r="CB171" s="39">
        <f t="shared" si="434"/>
        <v>0.68998082688267592</v>
      </c>
      <c r="CC171" s="39">
        <f t="shared" si="435"/>
        <v>0.80018991037858</v>
      </c>
      <c r="CD171" s="39">
        <f t="shared" si="436"/>
        <v>0.89790817425947067</v>
      </c>
      <c r="CE171" s="39">
        <f t="shared" si="437"/>
        <v>1</v>
      </c>
      <c r="CG171" s="39">
        <f t="shared" si="461"/>
        <v>8.0861686534400568E-2</v>
      </c>
      <c r="CH171" s="39">
        <f t="shared" si="438"/>
        <v>0.15169582572437026</v>
      </c>
      <c r="CI171" s="39">
        <f t="shared" si="439"/>
        <v>0.20883311161952733</v>
      </c>
      <c r="CJ171" s="39">
        <f t="shared" si="440"/>
        <v>0.27324569315419239</v>
      </c>
      <c r="CK171" s="39">
        <f t="shared" si="441"/>
        <v>0.33831910799117654</v>
      </c>
      <c r="CL171" s="39">
        <f t="shared" si="442"/>
        <v>0.40748862384688439</v>
      </c>
      <c r="CM171" s="39">
        <f t="shared" si="443"/>
        <v>0.50222943883281912</v>
      </c>
      <c r="CN171" s="39">
        <f t="shared" si="444"/>
        <v>0.61536316607180042</v>
      </c>
      <c r="CO171" s="39">
        <f t="shared" si="445"/>
        <v>0.70171544601852009</v>
      </c>
      <c r="CP171" s="39">
        <f t="shared" si="446"/>
        <v>0.81111812329016209</v>
      </c>
      <c r="CQ171" s="39">
        <f t="shared" si="447"/>
        <v>0.89919570880300792</v>
      </c>
      <c r="CR171" s="39">
        <f t="shared" si="448"/>
        <v>1</v>
      </c>
    </row>
    <row r="172" spans="1:96">
      <c r="A172" s="193" t="s">
        <v>106</v>
      </c>
      <c r="B172" s="34">
        <v>7323.8600000000006</v>
      </c>
      <c r="C172" s="34">
        <v>12129.56</v>
      </c>
      <c r="D172" s="34">
        <v>6888.63</v>
      </c>
      <c r="E172" s="34">
        <v>8746.4600000000009</v>
      </c>
      <c r="F172" s="34">
        <v>8850.4599999999991</v>
      </c>
      <c r="G172" s="34">
        <v>7133.9599999999991</v>
      </c>
      <c r="H172" s="34">
        <v>8073.41</v>
      </c>
      <c r="I172" s="34">
        <v>7175.1399999999994</v>
      </c>
      <c r="J172" s="34">
        <v>7023.1500000000005</v>
      </c>
      <c r="K172" s="34">
        <v>13153.570000000002</v>
      </c>
      <c r="L172" s="34">
        <v>15346.97</v>
      </c>
      <c r="M172" s="34">
        <v>13652.28</v>
      </c>
      <c r="N172" s="68">
        <f t="shared" si="413"/>
        <v>115497.45</v>
      </c>
      <c r="P172" s="85" t="s">
        <v>106</v>
      </c>
      <c r="Q172" s="34">
        <v>14340.42</v>
      </c>
      <c r="R172" s="34">
        <v>12871.449999999999</v>
      </c>
      <c r="S172" s="34">
        <v>16818.87</v>
      </c>
      <c r="T172" s="34">
        <v>8085.42</v>
      </c>
      <c r="U172" s="34">
        <v>9083.0199999999986</v>
      </c>
      <c r="V172" s="34">
        <v>8403.34</v>
      </c>
      <c r="W172" s="34">
        <v>11765.97</v>
      </c>
      <c r="X172" s="34">
        <v>9140.1200000000008</v>
      </c>
      <c r="Y172" s="34">
        <v>8580.9599999999991</v>
      </c>
      <c r="Z172" s="34">
        <v>7797.2899999999991</v>
      </c>
      <c r="AA172" s="34">
        <v>10179.08</v>
      </c>
      <c r="AB172" s="34">
        <v>6812.14</v>
      </c>
      <c r="AC172" s="68">
        <f t="shared" si="377"/>
        <v>123878.07999999997</v>
      </c>
      <c r="AE172" s="85" t="s">
        <v>106</v>
      </c>
      <c r="AF172" s="34">
        <v>9440.16</v>
      </c>
      <c r="AG172" s="34">
        <v>10580.7</v>
      </c>
      <c r="AH172" s="34">
        <v>9026.2299999999977</v>
      </c>
      <c r="AI172" s="34">
        <v>5746.8700000000008</v>
      </c>
      <c r="AJ172" s="34">
        <v>6077.4900000000007</v>
      </c>
      <c r="AK172" s="34">
        <v>6993.1</v>
      </c>
      <c r="AL172" s="34">
        <v>9581.64</v>
      </c>
      <c r="AM172" s="34">
        <v>12359.44</v>
      </c>
      <c r="AN172" s="34">
        <v>13506.679999999998</v>
      </c>
      <c r="AO172" s="34">
        <v>11391.729999999998</v>
      </c>
      <c r="AP172" s="34">
        <v>14737.58</v>
      </c>
      <c r="AQ172" s="34">
        <v>12518.69</v>
      </c>
      <c r="AR172" s="68">
        <f t="shared" si="378"/>
        <v>121960.30999999998</v>
      </c>
      <c r="AT172" s="39">
        <f t="shared" si="449"/>
        <v>6.3411443282946942E-2</v>
      </c>
      <c r="AU172" s="39">
        <f t="shared" si="450"/>
        <v>0.16843159740756181</v>
      </c>
      <c r="AV172" s="39">
        <f t="shared" si="451"/>
        <v>0.22807473238586654</v>
      </c>
      <c r="AW172" s="39">
        <f t="shared" si="452"/>
        <v>0.30380333072288612</v>
      </c>
      <c r="AX172" s="39">
        <f t="shared" si="453"/>
        <v>0.38043238184046491</v>
      </c>
      <c r="AY172" s="39">
        <f t="shared" si="454"/>
        <v>0.44219963297890996</v>
      </c>
      <c r="AZ172" s="39">
        <f t="shared" si="455"/>
        <v>0.51210082993174311</v>
      </c>
      <c r="BA172" s="39">
        <f t="shared" si="456"/>
        <v>0.57422462573849031</v>
      </c>
      <c r="BB172" s="39">
        <f t="shared" si="457"/>
        <v>0.63503246175564909</v>
      </c>
      <c r="BC172" s="39">
        <f t="shared" si="458"/>
        <v>0.7489186990708453</v>
      </c>
      <c r="BD172" s="39">
        <f t="shared" si="459"/>
        <v>0.88179583185602795</v>
      </c>
      <c r="BE172" s="39">
        <f t="shared" si="460"/>
        <v>1</v>
      </c>
      <c r="BG172" s="39">
        <f t="shared" si="414"/>
        <v>0.1157623689356503</v>
      </c>
      <c r="BH172" s="39">
        <f t="shared" si="415"/>
        <v>0.21966654633329807</v>
      </c>
      <c r="BI172" s="39">
        <f t="shared" si="416"/>
        <v>0.35543608683634753</v>
      </c>
      <c r="BJ172" s="39">
        <f t="shared" si="417"/>
        <v>0.42070526117292106</v>
      </c>
      <c r="BK172" s="39">
        <f t="shared" si="418"/>
        <v>0.49402751479519225</v>
      </c>
      <c r="BL172" s="39">
        <f t="shared" si="419"/>
        <v>0.56186308344462554</v>
      </c>
      <c r="BM172" s="39">
        <f t="shared" si="420"/>
        <v>0.65684332530823863</v>
      </c>
      <c r="BN172" s="39">
        <f t="shared" si="421"/>
        <v>0.73062651600670603</v>
      </c>
      <c r="BO172" s="39">
        <f t="shared" si="422"/>
        <v>0.79989591378878333</v>
      </c>
      <c r="BP172" s="39">
        <f t="shared" si="423"/>
        <v>0.86283917219252992</v>
      </c>
      <c r="BQ172" s="39">
        <f t="shared" si="424"/>
        <v>0.94500931883994321</v>
      </c>
      <c r="BR172" s="39">
        <f t="shared" si="425"/>
        <v>1</v>
      </c>
      <c r="BS172" s="61"/>
      <c r="BT172" s="39">
        <f t="shared" si="426"/>
        <v>7.740354218515845E-2</v>
      </c>
      <c r="BU172" s="39">
        <f t="shared" si="427"/>
        <v>0.16415881527359191</v>
      </c>
      <c r="BV172" s="39">
        <f t="shared" si="428"/>
        <v>0.23816838445228616</v>
      </c>
      <c r="BW172" s="39">
        <f t="shared" si="429"/>
        <v>0.28528920597200846</v>
      </c>
      <c r="BX172" s="39">
        <f t="shared" si="430"/>
        <v>0.33512090941717027</v>
      </c>
      <c r="BY172" s="39">
        <f t="shared" si="431"/>
        <v>0.39246005524256211</v>
      </c>
      <c r="BZ172" s="39">
        <f t="shared" si="432"/>
        <v>0.47102364695530868</v>
      </c>
      <c r="CA172" s="39">
        <f t="shared" si="433"/>
        <v>0.57236350087991739</v>
      </c>
      <c r="CB172" s="39">
        <f t="shared" si="434"/>
        <v>0.6831100216127689</v>
      </c>
      <c r="CC172" s="39">
        <f t="shared" si="435"/>
        <v>0.77651524500060709</v>
      </c>
      <c r="CD172" s="39">
        <f t="shared" si="436"/>
        <v>0.89735439340880652</v>
      </c>
      <c r="CE172" s="39">
        <f t="shared" si="437"/>
        <v>1</v>
      </c>
      <c r="CG172" s="39">
        <f t="shared" si="461"/>
        <v>8.5525784801251892E-2</v>
      </c>
      <c r="CH172" s="39">
        <f t="shared" si="438"/>
        <v>0.18408565300481727</v>
      </c>
      <c r="CI172" s="39">
        <f t="shared" si="439"/>
        <v>0.27389306789150009</v>
      </c>
      <c r="CJ172" s="39">
        <f t="shared" si="440"/>
        <v>0.33659926595593853</v>
      </c>
      <c r="CK172" s="39">
        <f t="shared" si="441"/>
        <v>0.40319360201760918</v>
      </c>
      <c r="CL172" s="39">
        <f t="shared" si="442"/>
        <v>0.46550759055536584</v>
      </c>
      <c r="CM172" s="39">
        <f t="shared" si="443"/>
        <v>0.54665593406509683</v>
      </c>
      <c r="CN172" s="39">
        <f t="shared" si="444"/>
        <v>0.62573821420837117</v>
      </c>
      <c r="CO172" s="39">
        <f t="shared" si="445"/>
        <v>0.70601279905240044</v>
      </c>
      <c r="CP172" s="39">
        <f t="shared" si="446"/>
        <v>0.79609103875466081</v>
      </c>
      <c r="CQ172" s="39">
        <f t="shared" si="447"/>
        <v>0.90805318136825919</v>
      </c>
      <c r="CR172" s="39">
        <f t="shared" si="448"/>
        <v>1</v>
      </c>
    </row>
    <row r="173" spans="1:96">
      <c r="A173" s="193" t="s">
        <v>107</v>
      </c>
      <c r="B173" s="34">
        <v>64501.819999999992</v>
      </c>
      <c r="C173" s="34">
        <v>57100.320000000007</v>
      </c>
      <c r="D173" s="34">
        <v>39211.950000000004</v>
      </c>
      <c r="E173" s="34">
        <v>54878.05999999999</v>
      </c>
      <c r="F173" s="34">
        <v>48524.960000000006</v>
      </c>
      <c r="G173" s="34">
        <v>41556.36</v>
      </c>
      <c r="H173" s="34">
        <v>62240.040000000008</v>
      </c>
      <c r="I173" s="34">
        <v>50052.26</v>
      </c>
      <c r="J173" s="34">
        <v>43174.439999999995</v>
      </c>
      <c r="K173" s="34">
        <v>69124.090000000011</v>
      </c>
      <c r="L173" s="34">
        <v>61613.25</v>
      </c>
      <c r="M173" s="34">
        <v>80599.01999999999</v>
      </c>
      <c r="N173" s="68">
        <f t="shared" si="413"/>
        <v>672576.57000000007</v>
      </c>
      <c r="P173" s="85" t="s">
        <v>107</v>
      </c>
      <c r="Q173" s="34">
        <v>72721.09</v>
      </c>
      <c r="R173" s="34">
        <v>59002.73</v>
      </c>
      <c r="S173" s="34">
        <v>56152.1</v>
      </c>
      <c r="T173" s="34">
        <v>61045.020000000004</v>
      </c>
      <c r="U173" s="34">
        <v>66722.61</v>
      </c>
      <c r="V173" s="34">
        <v>57492.799999999996</v>
      </c>
      <c r="W173" s="34">
        <v>74963.97</v>
      </c>
      <c r="X173" s="34">
        <v>62224.03</v>
      </c>
      <c r="Y173" s="34">
        <v>55027.56</v>
      </c>
      <c r="Z173" s="34">
        <v>56776.2</v>
      </c>
      <c r="AA173" s="34">
        <v>57630.240000000013</v>
      </c>
      <c r="AB173" s="34">
        <v>75498.709999999992</v>
      </c>
      <c r="AC173" s="68">
        <f t="shared" si="377"/>
        <v>755257.05999999982</v>
      </c>
      <c r="AE173" s="85" t="s">
        <v>107</v>
      </c>
      <c r="AF173" s="34">
        <v>51144.1</v>
      </c>
      <c r="AG173" s="34">
        <v>40013.119999999995</v>
      </c>
      <c r="AH173" s="34">
        <v>40563.68</v>
      </c>
      <c r="AI173" s="34">
        <v>33546.160000000003</v>
      </c>
      <c r="AJ173" s="34">
        <v>41445.730000000003</v>
      </c>
      <c r="AK173" s="34">
        <v>41191.919999999998</v>
      </c>
      <c r="AL173" s="34">
        <v>50708.469999999994</v>
      </c>
      <c r="AM173" s="34">
        <v>57415.71</v>
      </c>
      <c r="AN173" s="34">
        <v>50994.06</v>
      </c>
      <c r="AO173" s="34">
        <v>81596.759999999995</v>
      </c>
      <c r="AP173" s="34">
        <v>75610.460000000006</v>
      </c>
      <c r="AQ173" s="34">
        <v>69469.8</v>
      </c>
      <c r="AR173" s="68">
        <f t="shared" si="378"/>
        <v>633699.97000000009</v>
      </c>
      <c r="AT173" s="39">
        <f t="shared" si="449"/>
        <v>9.5902567643710787E-2</v>
      </c>
      <c r="AU173" s="39">
        <f t="shared" si="450"/>
        <v>0.18080044031269182</v>
      </c>
      <c r="AV173" s="39">
        <f t="shared" si="451"/>
        <v>0.23910153456579669</v>
      </c>
      <c r="AW173" s="39">
        <f t="shared" si="452"/>
        <v>0.32069530759895482</v>
      </c>
      <c r="AX173" s="39">
        <f t="shared" si="453"/>
        <v>0.39284316728428403</v>
      </c>
      <c r="AY173" s="39">
        <f t="shared" si="454"/>
        <v>0.45462997618248868</v>
      </c>
      <c r="AZ173" s="39">
        <f t="shared" si="455"/>
        <v>0.5471696850813581</v>
      </c>
      <c r="BA173" s="39">
        <f t="shared" si="456"/>
        <v>0.62158836428096209</v>
      </c>
      <c r="BB173" s="39">
        <f t="shared" si="457"/>
        <v>0.68578096617311535</v>
      </c>
      <c r="BC173" s="39">
        <f t="shared" si="458"/>
        <v>0.7885560152652954</v>
      </c>
      <c r="BD173" s="39">
        <f t="shared" si="459"/>
        <v>0.88016380053203458</v>
      </c>
      <c r="BE173" s="39">
        <f t="shared" si="460"/>
        <v>1</v>
      </c>
      <c r="BG173" s="39">
        <f t="shared" si="414"/>
        <v>9.6286541167850875E-2</v>
      </c>
      <c r="BH173" s="39">
        <f t="shared" si="415"/>
        <v>0.17440925345338718</v>
      </c>
      <c r="BI173" s="39">
        <f t="shared" si="416"/>
        <v>0.24875758195494399</v>
      </c>
      <c r="BJ173" s="39">
        <f t="shared" si="417"/>
        <v>0.32958439342493545</v>
      </c>
      <c r="BK173" s="39">
        <f t="shared" si="418"/>
        <v>0.41792863214016174</v>
      </c>
      <c r="BL173" s="39">
        <f t="shared" si="419"/>
        <v>0.49405211783124553</v>
      </c>
      <c r="BM173" s="39">
        <f t="shared" si="420"/>
        <v>0.59330834987494196</v>
      </c>
      <c r="BN173" s="39">
        <f t="shared" si="421"/>
        <v>0.67569623248540056</v>
      </c>
      <c r="BO173" s="39">
        <f t="shared" si="422"/>
        <v>0.74855561098627799</v>
      </c>
      <c r="BP173" s="39">
        <f t="shared" si="423"/>
        <v>0.82373028065437748</v>
      </c>
      <c r="BQ173" s="39">
        <f t="shared" si="424"/>
        <v>0.9000357441213459</v>
      </c>
      <c r="BR173" s="39">
        <f t="shared" si="425"/>
        <v>1</v>
      </c>
      <c r="BS173" s="61"/>
      <c r="BT173" s="39">
        <f t="shared" si="426"/>
        <v>8.0707120753059192E-2</v>
      </c>
      <c r="BU173" s="39">
        <f t="shared" si="427"/>
        <v>0.14384917834223662</v>
      </c>
      <c r="BV173" s="39">
        <f t="shared" si="428"/>
        <v>0.20786003824491261</v>
      </c>
      <c r="BW173" s="39">
        <f t="shared" si="429"/>
        <v>0.26079701408223199</v>
      </c>
      <c r="BX173" s="39">
        <f t="shared" si="430"/>
        <v>0.32619977873756245</v>
      </c>
      <c r="BY173" s="39">
        <f t="shared" si="431"/>
        <v>0.39120202262278786</v>
      </c>
      <c r="BZ173" s="39">
        <f t="shared" si="432"/>
        <v>0.47122170449211154</v>
      </c>
      <c r="CA173" s="39">
        <f t="shared" si="433"/>
        <v>0.56182563808548069</v>
      </c>
      <c r="CB173" s="39">
        <f t="shared" si="434"/>
        <v>0.64229599064049181</v>
      </c>
      <c r="CC173" s="39">
        <f t="shared" si="435"/>
        <v>0.77105843953251241</v>
      </c>
      <c r="CD173" s="39">
        <f t="shared" si="436"/>
        <v>0.89037430442043408</v>
      </c>
      <c r="CE173" s="39">
        <f t="shared" si="437"/>
        <v>1</v>
      </c>
      <c r="CG173" s="39">
        <f t="shared" si="461"/>
        <v>9.0965409854873613E-2</v>
      </c>
      <c r="CH173" s="39">
        <f t="shared" si="438"/>
        <v>0.16635295736943856</v>
      </c>
      <c r="CI173" s="39">
        <f t="shared" si="439"/>
        <v>0.23190638492188442</v>
      </c>
      <c r="CJ173" s="39">
        <f t="shared" si="440"/>
        <v>0.30369223836870746</v>
      </c>
      <c r="CK173" s="39">
        <f t="shared" si="441"/>
        <v>0.37899052605400274</v>
      </c>
      <c r="CL173" s="39">
        <f t="shared" si="442"/>
        <v>0.44662803887884067</v>
      </c>
      <c r="CM173" s="39">
        <f t="shared" si="443"/>
        <v>0.53723324648280391</v>
      </c>
      <c r="CN173" s="39">
        <f t="shared" si="444"/>
        <v>0.61970341161728115</v>
      </c>
      <c r="CO173" s="39">
        <f t="shared" si="445"/>
        <v>0.69221085593329501</v>
      </c>
      <c r="CP173" s="39">
        <f t="shared" si="446"/>
        <v>0.79444824515072854</v>
      </c>
      <c r="CQ173" s="39">
        <f t="shared" si="447"/>
        <v>0.89019128302460482</v>
      </c>
      <c r="CR173" s="39">
        <f t="shared" si="448"/>
        <v>1</v>
      </c>
    </row>
    <row r="174" spans="1:96">
      <c r="A174" s="193" t="s">
        <v>108</v>
      </c>
      <c r="B174" s="34">
        <v>2466.86</v>
      </c>
      <c r="C174" s="34">
        <v>2583.67</v>
      </c>
      <c r="D174" s="34">
        <v>2290.33</v>
      </c>
      <c r="E174" s="34">
        <v>1912.8700000000001</v>
      </c>
      <c r="F174" s="34">
        <v>2228.8600000000006</v>
      </c>
      <c r="G174" s="34">
        <v>3494.73</v>
      </c>
      <c r="H174" s="34">
        <v>3127.9</v>
      </c>
      <c r="I174" s="34">
        <v>2073.8700000000003</v>
      </c>
      <c r="J174" s="34">
        <v>3140.8099999999995</v>
      </c>
      <c r="K174" s="34">
        <v>8938.7999999999993</v>
      </c>
      <c r="L174" s="34">
        <v>3531.9000000000005</v>
      </c>
      <c r="M174" s="34">
        <v>4868.1800000000012</v>
      </c>
      <c r="N174" s="68">
        <f t="shared" si="413"/>
        <v>40658.78</v>
      </c>
      <c r="P174" s="85" t="s">
        <v>108</v>
      </c>
      <c r="Q174" s="34">
        <v>3160.94</v>
      </c>
      <c r="R174" s="34">
        <v>1402.15</v>
      </c>
      <c r="S174" s="34">
        <v>1680.97</v>
      </c>
      <c r="T174" s="34">
        <v>1513.71</v>
      </c>
      <c r="U174" s="34">
        <v>1802.95</v>
      </c>
      <c r="V174" s="34">
        <v>2271.5300000000002</v>
      </c>
      <c r="W174" s="34">
        <v>1275.6800000000003</v>
      </c>
      <c r="X174" s="34">
        <v>2257.8700000000003</v>
      </c>
      <c r="Y174" s="34">
        <v>1368.23</v>
      </c>
      <c r="Z174" s="34">
        <v>1693.08</v>
      </c>
      <c r="AA174" s="34">
        <v>1803.38</v>
      </c>
      <c r="AB174" s="34">
        <v>2403.21</v>
      </c>
      <c r="AC174" s="68">
        <f t="shared" si="377"/>
        <v>22633.7</v>
      </c>
      <c r="AE174" s="85" t="s">
        <v>108</v>
      </c>
      <c r="AF174" s="34">
        <v>1455.17</v>
      </c>
      <c r="AG174" s="34">
        <v>578.85</v>
      </c>
      <c r="AH174" s="34">
        <v>1054.06</v>
      </c>
      <c r="AI174" s="34">
        <v>702.76</v>
      </c>
      <c r="AJ174" s="34">
        <v>1435.4399999999998</v>
      </c>
      <c r="AK174" s="34">
        <v>1563.1200000000001</v>
      </c>
      <c r="AL174" s="34">
        <v>2401.84</v>
      </c>
      <c r="AM174" s="34">
        <v>2976.04</v>
      </c>
      <c r="AN174" s="34">
        <v>3108.49</v>
      </c>
      <c r="AO174" s="34">
        <v>2455.4500000000003</v>
      </c>
      <c r="AP174" s="34">
        <v>2533.9499999999998</v>
      </c>
      <c r="AQ174" s="34">
        <v>2787.6</v>
      </c>
      <c r="AR174" s="68">
        <f t="shared" si="378"/>
        <v>23052.769999999997</v>
      </c>
      <c r="AT174" s="39">
        <f t="shared" si="449"/>
        <v>6.0672258242869072E-2</v>
      </c>
      <c r="AU174" s="39">
        <f t="shared" si="450"/>
        <v>0.1242174506957661</v>
      </c>
      <c r="AV174" s="39">
        <f t="shared" si="451"/>
        <v>0.18054796528572675</v>
      </c>
      <c r="AW174" s="39">
        <f t="shared" si="452"/>
        <v>0.22759487618664412</v>
      </c>
      <c r="AX174" s="39">
        <f t="shared" si="453"/>
        <v>0.2824135401996814</v>
      </c>
      <c r="AY174" s="39">
        <f t="shared" si="454"/>
        <v>0.36836619298463952</v>
      </c>
      <c r="AZ174" s="39">
        <f t="shared" si="455"/>
        <v>0.44529668622619767</v>
      </c>
      <c r="BA174" s="39">
        <f t="shared" si="456"/>
        <v>0.49630338145906006</v>
      </c>
      <c r="BB174" s="39">
        <f t="shared" si="457"/>
        <v>0.57355139529518595</v>
      </c>
      <c r="BC174" s="39">
        <f t="shared" si="458"/>
        <v>0.79340058899947319</v>
      </c>
      <c r="BD174" s="39">
        <f t="shared" si="459"/>
        <v>0.8802674354715021</v>
      </c>
      <c r="BE174" s="39">
        <f t="shared" si="460"/>
        <v>1</v>
      </c>
      <c r="BG174" s="39">
        <f t="shared" si="414"/>
        <v>0.1396563531371362</v>
      </c>
      <c r="BH174" s="39">
        <f t="shared" si="415"/>
        <v>0.20160601227373343</v>
      </c>
      <c r="BI174" s="39">
        <f t="shared" si="416"/>
        <v>0.27587447036940493</v>
      </c>
      <c r="BJ174" s="39">
        <f t="shared" si="417"/>
        <v>0.34275306291061558</v>
      </c>
      <c r="BK174" s="39">
        <f t="shared" si="418"/>
        <v>0.42241082986873557</v>
      </c>
      <c r="BL174" s="39">
        <f t="shared" si="419"/>
        <v>0.52277135421959298</v>
      </c>
      <c r="BM174" s="39">
        <f t="shared" si="420"/>
        <v>0.57913332773695869</v>
      </c>
      <c r="BN174" s="39">
        <f t="shared" si="421"/>
        <v>0.6788903272553759</v>
      </c>
      <c r="BO174" s="39">
        <f t="shared" si="422"/>
        <v>0.73934133614919351</v>
      </c>
      <c r="BP174" s="39">
        <f t="shared" si="423"/>
        <v>0.81414483712340446</v>
      </c>
      <c r="BQ174" s="39">
        <f t="shared" si="424"/>
        <v>0.89382160230099372</v>
      </c>
      <c r="BR174" s="39">
        <f t="shared" si="425"/>
        <v>1</v>
      </c>
      <c r="BS174" s="61"/>
      <c r="BT174" s="39">
        <f t="shared" si="426"/>
        <v>6.3123433756550745E-2</v>
      </c>
      <c r="BU174" s="39">
        <f t="shared" si="427"/>
        <v>8.8233214490059123E-2</v>
      </c>
      <c r="BV174" s="39">
        <f t="shared" si="428"/>
        <v>0.1339570038654791</v>
      </c>
      <c r="BW174" s="39">
        <f t="shared" si="429"/>
        <v>0.16444184364829045</v>
      </c>
      <c r="BX174" s="39">
        <f t="shared" si="430"/>
        <v>0.2267094149640152</v>
      </c>
      <c r="BY174" s="39">
        <f t="shared" si="431"/>
        <v>0.29451558315985454</v>
      </c>
      <c r="BZ174" s="39">
        <f t="shared" si="432"/>
        <v>0.39870436394411607</v>
      </c>
      <c r="CA174" s="39">
        <f t="shared" si="433"/>
        <v>0.5278012143443066</v>
      </c>
      <c r="CB174" s="39">
        <f t="shared" si="434"/>
        <v>0.66264357819038666</v>
      </c>
      <c r="CC174" s="39">
        <f t="shared" si="435"/>
        <v>0.76915789295603088</v>
      </c>
      <c r="CD174" s="39">
        <f t="shared" si="436"/>
        <v>0.87907743841629449</v>
      </c>
      <c r="CE174" s="39">
        <f t="shared" si="437"/>
        <v>1</v>
      </c>
      <c r="CG174" s="39">
        <f t="shared" si="461"/>
        <v>8.7817348378852009E-2</v>
      </c>
      <c r="CH174" s="39">
        <f t="shared" si="438"/>
        <v>0.13801889248651955</v>
      </c>
      <c r="CI174" s="39">
        <f t="shared" si="439"/>
        <v>0.19679314650687027</v>
      </c>
      <c r="CJ174" s="39">
        <f t="shared" si="440"/>
        <v>0.24492992758185003</v>
      </c>
      <c r="CK174" s="39">
        <f t="shared" si="441"/>
        <v>0.31051126167747739</v>
      </c>
      <c r="CL174" s="39">
        <f t="shared" si="442"/>
        <v>0.39521771012136231</v>
      </c>
      <c r="CM174" s="39">
        <f t="shared" si="443"/>
        <v>0.47437812596909085</v>
      </c>
      <c r="CN174" s="39">
        <f t="shared" si="444"/>
        <v>0.56766497435291419</v>
      </c>
      <c r="CO174" s="39">
        <f t="shared" si="445"/>
        <v>0.65851210321158871</v>
      </c>
      <c r="CP174" s="39">
        <f t="shared" si="446"/>
        <v>0.79223443969296958</v>
      </c>
      <c r="CQ174" s="39">
        <f t="shared" si="447"/>
        <v>0.8843888253962634</v>
      </c>
      <c r="CR174" s="39">
        <f t="shared" si="448"/>
        <v>1</v>
      </c>
    </row>
    <row r="175" spans="1:96">
      <c r="A175" s="193" t="s">
        <v>109</v>
      </c>
      <c r="B175" s="34">
        <v>641.53</v>
      </c>
      <c r="C175" s="34">
        <v>391.06999999999994</v>
      </c>
      <c r="D175" s="34">
        <v>103.86</v>
      </c>
      <c r="E175" s="34">
        <v>381.87</v>
      </c>
      <c r="F175" s="34">
        <v>0</v>
      </c>
      <c r="G175" s="34">
        <v>1865.0300000000002</v>
      </c>
      <c r="H175" s="34">
        <v>1436.45</v>
      </c>
      <c r="I175" s="34">
        <v>331.90999999999997</v>
      </c>
      <c r="J175" s="34">
        <v>214.61999999999998</v>
      </c>
      <c r="K175" s="34">
        <v>387.22999999999996</v>
      </c>
      <c r="L175" s="34">
        <v>377.54</v>
      </c>
      <c r="M175" s="34">
        <v>745.9</v>
      </c>
      <c r="N175" s="68">
        <f t="shared" si="413"/>
        <v>6877.0099999999993</v>
      </c>
      <c r="P175" s="85" t="s">
        <v>109</v>
      </c>
      <c r="Q175" s="34">
        <v>591.26</v>
      </c>
      <c r="R175" s="34">
        <v>591.02</v>
      </c>
      <c r="S175" s="34">
        <v>640.87</v>
      </c>
      <c r="T175" s="34">
        <v>358.91999999999996</v>
      </c>
      <c r="U175" s="34">
        <v>214.13</v>
      </c>
      <c r="V175" s="34">
        <v>367.74</v>
      </c>
      <c r="W175" s="34">
        <v>771.56999999999994</v>
      </c>
      <c r="X175" s="34">
        <v>171.59</v>
      </c>
      <c r="Y175" s="34">
        <v>502.32</v>
      </c>
      <c r="Z175" s="34">
        <v>0</v>
      </c>
      <c r="AA175" s="34">
        <v>278.31</v>
      </c>
      <c r="AB175" s="34">
        <v>65.13</v>
      </c>
      <c r="AC175" s="68">
        <f t="shared" si="377"/>
        <v>4552.8600000000006</v>
      </c>
      <c r="AE175" s="85" t="s">
        <v>109</v>
      </c>
      <c r="AF175" s="34">
        <v>429.16999999999996</v>
      </c>
      <c r="AG175" s="34">
        <v>231.91</v>
      </c>
      <c r="AH175" s="34">
        <v>423.48</v>
      </c>
      <c r="AI175" s="34">
        <v>292.92</v>
      </c>
      <c r="AJ175" s="34">
        <v>27.310000000000002</v>
      </c>
      <c r="AK175" s="34">
        <v>166.55</v>
      </c>
      <c r="AL175" s="34">
        <v>522.75</v>
      </c>
      <c r="AM175" s="34">
        <v>323.45000000000005</v>
      </c>
      <c r="AN175" s="34">
        <v>201.58</v>
      </c>
      <c r="AO175" s="34">
        <v>732.41</v>
      </c>
      <c r="AP175" s="34">
        <v>1127.1500000000001</v>
      </c>
      <c r="AQ175" s="34">
        <v>839.03</v>
      </c>
      <c r="AR175" s="68">
        <f t="shared" si="378"/>
        <v>5317.71</v>
      </c>
      <c r="AT175" s="39">
        <f t="shared" si="449"/>
        <v>9.3286181058337858E-2</v>
      </c>
      <c r="AU175" s="39">
        <f t="shared" si="450"/>
        <v>0.15015246451582884</v>
      </c>
      <c r="AV175" s="39">
        <f t="shared" si="451"/>
        <v>0.16525495818677011</v>
      </c>
      <c r="AW175" s="39">
        <f t="shared" si="452"/>
        <v>0.2207834509474321</v>
      </c>
      <c r="AX175" s="39">
        <f t="shared" si="453"/>
        <v>0.2207834509474321</v>
      </c>
      <c r="AY175" s="39">
        <f t="shared" si="454"/>
        <v>0.49198125348080057</v>
      </c>
      <c r="AZ175" s="39">
        <f t="shared" si="455"/>
        <v>0.70085836722645467</v>
      </c>
      <c r="BA175" s="39">
        <f t="shared" si="456"/>
        <v>0.7491220748552061</v>
      </c>
      <c r="BB175" s="39">
        <f t="shared" si="457"/>
        <v>0.78033040521971042</v>
      </c>
      <c r="BC175" s="39">
        <f t="shared" si="458"/>
        <v>0.8366383064733075</v>
      </c>
      <c r="BD175" s="39">
        <f t="shared" si="459"/>
        <v>0.89153716513426629</v>
      </c>
      <c r="BE175" s="39">
        <f t="shared" si="460"/>
        <v>1</v>
      </c>
      <c r="BG175" s="39">
        <f t="shared" si="414"/>
        <v>0.12986562292712711</v>
      </c>
      <c r="BH175" s="39">
        <f t="shared" si="415"/>
        <v>0.25967853173609551</v>
      </c>
      <c r="BI175" s="39">
        <f t="shared" si="416"/>
        <v>0.40044060217094307</v>
      </c>
      <c r="BJ175" s="39">
        <f t="shared" si="417"/>
        <v>0.47927456587727274</v>
      </c>
      <c r="BK175" s="39">
        <f t="shared" si="418"/>
        <v>0.52630654138277921</v>
      </c>
      <c r="BL175" s="39">
        <f t="shared" si="419"/>
        <v>0.60707774893144095</v>
      </c>
      <c r="BM175" s="39">
        <f t="shared" si="420"/>
        <v>0.77654704954687814</v>
      </c>
      <c r="BN175" s="39">
        <f t="shared" si="421"/>
        <v>0.81423544760875577</v>
      </c>
      <c r="BO175" s="39">
        <f t="shared" si="422"/>
        <v>0.9245660969149061</v>
      </c>
      <c r="BP175" s="39">
        <f t="shared" si="423"/>
        <v>0.9245660969149061</v>
      </c>
      <c r="BQ175" s="39">
        <f t="shared" si="424"/>
        <v>0.98569470618468391</v>
      </c>
      <c r="BR175" s="39">
        <f t="shared" si="425"/>
        <v>1</v>
      </c>
      <c r="BS175" s="61"/>
      <c r="BT175" s="39">
        <f t="shared" si="426"/>
        <v>8.0705792530995482E-2</v>
      </c>
      <c r="BU175" s="39">
        <f t="shared" si="427"/>
        <v>0.12431667014560778</v>
      </c>
      <c r="BV175" s="39">
        <f t="shared" si="428"/>
        <v>0.20395245321764444</v>
      </c>
      <c r="BW175" s="39">
        <f t="shared" si="429"/>
        <v>0.25903631450379955</v>
      </c>
      <c r="BX175" s="39">
        <f t="shared" si="430"/>
        <v>0.26417198380505896</v>
      </c>
      <c r="BY175" s="39">
        <f t="shared" si="431"/>
        <v>0.29549185645700871</v>
      </c>
      <c r="BZ175" s="39">
        <f t="shared" si="432"/>
        <v>0.39379544954501094</v>
      </c>
      <c r="CA175" s="39">
        <f t="shared" si="433"/>
        <v>0.4546205039387255</v>
      </c>
      <c r="CB175" s="39">
        <f t="shared" si="434"/>
        <v>0.49252779862008267</v>
      </c>
      <c r="CC175" s="39">
        <f t="shared" si="435"/>
        <v>0.63025813743133785</v>
      </c>
      <c r="CD175" s="39">
        <f t="shared" si="436"/>
        <v>0.84221967726709435</v>
      </c>
      <c r="CE175" s="39">
        <f t="shared" si="437"/>
        <v>1</v>
      </c>
      <c r="CG175" s="39">
        <f t="shared" si="461"/>
        <v>0.10128586550548681</v>
      </c>
      <c r="CH175" s="39">
        <f t="shared" si="438"/>
        <v>0.1780492221325107</v>
      </c>
      <c r="CI175" s="39">
        <f t="shared" si="439"/>
        <v>0.25654933785845252</v>
      </c>
      <c r="CJ175" s="39">
        <f t="shared" si="440"/>
        <v>0.31969811044283475</v>
      </c>
      <c r="CK175" s="39">
        <f t="shared" si="441"/>
        <v>0.33708732537842345</v>
      </c>
      <c r="CL175" s="39">
        <f t="shared" si="442"/>
        <v>0.46485028628975006</v>
      </c>
      <c r="CM175" s="39">
        <f t="shared" si="443"/>
        <v>0.6237336221061146</v>
      </c>
      <c r="CN175" s="39">
        <f t="shared" si="444"/>
        <v>0.67265934213422918</v>
      </c>
      <c r="CO175" s="39">
        <f t="shared" si="445"/>
        <v>0.7324747669182331</v>
      </c>
      <c r="CP175" s="39">
        <f t="shared" si="446"/>
        <v>0.79715418027318385</v>
      </c>
      <c r="CQ175" s="39">
        <f t="shared" si="447"/>
        <v>0.90648384952868144</v>
      </c>
      <c r="CR175" s="39">
        <f t="shared" si="448"/>
        <v>1</v>
      </c>
    </row>
    <row r="176" spans="1:96">
      <c r="A176" s="193" t="s">
        <v>110</v>
      </c>
      <c r="B176" s="34">
        <v>27316.519999999997</v>
      </c>
      <c r="C176" s="34">
        <v>22412.699999999997</v>
      </c>
      <c r="D176" s="34">
        <v>19511.59</v>
      </c>
      <c r="E176" s="34">
        <v>16203.84</v>
      </c>
      <c r="F176" s="34">
        <v>19043.469999999998</v>
      </c>
      <c r="G176" s="34">
        <v>19339.079999999998</v>
      </c>
      <c r="H176" s="34">
        <v>19756.440000000002</v>
      </c>
      <c r="I176" s="34">
        <v>24212.42</v>
      </c>
      <c r="J176" s="34">
        <v>18606.600000000002</v>
      </c>
      <c r="K176" s="34">
        <v>27588.62</v>
      </c>
      <c r="L176" s="34">
        <v>19574.409999999996</v>
      </c>
      <c r="M176" s="34">
        <v>28531.079999999998</v>
      </c>
      <c r="N176" s="68">
        <f t="shared" si="413"/>
        <v>262096.77</v>
      </c>
      <c r="P176" s="85" t="s">
        <v>110</v>
      </c>
      <c r="Q176" s="34">
        <v>25206</v>
      </c>
      <c r="R176" s="34">
        <v>24300.18</v>
      </c>
      <c r="S176" s="34">
        <v>20486.64</v>
      </c>
      <c r="T176" s="34">
        <v>19694.62</v>
      </c>
      <c r="U176" s="34">
        <v>16056.090000000004</v>
      </c>
      <c r="V176" s="34">
        <v>19167.88</v>
      </c>
      <c r="W176" s="34">
        <v>20964.580000000002</v>
      </c>
      <c r="X176" s="34">
        <v>20686.019999999997</v>
      </c>
      <c r="Y176" s="34">
        <v>19102.05</v>
      </c>
      <c r="Z176" s="34">
        <v>21638.33</v>
      </c>
      <c r="AA176" s="34">
        <v>21191.94</v>
      </c>
      <c r="AB176" s="34">
        <v>24507.47</v>
      </c>
      <c r="AC176" s="68">
        <f t="shared" si="377"/>
        <v>253001.79999999996</v>
      </c>
      <c r="AE176" s="85" t="s">
        <v>110</v>
      </c>
      <c r="AF176" s="34">
        <v>19882.54</v>
      </c>
      <c r="AG176" s="34">
        <v>19280.04</v>
      </c>
      <c r="AH176" s="34">
        <v>21992.210000000003</v>
      </c>
      <c r="AI176" s="34">
        <v>16847.349999999999</v>
      </c>
      <c r="AJ176" s="34">
        <v>17451.100000000002</v>
      </c>
      <c r="AK176" s="34">
        <v>23351.850000000002</v>
      </c>
      <c r="AL176" s="34">
        <v>24320.760000000002</v>
      </c>
      <c r="AM176" s="34">
        <v>27017.820000000003</v>
      </c>
      <c r="AN176" s="34">
        <v>21716.239999999998</v>
      </c>
      <c r="AO176" s="34">
        <v>26536.5</v>
      </c>
      <c r="AP176" s="34">
        <v>30623.34</v>
      </c>
      <c r="AQ176" s="34">
        <v>33568.11</v>
      </c>
      <c r="AR176" s="68">
        <f t="shared" si="378"/>
        <v>282587.86000000004</v>
      </c>
      <c r="AT176" s="39">
        <f t="shared" si="449"/>
        <v>0.10422303182141465</v>
      </c>
      <c r="AU176" s="39">
        <f t="shared" si="450"/>
        <v>0.18973610395885457</v>
      </c>
      <c r="AV176" s="39">
        <f t="shared" si="451"/>
        <v>0.26418032545765446</v>
      </c>
      <c r="AW176" s="39">
        <f t="shared" si="452"/>
        <v>0.32600420829299043</v>
      </c>
      <c r="AX176" s="39">
        <f t="shared" si="453"/>
        <v>0.3986623719170595</v>
      </c>
      <c r="AY176" s="39">
        <f t="shared" si="454"/>
        <v>0.47244840140532829</v>
      </c>
      <c r="AZ176" s="39">
        <f t="shared" si="455"/>
        <v>0.54782681984215231</v>
      </c>
      <c r="BA176" s="39">
        <f t="shared" si="456"/>
        <v>0.64020651608945811</v>
      </c>
      <c r="BB176" s="39">
        <f t="shared" si="457"/>
        <v>0.71119785260993496</v>
      </c>
      <c r="BC176" s="39">
        <f t="shared" si="458"/>
        <v>0.81645905060180635</v>
      </c>
      <c r="BD176" s="39">
        <f t="shared" si="459"/>
        <v>0.89114295456597958</v>
      </c>
      <c r="BE176" s="39">
        <f t="shared" si="460"/>
        <v>1</v>
      </c>
      <c r="BG176" s="39">
        <f t="shared" si="414"/>
        <v>9.9627749683994363E-2</v>
      </c>
      <c r="BH176" s="39">
        <f t="shared" si="415"/>
        <v>0.19567520863487931</v>
      </c>
      <c r="BI176" s="39">
        <f t="shared" si="416"/>
        <v>0.27664949419332202</v>
      </c>
      <c r="BJ176" s="39">
        <f t="shared" si="417"/>
        <v>0.35449328819004455</v>
      </c>
      <c r="BK176" s="39">
        <f t="shared" si="418"/>
        <v>0.41795564300333049</v>
      </c>
      <c r="BL176" s="39">
        <f t="shared" si="419"/>
        <v>0.49371747552784218</v>
      </c>
      <c r="BM176" s="39">
        <f t="shared" si="420"/>
        <v>0.57658083855529885</v>
      </c>
      <c r="BN176" s="39">
        <f t="shared" si="421"/>
        <v>0.65834318174811413</v>
      </c>
      <c r="BO176" s="39">
        <f t="shared" si="422"/>
        <v>0.73384481849536243</v>
      </c>
      <c r="BP176" s="39">
        <f t="shared" si="423"/>
        <v>0.81937120605466041</v>
      </c>
      <c r="BQ176" s="39">
        <f t="shared" si="424"/>
        <v>0.90313321881504394</v>
      </c>
      <c r="BR176" s="39">
        <f t="shared" si="425"/>
        <v>1</v>
      </c>
      <c r="BS176" s="61"/>
      <c r="BT176" s="39">
        <f t="shared" si="426"/>
        <v>7.035879035992558E-2</v>
      </c>
      <c r="BU176" s="39">
        <f t="shared" si="427"/>
        <v>0.13858550045285029</v>
      </c>
      <c r="BV176" s="39">
        <f t="shared" si="428"/>
        <v>0.21640982737191894</v>
      </c>
      <c r="BW176" s="39">
        <f t="shared" si="429"/>
        <v>0.27602792278479338</v>
      </c>
      <c r="BX176" s="39">
        <f t="shared" si="430"/>
        <v>0.33778252186771224</v>
      </c>
      <c r="BY176" s="39">
        <f t="shared" si="431"/>
        <v>0.42041823735810874</v>
      </c>
      <c r="BZ176" s="39">
        <f t="shared" si="432"/>
        <v>0.50648265640286183</v>
      </c>
      <c r="CA176" s="39">
        <f t="shared" si="433"/>
        <v>0.602091222177768</v>
      </c>
      <c r="CB176" s="39">
        <f t="shared" si="434"/>
        <v>0.67893896786648944</v>
      </c>
      <c r="CC176" s="39">
        <f t="shared" si="435"/>
        <v>0.77284427575905068</v>
      </c>
      <c r="CD176" s="39">
        <f t="shared" si="436"/>
        <v>0.88121177604727952</v>
      </c>
      <c r="CE176" s="39">
        <f t="shared" si="437"/>
        <v>1</v>
      </c>
      <c r="CG176" s="39">
        <f t="shared" si="461"/>
        <v>9.1403190621778208E-2</v>
      </c>
      <c r="CH176" s="39">
        <f t="shared" si="438"/>
        <v>0.17466560434886139</v>
      </c>
      <c r="CI176" s="39">
        <f t="shared" si="439"/>
        <v>0.25241321567429847</v>
      </c>
      <c r="CJ176" s="39">
        <f t="shared" si="440"/>
        <v>0.31884180642260945</v>
      </c>
      <c r="CK176" s="39">
        <f t="shared" si="441"/>
        <v>0.38480017892936741</v>
      </c>
      <c r="CL176" s="39">
        <f t="shared" si="442"/>
        <v>0.46219470476375973</v>
      </c>
      <c r="CM176" s="39">
        <f t="shared" si="443"/>
        <v>0.54363010493343766</v>
      </c>
      <c r="CN176" s="39">
        <f t="shared" si="444"/>
        <v>0.63354697333844667</v>
      </c>
      <c r="CO176" s="39">
        <f t="shared" si="445"/>
        <v>0.70799387965726235</v>
      </c>
      <c r="CP176" s="39">
        <f t="shared" si="446"/>
        <v>0.80289151080517251</v>
      </c>
      <c r="CQ176" s="39">
        <f t="shared" si="447"/>
        <v>0.89182931647610098</v>
      </c>
      <c r="CR176" s="39">
        <f t="shared" si="448"/>
        <v>1</v>
      </c>
    </row>
    <row r="177" spans="1:96">
      <c r="A177" s="193" t="s">
        <v>111</v>
      </c>
      <c r="B177" s="34">
        <v>201480.96999999997</v>
      </c>
      <c r="C177" s="34">
        <v>177872.01999999996</v>
      </c>
      <c r="D177" s="34">
        <v>133083.97999999998</v>
      </c>
      <c r="E177" s="34">
        <v>154355.25299999997</v>
      </c>
      <c r="F177" s="34">
        <v>163712.07999999999</v>
      </c>
      <c r="G177" s="34">
        <v>145435.54999999999</v>
      </c>
      <c r="H177" s="34">
        <v>364284.82000000007</v>
      </c>
      <c r="I177" s="34">
        <v>359099.07</v>
      </c>
      <c r="J177" s="34">
        <v>302538.58000000007</v>
      </c>
      <c r="K177" s="34">
        <v>338203.02999999997</v>
      </c>
      <c r="L177" s="34">
        <v>298125.02</v>
      </c>
      <c r="M177" s="34">
        <v>381315.9</v>
      </c>
      <c r="N177" s="68">
        <f t="shared" si="413"/>
        <v>3019506.273</v>
      </c>
      <c r="P177" s="85" t="s">
        <v>111</v>
      </c>
      <c r="Q177" s="34">
        <v>371474.49</v>
      </c>
      <c r="R177" s="34">
        <v>231778.66999999998</v>
      </c>
      <c r="S177" s="34">
        <v>129337.14</v>
      </c>
      <c r="T177" s="34">
        <v>237933.15</v>
      </c>
      <c r="U177" s="34">
        <v>145760.25</v>
      </c>
      <c r="V177" s="34">
        <v>165141.49000000005</v>
      </c>
      <c r="W177" s="34">
        <v>194269.71</v>
      </c>
      <c r="X177" s="34">
        <v>180706.38000000003</v>
      </c>
      <c r="Y177" s="34">
        <v>149407.53</v>
      </c>
      <c r="Z177" s="34">
        <v>205713.88</v>
      </c>
      <c r="AA177" s="34">
        <v>172583.83999999997</v>
      </c>
      <c r="AB177" s="34">
        <v>221494.94000000003</v>
      </c>
      <c r="AC177" s="68">
        <f t="shared" si="377"/>
        <v>2405601.4699999997</v>
      </c>
      <c r="AE177" s="85" t="s">
        <v>111</v>
      </c>
      <c r="AF177" s="34">
        <v>353830.77</v>
      </c>
      <c r="AG177" s="34">
        <v>134829.67000000001</v>
      </c>
      <c r="AH177" s="34">
        <v>236366.44999999998</v>
      </c>
      <c r="AI177" s="34">
        <v>111216.18000000002</v>
      </c>
      <c r="AJ177" s="34">
        <v>218493.93</v>
      </c>
      <c r="AK177" s="34">
        <v>175736.38</v>
      </c>
      <c r="AL177" s="34">
        <v>188837.28</v>
      </c>
      <c r="AM177" s="34">
        <v>254618.71000000002</v>
      </c>
      <c r="AN177" s="34">
        <v>189813.6</v>
      </c>
      <c r="AO177" s="34">
        <v>421145.01000000007</v>
      </c>
      <c r="AP177" s="34">
        <v>308267.85000000003</v>
      </c>
      <c r="AQ177" s="34">
        <v>175163.59</v>
      </c>
      <c r="AR177" s="68">
        <f t="shared" si="378"/>
        <v>2768319.42</v>
      </c>
      <c r="AT177" s="39">
        <f t="shared" si="449"/>
        <v>6.6726461806559056E-2</v>
      </c>
      <c r="AU177" s="39">
        <f t="shared" si="450"/>
        <v>0.12563411223620263</v>
      </c>
      <c r="AV177" s="39">
        <f t="shared" si="451"/>
        <v>0.16970886087640855</v>
      </c>
      <c r="AW177" s="39">
        <f t="shared" si="452"/>
        <v>0.22082822909240563</v>
      </c>
      <c r="AX177" s="39">
        <f t="shared" si="453"/>
        <v>0.2750463910031426</v>
      </c>
      <c r="AY177" s="39">
        <f t="shared" si="454"/>
        <v>0.32321173223805383</v>
      </c>
      <c r="AZ177" s="39">
        <f t="shared" si="455"/>
        <v>0.44385556837026646</v>
      </c>
      <c r="BA177" s="39">
        <f t="shared" si="456"/>
        <v>0.56278198796773948</v>
      </c>
      <c r="BB177" s="39">
        <f t="shared" si="457"/>
        <v>0.66297670612588921</v>
      </c>
      <c r="BC177" s="39">
        <f t="shared" si="458"/>
        <v>0.77498277580163855</v>
      </c>
      <c r="BD177" s="39">
        <f t="shared" si="459"/>
        <v>0.87371581128687392</v>
      </c>
      <c r="BE177" s="39">
        <f t="shared" si="460"/>
        <v>1</v>
      </c>
      <c r="BG177" s="39">
        <f t="shared" si="414"/>
        <v>0.1544206281184223</v>
      </c>
      <c r="BH177" s="39">
        <f t="shared" si="415"/>
        <v>0.25077019927161914</v>
      </c>
      <c r="BI177" s="39">
        <f t="shared" si="416"/>
        <v>0.30453518969623844</v>
      </c>
      <c r="BJ177" s="39">
        <f t="shared" si="417"/>
        <v>0.40344315635956113</v>
      </c>
      <c r="BK177" s="39">
        <f t="shared" si="418"/>
        <v>0.4640351753692602</v>
      </c>
      <c r="BL177" s="39">
        <f t="shared" si="419"/>
        <v>0.53268390711450642</v>
      </c>
      <c r="BM177" s="39">
        <f t="shared" si="420"/>
        <v>0.61344113661520172</v>
      </c>
      <c r="BN177" s="39">
        <f t="shared" si="421"/>
        <v>0.6885601379350671</v>
      </c>
      <c r="BO177" s="39">
        <f t="shared" si="422"/>
        <v>0.75066831830627379</v>
      </c>
      <c r="BP177" s="39">
        <f t="shared" si="423"/>
        <v>0.83618284869105941</v>
      </c>
      <c r="BQ177" s="39">
        <f t="shared" si="424"/>
        <v>0.90792533893820748</v>
      </c>
      <c r="BR177" s="39">
        <f t="shared" si="425"/>
        <v>1</v>
      </c>
      <c r="BS177" s="61"/>
      <c r="BT177" s="39">
        <f t="shared" si="426"/>
        <v>0.12781428596848843</v>
      </c>
      <c r="BU177" s="39">
        <f t="shared" si="427"/>
        <v>0.17651880648946214</v>
      </c>
      <c r="BV177" s="39">
        <f t="shared" si="428"/>
        <v>0.26190145716638435</v>
      </c>
      <c r="BW177" s="39">
        <f t="shared" si="429"/>
        <v>0.3020760769001144</v>
      </c>
      <c r="BX177" s="39">
        <f t="shared" si="430"/>
        <v>0.38100263733294187</v>
      </c>
      <c r="BY177" s="39">
        <f t="shared" si="431"/>
        <v>0.44448388835129432</v>
      </c>
      <c r="BZ177" s="39">
        <f t="shared" si="432"/>
        <v>0.51269757736265853</v>
      </c>
      <c r="CA177" s="39">
        <f t="shared" si="433"/>
        <v>0.60467349176057139</v>
      </c>
      <c r="CB177" s="39">
        <f t="shared" si="434"/>
        <v>0.67323985683704091</v>
      </c>
      <c r="CC177" s="39">
        <f t="shared" si="435"/>
        <v>0.82537006513504141</v>
      </c>
      <c r="CD177" s="39">
        <f t="shared" si="436"/>
        <v>0.93672565790836382</v>
      </c>
      <c r="CE177" s="39">
        <f t="shared" si="437"/>
        <v>1</v>
      </c>
      <c r="CG177" s="39">
        <f t="shared" si="461"/>
        <v>0.11632045863115659</v>
      </c>
      <c r="CH177" s="39">
        <f t="shared" si="438"/>
        <v>0.18430770599909463</v>
      </c>
      <c r="CI177" s="39">
        <f t="shared" si="439"/>
        <v>0.24538183591301044</v>
      </c>
      <c r="CJ177" s="39">
        <f t="shared" si="440"/>
        <v>0.30878248745069375</v>
      </c>
      <c r="CK177" s="39">
        <f t="shared" si="441"/>
        <v>0.37336140123511491</v>
      </c>
      <c r="CL177" s="39">
        <f t="shared" si="442"/>
        <v>0.4334598425679515</v>
      </c>
      <c r="CM177" s="39">
        <f t="shared" si="443"/>
        <v>0.52333142744937555</v>
      </c>
      <c r="CN177" s="39">
        <f t="shared" si="444"/>
        <v>0.61867187255445932</v>
      </c>
      <c r="CO177" s="39">
        <f t="shared" si="445"/>
        <v>0.69562829375640123</v>
      </c>
      <c r="CP177" s="39">
        <f t="shared" si="446"/>
        <v>0.81217856320924653</v>
      </c>
      <c r="CQ177" s="39">
        <f t="shared" si="447"/>
        <v>0.90612226937781504</v>
      </c>
      <c r="CR177" s="39">
        <f t="shared" si="448"/>
        <v>1</v>
      </c>
    </row>
    <row r="178" spans="1:96">
      <c r="A178" s="193" t="s">
        <v>112</v>
      </c>
      <c r="B178" s="34">
        <v>4319.2900000000009</v>
      </c>
      <c r="C178" s="34">
        <v>5871.62</v>
      </c>
      <c r="D178" s="34">
        <v>5345.0699999999988</v>
      </c>
      <c r="E178" s="34">
        <v>5209.5599999999995</v>
      </c>
      <c r="F178" s="34">
        <v>4072.0099999999998</v>
      </c>
      <c r="G178" s="34">
        <v>4510.26</v>
      </c>
      <c r="H178" s="34">
        <v>4942.8899999999994</v>
      </c>
      <c r="I178" s="34">
        <v>3550.8100000000004</v>
      </c>
      <c r="J178" s="34">
        <v>2982.26</v>
      </c>
      <c r="K178" s="34">
        <v>5307.81</v>
      </c>
      <c r="L178" s="34">
        <v>4324.45</v>
      </c>
      <c r="M178" s="34">
        <v>4522.2299999999996</v>
      </c>
      <c r="N178" s="68">
        <f t="shared" si="413"/>
        <v>54958.259999999995</v>
      </c>
      <c r="P178" s="85" t="s">
        <v>112</v>
      </c>
      <c r="Q178" s="34">
        <v>8224.2199999999993</v>
      </c>
      <c r="R178" s="34">
        <v>4538.32</v>
      </c>
      <c r="S178" s="34">
        <v>6058.52</v>
      </c>
      <c r="T178" s="34">
        <v>3106.0899999999997</v>
      </c>
      <c r="U178" s="34">
        <v>2353.31</v>
      </c>
      <c r="V178" s="34">
        <v>4214.9800000000005</v>
      </c>
      <c r="W178" s="34">
        <v>4895.1000000000004</v>
      </c>
      <c r="X178" s="34">
        <v>2462.11</v>
      </c>
      <c r="Y178" s="34">
        <v>2556.63</v>
      </c>
      <c r="Z178" s="34">
        <v>5190.0199999999995</v>
      </c>
      <c r="AA178" s="34">
        <v>4060.1</v>
      </c>
      <c r="AB178" s="34">
        <v>3642.9100000000003</v>
      </c>
      <c r="AC178" s="68">
        <f t="shared" si="377"/>
        <v>51302.31</v>
      </c>
      <c r="AE178" s="85" t="s">
        <v>112</v>
      </c>
      <c r="AF178" s="34">
        <v>4369.8900000000003</v>
      </c>
      <c r="AG178" s="34">
        <v>3472.5600000000004</v>
      </c>
      <c r="AH178" s="34">
        <v>3322.8</v>
      </c>
      <c r="AI178" s="34">
        <v>2108.15</v>
      </c>
      <c r="AJ178" s="34">
        <v>2598.85</v>
      </c>
      <c r="AK178" s="34">
        <v>3496.7899999999995</v>
      </c>
      <c r="AL178" s="34">
        <v>4052.7799999999997</v>
      </c>
      <c r="AM178" s="34">
        <v>4258.83</v>
      </c>
      <c r="AN178" s="34">
        <v>3782.24</v>
      </c>
      <c r="AO178" s="34">
        <v>3831.54</v>
      </c>
      <c r="AP178" s="34">
        <v>3070.96</v>
      </c>
      <c r="AQ178" s="34">
        <v>6624.99</v>
      </c>
      <c r="AR178" s="68">
        <f t="shared" si="378"/>
        <v>44990.38</v>
      </c>
      <c r="AT178" s="39">
        <f t="shared" si="449"/>
        <v>7.8592189781845373E-2</v>
      </c>
      <c r="AU178" s="39">
        <f t="shared" si="450"/>
        <v>0.18542999723790385</v>
      </c>
      <c r="AV178" s="39">
        <f t="shared" si="451"/>
        <v>0.28268689729259988</v>
      </c>
      <c r="AW178" s="39">
        <f t="shared" si="452"/>
        <v>0.37747810793136471</v>
      </c>
      <c r="AX178" s="39">
        <f t="shared" si="453"/>
        <v>0.45157088306653087</v>
      </c>
      <c r="AY178" s="39">
        <f t="shared" si="454"/>
        <v>0.53363789173820275</v>
      </c>
      <c r="AZ178" s="39">
        <f t="shared" si="455"/>
        <v>0.62357687452259225</v>
      </c>
      <c r="BA178" s="39">
        <f t="shared" si="456"/>
        <v>0.68818608886089183</v>
      </c>
      <c r="BB178" s="39">
        <f t="shared" si="457"/>
        <v>0.74245017946346925</v>
      </c>
      <c r="BC178" s="39">
        <f t="shared" si="458"/>
        <v>0.83902911045582595</v>
      </c>
      <c r="BD178" s="39">
        <f t="shared" si="459"/>
        <v>0.91771518967303545</v>
      </c>
      <c r="BE178" s="39">
        <f t="shared" si="460"/>
        <v>1</v>
      </c>
      <c r="BG178" s="39">
        <f t="shared" si="414"/>
        <v>0.16030896074660186</v>
      </c>
      <c r="BH178" s="39">
        <f t="shared" si="415"/>
        <v>0.2487712541599004</v>
      </c>
      <c r="BI178" s="39">
        <f t="shared" si="416"/>
        <v>0.36686574152313994</v>
      </c>
      <c r="BJ178" s="39">
        <f t="shared" si="417"/>
        <v>0.4274105785879817</v>
      </c>
      <c r="BK178" s="39">
        <f t="shared" si="418"/>
        <v>0.47328200231139689</v>
      </c>
      <c r="BL178" s="39">
        <f t="shared" si="419"/>
        <v>0.55544165555118274</v>
      </c>
      <c r="BM178" s="39">
        <f t="shared" si="420"/>
        <v>0.65085841163877423</v>
      </c>
      <c r="BN178" s="39">
        <f t="shared" si="421"/>
        <v>0.69885059756568468</v>
      </c>
      <c r="BO178" s="39">
        <f t="shared" si="422"/>
        <v>0.74868519565688174</v>
      </c>
      <c r="BP178" s="39">
        <f t="shared" si="423"/>
        <v>0.84985062076152118</v>
      </c>
      <c r="BQ178" s="39">
        <f t="shared" si="424"/>
        <v>0.92899130662927254</v>
      </c>
      <c r="BR178" s="39">
        <f t="shared" si="425"/>
        <v>1</v>
      </c>
      <c r="BS178" s="61"/>
      <c r="BT178" s="39">
        <f t="shared" si="426"/>
        <v>9.7129430780535764E-2</v>
      </c>
      <c r="BU178" s="39">
        <f t="shared" si="427"/>
        <v>0.17431393111149543</v>
      </c>
      <c r="BV178" s="39">
        <f t="shared" si="428"/>
        <v>0.24816971983788536</v>
      </c>
      <c r="BW178" s="39">
        <f t="shared" si="429"/>
        <v>0.29502751477093547</v>
      </c>
      <c r="BX178" s="39">
        <f t="shared" si="430"/>
        <v>0.35279208577478122</v>
      </c>
      <c r="BY178" s="39">
        <f t="shared" si="431"/>
        <v>0.4305151456822548</v>
      </c>
      <c r="BZ178" s="39">
        <f t="shared" si="432"/>
        <v>0.52059618078353642</v>
      </c>
      <c r="CA178" s="39">
        <f t="shared" si="433"/>
        <v>0.61525708384770261</v>
      </c>
      <c r="CB178" s="39">
        <f t="shared" si="434"/>
        <v>0.69932483344217145</v>
      </c>
      <c r="CC178" s="39">
        <f t="shared" si="435"/>
        <v>0.78448837284770656</v>
      </c>
      <c r="CD178" s="39">
        <f t="shared" si="436"/>
        <v>0.85274652047837785</v>
      </c>
      <c r="CE178" s="39">
        <f t="shared" si="437"/>
        <v>1</v>
      </c>
      <c r="CG178" s="39">
        <f t="shared" si="461"/>
        <v>0.112010193769661</v>
      </c>
      <c r="CH178" s="39">
        <f t="shared" si="438"/>
        <v>0.20283839416976657</v>
      </c>
      <c r="CI178" s="39">
        <f t="shared" si="439"/>
        <v>0.29924078621787503</v>
      </c>
      <c r="CJ178" s="39">
        <f t="shared" si="440"/>
        <v>0.36663873376342732</v>
      </c>
      <c r="CK178" s="39">
        <f t="shared" si="441"/>
        <v>0.42588165705090297</v>
      </c>
      <c r="CL178" s="39">
        <f t="shared" si="442"/>
        <v>0.50653156432388002</v>
      </c>
      <c r="CM178" s="39">
        <f t="shared" si="443"/>
        <v>0.59834382231496763</v>
      </c>
      <c r="CN178" s="39">
        <f t="shared" si="444"/>
        <v>0.66743125675809312</v>
      </c>
      <c r="CO178" s="39">
        <f t="shared" si="445"/>
        <v>0.73015340285417418</v>
      </c>
      <c r="CP178" s="39">
        <f t="shared" si="446"/>
        <v>0.82445603468835127</v>
      </c>
      <c r="CQ178" s="39">
        <f t="shared" si="447"/>
        <v>0.89981767226022857</v>
      </c>
      <c r="CR178" s="39">
        <f t="shared" si="448"/>
        <v>1</v>
      </c>
    </row>
    <row r="179" spans="1:96">
      <c r="A179" s="193" t="s">
        <v>113</v>
      </c>
      <c r="B179" s="34">
        <v>4744.0700000000006</v>
      </c>
      <c r="C179" s="34">
        <v>4410.41</v>
      </c>
      <c r="D179" s="34">
        <v>3444.4500000000003</v>
      </c>
      <c r="E179" s="34">
        <v>3241.51</v>
      </c>
      <c r="F179" s="34">
        <v>4231.5199999999995</v>
      </c>
      <c r="G179" s="34">
        <v>5397.8600000000015</v>
      </c>
      <c r="H179" s="34">
        <v>7838.3600000000015</v>
      </c>
      <c r="I179" s="34">
        <v>16891.579999999998</v>
      </c>
      <c r="J179" s="34">
        <v>4490.5200000000004</v>
      </c>
      <c r="K179" s="34">
        <v>7979.1799999999994</v>
      </c>
      <c r="L179" s="34">
        <v>4350.6400000000003</v>
      </c>
      <c r="M179" s="34">
        <v>6159.1500000000005</v>
      </c>
      <c r="N179" s="68">
        <f t="shared" si="413"/>
        <v>73179.25</v>
      </c>
      <c r="P179" s="85" t="s">
        <v>113</v>
      </c>
      <c r="Q179" s="34">
        <v>1673.58</v>
      </c>
      <c r="R179" s="34">
        <v>2120.9</v>
      </c>
      <c r="S179" s="34">
        <v>1382.4199999999998</v>
      </c>
      <c r="T179" s="34">
        <v>1751.8899999999999</v>
      </c>
      <c r="U179" s="34">
        <v>1305.6599999999999</v>
      </c>
      <c r="V179" s="34">
        <v>3016.92</v>
      </c>
      <c r="W179" s="34">
        <v>2699.41</v>
      </c>
      <c r="X179" s="34">
        <v>3514.82</v>
      </c>
      <c r="Y179" s="34">
        <v>2342.98</v>
      </c>
      <c r="Z179" s="34">
        <v>4315.84</v>
      </c>
      <c r="AA179" s="34">
        <v>4941.1499999999996</v>
      </c>
      <c r="AB179" s="34">
        <v>4204.12</v>
      </c>
      <c r="AC179" s="68">
        <f t="shared" si="377"/>
        <v>33269.69</v>
      </c>
      <c r="AE179" s="85" t="s">
        <v>113</v>
      </c>
      <c r="AF179" s="34">
        <v>2482.61</v>
      </c>
      <c r="AG179" s="34">
        <v>1640.44</v>
      </c>
      <c r="AH179" s="34">
        <v>2445.3199999999997</v>
      </c>
      <c r="AI179" s="34">
        <v>1148.8699999999999</v>
      </c>
      <c r="AJ179" s="34">
        <v>1573.44</v>
      </c>
      <c r="AK179" s="34">
        <v>1473.06</v>
      </c>
      <c r="AL179" s="34">
        <v>2324.16</v>
      </c>
      <c r="AM179" s="34">
        <v>2783.7099999999996</v>
      </c>
      <c r="AN179" s="34">
        <v>3113.3099999999995</v>
      </c>
      <c r="AO179" s="34">
        <v>4862.92</v>
      </c>
      <c r="AP179" s="34">
        <v>3650.08</v>
      </c>
      <c r="AQ179" s="34">
        <v>2998.04</v>
      </c>
      <c r="AR179" s="68">
        <f t="shared" si="378"/>
        <v>30495.96</v>
      </c>
      <c r="AT179" s="39">
        <f t="shared" si="449"/>
        <v>6.4828076264788176E-2</v>
      </c>
      <c r="AU179" s="39">
        <f t="shared" si="450"/>
        <v>0.12509666333011066</v>
      </c>
      <c r="AV179" s="39">
        <f t="shared" si="451"/>
        <v>0.17216533375239565</v>
      </c>
      <c r="AW179" s="39">
        <f t="shared" si="452"/>
        <v>0.21646081368693995</v>
      </c>
      <c r="AX179" s="39">
        <f t="shared" si="453"/>
        <v>0.27428485533809105</v>
      </c>
      <c r="AY179" s="39">
        <f t="shared" si="454"/>
        <v>0.34804702152591066</v>
      </c>
      <c r="AZ179" s="39">
        <f t="shared" si="455"/>
        <v>0.4551588052624207</v>
      </c>
      <c r="BA179" s="39">
        <f t="shared" si="456"/>
        <v>0.68598352675109397</v>
      </c>
      <c r="BB179" s="39">
        <f t="shared" si="457"/>
        <v>0.74734682304068434</v>
      </c>
      <c r="BC179" s="39">
        <f t="shared" si="458"/>
        <v>0.85638292275474259</v>
      </c>
      <c r="BD179" s="39">
        <f t="shared" si="459"/>
        <v>0.91583474823805933</v>
      </c>
      <c r="BE179" s="39">
        <f t="shared" si="460"/>
        <v>1</v>
      </c>
      <c r="BG179" s="39">
        <f t="shared" si="414"/>
        <v>5.0303444366328623E-2</v>
      </c>
      <c r="BH179" s="39">
        <f t="shared" si="415"/>
        <v>0.11405215978868453</v>
      </c>
      <c r="BI179" s="39">
        <f t="shared" si="416"/>
        <v>0.15560409489838947</v>
      </c>
      <c r="BJ179" s="39">
        <f t="shared" si="417"/>
        <v>0.20826133336379143</v>
      </c>
      <c r="BK179" s="39">
        <f t="shared" si="418"/>
        <v>0.24750606332670963</v>
      </c>
      <c r="BL179" s="39">
        <f t="shared" si="419"/>
        <v>0.33818680005734947</v>
      </c>
      <c r="BM179" s="39">
        <f t="shared" si="420"/>
        <v>0.41932401534249336</v>
      </c>
      <c r="BN179" s="39">
        <f t="shared" si="421"/>
        <v>0.52497032584313219</v>
      </c>
      <c r="BO179" s="39">
        <f t="shared" si="422"/>
        <v>0.59539418611955797</v>
      </c>
      <c r="BP179" s="39">
        <f t="shared" si="423"/>
        <v>0.72511706601414072</v>
      </c>
      <c r="BQ179" s="39">
        <f t="shared" si="424"/>
        <v>0.87363513155668115</v>
      </c>
      <c r="BR179" s="39">
        <f t="shared" si="425"/>
        <v>1</v>
      </c>
      <c r="BS179" s="61"/>
      <c r="BT179" s="39">
        <f t="shared" si="426"/>
        <v>8.1407832381731882E-2</v>
      </c>
      <c r="BU179" s="39">
        <f t="shared" si="427"/>
        <v>0.13519987565566063</v>
      </c>
      <c r="BV179" s="39">
        <f t="shared" si="428"/>
        <v>0.21538492311768509</v>
      </c>
      <c r="BW179" s="39">
        <f t="shared" si="429"/>
        <v>0.25305778207998697</v>
      </c>
      <c r="BX179" s="39">
        <f t="shared" si="430"/>
        <v>0.30465281302834868</v>
      </c>
      <c r="BY179" s="39">
        <f t="shared" si="431"/>
        <v>0.35295626043580852</v>
      </c>
      <c r="BZ179" s="39">
        <f t="shared" si="432"/>
        <v>0.42916832262371801</v>
      </c>
      <c r="CA179" s="39">
        <f t="shared" si="433"/>
        <v>0.5204495939790057</v>
      </c>
      <c r="CB179" s="39">
        <f t="shared" si="434"/>
        <v>0.62253885432693379</v>
      </c>
      <c r="CC179" s="39">
        <f t="shared" si="435"/>
        <v>0.78199997639031527</v>
      </c>
      <c r="CD179" s="39">
        <f t="shared" si="436"/>
        <v>0.90169058458890949</v>
      </c>
      <c r="CE179" s="39">
        <f t="shared" si="437"/>
        <v>1</v>
      </c>
      <c r="CG179" s="39">
        <f t="shared" si="461"/>
        <v>6.5513117670949569E-2</v>
      </c>
      <c r="CH179" s="39">
        <f t="shared" si="438"/>
        <v>0.12478289959148529</v>
      </c>
      <c r="CI179" s="39">
        <f t="shared" si="439"/>
        <v>0.1810514505894901</v>
      </c>
      <c r="CJ179" s="39">
        <f t="shared" si="440"/>
        <v>0.22592664304357279</v>
      </c>
      <c r="CK179" s="39">
        <f t="shared" si="441"/>
        <v>0.27548124389771644</v>
      </c>
      <c r="CL179" s="39">
        <f t="shared" si="442"/>
        <v>0.34639669400635625</v>
      </c>
      <c r="CM179" s="39">
        <f t="shared" si="443"/>
        <v>0.43455038107621063</v>
      </c>
      <c r="CN179" s="39">
        <f t="shared" si="444"/>
        <v>0.57713448219107732</v>
      </c>
      <c r="CO179" s="39">
        <f t="shared" si="445"/>
        <v>0.65509328782905873</v>
      </c>
      <c r="CP179" s="39">
        <f t="shared" si="446"/>
        <v>0.78783332171973275</v>
      </c>
      <c r="CQ179" s="39">
        <f t="shared" si="447"/>
        <v>0.89705348812788344</v>
      </c>
      <c r="CR179" s="39">
        <f t="shared" si="448"/>
        <v>1</v>
      </c>
    </row>
    <row r="180" spans="1:96">
      <c r="A180" s="193" t="s">
        <v>241</v>
      </c>
      <c r="P180" s="176" t="s">
        <v>241</v>
      </c>
      <c r="AT180" s="61">
        <f>AVERAGE(AT153:AT179)</f>
        <v>7.5900726707299138E-2</v>
      </c>
      <c r="AU180" s="61">
        <f t="shared" ref="AU180:BE180" si="462">AVERAGE(AU153:AU179)</f>
        <v>0.15724079596675528</v>
      </c>
      <c r="AV180" s="61">
        <f t="shared" si="462"/>
        <v>0.22202602229253796</v>
      </c>
      <c r="AW180" s="61">
        <f t="shared" si="462"/>
        <v>0.28969721654557745</v>
      </c>
      <c r="AX180" s="61">
        <f t="shared" si="462"/>
        <v>0.35766146266683374</v>
      </c>
      <c r="AY180" s="61">
        <f t="shared" si="462"/>
        <v>0.42854616843556781</v>
      </c>
      <c r="AZ180" s="61">
        <f t="shared" si="462"/>
        <v>0.52218442918099683</v>
      </c>
      <c r="BA180" s="61">
        <f t="shared" si="462"/>
        <v>0.60536962195728705</v>
      </c>
      <c r="BB180" s="61">
        <f t="shared" si="462"/>
        <v>0.68187390814191462</v>
      </c>
      <c r="BC180" s="61">
        <f t="shared" si="462"/>
        <v>0.78876348692535148</v>
      </c>
      <c r="BD180" s="61">
        <f t="shared" si="462"/>
        <v>0.88899134521324874</v>
      </c>
      <c r="BE180" s="61">
        <f t="shared" si="462"/>
        <v>1</v>
      </c>
      <c r="BG180" s="61">
        <f>AVERAGE(BG153:BG179)</f>
        <v>0.10122043145592802</v>
      </c>
      <c r="BH180" s="61">
        <f t="shared" ref="BH180" si="463">AVERAGE(BH153:BH179)</f>
        <v>0.18977230821424826</v>
      </c>
      <c r="BI180" s="61">
        <f t="shared" ref="BI180" si="464">AVERAGE(BI153:BI179)</f>
        <v>0.27008092300302955</v>
      </c>
      <c r="BJ180" s="61">
        <f t="shared" ref="BJ180" si="465">AVERAGE(BJ153:BJ179)</f>
        <v>0.34387458177756713</v>
      </c>
      <c r="BK180" s="61">
        <f t="shared" ref="BK180" si="466">AVERAGE(BK153:BK179)</f>
        <v>0.41247486138097933</v>
      </c>
      <c r="BL180" s="61">
        <f t="shared" ref="BL180" si="467">AVERAGE(BL153:BL179)</f>
        <v>0.48745533933393098</v>
      </c>
      <c r="BM180" s="61">
        <f t="shared" ref="BM180" si="468">AVERAGE(BM153:BM179)</f>
        <v>0.58070403500346235</v>
      </c>
      <c r="BN180" s="61">
        <f t="shared" ref="BN180" si="469">AVERAGE(BN153:BN179)</f>
        <v>0.66922070035172443</v>
      </c>
      <c r="BO180" s="61">
        <f t="shared" ref="BO180" si="470">AVERAGE(BO153:BO179)</f>
        <v>0.74014537057519336</v>
      </c>
      <c r="BP180" s="61">
        <f t="shared" ref="BP180" si="471">AVERAGE(BP153:BP179)</f>
        <v>0.82680934092685276</v>
      </c>
      <c r="BQ180" s="61">
        <f t="shared" ref="BQ180" si="472">AVERAGE(BQ153:BQ179)</f>
        <v>0.90758874719744742</v>
      </c>
      <c r="BR180" s="61">
        <f t="shared" ref="BR180" si="473">AVERAGE(BR153:BR179)</f>
        <v>1</v>
      </c>
      <c r="BS180" s="61"/>
      <c r="BT180" s="61">
        <f>AVERAGE(BT153:BT179)</f>
        <v>7.9920492606027835E-2</v>
      </c>
      <c r="BU180" s="61">
        <f t="shared" ref="BU180" si="474">AVERAGE(BU153:BU179)</f>
        <v>0.15384415492752232</v>
      </c>
      <c r="BV180" s="61">
        <f t="shared" ref="BV180" si="475">AVERAGE(BV153:BV179)</f>
        <v>0.22830558072031937</v>
      </c>
      <c r="BW180" s="61">
        <f t="shared" ref="BW180" si="476">AVERAGE(BW153:BW179)</f>
        <v>0.28331150096480612</v>
      </c>
      <c r="BX180" s="61">
        <f t="shared" ref="BX180" si="477">AVERAGE(BX153:BX179)</f>
        <v>0.34906780349349614</v>
      </c>
      <c r="BY180" s="61">
        <f t="shared" ref="BY180" si="478">AVERAGE(BY153:BY179)</f>
        <v>0.41750971020454258</v>
      </c>
      <c r="BZ180" s="61">
        <f t="shared" ref="BZ180" si="479">AVERAGE(BZ153:BZ179)</f>
        <v>0.48964688628300945</v>
      </c>
      <c r="CA180" s="61">
        <f t="shared" ref="CA180" si="480">AVERAGE(CA153:CA179)</f>
        <v>0.58877191099081627</v>
      </c>
      <c r="CB180" s="61">
        <f t="shared" ref="CB180" si="481">AVERAGE(CB153:CB179)</f>
        <v>0.67579063761636937</v>
      </c>
      <c r="CC180" s="61">
        <f t="shared" ref="CC180" si="482">AVERAGE(CC153:CC179)</f>
        <v>0.77763884567388653</v>
      </c>
      <c r="CD180" s="61">
        <f t="shared" ref="CD180" si="483">AVERAGE(CD153:CD179)</f>
        <v>0.89532614055655768</v>
      </c>
      <c r="CE180" s="61">
        <f t="shared" ref="CE180" si="484">AVERAGE(CE153:CE179)</f>
        <v>1</v>
      </c>
      <c r="CG180" s="61">
        <f>AVERAGE(CG153:CG179)</f>
        <v>8.5680550256418311E-2</v>
      </c>
      <c r="CH180" s="61">
        <f t="shared" ref="CH180" si="485">AVERAGE(CH153:CH179)</f>
        <v>0.16695241970284197</v>
      </c>
      <c r="CI180" s="61">
        <f t="shared" ref="CI180" si="486">AVERAGE(CI153:CI179)</f>
        <v>0.24013750867196221</v>
      </c>
      <c r="CJ180" s="61">
        <f t="shared" ref="CJ180" si="487">AVERAGE(CJ153:CJ179)</f>
        <v>0.30562776642931699</v>
      </c>
      <c r="CK180" s="61">
        <f t="shared" ref="CK180" si="488">AVERAGE(CK153:CK179)</f>
        <v>0.37306804251376985</v>
      </c>
      <c r="CL180" s="61">
        <f t="shared" ref="CL180" si="489">AVERAGE(CL153:CL179)</f>
        <v>0.4445037393246804</v>
      </c>
      <c r="CM180" s="61">
        <f t="shared" ref="CM180" si="490">AVERAGE(CM153:CM179)</f>
        <v>0.53084511682248969</v>
      </c>
      <c r="CN180" s="61">
        <f t="shared" ref="CN180" si="491">AVERAGE(CN153:CN179)</f>
        <v>0.62112074443327592</v>
      </c>
      <c r="CO180" s="61">
        <f t="shared" ref="CO180" si="492">AVERAGE(CO153:CO179)</f>
        <v>0.69926997211115904</v>
      </c>
      <c r="CP180" s="61">
        <f t="shared" ref="CP180" si="493">AVERAGE(CP153:CP179)</f>
        <v>0.79773722450869688</v>
      </c>
      <c r="CQ180" s="61">
        <f t="shared" ref="CQ180" si="494">AVERAGE(CQ153:CQ179)</f>
        <v>0.89730207765575132</v>
      </c>
      <c r="CR180" s="61">
        <f t="shared" ref="CR180" si="495">AVERAGE(CR153:CR179)</f>
        <v>1</v>
      </c>
    </row>
    <row r="181" spans="1:96">
      <c r="N181" s="90">
        <f>SUM(N3:N29,N33:N59,N63:N89,N93:N119,N123:N149,N153:N179)</f>
        <v>174303019.5629999</v>
      </c>
    </row>
  </sheetData>
  <mergeCells count="42">
    <mergeCell ref="AT61:BE61"/>
    <mergeCell ref="AT91:BE91"/>
    <mergeCell ref="AT121:BE121"/>
    <mergeCell ref="AT151:BE151"/>
    <mergeCell ref="BG1:BR1"/>
    <mergeCell ref="BG61:BR61"/>
    <mergeCell ref="BG91:BR91"/>
    <mergeCell ref="BG121:BR121"/>
    <mergeCell ref="BG151:BR151"/>
    <mergeCell ref="BT1:CE1"/>
    <mergeCell ref="Q1:AC1"/>
    <mergeCell ref="Q31:AC31"/>
    <mergeCell ref="AF1:AR1"/>
    <mergeCell ref="AF31:AR31"/>
    <mergeCell ref="BG31:BR31"/>
    <mergeCell ref="AT1:BE1"/>
    <mergeCell ref="AT31:BE31"/>
    <mergeCell ref="BT31:CE31"/>
    <mergeCell ref="Q61:AC61"/>
    <mergeCell ref="Q91:AC91"/>
    <mergeCell ref="Q121:AC121"/>
    <mergeCell ref="Q151:AC151"/>
    <mergeCell ref="AF61:AR61"/>
    <mergeCell ref="AF91:AR91"/>
    <mergeCell ref="AF121:AR121"/>
    <mergeCell ref="AF151:AR151"/>
    <mergeCell ref="BT61:CE61"/>
    <mergeCell ref="BT91:CE91"/>
    <mergeCell ref="BT121:CE121"/>
    <mergeCell ref="BT151:CE151"/>
    <mergeCell ref="CG151:CR151"/>
    <mergeCell ref="CG1:CR1"/>
    <mergeCell ref="CG31:CR31"/>
    <mergeCell ref="CG61:CR61"/>
    <mergeCell ref="CG91:CR91"/>
    <mergeCell ref="CG121:CR121"/>
    <mergeCell ref="B151:N151"/>
    <mergeCell ref="B1:N1"/>
    <mergeCell ref="B31:N31"/>
    <mergeCell ref="B61:N61"/>
    <mergeCell ref="B91:N91"/>
    <mergeCell ref="B121:N121"/>
  </mergeCells>
  <pageMargins left="0.511811024" right="0.511811024" top="0.78740157499999996" bottom="0.78740157499999996" header="0.31496062000000002" footer="0.31496062000000002"/>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tabColor rgb="FFBA8CDC"/>
  </sheetPr>
  <dimension ref="A1:E59"/>
  <sheetViews>
    <sheetView zoomScale="110" zoomScaleNormal="110" workbookViewId="0">
      <selection sqref="A1:AC1"/>
    </sheetView>
  </sheetViews>
  <sheetFormatPr defaultRowHeight="15"/>
  <cols>
    <col min="1" max="1" width="9.140625" style="253"/>
    <col min="2" max="3" width="11.140625" style="253" bestFit="1" customWidth="1"/>
    <col min="4" max="5" width="19.140625" style="253" customWidth="1"/>
    <col min="6" max="16384" width="9.140625" style="253"/>
  </cols>
  <sheetData>
    <row r="1" spans="1:5">
      <c r="B1" s="253" t="s">
        <v>287</v>
      </c>
      <c r="C1" s="253" t="s">
        <v>285</v>
      </c>
      <c r="D1" s="253" t="s">
        <v>287</v>
      </c>
      <c r="E1" s="253" t="s">
        <v>285</v>
      </c>
    </row>
    <row r="2" spans="1:5">
      <c r="A2" s="253" t="s">
        <v>87</v>
      </c>
      <c r="B2" s="62">
        <v>344</v>
      </c>
      <c r="C2" s="62">
        <v>291</v>
      </c>
      <c r="D2" s="985">
        <f>B2/(B2+C2)</f>
        <v>0.54173228346456692</v>
      </c>
      <c r="E2" s="986">
        <f>1-D2</f>
        <v>0.45826771653543308</v>
      </c>
    </row>
    <row r="3" spans="1:5">
      <c r="A3" s="253" t="s">
        <v>88</v>
      </c>
      <c r="B3" s="62">
        <v>539</v>
      </c>
      <c r="C3" s="62">
        <v>1445</v>
      </c>
      <c r="D3" s="985">
        <f t="shared" ref="D3:D28" si="0">B3/(B3+C3)</f>
        <v>0.27167338709677419</v>
      </c>
      <c r="E3" s="986">
        <f t="shared" ref="E3:E28" si="1">1-D3</f>
        <v>0.72832661290322576</v>
      </c>
    </row>
    <row r="4" spans="1:5">
      <c r="A4" s="253" t="s">
        <v>90</v>
      </c>
      <c r="B4" s="62">
        <v>685</v>
      </c>
      <c r="C4" s="62">
        <v>1060</v>
      </c>
      <c r="D4" s="985">
        <f t="shared" si="0"/>
        <v>0.39255014326647564</v>
      </c>
      <c r="E4" s="986">
        <f t="shared" si="1"/>
        <v>0.60744985673352436</v>
      </c>
    </row>
    <row r="5" spans="1:5">
      <c r="A5" s="253" t="s">
        <v>89</v>
      </c>
      <c r="B5" s="62">
        <v>412</v>
      </c>
      <c r="C5" s="62">
        <v>335</v>
      </c>
      <c r="D5" s="985">
        <f t="shared" si="0"/>
        <v>0.55153949129852742</v>
      </c>
      <c r="E5" s="986">
        <f t="shared" si="1"/>
        <v>0.44846050870147258</v>
      </c>
    </row>
    <row r="6" spans="1:5">
      <c r="A6" s="253" t="s">
        <v>91</v>
      </c>
      <c r="B6" s="62">
        <v>2457</v>
      </c>
      <c r="C6" s="62">
        <v>4036</v>
      </c>
      <c r="D6" s="985">
        <f t="shared" si="0"/>
        <v>0.37840751578623133</v>
      </c>
      <c r="E6" s="986">
        <f t="shared" si="1"/>
        <v>0.62159248421376867</v>
      </c>
    </row>
    <row r="7" spans="1:5">
      <c r="A7" s="253" t="s">
        <v>92</v>
      </c>
      <c r="B7" s="62">
        <v>1523</v>
      </c>
      <c r="C7" s="62">
        <v>2348</v>
      </c>
      <c r="D7" s="985">
        <f t="shared" si="0"/>
        <v>0.39343838801343323</v>
      </c>
      <c r="E7" s="986">
        <f t="shared" si="1"/>
        <v>0.60656161198656677</v>
      </c>
    </row>
    <row r="8" spans="1:5">
      <c r="A8" s="253" t="s">
        <v>93</v>
      </c>
      <c r="B8" s="62">
        <v>2236</v>
      </c>
      <c r="C8" s="62">
        <v>3983</v>
      </c>
      <c r="D8" s="985">
        <f t="shared" si="0"/>
        <v>0.35954333494130891</v>
      </c>
      <c r="E8" s="986">
        <f t="shared" si="1"/>
        <v>0.64045666505869114</v>
      </c>
    </row>
    <row r="9" spans="1:5">
      <c r="A9" s="253" t="s">
        <v>94</v>
      </c>
      <c r="B9" s="62">
        <v>972</v>
      </c>
      <c r="C9" s="62">
        <v>2586</v>
      </c>
      <c r="D9" s="985">
        <f t="shared" si="0"/>
        <v>0.27318718381112983</v>
      </c>
      <c r="E9" s="986">
        <f t="shared" si="1"/>
        <v>0.72681281618887017</v>
      </c>
    </row>
    <row r="10" spans="1:5">
      <c r="A10" s="253" t="s">
        <v>95</v>
      </c>
      <c r="B10" s="62">
        <v>1517</v>
      </c>
      <c r="C10" s="62">
        <v>3186</v>
      </c>
      <c r="D10" s="985">
        <f t="shared" si="0"/>
        <v>0.32256006804167553</v>
      </c>
      <c r="E10" s="986">
        <f t="shared" si="1"/>
        <v>0.67743993195832442</v>
      </c>
    </row>
    <row r="11" spans="1:5">
      <c r="A11" s="253" t="s">
        <v>96</v>
      </c>
      <c r="B11" s="62">
        <v>722</v>
      </c>
      <c r="C11" s="62">
        <v>1055</v>
      </c>
      <c r="D11" s="985">
        <f t="shared" si="0"/>
        <v>0.40630275745638716</v>
      </c>
      <c r="E11" s="986">
        <f t="shared" si="1"/>
        <v>0.59369724254361289</v>
      </c>
    </row>
    <row r="12" spans="1:5">
      <c r="A12" s="253" t="s">
        <v>99</v>
      </c>
      <c r="B12" s="62">
        <v>4839</v>
      </c>
      <c r="C12" s="62">
        <v>10858</v>
      </c>
      <c r="D12" s="985">
        <f t="shared" si="0"/>
        <v>0.30827546664967831</v>
      </c>
      <c r="E12" s="986">
        <f t="shared" si="1"/>
        <v>0.69172453335032169</v>
      </c>
    </row>
    <row r="13" spans="1:5">
      <c r="A13" s="253" t="s">
        <v>98</v>
      </c>
      <c r="B13" s="62">
        <v>1259</v>
      </c>
      <c r="C13" s="62">
        <v>2026</v>
      </c>
      <c r="D13" s="985">
        <f t="shared" si="0"/>
        <v>0.38325722983257232</v>
      </c>
      <c r="E13" s="986">
        <f t="shared" si="1"/>
        <v>0.61674277016742773</v>
      </c>
    </row>
    <row r="14" spans="1:5">
      <c r="A14" s="253" t="s">
        <v>97</v>
      </c>
      <c r="B14" s="62">
        <v>1069</v>
      </c>
      <c r="C14" s="62">
        <v>2108</v>
      </c>
      <c r="D14" s="985">
        <f t="shared" si="0"/>
        <v>0.33648095687755747</v>
      </c>
      <c r="E14" s="986">
        <f t="shared" si="1"/>
        <v>0.66351904312244248</v>
      </c>
    </row>
    <row r="15" spans="1:5">
      <c r="A15" s="253" t="s">
        <v>100</v>
      </c>
      <c r="B15" s="62">
        <v>1048</v>
      </c>
      <c r="C15" s="62">
        <v>1862</v>
      </c>
      <c r="D15" s="985">
        <f t="shared" si="0"/>
        <v>0.36013745704467354</v>
      </c>
      <c r="E15" s="986">
        <f t="shared" si="1"/>
        <v>0.63986254295532641</v>
      </c>
    </row>
    <row r="16" spans="1:5">
      <c r="A16" s="253" t="s">
        <v>101</v>
      </c>
      <c r="B16" s="62">
        <v>914</v>
      </c>
      <c r="C16" s="62">
        <v>1725</v>
      </c>
      <c r="D16" s="985">
        <f t="shared" si="0"/>
        <v>0.34634331186055323</v>
      </c>
      <c r="E16" s="986">
        <f t="shared" si="1"/>
        <v>0.65365668813944677</v>
      </c>
    </row>
    <row r="17" spans="1:5">
      <c r="A17" s="253" t="s">
        <v>103</v>
      </c>
      <c r="B17" s="62">
        <v>1577</v>
      </c>
      <c r="C17" s="62">
        <v>3309</v>
      </c>
      <c r="D17" s="985">
        <f t="shared" si="0"/>
        <v>0.32275890298812937</v>
      </c>
      <c r="E17" s="986">
        <f t="shared" si="1"/>
        <v>0.67724109701187063</v>
      </c>
    </row>
    <row r="18" spans="1:5">
      <c r="A18" s="253" t="s">
        <v>104</v>
      </c>
      <c r="B18" s="62">
        <v>489</v>
      </c>
      <c r="C18" s="62">
        <v>848</v>
      </c>
      <c r="D18" s="985">
        <f t="shared" si="0"/>
        <v>0.36574420344053854</v>
      </c>
      <c r="E18" s="986">
        <f t="shared" si="1"/>
        <v>0.63425579655946152</v>
      </c>
    </row>
    <row r="19" spans="1:5">
      <c r="A19" s="253" t="s">
        <v>102</v>
      </c>
      <c r="B19" s="62">
        <v>4331</v>
      </c>
      <c r="C19" s="62">
        <v>8456</v>
      </c>
      <c r="D19" s="985">
        <f t="shared" si="0"/>
        <v>0.33870337061077654</v>
      </c>
      <c r="E19" s="986">
        <f t="shared" si="1"/>
        <v>0.66129662938922351</v>
      </c>
    </row>
    <row r="20" spans="1:5">
      <c r="A20" s="253" t="s">
        <v>105</v>
      </c>
      <c r="B20" s="62">
        <v>8384</v>
      </c>
      <c r="C20" s="62">
        <v>11979</v>
      </c>
      <c r="D20" s="985">
        <f t="shared" si="0"/>
        <v>0.4117271521877916</v>
      </c>
      <c r="E20" s="986">
        <f t="shared" si="1"/>
        <v>0.58827284781220834</v>
      </c>
    </row>
    <row r="21" spans="1:5">
      <c r="A21" s="253" t="s">
        <v>106</v>
      </c>
      <c r="B21" s="62">
        <v>668</v>
      </c>
      <c r="C21" s="62">
        <v>1818</v>
      </c>
      <c r="D21" s="985">
        <f t="shared" si="0"/>
        <v>0.26870474658085275</v>
      </c>
      <c r="E21" s="986">
        <f t="shared" si="1"/>
        <v>0.73129525341914725</v>
      </c>
    </row>
    <row r="22" spans="1:5">
      <c r="A22" s="253" t="s">
        <v>108</v>
      </c>
      <c r="B22" s="62">
        <v>534</v>
      </c>
      <c r="C22" s="62">
        <v>690</v>
      </c>
      <c r="D22" s="985">
        <f t="shared" si="0"/>
        <v>0.43627450980392157</v>
      </c>
      <c r="E22" s="986">
        <f t="shared" si="1"/>
        <v>0.56372549019607843</v>
      </c>
    </row>
    <row r="23" spans="1:5">
      <c r="A23" s="253" t="s">
        <v>109</v>
      </c>
      <c r="B23" s="62">
        <v>89</v>
      </c>
      <c r="C23" s="62">
        <v>134</v>
      </c>
      <c r="D23" s="985">
        <f t="shared" si="0"/>
        <v>0.3991031390134529</v>
      </c>
      <c r="E23" s="986">
        <f t="shared" si="1"/>
        <v>0.60089686098654704</v>
      </c>
    </row>
    <row r="24" spans="1:5">
      <c r="A24" s="253" t="s">
        <v>107</v>
      </c>
      <c r="B24" s="62">
        <v>5583</v>
      </c>
      <c r="C24" s="62">
        <v>10866</v>
      </c>
      <c r="D24" s="985">
        <f t="shared" si="0"/>
        <v>0.33941273025715851</v>
      </c>
      <c r="E24" s="986">
        <f t="shared" si="1"/>
        <v>0.66058726974284143</v>
      </c>
    </row>
    <row r="25" spans="1:5">
      <c r="A25" s="253" t="s">
        <v>110</v>
      </c>
      <c r="B25" s="62">
        <v>3420</v>
      </c>
      <c r="C25" s="62">
        <v>7052</v>
      </c>
      <c r="D25" s="985">
        <f t="shared" si="0"/>
        <v>0.32658517952635602</v>
      </c>
      <c r="E25" s="986">
        <f t="shared" si="1"/>
        <v>0.67341482047364398</v>
      </c>
    </row>
    <row r="26" spans="1:5">
      <c r="A26" s="253" t="s">
        <v>112</v>
      </c>
      <c r="B26" s="62">
        <v>562</v>
      </c>
      <c r="C26" s="62">
        <v>882</v>
      </c>
      <c r="D26" s="985">
        <f t="shared" si="0"/>
        <v>0.38919667590027701</v>
      </c>
      <c r="E26" s="986">
        <f t="shared" si="1"/>
        <v>0.61080332409972304</v>
      </c>
    </row>
    <row r="27" spans="1:5">
      <c r="A27" s="253" t="s">
        <v>111</v>
      </c>
      <c r="B27" s="62">
        <v>22805</v>
      </c>
      <c r="C27" s="62">
        <v>38455</v>
      </c>
      <c r="D27" s="985">
        <f t="shared" si="0"/>
        <v>0.37226575253019917</v>
      </c>
      <c r="E27" s="986">
        <f t="shared" si="1"/>
        <v>0.62773424746980089</v>
      </c>
    </row>
    <row r="28" spans="1:5">
      <c r="A28" s="253" t="s">
        <v>113</v>
      </c>
      <c r="B28" s="62">
        <v>312</v>
      </c>
      <c r="C28" s="62">
        <v>438</v>
      </c>
      <c r="D28" s="985">
        <f t="shared" si="0"/>
        <v>0.41599999999999998</v>
      </c>
      <c r="E28" s="986">
        <f t="shared" si="1"/>
        <v>0.58400000000000007</v>
      </c>
    </row>
    <row r="29" spans="1:5">
      <c r="A29" s="3" t="s">
        <v>241</v>
      </c>
      <c r="B29" s="987">
        <f>SUM(B2:B28)</f>
        <v>69290</v>
      </c>
      <c r="C29" s="987">
        <f>SUM(C2:C28)</f>
        <v>123831</v>
      </c>
      <c r="D29" s="985">
        <f>B29/(B29+C29)</f>
        <v>0.35879060278271135</v>
      </c>
      <c r="E29" s="986">
        <f>1-D29</f>
        <v>0.64120939721728865</v>
      </c>
    </row>
    <row r="30" spans="1:5">
      <c r="A30" s="3"/>
      <c r="B30" s="987"/>
      <c r="C30" s="987"/>
      <c r="D30" s="985"/>
      <c r="E30" s="986"/>
    </row>
    <row r="31" spans="1:5">
      <c r="D31" s="253" t="s">
        <v>1077</v>
      </c>
    </row>
    <row r="32" spans="1:5" ht="15" customHeight="1">
      <c r="A32" s="253" t="str">
        <f>A2</f>
        <v>AC</v>
      </c>
      <c r="B32" s="360">
        <f>ROUND($D32*D2,)</f>
        <v>344</v>
      </c>
      <c r="C32" s="360">
        <f>ROUND($D32*E2,)</f>
        <v>291</v>
      </c>
      <c r="D32" s="253">
        <f>VLOOKUP(A32:$A$58,'Relatórios - SICCAU e IGEO'!$A$3:$C$29,3,)</f>
        <v>635</v>
      </c>
      <c r="E32" s="253" t="b">
        <f>B32+C32=D32</f>
        <v>1</v>
      </c>
    </row>
    <row r="33" spans="1:5">
      <c r="A33" s="253" t="str">
        <f t="shared" ref="A33:A59" si="2">A3</f>
        <v>AL</v>
      </c>
      <c r="B33" s="360">
        <f t="shared" ref="B33:C33" si="3">ROUND($D33*D3,)</f>
        <v>539</v>
      </c>
      <c r="C33" s="360">
        <f t="shared" si="3"/>
        <v>1444</v>
      </c>
      <c r="D33" s="253">
        <f>VLOOKUP(A33:$A$58,'Relatórios - SICCAU e IGEO'!$A$3:$C$29,3,)</f>
        <v>1983</v>
      </c>
      <c r="E33" s="253" t="b">
        <f t="shared" ref="E33:E59" si="4">B33+C33=D33</f>
        <v>1</v>
      </c>
    </row>
    <row r="34" spans="1:5">
      <c r="A34" s="253" t="str">
        <f t="shared" si="2"/>
        <v>AM</v>
      </c>
      <c r="B34" s="360">
        <f t="shared" ref="B34:C34" si="5">ROUND($D34*D4,)</f>
        <v>685</v>
      </c>
      <c r="C34" s="360">
        <f t="shared" si="5"/>
        <v>1059</v>
      </c>
      <c r="D34" s="253">
        <f>VLOOKUP(A34:$A$58,'Relatórios - SICCAU e IGEO'!$A$3:$C$29,3,)</f>
        <v>1744</v>
      </c>
      <c r="E34" s="253" t="b">
        <f t="shared" si="4"/>
        <v>1</v>
      </c>
    </row>
    <row r="35" spans="1:5">
      <c r="A35" s="253" t="str">
        <f t="shared" si="2"/>
        <v>AP</v>
      </c>
      <c r="B35" s="360">
        <f t="shared" ref="B35:C35" si="6">ROUND($D35*D5,)</f>
        <v>413</v>
      </c>
      <c r="C35" s="360">
        <f t="shared" si="6"/>
        <v>335</v>
      </c>
      <c r="D35" s="253">
        <f>VLOOKUP(A35:$A$58,'Relatórios - SICCAU e IGEO'!$A$3:$C$29,3,)</f>
        <v>748</v>
      </c>
      <c r="E35" s="253" t="b">
        <f t="shared" si="4"/>
        <v>1</v>
      </c>
    </row>
    <row r="36" spans="1:5">
      <c r="A36" s="253" t="str">
        <f t="shared" si="2"/>
        <v>BA</v>
      </c>
      <c r="B36" s="360">
        <f t="shared" ref="B36:C36" si="7">ROUND($D36*D6,)</f>
        <v>2457</v>
      </c>
      <c r="C36" s="360">
        <f t="shared" si="7"/>
        <v>4035</v>
      </c>
      <c r="D36" s="253">
        <f>VLOOKUP(A36:$A$58,'Relatórios - SICCAU e IGEO'!$A$3:$C$29,3,)</f>
        <v>6492</v>
      </c>
      <c r="E36" s="253" t="b">
        <f t="shared" si="4"/>
        <v>1</v>
      </c>
    </row>
    <row r="37" spans="1:5">
      <c r="A37" s="253" t="str">
        <f t="shared" si="2"/>
        <v>CE</v>
      </c>
      <c r="B37" s="360">
        <f t="shared" ref="B37:C37" si="8">ROUND($D37*D7,)</f>
        <v>1523</v>
      </c>
      <c r="C37" s="360">
        <f t="shared" si="8"/>
        <v>2349</v>
      </c>
      <c r="D37" s="253">
        <f>VLOOKUP(A37:$A$58,'Relatórios - SICCAU e IGEO'!$A$3:$C$29,3,)</f>
        <v>3872</v>
      </c>
      <c r="E37" s="253" t="b">
        <f t="shared" si="4"/>
        <v>1</v>
      </c>
    </row>
    <row r="38" spans="1:5">
      <c r="A38" s="253" t="str">
        <f t="shared" si="2"/>
        <v>DF</v>
      </c>
      <c r="B38" s="360">
        <f t="shared" ref="B38:C38" si="9">ROUND($D38*D8,)</f>
        <v>2230</v>
      </c>
      <c r="C38" s="360">
        <f t="shared" si="9"/>
        <v>3973</v>
      </c>
      <c r="D38" s="253">
        <f>VLOOKUP(A38:$A$58,'Relatórios - SICCAU e IGEO'!$A$3:$C$29,3,)</f>
        <v>6203</v>
      </c>
      <c r="E38" s="253" t="b">
        <f t="shared" si="4"/>
        <v>1</v>
      </c>
    </row>
    <row r="39" spans="1:5">
      <c r="A39" s="253" t="str">
        <f t="shared" si="2"/>
        <v>ES</v>
      </c>
      <c r="B39" s="360">
        <f t="shared" ref="B39:C39" si="10">ROUND($D39*D9,)</f>
        <v>972</v>
      </c>
      <c r="C39" s="360">
        <f t="shared" si="10"/>
        <v>2587</v>
      </c>
      <c r="D39" s="253">
        <f>VLOOKUP(A39:$A$58,'Relatórios - SICCAU e IGEO'!$A$3:$C$29,3,)</f>
        <v>3559</v>
      </c>
      <c r="E39" s="253" t="b">
        <f t="shared" si="4"/>
        <v>1</v>
      </c>
    </row>
    <row r="40" spans="1:5">
      <c r="A40" s="253" t="str">
        <f t="shared" si="2"/>
        <v>GO</v>
      </c>
      <c r="B40" s="360">
        <f t="shared" ref="B40:C40" si="11">ROUND($D40*D10,)</f>
        <v>1517</v>
      </c>
      <c r="C40" s="360">
        <f t="shared" si="11"/>
        <v>3185</v>
      </c>
      <c r="D40" s="253">
        <f>VLOOKUP(A40:$A$58,'Relatórios - SICCAU e IGEO'!$A$3:$C$29,3,)</f>
        <v>4702</v>
      </c>
      <c r="E40" s="253" t="b">
        <f t="shared" si="4"/>
        <v>1</v>
      </c>
    </row>
    <row r="41" spans="1:5">
      <c r="A41" s="253" t="str">
        <f t="shared" si="2"/>
        <v>MA</v>
      </c>
      <c r="B41" s="360">
        <f t="shared" ref="B41:C41" si="12">ROUND($D41*D11,)</f>
        <v>722</v>
      </c>
      <c r="C41" s="360">
        <f t="shared" si="12"/>
        <v>1054</v>
      </c>
      <c r="D41" s="253">
        <f>VLOOKUP(A41:$A$58,'Relatórios - SICCAU e IGEO'!$A$3:$C$29,3,)</f>
        <v>1776</v>
      </c>
      <c r="E41" s="253" t="b">
        <f t="shared" si="4"/>
        <v>1</v>
      </c>
    </row>
    <row r="42" spans="1:5">
      <c r="A42" s="253" t="str">
        <f t="shared" si="2"/>
        <v>MG</v>
      </c>
      <c r="B42" s="360">
        <f t="shared" ref="B42:C42" si="13">ROUND($D42*D12,)</f>
        <v>4837</v>
      </c>
      <c r="C42" s="360">
        <f t="shared" si="13"/>
        <v>10853</v>
      </c>
      <c r="D42" s="253">
        <f>VLOOKUP(A42:$A$58,'Relatórios - SICCAU e IGEO'!$A$3:$C$29,3,)</f>
        <v>15690</v>
      </c>
      <c r="E42" s="253" t="b">
        <f t="shared" si="4"/>
        <v>1</v>
      </c>
    </row>
    <row r="43" spans="1:5">
      <c r="A43" s="253" t="str">
        <f t="shared" si="2"/>
        <v>MS</v>
      </c>
      <c r="B43" s="360">
        <f t="shared" ref="B43:C43" si="14">ROUND($D43*D13,)</f>
        <v>1259</v>
      </c>
      <c r="C43" s="360">
        <f t="shared" si="14"/>
        <v>2026</v>
      </c>
      <c r="D43" s="253">
        <f>VLOOKUP(A43:$A$58,'Relatórios - SICCAU e IGEO'!$A$3:$C$29,3,)</f>
        <v>3285</v>
      </c>
      <c r="E43" s="253" t="b">
        <f t="shared" si="4"/>
        <v>1</v>
      </c>
    </row>
    <row r="44" spans="1:5">
      <c r="A44" s="253" t="str">
        <f t="shared" si="2"/>
        <v>MT</v>
      </c>
      <c r="B44" s="360">
        <f t="shared" ref="B44:C44" si="15">ROUND($D44*D14,)</f>
        <v>1069</v>
      </c>
      <c r="C44" s="360">
        <f t="shared" si="15"/>
        <v>2109</v>
      </c>
      <c r="D44" s="253">
        <f>VLOOKUP(A44:$A$58,'Relatórios - SICCAU e IGEO'!$A$3:$C$29,3,)</f>
        <v>3178</v>
      </c>
      <c r="E44" s="253" t="b">
        <f t="shared" si="4"/>
        <v>1</v>
      </c>
    </row>
    <row r="45" spans="1:5">
      <c r="A45" s="253" t="str">
        <f t="shared" si="2"/>
        <v>PA</v>
      </c>
      <c r="B45" s="360">
        <f t="shared" ref="B45:C45" si="16">ROUND($D45*D15,)</f>
        <v>1048</v>
      </c>
      <c r="C45" s="360">
        <f t="shared" si="16"/>
        <v>1863</v>
      </c>
      <c r="D45" s="253">
        <f>VLOOKUP(A45:$A$58,'Relatórios - SICCAU e IGEO'!$A$3:$C$29,3,)</f>
        <v>2911</v>
      </c>
      <c r="E45" s="253" t="b">
        <f t="shared" si="4"/>
        <v>1</v>
      </c>
    </row>
    <row r="46" spans="1:5">
      <c r="A46" s="253" t="str">
        <f t="shared" si="2"/>
        <v>PB</v>
      </c>
      <c r="B46" s="360">
        <f t="shared" ref="B46:C46" si="17">ROUND($D46*D16,)</f>
        <v>914</v>
      </c>
      <c r="C46" s="360">
        <f t="shared" si="17"/>
        <v>1725</v>
      </c>
      <c r="D46" s="253">
        <f>VLOOKUP(A46:$A$58,'Relatórios - SICCAU e IGEO'!$A$3:$C$29,3,)</f>
        <v>2639</v>
      </c>
      <c r="E46" s="253" t="b">
        <f t="shared" si="4"/>
        <v>1</v>
      </c>
    </row>
    <row r="47" spans="1:5">
      <c r="A47" s="253" t="str">
        <f t="shared" si="2"/>
        <v>PE</v>
      </c>
      <c r="B47" s="360">
        <f t="shared" ref="B47:C47" si="18">ROUND($D47*D17,)</f>
        <v>1577</v>
      </c>
      <c r="C47" s="360">
        <f t="shared" si="18"/>
        <v>3309</v>
      </c>
      <c r="D47" s="253">
        <f>VLOOKUP(A47:$A$58,'Relatórios - SICCAU e IGEO'!$A$3:$C$29,3,)</f>
        <v>4886</v>
      </c>
      <c r="E47" s="253" t="b">
        <f t="shared" si="4"/>
        <v>1</v>
      </c>
    </row>
    <row r="48" spans="1:5">
      <c r="A48" s="253" t="str">
        <f t="shared" si="2"/>
        <v>PI</v>
      </c>
      <c r="B48" s="360">
        <f t="shared" ref="B48:C48" si="19">ROUND($D48*D18,)</f>
        <v>489</v>
      </c>
      <c r="C48" s="360">
        <f t="shared" si="19"/>
        <v>848</v>
      </c>
      <c r="D48" s="253">
        <f>VLOOKUP(A48:$A$58,'Relatórios - SICCAU e IGEO'!$A$3:$C$29,3,)</f>
        <v>1337</v>
      </c>
      <c r="E48" s="253" t="b">
        <f t="shared" si="4"/>
        <v>1</v>
      </c>
    </row>
    <row r="49" spans="1:5">
      <c r="A49" s="253" t="str">
        <f t="shared" si="2"/>
        <v>PR</v>
      </c>
      <c r="B49" s="360">
        <f t="shared" ref="B49:C49" si="20">ROUND($D49*D19,)</f>
        <v>4331</v>
      </c>
      <c r="C49" s="360">
        <f t="shared" si="20"/>
        <v>8457</v>
      </c>
      <c r="D49" s="253">
        <f>VLOOKUP(A49:$A$58,'Relatórios - SICCAU e IGEO'!$A$3:$C$29,3,)</f>
        <v>12788</v>
      </c>
      <c r="E49" s="253" t="b">
        <f t="shared" si="4"/>
        <v>1</v>
      </c>
    </row>
    <row r="50" spans="1:5">
      <c r="A50" s="253" t="str">
        <f t="shared" si="2"/>
        <v>RJ</v>
      </c>
      <c r="B50" s="360">
        <f t="shared" ref="B50:C50" si="21">ROUND($D50*D20,)</f>
        <v>8385</v>
      </c>
      <c r="C50" s="360">
        <f t="shared" si="21"/>
        <v>11981</v>
      </c>
      <c r="D50" s="253">
        <f>VLOOKUP(A50:$A$58,'Relatórios - SICCAU e IGEO'!$A$3:$C$29,3,)</f>
        <v>20366</v>
      </c>
      <c r="E50" s="253" t="b">
        <f t="shared" si="4"/>
        <v>1</v>
      </c>
    </row>
    <row r="51" spans="1:5">
      <c r="A51" s="253" t="str">
        <f t="shared" si="2"/>
        <v>RN</v>
      </c>
      <c r="B51" s="360">
        <f t="shared" ref="B51:C51" si="22">ROUND($D51*D21,)</f>
        <v>668</v>
      </c>
      <c r="C51" s="360">
        <f t="shared" si="22"/>
        <v>1819</v>
      </c>
      <c r="D51" s="253">
        <f>VLOOKUP(A51:$A$58,'Relatórios - SICCAU e IGEO'!$A$3:$C$29,3,)</f>
        <v>2487</v>
      </c>
      <c r="E51" s="253" t="b">
        <f t="shared" si="4"/>
        <v>1</v>
      </c>
    </row>
    <row r="52" spans="1:5">
      <c r="A52" s="253" t="str">
        <f t="shared" si="2"/>
        <v>RO</v>
      </c>
      <c r="B52" s="360">
        <f t="shared" ref="B52:C52" si="23">ROUND($D52*D22,)</f>
        <v>534</v>
      </c>
      <c r="C52" s="360">
        <f t="shared" si="23"/>
        <v>690</v>
      </c>
      <c r="D52" s="253">
        <f>VLOOKUP(A52:$A$58,'Relatórios - SICCAU e IGEO'!$A$3:$C$29,3,)</f>
        <v>1224</v>
      </c>
      <c r="E52" s="253" t="b">
        <f t="shared" si="4"/>
        <v>1</v>
      </c>
    </row>
    <row r="53" spans="1:5">
      <c r="A53" s="253" t="str">
        <f t="shared" si="2"/>
        <v>RR</v>
      </c>
      <c r="B53" s="360">
        <f t="shared" ref="B53:C53" si="24">ROUND($D53*D23,)</f>
        <v>89</v>
      </c>
      <c r="C53" s="360">
        <f t="shared" si="24"/>
        <v>134</v>
      </c>
      <c r="D53" s="253">
        <f>VLOOKUP(A53:$A$58,'Relatórios - SICCAU e IGEO'!$A$3:$C$29,3,)</f>
        <v>223</v>
      </c>
      <c r="E53" s="253" t="b">
        <f t="shared" si="4"/>
        <v>1</v>
      </c>
    </row>
    <row r="54" spans="1:5">
      <c r="A54" s="253" t="str">
        <f t="shared" si="2"/>
        <v>RS</v>
      </c>
      <c r="B54" s="360">
        <f t="shared" ref="B54:C54" si="25">ROUND($D54*D24,)</f>
        <v>5579</v>
      </c>
      <c r="C54" s="360">
        <f t="shared" si="25"/>
        <v>10859</v>
      </c>
      <c r="D54" s="253">
        <f>VLOOKUP(A54:$A$58,'Relatórios - SICCAU e IGEO'!$A$3:$C$29,3,)</f>
        <v>16438</v>
      </c>
      <c r="E54" s="253" t="b">
        <f t="shared" si="4"/>
        <v>1</v>
      </c>
    </row>
    <row r="55" spans="1:5">
      <c r="A55" s="253" t="str">
        <f t="shared" si="2"/>
        <v>SC</v>
      </c>
      <c r="B55" s="360">
        <f t="shared" ref="B55:C55" si="26">ROUND($D55*D25,)</f>
        <v>3421</v>
      </c>
      <c r="C55" s="360">
        <f t="shared" si="26"/>
        <v>7055</v>
      </c>
      <c r="D55" s="253">
        <f>VLOOKUP(A55:$A$58,'Relatórios - SICCAU e IGEO'!$A$3:$C$29,3,)</f>
        <v>10476</v>
      </c>
      <c r="E55" s="253" t="b">
        <f t="shared" si="4"/>
        <v>1</v>
      </c>
    </row>
    <row r="56" spans="1:5">
      <c r="A56" s="253" t="str">
        <f t="shared" si="2"/>
        <v>SE</v>
      </c>
      <c r="B56" s="360">
        <f t="shared" ref="B56:C56" si="27">ROUND($D56*D26,)</f>
        <v>562</v>
      </c>
      <c r="C56" s="360">
        <f t="shared" si="27"/>
        <v>882</v>
      </c>
      <c r="D56" s="253">
        <f>VLOOKUP(A56:$A$58,'Relatórios - SICCAU e IGEO'!$A$3:$C$29,3,)</f>
        <v>1444</v>
      </c>
      <c r="E56" s="253" t="b">
        <f t="shared" si="4"/>
        <v>1</v>
      </c>
    </row>
    <row r="57" spans="1:5">
      <c r="A57" s="253" t="str">
        <f t="shared" si="2"/>
        <v>SP</v>
      </c>
      <c r="B57" s="360">
        <f t="shared" ref="B57:C57" si="28">ROUND($D57*D27,)</f>
        <v>22802</v>
      </c>
      <c r="C57" s="360">
        <f t="shared" si="28"/>
        <v>38451</v>
      </c>
      <c r="D57" s="253">
        <f>VLOOKUP(A57:$A$58,'Relatórios - SICCAU e IGEO'!$A$3:$C$29,3,)</f>
        <v>61253</v>
      </c>
      <c r="E57" s="253" t="b">
        <f t="shared" si="4"/>
        <v>1</v>
      </c>
    </row>
    <row r="58" spans="1:5">
      <c r="A58" s="253" t="str">
        <f t="shared" si="2"/>
        <v>TO</v>
      </c>
      <c r="B58" s="360">
        <f t="shared" ref="B58:C58" si="29">ROUND($D58*D28,)</f>
        <v>312</v>
      </c>
      <c r="C58" s="360">
        <f t="shared" si="29"/>
        <v>439</v>
      </c>
      <c r="D58" s="253">
        <f>VLOOKUP(A58:$A$58,'Relatórios - SICCAU e IGEO'!$A$3:$C$29,3,)</f>
        <v>751</v>
      </c>
      <c r="E58" s="253" t="b">
        <f t="shared" si="4"/>
        <v>1</v>
      </c>
    </row>
    <row r="59" spans="1:5">
      <c r="A59" s="253" t="str">
        <f t="shared" si="2"/>
        <v>BR</v>
      </c>
      <c r="B59" s="360">
        <f>SUM(B32:B58)</f>
        <v>69278</v>
      </c>
      <c r="C59" s="360">
        <f>SUM(C32:C58)</f>
        <v>123812</v>
      </c>
      <c r="D59" s="253">
        <f>SUM(D32:D58)</f>
        <v>193090</v>
      </c>
      <c r="E59" s="253" t="b">
        <f t="shared" si="4"/>
        <v>1</v>
      </c>
    </row>
  </sheetData>
  <conditionalFormatting sqref="E32:E59">
    <cfRule type="cellIs" dxfId="234" priority="1" operator="equal">
      <formula>FALSE</formula>
    </cfRule>
    <cfRule type="cellIs" dxfId="233" priority="2" operator="equal">
      <formula>TRUE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rgb="FF7030A0"/>
    <pageSetUpPr fitToPage="1"/>
  </sheetPr>
  <dimension ref="A1:BC76"/>
  <sheetViews>
    <sheetView showGridLines="0" zoomScale="40" zoomScaleNormal="40" zoomScaleSheetLayoutView="50" workbookViewId="0">
      <pane xSplit="1" topLeftCell="B1" activePane="topRight" state="frozen"/>
      <selection sqref="A1:AC1"/>
      <selection pane="topRight" sqref="A1:AC1"/>
    </sheetView>
  </sheetViews>
  <sheetFormatPr defaultRowHeight="15"/>
  <cols>
    <col min="1" max="1" width="23" style="160" customWidth="1"/>
    <col min="2" max="6" width="30.28515625" style="253" customWidth="1"/>
    <col min="7" max="12" width="26.85546875" style="253" customWidth="1"/>
    <col min="13" max="13" width="25.28515625" style="253" customWidth="1"/>
    <col min="14" max="14" width="26.42578125" style="253" customWidth="1"/>
    <col min="15" max="17" width="25.5703125" style="253" bestFit="1" customWidth="1"/>
    <col min="18" max="22" width="22.5703125" style="253" customWidth="1"/>
    <col min="23" max="24" width="22.5703125" style="18" customWidth="1"/>
    <col min="25" max="27" width="22.5703125" style="253" customWidth="1"/>
    <col min="28" max="28" width="25.85546875" style="253" customWidth="1"/>
    <col min="29" max="29" width="25.5703125" style="253" bestFit="1" customWidth="1"/>
    <col min="30" max="37" width="22.5703125" style="253" customWidth="1"/>
    <col min="38" max="38" width="25.5703125" style="253" customWidth="1"/>
    <col min="39" max="39" width="31.85546875" style="253" customWidth="1"/>
    <col min="40" max="40" width="21.7109375" style="253" customWidth="1"/>
    <col min="41" max="41" width="24.42578125" style="253" customWidth="1"/>
    <col min="42" max="42" width="24.7109375" style="253" customWidth="1"/>
    <col min="43" max="43" width="26.140625" style="253" customWidth="1"/>
    <col min="44" max="46" width="22.28515625" style="253" customWidth="1"/>
    <col min="47" max="47" width="17" style="253" bestFit="1" customWidth="1"/>
    <col min="48" max="48" width="13.5703125" style="253" customWidth="1"/>
    <col min="49" max="49" width="9.140625" style="253"/>
    <col min="50" max="51" width="23" style="1209" customWidth="1"/>
    <col min="52" max="52" width="27.7109375" style="1209" bestFit="1" customWidth="1"/>
    <col min="53" max="55" width="9.140625" style="1209"/>
    <col min="56" max="16384" width="9.140625" style="253"/>
  </cols>
  <sheetData>
    <row r="1" spans="1:55" s="323" customFormat="1" ht="28.5">
      <c r="A1" s="1259" t="s">
        <v>513</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c r="AM1" s="1259"/>
      <c r="AN1" s="1259"/>
      <c r="AO1" s="1259"/>
      <c r="AX1" s="1205"/>
      <c r="AY1" s="1205"/>
      <c r="AZ1" s="1205"/>
      <c r="BA1" s="1205"/>
      <c r="BB1" s="1205"/>
      <c r="BC1" s="1205"/>
    </row>
    <row r="2" spans="1:55" s="323" customFormat="1" ht="28.5">
      <c r="A2" s="1260" t="s">
        <v>512</v>
      </c>
      <c r="B2" s="1259"/>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61"/>
      <c r="AX2" s="1205"/>
      <c r="AY2" s="1205"/>
      <c r="AZ2" s="1205"/>
      <c r="BA2" s="1205"/>
      <c r="BB2" s="1205"/>
      <c r="BC2" s="1205"/>
    </row>
    <row r="3" spans="1:55" s="323" customFormat="1" ht="29.25" customHeight="1" thickBot="1">
      <c r="A3" s="356" t="s">
        <v>511</v>
      </c>
      <c r="B3" s="355"/>
      <c r="C3" s="353"/>
      <c r="D3" s="353"/>
      <c r="E3" s="353"/>
      <c r="F3" s="354"/>
      <c r="G3" s="354"/>
      <c r="H3" s="354"/>
      <c r="I3" s="354"/>
      <c r="J3" s="354"/>
      <c r="K3" s="354"/>
      <c r="L3" s="354"/>
      <c r="M3" s="354"/>
      <c r="N3" s="354"/>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2"/>
      <c r="AX3" s="1205"/>
      <c r="AY3" s="1205"/>
      <c r="AZ3" s="1205"/>
      <c r="BA3" s="1205"/>
      <c r="BB3" s="1205"/>
      <c r="BC3" s="1205"/>
    </row>
    <row r="4" spans="1:55" s="323" customFormat="1" ht="54" customHeight="1">
      <c r="A4" s="1273" t="s">
        <v>182</v>
      </c>
      <c r="B4" s="1262" t="s">
        <v>1111</v>
      </c>
      <c r="C4" s="1263"/>
      <c r="D4" s="1263"/>
      <c r="E4" s="1263"/>
      <c r="F4" s="1264"/>
      <c r="G4" s="1268" t="s">
        <v>177</v>
      </c>
      <c r="H4" s="1268"/>
      <c r="I4" s="1268"/>
      <c r="J4" s="1268"/>
      <c r="K4" s="1268"/>
      <c r="L4" s="1268"/>
      <c r="M4" s="1276" t="s">
        <v>510</v>
      </c>
      <c r="N4" s="1276" t="s">
        <v>506</v>
      </c>
      <c r="O4" s="1281" t="s">
        <v>509</v>
      </c>
      <c r="P4" s="1282"/>
      <c r="Q4" s="1282"/>
      <c r="R4" s="1282"/>
      <c r="S4" s="1282"/>
      <c r="T4" s="1282"/>
      <c r="U4" s="1282"/>
      <c r="V4" s="1282"/>
      <c r="W4" s="1282"/>
      <c r="X4" s="1282"/>
      <c r="Y4" s="1282"/>
      <c r="Z4" s="1282"/>
      <c r="AA4" s="1282"/>
      <c r="AB4" s="1282"/>
      <c r="AC4" s="1282"/>
      <c r="AD4" s="1282"/>
      <c r="AE4" s="1282"/>
      <c r="AF4" s="1282"/>
      <c r="AG4" s="1282"/>
      <c r="AH4" s="1282"/>
      <c r="AI4" s="1282"/>
      <c r="AJ4" s="1282"/>
      <c r="AK4" s="1282"/>
      <c r="AL4" s="1283"/>
      <c r="AM4" s="1265" t="s">
        <v>508</v>
      </c>
      <c r="AN4" s="1265" t="s">
        <v>507</v>
      </c>
      <c r="AO4" s="1265" t="s">
        <v>506</v>
      </c>
      <c r="AX4" s="1205"/>
      <c r="AY4" s="1205"/>
      <c r="AZ4" s="1205"/>
      <c r="BA4" s="1205"/>
      <c r="BB4" s="1205"/>
      <c r="BC4" s="1205"/>
    </row>
    <row r="5" spans="1:55" s="323" customFormat="1" ht="85.5" customHeight="1">
      <c r="A5" s="1274"/>
      <c r="B5" s="1265" t="s">
        <v>501</v>
      </c>
      <c r="C5" s="1265" t="s">
        <v>505</v>
      </c>
      <c r="D5" s="1265" t="s">
        <v>504</v>
      </c>
      <c r="E5" s="1265" t="s">
        <v>503</v>
      </c>
      <c r="F5" s="1265" t="s">
        <v>502</v>
      </c>
      <c r="G5" s="1269" t="s">
        <v>501</v>
      </c>
      <c r="H5" s="1269" t="s">
        <v>500</v>
      </c>
      <c r="I5" s="1269" t="s">
        <v>499</v>
      </c>
      <c r="J5" s="1279" t="s">
        <v>1147</v>
      </c>
      <c r="K5" s="1279" t="s">
        <v>498</v>
      </c>
      <c r="L5" s="1279" t="s">
        <v>497</v>
      </c>
      <c r="M5" s="1277"/>
      <c r="N5" s="1277"/>
      <c r="O5" s="1257" t="s">
        <v>422</v>
      </c>
      <c r="P5" s="1258"/>
      <c r="Q5" s="1257" t="s">
        <v>421</v>
      </c>
      <c r="R5" s="1258"/>
      <c r="S5" s="1257" t="s">
        <v>496</v>
      </c>
      <c r="T5" s="1258"/>
      <c r="U5" s="1257" t="s">
        <v>420</v>
      </c>
      <c r="V5" s="1258"/>
      <c r="W5" s="1257" t="s">
        <v>419</v>
      </c>
      <c r="X5" s="1258"/>
      <c r="Y5" s="1257" t="s">
        <v>418</v>
      </c>
      <c r="Z5" s="1258"/>
      <c r="AA5" s="1257" t="s">
        <v>417</v>
      </c>
      <c r="AB5" s="1258"/>
      <c r="AC5" s="1257" t="s">
        <v>416</v>
      </c>
      <c r="AD5" s="1258"/>
      <c r="AE5" s="1257" t="s">
        <v>415</v>
      </c>
      <c r="AF5" s="1258"/>
      <c r="AG5" s="1257" t="s">
        <v>414</v>
      </c>
      <c r="AH5" s="1258"/>
      <c r="AI5" s="1257" t="s">
        <v>413</v>
      </c>
      <c r="AJ5" s="1258"/>
      <c r="AK5" s="1257" t="s">
        <v>412</v>
      </c>
      <c r="AL5" s="1258"/>
      <c r="AM5" s="1266"/>
      <c r="AN5" s="1266"/>
      <c r="AO5" s="1266"/>
      <c r="AX5" s="1205"/>
      <c r="AY5" s="1205"/>
      <c r="AZ5" s="1205"/>
      <c r="BA5" s="1205"/>
      <c r="BB5" s="1205"/>
      <c r="BC5" s="1205"/>
    </row>
    <row r="6" spans="1:55" s="661" customFormat="1" ht="63.75" customHeight="1">
      <c r="A6" s="1275"/>
      <c r="B6" s="1267"/>
      <c r="C6" s="1267"/>
      <c r="D6" s="1267"/>
      <c r="E6" s="1267"/>
      <c r="F6" s="1267"/>
      <c r="G6" s="1270"/>
      <c r="H6" s="1270"/>
      <c r="I6" s="1270"/>
      <c r="J6" s="1280"/>
      <c r="K6" s="1280"/>
      <c r="L6" s="1280"/>
      <c r="M6" s="1278"/>
      <c r="N6" s="1278"/>
      <c r="O6" s="1006" t="s">
        <v>297</v>
      </c>
      <c r="P6" s="1006" t="s">
        <v>495</v>
      </c>
      <c r="Q6" s="1006" t="s">
        <v>297</v>
      </c>
      <c r="R6" s="1006" t="s">
        <v>495</v>
      </c>
      <c r="S6" s="1006" t="s">
        <v>297</v>
      </c>
      <c r="T6" s="1006" t="s">
        <v>495</v>
      </c>
      <c r="U6" s="1006" t="s">
        <v>297</v>
      </c>
      <c r="V6" s="1006" t="s">
        <v>495</v>
      </c>
      <c r="W6" s="1006" t="s">
        <v>297</v>
      </c>
      <c r="X6" s="1006" t="s">
        <v>495</v>
      </c>
      <c r="Y6" s="1006" t="s">
        <v>297</v>
      </c>
      <c r="Z6" s="1006" t="s">
        <v>495</v>
      </c>
      <c r="AA6" s="1006" t="s">
        <v>297</v>
      </c>
      <c r="AB6" s="1006" t="s">
        <v>495</v>
      </c>
      <c r="AC6" s="1006" t="s">
        <v>297</v>
      </c>
      <c r="AD6" s="1006" t="s">
        <v>495</v>
      </c>
      <c r="AE6" s="1006" t="s">
        <v>297</v>
      </c>
      <c r="AF6" s="1006" t="s">
        <v>495</v>
      </c>
      <c r="AG6" s="1006" t="s">
        <v>297</v>
      </c>
      <c r="AH6" s="1006" t="s">
        <v>495</v>
      </c>
      <c r="AI6" s="1006" t="s">
        <v>297</v>
      </c>
      <c r="AJ6" s="1006" t="s">
        <v>495</v>
      </c>
      <c r="AK6" s="1006" t="s">
        <v>297</v>
      </c>
      <c r="AL6" s="1006" t="s">
        <v>495</v>
      </c>
      <c r="AM6" s="1267"/>
      <c r="AN6" s="1267"/>
      <c r="AO6" s="1267"/>
      <c r="AQ6" s="1007" t="s">
        <v>494</v>
      </c>
      <c r="AR6" s="1007" t="s">
        <v>493</v>
      </c>
      <c r="AS6" s="1007" t="s">
        <v>494</v>
      </c>
      <c r="AT6" s="1007" t="s">
        <v>493</v>
      </c>
      <c r="AU6" s="1007" t="s">
        <v>180</v>
      </c>
      <c r="AV6" s="1007" t="s">
        <v>492</v>
      </c>
      <c r="AW6" s="1007"/>
      <c r="AX6" s="1206"/>
      <c r="AY6" s="1206"/>
      <c r="AZ6" s="1206"/>
      <c r="BA6" s="1206"/>
      <c r="BB6" s="1206"/>
      <c r="BC6" s="1206"/>
    </row>
    <row r="7" spans="1:55" s="313" customFormat="1" ht="30" customHeight="1">
      <c r="A7" s="351" t="s">
        <v>87</v>
      </c>
      <c r="B7" s="350">
        <v>586</v>
      </c>
      <c r="C7" s="350">
        <v>574</v>
      </c>
      <c r="D7" s="350">
        <v>317</v>
      </c>
      <c r="E7" s="349">
        <v>92896.567999999999</v>
      </c>
      <c r="F7" s="349">
        <v>19126.64</v>
      </c>
      <c r="G7" s="988">
        <f>VLOOKUP($A$7:$A$33,'PF - Gênero'!$A$32:$D$58,4,)</f>
        <v>635</v>
      </c>
      <c r="H7" s="988">
        <f>VLOOKUP($A$7:$A$33,'Relatórios - SICCAU e IGEO'!$A$3:$B$29,2,)</f>
        <v>6</v>
      </c>
      <c r="I7" s="988">
        <f t="shared" ref="I7:I33" si="0">G7-H7</f>
        <v>629</v>
      </c>
      <c r="J7" s="988">
        <v>442</v>
      </c>
      <c r="K7" s="988">
        <v>207</v>
      </c>
      <c r="L7" s="988">
        <f t="shared" ref="L7:L33" si="1">J7-K7</f>
        <v>235</v>
      </c>
      <c r="M7" s="348">
        <f t="shared" ref="M7:M34" si="2">J7/I7*100</f>
        <v>70.270270270270274</v>
      </c>
      <c r="N7" s="347">
        <f t="shared" ref="N7:N34" si="3">J7/$J$34*100</f>
        <v>0.32981628785052308</v>
      </c>
      <c r="O7" s="346">
        <f>VLOOKUP($A$7:$A$33,JAN!$R$5:$T$31,2,)</f>
        <v>14560.495999999999</v>
      </c>
      <c r="P7" s="346">
        <f>VLOOKUP($A$7:$A$33,JAN!$R$5:$T$31,3,)</f>
        <v>3850.3919999999998</v>
      </c>
      <c r="Q7" s="346">
        <f>VLOOKUP($A$7:$A$33,FEV!$R$5:$T$31,2,)</f>
        <v>19304.727999999999</v>
      </c>
      <c r="R7" s="346">
        <f>VLOOKUP($A$7:$A$33,FEV!$R$5:$T$31,3,)</f>
        <v>3351.2480000000005</v>
      </c>
      <c r="S7" s="346">
        <f>VLOOKUP($A$7:$A$33,MAR!$R$5:$AI$31,18,)</f>
        <v>14407.112000000001</v>
      </c>
      <c r="T7" s="346">
        <f>VLOOKUP($A$7:$A$33,MAR!$R$5:$AJ$31,19,)</f>
        <v>3421.1040000000003</v>
      </c>
      <c r="U7" s="345">
        <f>VLOOKUP($A$7:$A$33,ABR!$R$5:$S$31,2,)</f>
        <v>6038.5120000000006</v>
      </c>
      <c r="V7" s="345">
        <f>VLOOKUP($A$7:$A$33,ABR!$R$5:$T$31,3,)</f>
        <v>1214.288</v>
      </c>
      <c r="W7" s="345">
        <f>VLOOKUP($A$7:$A$33,MAI!$B$5:$D$31,2,)</f>
        <v>5366.7760000000007</v>
      </c>
      <c r="X7" s="345">
        <f>VLOOKUP($A$7:$A$33,MAI!$B$5:$D$31,3,)</f>
        <v>1032.5040000000001</v>
      </c>
      <c r="Y7" s="345">
        <f>VLOOKUP($A$7:$A$33,JUN!$B$5:$D$31,2,)</f>
        <v>9320.3120000000017</v>
      </c>
      <c r="Z7" s="345">
        <f>VLOOKUP($A$7:$A$33,JUN!$B$5:$D$31,3,)</f>
        <v>1915.1120000000001</v>
      </c>
      <c r="AA7" s="344">
        <f>VLOOKUP($A$7:$A$33,JUL!$B$5:$C$31,2,)</f>
        <v>14005.264000000003</v>
      </c>
      <c r="AB7" s="344">
        <f>VLOOKUP($A$7:$A$33,JUL!$B$5:$D$31,3,)</f>
        <v>1261.7439999999974</v>
      </c>
      <c r="AC7" s="344">
        <f>VLOOKUP($A$7:$A$33,AGO!$B$5:$C$31,2,)</f>
        <v>19565.816000000003</v>
      </c>
      <c r="AD7" s="344">
        <f>VLOOKUP($A$7:$A$33,AGO!$B$5:$D$31,3,)</f>
        <v>4474.0639999999985</v>
      </c>
      <c r="AE7" s="344">
        <f>VLOOKUP($A$7:$A$33,SET!$B$5:$C$31,2,)</f>
        <v>7479.9120000000003</v>
      </c>
      <c r="AF7" s="344">
        <f>VLOOKUP($A$7:$A$33,SET!$B$5:$D$31,3,)</f>
        <v>3106.2000000000016</v>
      </c>
      <c r="AG7" s="344">
        <f>VLOOKUP($A$7:$A$33,OUT!$B$5:$C$31,2,)</f>
        <v>2464.5439999999999</v>
      </c>
      <c r="AH7" s="344">
        <f>VLOOKUP($A$7:$A$33,OUT!$B$5:$D$31,3,)</f>
        <v>8339.1119999999992</v>
      </c>
      <c r="AI7" s="343">
        <f>VLOOKUP($A$7:$A$33,NOV!$B$5:$C$31,2,)</f>
        <v>3617.5360000000001</v>
      </c>
      <c r="AJ7" s="343">
        <f>VLOOKUP($A$7:$A$33,NOV!$B$5:$D$31,3,)</f>
        <v>1325.3760000000002</v>
      </c>
      <c r="AK7" s="343">
        <f>VLOOKUP($A$7:$A$33,DEZ!$B$5:$C$31,2,)</f>
        <v>6135.9440000000004</v>
      </c>
      <c r="AL7" s="343">
        <f>VLOOKUP($A$7:$A$33,DEZ!$B$5:$D$31,3,)</f>
        <v>2157.559999999999</v>
      </c>
      <c r="AM7" s="343">
        <f t="shared" ref="AM7:AM33" si="4">SUM(O7:AL7)</f>
        <v>157715.65599999996</v>
      </c>
      <c r="AN7" s="342">
        <f t="shared" ref="AN7:AN36" si="5">AM7/(E7+F7)*100</f>
        <v>140.78837663709825</v>
      </c>
      <c r="AO7" s="342">
        <f t="shared" ref="AO7:AO36" si="6">AM7/$AM$36*100</f>
        <v>0.22092851878352379</v>
      </c>
      <c r="AP7" s="315">
        <f>SUM(O7:AF7)</f>
        <v>133675.584</v>
      </c>
      <c r="AQ7" s="341">
        <f>O7+Q7+S7+U7+W7+Y7+AA7+AC7+AE7+AG7+AI7</f>
        <v>116131.008</v>
      </c>
      <c r="AR7" s="341">
        <f>P7+R7+T7+V7+X7+Z7+AB7+AD7+AF7+AH7+AJ7</f>
        <v>33291.144</v>
      </c>
      <c r="AS7" s="340">
        <f>IFERROR(AQ7/E7,)</f>
        <v>1.2501108544720403</v>
      </c>
      <c r="AT7" s="340">
        <f>IFERROR(AR7/F7,)</f>
        <v>1.740564155544309</v>
      </c>
      <c r="AU7" s="314">
        <f>IFERROR(AP7/(E7+F7),)</f>
        <v>1.1932847343561166</v>
      </c>
      <c r="AV7" s="313">
        <f>'Comparativo YoY'!EB8</f>
        <v>19.080120447287257</v>
      </c>
      <c r="AX7" s="1207">
        <f>O7+Q7+S7+U7+W7+Y7+AA7+AC7+AE7+AG7+AI7+AK7</f>
        <v>122266.952</v>
      </c>
      <c r="AY7" s="1207">
        <f>P7+R7++T7+V7+X7+Z7+AB7+AD7+AF7+AH7+AJ7+AL7</f>
        <v>35448.703999999998</v>
      </c>
      <c r="AZ7" s="1211" t="b">
        <f>AX7+AY7=AM7</f>
        <v>1</v>
      </c>
      <c r="BA7" s="1211"/>
      <c r="BB7" s="1211"/>
      <c r="BC7" s="1211"/>
    </row>
    <row r="8" spans="1:55" s="313" customFormat="1" ht="30" customHeight="1">
      <c r="A8" s="351" t="s">
        <v>88</v>
      </c>
      <c r="B8" s="350">
        <v>1973</v>
      </c>
      <c r="C8" s="350">
        <v>1902</v>
      </c>
      <c r="D8" s="350">
        <v>993</v>
      </c>
      <c r="E8" s="349">
        <v>412238.73000000004</v>
      </c>
      <c r="F8" s="349">
        <v>144042.57</v>
      </c>
      <c r="G8" s="988">
        <f>VLOOKUP($A$7:$A$33,'PF - Gênero'!$A$32:$D$58,4,)</f>
        <v>1983</v>
      </c>
      <c r="H8" s="988">
        <f>VLOOKUP($A$7:$A$33,'Relatórios - SICCAU e IGEO'!$A$3:$B$29,2,)</f>
        <v>41</v>
      </c>
      <c r="I8" s="988">
        <f t="shared" si="0"/>
        <v>1942</v>
      </c>
      <c r="J8" s="988">
        <v>1287</v>
      </c>
      <c r="K8" s="988">
        <v>801</v>
      </c>
      <c r="L8" s="988">
        <f t="shared" si="1"/>
        <v>486</v>
      </c>
      <c r="M8" s="348">
        <f t="shared" si="2"/>
        <v>66.271884654994849</v>
      </c>
      <c r="N8" s="347">
        <f t="shared" si="3"/>
        <v>0.96034742638828785</v>
      </c>
      <c r="O8" s="346">
        <f>VLOOKUP($A$7:$A$33,JAN!$R$5:$T$31,2,)</f>
        <v>82619.016000000003</v>
      </c>
      <c r="P8" s="346">
        <f>VLOOKUP($A$7:$A$33,JAN!$R$5:$T$31,3,)</f>
        <v>25126.440000000002</v>
      </c>
      <c r="Q8" s="346">
        <f>VLOOKUP($A$7:$A$33,FEV!$R$5:$T$31,2,)</f>
        <v>76937.648000000001</v>
      </c>
      <c r="R8" s="346">
        <f>VLOOKUP($A$7:$A$33,FEV!$R$5:$T$31,3,)</f>
        <v>16464.688000000002</v>
      </c>
      <c r="S8" s="346">
        <f>VLOOKUP($A$7:$A$33,MAR!$R$5:$AI$31,18,)</f>
        <v>41772.520000000004</v>
      </c>
      <c r="T8" s="346">
        <f>VLOOKUP($A$7:$A$33,MAR!$R$5:$AJ$31,19,)</f>
        <v>13770.735999999999</v>
      </c>
      <c r="U8" s="345">
        <f>VLOOKUP($A$7:$A$33,ABR!$R$5:$S$31,2,)</f>
        <v>17309.544000000002</v>
      </c>
      <c r="V8" s="345">
        <f>VLOOKUP($A$7:$A$33,ABR!$R$5:$T$31,3,)</f>
        <v>10478.880000000001</v>
      </c>
      <c r="W8" s="345">
        <f>VLOOKUP($A$7:$A$33,MAI!$B$5:$D$31,2,)</f>
        <v>17241.904000000002</v>
      </c>
      <c r="X8" s="345">
        <f>VLOOKUP($A$7:$A$33,MAI!$B$5:$D$31,3,)</f>
        <v>8710.2320000000018</v>
      </c>
      <c r="Y8" s="345">
        <f>VLOOKUP($A$7:$A$33,JUN!$B$5:$D$31,2,)</f>
        <v>22298.959999999999</v>
      </c>
      <c r="Z8" s="345">
        <f>VLOOKUP($A$7:$A$33,JUN!$B$5:$D$31,3,)</f>
        <v>10994.336000000001</v>
      </c>
      <c r="AA8" s="344">
        <f>VLOOKUP($A$7:$A$33,JUL!$B$5:$C$31,2,)</f>
        <v>46785.784000000007</v>
      </c>
      <c r="AB8" s="344">
        <f>VLOOKUP($A$7:$A$33,JUL!$B$5:$D$31,3,)</f>
        <v>14140.256000000001</v>
      </c>
      <c r="AC8" s="344">
        <f>VLOOKUP($A$7:$A$33,AGO!$B$5:$C$31,2,)</f>
        <v>51631.240000000005</v>
      </c>
      <c r="AD8" s="344">
        <f>VLOOKUP($A$7:$A$33,AGO!$B$5:$D$31,3,)</f>
        <v>14468.976000000002</v>
      </c>
      <c r="AE8" s="344">
        <f>VLOOKUP($A$7:$A$33,SET!$B$5:$C$31,2,)</f>
        <v>18370.256000000001</v>
      </c>
      <c r="AF8" s="344">
        <f>VLOOKUP($A$7:$A$33,SET!$B$5:$D$31,3,)</f>
        <v>13769.927999999998</v>
      </c>
      <c r="AG8" s="344">
        <f>VLOOKUP($A$7:$A$33,OUT!$B$5:$C$31,2,)</f>
        <v>7539.1840000000002</v>
      </c>
      <c r="AH8" s="344">
        <f>VLOOKUP($A$7:$A$33,OUT!$B$5:$D$31,3,)</f>
        <v>26093.544000000005</v>
      </c>
      <c r="AI8" s="343">
        <f>VLOOKUP($A$7:$A$33,NOV!$B$5:$C$31,2,)</f>
        <v>13876.696000000004</v>
      </c>
      <c r="AJ8" s="343">
        <f>VLOOKUP($A$7:$A$33,NOV!$B$5:$D$31,3,)</f>
        <v>11461.576000000001</v>
      </c>
      <c r="AK8" s="343">
        <f>VLOOKUP($A$7:$A$33,DEZ!$B$5:$C$31,2,)</f>
        <v>21301.232000000004</v>
      </c>
      <c r="AL8" s="343">
        <f>VLOOKUP($A$7:$A$33,DEZ!$B$5:$D$31,3,)</f>
        <v>17132.072000000004</v>
      </c>
      <c r="AM8" s="343">
        <f t="shared" si="4"/>
        <v>600295.64800000004</v>
      </c>
      <c r="AN8" s="342">
        <f t="shared" si="5"/>
        <v>107.91224655583424</v>
      </c>
      <c r="AO8" s="342">
        <f t="shared" si="6"/>
        <v>0.84089577222971212</v>
      </c>
      <c r="AP8" s="315">
        <f t="shared" ref="AP8:AP38" si="7">SUM(O8:AF8)</f>
        <v>502891.34400000004</v>
      </c>
      <c r="AQ8" s="341">
        <f t="shared" ref="AQ8:AQ37" si="8">O8+Q8+S8+U8+W8+Y8+AA8+AC8+AE8+AG8+AI8</f>
        <v>396382.75199999998</v>
      </c>
      <c r="AR8" s="341">
        <f t="shared" ref="AR8:AR38" si="9">P8+R8+T8+V8+X8+Z8+AB8+AD8+AF8+AH8+AJ8</f>
        <v>165479.592</v>
      </c>
      <c r="AS8" s="340">
        <f t="shared" ref="AS8:AS38" si="10">IFERROR(AQ8/E8,)</f>
        <v>0.96153690362863276</v>
      </c>
      <c r="AT8" s="340">
        <f t="shared" ref="AT8:AT38" si="11">IFERROR(AR8/F8,)</f>
        <v>1.1488242121756089</v>
      </c>
      <c r="AU8" s="314">
        <f t="shared" ref="AU8:AU38" si="12">IFERROR(AP8/(E8+F8),)</f>
        <v>0.90402345719692534</v>
      </c>
      <c r="AV8" s="313">
        <f>'Comparativo YoY'!EB9</f>
        <v>18.104418331109628</v>
      </c>
      <c r="AX8" s="1207">
        <f t="shared" ref="AX8:AX36" si="13">O8+Q8+S8+U8+W8+Y8+AA8+AC8+AE8+AG8+AI8+AK8</f>
        <v>417683.984</v>
      </c>
      <c r="AY8" s="1207">
        <f t="shared" ref="AY8:AY36" si="14">P8+R8++T8+V8+X8+Z8+AB8+AD8+AF8+AH8+AJ8+AL8</f>
        <v>182611.66400000002</v>
      </c>
      <c r="AZ8" s="1211" t="b">
        <f t="shared" ref="AZ8:AZ36" si="15">AX8+AY8=AM8</f>
        <v>1</v>
      </c>
      <c r="BA8" s="1211"/>
      <c r="BB8" s="1211"/>
      <c r="BC8" s="1211"/>
    </row>
    <row r="9" spans="1:55" s="313" customFormat="1" ht="30" customHeight="1">
      <c r="A9" s="351" t="s">
        <v>90</v>
      </c>
      <c r="B9" s="350">
        <v>1797</v>
      </c>
      <c r="C9" s="350">
        <v>1782</v>
      </c>
      <c r="D9" s="350">
        <v>930</v>
      </c>
      <c r="E9" s="349">
        <v>392979.95</v>
      </c>
      <c r="F9" s="349">
        <v>134347.413</v>
      </c>
      <c r="G9" s="988">
        <f>VLOOKUP($A$7:$A$33,'PF - Gênero'!$A$32:$D$58,4,)</f>
        <v>1744</v>
      </c>
      <c r="H9" s="988">
        <f>VLOOKUP($A$7:$A$33,'Relatórios - SICCAU e IGEO'!$A$3:$B$29,2,)</f>
        <v>7</v>
      </c>
      <c r="I9" s="988">
        <f t="shared" si="0"/>
        <v>1737</v>
      </c>
      <c r="J9" s="988">
        <v>1214</v>
      </c>
      <c r="K9" s="988">
        <v>641</v>
      </c>
      <c r="L9" s="988">
        <f t="shared" si="1"/>
        <v>573</v>
      </c>
      <c r="M9" s="348">
        <f t="shared" si="2"/>
        <v>69.890616004605647</v>
      </c>
      <c r="N9" s="347">
        <f t="shared" si="3"/>
        <v>0.90587550554419682</v>
      </c>
      <c r="O9" s="346">
        <f>VLOOKUP($A$7:$A$33,JAN!$R$5:$T$31,2,)</f>
        <v>56159.095999999998</v>
      </c>
      <c r="P9" s="346">
        <f>VLOOKUP($A$7:$A$33,JAN!$R$5:$T$31,3,)</f>
        <v>20675.456000000002</v>
      </c>
      <c r="Q9" s="346">
        <f>VLOOKUP($A$7:$A$33,FEV!$R$5:$T$31,2,)</f>
        <v>65980.911999999997</v>
      </c>
      <c r="R9" s="346">
        <f>VLOOKUP($A$7:$A$33,FEV!$R$5:$T$31,3,)</f>
        <v>13188.688000000002</v>
      </c>
      <c r="S9" s="346">
        <f>VLOOKUP($A$7:$A$33,MAR!$R$5:$AI$31,18,)</f>
        <v>47458.544000000002</v>
      </c>
      <c r="T9" s="346">
        <f>VLOOKUP($A$7:$A$33,MAR!$R$5:$AJ$31,19,)</f>
        <v>14358.808000000003</v>
      </c>
      <c r="U9" s="345">
        <f>VLOOKUP($A$7:$A$33,ABR!$R$5:$S$31,2,)</f>
        <v>17888.84</v>
      </c>
      <c r="V9" s="345">
        <f>VLOOKUP($A$7:$A$33,ABR!$R$5:$T$31,3,)</f>
        <v>7205.8640000000005</v>
      </c>
      <c r="W9" s="345">
        <f>VLOOKUP($A$7:$A$33,MAI!$B$5:$D$31,2,)</f>
        <v>19643.088</v>
      </c>
      <c r="X9" s="345">
        <f>VLOOKUP($A$7:$A$33,MAI!$B$5:$D$31,3,)</f>
        <v>10934.152000000002</v>
      </c>
      <c r="Y9" s="345">
        <f>VLOOKUP($A$7:$A$33,JUN!$B$5:$D$31,2,)</f>
        <v>35431.775999999991</v>
      </c>
      <c r="Z9" s="345">
        <f>VLOOKUP($A$7:$A$33,JUN!$B$5:$D$31,3,)</f>
        <v>18924.511999999999</v>
      </c>
      <c r="AA9" s="344">
        <f>VLOOKUP($A$7:$A$33,JUL!$B$5:$C$31,2,)</f>
        <v>40861.856</v>
      </c>
      <c r="AB9" s="344">
        <f>VLOOKUP($A$7:$A$33,JUL!$B$5:$D$31,3,)</f>
        <v>16617.168000000001</v>
      </c>
      <c r="AC9" s="344">
        <f>VLOOKUP($A$7:$A$33,AGO!$B$5:$C$31,2,)</f>
        <v>53688.128000000004</v>
      </c>
      <c r="AD9" s="344">
        <f>VLOOKUP($A$7:$A$33,AGO!$B$5:$D$31,3,)</f>
        <v>15477.903999999993</v>
      </c>
      <c r="AE9" s="344">
        <f>VLOOKUP($A$7:$A$33,SET!$B$5:$C$31,2,)</f>
        <v>20534.320000000003</v>
      </c>
      <c r="AF9" s="344">
        <f>VLOOKUP($A$7:$A$33,SET!$B$5:$D$31,3,)</f>
        <v>13935.639999999998</v>
      </c>
      <c r="AG9" s="344">
        <f>VLOOKUP($A$7:$A$33,OUT!$B$5:$C$31,2,)</f>
        <v>7970.0479999999998</v>
      </c>
      <c r="AH9" s="344">
        <f>VLOOKUP($A$7:$A$33,OUT!$B$5:$D$31,3,)</f>
        <v>20796.992000000006</v>
      </c>
      <c r="AI9" s="343">
        <f>VLOOKUP($A$7:$A$33,NOV!$B$5:$C$31,2,)</f>
        <v>15815.928000000004</v>
      </c>
      <c r="AJ9" s="343">
        <f>VLOOKUP($A$7:$A$33,NOV!$B$5:$D$31,3,)</f>
        <v>8722.3360000000011</v>
      </c>
      <c r="AK9" s="343">
        <f>VLOOKUP($A$7:$A$33,DEZ!$B$5:$C$31,2,)</f>
        <v>15140.256000000001</v>
      </c>
      <c r="AL9" s="343">
        <f>VLOOKUP($A$7:$A$33,DEZ!$B$5:$D$31,3,)</f>
        <v>17263.135999999999</v>
      </c>
      <c r="AM9" s="343">
        <f t="shared" si="4"/>
        <v>574673.44800000009</v>
      </c>
      <c r="AN9" s="342">
        <f t="shared" si="5"/>
        <v>108.97849956631211</v>
      </c>
      <c r="AO9" s="342">
        <f t="shared" si="6"/>
        <v>0.8050041249605584</v>
      </c>
      <c r="AP9" s="315">
        <f t="shared" si="7"/>
        <v>488964.75199999998</v>
      </c>
      <c r="AQ9" s="341">
        <f t="shared" si="8"/>
        <v>381432.53600000002</v>
      </c>
      <c r="AR9" s="341">
        <f t="shared" si="9"/>
        <v>160837.52000000002</v>
      </c>
      <c r="AS9" s="340">
        <f t="shared" si="10"/>
        <v>0.97061576805636018</v>
      </c>
      <c r="AT9" s="340">
        <f t="shared" si="11"/>
        <v>1.1971761599905166</v>
      </c>
      <c r="AU9" s="314">
        <f t="shared" si="12"/>
        <v>0.9272508621935478</v>
      </c>
      <c r="AV9" s="313">
        <f>'Comparativo YoY'!EB10</f>
        <v>-3.3145472799273392</v>
      </c>
      <c r="AX9" s="1207">
        <f t="shared" si="13"/>
        <v>396572.79200000002</v>
      </c>
      <c r="AY9" s="1207">
        <f t="shared" si="14"/>
        <v>178100.65600000002</v>
      </c>
      <c r="AZ9" s="1211" t="b">
        <f t="shared" si="15"/>
        <v>1</v>
      </c>
      <c r="BA9" s="1211"/>
      <c r="BB9" s="1211"/>
      <c r="BC9" s="1211"/>
    </row>
    <row r="10" spans="1:55" s="313" customFormat="1" ht="30" customHeight="1">
      <c r="A10" s="351" t="s">
        <v>89</v>
      </c>
      <c r="B10" s="350">
        <v>715</v>
      </c>
      <c r="C10" s="350">
        <v>707</v>
      </c>
      <c r="D10" s="350">
        <v>323</v>
      </c>
      <c r="E10" s="349">
        <v>101798.44</v>
      </c>
      <c r="F10" s="349">
        <v>28698.84</v>
      </c>
      <c r="G10" s="988">
        <f>VLOOKUP($A$7:$A$33,'PF - Gênero'!$A$32:$D$58,4,)</f>
        <v>748</v>
      </c>
      <c r="H10" s="988">
        <f>VLOOKUP($A$7:$A$33,'Relatórios - SICCAU e IGEO'!$A$3:$B$29,2,)</f>
        <v>5</v>
      </c>
      <c r="I10" s="988">
        <f t="shared" si="0"/>
        <v>743</v>
      </c>
      <c r="J10" s="988">
        <v>461</v>
      </c>
      <c r="K10" s="988">
        <v>253</v>
      </c>
      <c r="L10" s="988">
        <f t="shared" si="1"/>
        <v>208</v>
      </c>
      <c r="M10" s="348">
        <f t="shared" si="2"/>
        <v>62.0457604306864</v>
      </c>
      <c r="N10" s="347">
        <f t="shared" si="3"/>
        <v>0.34399391108391658</v>
      </c>
      <c r="O10" s="346">
        <f>VLOOKUP($A$7:$A$33,JAN!$R$5:$T$31,2,)</f>
        <v>16939.752</v>
      </c>
      <c r="P10" s="346">
        <f>VLOOKUP($A$7:$A$33,JAN!$R$5:$T$31,3,)</f>
        <v>6473.5680000000002</v>
      </c>
      <c r="Q10" s="346">
        <f>VLOOKUP($A$7:$A$33,FEV!$R$5:$T$31,2,)</f>
        <v>22377.328000000001</v>
      </c>
      <c r="R10" s="346">
        <f>VLOOKUP($A$7:$A$33,FEV!$R$5:$T$31,3,)</f>
        <v>5700.0400000000009</v>
      </c>
      <c r="S10" s="346">
        <f>VLOOKUP($A$7:$A$33,MAR!$R$5:$AI$31,18,)</f>
        <v>14640.120000000003</v>
      </c>
      <c r="T10" s="346">
        <f>VLOOKUP($A$7:$A$33,MAR!$R$5:$AJ$31,19,)</f>
        <v>3919.8559999999998</v>
      </c>
      <c r="U10" s="345">
        <f>VLOOKUP($A$7:$A$33,ABR!$R$5:$S$31,2,)</f>
        <v>8337.8240000000005</v>
      </c>
      <c r="V10" s="345">
        <f>VLOOKUP($A$7:$A$33,ABR!$R$5:$T$31,3,)</f>
        <v>3079.4400000000005</v>
      </c>
      <c r="W10" s="345">
        <f>VLOOKUP($A$7:$A$33,MAI!$B$5:$D$31,2,)</f>
        <v>4209.384</v>
      </c>
      <c r="X10" s="345">
        <f>VLOOKUP($A$7:$A$33,MAI!$B$5:$D$31,3,)</f>
        <v>3016.1759999999999</v>
      </c>
      <c r="Y10" s="345">
        <f>VLOOKUP($A$7:$A$33,JUN!$B$5:$D$31,2,)</f>
        <v>11290.143999999998</v>
      </c>
      <c r="Z10" s="345">
        <f>VLOOKUP($A$7:$A$33,JUN!$B$5:$D$31,3,)</f>
        <v>3764.2160000000003</v>
      </c>
      <c r="AA10" s="344">
        <f>VLOOKUP($A$7:$A$33,JUL!$B$5:$C$31,2,)</f>
        <v>23954.448000000004</v>
      </c>
      <c r="AB10" s="344">
        <f>VLOOKUP($A$7:$A$33,JUL!$B$5:$D$31,3,)</f>
        <v>6781.24</v>
      </c>
      <c r="AC10" s="344">
        <f>VLOOKUP($A$7:$A$33,AGO!$B$5:$C$31,2,)</f>
        <v>24375.440000000002</v>
      </c>
      <c r="AD10" s="344">
        <f>VLOOKUP($A$7:$A$33,AGO!$B$5:$D$31,3,)</f>
        <v>7456.7600000000011</v>
      </c>
      <c r="AE10" s="344">
        <f>VLOOKUP($A$7:$A$33,SET!$B$5:$C$31,2,)</f>
        <v>7634.4480000000003</v>
      </c>
      <c r="AF10" s="344">
        <f>VLOOKUP($A$7:$A$33,SET!$B$5:$D$31,3,)</f>
        <v>4516.3840000000009</v>
      </c>
      <c r="AG10" s="344">
        <f>VLOOKUP($A$7:$A$33,OUT!$B$5:$C$31,2,)</f>
        <v>2324.5520000000001</v>
      </c>
      <c r="AH10" s="344">
        <f>VLOOKUP($A$7:$A$33,OUT!$B$5:$D$31,3,)</f>
        <v>10084.023999999999</v>
      </c>
      <c r="AI10" s="343">
        <f>VLOOKUP($A$7:$A$33,NOV!$B$5:$C$31,2,)</f>
        <v>4392.5760000000009</v>
      </c>
      <c r="AJ10" s="343">
        <f>VLOOKUP($A$7:$A$33,NOV!$B$5:$D$31,3,)</f>
        <v>4774.5280000000002</v>
      </c>
      <c r="AK10" s="343">
        <f>VLOOKUP($A$7:$A$33,DEZ!$B$5:$C$31,2,)</f>
        <v>6185.6080000000002</v>
      </c>
      <c r="AL10" s="343">
        <f>VLOOKUP($A$7:$A$33,DEZ!$B$5:$D$31,3,)</f>
        <v>2685.7280000000001</v>
      </c>
      <c r="AM10" s="343">
        <f t="shared" si="4"/>
        <v>208913.58400000003</v>
      </c>
      <c r="AN10" s="342">
        <f t="shared" si="5"/>
        <v>160.09037429745666</v>
      </c>
      <c r="AO10" s="342">
        <f t="shared" si="6"/>
        <v>0.29264671521816005</v>
      </c>
      <c r="AP10" s="315">
        <f t="shared" si="7"/>
        <v>178466.56800000003</v>
      </c>
      <c r="AQ10" s="341">
        <f t="shared" si="8"/>
        <v>140476.016</v>
      </c>
      <c r="AR10" s="341">
        <f t="shared" si="9"/>
        <v>59566.231999999996</v>
      </c>
      <c r="AS10" s="340">
        <f t="shared" si="10"/>
        <v>1.3799427181791784</v>
      </c>
      <c r="AT10" s="340">
        <f t="shared" si="11"/>
        <v>2.0755623572241944</v>
      </c>
      <c r="AU10" s="314">
        <f t="shared" si="12"/>
        <v>1.3675884125707449</v>
      </c>
      <c r="AV10" s="313">
        <f>'Comparativo YoY'!EB11</f>
        <v>22.883167152450042</v>
      </c>
      <c r="AX10" s="1207">
        <f t="shared" si="13"/>
        <v>146661.62400000001</v>
      </c>
      <c r="AY10" s="1207">
        <f t="shared" si="14"/>
        <v>62251.96</v>
      </c>
      <c r="AZ10" s="1211" t="b">
        <f t="shared" si="15"/>
        <v>1</v>
      </c>
      <c r="BA10" s="1211"/>
      <c r="BB10" s="1211"/>
      <c r="BC10" s="1211"/>
    </row>
    <row r="11" spans="1:55" s="313" customFormat="1" ht="30" customHeight="1">
      <c r="A11" s="351" t="s">
        <v>91</v>
      </c>
      <c r="B11" s="350">
        <v>6154</v>
      </c>
      <c r="C11" s="350">
        <v>5441</v>
      </c>
      <c r="D11" s="350">
        <v>2952</v>
      </c>
      <c r="E11" s="349">
        <v>1122504.2</v>
      </c>
      <c r="F11" s="349">
        <v>300000</v>
      </c>
      <c r="G11" s="988">
        <f>VLOOKUP($A$7:$A$33,'PF - Gênero'!$A$32:$D$58,4,)</f>
        <v>6492</v>
      </c>
      <c r="H11" s="988">
        <f>VLOOKUP($A$7:$A$33,'Relatórios - SICCAU e IGEO'!$A$3:$B$29,2,)</f>
        <v>614</v>
      </c>
      <c r="I11" s="988">
        <f t="shared" si="0"/>
        <v>5878</v>
      </c>
      <c r="J11" s="988">
        <v>4264</v>
      </c>
      <c r="K11" s="988">
        <v>2634</v>
      </c>
      <c r="L11" s="988">
        <f t="shared" si="1"/>
        <v>1630</v>
      </c>
      <c r="M11" s="348">
        <f t="shared" si="2"/>
        <v>72.541680843824423</v>
      </c>
      <c r="N11" s="347">
        <f t="shared" si="3"/>
        <v>3.1817571298521052</v>
      </c>
      <c r="O11" s="346">
        <f>VLOOKUP($A$7:$A$33,JAN!$R$5:$T$31,2,)</f>
        <v>240394.49600000001</v>
      </c>
      <c r="P11" s="346">
        <f>VLOOKUP($A$7:$A$33,JAN!$R$5:$T$31,3,)</f>
        <v>56708.472000000002</v>
      </c>
      <c r="Q11" s="346">
        <f>VLOOKUP($A$7:$A$33,FEV!$R$5:$T$31,2,)</f>
        <v>232154.37599999999</v>
      </c>
      <c r="R11" s="346">
        <f>VLOOKUP($A$7:$A$33,FEV!$R$5:$T$31,3,)</f>
        <v>53191.592000000004</v>
      </c>
      <c r="S11" s="346">
        <f>VLOOKUP($A$7:$A$33,MAR!$R$5:$AI$31,18,)</f>
        <v>150004.91200000001</v>
      </c>
      <c r="T11" s="346">
        <f>VLOOKUP($A$7:$A$33,MAR!$R$5:$AJ$31,19,)</f>
        <v>34697.200000000004</v>
      </c>
      <c r="U11" s="345">
        <f>VLOOKUP($A$7:$A$33,ABR!$R$5:$S$31,2,)</f>
        <v>53443.19200000001</v>
      </c>
      <c r="V11" s="345">
        <f>VLOOKUP($A$7:$A$33,ABR!$R$5:$T$31,3,)</f>
        <v>19805.048000000003</v>
      </c>
      <c r="W11" s="345">
        <f>VLOOKUP($A$7:$A$33,MAI!$B$5:$D$31,2,)</f>
        <v>49621.16</v>
      </c>
      <c r="X11" s="345">
        <f>VLOOKUP($A$7:$A$33,MAI!$B$5:$D$31,3,)</f>
        <v>14971.176000000001</v>
      </c>
      <c r="Y11" s="345">
        <f>VLOOKUP($A$7:$A$33,JUN!$B$5:$D$31,2,)</f>
        <v>78866.736000000004</v>
      </c>
      <c r="Z11" s="345">
        <f>VLOOKUP($A$7:$A$33,JUN!$B$5:$D$31,3,)</f>
        <v>18748.416000000001</v>
      </c>
      <c r="AA11" s="344">
        <f>VLOOKUP($A$7:$A$33,JUL!$B$5:$C$31,2,)</f>
        <v>144233.67199999999</v>
      </c>
      <c r="AB11" s="344">
        <f>VLOOKUP($A$7:$A$33,JUL!$B$5:$D$31,3,)</f>
        <v>26473.567999999996</v>
      </c>
      <c r="AC11" s="344">
        <f>VLOOKUP($A$7:$A$33,AGO!$B$5:$C$31,2,)</f>
        <v>164233.23200000002</v>
      </c>
      <c r="AD11" s="344">
        <f>VLOOKUP($A$7:$A$33,AGO!$B$5:$D$31,3,)</f>
        <v>20238.911999999989</v>
      </c>
      <c r="AE11" s="344">
        <f>VLOOKUP($A$7:$A$33,SET!$B$5:$C$31,2,)</f>
        <v>70406.216</v>
      </c>
      <c r="AF11" s="344">
        <f>VLOOKUP($A$7:$A$33,SET!$B$5:$D$31,3,)</f>
        <v>25005.064000000002</v>
      </c>
      <c r="AG11" s="344">
        <f>VLOOKUP($A$7:$A$33,OUT!$B$5:$C$31,2,)</f>
        <v>24346.512000000002</v>
      </c>
      <c r="AH11" s="344">
        <f>VLOOKUP($A$7:$A$33,OUT!$B$5:$D$31,3,)</f>
        <v>52198.776000000005</v>
      </c>
      <c r="AI11" s="343">
        <f>VLOOKUP($A$7:$A$33,NOV!$B$5:$C$31,2,)</f>
        <v>42854.840000000004</v>
      </c>
      <c r="AJ11" s="343">
        <f>VLOOKUP($A$7:$A$33,NOV!$B$5:$D$31,3,)</f>
        <v>18467.472000000002</v>
      </c>
      <c r="AK11" s="343">
        <f>VLOOKUP($A$7:$A$33,DEZ!$B$5:$C$31,2,)</f>
        <v>43961.96</v>
      </c>
      <c r="AL11" s="343">
        <f>VLOOKUP($A$7:$A$33,DEZ!$B$5:$D$31,3,)</f>
        <v>20282.943999999996</v>
      </c>
      <c r="AM11" s="343">
        <f t="shared" si="4"/>
        <v>1655309.9440000001</v>
      </c>
      <c r="AN11" s="342">
        <f t="shared" si="5"/>
        <v>116.36590907780801</v>
      </c>
      <c r="AO11" s="342">
        <f t="shared" si="6"/>
        <v>2.3187626601607505</v>
      </c>
      <c r="AP11" s="315">
        <f t="shared" si="7"/>
        <v>1453197.44</v>
      </c>
      <c r="AQ11" s="341">
        <f t="shared" si="8"/>
        <v>1250559.3440000003</v>
      </c>
      <c r="AR11" s="341">
        <f t="shared" si="9"/>
        <v>340505.69600000005</v>
      </c>
      <c r="AS11" s="340">
        <f t="shared" si="10"/>
        <v>1.1140798796120319</v>
      </c>
      <c r="AT11" s="340">
        <f t="shared" si="11"/>
        <v>1.1350189866666669</v>
      </c>
      <c r="AU11" s="314">
        <f t="shared" si="12"/>
        <v>1.0215769064161637</v>
      </c>
      <c r="AV11" s="313">
        <f>'Comparativo YoY'!EB12</f>
        <v>11.541918291359849</v>
      </c>
      <c r="AX11" s="1207">
        <f t="shared" si="13"/>
        <v>1294521.3040000002</v>
      </c>
      <c r="AY11" s="1207">
        <f t="shared" si="14"/>
        <v>360788.64000000007</v>
      </c>
      <c r="AZ11" s="1211" t="b">
        <f t="shared" si="15"/>
        <v>1</v>
      </c>
      <c r="BA11" s="1211"/>
      <c r="BB11" s="1211"/>
      <c r="BC11" s="1211"/>
    </row>
    <row r="12" spans="1:55" s="313" customFormat="1" ht="30" customHeight="1">
      <c r="A12" s="351" t="s">
        <v>92</v>
      </c>
      <c r="B12" s="350">
        <v>3593</v>
      </c>
      <c r="C12" s="350">
        <v>3389</v>
      </c>
      <c r="D12" s="350">
        <v>1980</v>
      </c>
      <c r="E12" s="349">
        <v>948653.19</v>
      </c>
      <c r="F12" s="349">
        <v>172305.77</v>
      </c>
      <c r="G12" s="988">
        <f>VLOOKUP($A$7:$A$33,'PF - Gênero'!$A$32:$D$58,4,)</f>
        <v>3872</v>
      </c>
      <c r="H12" s="988">
        <f>VLOOKUP($A$7:$A$33,'Relatórios - SICCAU e IGEO'!$A$3:$B$29,2,)</f>
        <v>137</v>
      </c>
      <c r="I12" s="988">
        <f t="shared" si="0"/>
        <v>3735</v>
      </c>
      <c r="J12" s="988">
        <v>2748</v>
      </c>
      <c r="K12" s="988">
        <v>1773</v>
      </c>
      <c r="L12" s="988">
        <f t="shared" si="1"/>
        <v>975</v>
      </c>
      <c r="M12" s="348">
        <f t="shared" si="2"/>
        <v>73.574297188755025</v>
      </c>
      <c r="N12" s="347">
        <f t="shared" si="3"/>
        <v>2.0505320339666002</v>
      </c>
      <c r="O12" s="346">
        <f>VLOOKUP($A$7:$A$33,JAN!$R$5:$T$31,2,)</f>
        <v>187853.024</v>
      </c>
      <c r="P12" s="346">
        <f>VLOOKUP($A$7:$A$33,JAN!$R$5:$T$31,3,)</f>
        <v>23023.120000000003</v>
      </c>
      <c r="Q12" s="346">
        <f>VLOOKUP($A$7:$A$33,FEV!$R$5:$T$31,2,)</f>
        <v>123844.62400000001</v>
      </c>
      <c r="R12" s="346">
        <f>VLOOKUP($A$7:$A$33,FEV!$R$5:$T$31,3,)</f>
        <v>13182.407999999999</v>
      </c>
      <c r="S12" s="346">
        <f>VLOOKUP($A$7:$A$33,MAR!$R$5:$AI$31,18,)</f>
        <v>80019.960000000006</v>
      </c>
      <c r="T12" s="346">
        <f>VLOOKUP($A$7:$A$33,MAR!$R$5:$AJ$31,19,)</f>
        <v>10926.344000000001</v>
      </c>
      <c r="U12" s="345">
        <f>VLOOKUP($A$7:$A$33,ABR!$R$5:$S$31,2,)</f>
        <v>24080.440000000002</v>
      </c>
      <c r="V12" s="345">
        <f>VLOOKUP($A$7:$A$33,ABR!$R$5:$T$31,3,)</f>
        <v>8071.8880000000008</v>
      </c>
      <c r="W12" s="345">
        <f>VLOOKUP($A$7:$A$33,MAI!$B$5:$D$31,2,)</f>
        <v>23167.584000000003</v>
      </c>
      <c r="X12" s="345">
        <f>VLOOKUP($A$7:$A$33,MAI!$B$5:$D$31,3,)</f>
        <v>6142.2640000000001</v>
      </c>
      <c r="Y12" s="345">
        <f>VLOOKUP($A$7:$A$33,JUN!$B$5:$D$31,2,)</f>
        <v>51427.80000000001</v>
      </c>
      <c r="Z12" s="345">
        <f>VLOOKUP($A$7:$A$33,JUN!$B$5:$D$31,3,)</f>
        <v>8411.3680000000004</v>
      </c>
      <c r="AA12" s="344">
        <f>VLOOKUP($A$7:$A$33,JUL!$B$5:$C$31,2,)</f>
        <v>100681.424</v>
      </c>
      <c r="AB12" s="344">
        <f>VLOOKUP($A$7:$A$33,JUL!$B$5:$D$31,3,)</f>
        <v>13491.567999999994</v>
      </c>
      <c r="AC12" s="344">
        <f>VLOOKUP($A$7:$A$33,AGO!$B$5:$C$31,2,)</f>
        <v>91472.576000000001</v>
      </c>
      <c r="AD12" s="344">
        <f>VLOOKUP($A$7:$A$33,AGO!$B$5:$D$31,3,)</f>
        <v>14412.303999999982</v>
      </c>
      <c r="AE12" s="344">
        <f>VLOOKUP($A$7:$A$33,SET!$B$5:$C$31,2,)</f>
        <v>44046.592000000004</v>
      </c>
      <c r="AF12" s="344">
        <f>VLOOKUP($A$7:$A$33,SET!$B$5:$D$31,3,)</f>
        <v>17535.616000000009</v>
      </c>
      <c r="AG12" s="344">
        <f>VLOOKUP($A$7:$A$33,OUT!$B$5:$C$31,2,)</f>
        <v>15217.560000000001</v>
      </c>
      <c r="AH12" s="344">
        <f>VLOOKUP($A$7:$A$33,OUT!$B$5:$D$31,3,)</f>
        <v>36124.248</v>
      </c>
      <c r="AI12" s="343">
        <f>VLOOKUP($A$7:$A$33,NOV!$B$5:$C$31,2,)</f>
        <v>24076.272000000004</v>
      </c>
      <c r="AJ12" s="343">
        <f>VLOOKUP($A$7:$A$33,NOV!$B$5:$D$31,3,)</f>
        <v>8695.6320000000014</v>
      </c>
      <c r="AK12" s="343">
        <f>VLOOKUP($A$7:$A$33,DEZ!$B$5:$C$31,2,)</f>
        <v>20529.264000000003</v>
      </c>
      <c r="AL12" s="343">
        <f>VLOOKUP($A$7:$A$33,DEZ!$B$5:$D$31,3,)</f>
        <v>11474.439999999997</v>
      </c>
      <c r="AM12" s="343">
        <f t="shared" si="4"/>
        <v>957908.32</v>
      </c>
      <c r="AN12" s="342">
        <f t="shared" si="5"/>
        <v>85.454361326484246</v>
      </c>
      <c r="AO12" s="342">
        <f t="shared" si="6"/>
        <v>1.3418405733164103</v>
      </c>
      <c r="AP12" s="315">
        <f t="shared" si="7"/>
        <v>841790.90399999998</v>
      </c>
      <c r="AQ12" s="341">
        <f t="shared" si="8"/>
        <v>765887.85600000026</v>
      </c>
      <c r="AR12" s="341">
        <f t="shared" si="9"/>
        <v>160016.76</v>
      </c>
      <c r="AS12" s="340">
        <f t="shared" si="10"/>
        <v>0.80734230809891683</v>
      </c>
      <c r="AT12" s="340">
        <f t="shared" si="11"/>
        <v>0.9286790570043012</v>
      </c>
      <c r="AU12" s="314">
        <f t="shared" si="12"/>
        <v>0.75095604213735001</v>
      </c>
      <c r="AV12" s="313">
        <f>'Comparativo YoY'!EB13</f>
        <v>16.49944420798009</v>
      </c>
      <c r="AX12" s="1207">
        <f t="shared" si="13"/>
        <v>786417.12000000023</v>
      </c>
      <c r="AY12" s="1207">
        <f t="shared" si="14"/>
        <v>171491.20000000001</v>
      </c>
      <c r="AZ12" s="1211" t="b">
        <f t="shared" si="15"/>
        <v>1</v>
      </c>
      <c r="BA12" s="1211"/>
      <c r="BB12" s="1211"/>
      <c r="BC12" s="1211"/>
    </row>
    <row r="13" spans="1:55" s="313" customFormat="1" ht="30" customHeight="1">
      <c r="A13" s="351" t="s">
        <v>93</v>
      </c>
      <c r="B13" s="350">
        <v>6105</v>
      </c>
      <c r="C13" s="350">
        <v>5649</v>
      </c>
      <c r="D13" s="350">
        <v>3713</v>
      </c>
      <c r="E13" s="349">
        <v>1291106.17</v>
      </c>
      <c r="F13" s="349">
        <v>320000</v>
      </c>
      <c r="G13" s="988">
        <f>VLOOKUP($A$7:$A$33,'PF - Gênero'!$A$32:$D$58,4,)</f>
        <v>6203</v>
      </c>
      <c r="H13" s="988">
        <f>VLOOKUP($A$7:$A$33,'Relatórios - SICCAU e IGEO'!$A$3:$B$29,2,)</f>
        <v>365</v>
      </c>
      <c r="I13" s="988">
        <f t="shared" si="0"/>
        <v>5838</v>
      </c>
      <c r="J13" s="988">
        <v>4279</v>
      </c>
      <c r="K13" s="988">
        <v>2815</v>
      </c>
      <c r="L13" s="988">
        <f t="shared" si="1"/>
        <v>1464</v>
      </c>
      <c r="M13" s="348">
        <f t="shared" si="2"/>
        <v>73.295649194929766</v>
      </c>
      <c r="N13" s="347">
        <f t="shared" si="3"/>
        <v>3.1929499902995206</v>
      </c>
      <c r="O13" s="346">
        <f>VLOOKUP($A$7:$A$33,JAN!$R$5:$T$31,2,)</f>
        <v>256441</v>
      </c>
      <c r="P13" s="346">
        <f>VLOOKUP($A$7:$A$33,JAN!$R$5:$T$31,3,)</f>
        <v>59251.224000000002</v>
      </c>
      <c r="Q13" s="346">
        <f>VLOOKUP($A$7:$A$33,FEV!$R$5:$T$31,2,)</f>
        <v>393662.38400000002</v>
      </c>
      <c r="R13" s="346">
        <f>VLOOKUP($A$7:$A$33,FEV!$R$5:$T$31,3,)</f>
        <v>44075.12</v>
      </c>
      <c r="S13" s="346">
        <f>VLOOKUP($A$7:$A$33,MAR!$R$5:$AI$31,18,)</f>
        <v>152089.4</v>
      </c>
      <c r="T13" s="346">
        <f>VLOOKUP($A$7:$A$33,MAR!$R$5:$AJ$31,19,)</f>
        <v>46693.456000000006</v>
      </c>
      <c r="U13" s="345">
        <f>VLOOKUP($A$7:$A$33,ABR!$R$5:$S$31,2,)</f>
        <v>72820.504000000001</v>
      </c>
      <c r="V13" s="345">
        <f>VLOOKUP($A$7:$A$33,ABR!$R$5:$T$31,3,)</f>
        <v>33072.103999999999</v>
      </c>
      <c r="W13" s="345">
        <f>VLOOKUP($A$7:$A$33,MAI!$B$5:$D$31,2,)</f>
        <v>59736.216000000008</v>
      </c>
      <c r="X13" s="345">
        <f>VLOOKUP($A$7:$A$33,MAI!$B$5:$D$31,3,)</f>
        <v>30243.520000000004</v>
      </c>
      <c r="Y13" s="345">
        <f>VLOOKUP($A$7:$A$33,JUN!$B$5:$D$31,2,)</f>
        <v>85062.576000000001</v>
      </c>
      <c r="Z13" s="345">
        <f>VLOOKUP($A$7:$A$33,JUN!$B$5:$D$31,3,)</f>
        <v>26023.592000000004</v>
      </c>
      <c r="AA13" s="344">
        <f>VLOOKUP($A$7:$A$33,JUL!$B$5:$C$31,2,)</f>
        <v>109989.77600000001</v>
      </c>
      <c r="AB13" s="344">
        <f>VLOOKUP($A$7:$A$33,JUL!$B$5:$D$31,3,)</f>
        <v>27928.295999999998</v>
      </c>
      <c r="AC13" s="344">
        <f>VLOOKUP($A$7:$A$33,AGO!$B$5:$C$31,2,)</f>
        <v>144259.75200000001</v>
      </c>
      <c r="AD13" s="344">
        <f>VLOOKUP($A$7:$A$33,AGO!$B$5:$D$31,3,)</f>
        <v>39178.92</v>
      </c>
      <c r="AE13" s="344">
        <f>VLOOKUP($A$7:$A$33,SET!$B$5:$C$31,2,)</f>
        <v>48831.288</v>
      </c>
      <c r="AF13" s="344">
        <f>VLOOKUP($A$7:$A$33,SET!$B$5:$D$31,3,)</f>
        <v>26288.543999999994</v>
      </c>
      <c r="AG13" s="344">
        <f>VLOOKUP($A$7:$A$33,OUT!$B$5:$C$31,2,)</f>
        <v>21576.407999999999</v>
      </c>
      <c r="AH13" s="344">
        <f>VLOOKUP($A$7:$A$33,OUT!$B$5:$D$31,3,)</f>
        <v>70347.160000000018</v>
      </c>
      <c r="AI13" s="343">
        <f>VLOOKUP($A$7:$A$33,NOV!$B$5:$C$31,2,)</f>
        <v>36527.928000000007</v>
      </c>
      <c r="AJ13" s="343">
        <f>VLOOKUP($A$7:$A$33,NOV!$B$5:$D$31,3,)</f>
        <v>27436.368000000002</v>
      </c>
      <c r="AK13" s="343">
        <f>VLOOKUP($A$7:$A$33,DEZ!$B$5:$C$31,2,)</f>
        <v>33431.760000000002</v>
      </c>
      <c r="AL13" s="343">
        <f>VLOOKUP($A$7:$A$33,DEZ!$B$5:$D$31,3,)</f>
        <v>23338.648000000012</v>
      </c>
      <c r="AM13" s="343">
        <f t="shared" si="4"/>
        <v>1868305.9440000004</v>
      </c>
      <c r="AN13" s="342">
        <f t="shared" si="5"/>
        <v>115.96417286391501</v>
      </c>
      <c r="AO13" s="342">
        <f t="shared" si="6"/>
        <v>2.6171280347866879</v>
      </c>
      <c r="AP13" s="315">
        <f t="shared" si="7"/>
        <v>1655647.6720000003</v>
      </c>
      <c r="AQ13" s="341">
        <f t="shared" si="8"/>
        <v>1380997.2320000003</v>
      </c>
      <c r="AR13" s="341">
        <f t="shared" si="9"/>
        <v>430538.304</v>
      </c>
      <c r="AS13" s="340">
        <f t="shared" si="10"/>
        <v>1.0696232920953359</v>
      </c>
      <c r="AT13" s="340">
        <f t="shared" si="11"/>
        <v>1.3454322000000001</v>
      </c>
      <c r="AU13" s="314">
        <f t="shared" si="12"/>
        <v>1.0276465343063024</v>
      </c>
      <c r="AV13" s="313">
        <f>'Comparativo YoY'!EB14</f>
        <v>10.724692114032237</v>
      </c>
      <c r="AX13" s="1207">
        <f t="shared" si="13"/>
        <v>1414428.9920000003</v>
      </c>
      <c r="AY13" s="1207">
        <f t="shared" si="14"/>
        <v>453876.95199999999</v>
      </c>
      <c r="AZ13" s="1211" t="b">
        <f t="shared" si="15"/>
        <v>1</v>
      </c>
      <c r="BA13" s="1211"/>
      <c r="BB13" s="1211"/>
      <c r="BC13" s="1211"/>
    </row>
    <row r="14" spans="1:55" s="313" customFormat="1" ht="30" customHeight="1">
      <c r="A14" s="351" t="s">
        <v>94</v>
      </c>
      <c r="B14" s="350">
        <v>3483</v>
      </c>
      <c r="C14" s="350">
        <v>3373</v>
      </c>
      <c r="D14" s="350">
        <v>2544</v>
      </c>
      <c r="E14" s="349">
        <v>1024414.12</v>
      </c>
      <c r="F14" s="349">
        <v>127208.3</v>
      </c>
      <c r="G14" s="988">
        <f>VLOOKUP($A$7:$A$33,'PF - Gênero'!$A$32:$D$58,4,)</f>
        <v>3559</v>
      </c>
      <c r="H14" s="988">
        <f>VLOOKUP($A$7:$A$33,'Relatórios - SICCAU e IGEO'!$A$3:$B$29,2,)</f>
        <v>54</v>
      </c>
      <c r="I14" s="988">
        <f t="shared" si="0"/>
        <v>3505</v>
      </c>
      <c r="J14" s="988">
        <v>3161</v>
      </c>
      <c r="K14" s="988">
        <v>1910</v>
      </c>
      <c r="L14" s="988">
        <f t="shared" si="1"/>
        <v>1251</v>
      </c>
      <c r="M14" s="348">
        <f t="shared" si="2"/>
        <v>90.185449358059913</v>
      </c>
      <c r="N14" s="347">
        <f t="shared" si="3"/>
        <v>2.3587087916187861</v>
      </c>
      <c r="O14" s="346">
        <f>VLOOKUP($A$7:$A$33,JAN!$R$5:$T$31,2,)</f>
        <v>196303.32800000001</v>
      </c>
      <c r="P14" s="346">
        <f>VLOOKUP($A$7:$A$33,JAN!$R$5:$T$31,3,)</f>
        <v>26082.856</v>
      </c>
      <c r="Q14" s="346">
        <f>VLOOKUP($A$7:$A$33,FEV!$R$5:$T$31,2,)</f>
        <v>274147.38400000002</v>
      </c>
      <c r="R14" s="346">
        <f>VLOOKUP($A$7:$A$33,FEV!$R$5:$T$31,3,)</f>
        <v>25864.600000000002</v>
      </c>
      <c r="S14" s="346">
        <f>VLOOKUP($A$7:$A$33,MAR!$R$5:$AI$31,18,)</f>
        <v>101387.68800000001</v>
      </c>
      <c r="T14" s="346">
        <f>VLOOKUP($A$7:$A$33,MAR!$R$5:$AJ$31,19,)</f>
        <v>18605.400000000001</v>
      </c>
      <c r="U14" s="345">
        <f>VLOOKUP($A$7:$A$33,ABR!$R$5:$S$31,2,)</f>
        <v>42986.024000000005</v>
      </c>
      <c r="V14" s="345">
        <f>VLOOKUP($A$7:$A$33,ABR!$R$5:$T$31,3,)</f>
        <v>9887.4480000000003</v>
      </c>
      <c r="W14" s="345">
        <f>VLOOKUP($A$7:$A$33,MAI!$B$5:$D$31,2,)</f>
        <v>38097.896000000001</v>
      </c>
      <c r="X14" s="345">
        <f>VLOOKUP($A$7:$A$33,MAI!$B$5:$D$31,3,)</f>
        <v>9854.9600000000009</v>
      </c>
      <c r="Y14" s="345">
        <f>VLOOKUP($A$7:$A$33,JUN!$B$5:$D$31,2,)</f>
        <v>50946.192000000003</v>
      </c>
      <c r="Z14" s="345">
        <f>VLOOKUP($A$7:$A$33,JUN!$B$5:$D$31,3,)</f>
        <v>8620.2960000000003</v>
      </c>
      <c r="AA14" s="344">
        <f>VLOOKUP($A$7:$A$33,JUL!$B$5:$C$31,2,)</f>
        <v>97065.48000000001</v>
      </c>
      <c r="AB14" s="344">
        <f>VLOOKUP($A$7:$A$33,JUL!$B$5:$D$31,3,)</f>
        <v>7222.9359999999988</v>
      </c>
      <c r="AC14" s="344">
        <f>VLOOKUP($A$7:$A$33,AGO!$B$5:$C$31,2,)</f>
        <v>128604.024</v>
      </c>
      <c r="AD14" s="344">
        <f>VLOOKUP($A$7:$A$33,AGO!$B$5:$D$31,3,)</f>
        <v>8568.4320000000062</v>
      </c>
      <c r="AE14" s="344">
        <f>VLOOKUP($A$7:$A$33,SET!$B$5:$C$31,2,)</f>
        <v>29862.335999999999</v>
      </c>
      <c r="AF14" s="344">
        <f>VLOOKUP($A$7:$A$33,SET!$B$5:$D$31,3,)</f>
        <v>7131.3600000000042</v>
      </c>
      <c r="AG14" s="344">
        <f>VLOOKUP($A$7:$A$33,OUT!$B$5:$C$31,2,)</f>
        <v>13485.400000000001</v>
      </c>
      <c r="AH14" s="344">
        <f>VLOOKUP($A$7:$A$33,OUT!$B$5:$D$31,3,)</f>
        <v>21131.112000000001</v>
      </c>
      <c r="AI14" s="343">
        <f>VLOOKUP($A$7:$A$33,NOV!$B$5:$C$31,2,)</f>
        <v>20271.847999999998</v>
      </c>
      <c r="AJ14" s="343">
        <f>VLOOKUP($A$7:$A$33,NOV!$B$5:$D$31,3,)</f>
        <v>4899.3919999999998</v>
      </c>
      <c r="AK14" s="343">
        <f>VLOOKUP($A$7:$A$33,DEZ!$B$5:$C$31,2,)</f>
        <v>31194.768</v>
      </c>
      <c r="AL14" s="343">
        <f>VLOOKUP($A$7:$A$33,DEZ!$B$5:$D$31,3,)</f>
        <v>8858.6159999999982</v>
      </c>
      <c r="AM14" s="343">
        <f t="shared" si="4"/>
        <v>1181079.7759999996</v>
      </c>
      <c r="AN14" s="342">
        <f t="shared" si="5"/>
        <v>102.55790053132168</v>
      </c>
      <c r="AO14" s="342">
        <f t="shared" si="6"/>
        <v>1.6544597543116202</v>
      </c>
      <c r="AP14" s="315">
        <f t="shared" si="7"/>
        <v>1081238.6399999999</v>
      </c>
      <c r="AQ14" s="341">
        <f t="shared" si="8"/>
        <v>993157.6</v>
      </c>
      <c r="AR14" s="341">
        <f t="shared" si="9"/>
        <v>147868.79200000002</v>
      </c>
      <c r="AS14" s="340">
        <f t="shared" si="10"/>
        <v>0.96948839401003173</v>
      </c>
      <c r="AT14" s="340">
        <f t="shared" si="11"/>
        <v>1.1624146537608002</v>
      </c>
      <c r="AU14" s="314">
        <f t="shared" si="12"/>
        <v>0.93888293699596437</v>
      </c>
      <c r="AV14" s="313">
        <f>'Comparativo YoY'!EB15</f>
        <v>-1.0978406385689965</v>
      </c>
      <c r="AX14" s="1207">
        <f t="shared" si="13"/>
        <v>1024352.368</v>
      </c>
      <c r="AY14" s="1207">
        <f t="shared" si="14"/>
        <v>156727.40800000002</v>
      </c>
      <c r="AZ14" s="1211" t="b">
        <f t="shared" si="15"/>
        <v>1</v>
      </c>
      <c r="BA14" s="1211"/>
      <c r="BB14" s="1211"/>
      <c r="BC14" s="1211"/>
    </row>
    <row r="15" spans="1:55" s="313" customFormat="1" ht="30" customHeight="1">
      <c r="A15" s="351" t="s">
        <v>95</v>
      </c>
      <c r="B15" s="350">
        <v>4514</v>
      </c>
      <c r="C15" s="350">
        <v>4349</v>
      </c>
      <c r="D15" s="350">
        <v>2613</v>
      </c>
      <c r="E15" s="349">
        <v>887072.21</v>
      </c>
      <c r="F15" s="349">
        <v>200000</v>
      </c>
      <c r="G15" s="988">
        <f>VLOOKUP($A$7:$A$33,'PF - Gênero'!$A$32:$D$58,4,)</f>
        <v>4702</v>
      </c>
      <c r="H15" s="988">
        <f>VLOOKUP($A$7:$A$33,'Relatórios - SICCAU e IGEO'!$A$3:$B$29,2,)</f>
        <v>139</v>
      </c>
      <c r="I15" s="988">
        <f t="shared" si="0"/>
        <v>4563</v>
      </c>
      <c r="J15" s="988">
        <v>3218</v>
      </c>
      <c r="K15" s="988">
        <v>1951</v>
      </c>
      <c r="L15" s="988">
        <f t="shared" si="1"/>
        <v>1267</v>
      </c>
      <c r="M15" s="348">
        <f t="shared" si="2"/>
        <v>70.523778216085901</v>
      </c>
      <c r="N15" s="347">
        <f t="shared" si="3"/>
        <v>2.4012416613189669</v>
      </c>
      <c r="O15" s="346">
        <f>VLOOKUP($A$7:$A$33,JAN!$R$5:$T$31,2,)</f>
        <v>163799.96799999999</v>
      </c>
      <c r="P15" s="346">
        <f>VLOOKUP($A$7:$A$33,JAN!$R$5:$T$31,3,)</f>
        <v>32932.112000000001</v>
      </c>
      <c r="Q15" s="346">
        <f>VLOOKUP($A$7:$A$33,FEV!$R$5:$T$31,2,)</f>
        <v>210842.74400000001</v>
      </c>
      <c r="R15" s="346">
        <f>VLOOKUP($A$7:$A$33,FEV!$R$5:$T$31,3,)</f>
        <v>34125</v>
      </c>
      <c r="S15" s="346">
        <f>VLOOKUP($A$7:$A$33,MAR!$R$5:$AI$31,18,)</f>
        <v>113464.82400000001</v>
      </c>
      <c r="T15" s="346">
        <f>VLOOKUP($A$7:$A$33,MAR!$R$5:$AJ$31,19,)</f>
        <v>29089.800000000003</v>
      </c>
      <c r="U15" s="345">
        <f>VLOOKUP($A$7:$A$33,ABR!$R$5:$S$31,2,)</f>
        <v>52267.320000000007</v>
      </c>
      <c r="V15" s="345">
        <f>VLOOKUP($A$7:$A$33,ABR!$R$5:$T$31,3,)</f>
        <v>15206.256000000001</v>
      </c>
      <c r="W15" s="345">
        <f>VLOOKUP($A$7:$A$33,MAI!$B$5:$D$31,2,)</f>
        <v>45166.648000000001</v>
      </c>
      <c r="X15" s="345">
        <f>VLOOKUP($A$7:$A$33,MAI!$B$5:$D$31,3,)</f>
        <v>19263.848000000002</v>
      </c>
      <c r="Y15" s="345">
        <f>VLOOKUP($A$7:$A$33,JUN!$B$5:$D$31,2,)</f>
        <v>70346.64</v>
      </c>
      <c r="Z15" s="345">
        <f>VLOOKUP($A$7:$A$33,JUN!$B$5:$D$31,3,)</f>
        <v>24349</v>
      </c>
      <c r="AA15" s="344">
        <f>VLOOKUP($A$7:$A$33,JUL!$B$5:$C$31,2,)</f>
        <v>104491.17600000001</v>
      </c>
      <c r="AB15" s="344">
        <f>VLOOKUP($A$7:$A$33,JUL!$B$5:$D$31,3,)</f>
        <v>25897.552000000003</v>
      </c>
      <c r="AC15" s="344">
        <f>VLOOKUP($A$7:$A$33,AGO!$B$5:$C$31,2,)</f>
        <v>125827.288</v>
      </c>
      <c r="AD15" s="344">
        <f>VLOOKUP($A$7:$A$33,AGO!$B$5:$D$31,3,)</f>
        <v>27109.232000000007</v>
      </c>
      <c r="AE15" s="344">
        <f>VLOOKUP($A$7:$A$33,SET!$B$5:$C$31,2,)</f>
        <v>52867.983999999997</v>
      </c>
      <c r="AF15" s="344">
        <f>VLOOKUP($A$7:$A$33,SET!$B$5:$D$31,3,)</f>
        <v>28553.768000000007</v>
      </c>
      <c r="AG15" s="344">
        <f>VLOOKUP($A$7:$A$33,OUT!$B$5:$C$31,2,)</f>
        <v>19614.752</v>
      </c>
      <c r="AH15" s="344">
        <f>VLOOKUP($A$7:$A$33,OUT!$B$5:$D$31,3,)</f>
        <v>53344.655999999995</v>
      </c>
      <c r="AI15" s="343">
        <f>VLOOKUP($A$7:$A$33,NOV!$B$5:$C$31,2,)</f>
        <v>33858.735999999997</v>
      </c>
      <c r="AJ15" s="343">
        <f>VLOOKUP($A$7:$A$33,NOV!$B$5:$D$31,3,)</f>
        <v>24889.543999999998</v>
      </c>
      <c r="AK15" s="343">
        <f>VLOOKUP($A$7:$A$33,DEZ!$B$5:$C$31,2,)</f>
        <v>34910.064000000006</v>
      </c>
      <c r="AL15" s="343">
        <f>VLOOKUP($A$7:$A$33,DEZ!$B$5:$D$31,3,)</f>
        <v>32841.159999999989</v>
      </c>
      <c r="AM15" s="343">
        <f t="shared" si="4"/>
        <v>1375060.0720000002</v>
      </c>
      <c r="AN15" s="342">
        <f t="shared" si="5"/>
        <v>126.49206366888914</v>
      </c>
      <c r="AO15" s="342">
        <f t="shared" si="6"/>
        <v>1.926187879187629</v>
      </c>
      <c r="AP15" s="315">
        <f t="shared" si="7"/>
        <v>1175601.1600000001</v>
      </c>
      <c r="AQ15" s="341">
        <f t="shared" si="8"/>
        <v>992548.08</v>
      </c>
      <c r="AR15" s="341">
        <f t="shared" si="9"/>
        <v>314760.76800000004</v>
      </c>
      <c r="AS15" s="340">
        <f t="shared" si="10"/>
        <v>1.1189033641353729</v>
      </c>
      <c r="AT15" s="340">
        <f t="shared" si="11"/>
        <v>1.5738038400000003</v>
      </c>
      <c r="AU15" s="314">
        <f t="shared" si="12"/>
        <v>1.0814379662966458</v>
      </c>
      <c r="AV15" s="313">
        <f>'Comparativo YoY'!EB16</f>
        <v>14.530196170410846</v>
      </c>
      <c r="AX15" s="1207">
        <f t="shared" si="13"/>
        <v>1027458.144</v>
      </c>
      <c r="AY15" s="1207">
        <f t="shared" si="14"/>
        <v>347601.92800000001</v>
      </c>
      <c r="AZ15" s="1211" t="b">
        <f t="shared" si="15"/>
        <v>1</v>
      </c>
      <c r="BA15" s="1211"/>
      <c r="BB15" s="1211"/>
      <c r="BC15" s="1211"/>
    </row>
    <row r="16" spans="1:55" s="313" customFormat="1" ht="30" customHeight="1">
      <c r="A16" s="351" t="s">
        <v>96</v>
      </c>
      <c r="B16" s="350">
        <v>1662</v>
      </c>
      <c r="C16" s="350">
        <v>1614</v>
      </c>
      <c r="D16" s="350">
        <v>762</v>
      </c>
      <c r="E16" s="349">
        <v>369035.8</v>
      </c>
      <c r="F16" s="349">
        <v>149286.30999999997</v>
      </c>
      <c r="G16" s="988">
        <f>VLOOKUP($A$7:$A$33,'PF - Gênero'!$A$32:$D$58,4,)</f>
        <v>1776</v>
      </c>
      <c r="H16" s="988">
        <f>VLOOKUP($A$7:$A$33,'Relatórios - SICCAU e IGEO'!$A$3:$B$29,2,)</f>
        <v>17</v>
      </c>
      <c r="I16" s="988">
        <f t="shared" si="0"/>
        <v>1759</v>
      </c>
      <c r="J16" s="988">
        <v>1159</v>
      </c>
      <c r="K16" s="988">
        <v>653</v>
      </c>
      <c r="L16" s="988">
        <f t="shared" si="1"/>
        <v>506</v>
      </c>
      <c r="M16" s="348">
        <f t="shared" si="2"/>
        <v>65.889710062535528</v>
      </c>
      <c r="N16" s="347">
        <f t="shared" si="3"/>
        <v>0.86483501723700518</v>
      </c>
      <c r="O16" s="346">
        <f>VLOOKUP($A$7:$A$33,JAN!$R$5:$T$31,2,)</f>
        <v>66259.423999999999</v>
      </c>
      <c r="P16" s="346">
        <f>VLOOKUP($A$7:$A$33,JAN!$R$5:$T$31,3,)</f>
        <v>17902.864000000001</v>
      </c>
      <c r="Q16" s="346">
        <f>VLOOKUP($A$7:$A$33,FEV!$R$5:$T$31,2,)</f>
        <v>57314.552000000003</v>
      </c>
      <c r="R16" s="346">
        <f>VLOOKUP($A$7:$A$33,FEV!$R$5:$T$31,3,)</f>
        <v>21475.376000000004</v>
      </c>
      <c r="S16" s="346">
        <f>VLOOKUP($A$7:$A$33,MAR!$R$5:$AI$31,18,)</f>
        <v>36106</v>
      </c>
      <c r="T16" s="346">
        <f>VLOOKUP($A$7:$A$33,MAR!$R$5:$AJ$31,19,)</f>
        <v>34177.512000000002</v>
      </c>
      <c r="U16" s="345">
        <f>VLOOKUP($A$7:$A$33,ABR!$R$5:$S$31,2,)</f>
        <v>16393.696</v>
      </c>
      <c r="V16" s="345">
        <f>VLOOKUP($A$7:$A$33,ABR!$R$5:$T$31,3,)</f>
        <v>11482.784</v>
      </c>
      <c r="W16" s="345">
        <f>VLOOKUP($A$7:$A$33,MAI!$B$5:$D$31,2,)</f>
        <v>11440.864000000001</v>
      </c>
      <c r="X16" s="345">
        <f>VLOOKUP($A$7:$A$33,MAI!$B$5:$D$31,3,)</f>
        <v>7851.44</v>
      </c>
      <c r="Y16" s="345">
        <f>VLOOKUP($A$7:$A$33,JUN!$B$5:$D$31,2,)</f>
        <v>23737.912000000004</v>
      </c>
      <c r="Z16" s="345">
        <f>VLOOKUP($A$7:$A$33,JUN!$B$5:$D$31,3,)</f>
        <v>12072.192000000003</v>
      </c>
      <c r="AA16" s="344">
        <f>VLOOKUP($A$7:$A$33,JUL!$B$5:$C$31,2,)</f>
        <v>45941.408000000003</v>
      </c>
      <c r="AB16" s="344">
        <f>VLOOKUP($A$7:$A$33,JUL!$B$5:$D$31,3,)</f>
        <v>12548.400000000007</v>
      </c>
      <c r="AC16" s="344">
        <f>VLOOKUP($A$7:$A$33,AGO!$B$5:$C$31,2,)</f>
        <v>39359.312000000005</v>
      </c>
      <c r="AD16" s="344">
        <f>VLOOKUP($A$7:$A$33,AGO!$B$5:$D$31,3,)</f>
        <v>11230.735999999999</v>
      </c>
      <c r="AE16" s="344">
        <f>VLOOKUP($A$7:$A$33,SET!$B$5:$C$31,2,)</f>
        <v>20340.976000000002</v>
      </c>
      <c r="AF16" s="344">
        <f>VLOOKUP($A$7:$A$33,SET!$B$5:$D$31,3,)</f>
        <v>11860.592000000004</v>
      </c>
      <c r="AG16" s="344">
        <f>VLOOKUP($A$7:$A$33,OUT!$B$5:$C$31,2,)</f>
        <v>5853.2720000000008</v>
      </c>
      <c r="AH16" s="344">
        <f>VLOOKUP($A$7:$A$33,OUT!$B$5:$D$31,3,)</f>
        <v>21160.487999999998</v>
      </c>
      <c r="AI16" s="343">
        <f>VLOOKUP($A$7:$A$33,NOV!$B$5:$C$31,2,)</f>
        <v>12190.168</v>
      </c>
      <c r="AJ16" s="343">
        <f>VLOOKUP($A$7:$A$33,NOV!$B$5:$D$31,3,)</f>
        <v>7590.8959999999997</v>
      </c>
      <c r="AK16" s="343">
        <f>VLOOKUP($A$7:$A$33,DEZ!$B$5:$C$31,2,)</f>
        <v>9415.7440000000006</v>
      </c>
      <c r="AL16" s="343">
        <f>VLOOKUP($A$7:$A$33,DEZ!$B$5:$D$31,3,)</f>
        <v>8651.8160000000007</v>
      </c>
      <c r="AM16" s="343">
        <f t="shared" si="4"/>
        <v>522358.42400000006</v>
      </c>
      <c r="AN16" s="342">
        <f t="shared" si="5"/>
        <v>100.77872695803003</v>
      </c>
      <c r="AO16" s="342">
        <f t="shared" si="6"/>
        <v>0.73172109741860969</v>
      </c>
      <c r="AP16" s="315">
        <f t="shared" si="7"/>
        <v>457496.04000000004</v>
      </c>
      <c r="AQ16" s="341">
        <f t="shared" si="8"/>
        <v>334937.58400000003</v>
      </c>
      <c r="AR16" s="341">
        <f t="shared" si="9"/>
        <v>169353.28000000003</v>
      </c>
      <c r="AS16" s="340">
        <f t="shared" si="10"/>
        <v>0.90760187494004663</v>
      </c>
      <c r="AT16" s="340">
        <f t="shared" si="11"/>
        <v>1.1344193583457187</v>
      </c>
      <c r="AU16" s="314">
        <f t="shared" si="12"/>
        <v>0.88264812782152025</v>
      </c>
      <c r="AV16" s="313">
        <f>'Comparativo YoY'!EB17</f>
        <v>17.38293423704414</v>
      </c>
      <c r="AX16" s="1207">
        <f t="shared" si="13"/>
        <v>344353.32800000004</v>
      </c>
      <c r="AY16" s="1207">
        <f t="shared" si="14"/>
        <v>178005.09600000002</v>
      </c>
      <c r="AZ16" s="1211" t="b">
        <f t="shared" si="15"/>
        <v>1</v>
      </c>
      <c r="BA16" s="1211"/>
      <c r="BB16" s="1211"/>
      <c r="BC16" s="1211"/>
    </row>
    <row r="17" spans="1:55" s="313" customFormat="1" ht="30" customHeight="1">
      <c r="A17" s="351" t="s">
        <v>99</v>
      </c>
      <c r="B17" s="350">
        <v>15260</v>
      </c>
      <c r="C17" s="350">
        <v>14505</v>
      </c>
      <c r="D17" s="350">
        <v>8965</v>
      </c>
      <c r="E17" s="349">
        <v>3094886.04</v>
      </c>
      <c r="F17" s="349">
        <v>1098934.42</v>
      </c>
      <c r="G17" s="988">
        <f>VLOOKUP($A$7:$A$33,'PF - Gênero'!$A$32:$D$58,4,)</f>
        <v>15690</v>
      </c>
      <c r="H17" s="988">
        <f>VLOOKUP($A$7:$A$33,'Relatórios - SICCAU e IGEO'!$A$3:$B$29,2,)</f>
        <v>501</v>
      </c>
      <c r="I17" s="988">
        <f t="shared" si="0"/>
        <v>15189</v>
      </c>
      <c r="J17" s="988">
        <v>11184</v>
      </c>
      <c r="K17" s="988">
        <v>7115</v>
      </c>
      <c r="L17" s="988">
        <f t="shared" si="1"/>
        <v>4069</v>
      </c>
      <c r="M17" s="348">
        <f t="shared" si="2"/>
        <v>73.632233853446564</v>
      </c>
      <c r="N17" s="347">
        <f t="shared" si="3"/>
        <v>8.3453967495933252</v>
      </c>
      <c r="O17" s="346">
        <f>VLOOKUP($A$7:$A$33,JAN!$R$5:$T$31,2,)</f>
        <v>829661.576</v>
      </c>
      <c r="P17" s="346">
        <f>VLOOKUP($A$7:$A$33,JAN!$R$5:$T$31,3,)</f>
        <v>185115.45600000001</v>
      </c>
      <c r="Q17" s="346">
        <f>VLOOKUP($A$7:$A$33,FEV!$R$5:$T$31,2,)</f>
        <v>654690.59200000006</v>
      </c>
      <c r="R17" s="346">
        <f>VLOOKUP($A$7:$A$33,FEV!$R$5:$T$31,3,)</f>
        <v>143770.992</v>
      </c>
      <c r="S17" s="346">
        <f>VLOOKUP($A$7:$A$33,MAR!$R$5:$AI$31,18,)</f>
        <v>362506.23200000002</v>
      </c>
      <c r="T17" s="346">
        <f>VLOOKUP($A$7:$A$33,MAR!$R$5:$AJ$31,19,)</f>
        <v>138896.89600000001</v>
      </c>
      <c r="U17" s="345">
        <f>VLOOKUP($A$7:$A$33,ABR!$R$5:$S$31,2,)</f>
        <v>160160.76800000001</v>
      </c>
      <c r="V17" s="345">
        <f>VLOOKUP($A$7:$A$33,ABR!$R$5:$T$31,3,)</f>
        <v>84243.983999999997</v>
      </c>
      <c r="W17" s="345">
        <f>VLOOKUP($A$7:$A$33,MAI!$B$5:$D$31,2,)</f>
        <v>150660.78400000001</v>
      </c>
      <c r="X17" s="345">
        <f>VLOOKUP($A$7:$A$33,MAI!$B$5:$D$31,3,)</f>
        <v>67184.504000000001</v>
      </c>
      <c r="Y17" s="345">
        <f>VLOOKUP($A$7:$A$33,JUN!$B$5:$D$31,2,)</f>
        <v>234616.93599999999</v>
      </c>
      <c r="Z17" s="345">
        <f>VLOOKUP($A$7:$A$33,JUN!$B$5:$D$31,3,)</f>
        <v>87725.216000000015</v>
      </c>
      <c r="AA17" s="344">
        <f>VLOOKUP($A$7:$A$33,JUL!$B$5:$C$31,2,)</f>
        <v>399205.88800000004</v>
      </c>
      <c r="AB17" s="344">
        <f>VLOOKUP($A$7:$A$33,JUL!$B$5:$D$31,3,)</f>
        <v>97839.735999999946</v>
      </c>
      <c r="AC17" s="344">
        <f>VLOOKUP($A$7:$A$33,AGO!$B$5:$C$31,2,)</f>
        <v>403442.89600000001</v>
      </c>
      <c r="AD17" s="344">
        <f>VLOOKUP($A$7:$A$33,AGO!$B$5:$D$31,3,)</f>
        <v>87586.343999999954</v>
      </c>
      <c r="AE17" s="344">
        <f>VLOOKUP($A$7:$A$33,SET!$B$5:$C$31,2,)</f>
        <v>163912.32000000001</v>
      </c>
      <c r="AF17" s="344">
        <f>VLOOKUP($A$7:$A$33,SET!$B$5:$D$31,3,)</f>
        <v>91409.895999999979</v>
      </c>
      <c r="AG17" s="344">
        <f>VLOOKUP($A$7:$A$33,OUT!$B$5:$C$31,2,)</f>
        <v>72964.688000000009</v>
      </c>
      <c r="AH17" s="344">
        <f>VLOOKUP($A$7:$A$33,OUT!$B$5:$D$31,3,)</f>
        <v>166212.41600000003</v>
      </c>
      <c r="AI17" s="343">
        <f>VLOOKUP($A$7:$A$33,NOV!$B$5:$C$31,2,)</f>
        <v>119049.76000000001</v>
      </c>
      <c r="AJ17" s="343">
        <f>VLOOKUP($A$7:$A$33,NOV!$B$5:$D$31,3,)</f>
        <v>99450.384000000005</v>
      </c>
      <c r="AK17" s="343">
        <f>VLOOKUP($A$7:$A$33,DEZ!$B$5:$C$31,2,)</f>
        <v>113260.73600000002</v>
      </c>
      <c r="AL17" s="343">
        <f>VLOOKUP($A$7:$A$33,DEZ!$B$5:$D$31,3,)</f>
        <v>97816.09600000002</v>
      </c>
      <c r="AM17" s="343">
        <f t="shared" si="4"/>
        <v>5011385.0959999999</v>
      </c>
      <c r="AN17" s="342">
        <f t="shared" si="5"/>
        <v>119.49450730659079</v>
      </c>
      <c r="AO17" s="342">
        <f t="shared" si="6"/>
        <v>7.019961837606707</v>
      </c>
      <c r="AP17" s="315">
        <f t="shared" si="7"/>
        <v>4342631.0160000008</v>
      </c>
      <c r="AQ17" s="341">
        <f t="shared" si="8"/>
        <v>3550872.4400000004</v>
      </c>
      <c r="AR17" s="341">
        <f t="shared" si="9"/>
        <v>1249435.8239999998</v>
      </c>
      <c r="AS17" s="340">
        <f t="shared" si="10"/>
        <v>1.1473354411460011</v>
      </c>
      <c r="AT17" s="340">
        <f t="shared" si="11"/>
        <v>1.1369521249502768</v>
      </c>
      <c r="AU17" s="314">
        <f t="shared" si="12"/>
        <v>1.0354832920053045</v>
      </c>
      <c r="AV17" s="313">
        <f>'Comparativo YoY'!EB18</f>
        <v>12.989616008312879</v>
      </c>
      <c r="AX17" s="1207">
        <f t="shared" si="13"/>
        <v>3664133.1760000004</v>
      </c>
      <c r="AY17" s="1207">
        <f t="shared" si="14"/>
        <v>1347251.92</v>
      </c>
      <c r="AZ17" s="1211" t="b">
        <f t="shared" si="15"/>
        <v>1</v>
      </c>
      <c r="BA17" s="1211"/>
      <c r="BB17" s="1211"/>
      <c r="BC17" s="1211"/>
    </row>
    <row r="18" spans="1:55" s="313" customFormat="1" ht="30" customHeight="1">
      <c r="A18" s="351" t="s">
        <v>98</v>
      </c>
      <c r="B18" s="350">
        <v>3207</v>
      </c>
      <c r="C18" s="350">
        <v>3117</v>
      </c>
      <c r="D18" s="350">
        <v>1686</v>
      </c>
      <c r="E18" s="349">
        <v>563580.01</v>
      </c>
      <c r="F18" s="349">
        <v>181697.13</v>
      </c>
      <c r="G18" s="988">
        <f>VLOOKUP($A$7:$A$33,'PF - Gênero'!$A$32:$D$58,4,)</f>
        <v>3285</v>
      </c>
      <c r="H18" s="988">
        <f>VLOOKUP($A$7:$A$33,'Relatórios - SICCAU e IGEO'!$A$3:$B$29,2,)</f>
        <v>40</v>
      </c>
      <c r="I18" s="988">
        <f t="shared" si="0"/>
        <v>3245</v>
      </c>
      <c r="J18" s="988">
        <v>2061</v>
      </c>
      <c r="K18" s="988">
        <v>1196</v>
      </c>
      <c r="L18" s="988">
        <f t="shared" si="1"/>
        <v>865</v>
      </c>
      <c r="M18" s="348">
        <f t="shared" si="2"/>
        <v>63.513097072419114</v>
      </c>
      <c r="N18" s="347">
        <f t="shared" si="3"/>
        <v>1.5378990254749503</v>
      </c>
      <c r="O18" s="346">
        <f>VLOOKUP($A$7:$A$33,JAN!$R$5:$T$31,2,)</f>
        <v>141702.24</v>
      </c>
      <c r="P18" s="346">
        <f>VLOOKUP($A$7:$A$33,JAN!$R$5:$T$31,3,)</f>
        <v>24890.128000000001</v>
      </c>
      <c r="Q18" s="346">
        <f>VLOOKUP($A$7:$A$33,FEV!$R$5:$T$31,2,)</f>
        <v>112600.264</v>
      </c>
      <c r="R18" s="346">
        <f>VLOOKUP($A$7:$A$33,FEV!$R$5:$T$31,3,)</f>
        <v>19847.592000000004</v>
      </c>
      <c r="S18" s="346">
        <f>VLOOKUP($A$7:$A$33,MAR!$R$5:$AI$31,18,)</f>
        <v>71643.19200000001</v>
      </c>
      <c r="T18" s="346">
        <f>VLOOKUP($A$7:$A$33,MAR!$R$5:$AJ$31,19,)</f>
        <v>20246.744000000002</v>
      </c>
      <c r="U18" s="345">
        <f>VLOOKUP($A$7:$A$33,ABR!$R$5:$S$31,2,)</f>
        <v>35176.056000000004</v>
      </c>
      <c r="V18" s="345">
        <f>VLOOKUP($A$7:$A$33,ABR!$R$5:$T$31,3,)</f>
        <v>12041.232000000002</v>
      </c>
      <c r="W18" s="345">
        <f>VLOOKUP($A$7:$A$33,MAI!$B$5:$D$31,2,)</f>
        <v>30022.096000000005</v>
      </c>
      <c r="X18" s="345">
        <f>VLOOKUP($A$7:$A$33,MAI!$B$5:$D$31,3,)</f>
        <v>12309.456</v>
      </c>
      <c r="Y18" s="345">
        <f>VLOOKUP($A$7:$A$33,JUN!$B$5:$D$31,2,)</f>
        <v>42391.167999999998</v>
      </c>
      <c r="Z18" s="345">
        <f>VLOOKUP($A$7:$A$33,JUN!$B$5:$D$31,3,)</f>
        <v>15826.816000000001</v>
      </c>
      <c r="AA18" s="344">
        <f>VLOOKUP($A$7:$A$33,JUL!$B$5:$C$31,2,)</f>
        <v>70911.368000000002</v>
      </c>
      <c r="AB18" s="344">
        <f>VLOOKUP($A$7:$A$33,JUL!$B$5:$D$31,3,)</f>
        <v>15290.399999999989</v>
      </c>
      <c r="AC18" s="344">
        <f>VLOOKUP($A$7:$A$33,AGO!$B$5:$C$31,2,)</f>
        <v>62978.559999999998</v>
      </c>
      <c r="AD18" s="344">
        <f>VLOOKUP($A$7:$A$33,AGO!$B$5:$D$31,3,)</f>
        <v>18751.935999999998</v>
      </c>
      <c r="AE18" s="344">
        <f>VLOOKUP($A$7:$A$33,SET!$B$5:$C$31,2,)</f>
        <v>36028.488000000005</v>
      </c>
      <c r="AF18" s="344">
        <f>VLOOKUP($A$7:$A$33,SET!$B$5:$D$31,3,)</f>
        <v>23869.248000000011</v>
      </c>
      <c r="AG18" s="344">
        <f>VLOOKUP($A$7:$A$33,OUT!$B$5:$C$31,2,)</f>
        <v>12267.744000000001</v>
      </c>
      <c r="AH18" s="344">
        <f>VLOOKUP($A$7:$A$33,OUT!$B$5:$D$31,3,)</f>
        <v>30709.320000000003</v>
      </c>
      <c r="AI18" s="343">
        <f>VLOOKUP($A$7:$A$33,NOV!$B$5:$C$31,2,)</f>
        <v>21576.736000000001</v>
      </c>
      <c r="AJ18" s="343">
        <f>VLOOKUP($A$7:$A$33,NOV!$B$5:$D$31,3,)</f>
        <v>18556.456000000002</v>
      </c>
      <c r="AK18" s="343">
        <f>VLOOKUP($A$7:$A$33,DEZ!$B$5:$C$31,2,)</f>
        <v>20971.504000000001</v>
      </c>
      <c r="AL18" s="343">
        <f>VLOOKUP($A$7:$A$33,DEZ!$B$5:$D$31,3,)</f>
        <v>15961.464</v>
      </c>
      <c r="AM18" s="343">
        <f t="shared" si="4"/>
        <v>886570.2080000001</v>
      </c>
      <c r="AN18" s="342">
        <f t="shared" si="5"/>
        <v>118.95845993612524</v>
      </c>
      <c r="AO18" s="342">
        <f t="shared" si="6"/>
        <v>1.241909952497301</v>
      </c>
      <c r="AP18" s="315">
        <f t="shared" si="7"/>
        <v>766526.98400000017</v>
      </c>
      <c r="AQ18" s="341">
        <f t="shared" si="8"/>
        <v>637297.91200000001</v>
      </c>
      <c r="AR18" s="341">
        <f t="shared" si="9"/>
        <v>212339.32800000004</v>
      </c>
      <c r="AS18" s="340">
        <f t="shared" si="10"/>
        <v>1.1308029040987455</v>
      </c>
      <c r="AT18" s="340">
        <f t="shared" si="11"/>
        <v>1.1686443698918085</v>
      </c>
      <c r="AU18" s="314">
        <f t="shared" si="12"/>
        <v>1.028512673822251</v>
      </c>
      <c r="AV18" s="313">
        <f>'Comparativo YoY'!EB19</f>
        <v>16.525417763049205</v>
      </c>
      <c r="AX18" s="1207">
        <f t="shared" si="13"/>
        <v>658269.41599999997</v>
      </c>
      <c r="AY18" s="1207">
        <f t="shared" si="14"/>
        <v>228300.79200000004</v>
      </c>
      <c r="AZ18" s="1211" t="b">
        <f t="shared" si="15"/>
        <v>1</v>
      </c>
      <c r="BA18" s="1211"/>
      <c r="BB18" s="1211"/>
      <c r="BC18" s="1211"/>
    </row>
    <row r="19" spans="1:55" s="313" customFormat="1" ht="30" customHeight="1">
      <c r="A19" s="351" t="s">
        <v>97</v>
      </c>
      <c r="B19" s="350">
        <v>3105</v>
      </c>
      <c r="C19" s="350">
        <v>3007</v>
      </c>
      <c r="D19" s="350">
        <v>2192</v>
      </c>
      <c r="E19" s="349">
        <v>755762.61</v>
      </c>
      <c r="F19" s="349">
        <v>101619.48</v>
      </c>
      <c r="G19" s="988">
        <f>VLOOKUP($A$7:$A$33,'PF - Gênero'!$A$32:$D$58,4,)</f>
        <v>3178</v>
      </c>
      <c r="H19" s="988">
        <f>VLOOKUP($A$7:$A$33,'Relatórios - SICCAU e IGEO'!$A$3:$B$29,2,)</f>
        <v>39</v>
      </c>
      <c r="I19" s="988">
        <f t="shared" si="0"/>
        <v>3139</v>
      </c>
      <c r="J19" s="988">
        <v>2392</v>
      </c>
      <c r="K19" s="988">
        <v>1209</v>
      </c>
      <c r="L19" s="988">
        <f t="shared" si="1"/>
        <v>1183</v>
      </c>
      <c r="M19" s="348">
        <f t="shared" si="2"/>
        <v>76.202612296909848</v>
      </c>
      <c r="N19" s="347">
        <f t="shared" si="3"/>
        <v>1.7848881460145956</v>
      </c>
      <c r="O19" s="346">
        <f>VLOOKUP($A$7:$A$33,JAN!$R$5:$T$31,2,)</f>
        <v>112503.58400000002</v>
      </c>
      <c r="P19" s="346">
        <f>VLOOKUP($A$7:$A$33,JAN!$R$5:$T$31,3,)</f>
        <v>14915.576000000001</v>
      </c>
      <c r="Q19" s="346">
        <f>VLOOKUP($A$7:$A$33,FEV!$R$5:$T$31,2,)</f>
        <v>159482.152</v>
      </c>
      <c r="R19" s="346">
        <f>VLOOKUP($A$7:$A$33,FEV!$R$5:$T$31,3,)</f>
        <v>16993.920000000002</v>
      </c>
      <c r="S19" s="346">
        <f>VLOOKUP($A$7:$A$33,MAR!$R$5:$AI$31,18,)</f>
        <v>96224.847999999998</v>
      </c>
      <c r="T19" s="346">
        <f>VLOOKUP($A$7:$A$33,MAR!$R$5:$AJ$31,19,)</f>
        <v>17366.744000000002</v>
      </c>
      <c r="U19" s="345">
        <f>VLOOKUP($A$7:$A$33,ABR!$R$5:$S$31,2,)</f>
        <v>48535.088000000003</v>
      </c>
      <c r="V19" s="345">
        <f>VLOOKUP($A$7:$A$33,ABR!$R$5:$T$31,3,)</f>
        <v>8215.344000000001</v>
      </c>
      <c r="W19" s="345">
        <f>VLOOKUP($A$7:$A$33,MAI!$B$5:$D$31,2,)</f>
        <v>35019.336000000003</v>
      </c>
      <c r="X19" s="345">
        <f>VLOOKUP($A$7:$A$33,MAI!$B$5:$D$31,3,)</f>
        <v>16833.312000000002</v>
      </c>
      <c r="Y19" s="345">
        <f>VLOOKUP($A$7:$A$33,JUN!$B$5:$D$31,2,)</f>
        <v>59305.888000000006</v>
      </c>
      <c r="Z19" s="345">
        <f>VLOOKUP($A$7:$A$33,JUN!$B$5:$D$31,3,)</f>
        <v>33394.536</v>
      </c>
      <c r="AA19" s="344">
        <f>VLOOKUP($A$7:$A$33,JUL!$B$5:$C$31,2,)</f>
        <v>75994.296000000002</v>
      </c>
      <c r="AB19" s="344">
        <f>VLOOKUP($A$7:$A$33,JUL!$B$5:$D$31,3,)</f>
        <v>32080.760000000009</v>
      </c>
      <c r="AC19" s="344">
        <f>VLOOKUP($A$7:$A$33,AGO!$B$5:$C$31,2,)</f>
        <v>122473.848</v>
      </c>
      <c r="AD19" s="344">
        <f>VLOOKUP($A$7:$A$33,AGO!$B$5:$D$31,3,)</f>
        <v>39660.576000000001</v>
      </c>
      <c r="AE19" s="344">
        <f>VLOOKUP($A$7:$A$33,SET!$B$5:$C$31,2,)</f>
        <v>32784.384000000005</v>
      </c>
      <c r="AF19" s="344">
        <f>VLOOKUP($A$7:$A$33,SET!$B$5:$D$31,3,)</f>
        <v>24372.200000000008</v>
      </c>
      <c r="AG19" s="344">
        <f>VLOOKUP($A$7:$A$33,OUT!$B$5:$C$31,2,)</f>
        <v>13640.351999999999</v>
      </c>
      <c r="AH19" s="344">
        <f>VLOOKUP($A$7:$A$33,OUT!$B$5:$D$31,3,)</f>
        <v>26457.016000000003</v>
      </c>
      <c r="AI19" s="343">
        <f>VLOOKUP($A$7:$A$33,NOV!$B$5:$C$31,2,)</f>
        <v>24398.687999999998</v>
      </c>
      <c r="AJ19" s="343">
        <f>VLOOKUP($A$7:$A$33,NOV!$B$5:$D$31,3,)</f>
        <v>14600.480000000003</v>
      </c>
      <c r="AK19" s="343">
        <f>VLOOKUP($A$7:$A$33,DEZ!$B$5:$C$31,2,)</f>
        <v>22283.448000000004</v>
      </c>
      <c r="AL19" s="343">
        <f>VLOOKUP($A$7:$A$33,DEZ!$B$5:$D$31,3,)</f>
        <v>22111.112000000005</v>
      </c>
      <c r="AM19" s="343">
        <f t="shared" si="4"/>
        <v>1069647.4879999997</v>
      </c>
      <c r="AN19" s="342">
        <f t="shared" si="5"/>
        <v>124.75738652296779</v>
      </c>
      <c r="AO19" s="342">
        <f t="shared" si="6"/>
        <v>1.4983651029822747</v>
      </c>
      <c r="AP19" s="315">
        <f t="shared" si="7"/>
        <v>946156.39199999988</v>
      </c>
      <c r="AQ19" s="341">
        <f t="shared" si="8"/>
        <v>780362.46399999992</v>
      </c>
      <c r="AR19" s="341">
        <f t="shared" si="9"/>
        <v>244890.46400000004</v>
      </c>
      <c r="AS19" s="340">
        <f t="shared" si="10"/>
        <v>1.03254971028535</v>
      </c>
      <c r="AT19" s="340">
        <f t="shared" si="11"/>
        <v>2.4098771613474113</v>
      </c>
      <c r="AU19" s="314">
        <f t="shared" si="12"/>
        <v>1.1035411201556589</v>
      </c>
      <c r="AV19" s="313">
        <f>'Comparativo YoY'!EB20</f>
        <v>34.240512259534029</v>
      </c>
      <c r="AX19" s="1207">
        <f t="shared" si="13"/>
        <v>802645.91199999989</v>
      </c>
      <c r="AY19" s="1207">
        <f t="shared" si="14"/>
        <v>267001.57600000006</v>
      </c>
      <c r="AZ19" s="1211" t="b">
        <f t="shared" si="15"/>
        <v>1</v>
      </c>
      <c r="BA19" s="1211"/>
      <c r="BB19" s="1211"/>
      <c r="BC19" s="1211"/>
    </row>
    <row r="20" spans="1:55" s="313" customFormat="1" ht="30" customHeight="1">
      <c r="A20" s="351" t="s">
        <v>100</v>
      </c>
      <c r="B20" s="350">
        <v>2833</v>
      </c>
      <c r="C20" s="350">
        <v>2673</v>
      </c>
      <c r="D20" s="350">
        <v>1182</v>
      </c>
      <c r="E20" s="349">
        <v>386565.75</v>
      </c>
      <c r="F20" s="349">
        <v>266422.43</v>
      </c>
      <c r="G20" s="988">
        <f>VLOOKUP($A$7:$A$33,'PF - Gênero'!$A$32:$D$58,4,)</f>
        <v>2911</v>
      </c>
      <c r="H20" s="988">
        <f>VLOOKUP($A$7:$A$33,'Relatórios - SICCAU e IGEO'!$A$3:$B$29,2,)</f>
        <v>114</v>
      </c>
      <c r="I20" s="988">
        <f t="shared" si="0"/>
        <v>2797</v>
      </c>
      <c r="J20" s="988">
        <v>1681</v>
      </c>
      <c r="K20" s="988">
        <v>935</v>
      </c>
      <c r="L20" s="988">
        <f t="shared" si="1"/>
        <v>746</v>
      </c>
      <c r="M20" s="348">
        <f t="shared" si="2"/>
        <v>60.100107257776195</v>
      </c>
      <c r="N20" s="347">
        <f t="shared" si="3"/>
        <v>1.2543465608070798</v>
      </c>
      <c r="O20" s="346">
        <f>VLOOKUP($A$7:$A$33,JAN!$R$5:$T$31,2,)</f>
        <v>84695.631999999998</v>
      </c>
      <c r="P20" s="346">
        <f>VLOOKUP($A$7:$A$33,JAN!$R$5:$T$31,3,)</f>
        <v>33064.248</v>
      </c>
      <c r="Q20" s="346">
        <f>VLOOKUP($A$7:$A$33,FEV!$R$5:$T$31,2,)</f>
        <v>90843.080000000016</v>
      </c>
      <c r="R20" s="346">
        <f>VLOOKUP($A$7:$A$33,FEV!$R$5:$T$31,3,)</f>
        <v>29025.512000000002</v>
      </c>
      <c r="S20" s="346">
        <f>VLOOKUP($A$7:$A$33,MAR!$R$5:$AI$31,18,)</f>
        <v>61631.352000000006</v>
      </c>
      <c r="T20" s="346">
        <f>VLOOKUP($A$7:$A$33,MAR!$R$5:$AJ$31,19,)</f>
        <v>30848.928000000004</v>
      </c>
      <c r="U20" s="345">
        <f>VLOOKUP($A$7:$A$33,ABR!$R$5:$S$31,2,)</f>
        <v>25953.616000000002</v>
      </c>
      <c r="V20" s="345">
        <f>VLOOKUP($A$7:$A$33,ABR!$R$5:$T$31,3,)</f>
        <v>18431.128000000001</v>
      </c>
      <c r="W20" s="345">
        <f>VLOOKUP($A$7:$A$33,MAI!$B$5:$D$31,2,)</f>
        <v>21439.800000000003</v>
      </c>
      <c r="X20" s="345">
        <f>VLOOKUP($A$7:$A$33,MAI!$B$5:$D$31,3,)</f>
        <v>11827.856</v>
      </c>
      <c r="Y20" s="345">
        <f>VLOOKUP($A$7:$A$33,JUN!$B$5:$D$31,2,)</f>
        <v>41889.936000000002</v>
      </c>
      <c r="Z20" s="345">
        <f>VLOOKUP($A$7:$A$33,JUN!$B$5:$D$31,3,)</f>
        <v>16226.992000000002</v>
      </c>
      <c r="AA20" s="344">
        <f>VLOOKUP($A$7:$A$33,JUL!$B$5:$C$31,2,)</f>
        <v>63045.144</v>
      </c>
      <c r="AB20" s="344">
        <f>VLOOKUP($A$7:$A$33,JUL!$B$5:$D$31,3,)</f>
        <v>18482.392000000003</v>
      </c>
      <c r="AC20" s="344">
        <f>VLOOKUP($A$7:$A$33,AGO!$B$5:$C$31,2,)</f>
        <v>62900.824000000001</v>
      </c>
      <c r="AD20" s="344">
        <f>VLOOKUP($A$7:$A$33,AGO!$B$5:$D$31,3,)</f>
        <v>27617.576000000001</v>
      </c>
      <c r="AE20" s="344">
        <f>VLOOKUP($A$7:$A$33,SET!$B$5:$C$31,2,)</f>
        <v>27420.064000000002</v>
      </c>
      <c r="AF20" s="344">
        <f>VLOOKUP($A$7:$A$33,SET!$B$5:$D$31,3,)</f>
        <v>20854.151999999998</v>
      </c>
      <c r="AG20" s="344">
        <f>VLOOKUP($A$7:$A$33,OUT!$B$5:$C$31,2,)</f>
        <v>13065.072</v>
      </c>
      <c r="AH20" s="344">
        <f>VLOOKUP($A$7:$A$33,OUT!$B$5:$D$31,3,)</f>
        <v>44025.704000000005</v>
      </c>
      <c r="AI20" s="343">
        <f>VLOOKUP($A$7:$A$33,NOV!$B$5:$C$31,2,)</f>
        <v>22207.592000000004</v>
      </c>
      <c r="AJ20" s="343">
        <f>VLOOKUP($A$7:$A$33,NOV!$B$5:$D$31,3,)</f>
        <v>18437.416000000001</v>
      </c>
      <c r="AK20" s="343">
        <f>VLOOKUP($A$7:$A$33,DEZ!$B$5:$C$31,2,)</f>
        <v>17888.232</v>
      </c>
      <c r="AL20" s="343">
        <f>VLOOKUP($A$7:$A$33,DEZ!$B$5:$D$31,3,)</f>
        <v>16974.952000000001</v>
      </c>
      <c r="AM20" s="343">
        <f t="shared" si="4"/>
        <v>818797.20000000007</v>
      </c>
      <c r="AN20" s="342">
        <f t="shared" si="5"/>
        <v>125.39234630556409</v>
      </c>
      <c r="AO20" s="342">
        <f t="shared" si="6"/>
        <v>1.1469733390329795</v>
      </c>
      <c r="AP20" s="315">
        <f t="shared" si="7"/>
        <v>686198.23200000008</v>
      </c>
      <c r="AQ20" s="341">
        <f t="shared" si="8"/>
        <v>515092.11199999996</v>
      </c>
      <c r="AR20" s="341">
        <f t="shared" si="9"/>
        <v>268841.90400000004</v>
      </c>
      <c r="AS20" s="340">
        <f t="shared" si="10"/>
        <v>1.3324825388695196</v>
      </c>
      <c r="AT20" s="340">
        <f t="shared" si="11"/>
        <v>1.00908134499036</v>
      </c>
      <c r="AU20" s="314">
        <f t="shared" si="12"/>
        <v>1.0508585806254567</v>
      </c>
      <c r="AV20" s="313">
        <f>'Comparativo YoY'!EB21</f>
        <v>23.242333740706727</v>
      </c>
      <c r="AX20" s="1207">
        <f t="shared" si="13"/>
        <v>532980.34399999992</v>
      </c>
      <c r="AY20" s="1207">
        <f t="shared" si="14"/>
        <v>285816.85600000003</v>
      </c>
      <c r="AZ20" s="1211" t="b">
        <f t="shared" si="15"/>
        <v>1</v>
      </c>
      <c r="BA20" s="1211"/>
      <c r="BB20" s="1211"/>
      <c r="BC20" s="1211"/>
    </row>
    <row r="21" spans="1:55" s="313" customFormat="1" ht="30" customHeight="1">
      <c r="A21" s="351" t="s">
        <v>101</v>
      </c>
      <c r="B21" s="350">
        <v>2536</v>
      </c>
      <c r="C21" s="350">
        <v>2455</v>
      </c>
      <c r="D21" s="350">
        <v>1230</v>
      </c>
      <c r="E21" s="349">
        <v>416936.32200000004</v>
      </c>
      <c r="F21" s="349">
        <v>153007.4</v>
      </c>
      <c r="G21" s="988">
        <f>VLOOKUP($A$7:$A$33,'PF - Gênero'!$A$32:$D$58,4,)</f>
        <v>2639</v>
      </c>
      <c r="H21" s="988">
        <f>VLOOKUP($A$7:$A$33,'Relatórios - SICCAU e IGEO'!$A$3:$B$29,2,)</f>
        <v>31</v>
      </c>
      <c r="I21" s="988">
        <f t="shared" si="0"/>
        <v>2608</v>
      </c>
      <c r="J21" s="988">
        <v>1872</v>
      </c>
      <c r="K21" s="988">
        <v>1160</v>
      </c>
      <c r="L21" s="988">
        <f t="shared" si="1"/>
        <v>712</v>
      </c>
      <c r="M21" s="348">
        <f t="shared" si="2"/>
        <v>71.779141104294482</v>
      </c>
      <c r="N21" s="347">
        <f t="shared" si="3"/>
        <v>1.3968689838375095</v>
      </c>
      <c r="O21" s="346">
        <f>VLOOKUP($A$7:$A$33,JAN!$R$5:$T$31,2,)</f>
        <v>93676.256000000008</v>
      </c>
      <c r="P21" s="346">
        <f>VLOOKUP($A$7:$A$33,JAN!$R$5:$T$31,3,)</f>
        <v>34927.256000000001</v>
      </c>
      <c r="Q21" s="346">
        <f>VLOOKUP($A$7:$A$33,FEV!$R$5:$T$31,2,)</f>
        <v>100608.296</v>
      </c>
      <c r="R21" s="346">
        <f>VLOOKUP($A$7:$A$33,FEV!$R$5:$T$31,3,)</f>
        <v>25313.816000000003</v>
      </c>
      <c r="S21" s="346">
        <f>VLOOKUP($A$7:$A$33,MAR!$R$5:$AI$31,18,)</f>
        <v>57602.336000000003</v>
      </c>
      <c r="T21" s="346">
        <f>VLOOKUP($A$7:$A$33,MAR!$R$5:$AJ$31,19,)</f>
        <v>21610.808000000001</v>
      </c>
      <c r="U21" s="345">
        <f>VLOOKUP($A$7:$A$33,ABR!$R$5:$S$31,2,)</f>
        <v>26024.184000000001</v>
      </c>
      <c r="V21" s="345">
        <f>VLOOKUP($A$7:$A$33,ABR!$R$5:$T$31,3,)</f>
        <v>16525.216</v>
      </c>
      <c r="W21" s="345">
        <f>VLOOKUP($A$7:$A$33,MAI!$B$5:$D$31,2,)</f>
        <v>18356.448</v>
      </c>
      <c r="X21" s="345">
        <f>VLOOKUP($A$7:$A$33,MAI!$B$5:$D$31,3,)</f>
        <v>9397.9840000000004</v>
      </c>
      <c r="Y21" s="345">
        <f>VLOOKUP($A$7:$A$33,JUN!$B$5:$D$31,2,)</f>
        <v>34712.400000000001</v>
      </c>
      <c r="Z21" s="345">
        <f>VLOOKUP($A$7:$A$33,JUN!$B$5:$D$31,3,)</f>
        <v>11919.736000000001</v>
      </c>
      <c r="AA21" s="344">
        <f>VLOOKUP($A$7:$A$33,JUL!$B$5:$C$31,2,)</f>
        <v>64099.216000000008</v>
      </c>
      <c r="AB21" s="344">
        <f>VLOOKUP($A$7:$A$33,JUL!$B$5:$D$31,3,)</f>
        <v>18175.511999999988</v>
      </c>
      <c r="AC21" s="344">
        <f>VLOOKUP($A$7:$A$33,AGO!$B$5:$C$31,2,)</f>
        <v>82877.056000000011</v>
      </c>
      <c r="AD21" s="344">
        <f>VLOOKUP($A$7:$A$33,AGO!$B$5:$D$31,3,)</f>
        <v>21334.480000000007</v>
      </c>
      <c r="AE21" s="344">
        <f>VLOOKUP($A$7:$A$33,SET!$B$5:$C$31,2,)</f>
        <v>31390.384000000005</v>
      </c>
      <c r="AF21" s="344">
        <f>VLOOKUP($A$7:$A$33,SET!$B$5:$D$31,3,)</f>
        <v>20925.072</v>
      </c>
      <c r="AG21" s="344">
        <f>VLOOKUP($A$7:$A$33,OUT!$B$5:$C$31,2,)</f>
        <v>9966.264000000001</v>
      </c>
      <c r="AH21" s="344">
        <f>VLOOKUP($A$7:$A$33,OUT!$B$5:$D$31,3,)</f>
        <v>39640.207999999999</v>
      </c>
      <c r="AI21" s="343">
        <f>VLOOKUP($A$7:$A$33,NOV!$B$5:$C$31,2,)</f>
        <v>17378.136000000002</v>
      </c>
      <c r="AJ21" s="343">
        <f>VLOOKUP($A$7:$A$33,NOV!$B$5:$D$31,3,)</f>
        <v>15281.512000000002</v>
      </c>
      <c r="AK21" s="343">
        <f>VLOOKUP($A$7:$A$33,DEZ!$B$5:$C$31,2,)</f>
        <v>21644.792000000001</v>
      </c>
      <c r="AL21" s="343">
        <f>VLOOKUP($A$7:$A$33,DEZ!$B$5:$D$31,3,)</f>
        <v>22429.376</v>
      </c>
      <c r="AM21" s="343">
        <f t="shared" si="4"/>
        <v>815816.74400000006</v>
      </c>
      <c r="AN21" s="342">
        <f t="shared" si="5"/>
        <v>143.13987723861618</v>
      </c>
      <c r="AO21" s="342">
        <f t="shared" si="6"/>
        <v>1.1427983081826529</v>
      </c>
      <c r="AP21" s="315">
        <f t="shared" si="7"/>
        <v>689476.45600000001</v>
      </c>
      <c r="AQ21" s="341">
        <f t="shared" si="8"/>
        <v>536690.97600000014</v>
      </c>
      <c r="AR21" s="341">
        <f t="shared" si="9"/>
        <v>235051.59999999998</v>
      </c>
      <c r="AS21" s="340">
        <f t="shared" si="10"/>
        <v>1.2872252852079413</v>
      </c>
      <c r="AT21" s="340">
        <f t="shared" si="11"/>
        <v>1.5362106669350633</v>
      </c>
      <c r="AU21" s="314">
        <f t="shared" si="12"/>
        <v>1.209727257948461</v>
      </c>
      <c r="AV21" s="313">
        <f>'Comparativo YoY'!EB22</f>
        <v>25.963905803684995</v>
      </c>
      <c r="AX21" s="1207">
        <f t="shared" si="13"/>
        <v>558335.76800000016</v>
      </c>
      <c r="AY21" s="1207">
        <f t="shared" si="14"/>
        <v>257480.97599999997</v>
      </c>
      <c r="AZ21" s="1211" t="b">
        <f t="shared" si="15"/>
        <v>1</v>
      </c>
      <c r="BA21" s="1211"/>
      <c r="BB21" s="1211"/>
      <c r="BC21" s="1211"/>
    </row>
    <row r="22" spans="1:55" s="313" customFormat="1" ht="30" customHeight="1">
      <c r="A22" s="351" t="s">
        <v>103</v>
      </c>
      <c r="B22" s="350">
        <v>4654</v>
      </c>
      <c r="C22" s="350">
        <v>4325</v>
      </c>
      <c r="D22" s="350">
        <v>2492</v>
      </c>
      <c r="E22" s="349">
        <v>1037353.97</v>
      </c>
      <c r="F22" s="349">
        <v>321606.04000000004</v>
      </c>
      <c r="G22" s="988">
        <f>VLOOKUP($A$7:$A$33,'PF - Gênero'!$A$32:$D$58,4,)</f>
        <v>4886</v>
      </c>
      <c r="H22" s="988">
        <f>VLOOKUP($A$7:$A$33,'Relatórios - SICCAU e IGEO'!$A$3:$B$29,2,)</f>
        <v>293</v>
      </c>
      <c r="I22" s="988">
        <f t="shared" si="0"/>
        <v>4593</v>
      </c>
      <c r="J22" s="988">
        <v>3481</v>
      </c>
      <c r="K22" s="988">
        <v>2092</v>
      </c>
      <c r="L22" s="988">
        <f t="shared" si="1"/>
        <v>1389</v>
      </c>
      <c r="M22" s="348">
        <f t="shared" si="2"/>
        <v>75.789244502503806</v>
      </c>
      <c r="N22" s="347">
        <f t="shared" si="3"/>
        <v>2.5974898144969929</v>
      </c>
      <c r="O22" s="346">
        <f>VLOOKUP($A$7:$A$33,JAN!$R$5:$T$31,2,)</f>
        <v>203282.79200000002</v>
      </c>
      <c r="P22" s="346">
        <f>VLOOKUP($A$7:$A$33,JAN!$R$5:$T$31,3,)</f>
        <v>66953.768000000011</v>
      </c>
      <c r="Q22" s="346">
        <f>VLOOKUP($A$7:$A$33,FEV!$R$5:$T$31,2,)</f>
        <v>221314.696</v>
      </c>
      <c r="R22" s="346">
        <f>VLOOKUP($A$7:$A$33,FEV!$R$5:$T$31,3,)</f>
        <v>42619.872000000003</v>
      </c>
      <c r="S22" s="346">
        <f>VLOOKUP($A$7:$A$33,MAR!$R$5:$AI$31,18,)</f>
        <v>114693.97600000001</v>
      </c>
      <c r="T22" s="346">
        <f>VLOOKUP($A$7:$A$33,MAR!$R$5:$AJ$31,19,)</f>
        <v>32370.056</v>
      </c>
      <c r="U22" s="345">
        <f>VLOOKUP($A$7:$A$33,ABR!$R$5:$S$31,2,)</f>
        <v>46351.528000000006</v>
      </c>
      <c r="V22" s="345">
        <f>VLOOKUP($A$7:$A$33,ABR!$R$5:$T$31,3,)</f>
        <v>17392.135999999999</v>
      </c>
      <c r="W22" s="345">
        <f>VLOOKUP($A$7:$A$33,MAI!$B$5:$D$31,2,)</f>
        <v>39281.784000000007</v>
      </c>
      <c r="X22" s="345">
        <f>VLOOKUP($A$7:$A$33,MAI!$B$5:$D$31,3,)</f>
        <v>14371.872000000001</v>
      </c>
      <c r="Y22" s="345">
        <f>VLOOKUP($A$7:$A$33,JUN!$B$5:$D$31,2,)</f>
        <v>52520.056000000011</v>
      </c>
      <c r="Z22" s="345">
        <f>VLOOKUP($A$7:$A$33,JUN!$B$5:$D$31,3,)</f>
        <v>16920</v>
      </c>
      <c r="AA22" s="344">
        <f>VLOOKUP($A$7:$A$33,JUL!$B$5:$C$31,2,)</f>
        <v>107163.20800000001</v>
      </c>
      <c r="AB22" s="344">
        <f>VLOOKUP($A$7:$A$33,JUL!$B$5:$D$31,3,)</f>
        <v>26410.552000000003</v>
      </c>
      <c r="AC22" s="344">
        <f>VLOOKUP($A$7:$A$33,AGO!$B$5:$C$31,2,)</f>
        <v>119480.992</v>
      </c>
      <c r="AD22" s="344">
        <f>VLOOKUP($A$7:$A$33,AGO!$B$5:$D$31,3,)</f>
        <v>24570.704000000005</v>
      </c>
      <c r="AE22" s="344">
        <f>VLOOKUP($A$7:$A$33,SET!$B$5:$C$31,2,)</f>
        <v>58027.936000000002</v>
      </c>
      <c r="AF22" s="344">
        <f>VLOOKUP($A$7:$A$33,SET!$B$5:$D$31,3,)</f>
        <v>25122.648000000001</v>
      </c>
      <c r="AG22" s="344">
        <f>VLOOKUP($A$7:$A$33,OUT!$B$5:$C$31,2,)</f>
        <v>25052.712</v>
      </c>
      <c r="AH22" s="344">
        <f>VLOOKUP($A$7:$A$33,OUT!$B$5:$D$31,3,)</f>
        <v>59329.031999999999</v>
      </c>
      <c r="AI22" s="343">
        <f>VLOOKUP($A$7:$A$33,NOV!$B$5:$C$31,2,)</f>
        <v>37330.328000000001</v>
      </c>
      <c r="AJ22" s="343">
        <f>VLOOKUP($A$7:$A$33,NOV!$B$5:$D$31,3,)</f>
        <v>21197.632000000001</v>
      </c>
      <c r="AK22" s="343">
        <f>VLOOKUP($A$7:$A$33,DEZ!$B$5:$C$31,2,)</f>
        <v>41523.808000000005</v>
      </c>
      <c r="AL22" s="343">
        <f>VLOOKUP($A$7:$A$33,DEZ!$B$5:$D$31,3,)</f>
        <v>15237.856</v>
      </c>
      <c r="AM22" s="343">
        <f t="shared" si="4"/>
        <v>1428519.9439999997</v>
      </c>
      <c r="AN22" s="342">
        <f t="shared" si="5"/>
        <v>105.11861522694841</v>
      </c>
      <c r="AO22" s="342">
        <f t="shared" si="6"/>
        <v>2.0010746129137766</v>
      </c>
      <c r="AP22" s="315">
        <f t="shared" si="7"/>
        <v>1228848.5759999999</v>
      </c>
      <c r="AQ22" s="341">
        <f t="shared" si="8"/>
        <v>1024500.0079999999</v>
      </c>
      <c r="AR22" s="341">
        <f t="shared" si="9"/>
        <v>347258.272</v>
      </c>
      <c r="AS22" s="340">
        <f t="shared" si="10"/>
        <v>0.98760889496571735</v>
      </c>
      <c r="AT22" s="340">
        <f t="shared" si="11"/>
        <v>1.0797629049504169</v>
      </c>
      <c r="AU22" s="314">
        <f t="shared" si="12"/>
        <v>0.90425661311402372</v>
      </c>
      <c r="AV22" s="313">
        <f>'Comparativo YoY'!EB23</f>
        <v>0.74432663547855782</v>
      </c>
      <c r="AX22" s="1207">
        <f t="shared" si="13"/>
        <v>1066023.8159999999</v>
      </c>
      <c r="AY22" s="1207">
        <f t="shared" si="14"/>
        <v>362496.12800000003</v>
      </c>
      <c r="AZ22" s="1211" t="b">
        <f t="shared" si="15"/>
        <v>1</v>
      </c>
      <c r="BA22" s="1211"/>
      <c r="BB22" s="1211"/>
      <c r="BC22" s="1211"/>
    </row>
    <row r="23" spans="1:55" s="313" customFormat="1" ht="30" customHeight="1">
      <c r="A23" s="351" t="s">
        <v>104</v>
      </c>
      <c r="B23" s="350">
        <v>1260</v>
      </c>
      <c r="C23" s="350">
        <v>1218</v>
      </c>
      <c r="D23" s="350">
        <v>654</v>
      </c>
      <c r="E23" s="349">
        <v>310782.46000000002</v>
      </c>
      <c r="F23" s="349">
        <v>55168.07</v>
      </c>
      <c r="G23" s="988">
        <f>VLOOKUP($A$7:$A$33,'PF - Gênero'!$A$32:$D$58,4,)</f>
        <v>1337</v>
      </c>
      <c r="H23" s="988">
        <f>VLOOKUP($A$7:$A$33,'Relatórios - SICCAU e IGEO'!$A$3:$B$29,2,)</f>
        <v>27</v>
      </c>
      <c r="I23" s="988">
        <f t="shared" si="0"/>
        <v>1310</v>
      </c>
      <c r="J23" s="988">
        <v>986</v>
      </c>
      <c r="K23" s="988">
        <v>555</v>
      </c>
      <c r="L23" s="988">
        <f t="shared" si="1"/>
        <v>431</v>
      </c>
      <c r="M23" s="348">
        <f t="shared" si="2"/>
        <v>75.267175572519079</v>
      </c>
      <c r="N23" s="347">
        <f t="shared" si="3"/>
        <v>0.73574402674347461</v>
      </c>
      <c r="O23" s="346">
        <f>VLOOKUP($A$7:$A$33,JAN!$R$5:$T$31,2,)</f>
        <v>64615.952000000005</v>
      </c>
      <c r="P23" s="346">
        <f>VLOOKUP($A$7:$A$33,JAN!$R$5:$T$31,3,)</f>
        <v>11724.016000000001</v>
      </c>
      <c r="Q23" s="346">
        <f>VLOOKUP($A$7:$A$33,FEV!$R$5:$T$31,2,)</f>
        <v>41620.016000000003</v>
      </c>
      <c r="R23" s="346">
        <f>VLOOKUP($A$7:$A$33,FEV!$R$5:$T$31,3,)</f>
        <v>8931.0079999999998</v>
      </c>
      <c r="S23" s="346">
        <f>VLOOKUP($A$7:$A$33,MAR!$R$5:$AI$31,18,)</f>
        <v>28510.400000000001</v>
      </c>
      <c r="T23" s="346">
        <f>VLOOKUP($A$7:$A$33,MAR!$R$5:$AJ$31,19,)</f>
        <v>5319.9520000000002</v>
      </c>
      <c r="U23" s="345">
        <f>VLOOKUP($A$7:$A$33,ABR!$R$5:$S$31,2,)</f>
        <v>12301.304</v>
      </c>
      <c r="V23" s="345">
        <f>VLOOKUP($A$7:$A$33,ABR!$R$5:$T$31,3,)</f>
        <v>3246.9040000000005</v>
      </c>
      <c r="W23" s="345">
        <f>VLOOKUP($A$7:$A$33,MAI!$B$5:$D$31,2,)</f>
        <v>13853.008</v>
      </c>
      <c r="X23" s="345">
        <f>VLOOKUP($A$7:$A$33,MAI!$B$5:$D$31,3,)</f>
        <v>3917.9440000000004</v>
      </c>
      <c r="Y23" s="345">
        <f>VLOOKUP($A$7:$A$33,JUN!$B$5:$D$31,2,)</f>
        <v>14661.528000000004</v>
      </c>
      <c r="Z23" s="345">
        <f>VLOOKUP($A$7:$A$33,JUN!$B$5:$D$31,3,)</f>
        <v>2119.9919999999997</v>
      </c>
      <c r="AA23" s="344">
        <f>VLOOKUP($A$7:$A$33,JUL!$B$5:$C$31,2,)</f>
        <v>30025.335999999999</v>
      </c>
      <c r="AB23" s="344">
        <f>VLOOKUP($A$7:$A$33,JUL!$B$5:$D$31,3,)</f>
        <v>2514.9840000000027</v>
      </c>
      <c r="AC23" s="344">
        <f>VLOOKUP($A$7:$A$33,AGO!$B$5:$C$31,2,)</f>
        <v>39957.271999999997</v>
      </c>
      <c r="AD23" s="344">
        <f>VLOOKUP($A$7:$A$33,AGO!$B$5:$D$31,3,)</f>
        <v>8196.6640000000025</v>
      </c>
      <c r="AE23" s="344">
        <f>VLOOKUP($A$7:$A$33,SET!$B$5:$C$31,2,)</f>
        <v>18491.184000000001</v>
      </c>
      <c r="AF23" s="344">
        <f>VLOOKUP($A$7:$A$33,SET!$B$5:$D$31,3,)</f>
        <v>7317.4720000000007</v>
      </c>
      <c r="AG23" s="344">
        <f>VLOOKUP($A$7:$A$33,OUT!$B$5:$C$31,2,)</f>
        <v>6063.2640000000001</v>
      </c>
      <c r="AH23" s="344">
        <f>VLOOKUP($A$7:$A$33,OUT!$B$5:$D$31,3,)</f>
        <v>11390.368000000002</v>
      </c>
      <c r="AI23" s="343">
        <f>VLOOKUP($A$7:$A$33,NOV!$B$5:$C$31,2,)</f>
        <v>10168.584000000001</v>
      </c>
      <c r="AJ23" s="343">
        <f>VLOOKUP($A$7:$A$33,NOV!$B$5:$D$31,3,)</f>
        <v>3505.6400000000003</v>
      </c>
      <c r="AK23" s="343">
        <f>VLOOKUP($A$7:$A$33,DEZ!$B$5:$C$31,2,)</f>
        <v>14427.848000000002</v>
      </c>
      <c r="AL23" s="343">
        <f>VLOOKUP($A$7:$A$33,DEZ!$B$5:$D$31,3,)</f>
        <v>13957.855999999998</v>
      </c>
      <c r="AM23" s="343">
        <f t="shared" si="4"/>
        <v>376838.49600000004</v>
      </c>
      <c r="AN23" s="342">
        <f t="shared" si="5"/>
        <v>102.97525624570076</v>
      </c>
      <c r="AO23" s="342">
        <f t="shared" si="6"/>
        <v>0.52787638750265153</v>
      </c>
      <c r="AP23" s="315">
        <f t="shared" si="7"/>
        <v>317324.93600000005</v>
      </c>
      <c r="AQ23" s="341">
        <f t="shared" si="8"/>
        <v>280267.848</v>
      </c>
      <c r="AR23" s="341">
        <f t="shared" si="9"/>
        <v>68184.944000000018</v>
      </c>
      <c r="AS23" s="340">
        <f t="shared" si="10"/>
        <v>0.90181359655882765</v>
      </c>
      <c r="AT23" s="340">
        <f t="shared" si="11"/>
        <v>1.2359494178426038</v>
      </c>
      <c r="AU23" s="314">
        <f t="shared" si="12"/>
        <v>0.86712522591509844</v>
      </c>
      <c r="AV23" s="313">
        <f>'Comparativo YoY'!EB24</f>
        <v>27.880806630987664</v>
      </c>
      <c r="AX23" s="1207">
        <f t="shared" si="13"/>
        <v>294695.696</v>
      </c>
      <c r="AY23" s="1207">
        <f t="shared" si="14"/>
        <v>82142.800000000017</v>
      </c>
      <c r="AZ23" s="1211" t="b">
        <f t="shared" si="15"/>
        <v>1</v>
      </c>
      <c r="BA23" s="1211"/>
      <c r="BB23" s="1211"/>
      <c r="BC23" s="1211"/>
    </row>
    <row r="24" spans="1:55" s="313" customFormat="1" ht="30" customHeight="1">
      <c r="A24" s="351" t="s">
        <v>102</v>
      </c>
      <c r="B24" s="350">
        <v>12494</v>
      </c>
      <c r="C24" s="350">
        <v>12085</v>
      </c>
      <c r="D24" s="350">
        <v>7877</v>
      </c>
      <c r="E24" s="349">
        <v>2702588.2</v>
      </c>
      <c r="F24" s="349">
        <v>704597.22</v>
      </c>
      <c r="G24" s="988">
        <f>VLOOKUP($A$7:$A$33,'PF - Gênero'!$A$32:$D$58,4,)</f>
        <v>12788</v>
      </c>
      <c r="H24" s="988">
        <f>VLOOKUP($A$7:$A$33,'Relatórios - SICCAU e IGEO'!$A$3:$B$29,2,)</f>
        <v>273</v>
      </c>
      <c r="I24" s="988">
        <f t="shared" si="0"/>
        <v>12515</v>
      </c>
      <c r="J24" s="988">
        <v>9314</v>
      </c>
      <c r="K24" s="988">
        <v>5742</v>
      </c>
      <c r="L24" s="988">
        <f t="shared" si="1"/>
        <v>3572</v>
      </c>
      <c r="M24" s="348">
        <f t="shared" si="2"/>
        <v>74.422692768677592</v>
      </c>
      <c r="N24" s="347">
        <f t="shared" si="3"/>
        <v>6.9500201471488054</v>
      </c>
      <c r="O24" s="346">
        <f>VLOOKUP($A$7:$A$33,JAN!$R$5:$T$31,2,)</f>
        <v>662450.64000000013</v>
      </c>
      <c r="P24" s="346">
        <f>VLOOKUP($A$7:$A$33,JAN!$R$5:$T$31,3,)</f>
        <v>163800.576</v>
      </c>
      <c r="Q24" s="346">
        <f>VLOOKUP($A$7:$A$33,FEV!$R$5:$T$31,2,)</f>
        <v>563936.01600000006</v>
      </c>
      <c r="R24" s="346">
        <f>VLOOKUP($A$7:$A$33,FEV!$R$5:$T$31,3,)</f>
        <v>115342.728</v>
      </c>
      <c r="S24" s="346">
        <f>VLOOKUP($A$7:$A$33,MAR!$R$5:$AI$31,18,)</f>
        <v>344323.32000000007</v>
      </c>
      <c r="T24" s="346">
        <f>VLOOKUP($A$7:$A$33,MAR!$R$5:$AJ$31,19,)</f>
        <v>108481.66399999999</v>
      </c>
      <c r="U24" s="345">
        <f>VLOOKUP($A$7:$A$33,ABR!$R$5:$S$31,2,)</f>
        <v>149972.90400000001</v>
      </c>
      <c r="V24" s="345">
        <f>VLOOKUP($A$7:$A$33,ABR!$R$5:$T$31,3,)</f>
        <v>61886.456000000006</v>
      </c>
      <c r="W24" s="345">
        <f>VLOOKUP($A$7:$A$33,MAI!$B$5:$D$31,2,)</f>
        <v>155391.22400000002</v>
      </c>
      <c r="X24" s="345">
        <f>VLOOKUP($A$7:$A$33,MAI!$B$5:$D$31,3,)</f>
        <v>58469.368000000009</v>
      </c>
      <c r="Y24" s="345">
        <f>VLOOKUP($A$7:$A$33,JUN!$B$5:$D$31,2,)</f>
        <v>214869.16000000003</v>
      </c>
      <c r="Z24" s="345">
        <f>VLOOKUP($A$7:$A$33,JUN!$B$5:$D$31,3,)</f>
        <v>66993.304000000004</v>
      </c>
      <c r="AA24" s="344">
        <f>VLOOKUP($A$7:$A$33,JUL!$B$5:$C$31,2,)</f>
        <v>333465.31200000003</v>
      </c>
      <c r="AB24" s="344">
        <f>VLOOKUP($A$7:$A$33,JUL!$B$5:$D$31,3,)</f>
        <v>58988.439999999995</v>
      </c>
      <c r="AC24" s="344">
        <f>VLOOKUP($A$7:$A$33,AGO!$B$5:$C$31,2,)</f>
        <v>320284.08</v>
      </c>
      <c r="AD24" s="344">
        <f>VLOOKUP($A$7:$A$33,AGO!$B$5:$D$31,3,)</f>
        <v>64240.86400000006</v>
      </c>
      <c r="AE24" s="344">
        <f>VLOOKUP($A$7:$A$33,SET!$B$5:$C$31,2,)</f>
        <v>116131.152</v>
      </c>
      <c r="AF24" s="344">
        <f>VLOOKUP($A$7:$A$33,SET!$B$5:$D$31,3,)</f>
        <v>63436</v>
      </c>
      <c r="AG24" s="344">
        <f>VLOOKUP($A$7:$A$33,OUT!$B$5:$C$31,2,)</f>
        <v>52082.144</v>
      </c>
      <c r="AH24" s="344">
        <f>VLOOKUP($A$7:$A$33,OUT!$B$5:$D$31,3,)</f>
        <v>107887.91200000001</v>
      </c>
      <c r="AI24" s="343">
        <f>VLOOKUP($A$7:$A$33,NOV!$B$5:$C$31,2,)</f>
        <v>87188.944000000018</v>
      </c>
      <c r="AJ24" s="343">
        <f>VLOOKUP($A$7:$A$33,NOV!$B$5:$D$31,3,)</f>
        <v>55170.335999999988</v>
      </c>
      <c r="AK24" s="343">
        <f>VLOOKUP($A$7:$A$33,DEZ!$B$5:$C$31,2,)</f>
        <v>94481.104000000007</v>
      </c>
      <c r="AL24" s="343">
        <f>VLOOKUP($A$7:$A$33,DEZ!$B$5:$D$31,3,)</f>
        <v>52872.58400000001</v>
      </c>
      <c r="AM24" s="343">
        <f t="shared" si="4"/>
        <v>4072146.2320000003</v>
      </c>
      <c r="AN24" s="342">
        <f t="shared" si="5"/>
        <v>119.51642573065484</v>
      </c>
      <c r="AO24" s="342">
        <f t="shared" si="6"/>
        <v>5.7042734889025084</v>
      </c>
      <c r="AP24" s="315">
        <f t="shared" si="7"/>
        <v>3622463.2080000006</v>
      </c>
      <c r="AQ24" s="341">
        <f t="shared" si="8"/>
        <v>3000094.8960000002</v>
      </c>
      <c r="AR24" s="341">
        <f t="shared" si="9"/>
        <v>924697.64800000004</v>
      </c>
      <c r="AS24" s="340">
        <f t="shared" si="10"/>
        <v>1.1100821412599966</v>
      </c>
      <c r="AT24" s="340">
        <f t="shared" si="11"/>
        <v>1.3123776559890488</v>
      </c>
      <c r="AU24" s="314">
        <f t="shared" si="12"/>
        <v>1.0631834671328222</v>
      </c>
      <c r="AV24" s="313">
        <f>'Comparativo YoY'!EB25</f>
        <v>14.569134867175777</v>
      </c>
      <c r="AX24" s="1207">
        <f t="shared" si="13"/>
        <v>3094576</v>
      </c>
      <c r="AY24" s="1207">
        <f t="shared" si="14"/>
        <v>977570.23200000008</v>
      </c>
      <c r="AZ24" s="1211" t="b">
        <f t="shared" si="15"/>
        <v>1</v>
      </c>
      <c r="BA24" s="1211"/>
      <c r="BB24" s="1211"/>
      <c r="BC24" s="1211"/>
    </row>
    <row r="25" spans="1:55" s="313" customFormat="1" ht="30" customHeight="1">
      <c r="A25" s="351" t="s">
        <v>105</v>
      </c>
      <c r="B25" s="350">
        <v>19977</v>
      </c>
      <c r="C25" s="350">
        <v>17363</v>
      </c>
      <c r="D25" s="350">
        <v>9615</v>
      </c>
      <c r="E25" s="349">
        <v>3576099.3560000006</v>
      </c>
      <c r="F25" s="349">
        <v>720000</v>
      </c>
      <c r="G25" s="988">
        <f>VLOOKUP($A$7:$A$33,'PF - Gênero'!$A$32:$D$58,4,)</f>
        <v>20366</v>
      </c>
      <c r="H25" s="988">
        <f>VLOOKUP($A$7:$A$33,'Relatórios - SICCAU e IGEO'!$A$3:$B$29,2,)</f>
        <v>2534</v>
      </c>
      <c r="I25" s="988">
        <f t="shared" si="0"/>
        <v>17832</v>
      </c>
      <c r="J25" s="988">
        <v>12365</v>
      </c>
      <c r="K25" s="988">
        <v>8189</v>
      </c>
      <c r="L25" s="988">
        <f t="shared" si="1"/>
        <v>4176</v>
      </c>
      <c r="M25" s="348">
        <f t="shared" si="2"/>
        <v>69.341633019291166</v>
      </c>
      <c r="N25" s="347">
        <f t="shared" si="3"/>
        <v>9.2266479621532067</v>
      </c>
      <c r="O25" s="346">
        <f>VLOOKUP($A$7:$A$33,JAN!$R$5:$T$31,2,)</f>
        <v>926093.58400000003</v>
      </c>
      <c r="P25" s="346">
        <f>VLOOKUP($A$7:$A$33,JAN!$R$5:$T$31,3,)</f>
        <v>146034.54399999999</v>
      </c>
      <c r="Q25" s="346">
        <f>VLOOKUP($A$7:$A$33,FEV!$R$5:$T$31,2,)</f>
        <v>789365.62400000007</v>
      </c>
      <c r="R25" s="346">
        <f>VLOOKUP($A$7:$A$33,FEV!$R$5:$T$31,3,)</f>
        <v>99699.280000000013</v>
      </c>
      <c r="S25" s="346">
        <f>VLOOKUP($A$7:$A$33,MAR!$R$5:$AI$31,18,)</f>
        <v>445397.48</v>
      </c>
      <c r="T25" s="346">
        <f>VLOOKUP($A$7:$A$33,MAR!$R$5:$AJ$31,19,)</f>
        <v>93884.104000000007</v>
      </c>
      <c r="U25" s="345">
        <f>VLOOKUP($A$7:$A$33,ABR!$R$5:$S$31,2,)</f>
        <v>166387.23200000002</v>
      </c>
      <c r="V25" s="345">
        <f>VLOOKUP($A$7:$A$33,ABR!$R$5:$T$31,3,)</f>
        <v>55580.104000000007</v>
      </c>
      <c r="W25" s="345">
        <f>VLOOKUP($A$7:$A$33,MAI!$B$5:$D$31,2,)</f>
        <v>140905.04</v>
      </c>
      <c r="X25" s="345">
        <f>VLOOKUP($A$7:$A$33,MAI!$B$5:$D$31,3,)</f>
        <v>44998.815999999999</v>
      </c>
      <c r="Y25" s="345">
        <f>VLOOKUP($A$7:$A$33,JUN!$B$5:$D$31,2,)</f>
        <v>233695.52800000005</v>
      </c>
      <c r="Z25" s="345">
        <f>VLOOKUP($A$7:$A$33,JUN!$B$5:$D$31,3,)</f>
        <v>63753.872000000003</v>
      </c>
      <c r="AA25" s="344">
        <f>VLOOKUP($A$7:$A$33,JUL!$B$5:$C$31,2,)</f>
        <v>370268.76</v>
      </c>
      <c r="AB25" s="344">
        <f>VLOOKUP($A$7:$A$33,JUL!$B$5:$D$31,3,)</f>
        <v>72585.807999999961</v>
      </c>
      <c r="AC25" s="344">
        <f>VLOOKUP($A$7:$A$33,AGO!$B$5:$C$31,2,)</f>
        <v>389682.48800000001</v>
      </c>
      <c r="AD25" s="344">
        <f>VLOOKUP($A$7:$A$33,AGO!$B$5:$D$31,3,)</f>
        <v>69544.880000000077</v>
      </c>
      <c r="AE25" s="344">
        <f>VLOOKUP($A$7:$A$33,SET!$B$5:$C$31,2,)</f>
        <v>179660.33600000001</v>
      </c>
      <c r="AF25" s="344">
        <f>VLOOKUP($A$7:$A$33,SET!$B$5:$D$31,3,)</f>
        <v>76282.559999999983</v>
      </c>
      <c r="AG25" s="344">
        <f>VLOOKUP($A$7:$A$33,OUT!$B$5:$C$31,2,)</f>
        <v>67916.248000000007</v>
      </c>
      <c r="AH25" s="344">
        <f>VLOOKUP($A$7:$A$33,OUT!$B$5:$D$31,3,)</f>
        <v>146238.66400000002</v>
      </c>
      <c r="AI25" s="343">
        <f>VLOOKUP($A$7:$A$33,NOV!$B$5:$C$31,2,)</f>
        <v>121086.984</v>
      </c>
      <c r="AJ25" s="343">
        <f>VLOOKUP($A$7:$A$33,NOV!$B$5:$D$31,3,)</f>
        <v>62151.256000000008</v>
      </c>
      <c r="AK25" s="343">
        <f>VLOOKUP($A$7:$A$33,DEZ!$B$5:$C$31,2,)</f>
        <v>122128.76000000001</v>
      </c>
      <c r="AL25" s="343">
        <f>VLOOKUP($A$7:$A$33,DEZ!$B$5:$D$31,3,)</f>
        <v>60651.4</v>
      </c>
      <c r="AM25" s="343">
        <f t="shared" si="4"/>
        <v>4943993.351999999</v>
      </c>
      <c r="AN25" s="342">
        <f t="shared" si="5"/>
        <v>115.08098259168843</v>
      </c>
      <c r="AO25" s="342">
        <f t="shared" si="6"/>
        <v>6.9255592997878965</v>
      </c>
      <c r="AP25" s="315">
        <f t="shared" si="7"/>
        <v>4363820.0399999991</v>
      </c>
      <c r="AQ25" s="341">
        <f t="shared" si="8"/>
        <v>3830459.304</v>
      </c>
      <c r="AR25" s="341">
        <f t="shared" si="9"/>
        <v>930753.88800000004</v>
      </c>
      <c r="AS25" s="340">
        <f t="shared" si="10"/>
        <v>1.0711277631515559</v>
      </c>
      <c r="AT25" s="340">
        <f t="shared" si="11"/>
        <v>1.2927137333333334</v>
      </c>
      <c r="AU25" s="314">
        <f t="shared" si="12"/>
        <v>1.0157632955824027</v>
      </c>
      <c r="AV25" s="313">
        <f>'Comparativo YoY'!EB26</f>
        <v>-9.8940781922547671</v>
      </c>
      <c r="AX25" s="1207">
        <f t="shared" si="13"/>
        <v>3952588.0640000002</v>
      </c>
      <c r="AY25" s="1207">
        <f t="shared" si="14"/>
        <v>991405.28800000006</v>
      </c>
      <c r="AZ25" s="1211" t="b">
        <f t="shared" si="15"/>
        <v>1</v>
      </c>
      <c r="BA25" s="1211"/>
      <c r="BB25" s="1211"/>
      <c r="BC25" s="1211"/>
    </row>
    <row r="26" spans="1:55" s="313" customFormat="1" ht="30" customHeight="1">
      <c r="A26" s="351" t="s">
        <v>106</v>
      </c>
      <c r="B26" s="350">
        <v>2420</v>
      </c>
      <c r="C26" s="350">
        <v>2358</v>
      </c>
      <c r="D26" s="350">
        <v>1410</v>
      </c>
      <c r="E26" s="349">
        <v>487662.72</v>
      </c>
      <c r="F26" s="349">
        <v>192304.15</v>
      </c>
      <c r="G26" s="988">
        <f>VLOOKUP($A$7:$A$33,'PF - Gênero'!$A$32:$D$58,4,)</f>
        <v>2487</v>
      </c>
      <c r="H26" s="988">
        <f>VLOOKUP($A$7:$A$33,'Relatórios - SICCAU e IGEO'!$A$3:$B$29,2,)</f>
        <v>34</v>
      </c>
      <c r="I26" s="988">
        <f t="shared" si="0"/>
        <v>2453</v>
      </c>
      <c r="J26" s="988">
        <v>1695</v>
      </c>
      <c r="K26" s="988">
        <v>1010</v>
      </c>
      <c r="L26" s="988">
        <f t="shared" si="1"/>
        <v>685</v>
      </c>
      <c r="M26" s="348">
        <f t="shared" si="2"/>
        <v>69.099062372604976</v>
      </c>
      <c r="N26" s="347">
        <f t="shared" si="3"/>
        <v>1.2647932305580014</v>
      </c>
      <c r="O26" s="346">
        <f>VLOOKUP($A$7:$A$33,JAN!$R$5:$T$31,2,)</f>
        <v>93402.648000000001</v>
      </c>
      <c r="P26" s="346">
        <f>VLOOKUP($A$7:$A$33,JAN!$R$5:$T$31,3,)</f>
        <v>33630.336000000003</v>
      </c>
      <c r="Q26" s="346">
        <f>VLOOKUP($A$7:$A$33,FEV!$R$5:$T$31,2,)</f>
        <v>103318.424</v>
      </c>
      <c r="R26" s="346">
        <f>VLOOKUP($A$7:$A$33,FEV!$R$5:$T$31,3,)</f>
        <v>26112.800000000003</v>
      </c>
      <c r="S26" s="346">
        <f>VLOOKUP($A$7:$A$33,MAR!$R$5:$AI$31,18,)</f>
        <v>73981.464000000007</v>
      </c>
      <c r="T26" s="346">
        <f>VLOOKUP($A$7:$A$33,MAR!$R$5:$AJ$31,19,)</f>
        <v>31526.624000000007</v>
      </c>
      <c r="U26" s="345">
        <f>VLOOKUP($A$7:$A$33,ABR!$R$5:$S$31,2,)</f>
        <v>26968.224000000002</v>
      </c>
      <c r="V26" s="345">
        <f>VLOOKUP($A$7:$A$33,ABR!$R$5:$T$31,3,)</f>
        <v>17326.952000000001</v>
      </c>
      <c r="W26" s="345">
        <f>VLOOKUP($A$7:$A$33,MAI!$B$5:$D$31,2,)</f>
        <v>20763.696</v>
      </c>
      <c r="X26" s="345">
        <f>VLOOKUP($A$7:$A$33,MAI!$B$5:$D$31,3,)</f>
        <v>15047.36</v>
      </c>
      <c r="Y26" s="345">
        <f>VLOOKUP($A$7:$A$33,JUN!$B$5:$D$31,2,)</f>
        <v>30129.712</v>
      </c>
      <c r="Z26" s="345">
        <f>VLOOKUP($A$7:$A$33,JUN!$B$5:$D$31,3,)</f>
        <v>16622.416000000001</v>
      </c>
      <c r="AA26" s="344">
        <f>VLOOKUP($A$7:$A$33,JUL!$B$5:$C$31,2,)</f>
        <v>54233.8</v>
      </c>
      <c r="AB26" s="344">
        <f>VLOOKUP($A$7:$A$33,JUL!$B$5:$D$31,3,)</f>
        <v>20801.49600000001</v>
      </c>
      <c r="AC26" s="344">
        <f>VLOOKUP($A$7:$A$33,AGO!$B$5:$C$31,2,)</f>
        <v>62992.256000000008</v>
      </c>
      <c r="AD26" s="344">
        <f>VLOOKUP($A$7:$A$33,AGO!$B$5:$D$31,3,)</f>
        <v>16950.119999999984</v>
      </c>
      <c r="AE26" s="344">
        <f>VLOOKUP($A$7:$A$33,SET!$B$5:$C$31,2,)</f>
        <v>28472.544000000002</v>
      </c>
      <c r="AF26" s="344">
        <f>VLOOKUP($A$7:$A$33,SET!$B$5:$D$31,3,)</f>
        <v>13425.896000000002</v>
      </c>
      <c r="AG26" s="344">
        <f>VLOOKUP($A$7:$A$33,OUT!$B$5:$C$31,2,)</f>
        <v>8783.503999999999</v>
      </c>
      <c r="AH26" s="344">
        <f>VLOOKUP($A$7:$A$33,OUT!$B$5:$D$31,3,)</f>
        <v>28207.648000000005</v>
      </c>
      <c r="AI26" s="343">
        <f>VLOOKUP($A$7:$A$33,NOV!$B$5:$C$31,2,)</f>
        <v>15955.847999999998</v>
      </c>
      <c r="AJ26" s="343">
        <f>VLOOKUP($A$7:$A$33,NOV!$B$5:$D$31,3,)</f>
        <v>12317.112000000001</v>
      </c>
      <c r="AK26" s="343">
        <f>VLOOKUP($A$7:$A$33,DEZ!$B$5:$C$31,2,)</f>
        <v>19058.832000000002</v>
      </c>
      <c r="AL26" s="343">
        <f>VLOOKUP($A$7:$A$33,DEZ!$B$5:$D$31,3,)</f>
        <v>17731.344000000001</v>
      </c>
      <c r="AM26" s="343">
        <f t="shared" si="4"/>
        <v>787761.0560000001</v>
      </c>
      <c r="AN26" s="342">
        <f t="shared" si="5"/>
        <v>115.85285853706372</v>
      </c>
      <c r="AO26" s="342">
        <f t="shared" si="6"/>
        <v>1.1034978243214142</v>
      </c>
      <c r="AP26" s="315">
        <f t="shared" si="7"/>
        <v>685706.76800000004</v>
      </c>
      <c r="AQ26" s="341">
        <f t="shared" si="8"/>
        <v>519002.11999999994</v>
      </c>
      <c r="AR26" s="341">
        <f t="shared" si="9"/>
        <v>231968.76000000004</v>
      </c>
      <c r="AS26" s="340">
        <f t="shared" si="10"/>
        <v>1.0642644982171283</v>
      </c>
      <c r="AT26" s="340">
        <f t="shared" si="11"/>
        <v>1.2062597713049876</v>
      </c>
      <c r="AU26" s="314">
        <f t="shared" si="12"/>
        <v>1.0084414377424007</v>
      </c>
      <c r="AV26" s="313">
        <f>'Comparativo YoY'!EB27</f>
        <v>17.609990357504572</v>
      </c>
      <c r="AX26" s="1207">
        <f t="shared" si="13"/>
        <v>538060.95199999993</v>
      </c>
      <c r="AY26" s="1207">
        <f t="shared" si="14"/>
        <v>249700.10400000005</v>
      </c>
      <c r="AZ26" s="1211" t="b">
        <f t="shared" si="15"/>
        <v>1</v>
      </c>
      <c r="BA26" s="1211"/>
      <c r="BB26" s="1211"/>
      <c r="BC26" s="1211"/>
    </row>
    <row r="27" spans="1:55" s="313" customFormat="1" ht="30" customHeight="1">
      <c r="A27" s="351" t="s">
        <v>108</v>
      </c>
      <c r="B27" s="350">
        <v>1145</v>
      </c>
      <c r="C27" s="350">
        <v>1118</v>
      </c>
      <c r="D27" s="350">
        <v>669</v>
      </c>
      <c r="E27" s="349">
        <v>225946.45</v>
      </c>
      <c r="F27" s="349">
        <v>41619.199999999997</v>
      </c>
      <c r="G27" s="988">
        <f>VLOOKUP($A$7:$A$33,'PF - Gênero'!$A$32:$D$58,4,)</f>
        <v>1224</v>
      </c>
      <c r="H27" s="988">
        <f>VLOOKUP($A$7:$A$33,'Relatórios - SICCAU e IGEO'!$A$3:$B$29,2,)</f>
        <v>6</v>
      </c>
      <c r="I27" s="988">
        <f t="shared" si="0"/>
        <v>1218</v>
      </c>
      <c r="J27" s="988">
        <v>844</v>
      </c>
      <c r="K27" s="988">
        <v>482</v>
      </c>
      <c r="L27" s="988">
        <f t="shared" si="1"/>
        <v>362</v>
      </c>
      <c r="M27" s="348">
        <f t="shared" si="2"/>
        <v>69.293924466338268</v>
      </c>
      <c r="N27" s="347">
        <f t="shared" si="3"/>
        <v>0.62978494784127026</v>
      </c>
      <c r="O27" s="346">
        <f>VLOOKUP($A$7:$A$33,JAN!$R$5:$T$31,2,)</f>
        <v>47562.847999999998</v>
      </c>
      <c r="P27" s="346">
        <f>VLOOKUP($A$7:$A$33,JAN!$R$5:$T$31,3,)</f>
        <v>10134.36</v>
      </c>
      <c r="Q27" s="346">
        <f>VLOOKUP($A$7:$A$33,FEV!$R$5:$T$31,2,)</f>
        <v>32643.615999999998</v>
      </c>
      <c r="R27" s="346">
        <f>VLOOKUP($A$7:$A$33,FEV!$R$5:$T$31,3,)</f>
        <v>9188.3680000000004</v>
      </c>
      <c r="S27" s="346">
        <f>VLOOKUP($A$7:$A$33,MAR!$R$5:$AI$31,18,)</f>
        <v>26662.688000000002</v>
      </c>
      <c r="T27" s="346">
        <f>VLOOKUP($A$7:$A$33,MAR!$R$5:$AJ$31,19,)</f>
        <v>5198.8960000000006</v>
      </c>
      <c r="U27" s="345">
        <f>VLOOKUP($A$7:$A$33,ABR!$R$5:$S$31,2,)</f>
        <v>12444.976000000001</v>
      </c>
      <c r="V27" s="345">
        <f>VLOOKUP($A$7:$A$33,ABR!$R$5:$T$31,3,)</f>
        <v>5218.4480000000003</v>
      </c>
      <c r="W27" s="345">
        <f>VLOOKUP($A$7:$A$33,MAI!$B$5:$D$31,2,)</f>
        <v>12404.936000000002</v>
      </c>
      <c r="X27" s="345">
        <f>VLOOKUP($A$7:$A$33,MAI!$B$5:$D$31,3,)</f>
        <v>5513.0160000000005</v>
      </c>
      <c r="Y27" s="345">
        <f>VLOOKUP($A$7:$A$33,JUN!$B$5:$D$31,2,)</f>
        <v>20772.952000000005</v>
      </c>
      <c r="Z27" s="345">
        <f>VLOOKUP($A$7:$A$33,JUN!$B$5:$D$31,3,)</f>
        <v>5617.7759999999998</v>
      </c>
      <c r="AA27" s="344">
        <f>VLOOKUP($A$7:$A$33,JUL!$B$5:$C$31,2,)</f>
        <v>39303.864000000001</v>
      </c>
      <c r="AB27" s="344">
        <f>VLOOKUP($A$7:$A$33,JUL!$B$5:$D$31,3,)</f>
        <v>4543.4799999999987</v>
      </c>
      <c r="AC27" s="344">
        <f>VLOOKUP($A$7:$A$33,AGO!$B$5:$C$31,2,)</f>
        <v>25069.656000000003</v>
      </c>
      <c r="AD27" s="344">
        <f>VLOOKUP($A$7:$A$33,AGO!$B$5:$D$31,3,)</f>
        <v>4806.7280000000028</v>
      </c>
      <c r="AE27" s="344">
        <f>VLOOKUP($A$7:$A$33,SET!$B$5:$C$31,2,)</f>
        <v>12119.784</v>
      </c>
      <c r="AF27" s="344">
        <f>VLOOKUP($A$7:$A$33,SET!$B$5:$D$31,3,)</f>
        <v>4775.4720000000007</v>
      </c>
      <c r="AG27" s="344">
        <f>VLOOKUP($A$7:$A$33,OUT!$B$5:$C$31,2,)</f>
        <v>5265.0400000000009</v>
      </c>
      <c r="AH27" s="344">
        <f>VLOOKUP($A$7:$A$33,OUT!$B$5:$D$31,3,)</f>
        <v>8793.6880000000001</v>
      </c>
      <c r="AI27" s="343">
        <f>VLOOKUP($A$7:$A$33,NOV!$B$5:$C$31,2,)</f>
        <v>7833.1920000000018</v>
      </c>
      <c r="AJ27" s="343">
        <f>VLOOKUP($A$7:$A$33,NOV!$B$5:$D$31,3,)</f>
        <v>3785.4320000000002</v>
      </c>
      <c r="AK27" s="343">
        <f>VLOOKUP($A$7:$A$33,DEZ!$B$5:$C$31,2,)</f>
        <v>9373.4639999999999</v>
      </c>
      <c r="AL27" s="343">
        <f>VLOOKUP($A$7:$A$33,DEZ!$B$5:$D$31,3,)</f>
        <v>4790.5440000000017</v>
      </c>
      <c r="AM27" s="343">
        <f t="shared" si="4"/>
        <v>323823.22399999993</v>
      </c>
      <c r="AN27" s="342">
        <f t="shared" si="5"/>
        <v>121.02570864384121</v>
      </c>
      <c r="AO27" s="342">
        <f t="shared" si="6"/>
        <v>0.45361245066263578</v>
      </c>
      <c r="AP27" s="315">
        <f t="shared" si="7"/>
        <v>283981.864</v>
      </c>
      <c r="AQ27" s="341">
        <f t="shared" si="8"/>
        <v>242083.55200000003</v>
      </c>
      <c r="AR27" s="341">
        <f t="shared" si="9"/>
        <v>67575.664000000004</v>
      </c>
      <c r="AS27" s="340">
        <f t="shared" si="10"/>
        <v>1.0714200289493374</v>
      </c>
      <c r="AT27" s="340">
        <f t="shared" si="11"/>
        <v>1.6236656158695988</v>
      </c>
      <c r="AU27" s="314">
        <f t="shared" si="12"/>
        <v>1.0613539667741356</v>
      </c>
      <c r="AV27" s="313">
        <f>'Comparativo YoY'!EB28</f>
        <v>18.674750102387222</v>
      </c>
      <c r="AX27" s="1207">
        <f t="shared" si="13"/>
        <v>251457.01600000003</v>
      </c>
      <c r="AY27" s="1207">
        <f t="shared" si="14"/>
        <v>72366.208000000013</v>
      </c>
      <c r="AZ27" s="1211" t="b">
        <f t="shared" si="15"/>
        <v>1</v>
      </c>
      <c r="BA27" s="1211"/>
      <c r="BB27" s="1211"/>
      <c r="BC27" s="1211"/>
    </row>
    <row r="28" spans="1:55" s="313" customFormat="1" ht="30" customHeight="1">
      <c r="A28" s="351" t="s">
        <v>109</v>
      </c>
      <c r="B28" s="350">
        <v>231</v>
      </c>
      <c r="C28" s="350">
        <v>220</v>
      </c>
      <c r="D28" s="350">
        <v>114</v>
      </c>
      <c r="E28" s="349">
        <v>40502.449999999997</v>
      </c>
      <c r="F28" s="349">
        <v>2958.21</v>
      </c>
      <c r="G28" s="988">
        <f>VLOOKUP($A$7:$A$33,'PF - Gênero'!$A$32:$D$58,4,)</f>
        <v>223</v>
      </c>
      <c r="H28" s="988">
        <f>VLOOKUP($A$7:$A$33,'Relatórios - SICCAU e IGEO'!$A$3:$B$29,2,)</f>
        <v>7</v>
      </c>
      <c r="I28" s="988">
        <f t="shared" si="0"/>
        <v>216</v>
      </c>
      <c r="J28" s="988">
        <v>129</v>
      </c>
      <c r="K28" s="988">
        <v>82</v>
      </c>
      <c r="L28" s="988">
        <f t="shared" si="1"/>
        <v>47</v>
      </c>
      <c r="M28" s="348">
        <f t="shared" si="2"/>
        <v>59.722222222222221</v>
      </c>
      <c r="N28" s="347">
        <f t="shared" si="3"/>
        <v>9.6258599847777099E-2</v>
      </c>
      <c r="O28" s="346">
        <f>VLOOKUP($A$7:$A$33,JAN!$R$5:$T$31,2,)</f>
        <v>9237.7839999999997</v>
      </c>
      <c r="P28" s="346">
        <f>VLOOKUP($A$7:$A$33,JAN!$R$5:$T$31,3,)</f>
        <v>706.03200000000004</v>
      </c>
      <c r="Q28" s="346">
        <f>VLOOKUP($A$7:$A$33,FEV!$R$5:$T$31,2,)</f>
        <v>9443.4800000000014</v>
      </c>
      <c r="R28" s="346">
        <f>VLOOKUP($A$7:$A$33,FEV!$R$5:$T$31,3,)</f>
        <v>1243.6480000000001</v>
      </c>
      <c r="S28" s="346">
        <f>VLOOKUP($A$7:$A$33,MAR!$R$5:$AI$31,18,)</f>
        <v>4625.5600000000004</v>
      </c>
      <c r="T28" s="346">
        <f>VLOOKUP($A$7:$A$33,MAR!$R$5:$AJ$31,19,)</f>
        <v>221.11199999999999</v>
      </c>
      <c r="U28" s="345">
        <f>VLOOKUP($A$7:$A$33,ABR!$R$5:$S$31,2,)</f>
        <v>1356.152</v>
      </c>
      <c r="V28" s="345">
        <f>VLOOKUP($A$7:$A$33,ABR!$R$5:$T$31,3,)</f>
        <v>0</v>
      </c>
      <c r="W28" s="345">
        <f>VLOOKUP($A$7:$A$33,MAI!$B$5:$D$31,2,)</f>
        <v>2464.6720000000005</v>
      </c>
      <c r="X28" s="345">
        <f>VLOOKUP($A$7:$A$33,MAI!$B$5:$D$31,3,)</f>
        <v>461.82400000000001</v>
      </c>
      <c r="Y28" s="345">
        <f>VLOOKUP($A$7:$A$33,JUN!$B$5:$D$31,2,)</f>
        <v>1123.7759999999998</v>
      </c>
      <c r="Z28" s="345">
        <f>VLOOKUP($A$7:$A$33,JUN!$B$5:$D$31,3,)</f>
        <v>400.88000000000005</v>
      </c>
      <c r="AA28" s="344">
        <f>VLOOKUP($A$7:$A$33,JUL!$B$5:$C$31,2,)</f>
        <v>4822.6959999999999</v>
      </c>
      <c r="AB28" s="344">
        <f>VLOOKUP($A$7:$A$33,JUL!$B$5:$D$31,3,)</f>
        <v>144.87200000000013</v>
      </c>
      <c r="AC28" s="344">
        <f>VLOOKUP($A$7:$A$33,AGO!$B$5:$C$31,2,)</f>
        <v>2845.6320000000001</v>
      </c>
      <c r="AD28" s="344">
        <f>VLOOKUP($A$7:$A$33,AGO!$B$5:$D$31,3,)</f>
        <v>568.4</v>
      </c>
      <c r="AE28" s="344">
        <f>VLOOKUP($A$7:$A$33,SET!$B$5:$C$31,2,)</f>
        <v>3180.8880000000004</v>
      </c>
      <c r="AF28" s="344">
        <f>VLOOKUP($A$7:$A$33,SET!$B$5:$D$31,3,)</f>
        <v>609.39200000000017</v>
      </c>
      <c r="AG28" s="344">
        <f>VLOOKUP($A$7:$A$33,OUT!$B$5:$C$31,2,)</f>
        <v>1813.28</v>
      </c>
      <c r="AH28" s="344">
        <f>VLOOKUP($A$7:$A$33,OUT!$B$5:$D$31,3,)</f>
        <v>192.39200000000019</v>
      </c>
      <c r="AI28" s="343">
        <f>VLOOKUP($A$7:$A$33,NOV!$B$5:$C$31,2,)</f>
        <v>2908.4799999999996</v>
      </c>
      <c r="AJ28" s="343">
        <f>VLOOKUP($A$7:$A$33,NOV!$B$5:$D$31,3,)</f>
        <v>928.51200000000017</v>
      </c>
      <c r="AK28" s="343">
        <f>VLOOKUP($A$7:$A$33,DEZ!$B$5:$C$31,2,)</f>
        <v>1173.3040000000001</v>
      </c>
      <c r="AL28" s="343">
        <f>VLOOKUP($A$7:$A$33,DEZ!$B$5:$D$31,3,)</f>
        <v>489.95999999999987</v>
      </c>
      <c r="AM28" s="343">
        <f t="shared" si="4"/>
        <v>50962.72800000001</v>
      </c>
      <c r="AN28" s="342">
        <f t="shared" si="5"/>
        <v>117.26174429932729</v>
      </c>
      <c r="AO28" s="342">
        <f t="shared" si="6"/>
        <v>7.138872763657414E-2</v>
      </c>
      <c r="AP28" s="315">
        <f t="shared" si="7"/>
        <v>43456.800000000003</v>
      </c>
      <c r="AQ28" s="341">
        <f t="shared" si="8"/>
        <v>43822.399999999994</v>
      </c>
      <c r="AR28" s="341">
        <f t="shared" si="9"/>
        <v>5477.0640000000003</v>
      </c>
      <c r="AS28" s="340">
        <f t="shared" si="10"/>
        <v>1.0819691154485716</v>
      </c>
      <c r="AT28" s="340">
        <f t="shared" si="11"/>
        <v>1.8514791039175718</v>
      </c>
      <c r="AU28" s="314">
        <f t="shared" si="12"/>
        <v>0.99991118404552548</v>
      </c>
      <c r="AV28" s="313">
        <f>'Comparativo YoY'!EB29</f>
        <v>-0.36291296345187618</v>
      </c>
      <c r="AX28" s="1207">
        <f t="shared" si="13"/>
        <v>44995.703999999998</v>
      </c>
      <c r="AY28" s="1207">
        <f t="shared" si="14"/>
        <v>5967.0240000000003</v>
      </c>
      <c r="AZ28" s="1211" t="b">
        <f t="shared" si="15"/>
        <v>1</v>
      </c>
      <c r="BA28" s="1211"/>
      <c r="BB28" s="1211"/>
      <c r="BC28" s="1211"/>
    </row>
    <row r="29" spans="1:55" s="313" customFormat="1" ht="30" customHeight="1">
      <c r="A29" s="351" t="s">
        <v>107</v>
      </c>
      <c r="B29" s="350">
        <v>16222</v>
      </c>
      <c r="C29" s="350">
        <v>15459</v>
      </c>
      <c r="D29" s="350">
        <v>9494</v>
      </c>
      <c r="E29" s="349">
        <v>3229102.92</v>
      </c>
      <c r="F29" s="349">
        <v>763682.25</v>
      </c>
      <c r="G29" s="988">
        <f>VLOOKUP($A$7:$A$33,'PF - Gênero'!$A$32:$D$58,4,)</f>
        <v>16438</v>
      </c>
      <c r="H29" s="988">
        <f>VLOOKUP($A$7:$A$33,'Relatórios - SICCAU e IGEO'!$A$3:$B$29,2,)</f>
        <v>636</v>
      </c>
      <c r="I29" s="988">
        <f t="shared" si="0"/>
        <v>15802</v>
      </c>
      <c r="J29" s="988">
        <v>11827</v>
      </c>
      <c r="K29" s="988">
        <v>7526</v>
      </c>
      <c r="L29" s="988">
        <f t="shared" si="1"/>
        <v>4301</v>
      </c>
      <c r="M29" s="348">
        <f t="shared" si="2"/>
        <v>74.844956334641182</v>
      </c>
      <c r="N29" s="347">
        <f t="shared" si="3"/>
        <v>8.8251973674392232</v>
      </c>
      <c r="O29" s="346">
        <f>VLOOKUP($A$7:$A$33,JAN!$R$5:$T$31,2,)</f>
        <v>861931.18400000001</v>
      </c>
      <c r="P29" s="346">
        <f>VLOOKUP($A$7:$A$33,JAN!$R$5:$T$31,3,)</f>
        <v>131183.56000000003</v>
      </c>
      <c r="Q29" s="346">
        <f>VLOOKUP($A$7:$A$33,FEV!$R$5:$T$31,2,)</f>
        <v>797194.24800000014</v>
      </c>
      <c r="R29" s="346">
        <f>VLOOKUP($A$7:$A$33,FEV!$R$5:$T$31,3,)</f>
        <v>89675.648000000001</v>
      </c>
      <c r="S29" s="346">
        <f>VLOOKUP($A$7:$A$33,MAR!$R$5:$AI$31,18,)</f>
        <v>402252.84</v>
      </c>
      <c r="T29" s="346">
        <f>VLOOKUP($A$7:$A$33,MAR!$R$5:$AJ$31,19,)</f>
        <v>98485.952000000005</v>
      </c>
      <c r="U29" s="345">
        <f>VLOOKUP($A$7:$A$33,ABR!$R$5:$S$31,2,)</f>
        <v>173775.40000000002</v>
      </c>
      <c r="V29" s="345">
        <f>VLOOKUP($A$7:$A$33,ABR!$R$5:$T$31,3,)</f>
        <v>55000.512000000002</v>
      </c>
      <c r="W29" s="345">
        <f>VLOOKUP($A$7:$A$33,MAI!$B$5:$D$31,2,)</f>
        <v>163836.448</v>
      </c>
      <c r="X29" s="345">
        <f>VLOOKUP($A$7:$A$33,MAI!$B$5:$D$31,3,)</f>
        <v>44244.456000000006</v>
      </c>
      <c r="Y29" s="345">
        <f>VLOOKUP($A$7:$A$33,JUN!$B$5:$D$31,2,)</f>
        <v>256787.51200000002</v>
      </c>
      <c r="Z29" s="345">
        <f>VLOOKUP($A$7:$A$33,JUN!$B$5:$D$31,3,)</f>
        <v>58944.072</v>
      </c>
      <c r="AA29" s="344">
        <f>VLOOKUP($A$7:$A$33,JUL!$B$5:$C$31,2,)</f>
        <v>353290.50400000002</v>
      </c>
      <c r="AB29" s="344">
        <f>VLOOKUP($A$7:$A$33,JUL!$B$5:$D$31,3,)</f>
        <v>62622.031999999985</v>
      </c>
      <c r="AC29" s="344">
        <f>VLOOKUP($A$7:$A$33,AGO!$B$5:$C$31,2,)</f>
        <v>412251.95200000005</v>
      </c>
      <c r="AD29" s="344">
        <f>VLOOKUP($A$7:$A$33,AGO!$B$5:$D$31,3,)</f>
        <v>70627.512000000061</v>
      </c>
      <c r="AE29" s="344">
        <f>VLOOKUP($A$7:$A$33,SET!$B$5:$C$31,2,)</f>
        <v>158552.85600000003</v>
      </c>
      <c r="AF29" s="344">
        <f>VLOOKUP($A$7:$A$33,SET!$B$5:$D$31,3,)</f>
        <v>77108.551999999952</v>
      </c>
      <c r="AG29" s="344">
        <f>VLOOKUP($A$7:$A$33,OUT!$B$5:$C$31,2,)</f>
        <v>75680.639999999999</v>
      </c>
      <c r="AH29" s="344">
        <f>VLOOKUP($A$7:$A$33,OUT!$B$5:$D$31,3,)</f>
        <v>127105.67199999998</v>
      </c>
      <c r="AI29" s="343">
        <f>VLOOKUP($A$7:$A$33,NOV!$B$5:$C$31,2,)</f>
        <v>129152.29600000003</v>
      </c>
      <c r="AJ29" s="343">
        <f>VLOOKUP($A$7:$A$33,NOV!$B$5:$D$31,3,)</f>
        <v>61135.463999999993</v>
      </c>
      <c r="AK29" s="343">
        <f>VLOOKUP($A$7:$A$33,DEZ!$B$5:$C$31,2,)</f>
        <v>178814.13600000003</v>
      </c>
      <c r="AL29" s="343">
        <f>VLOOKUP($A$7:$A$33,DEZ!$B$5:$D$31,3,)</f>
        <v>97773.655999999988</v>
      </c>
      <c r="AM29" s="343">
        <f t="shared" si="4"/>
        <v>4937427.1040000003</v>
      </c>
      <c r="AN29" s="342">
        <f t="shared" si="5"/>
        <v>123.65872176388595</v>
      </c>
      <c r="AO29" s="342">
        <f t="shared" si="6"/>
        <v>6.9163612817762603</v>
      </c>
      <c r="AP29" s="315">
        <f t="shared" si="7"/>
        <v>4267765.24</v>
      </c>
      <c r="AQ29" s="341">
        <f t="shared" si="8"/>
        <v>3784705.8800000008</v>
      </c>
      <c r="AR29" s="341">
        <f t="shared" si="9"/>
        <v>876133.43200000003</v>
      </c>
      <c r="AS29" s="340">
        <f t="shared" si="10"/>
        <v>1.1720610874799868</v>
      </c>
      <c r="AT29" s="340">
        <f t="shared" si="11"/>
        <v>1.147248652171764</v>
      </c>
      <c r="AU29" s="314">
        <f t="shared" si="12"/>
        <v>1.0688692374601261</v>
      </c>
      <c r="AV29" s="313">
        <f>'Comparativo YoY'!EB30</f>
        <v>2.9751272201450831</v>
      </c>
      <c r="AX29" s="1207">
        <f t="shared" si="13"/>
        <v>3963520.0160000008</v>
      </c>
      <c r="AY29" s="1207">
        <f t="shared" si="14"/>
        <v>973907.08799999999</v>
      </c>
      <c r="AZ29" s="1211" t="b">
        <f t="shared" si="15"/>
        <v>1</v>
      </c>
      <c r="BA29" s="1211"/>
      <c r="BB29" s="1211"/>
      <c r="BC29" s="1211"/>
    </row>
    <row r="30" spans="1:55" s="313" customFormat="1" ht="30" customHeight="1">
      <c r="A30" s="351" t="s">
        <v>110</v>
      </c>
      <c r="B30" s="350">
        <v>10227</v>
      </c>
      <c r="C30" s="350">
        <v>9897</v>
      </c>
      <c r="D30" s="350">
        <v>6731</v>
      </c>
      <c r="E30" s="349">
        <v>2429073.9160000002</v>
      </c>
      <c r="F30" s="349">
        <v>336083.68936591974</v>
      </c>
      <c r="G30" s="988">
        <f>VLOOKUP($A$7:$A$33,'PF - Gênero'!$A$32:$D$58,4,)</f>
        <v>10476</v>
      </c>
      <c r="H30" s="988">
        <f>VLOOKUP($A$7:$A$33,'Relatórios - SICCAU e IGEO'!$A$3:$B$29,2,)</f>
        <v>156</v>
      </c>
      <c r="I30" s="988">
        <f t="shared" si="0"/>
        <v>10320</v>
      </c>
      <c r="J30" s="988">
        <v>7796</v>
      </c>
      <c r="K30" s="988">
        <v>4825</v>
      </c>
      <c r="L30" s="988">
        <f t="shared" si="1"/>
        <v>2971</v>
      </c>
      <c r="M30" s="348">
        <f t="shared" si="2"/>
        <v>75.542635658914719</v>
      </c>
      <c r="N30" s="347">
        <f t="shared" si="3"/>
        <v>5.8173026698703119</v>
      </c>
      <c r="O30" s="346">
        <f>VLOOKUP($A$7:$A$33,JAN!$R$5:$T$31,2,)</f>
        <v>499567.94400000008</v>
      </c>
      <c r="P30" s="346">
        <f>VLOOKUP($A$7:$A$33,JAN!$R$5:$T$31,3,)</f>
        <v>56408.32</v>
      </c>
      <c r="Q30" s="346">
        <f>VLOOKUP($A$7:$A$33,FEV!$R$5:$T$31,2,)</f>
        <v>592718.48</v>
      </c>
      <c r="R30" s="346">
        <f>VLOOKUP($A$7:$A$33,FEV!$R$5:$T$31,3,)</f>
        <v>50157.872000000003</v>
      </c>
      <c r="S30" s="346">
        <f>VLOOKUP($A$7:$A$33,MAR!$R$5:$AI$31,18,)</f>
        <v>282166.728</v>
      </c>
      <c r="T30" s="346">
        <f>VLOOKUP($A$7:$A$33,MAR!$R$5:$AJ$31,19,)</f>
        <v>36179.112000000001</v>
      </c>
      <c r="U30" s="345">
        <f>VLOOKUP($A$7:$A$33,ABR!$R$5:$S$31,2,)</f>
        <v>138726.52800000002</v>
      </c>
      <c r="V30" s="345">
        <f>VLOOKUP($A$7:$A$33,ABR!$R$5:$T$31,3,)</f>
        <v>19525.808000000001</v>
      </c>
      <c r="W30" s="345">
        <f>VLOOKUP($A$7:$A$33,MAI!$B$5:$D$31,2,)</f>
        <v>118827.63200000001</v>
      </c>
      <c r="X30" s="345">
        <f>VLOOKUP($A$7:$A$33,MAI!$B$5:$D$31,3,)</f>
        <v>20184.176000000003</v>
      </c>
      <c r="Y30" s="345">
        <f>VLOOKUP($A$7:$A$33,JUN!$B$5:$D$31,2,)</f>
        <v>183298.66400000002</v>
      </c>
      <c r="Z30" s="345">
        <f>VLOOKUP($A$7:$A$33,JUN!$B$5:$D$31,3,)</f>
        <v>26316.216</v>
      </c>
      <c r="AA30" s="344">
        <f>VLOOKUP($A$7:$A$33,JUL!$B$5:$C$31,2,)</f>
        <v>241949.53599999999</v>
      </c>
      <c r="AB30" s="344">
        <f>VLOOKUP($A$7:$A$33,JUL!$B$5:$D$31,3,)</f>
        <v>36762.688000000038</v>
      </c>
      <c r="AC30" s="344">
        <f>VLOOKUP($A$7:$A$33,AGO!$B$5:$C$31,2,)</f>
        <v>297526.68</v>
      </c>
      <c r="AD30" s="344">
        <f>VLOOKUP($A$7:$A$33,AGO!$B$5:$D$31,3,)</f>
        <v>36805.032000000028</v>
      </c>
      <c r="AE30" s="344">
        <f>VLOOKUP($A$7:$A$33,SET!$B$5:$C$31,2,)</f>
        <v>93282.816000000006</v>
      </c>
      <c r="AF30" s="344">
        <f>VLOOKUP($A$7:$A$33,SET!$B$5:$D$31,3,)</f>
        <v>40565.167999999983</v>
      </c>
      <c r="AG30" s="344">
        <f>VLOOKUP($A$7:$A$33,OUT!$B$5:$C$31,2,)</f>
        <v>35460.752</v>
      </c>
      <c r="AH30" s="344">
        <f>VLOOKUP($A$7:$A$33,OUT!$B$5:$D$31,3,)</f>
        <v>84830.52</v>
      </c>
      <c r="AI30" s="343">
        <f>VLOOKUP($A$7:$A$33,NOV!$B$5:$C$31,2,)</f>
        <v>65740.432000000015</v>
      </c>
      <c r="AJ30" s="343">
        <f>VLOOKUP($A$7:$A$33,NOV!$B$5:$D$31,3,)</f>
        <v>34924.752</v>
      </c>
      <c r="AK30" s="343">
        <f>VLOOKUP($A$7:$A$33,DEZ!$B$5:$C$31,2,)</f>
        <v>65009.616000000009</v>
      </c>
      <c r="AL30" s="343">
        <f>VLOOKUP($A$7:$A$33,DEZ!$B$5:$D$31,3,)</f>
        <v>41731.792000000009</v>
      </c>
      <c r="AM30" s="343">
        <f t="shared" si="4"/>
        <v>3098667.264</v>
      </c>
      <c r="AN30" s="342">
        <f t="shared" si="5"/>
        <v>112.06114465182341</v>
      </c>
      <c r="AO30" s="342">
        <f t="shared" si="6"/>
        <v>4.3406215096268843</v>
      </c>
      <c r="AP30" s="315">
        <f t="shared" si="7"/>
        <v>2770969.4000000004</v>
      </c>
      <c r="AQ30" s="341">
        <f t="shared" si="8"/>
        <v>2549266.1920000003</v>
      </c>
      <c r="AR30" s="341">
        <f t="shared" si="9"/>
        <v>442659.66400000005</v>
      </c>
      <c r="AS30" s="340">
        <f t="shared" si="10"/>
        <v>1.0494806992937962</v>
      </c>
      <c r="AT30" s="340">
        <f t="shared" si="11"/>
        <v>1.3171114160141315</v>
      </c>
      <c r="AU30" s="314">
        <f t="shared" si="12"/>
        <v>1.0021017950741045</v>
      </c>
      <c r="AV30" s="313">
        <f>'Comparativo YoY'!EB31</f>
        <v>10.4843714253184</v>
      </c>
      <c r="AX30" s="1207">
        <f t="shared" si="13"/>
        <v>2614275.8080000002</v>
      </c>
      <c r="AY30" s="1207">
        <f t="shared" si="14"/>
        <v>484391.45600000006</v>
      </c>
      <c r="AZ30" s="1211" t="b">
        <f t="shared" si="15"/>
        <v>1</v>
      </c>
      <c r="BA30" s="1211"/>
      <c r="BB30" s="1211"/>
      <c r="BC30" s="1211"/>
    </row>
    <row r="31" spans="1:55" s="313" customFormat="1" ht="30" customHeight="1">
      <c r="A31" s="351" t="s">
        <v>112</v>
      </c>
      <c r="B31" s="350">
        <v>1381</v>
      </c>
      <c r="C31" s="350">
        <v>1344</v>
      </c>
      <c r="D31" s="350">
        <v>736</v>
      </c>
      <c r="E31" s="349">
        <v>249818.4</v>
      </c>
      <c r="F31" s="349">
        <v>41425.74</v>
      </c>
      <c r="G31" s="988">
        <f>VLOOKUP($A$7:$A$33,'PF - Gênero'!$A$32:$D$58,4,)</f>
        <v>1444</v>
      </c>
      <c r="H31" s="988">
        <f>VLOOKUP($A$7:$A$33,'Relatórios - SICCAU e IGEO'!$A$3:$B$29,2,)</f>
        <v>24</v>
      </c>
      <c r="I31" s="988">
        <f t="shared" si="0"/>
        <v>1420</v>
      </c>
      <c r="J31" s="988">
        <v>1014</v>
      </c>
      <c r="K31" s="988">
        <v>617</v>
      </c>
      <c r="L31" s="988">
        <f t="shared" si="1"/>
        <v>397</v>
      </c>
      <c r="M31" s="348">
        <f t="shared" si="2"/>
        <v>71.408450704225359</v>
      </c>
      <c r="N31" s="347">
        <f t="shared" si="3"/>
        <v>0.75663736624531763</v>
      </c>
      <c r="O31" s="346">
        <f>VLOOKUP($A$7:$A$33,JAN!$R$5:$T$31,2,)</f>
        <v>53316.256000000008</v>
      </c>
      <c r="P31" s="346">
        <f>VLOOKUP($A$7:$A$33,JAN!$R$5:$T$31,3,)</f>
        <v>10739.464</v>
      </c>
      <c r="Q31" s="346">
        <f>VLOOKUP($A$7:$A$33,FEV!$R$5:$T$31,2,)</f>
        <v>51482.008000000002</v>
      </c>
      <c r="R31" s="346">
        <f>VLOOKUP($A$7:$A$33,FEV!$R$5:$T$31,3,)</f>
        <v>10287.496000000001</v>
      </c>
      <c r="S31" s="346">
        <f>VLOOKUP($A$7:$A$33,MAR!$R$5:$AI$31,18,)</f>
        <v>33554.768000000004</v>
      </c>
      <c r="T31" s="346">
        <f>VLOOKUP($A$7:$A$33,MAR!$R$5:$AJ$31,19,)</f>
        <v>7317.3600000000006</v>
      </c>
      <c r="U31" s="345">
        <f>VLOOKUP($A$7:$A$33,ABR!$R$5:$S$31,2,)</f>
        <v>17529.223999999998</v>
      </c>
      <c r="V31" s="345">
        <f>VLOOKUP($A$7:$A$33,ABR!$R$5:$T$31,3,)</f>
        <v>4609.6160000000009</v>
      </c>
      <c r="W31" s="345">
        <f>VLOOKUP($A$7:$A$33,MAI!$B$5:$D$31,2,)</f>
        <v>13182.032000000001</v>
      </c>
      <c r="X31" s="345">
        <f>VLOOKUP($A$7:$A$33,MAI!$B$5:$D$31,3,)</f>
        <v>4824.8480000000009</v>
      </c>
      <c r="Y31" s="345">
        <f>VLOOKUP($A$7:$A$33,JUN!$B$5:$D$31,2,)</f>
        <v>24239.119999999999</v>
      </c>
      <c r="Z31" s="345">
        <f>VLOOKUP($A$7:$A$33,JUN!$B$5:$D$31,3,)</f>
        <v>10043.416000000001</v>
      </c>
      <c r="AA31" s="344">
        <f>VLOOKUP($A$7:$A$33,JUL!$B$5:$C$31,2,)</f>
        <v>47235</v>
      </c>
      <c r="AB31" s="344">
        <f>VLOOKUP($A$7:$A$33,JUL!$B$5:$D$31,3,)</f>
        <v>13197.463999999991</v>
      </c>
      <c r="AC31" s="344">
        <f>VLOOKUP($A$7:$A$33,AGO!$B$5:$C$31,2,)</f>
        <v>41985.216</v>
      </c>
      <c r="AD31" s="344">
        <f>VLOOKUP($A$7:$A$33,AGO!$B$5:$D$31,3,)</f>
        <v>14934.256000000001</v>
      </c>
      <c r="AE31" s="344">
        <f>VLOOKUP($A$7:$A$33,SET!$B$5:$C$31,2,)</f>
        <v>17703.135999999999</v>
      </c>
      <c r="AF31" s="344">
        <f>VLOOKUP($A$7:$A$33,SET!$B$5:$D$31,3,)</f>
        <v>11504.744000000001</v>
      </c>
      <c r="AG31" s="344">
        <f>VLOOKUP($A$7:$A$33,OUT!$B$5:$C$31,2,)</f>
        <v>7342.4000000000005</v>
      </c>
      <c r="AH31" s="344">
        <f>VLOOKUP($A$7:$A$33,OUT!$B$5:$D$31,3,)</f>
        <v>18527.680000000004</v>
      </c>
      <c r="AI31" s="343">
        <f>VLOOKUP($A$7:$A$33,NOV!$B$5:$C$31,2,)</f>
        <v>11989.376000000004</v>
      </c>
      <c r="AJ31" s="343">
        <f>VLOOKUP($A$7:$A$33,NOV!$B$5:$D$31,3,)</f>
        <v>11807.264000000001</v>
      </c>
      <c r="AK31" s="343">
        <f>VLOOKUP($A$7:$A$33,DEZ!$B$5:$C$31,2,)</f>
        <v>9627.0240000000013</v>
      </c>
      <c r="AL31" s="343">
        <f>VLOOKUP($A$7:$A$33,DEZ!$B$5:$D$31,3,)</f>
        <v>11711.776</v>
      </c>
      <c r="AM31" s="343">
        <f t="shared" si="4"/>
        <v>458690.94400000002</v>
      </c>
      <c r="AN31" s="342">
        <f t="shared" si="5"/>
        <v>157.49362167424209</v>
      </c>
      <c r="AO31" s="342">
        <f t="shared" si="6"/>
        <v>0.64253551871436454</v>
      </c>
      <c r="AP31" s="315">
        <f t="shared" si="7"/>
        <v>387685.424</v>
      </c>
      <c r="AQ31" s="341">
        <f t="shared" si="8"/>
        <v>319558.53600000002</v>
      </c>
      <c r="AR31" s="341">
        <f t="shared" si="9"/>
        <v>117793.60799999999</v>
      </c>
      <c r="AS31" s="340">
        <f t="shared" si="10"/>
        <v>1.2791633282416348</v>
      </c>
      <c r="AT31" s="340">
        <f t="shared" si="11"/>
        <v>2.8434883239261386</v>
      </c>
      <c r="AU31" s="314">
        <f t="shared" si="12"/>
        <v>1.3311355346068079</v>
      </c>
      <c r="AV31" s="313">
        <f>'Comparativo YoY'!EB32</f>
        <v>20.590454490551195</v>
      </c>
      <c r="AX31" s="1207">
        <f t="shared" si="13"/>
        <v>329185.56</v>
      </c>
      <c r="AY31" s="1207">
        <f t="shared" si="14"/>
        <v>129505.38399999999</v>
      </c>
      <c r="AZ31" s="1211" t="b">
        <f t="shared" si="15"/>
        <v>1</v>
      </c>
      <c r="BA31" s="1205"/>
      <c r="BB31" s="1211"/>
      <c r="BC31" s="1211"/>
    </row>
    <row r="32" spans="1:55" s="313" customFormat="1" ht="30" customHeight="1">
      <c r="A32" s="351" t="s">
        <v>111</v>
      </c>
      <c r="B32" s="350">
        <v>62511</v>
      </c>
      <c r="C32" s="350">
        <v>59157</v>
      </c>
      <c r="D32" s="350">
        <v>34882</v>
      </c>
      <c r="E32" s="349">
        <v>13929347.976</v>
      </c>
      <c r="F32" s="349">
        <v>2955102.1689929012</v>
      </c>
      <c r="G32" s="988">
        <f>VLOOKUP($A$7:$A$33,'PF - Gênero'!$A$32:$D$58,4,)</f>
        <v>61253</v>
      </c>
      <c r="H32" s="988">
        <f>VLOOKUP($A$7:$A$33,'Relatórios - SICCAU e IGEO'!$A$3:$B$29,2,)</f>
        <v>3042</v>
      </c>
      <c r="I32" s="988">
        <f t="shared" si="0"/>
        <v>58211</v>
      </c>
      <c r="J32" s="988">
        <v>42598</v>
      </c>
      <c r="K32" s="988">
        <v>26608</v>
      </c>
      <c r="L32" s="988">
        <f t="shared" si="1"/>
        <v>15990</v>
      </c>
      <c r="M32" s="348">
        <f t="shared" si="2"/>
        <v>73.178608853996664</v>
      </c>
      <c r="N32" s="347">
        <f t="shared" si="3"/>
        <v>31.786231289268287</v>
      </c>
      <c r="O32" s="346">
        <f>VLOOKUP($A$7:$A$33,JAN!$R$5:$T$31,2,)</f>
        <v>3419659.3920000005</v>
      </c>
      <c r="P32" s="346">
        <f>VLOOKUP($A$7:$A$33,JAN!$R$5:$T$31,3,)</f>
        <v>584707.04800000007</v>
      </c>
      <c r="Q32" s="346">
        <f>VLOOKUP($A$7:$A$33,FEV!$R$5:$T$31,2,)</f>
        <v>2968615.3440000005</v>
      </c>
      <c r="R32" s="346">
        <f>VLOOKUP($A$7:$A$33,FEV!$R$5:$T$31,3,)</f>
        <v>454471.14400000009</v>
      </c>
      <c r="S32" s="346">
        <f>VLOOKUP($A$7:$A$33,MAR!$R$5:$AI$31,18,)</f>
        <v>1570889.5520000001</v>
      </c>
      <c r="T32" s="346">
        <f>VLOOKUP($A$7:$A$33,MAR!$R$5:$AJ$31,19,)</f>
        <v>406613.31200000003</v>
      </c>
      <c r="U32" s="345">
        <f>VLOOKUP($A$7:$A$33,ABR!$R$5:$S$31,2,)</f>
        <v>719121.79200000002</v>
      </c>
      <c r="V32" s="345">
        <f>VLOOKUP($A$7:$A$33,ABR!$R$5:$T$31,3,)</f>
        <v>237978.12000000002</v>
      </c>
      <c r="W32" s="345">
        <f>VLOOKUP($A$7:$A$33,MAI!$B$5:$D$31,2,)</f>
        <v>603814.90399999998</v>
      </c>
      <c r="X32" s="345">
        <f>VLOOKUP($A$7:$A$33,MAI!$B$5:$D$31,3,)</f>
        <v>205530.61600000001</v>
      </c>
      <c r="Y32" s="345">
        <f>VLOOKUP($A$7:$A$33,JUN!$B$5:$D$31,2,)</f>
        <v>917268.54399999999</v>
      </c>
      <c r="Z32" s="345">
        <f>VLOOKUP($A$7:$A$33,JUN!$B$5:$D$31,3,)</f>
        <v>270693.24800000008</v>
      </c>
      <c r="AA32" s="344">
        <f>VLOOKUP($A$7:$A$33,JUL!$B$5:$C$31,2,)</f>
        <v>1305496.1359999999</v>
      </c>
      <c r="AB32" s="344">
        <f>VLOOKUP($A$7:$A$33,JUL!$B$5:$D$31,3,)</f>
        <v>345558.27199999988</v>
      </c>
      <c r="AC32" s="344">
        <f>VLOOKUP($A$7:$A$33,AGO!$B$5:$C$31,2,)</f>
        <v>1273103.0160000001</v>
      </c>
      <c r="AD32" s="344">
        <f>VLOOKUP($A$7:$A$33,AGO!$B$5:$D$31,3,)</f>
        <v>322951.96799999999</v>
      </c>
      <c r="AE32" s="344">
        <f>VLOOKUP($A$7:$A$33,SET!$B$5:$C$31,2,)</f>
        <v>522277.60000000003</v>
      </c>
      <c r="AF32" s="344">
        <f>VLOOKUP($A$7:$A$33,SET!$B$5:$D$31,3,)</f>
        <v>338472.88799999992</v>
      </c>
      <c r="AG32" s="344">
        <f>VLOOKUP($A$7:$A$33,OUT!$B$5:$C$31,2,)</f>
        <v>238277.96000000002</v>
      </c>
      <c r="AH32" s="344">
        <f>VLOOKUP($A$7:$A$33,OUT!$B$5:$D$31,3,)</f>
        <v>590811.31999999995</v>
      </c>
      <c r="AI32" s="343">
        <f>VLOOKUP($A$7:$A$33,NOV!$B$5:$C$31,2,)</f>
        <v>413061.50400000002</v>
      </c>
      <c r="AJ32" s="343">
        <f>VLOOKUP($A$7:$A$33,NOV!$B$5:$D$31,3,)</f>
        <v>266009.68</v>
      </c>
      <c r="AK32" s="343">
        <f>VLOOKUP($A$7:$A$33,DEZ!$B$5:$C$31,2,)</f>
        <v>395220.50400000002</v>
      </c>
      <c r="AL32" s="343">
        <f>VLOOKUP($A$7:$A$33,DEZ!$B$5:$D$31,3,)</f>
        <v>314550.08799999993</v>
      </c>
      <c r="AM32" s="343">
        <f t="shared" si="4"/>
        <v>18685153.952</v>
      </c>
      <c r="AN32" s="342">
        <f t="shared" si="5"/>
        <v>110.66486495884556</v>
      </c>
      <c r="AO32" s="342">
        <f t="shared" si="6"/>
        <v>26.174214345958568</v>
      </c>
      <c r="AP32" s="315">
        <f t="shared" si="7"/>
        <v>16467222.896</v>
      </c>
      <c r="AQ32" s="341">
        <f t="shared" si="8"/>
        <v>13951585.744000003</v>
      </c>
      <c r="AR32" s="341">
        <f t="shared" si="9"/>
        <v>4023797.6159999999</v>
      </c>
      <c r="AS32" s="340">
        <f t="shared" si="10"/>
        <v>1.001596468696045</v>
      </c>
      <c r="AT32" s="340">
        <f t="shared" si="11"/>
        <v>1.3616441618231123</v>
      </c>
      <c r="AU32" s="314">
        <f t="shared" si="12"/>
        <v>0.97528926050833631</v>
      </c>
      <c r="AV32" s="313">
        <f>'Comparativo YoY'!EB33</f>
        <v>0.95599755988583013</v>
      </c>
      <c r="AX32" s="1207">
        <f t="shared" si="13"/>
        <v>14346806.248000003</v>
      </c>
      <c r="AY32" s="1207">
        <f t="shared" si="14"/>
        <v>4338347.7039999999</v>
      </c>
      <c r="AZ32" s="1211" t="b">
        <f t="shared" si="15"/>
        <v>1</v>
      </c>
      <c r="BA32" s="1205"/>
      <c r="BB32" s="1211"/>
      <c r="BC32" s="1211"/>
    </row>
    <row r="33" spans="1:55" s="313" customFormat="1" ht="30" customHeight="1">
      <c r="A33" s="351" t="s">
        <v>113</v>
      </c>
      <c r="B33" s="350">
        <v>711</v>
      </c>
      <c r="C33" s="350">
        <v>694</v>
      </c>
      <c r="D33" s="350">
        <v>463</v>
      </c>
      <c r="E33" s="349">
        <v>153321.75</v>
      </c>
      <c r="F33" s="349">
        <v>49993.98</v>
      </c>
      <c r="G33" s="988">
        <f>VLOOKUP($A$7:$A$33,'PF - Gênero'!$A$32:$D$58,4,)</f>
        <v>751</v>
      </c>
      <c r="H33" s="988">
        <f>VLOOKUP($A$7:$A$33,'Relatórios - SICCAU e IGEO'!$A$3:$B$29,2,)</f>
        <v>11</v>
      </c>
      <c r="I33" s="988">
        <f t="shared" si="0"/>
        <v>740</v>
      </c>
      <c r="J33" s="988">
        <v>542</v>
      </c>
      <c r="K33" s="988">
        <v>277</v>
      </c>
      <c r="L33" s="988">
        <f t="shared" si="1"/>
        <v>265</v>
      </c>
      <c r="M33" s="348">
        <f t="shared" si="2"/>
        <v>73.243243243243242</v>
      </c>
      <c r="N33" s="347">
        <f t="shared" si="3"/>
        <v>0.40443535749996268</v>
      </c>
      <c r="O33" s="346">
        <f>VLOOKUP($A$7:$A$33,JAN!$R$5:$T$31,2,)</f>
        <v>17624.168000000001</v>
      </c>
      <c r="P33" s="346">
        <f>VLOOKUP($A$7:$A$33,JAN!$R$5:$T$31,3,)</f>
        <v>5320.0240000000003</v>
      </c>
      <c r="Q33" s="346">
        <f>VLOOKUP($A$7:$A$33,FEV!$R$5:$T$31,2,)</f>
        <v>25512.432000000001</v>
      </c>
      <c r="R33" s="346">
        <f>VLOOKUP($A$7:$A$33,FEV!$R$5:$T$31,3,)</f>
        <v>7799.44</v>
      </c>
      <c r="S33" s="346">
        <f>VLOOKUP($A$7:$A$33,MAR!$R$5:$AI$31,18,)</f>
        <v>21991.896000000001</v>
      </c>
      <c r="T33" s="346">
        <f>VLOOKUP($A$7:$A$33,MAR!$R$5:$AJ$31,19,)</f>
        <v>8371.5120000000006</v>
      </c>
      <c r="U33" s="345">
        <f>VLOOKUP($A$7:$A$33,ABR!$R$5:$S$31,2,)</f>
        <v>5583.9279999999999</v>
      </c>
      <c r="V33" s="345">
        <f>VLOOKUP($A$7:$A$33,ABR!$R$5:$T$31,3,)</f>
        <v>5174.84</v>
      </c>
      <c r="W33" s="345">
        <f>VLOOKUP($A$7:$A$33,MAI!$B$5:$D$31,2,)</f>
        <v>7324.2080000000005</v>
      </c>
      <c r="X33" s="345">
        <f>VLOOKUP($A$7:$A$33,MAI!$B$5:$D$31,3,)</f>
        <v>9993.384</v>
      </c>
      <c r="Y33" s="345">
        <f>VLOOKUP($A$7:$A$33,JUN!$B$5:$D$31,2,)</f>
        <v>13765.832000000002</v>
      </c>
      <c r="Z33" s="345">
        <f>VLOOKUP($A$7:$A$33,JUN!$B$5:$D$31,3,)</f>
        <v>6381.8559999999998</v>
      </c>
      <c r="AA33" s="344">
        <f>VLOOKUP($A$7:$A$33,JUL!$B$5:$C$31,2,)</f>
        <v>23388.392000000003</v>
      </c>
      <c r="AB33" s="344">
        <f>VLOOKUP($A$7:$A$33,JUL!$B$5:$D$31,3,)</f>
        <v>4700.855999999997</v>
      </c>
      <c r="AC33" s="344">
        <f>VLOOKUP($A$7:$A$33,AGO!$B$5:$C$31,2,)</f>
        <v>31956.304</v>
      </c>
      <c r="AD33" s="344">
        <f>VLOOKUP($A$7:$A$33,AGO!$B$5:$D$31,3,)</f>
        <v>5635.2960000000021</v>
      </c>
      <c r="AE33" s="344">
        <f>VLOOKUP($A$7:$A$33,SET!$B$5:$C$31,2,)</f>
        <v>7306.4720000000007</v>
      </c>
      <c r="AF33" s="344">
        <f>VLOOKUP($A$7:$A$33,SET!$B$5:$D$31,3,)</f>
        <v>3393.2880000000005</v>
      </c>
      <c r="AG33" s="344">
        <f>VLOOKUP($A$7:$A$33,OUT!$B$5:$C$31,2,)</f>
        <v>2901.56</v>
      </c>
      <c r="AH33" s="344">
        <f>VLOOKUP($A$7:$A$33,OUT!$B$5:$D$31,3,)</f>
        <v>10021.016000000001</v>
      </c>
      <c r="AI33" s="343">
        <f>VLOOKUP($A$7:$A$33,NOV!$B$5:$C$31,2,)</f>
        <v>5029.0720000000001</v>
      </c>
      <c r="AJ33" s="343">
        <f>VLOOKUP($A$7:$A$33,NOV!$B$5:$D$31,3,)</f>
        <v>2433.5920000000001</v>
      </c>
      <c r="AK33" s="343">
        <f>VLOOKUP($A$7:$A$33,DEZ!$B$5:$C$31,2,)</f>
        <v>8374.9279999999999</v>
      </c>
      <c r="AL33" s="343">
        <f>VLOOKUP($A$7:$A$33,DEZ!$B$5:$D$31,3,)</f>
        <v>2305.9839999999999</v>
      </c>
      <c r="AM33" s="343">
        <f t="shared" si="4"/>
        <v>242290.28000000003</v>
      </c>
      <c r="AN33" s="342">
        <f t="shared" si="5"/>
        <v>119.16947104879686</v>
      </c>
      <c r="AO33" s="342">
        <f t="shared" si="6"/>
        <v>0.33940088152088882</v>
      </c>
      <c r="AP33" s="315">
        <f t="shared" si="7"/>
        <v>211224.12800000003</v>
      </c>
      <c r="AQ33" s="341">
        <f t="shared" si="8"/>
        <v>162384.26400000002</v>
      </c>
      <c r="AR33" s="341">
        <f t="shared" si="9"/>
        <v>69225.104000000007</v>
      </c>
      <c r="AS33" s="340">
        <f t="shared" si="10"/>
        <v>1.0591078173840307</v>
      </c>
      <c r="AT33" s="340">
        <f t="shared" si="11"/>
        <v>1.3846687941228124</v>
      </c>
      <c r="AU33" s="314">
        <f t="shared" si="12"/>
        <v>1.0388971281267809</v>
      </c>
      <c r="AV33" s="313">
        <f>'Comparativo YoY'!EB34</f>
        <v>-3.7620376555526605</v>
      </c>
      <c r="AX33" s="1207">
        <f t="shared" si="13"/>
        <v>170759.19200000004</v>
      </c>
      <c r="AY33" s="1207">
        <f t="shared" si="14"/>
        <v>71531.088000000003</v>
      </c>
      <c r="AZ33" s="1211" t="b">
        <f t="shared" si="15"/>
        <v>1</v>
      </c>
      <c r="BA33" s="1208"/>
      <c r="BB33" s="1211"/>
      <c r="BC33" s="1211"/>
    </row>
    <row r="34" spans="1:55" s="323" customFormat="1" ht="57">
      <c r="A34" s="339" t="s">
        <v>491</v>
      </c>
      <c r="B34" s="330">
        <f t="shared" ref="B34:L34" si="16">SUM(B7:B33)</f>
        <v>190756</v>
      </c>
      <c r="C34" s="330">
        <f t="shared" si="16"/>
        <v>179775</v>
      </c>
      <c r="D34" s="330">
        <f t="shared" si="16"/>
        <v>107519</v>
      </c>
      <c r="E34" s="329">
        <f>SUM(E7:E33)</f>
        <v>40232030.678000003</v>
      </c>
      <c r="F34" s="329">
        <f t="shared" si="16"/>
        <v>9581237.4213588219</v>
      </c>
      <c r="G34" s="338">
        <f t="shared" si="16"/>
        <v>193090</v>
      </c>
      <c r="H34" s="338">
        <f t="shared" si="16"/>
        <v>9153</v>
      </c>
      <c r="I34" s="338">
        <f t="shared" si="16"/>
        <v>183937</v>
      </c>
      <c r="J34" s="338">
        <f t="shared" si="16"/>
        <v>134014</v>
      </c>
      <c r="K34" s="338">
        <f t="shared" si="16"/>
        <v>83258</v>
      </c>
      <c r="L34" s="338">
        <f t="shared" si="16"/>
        <v>50756</v>
      </c>
      <c r="M34" s="327">
        <f t="shared" si="2"/>
        <v>72.858641817578842</v>
      </c>
      <c r="N34" s="337">
        <f t="shared" si="3"/>
        <v>100</v>
      </c>
      <c r="O34" s="276">
        <f t="shared" ref="O34:AM34" si="17">SUM(O7:O33)</f>
        <v>9402314.0800000019</v>
      </c>
      <c r="P34" s="276">
        <f t="shared" si="17"/>
        <v>1786281.2160000002</v>
      </c>
      <c r="Q34" s="276">
        <f t="shared" si="17"/>
        <v>8791955.4480000027</v>
      </c>
      <c r="R34" s="276">
        <f t="shared" si="17"/>
        <v>1381099.8960000002</v>
      </c>
      <c r="S34" s="276">
        <f t="shared" si="17"/>
        <v>4750009.7120000003</v>
      </c>
      <c r="T34" s="276">
        <f t="shared" si="17"/>
        <v>1272599.9920000001</v>
      </c>
      <c r="U34" s="276">
        <f t="shared" si="17"/>
        <v>2077934.8</v>
      </c>
      <c r="V34" s="276">
        <f t="shared" si="17"/>
        <v>741900.79999999993</v>
      </c>
      <c r="W34" s="276">
        <f t="shared" si="17"/>
        <v>1821239.568</v>
      </c>
      <c r="X34" s="276">
        <f t="shared" si="17"/>
        <v>657131.06400000001</v>
      </c>
      <c r="Y34" s="276">
        <f t="shared" si="17"/>
        <v>2814777.7600000002</v>
      </c>
      <c r="Z34" s="276">
        <f t="shared" si="17"/>
        <v>843723.38400000019</v>
      </c>
      <c r="AA34" s="276">
        <f t="shared" si="17"/>
        <v>4311908.7439999999</v>
      </c>
      <c r="AB34" s="276">
        <f t="shared" si="17"/>
        <v>983062.47199999983</v>
      </c>
      <c r="AC34" s="276">
        <f t="shared" si="17"/>
        <v>4594825.5360000003</v>
      </c>
      <c r="AD34" s="276">
        <f t="shared" si="17"/>
        <v>997399.57600000023</v>
      </c>
      <c r="AE34" s="276">
        <f t="shared" si="17"/>
        <v>1827116.6720000003</v>
      </c>
      <c r="AF34" s="276">
        <f t="shared" si="17"/>
        <v>995147.74399999972</v>
      </c>
      <c r="AG34" s="276">
        <f t="shared" si="17"/>
        <v>768935.85600000015</v>
      </c>
      <c r="AH34" s="276">
        <f t="shared" si="17"/>
        <v>1820000.6879999998</v>
      </c>
      <c r="AI34" s="276">
        <f t="shared" si="17"/>
        <v>1319538.4800000002</v>
      </c>
      <c r="AJ34" s="276">
        <f t="shared" si="17"/>
        <v>819956.0399999998</v>
      </c>
      <c r="AK34" s="276">
        <f t="shared" si="17"/>
        <v>1377468.6400000004</v>
      </c>
      <c r="AL34" s="276">
        <f t="shared" si="17"/>
        <v>953783.96000000008</v>
      </c>
      <c r="AM34" s="325">
        <f t="shared" si="17"/>
        <v>57110112.127999999</v>
      </c>
      <c r="AN34" s="324">
        <f t="shared" si="5"/>
        <v>114.64839450823965</v>
      </c>
      <c r="AO34" s="324">
        <f t="shared" si="6"/>
        <v>80</v>
      </c>
      <c r="AP34" s="315">
        <f t="shared" si="7"/>
        <v>50050428.464000009</v>
      </c>
      <c r="AQ34" s="341">
        <f t="shared" si="8"/>
        <v>42480556.656000003</v>
      </c>
      <c r="AR34" s="341">
        <f t="shared" si="9"/>
        <v>12298302.871999998</v>
      </c>
      <c r="AS34" s="314">
        <f t="shared" si="10"/>
        <v>1.0558889506720712</v>
      </c>
      <c r="AT34" s="314">
        <f t="shared" si="11"/>
        <v>1.2835818935646246</v>
      </c>
      <c r="AU34" s="314">
        <f t="shared" si="12"/>
        <v>1.0047609878590607</v>
      </c>
      <c r="AV34" s="313">
        <f>'Comparativo YoY'!EB35</f>
        <v>5.6990483959230289</v>
      </c>
      <c r="AX34" s="1207">
        <f t="shared" si="13"/>
        <v>43858025.296000004</v>
      </c>
      <c r="AY34" s="1207">
        <f t="shared" si="14"/>
        <v>13252086.831999999</v>
      </c>
      <c r="AZ34" s="1211" t="b">
        <f t="shared" si="15"/>
        <v>1</v>
      </c>
      <c r="BA34" s="1205"/>
      <c r="BB34" s="1205"/>
      <c r="BC34" s="1205"/>
    </row>
    <row r="35" spans="1:55" s="323" customFormat="1" ht="28.5">
      <c r="A35" s="331" t="s">
        <v>181</v>
      </c>
      <c r="B35" s="336"/>
      <c r="C35" s="336"/>
      <c r="D35" s="336"/>
      <c r="E35" s="335">
        <v>9890494.6805000007</v>
      </c>
      <c r="F35" s="335">
        <v>2283777.2526982254</v>
      </c>
      <c r="G35" s="334"/>
      <c r="H35" s="334"/>
      <c r="I35" s="334"/>
      <c r="J35" s="333"/>
      <c r="K35" s="333"/>
      <c r="L35" s="333"/>
      <c r="M35" s="327"/>
      <c r="N35" s="326"/>
      <c r="O35" s="332">
        <f>JAN!S67</f>
        <v>2350578.52</v>
      </c>
      <c r="P35" s="332">
        <f>JAN!T67</f>
        <v>446570.304</v>
      </c>
      <c r="Q35" s="332">
        <f>FEV!S67</f>
        <v>2197988.8620000002</v>
      </c>
      <c r="R35" s="332">
        <f>FEV!T67</f>
        <v>345274.97400000005</v>
      </c>
      <c r="S35" s="332">
        <f>MAR!$AI$67</f>
        <v>1187502.4280000001</v>
      </c>
      <c r="T35" s="332">
        <f>MAR!$AJ$67</f>
        <v>318149.99800000008</v>
      </c>
      <c r="U35" s="332">
        <f>ABR!S67</f>
        <v>519483.7</v>
      </c>
      <c r="V35" s="332">
        <f>ABR!T67</f>
        <v>185475.19999999998</v>
      </c>
      <c r="W35" s="332">
        <f>MAI!C67</f>
        <v>455309.89200000005</v>
      </c>
      <c r="X35" s="332">
        <f>MAI!D67</f>
        <v>164282.76599999997</v>
      </c>
      <c r="Y35" s="332">
        <f>JUN!C67</f>
        <v>703694.44000000006</v>
      </c>
      <c r="Z35" s="332">
        <f>JUN!D67</f>
        <v>210930.84600000005</v>
      </c>
      <c r="AA35" s="332">
        <f>JUL!C67</f>
        <v>1077977.186</v>
      </c>
      <c r="AB35" s="332">
        <f>JUL!D67</f>
        <v>245765.61799999996</v>
      </c>
      <c r="AC35" s="332">
        <f>AGO!C67</f>
        <v>1148706.3840000001</v>
      </c>
      <c r="AD35" s="332">
        <f>AGO!D67</f>
        <v>249349.89400000003</v>
      </c>
      <c r="AE35" s="332">
        <f>SET!C67</f>
        <v>456779.16800000006</v>
      </c>
      <c r="AF35" s="332">
        <f>SET!D67</f>
        <v>248786.93599999993</v>
      </c>
      <c r="AG35" s="332">
        <f>OUT!C67</f>
        <v>192233.96400000004</v>
      </c>
      <c r="AH35" s="332">
        <f>OUT!D67</f>
        <v>455000.17200000002</v>
      </c>
      <c r="AI35" s="332">
        <f>NOV!C67</f>
        <v>329884.62</v>
      </c>
      <c r="AJ35" s="332">
        <f>NOV!D67</f>
        <v>204989.00999999995</v>
      </c>
      <c r="AK35" s="332">
        <f>DEZ!C67</f>
        <v>344367.16000000009</v>
      </c>
      <c r="AL35" s="332">
        <f>DEZ!D67</f>
        <v>238445.99</v>
      </c>
      <c r="AM35" s="325">
        <f>SUM(O35:AL35)</f>
        <v>14277528.032000002</v>
      </c>
      <c r="AN35" s="324">
        <f t="shared" si="5"/>
        <v>117.27623721847687</v>
      </c>
      <c r="AO35" s="324">
        <f t="shared" si="6"/>
        <v>20.000000000000004</v>
      </c>
      <c r="AP35" s="315">
        <f t="shared" si="7"/>
        <v>12512607.116000002</v>
      </c>
      <c r="AQ35" s="341">
        <f t="shared" si="8"/>
        <v>10620139.163999999</v>
      </c>
      <c r="AR35" s="341">
        <f t="shared" si="9"/>
        <v>3074575.7179999994</v>
      </c>
      <c r="AS35" s="314">
        <f t="shared" si="10"/>
        <v>1.073772294214824</v>
      </c>
      <c r="AT35" s="314">
        <f t="shared" si="11"/>
        <v>1.3462677738678173</v>
      </c>
      <c r="AU35" s="314">
        <f t="shared" si="12"/>
        <v>1.0277909993023209</v>
      </c>
      <c r="AV35" s="313">
        <f>'Comparativo YoY'!EB36</f>
        <v>5.7113706261932009</v>
      </c>
      <c r="AX35" s="1207">
        <f t="shared" si="13"/>
        <v>10964506.323999999</v>
      </c>
      <c r="AY35" s="1207">
        <f t="shared" si="14"/>
        <v>3313021.7079999996</v>
      </c>
      <c r="AZ35" s="1211" t="b">
        <f t="shared" si="15"/>
        <v>1</v>
      </c>
      <c r="BA35" s="1205"/>
      <c r="BB35" s="1205"/>
      <c r="BC35" s="1205"/>
    </row>
    <row r="36" spans="1:55" s="323" customFormat="1" ht="28.5">
      <c r="A36" s="331" t="s">
        <v>128</v>
      </c>
      <c r="B36" s="330">
        <f>SUM(B34:B35)</f>
        <v>190756</v>
      </c>
      <c r="C36" s="330">
        <f>SUM(C34:C35)</f>
        <v>179775</v>
      </c>
      <c r="D36" s="330">
        <f>D34</f>
        <v>107519</v>
      </c>
      <c r="E36" s="329">
        <f>E34+E35</f>
        <v>50122525.358500004</v>
      </c>
      <c r="F36" s="329">
        <f>F34+F35</f>
        <v>11865014.674057048</v>
      </c>
      <c r="G36" s="328">
        <f t="shared" ref="G36:L36" si="18">SUM(G34:G35)</f>
        <v>193090</v>
      </c>
      <c r="H36" s="328">
        <f t="shared" si="18"/>
        <v>9153</v>
      </c>
      <c r="I36" s="328">
        <f t="shared" si="18"/>
        <v>183937</v>
      </c>
      <c r="J36" s="328">
        <f t="shared" si="18"/>
        <v>134014</v>
      </c>
      <c r="K36" s="328">
        <f t="shared" si="18"/>
        <v>83258</v>
      </c>
      <c r="L36" s="328">
        <f t="shared" si="18"/>
        <v>50756</v>
      </c>
      <c r="M36" s="327">
        <f>J36/I36*100</f>
        <v>72.858641817578842</v>
      </c>
      <c r="N36" s="326">
        <f>J36/$J$34*100</f>
        <v>100</v>
      </c>
      <c r="O36" s="276">
        <f t="shared" ref="O36:AM36" si="19">O34+O35</f>
        <v>11752892.600000001</v>
      </c>
      <c r="P36" s="276">
        <f t="shared" si="19"/>
        <v>2232851.5200000005</v>
      </c>
      <c r="Q36" s="276">
        <f t="shared" si="19"/>
        <v>10989944.310000002</v>
      </c>
      <c r="R36" s="276">
        <f t="shared" si="19"/>
        <v>1726374.87</v>
      </c>
      <c r="S36" s="276">
        <f t="shared" si="19"/>
        <v>5937512.1400000006</v>
      </c>
      <c r="T36" s="276">
        <f t="shared" si="19"/>
        <v>1590749.9900000002</v>
      </c>
      <c r="U36" s="276">
        <f t="shared" si="19"/>
        <v>2597418.5</v>
      </c>
      <c r="V36" s="276">
        <f t="shared" si="19"/>
        <v>927375.99999999988</v>
      </c>
      <c r="W36" s="276">
        <f t="shared" si="19"/>
        <v>2276549.46</v>
      </c>
      <c r="X36" s="276">
        <f t="shared" si="19"/>
        <v>821413.83</v>
      </c>
      <c r="Y36" s="276">
        <f t="shared" si="19"/>
        <v>3518472.2</v>
      </c>
      <c r="Z36" s="276">
        <f t="shared" si="19"/>
        <v>1054654.2300000002</v>
      </c>
      <c r="AA36" s="276">
        <f t="shared" si="19"/>
        <v>5389885.9299999997</v>
      </c>
      <c r="AB36" s="276">
        <f t="shared" si="19"/>
        <v>1228828.0899999999</v>
      </c>
      <c r="AC36" s="276">
        <f t="shared" si="19"/>
        <v>5743531.9199999999</v>
      </c>
      <c r="AD36" s="276">
        <f t="shared" si="19"/>
        <v>1246749.4700000002</v>
      </c>
      <c r="AE36" s="276">
        <f t="shared" si="19"/>
        <v>2283895.8400000003</v>
      </c>
      <c r="AF36" s="276">
        <f t="shared" si="19"/>
        <v>1243934.6799999997</v>
      </c>
      <c r="AG36" s="276">
        <f t="shared" si="19"/>
        <v>961169.82000000018</v>
      </c>
      <c r="AH36" s="276">
        <f t="shared" si="19"/>
        <v>2275000.86</v>
      </c>
      <c r="AI36" s="276">
        <f t="shared" si="19"/>
        <v>1649423.1</v>
      </c>
      <c r="AJ36" s="276">
        <f t="shared" si="19"/>
        <v>1024945.0499999998</v>
      </c>
      <c r="AK36" s="276">
        <f t="shared" si="19"/>
        <v>1721835.8000000005</v>
      </c>
      <c r="AL36" s="276">
        <f t="shared" si="19"/>
        <v>1192229.9500000002</v>
      </c>
      <c r="AM36" s="325">
        <f t="shared" si="19"/>
        <v>71387640.159999996</v>
      </c>
      <c r="AN36" s="324">
        <f t="shared" si="5"/>
        <v>115.16449938569239</v>
      </c>
      <c r="AO36" s="324">
        <f t="shared" si="6"/>
        <v>100</v>
      </c>
      <c r="AP36" s="315">
        <f t="shared" si="7"/>
        <v>62563035.580000006</v>
      </c>
      <c r="AQ36" s="341">
        <f t="shared" si="8"/>
        <v>53100695.820000015</v>
      </c>
      <c r="AR36" s="341">
        <f t="shared" si="9"/>
        <v>15372878.59</v>
      </c>
      <c r="AS36" s="314">
        <f t="shared" si="10"/>
        <v>1.0594178054716663</v>
      </c>
      <c r="AT36" s="314">
        <f t="shared" si="11"/>
        <v>1.2956476677279569</v>
      </c>
      <c r="AU36" s="314">
        <f t="shared" si="12"/>
        <v>1.009284052039179</v>
      </c>
      <c r="AV36" s="313">
        <f>'Comparativo YoY'!EB37</f>
        <v>5.7015126121574724</v>
      </c>
      <c r="AX36" s="1207">
        <f t="shared" si="13"/>
        <v>54822531.620000012</v>
      </c>
      <c r="AY36" s="1207">
        <f t="shared" si="14"/>
        <v>16565108.539999999</v>
      </c>
      <c r="AZ36" s="1211" t="b">
        <f t="shared" si="15"/>
        <v>1</v>
      </c>
      <c r="BA36" s="1205"/>
      <c r="BB36" s="1205"/>
      <c r="BC36" s="1205"/>
    </row>
    <row r="37" spans="1:55" s="312" customFormat="1" ht="41.25" customHeight="1">
      <c r="A37" s="303"/>
      <c r="B37" s="319"/>
      <c r="C37" s="319"/>
      <c r="D37" s="319"/>
      <c r="E37" s="319"/>
      <c r="F37" s="319"/>
      <c r="G37" s="319">
        <f>'PF - Gênero'!D59</f>
        <v>193090</v>
      </c>
      <c r="H37" s="319">
        <f>'Relatórios - SICCAU e IGEO'!B30</f>
        <v>9153</v>
      </c>
      <c r="I37" s="322"/>
      <c r="J37" s="319">
        <v>134014</v>
      </c>
      <c r="K37" s="319">
        <v>83258</v>
      </c>
      <c r="L37" s="321"/>
      <c r="M37" s="321"/>
      <c r="N37" s="321"/>
      <c r="O37" s="319">
        <f>JAN!$S$102</f>
        <v>11752892.600000001</v>
      </c>
      <c r="P37" s="319">
        <f>JAN!$T$102</f>
        <v>2232851.5199999996</v>
      </c>
      <c r="Q37" s="319">
        <f>FEV!$S$102</f>
        <v>10989944.309999997</v>
      </c>
      <c r="R37" s="319">
        <f>FEV!$T$102</f>
        <v>1726374.8700000003</v>
      </c>
      <c r="S37" s="319">
        <f>MAR!$AI$102</f>
        <v>5937512.1400000006</v>
      </c>
      <c r="T37" s="319">
        <f>MAR!$AJ$102</f>
        <v>1590749.9899999998</v>
      </c>
      <c r="U37" s="319">
        <f>ABR!$S$102</f>
        <v>2597418.4999999995</v>
      </c>
      <c r="V37" s="319">
        <f>ABR!$T$102</f>
        <v>927376.00000000012</v>
      </c>
      <c r="W37" s="320">
        <f>MAI!$C$102</f>
        <v>2276549.46</v>
      </c>
      <c r="X37" s="320">
        <f>MAI!$D$102</f>
        <v>821413.83000000019</v>
      </c>
      <c r="Y37" s="320">
        <f>JUN!$C$102</f>
        <v>3518472.1999999988</v>
      </c>
      <c r="Z37" s="320">
        <f>JUN!$D$102</f>
        <v>1054654.23</v>
      </c>
      <c r="AA37" s="320">
        <f>JUL!C102</f>
        <v>5389885.9299999997</v>
      </c>
      <c r="AB37" s="320">
        <f>JUL!D102</f>
        <v>1228828.0899999999</v>
      </c>
      <c r="AC37" s="320">
        <f>AGO!C102</f>
        <v>5743531.919999999</v>
      </c>
      <c r="AD37" s="320">
        <f>AGO!D102</f>
        <v>1246749.4700000004</v>
      </c>
      <c r="AE37" s="320">
        <f>SET!C102</f>
        <v>2283895.84</v>
      </c>
      <c r="AF37" s="320">
        <f>SET!D102</f>
        <v>1243934.6799999997</v>
      </c>
      <c r="AG37" s="320">
        <f>OUT!C102</f>
        <v>961169.82000000007</v>
      </c>
      <c r="AH37" s="320">
        <f>OUT!D102</f>
        <v>2275000.8600000003</v>
      </c>
      <c r="AI37" s="320">
        <f>NOV!C102</f>
        <v>1649423.1</v>
      </c>
      <c r="AJ37" s="320">
        <f>NOV!D102</f>
        <v>1024945.05</v>
      </c>
      <c r="AK37" s="320">
        <f>DEZ!C102</f>
        <v>1721835.7999999998</v>
      </c>
      <c r="AL37" s="320">
        <f>DEZ!D102</f>
        <v>1192229.95</v>
      </c>
      <c r="AM37" s="319">
        <f>'ARRECADAÇÃO MENSAL POR RECEITA'!$B$17+'ARRECADAÇÃO MENSAL POR RECEITA'!$C$17</f>
        <v>71387640.159999996</v>
      </c>
      <c r="AP37" s="315">
        <f t="shared" si="7"/>
        <v>62563035.579999991</v>
      </c>
      <c r="AQ37" s="341">
        <f t="shared" si="8"/>
        <v>53100695.819999993</v>
      </c>
      <c r="AR37" s="341">
        <f t="shared" si="9"/>
        <v>15372878.59</v>
      </c>
      <c r="AS37" s="314">
        <f t="shared" si="10"/>
        <v>0</v>
      </c>
      <c r="AT37" s="315">
        <f t="shared" si="11"/>
        <v>0</v>
      </c>
      <c r="AU37" s="314">
        <f t="shared" si="12"/>
        <v>0</v>
      </c>
      <c r="AV37" s="313">
        <f>'Comparativo YoY'!EB38</f>
        <v>0</v>
      </c>
      <c r="AX37" s="1208"/>
      <c r="AY37" s="1208"/>
      <c r="AZ37" s="1208"/>
      <c r="BA37" s="1208"/>
      <c r="BB37" s="1208"/>
      <c r="BC37" s="1208"/>
    </row>
    <row r="38" spans="1:55" s="312" customFormat="1" ht="22.5" customHeight="1">
      <c r="A38" s="318"/>
      <c r="B38" s="318"/>
      <c r="C38" s="318"/>
      <c r="D38" s="318"/>
      <c r="E38" s="317"/>
      <c r="F38" s="317"/>
      <c r="G38" s="317" t="b">
        <f>G36=G37</f>
        <v>1</v>
      </c>
      <c r="H38" s="317" t="b">
        <f>H36=H37</f>
        <v>1</v>
      </c>
      <c r="I38" s="316"/>
      <c r="J38" s="316" t="b">
        <f>J36=J37</f>
        <v>1</v>
      </c>
      <c r="K38" s="316" t="b">
        <f>K36=K37</f>
        <v>1</v>
      </c>
      <c r="L38" s="316"/>
      <c r="M38" s="316"/>
      <c r="N38" s="316"/>
      <c r="O38" s="316" t="b">
        <f t="shared" ref="O38:AM38" si="20">O36=O37</f>
        <v>1</v>
      </c>
      <c r="P38" s="316" t="b">
        <f t="shared" si="20"/>
        <v>1</v>
      </c>
      <c r="Q38" s="316" t="b">
        <f t="shared" si="20"/>
        <v>1</v>
      </c>
      <c r="R38" s="316" t="b">
        <f t="shared" si="20"/>
        <v>1</v>
      </c>
      <c r="S38" s="316" t="b">
        <f t="shared" si="20"/>
        <v>1</v>
      </c>
      <c r="T38" s="316" t="b">
        <f t="shared" si="20"/>
        <v>1</v>
      </c>
      <c r="U38" s="316" t="b">
        <f t="shared" si="20"/>
        <v>1</v>
      </c>
      <c r="V38" s="316" t="b">
        <f t="shared" si="20"/>
        <v>1</v>
      </c>
      <c r="W38" s="316" t="b">
        <f t="shared" si="20"/>
        <v>1</v>
      </c>
      <c r="X38" s="316" t="b">
        <f t="shared" si="20"/>
        <v>1</v>
      </c>
      <c r="Y38" s="316" t="b">
        <f t="shared" si="20"/>
        <v>1</v>
      </c>
      <c r="Z38" s="316" t="b">
        <f t="shared" si="20"/>
        <v>1</v>
      </c>
      <c r="AA38" s="316" t="b">
        <f t="shared" si="20"/>
        <v>1</v>
      </c>
      <c r="AB38" s="316" t="b">
        <f t="shared" si="20"/>
        <v>1</v>
      </c>
      <c r="AC38" s="316" t="b">
        <f t="shared" si="20"/>
        <v>1</v>
      </c>
      <c r="AD38" s="316" t="b">
        <f t="shared" si="20"/>
        <v>1</v>
      </c>
      <c r="AE38" s="316" t="b">
        <f t="shared" si="20"/>
        <v>1</v>
      </c>
      <c r="AF38" s="316" t="b">
        <f t="shared" si="20"/>
        <v>1</v>
      </c>
      <c r="AG38" s="316" t="b">
        <f t="shared" si="20"/>
        <v>1</v>
      </c>
      <c r="AH38" s="316" t="b">
        <f t="shared" si="20"/>
        <v>1</v>
      </c>
      <c r="AI38" s="316" t="b">
        <f t="shared" si="20"/>
        <v>1</v>
      </c>
      <c r="AJ38" s="316" t="b">
        <f t="shared" si="20"/>
        <v>1</v>
      </c>
      <c r="AK38" s="316" t="b">
        <f t="shared" si="20"/>
        <v>1</v>
      </c>
      <c r="AL38" s="316" t="b">
        <f t="shared" si="20"/>
        <v>1</v>
      </c>
      <c r="AM38" s="316" t="b">
        <f t="shared" si="20"/>
        <v>1</v>
      </c>
      <c r="AP38" s="315">
        <f t="shared" si="7"/>
        <v>0</v>
      </c>
      <c r="AQ38" s="341">
        <f t="shared" ref="AQ38" si="21">O38+Q38+S38+U38+W38+Y38+AA38+AC38+AE38</f>
        <v>9</v>
      </c>
      <c r="AR38" s="341">
        <f t="shared" si="9"/>
        <v>11</v>
      </c>
      <c r="AS38" s="314">
        <f t="shared" si="10"/>
        <v>0</v>
      </c>
      <c r="AT38" s="315">
        <f t="shared" si="11"/>
        <v>0</v>
      </c>
      <c r="AU38" s="314">
        <f t="shared" si="12"/>
        <v>0</v>
      </c>
      <c r="AV38" s="313">
        <f>'Comparativo YoY'!EB39</f>
        <v>0</v>
      </c>
      <c r="AX38" s="1208"/>
      <c r="AY38" s="1208"/>
      <c r="AZ38" s="1208"/>
      <c r="BA38" s="1208"/>
      <c r="BB38" s="1208"/>
      <c r="BC38" s="1208"/>
    </row>
    <row r="39" spans="1:55" ht="26.25">
      <c r="A39" s="293"/>
      <c r="B39" s="1200" t="s">
        <v>1128</v>
      </c>
      <c r="C39" s="1200"/>
      <c r="D39" s="1200"/>
      <c r="E39" s="1201"/>
      <c r="F39" s="292"/>
      <c r="G39" s="307"/>
      <c r="H39" s="307"/>
      <c r="I39" s="292"/>
      <c r="J39" s="292"/>
      <c r="K39" s="292"/>
      <c r="L39" s="292"/>
      <c r="N39" s="311"/>
      <c r="O39" s="310"/>
      <c r="P39" s="310"/>
      <c r="Q39" s="311"/>
      <c r="R39" s="311"/>
      <c r="S39" s="310"/>
      <c r="T39" s="310"/>
      <c r="U39" s="292"/>
      <c r="V39" s="292"/>
      <c r="W39" s="292"/>
      <c r="X39" s="292"/>
      <c r="Y39" s="18"/>
      <c r="Z39" s="18"/>
    </row>
    <row r="40" spans="1:55" ht="113.25" customHeight="1">
      <c r="A40" s="293"/>
      <c r="B40" s="307"/>
      <c r="C40" s="307"/>
      <c r="D40" s="307"/>
      <c r="E40" s="308"/>
      <c r="F40" s="308"/>
      <c r="G40" s="307"/>
      <c r="H40" s="989" t="s">
        <v>490</v>
      </c>
      <c r="I40" s="446"/>
      <c r="K40" s="989" t="s">
        <v>489</v>
      </c>
      <c r="L40" s="292"/>
      <c r="N40" s="306"/>
      <c r="O40" s="1272"/>
      <c r="P40" s="1272"/>
      <c r="Q40" s="1272"/>
      <c r="R40" s="1272"/>
      <c r="S40" s="1272"/>
      <c r="T40" s="305"/>
      <c r="U40" s="292"/>
      <c r="V40" s="292"/>
      <c r="W40" s="292"/>
      <c r="X40" s="292"/>
      <c r="Y40" s="18"/>
      <c r="Z40" s="18"/>
    </row>
    <row r="41" spans="1:55" ht="26.25">
      <c r="A41" s="293"/>
      <c r="B41" s="307"/>
      <c r="C41" s="307"/>
      <c r="D41" s="307"/>
      <c r="E41" s="308"/>
      <c r="F41" s="308"/>
      <c r="G41" s="307"/>
      <c r="H41" s="307"/>
      <c r="I41" s="292"/>
      <c r="J41" s="292"/>
      <c r="K41" s="292"/>
      <c r="L41" s="292"/>
      <c r="M41" s="284"/>
      <c r="N41" s="306"/>
      <c r="O41" s="1272"/>
      <c r="P41" s="1272"/>
      <c r="Q41" s="1272"/>
      <c r="R41" s="1272"/>
      <c r="S41" s="1272"/>
      <c r="T41" s="305"/>
      <c r="U41" s="292"/>
      <c r="V41" s="292"/>
      <c r="W41" s="304"/>
      <c r="X41" s="304"/>
      <c r="Y41" s="292"/>
      <c r="Z41" s="292"/>
      <c r="AA41" s="292"/>
      <c r="AB41" s="292"/>
      <c r="AC41" s="18"/>
      <c r="AD41" s="18"/>
    </row>
    <row r="42" spans="1:55" s="292" customFormat="1" ht="26.25" hidden="1">
      <c r="A42" s="303"/>
      <c r="B42" s="291"/>
      <c r="C42" s="287"/>
      <c r="D42" s="287"/>
      <c r="E42" s="287"/>
      <c r="F42" s="287"/>
      <c r="G42" s="287"/>
      <c r="H42" s="287"/>
      <c r="I42" s="287"/>
      <c r="J42" s="287"/>
      <c r="K42" s="287"/>
      <c r="L42" s="287"/>
      <c r="M42" s="287"/>
      <c r="AN42" s="287"/>
      <c r="AO42" s="287"/>
      <c r="AX42" s="1210"/>
      <c r="AY42" s="1210"/>
      <c r="AZ42" s="1210"/>
      <c r="BA42" s="1210"/>
      <c r="BB42" s="1210"/>
      <c r="BC42" s="1210"/>
    </row>
    <row r="43" spans="1:55" s="292" customFormat="1" ht="28.5" hidden="1">
      <c r="A43" s="303"/>
      <c r="B43" s="291"/>
      <c r="C43" s="287"/>
      <c r="D43" s="287"/>
      <c r="E43" s="291"/>
      <c r="F43" s="291"/>
      <c r="G43" s="287" t="s">
        <v>488</v>
      </c>
      <c r="H43" s="287"/>
      <c r="I43" s="287"/>
      <c r="J43" s="281" t="s">
        <v>487</v>
      </c>
      <c r="K43" s="281"/>
      <c r="L43" s="281"/>
      <c r="M43" s="280">
        <v>49373.108</v>
      </c>
      <c r="AN43" s="287"/>
      <c r="AO43" s="287"/>
      <c r="AX43" s="1210"/>
      <c r="AY43" s="1210"/>
      <c r="AZ43" s="1210"/>
      <c r="BA43" s="1210"/>
      <c r="BB43" s="1210"/>
      <c r="BC43" s="1210"/>
    </row>
    <row r="44" spans="1:55" s="292" customFormat="1" ht="28.5" hidden="1">
      <c r="A44" s="303"/>
      <c r="B44" s="291"/>
      <c r="C44" s="253" t="s">
        <v>87</v>
      </c>
      <c r="D44" s="253"/>
      <c r="E44" s="253">
        <v>234</v>
      </c>
      <c r="F44" s="253"/>
      <c r="G44" s="253">
        <v>219</v>
      </c>
      <c r="H44" s="253"/>
      <c r="I44" s="253"/>
      <c r="J44" s="281" t="s">
        <v>486</v>
      </c>
      <c r="K44" s="281"/>
      <c r="L44" s="281"/>
      <c r="M44" s="280">
        <v>270763.32803999999</v>
      </c>
      <c r="AN44" s="287"/>
      <c r="AO44" s="287"/>
      <c r="AX44" s="1210"/>
      <c r="AY44" s="1210"/>
      <c r="AZ44" s="1210"/>
      <c r="BA44" s="1210"/>
      <c r="BB44" s="1210"/>
      <c r="BC44" s="1210"/>
    </row>
    <row r="45" spans="1:55" s="292" customFormat="1" ht="28.5" hidden="1">
      <c r="A45" s="303"/>
      <c r="B45" s="291"/>
      <c r="C45" s="253" t="s">
        <v>88</v>
      </c>
      <c r="D45" s="253"/>
      <c r="E45" s="253">
        <v>1374</v>
      </c>
      <c r="F45" s="253"/>
      <c r="G45" s="253">
        <v>1160</v>
      </c>
      <c r="H45" s="253"/>
      <c r="I45" s="253"/>
      <c r="J45" s="281" t="s">
        <v>89</v>
      </c>
      <c r="K45" s="281"/>
      <c r="L45" s="281"/>
      <c r="M45" s="280">
        <v>78741.139773333329</v>
      </c>
      <c r="AN45" s="287"/>
      <c r="AO45" s="287"/>
      <c r="AX45" s="1210"/>
      <c r="AY45" s="1210"/>
      <c r="AZ45" s="1210"/>
      <c r="BA45" s="1210"/>
      <c r="BB45" s="1210"/>
      <c r="BC45" s="1210"/>
    </row>
    <row r="46" spans="1:55" s="292" customFormat="1" ht="28.5" hidden="1">
      <c r="A46" s="295"/>
      <c r="B46" s="291"/>
      <c r="C46" s="253" t="s">
        <v>90</v>
      </c>
      <c r="D46" s="253"/>
      <c r="E46" s="253">
        <v>1140</v>
      </c>
      <c r="F46" s="253"/>
      <c r="G46" s="253">
        <v>981</v>
      </c>
      <c r="H46" s="253"/>
      <c r="I46" s="253"/>
      <c r="J46" s="281" t="s">
        <v>485</v>
      </c>
      <c r="K46" s="281"/>
      <c r="L46" s="281"/>
      <c r="M46" s="280">
        <v>488700.35386666667</v>
      </c>
      <c r="N46" s="299" t="s">
        <v>484</v>
      </c>
      <c r="O46" s="302" t="e">
        <f>'Anuid PF'!O34+'Anuid PJ'!L33+RRT!I32+'TAXAS E MULTAS.'!C31+#REF!+#REF!</f>
        <v>#REF!</v>
      </c>
      <c r="P46" s="302"/>
      <c r="Q46" s="302" t="e">
        <f>'Anuid PF'!Q34+'Anuid PJ'!N33+RRT!J32+'TAXAS E MULTAS.'!D31+#REF!+#REF!</f>
        <v>#REF!</v>
      </c>
      <c r="R46" s="302"/>
      <c r="S46" s="302" t="e">
        <f>'Anuid PF'!S34+'Anuid PJ'!P33+RRT!K32+'TAXAS E MULTAS.'!E31+#REF!+#REF!</f>
        <v>#REF!</v>
      </c>
      <c r="T46" s="302"/>
      <c r="U46" s="302" t="e">
        <f>'Anuid PF'!U34+'Anuid PJ'!R33+RRT!L32+'TAXAS E MULTAS.'!F31+#REF!+#REF!</f>
        <v>#REF!</v>
      </c>
      <c r="V46" s="302"/>
      <c r="W46" s="302" t="e">
        <f>'Anuid PF'!W34+'Anuid PJ'!T33+RRT!M32+'TAXAS E MULTAS.'!G31+#REF!+#REF!</f>
        <v>#REF!</v>
      </c>
      <c r="X46" s="302"/>
      <c r="Y46" s="302" t="e">
        <f>'Anuid PF'!Y34+'Anuid PJ'!V33+RRT!N32+'TAXAS E MULTAS.'!H31+#REF!+#REF!</f>
        <v>#REF!</v>
      </c>
      <c r="Z46" s="302"/>
      <c r="AA46" s="297"/>
      <c r="AB46" s="297"/>
      <c r="AC46" s="301"/>
      <c r="AD46" s="301"/>
      <c r="AE46" s="297"/>
      <c r="AF46" s="297"/>
      <c r="AG46" s="297"/>
      <c r="AH46" s="297"/>
      <c r="AI46" s="297"/>
      <c r="AJ46" s="297"/>
      <c r="AK46" s="297"/>
      <c r="AL46" s="297"/>
      <c r="AM46" s="300" t="e">
        <f>AM36+'Anuid PJ'!AJ35+RRT!U34+'TAXAS E MULTAS.'!O33+#REF!+#REF!</f>
        <v>#REF!</v>
      </c>
      <c r="AN46" s="287"/>
      <c r="AO46" s="287"/>
      <c r="AX46" s="1210"/>
      <c r="AY46" s="1210"/>
      <c r="AZ46" s="1210"/>
      <c r="BA46" s="1210"/>
      <c r="BB46" s="1210"/>
      <c r="BC46" s="1210"/>
    </row>
    <row r="47" spans="1:55" s="292" customFormat="1" ht="28.5" hidden="1">
      <c r="A47" s="295"/>
      <c r="B47" s="287"/>
      <c r="C47" s="253" t="s">
        <v>89</v>
      </c>
      <c r="D47" s="253"/>
      <c r="E47" s="253">
        <v>327</v>
      </c>
      <c r="F47" s="253"/>
      <c r="G47" s="253">
        <v>306</v>
      </c>
      <c r="H47" s="253"/>
      <c r="I47" s="253"/>
      <c r="J47" s="281" t="s">
        <v>108</v>
      </c>
      <c r="K47" s="281"/>
      <c r="L47" s="281"/>
      <c r="M47" s="280">
        <v>80233.05121333334</v>
      </c>
      <c r="N47" s="299" t="s">
        <v>483</v>
      </c>
      <c r="O47" s="298" t="e">
        <f>O35+'Anuid PJ'!L34+RRT!I33+'TAXAS E MULTAS.'!C32+#REF!+#REF!</f>
        <v>#REF!</v>
      </c>
      <c r="P47" s="298"/>
      <c r="Q47" s="298" t="e">
        <f>Q35+'Anuid PJ'!N34+RRT!J33+'TAXAS E MULTAS.'!D32+#REF!+#REF!</f>
        <v>#REF!</v>
      </c>
      <c r="R47" s="298"/>
      <c r="S47" s="298" t="e">
        <f>S35+'Anuid PJ'!P34+RRT!K33+'TAXAS E MULTAS.'!E32+#REF!+#REF!</f>
        <v>#REF!</v>
      </c>
      <c r="T47" s="298"/>
      <c r="U47" s="298" t="e">
        <f>U35+'Anuid PJ'!R34+RRT!L33+'TAXAS E MULTAS.'!F32+#REF!+#REF!</f>
        <v>#REF!</v>
      </c>
      <c r="V47" s="298"/>
      <c r="W47" s="298" t="e">
        <f>W35+'Anuid PJ'!T34+RRT!M33+'TAXAS E MULTAS.'!G32+#REF!+#REF!</f>
        <v>#REF!</v>
      </c>
      <c r="X47" s="298"/>
      <c r="Y47" s="298" t="e">
        <f>Y35+'Anuid PJ'!V34+RRT!N33+'TAXAS E MULTAS.'!H32+#REF!+#REF!</f>
        <v>#REF!</v>
      </c>
      <c r="Z47" s="298"/>
      <c r="AA47" s="297"/>
      <c r="AB47" s="297"/>
      <c r="AC47" s="297"/>
      <c r="AD47" s="297"/>
      <c r="AE47" s="297"/>
      <c r="AF47" s="297"/>
      <c r="AG47" s="297"/>
      <c r="AH47" s="297"/>
      <c r="AI47" s="297"/>
      <c r="AJ47" s="297"/>
      <c r="AK47" s="297"/>
      <c r="AL47" s="297"/>
      <c r="AM47" s="296" t="e">
        <f>#REF!</f>
        <v>#REF!</v>
      </c>
      <c r="AN47" s="287"/>
      <c r="AO47" s="287"/>
      <c r="AX47" s="1210"/>
      <c r="AY47" s="1210"/>
      <c r="AZ47" s="1210"/>
      <c r="BA47" s="1210"/>
      <c r="BB47" s="1210"/>
      <c r="BC47" s="1210"/>
    </row>
    <row r="48" spans="1:55" ht="28.5" hidden="1">
      <c r="A48" s="295"/>
      <c r="B48" s="287"/>
      <c r="C48" s="253" t="s">
        <v>91</v>
      </c>
      <c r="E48" s="253">
        <v>3774</v>
      </c>
      <c r="G48" s="253">
        <v>3176</v>
      </c>
      <c r="J48" s="281" t="s">
        <v>109</v>
      </c>
      <c r="K48" s="281"/>
      <c r="L48" s="281"/>
      <c r="M48" s="280">
        <v>18506.127479999999</v>
      </c>
      <c r="N48" s="288"/>
      <c r="O48" s="290"/>
      <c r="P48" s="290"/>
      <c r="Q48" s="288"/>
      <c r="R48" s="288"/>
      <c r="S48" s="290"/>
      <c r="T48" s="290"/>
      <c r="U48" s="288"/>
      <c r="V48" s="288"/>
      <c r="W48" s="288"/>
      <c r="X48" s="288"/>
      <c r="Y48" s="288"/>
      <c r="Z48" s="288"/>
      <c r="AA48" s="287"/>
      <c r="AB48" s="287"/>
      <c r="AC48" s="287"/>
      <c r="AD48" s="287"/>
      <c r="AE48" s="287"/>
      <c r="AF48" s="287"/>
      <c r="AG48" s="287"/>
      <c r="AH48" s="287"/>
      <c r="AI48" s="287"/>
      <c r="AJ48" s="287"/>
      <c r="AK48" s="287"/>
      <c r="AL48" s="287"/>
      <c r="AM48" s="294" t="e">
        <f>AM46+AM47</f>
        <v>#REF!</v>
      </c>
      <c r="AN48" s="287"/>
      <c r="AO48" s="287"/>
    </row>
    <row r="49" spans="1:41" ht="28.5" hidden="1">
      <c r="A49" s="295"/>
      <c r="B49" s="292"/>
      <c r="C49" s="253" t="s">
        <v>92</v>
      </c>
      <c r="E49" s="253">
        <v>1723</v>
      </c>
      <c r="G49" s="253">
        <v>1504</v>
      </c>
      <c r="J49" s="281" t="s">
        <v>113</v>
      </c>
      <c r="K49" s="281"/>
      <c r="L49" s="281"/>
      <c r="M49" s="280">
        <v>115892.41729333333</v>
      </c>
      <c r="N49" s="290" t="s">
        <v>482</v>
      </c>
      <c r="O49" s="288" t="e">
        <f>#REF!</f>
        <v>#REF!</v>
      </c>
      <c r="P49" s="288"/>
      <c r="Q49" s="288" t="e">
        <f>#REF!</f>
        <v>#REF!</v>
      </c>
      <c r="R49" s="288"/>
      <c r="S49" s="288" t="e">
        <f>#REF!</f>
        <v>#REF!</v>
      </c>
      <c r="T49" s="288"/>
      <c r="U49" s="288" t="e">
        <f>#REF!</f>
        <v>#REF!</v>
      </c>
      <c r="V49" s="288"/>
      <c r="W49" s="288" t="e">
        <f>#REF!</f>
        <v>#REF!</v>
      </c>
      <c r="X49" s="288"/>
      <c r="Y49" s="288" t="e">
        <f>#REF!</f>
        <v>#REF!</v>
      </c>
      <c r="Z49" s="288"/>
      <c r="AA49" s="287"/>
      <c r="AB49" s="287"/>
      <c r="AC49" s="287"/>
      <c r="AD49" s="287"/>
      <c r="AE49" s="287"/>
      <c r="AF49" s="287"/>
      <c r="AG49" s="287"/>
      <c r="AH49" s="287"/>
      <c r="AI49" s="287"/>
      <c r="AJ49" s="287"/>
      <c r="AK49" s="287"/>
      <c r="AL49" s="287"/>
      <c r="AM49" s="294" t="e">
        <f>#REF!+#REF!+#REF!+#REF!+#REF!+#REF!</f>
        <v>#REF!</v>
      </c>
      <c r="AN49" s="284"/>
      <c r="AO49" s="284"/>
    </row>
    <row r="50" spans="1:41" ht="28.5" hidden="1">
      <c r="A50" s="293"/>
      <c r="B50" s="292"/>
      <c r="C50" s="253" t="s">
        <v>93</v>
      </c>
      <c r="E50" s="253">
        <v>3821</v>
      </c>
      <c r="G50" s="253">
        <v>3123</v>
      </c>
      <c r="J50" s="281" t="s">
        <v>481</v>
      </c>
      <c r="K50" s="281"/>
      <c r="L50" s="281"/>
      <c r="M50" s="280">
        <v>343078.07361333328</v>
      </c>
      <c r="N50" s="290" t="s">
        <v>480</v>
      </c>
      <c r="O50" s="290" t="e">
        <f>#REF!</f>
        <v>#REF!</v>
      </c>
      <c r="P50" s="290"/>
      <c r="Q50" s="290" t="e">
        <f>#REF!</f>
        <v>#REF!</v>
      </c>
      <c r="R50" s="290"/>
      <c r="S50" s="290" t="e">
        <f>#REF!</f>
        <v>#REF!</v>
      </c>
      <c r="T50" s="290"/>
      <c r="U50" s="290" t="e">
        <f>#REF!</f>
        <v>#REF!</v>
      </c>
      <c r="V50" s="290"/>
      <c r="W50" s="290" t="e">
        <f>#REF!</f>
        <v>#REF!</v>
      </c>
      <c r="X50" s="290"/>
      <c r="Y50" s="290" t="e">
        <f>#REF!</f>
        <v>#REF!</v>
      </c>
      <c r="Z50" s="290"/>
      <c r="AA50" s="291"/>
      <c r="AB50" s="291"/>
      <c r="AC50" s="287"/>
      <c r="AD50" s="287"/>
      <c r="AE50" s="287"/>
      <c r="AF50" s="287"/>
      <c r="AG50" s="287"/>
      <c r="AH50" s="287"/>
      <c r="AI50" s="287"/>
      <c r="AJ50" s="287"/>
      <c r="AK50" s="287"/>
      <c r="AL50" s="287"/>
      <c r="AM50" s="287"/>
      <c r="AN50" s="284"/>
      <c r="AO50" s="284"/>
    </row>
    <row r="51" spans="1:41" ht="28.5" hidden="1">
      <c r="C51" s="253" t="s">
        <v>94</v>
      </c>
      <c r="E51" s="253">
        <v>2010</v>
      </c>
      <c r="G51" s="253">
        <v>1783</v>
      </c>
      <c r="J51" s="281" t="s">
        <v>479</v>
      </c>
      <c r="K51" s="281"/>
      <c r="L51" s="281"/>
      <c r="M51" s="280">
        <v>915179.73117333325</v>
      </c>
      <c r="N51" s="289"/>
      <c r="O51" s="289"/>
      <c r="P51" s="289"/>
      <c r="Q51" s="289"/>
      <c r="R51" s="289"/>
      <c r="S51" s="288"/>
      <c r="T51" s="288"/>
      <c r="U51" s="289"/>
      <c r="V51" s="289"/>
      <c r="W51" s="289"/>
      <c r="X51" s="289"/>
      <c r="Y51" s="289"/>
      <c r="Z51" s="289"/>
      <c r="AA51" s="291"/>
      <c r="AB51" s="291"/>
      <c r="AC51" s="287"/>
      <c r="AD51" s="287"/>
      <c r="AE51" s="287"/>
      <c r="AF51" s="287"/>
      <c r="AG51" s="287"/>
      <c r="AH51" s="287"/>
      <c r="AI51" s="287"/>
      <c r="AJ51" s="287"/>
      <c r="AK51" s="287"/>
      <c r="AL51" s="287"/>
      <c r="AM51" s="287"/>
    </row>
    <row r="52" spans="1:41" ht="28.5" hidden="1">
      <c r="C52" s="253" t="s">
        <v>95</v>
      </c>
      <c r="E52" s="253">
        <v>2566</v>
      </c>
      <c r="G52" s="253">
        <v>2219</v>
      </c>
      <c r="J52" s="281" t="s">
        <v>92</v>
      </c>
      <c r="K52" s="281"/>
      <c r="L52" s="281"/>
      <c r="M52" s="280">
        <v>432597.91674666665</v>
      </c>
      <c r="N52" s="289" t="s">
        <v>478</v>
      </c>
      <c r="O52" s="290" t="e">
        <f>#REF!+#REF!+#REF!+#REF!+#REF!+#REF!</f>
        <v>#REF!</v>
      </c>
      <c r="P52" s="290"/>
      <c r="Q52" s="290" t="e">
        <f>#REF!+#REF!+#REF!+#REF!+#REF!+#REF!</f>
        <v>#REF!</v>
      </c>
      <c r="R52" s="290"/>
      <c r="S52" s="290" t="e">
        <f>#REF!+#REF!+#REF!+#REF!+#REF!+#REF!</f>
        <v>#REF!</v>
      </c>
      <c r="T52" s="290"/>
      <c r="U52" s="290" t="e">
        <f>#REF!+#REF!+#REF!+#REF!+#REF!+#REF!</f>
        <v>#REF!</v>
      </c>
      <c r="V52" s="290"/>
      <c r="W52" s="290" t="e">
        <f>#REF!+#REF!+#REF!+#REF!+#REF!+#REF!</f>
        <v>#REF!</v>
      </c>
      <c r="X52" s="290"/>
      <c r="Y52" s="290" t="e">
        <f>#REF!+#REF!+#REF!+#REF!+#REF!+#REF!</f>
        <v>#REF!</v>
      </c>
      <c r="Z52" s="290"/>
      <c r="AA52" s="287"/>
      <c r="AB52" s="287"/>
      <c r="AC52" s="287"/>
      <c r="AD52" s="287"/>
      <c r="AE52" s="287"/>
      <c r="AF52" s="287"/>
      <c r="AG52" s="287"/>
      <c r="AH52" s="287"/>
      <c r="AI52" s="287"/>
      <c r="AJ52" s="287"/>
      <c r="AK52" s="291"/>
      <c r="AL52" s="291"/>
      <c r="AM52" s="287"/>
    </row>
    <row r="53" spans="1:41" ht="28.5" hidden="1">
      <c r="C53" s="253" t="s">
        <v>96</v>
      </c>
      <c r="E53" s="253">
        <v>896</v>
      </c>
      <c r="G53" s="253">
        <v>753</v>
      </c>
      <c r="J53" s="281" t="s">
        <v>96</v>
      </c>
      <c r="K53" s="281"/>
      <c r="L53" s="281"/>
      <c r="M53" s="280">
        <v>231086.1836933333</v>
      </c>
      <c r="N53" s="289" t="s">
        <v>477</v>
      </c>
      <c r="O53" s="290" t="e">
        <f>#REF!+#REF!+#REF!+#REF!+#REF!+#REF!</f>
        <v>#REF!</v>
      </c>
      <c r="P53" s="290"/>
      <c r="Q53" s="290" t="e">
        <f>#REF!+#REF!+#REF!+#REF!+#REF!+#REF!</f>
        <v>#REF!</v>
      </c>
      <c r="R53" s="290"/>
      <c r="S53" s="290" t="e">
        <f>#REF!+#REF!+#REF!+#REF!+#REF!+#REF!</f>
        <v>#REF!</v>
      </c>
      <c r="T53" s="290"/>
      <c r="U53" s="290" t="e">
        <f>#REF!+#REF!+#REF!+#REF!+#REF!+#REF!</f>
        <v>#REF!</v>
      </c>
      <c r="V53" s="290"/>
      <c r="W53" s="290" t="e">
        <f>#REF!+#REF!+#REF!+#REF!+#REF!+#REF!</f>
        <v>#REF!</v>
      </c>
      <c r="X53" s="290"/>
      <c r="Y53" s="290" t="e">
        <f>#REF!+#REF!+#REF!+#REF!+#REF!+#REF!</f>
        <v>#REF!</v>
      </c>
      <c r="Z53" s="290"/>
      <c r="AA53" s="287"/>
      <c r="AB53" s="287"/>
      <c r="AC53" s="287"/>
      <c r="AD53" s="287"/>
      <c r="AE53" s="287"/>
      <c r="AF53" s="287"/>
      <c r="AG53" s="287"/>
      <c r="AH53" s="287"/>
      <c r="AI53" s="287"/>
      <c r="AJ53" s="287"/>
      <c r="AK53" s="291"/>
      <c r="AL53" s="291"/>
      <c r="AM53" s="287"/>
    </row>
    <row r="54" spans="1:41" ht="28.5" hidden="1">
      <c r="C54" s="253" t="s">
        <v>99</v>
      </c>
      <c r="E54" s="253">
        <v>9380</v>
      </c>
      <c r="G54" s="253">
        <v>7883</v>
      </c>
      <c r="J54" s="281" t="s">
        <v>101</v>
      </c>
      <c r="K54" s="281"/>
      <c r="L54" s="281"/>
      <c r="M54" s="280">
        <v>331481.08856</v>
      </c>
      <c r="N54" s="289"/>
      <c r="O54" s="289"/>
      <c r="P54" s="289"/>
      <c r="Q54" s="289"/>
      <c r="R54" s="289"/>
      <c r="S54" s="289"/>
      <c r="T54" s="289"/>
      <c r="U54" s="289"/>
      <c r="V54" s="289"/>
      <c r="W54" s="289"/>
      <c r="X54" s="289"/>
      <c r="Y54" s="289"/>
      <c r="Z54" s="289"/>
      <c r="AA54" s="287"/>
      <c r="AB54" s="287"/>
      <c r="AC54" s="287"/>
      <c r="AD54" s="287"/>
      <c r="AE54" s="287"/>
      <c r="AF54" s="287"/>
      <c r="AG54" s="287"/>
      <c r="AH54" s="287"/>
      <c r="AI54" s="287"/>
      <c r="AJ54" s="287"/>
      <c r="AK54" s="291"/>
      <c r="AL54" s="291"/>
      <c r="AM54" s="287"/>
    </row>
    <row r="55" spans="1:41" ht="28.5" hidden="1">
      <c r="C55" s="253" t="s">
        <v>98</v>
      </c>
      <c r="E55" s="253">
        <v>1974</v>
      </c>
      <c r="G55" s="253">
        <v>1735</v>
      </c>
      <c r="J55" s="281" t="s">
        <v>103</v>
      </c>
      <c r="K55" s="281"/>
      <c r="L55" s="281"/>
      <c r="M55" s="280">
        <v>844436.52196000004</v>
      </c>
      <c r="N55" s="289" t="s">
        <v>476</v>
      </c>
      <c r="O55" s="290" t="e">
        <f>O46+O49</f>
        <v>#REF!</v>
      </c>
      <c r="P55" s="290"/>
      <c r="Q55" s="290" t="e">
        <f>Q46+Q49</f>
        <v>#REF!</v>
      </c>
      <c r="R55" s="290"/>
      <c r="S55" s="290" t="e">
        <f>S46+S49</f>
        <v>#REF!</v>
      </c>
      <c r="T55" s="290"/>
      <c r="U55" s="290" t="e">
        <f>U46+U49</f>
        <v>#REF!</v>
      </c>
      <c r="V55" s="290"/>
      <c r="W55" s="290" t="e">
        <f>W46+W49</f>
        <v>#REF!</v>
      </c>
      <c r="X55" s="290"/>
      <c r="Y55" s="290" t="e">
        <f>Y46+Y49</f>
        <v>#REF!</v>
      </c>
      <c r="Z55" s="290"/>
      <c r="AA55" s="287"/>
      <c r="AB55" s="287"/>
      <c r="AC55" s="287"/>
      <c r="AD55" s="287"/>
      <c r="AE55" s="287"/>
      <c r="AF55" s="287"/>
      <c r="AG55" s="287"/>
      <c r="AH55" s="287"/>
      <c r="AI55" s="287"/>
      <c r="AJ55" s="287"/>
      <c r="AK55" s="291"/>
      <c r="AL55" s="291"/>
      <c r="AM55" s="287"/>
    </row>
    <row r="56" spans="1:41" ht="28.5" hidden="1">
      <c r="C56" s="253" t="s">
        <v>97</v>
      </c>
      <c r="E56" s="253">
        <v>1601</v>
      </c>
      <c r="G56" s="253">
        <v>1447</v>
      </c>
      <c r="J56" s="281" t="s">
        <v>104</v>
      </c>
      <c r="K56" s="281"/>
      <c r="L56" s="281"/>
      <c r="M56" s="280">
        <v>148592.82483999999</v>
      </c>
      <c r="N56" s="289" t="s">
        <v>475</v>
      </c>
      <c r="O56" s="290" t="e">
        <f>O47+O50</f>
        <v>#REF!</v>
      </c>
      <c r="P56" s="290"/>
      <c r="Q56" s="290" t="e">
        <f>Q47+Q50</f>
        <v>#REF!</v>
      </c>
      <c r="R56" s="290"/>
      <c r="S56" s="290" t="e">
        <f>S47+S50</f>
        <v>#REF!</v>
      </c>
      <c r="T56" s="290"/>
      <c r="U56" s="290" t="e">
        <f>U47+U50</f>
        <v>#REF!</v>
      </c>
      <c r="V56" s="290"/>
      <c r="W56" s="290" t="e">
        <f>W47+W50</f>
        <v>#REF!</v>
      </c>
      <c r="X56" s="290"/>
      <c r="Y56" s="290" t="e">
        <f>Y47+Y50</f>
        <v>#REF!</v>
      </c>
      <c r="Z56" s="290"/>
      <c r="AA56" s="287"/>
      <c r="AB56" s="287"/>
      <c r="AC56" s="287"/>
      <c r="AD56" s="287"/>
      <c r="AE56" s="287"/>
      <c r="AF56" s="287"/>
      <c r="AG56" s="287"/>
      <c r="AH56" s="287"/>
      <c r="AI56" s="287"/>
      <c r="AJ56" s="287"/>
      <c r="AK56" s="287"/>
      <c r="AL56" s="287"/>
      <c r="AM56" s="287"/>
    </row>
    <row r="57" spans="1:41" ht="28.5" hidden="1">
      <c r="C57" s="253" t="s">
        <v>100</v>
      </c>
      <c r="E57" s="253">
        <v>1868</v>
      </c>
      <c r="G57" s="253">
        <v>1489</v>
      </c>
      <c r="J57" s="281" t="s">
        <v>106</v>
      </c>
      <c r="K57" s="281"/>
      <c r="L57" s="281"/>
      <c r="M57" s="280">
        <v>416296.14549333334</v>
      </c>
      <c r="N57" s="289"/>
      <c r="O57" s="289"/>
      <c r="P57" s="289"/>
      <c r="Q57" s="289"/>
      <c r="R57" s="289"/>
      <c r="S57" s="288"/>
      <c r="T57" s="288"/>
      <c r="U57" s="289"/>
      <c r="V57" s="289"/>
      <c r="W57" s="288"/>
      <c r="X57" s="288"/>
      <c r="Y57" s="288"/>
      <c r="Z57" s="288"/>
      <c r="AA57" s="287"/>
      <c r="AB57" s="287"/>
      <c r="AC57" s="287"/>
      <c r="AD57" s="287"/>
      <c r="AE57" s="287"/>
      <c r="AF57" s="287"/>
      <c r="AG57" s="287"/>
      <c r="AH57" s="287"/>
      <c r="AI57" s="287"/>
      <c r="AJ57" s="287"/>
      <c r="AK57" s="287"/>
      <c r="AL57" s="287"/>
      <c r="AM57" s="287"/>
    </row>
    <row r="58" spans="1:41" ht="28.5" hidden="1">
      <c r="C58" s="253" t="s">
        <v>101</v>
      </c>
      <c r="E58" s="253">
        <v>1387</v>
      </c>
      <c r="G58" s="253">
        <v>1190</v>
      </c>
      <c r="J58" s="281" t="s">
        <v>112</v>
      </c>
      <c r="K58" s="281"/>
      <c r="L58" s="281"/>
      <c r="M58" s="280">
        <v>183232.89793333336</v>
      </c>
      <c r="N58" s="286" t="s">
        <v>474</v>
      </c>
      <c r="O58" s="285" t="e">
        <f>O52-O55</f>
        <v>#REF!</v>
      </c>
      <c r="P58" s="285"/>
      <c r="Q58" s="285" t="e">
        <f>Q52-Q55</f>
        <v>#REF!</v>
      </c>
      <c r="R58" s="285"/>
      <c r="S58" s="285" t="e">
        <f>S52-S55</f>
        <v>#REF!</v>
      </c>
      <c r="T58" s="285"/>
      <c r="U58" s="285" t="e">
        <f>U52-U55</f>
        <v>#REF!</v>
      </c>
      <c r="V58" s="285"/>
      <c r="W58" s="285" t="e">
        <f>W52-W55</f>
        <v>#REF!</v>
      </c>
      <c r="X58" s="285"/>
      <c r="Y58" s="285" t="e">
        <f>Y52-Y55</f>
        <v>#REF!</v>
      </c>
      <c r="Z58" s="285"/>
      <c r="AA58" s="284"/>
      <c r="AB58" s="284"/>
      <c r="AC58" s="284"/>
      <c r="AD58" s="284"/>
      <c r="AE58" s="284"/>
      <c r="AF58" s="284"/>
      <c r="AG58" s="284"/>
      <c r="AH58" s="284"/>
      <c r="AI58" s="284"/>
      <c r="AJ58" s="284"/>
      <c r="AK58" s="284"/>
      <c r="AL58" s="284"/>
      <c r="AM58" s="284"/>
    </row>
    <row r="59" spans="1:41" ht="28.5" hidden="1">
      <c r="C59" s="253" t="s">
        <v>103</v>
      </c>
      <c r="E59" s="253">
        <v>3395</v>
      </c>
      <c r="G59" s="253">
        <v>2829</v>
      </c>
      <c r="J59" s="281" t="s">
        <v>93</v>
      </c>
      <c r="K59" s="281"/>
      <c r="L59" s="281"/>
      <c r="M59" s="280">
        <v>922894.48689333349</v>
      </c>
      <c r="N59" s="286" t="s">
        <v>473</v>
      </c>
      <c r="O59" s="285" t="e">
        <f>O53-O56</f>
        <v>#REF!</v>
      </c>
      <c r="P59" s="285"/>
      <c r="Q59" s="285" t="e">
        <f>Q53-Q56</f>
        <v>#REF!</v>
      </c>
      <c r="R59" s="285"/>
      <c r="S59" s="285" t="e">
        <f>S53-S56</f>
        <v>#REF!</v>
      </c>
      <c r="T59" s="285"/>
      <c r="U59" s="285" t="e">
        <f>U53-U56</f>
        <v>#REF!</v>
      </c>
      <c r="V59" s="285"/>
      <c r="W59" s="285" t="e">
        <f>W53-W56</f>
        <v>#REF!</v>
      </c>
      <c r="X59" s="285"/>
      <c r="Y59" s="285" t="e">
        <f>Y53-Y56</f>
        <v>#REF!</v>
      </c>
      <c r="Z59" s="285"/>
      <c r="AA59" s="284"/>
      <c r="AB59" s="284"/>
      <c r="AC59" s="284"/>
      <c r="AD59" s="284"/>
      <c r="AE59" s="284"/>
      <c r="AF59" s="284"/>
      <c r="AG59" s="284"/>
      <c r="AH59" s="284"/>
      <c r="AI59" s="284"/>
      <c r="AJ59" s="284"/>
      <c r="AK59" s="284"/>
      <c r="AL59" s="284"/>
      <c r="AM59" s="284"/>
    </row>
    <row r="60" spans="1:41" ht="28.5" hidden="1">
      <c r="C60" s="253" t="s">
        <v>104</v>
      </c>
      <c r="E60" s="253">
        <v>632</v>
      </c>
      <c r="G60" s="253">
        <v>574</v>
      </c>
      <c r="J60" s="281" t="s">
        <v>95</v>
      </c>
      <c r="K60" s="281"/>
      <c r="L60" s="281"/>
      <c r="M60" s="280">
        <v>626826.14731999999</v>
      </c>
      <c r="O60" s="283"/>
      <c r="P60" s="283"/>
      <c r="S60" s="18"/>
      <c r="T60" s="18"/>
    </row>
    <row r="61" spans="1:41" ht="28.5" hidden="1">
      <c r="C61" s="253" t="s">
        <v>102</v>
      </c>
      <c r="E61" s="253">
        <v>7635</v>
      </c>
      <c r="G61" s="253">
        <v>6521</v>
      </c>
      <c r="J61" s="281" t="s">
        <v>98</v>
      </c>
      <c r="K61" s="281"/>
      <c r="L61" s="281"/>
      <c r="M61" s="280">
        <v>507169.45658666664</v>
      </c>
      <c r="S61" s="18"/>
      <c r="T61" s="18"/>
      <c r="W61" s="253"/>
      <c r="X61" s="253"/>
    </row>
    <row r="62" spans="1:41" ht="28.5" hidden="1">
      <c r="C62" s="253" t="s">
        <v>105</v>
      </c>
      <c r="E62" s="253">
        <v>16734</v>
      </c>
      <c r="G62" s="253">
        <v>13640</v>
      </c>
      <c r="J62" s="281" t="s">
        <v>97</v>
      </c>
      <c r="K62" s="281"/>
      <c r="L62" s="281"/>
      <c r="M62" s="280">
        <v>404234.89387999999</v>
      </c>
    </row>
    <row r="63" spans="1:41" ht="28.5" hidden="1">
      <c r="C63" s="253" t="s">
        <v>106</v>
      </c>
      <c r="E63" s="253">
        <v>1599</v>
      </c>
      <c r="G63" s="253">
        <v>1321</v>
      </c>
      <c r="J63" s="281" t="s">
        <v>94</v>
      </c>
      <c r="K63" s="281"/>
      <c r="L63" s="281"/>
      <c r="M63" s="280">
        <v>486942.12831999996</v>
      </c>
      <c r="N63" s="253" t="s">
        <v>472</v>
      </c>
      <c r="O63" s="253" t="s">
        <v>183</v>
      </c>
      <c r="Q63" s="253" t="s">
        <v>184</v>
      </c>
      <c r="S63" s="253" t="s">
        <v>279</v>
      </c>
      <c r="U63" s="253" t="s">
        <v>28</v>
      </c>
    </row>
    <row r="64" spans="1:41" ht="28.5" hidden="1">
      <c r="C64" s="253" t="s">
        <v>108</v>
      </c>
      <c r="E64" s="253">
        <v>373</v>
      </c>
      <c r="G64" s="253">
        <v>337</v>
      </c>
      <c r="J64" s="281" t="s">
        <v>471</v>
      </c>
      <c r="K64" s="281"/>
      <c r="L64" s="281"/>
      <c r="M64" s="280">
        <v>2358220.2612533332</v>
      </c>
      <c r="N64" s="253" t="s">
        <v>99</v>
      </c>
      <c r="O64" s="282">
        <v>40.770606685409945</v>
      </c>
      <c r="P64" s="282"/>
      <c r="Q64" s="282">
        <v>4.7068023162736301</v>
      </c>
      <c r="R64" s="282"/>
      <c r="S64" s="282">
        <v>1.9752709056073892</v>
      </c>
      <c r="T64" s="282"/>
      <c r="U64" s="282">
        <v>52.547320092709036</v>
      </c>
      <c r="V64" s="282"/>
    </row>
    <row r="65" spans="1:22" ht="28.5" hidden="1">
      <c r="C65" s="253" t="s">
        <v>109</v>
      </c>
      <c r="E65" s="253">
        <v>97</v>
      </c>
      <c r="G65" s="253">
        <v>84</v>
      </c>
      <c r="J65" s="281" t="s">
        <v>470</v>
      </c>
      <c r="K65" s="281"/>
      <c r="L65" s="281"/>
      <c r="M65" s="280">
        <v>4197033.6555333333</v>
      </c>
      <c r="N65" s="253" t="s">
        <v>107</v>
      </c>
      <c r="O65" s="282">
        <v>0</v>
      </c>
      <c r="P65" s="282"/>
      <c r="Q65" s="282">
        <v>0</v>
      </c>
      <c r="R65" s="282"/>
      <c r="S65" s="282">
        <v>0</v>
      </c>
      <c r="T65" s="282"/>
      <c r="U65" s="282">
        <v>0</v>
      </c>
      <c r="V65" s="282"/>
    </row>
    <row r="66" spans="1:22" ht="28.5" hidden="1">
      <c r="C66" s="253" t="s">
        <v>107</v>
      </c>
      <c r="E66" s="253">
        <v>11766</v>
      </c>
      <c r="G66" s="253">
        <v>10163</v>
      </c>
      <c r="J66" s="281" t="s">
        <v>111</v>
      </c>
      <c r="K66" s="281"/>
      <c r="L66" s="281"/>
      <c r="M66" s="280">
        <v>10125312.741786666</v>
      </c>
      <c r="N66" s="253" t="s">
        <v>111</v>
      </c>
      <c r="O66" s="282">
        <v>0</v>
      </c>
      <c r="P66" s="282"/>
      <c r="Q66" s="282">
        <v>0</v>
      </c>
      <c r="R66" s="282"/>
      <c r="S66" s="282">
        <v>0</v>
      </c>
      <c r="T66" s="282"/>
      <c r="U66" s="282">
        <v>0</v>
      </c>
      <c r="V66" s="282"/>
    </row>
    <row r="67" spans="1:22" ht="28.5" hidden="1">
      <c r="C67" s="253" t="s">
        <v>110</v>
      </c>
      <c r="E67" s="253">
        <v>5778</v>
      </c>
      <c r="G67" s="253">
        <v>5172</v>
      </c>
      <c r="J67" s="281" t="s">
        <v>102</v>
      </c>
      <c r="K67" s="281"/>
      <c r="L67" s="281"/>
      <c r="M67" s="280">
        <v>1919091.8074399999</v>
      </c>
    </row>
    <row r="68" spans="1:22" ht="28.5" hidden="1">
      <c r="C68" s="253" t="s">
        <v>112</v>
      </c>
      <c r="E68" s="253">
        <v>760</v>
      </c>
      <c r="G68" s="253">
        <v>669</v>
      </c>
      <c r="J68" s="281" t="s">
        <v>469</v>
      </c>
      <c r="K68" s="281"/>
      <c r="L68" s="281"/>
      <c r="M68" s="280">
        <v>2961899.0560399997</v>
      </c>
    </row>
    <row r="69" spans="1:22" ht="28.5" hidden="1">
      <c r="C69" s="253" t="s">
        <v>111</v>
      </c>
      <c r="E69" s="253">
        <v>40781</v>
      </c>
      <c r="G69" s="253">
        <v>34594</v>
      </c>
      <c r="J69" s="281" t="s">
        <v>468</v>
      </c>
      <c r="K69" s="281"/>
      <c r="L69" s="281"/>
      <c r="M69" s="280">
        <v>1430561.0237333332</v>
      </c>
    </row>
    <row r="70" spans="1:22" hidden="1">
      <c r="C70" s="253" t="s">
        <v>113</v>
      </c>
      <c r="E70" s="253">
        <v>449</v>
      </c>
      <c r="G70" s="253">
        <v>402</v>
      </c>
      <c r="M70" s="279">
        <f>SUM(M43:M69)</f>
        <v>30888376.568466667</v>
      </c>
    </row>
    <row r="71" spans="1:22" hidden="1"/>
    <row r="72" spans="1:22" ht="18.75">
      <c r="A72" s="278"/>
      <c r="B72" s="277"/>
      <c r="C72" s="277"/>
      <c r="D72" s="277"/>
      <c r="E72" s="277"/>
      <c r="F72" s="277"/>
      <c r="G72" s="277"/>
      <c r="H72" s="277"/>
      <c r="I72" s="277"/>
      <c r="J72" s="277"/>
    </row>
    <row r="73" spans="1:22" ht="31.5">
      <c r="A73" s="1271"/>
      <c r="B73" s="1271"/>
      <c r="C73" s="1271"/>
      <c r="D73" s="1271"/>
      <c r="E73" s="1271"/>
      <c r="F73" s="275"/>
    </row>
    <row r="74" spans="1:22" ht="31.5">
      <c r="A74" s="1271"/>
      <c r="B74" s="1271"/>
      <c r="C74" s="1271"/>
      <c r="D74" s="1271"/>
      <c r="E74" s="1271"/>
      <c r="F74" s="275"/>
    </row>
    <row r="75" spans="1:22" ht="31.5">
      <c r="A75" s="1271"/>
      <c r="B75" s="1271"/>
      <c r="C75" s="1271"/>
      <c r="D75" s="1271"/>
      <c r="E75" s="1271"/>
      <c r="F75" s="275"/>
    </row>
    <row r="76" spans="1:22" ht="31.5">
      <c r="A76" s="1271"/>
      <c r="B76" s="1271"/>
      <c r="C76" s="1271"/>
      <c r="D76" s="1271"/>
      <c r="E76" s="1271"/>
      <c r="F76" s="275"/>
    </row>
  </sheetData>
  <autoFilter ref="A4:AO38">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37">
    <mergeCell ref="F5:F6"/>
    <mergeCell ref="W5:X5"/>
    <mergeCell ref="U5:V5"/>
    <mergeCell ref="S5:T5"/>
    <mergeCell ref="Q5:R5"/>
    <mergeCell ref="A73:E76"/>
    <mergeCell ref="O41:S41"/>
    <mergeCell ref="O40:S40"/>
    <mergeCell ref="B5:B6"/>
    <mergeCell ref="A4:A6"/>
    <mergeCell ref="N4:N6"/>
    <mergeCell ref="M4:M6"/>
    <mergeCell ref="L5:L6"/>
    <mergeCell ref="K5:K6"/>
    <mergeCell ref="J5:J6"/>
    <mergeCell ref="O5:P5"/>
    <mergeCell ref="O4:AL4"/>
    <mergeCell ref="AK5:AL5"/>
    <mergeCell ref="Y5:Z5"/>
    <mergeCell ref="AE5:AF5"/>
    <mergeCell ref="I5:I6"/>
    <mergeCell ref="AI5:AJ5"/>
    <mergeCell ref="AG5:AH5"/>
    <mergeCell ref="A1:AO1"/>
    <mergeCell ref="A2:AO2"/>
    <mergeCell ref="B4:F4"/>
    <mergeCell ref="AC5:AD5"/>
    <mergeCell ref="AA5:AB5"/>
    <mergeCell ref="AO4:AO6"/>
    <mergeCell ref="AN4:AN6"/>
    <mergeCell ref="AM4:AM6"/>
    <mergeCell ref="D5:D6"/>
    <mergeCell ref="C5:C6"/>
    <mergeCell ref="E5:E6"/>
    <mergeCell ref="G4:L4"/>
    <mergeCell ref="H5:H6"/>
    <mergeCell ref="G5:G6"/>
  </mergeCells>
  <conditionalFormatting sqref="I38:AL38">
    <cfRule type="cellIs" dxfId="232" priority="4" operator="equal">
      <formula>TRUE</formula>
    </cfRule>
  </conditionalFormatting>
  <conditionalFormatting sqref="AM38">
    <cfRule type="cellIs" dxfId="231" priority="3" operator="equal">
      <formula>TRUE</formula>
    </cfRule>
  </conditionalFormatting>
  <conditionalFormatting sqref="G38:H38">
    <cfRule type="cellIs" dxfId="230" priority="2" operator="equal">
      <formula>TRUE</formula>
    </cfRule>
  </conditionalFormatting>
  <conditionalFormatting sqref="E38:F38">
    <cfRule type="cellIs" dxfId="229" priority="1" operator="equal">
      <formula>TRUE</formula>
    </cfRule>
  </conditionalFormatting>
  <printOptions horizontalCentered="1" verticalCentered="1"/>
  <pageMargins left="0" right="0" top="0.78740157480314965" bottom="0.78740157480314965" header="0.31496062992125984" footer="0.31496062992125984"/>
  <pageSetup paperSize="9" scale="19" fitToHeight="0" orientation="landscape" r:id="rId1"/>
  <ignoredErrors>
    <ignoredError sqref="AM3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AP136"/>
  <sheetViews>
    <sheetView topLeftCell="AA1" zoomScale="70" zoomScaleNormal="70" workbookViewId="0">
      <selection activeCell="B2" sqref="B2:S30"/>
    </sheetView>
  </sheetViews>
  <sheetFormatPr defaultRowHeight="15"/>
  <cols>
    <col min="1" max="1" width="23.140625" style="12" hidden="1" customWidth="1"/>
    <col min="2" max="2" width="13.85546875" style="12" hidden="1" customWidth="1"/>
    <col min="3" max="3" width="13.7109375" style="12" hidden="1" customWidth="1"/>
    <col min="4" max="4" width="13.28515625" style="12" hidden="1" customWidth="1"/>
    <col min="5" max="5" width="13.42578125" style="12" hidden="1" customWidth="1"/>
    <col min="6" max="6" width="13.85546875" style="12" hidden="1" customWidth="1"/>
    <col min="7" max="7" width="19.7109375" style="12" hidden="1" customWidth="1"/>
    <col min="8" max="8" width="12.28515625" style="12" hidden="1" customWidth="1"/>
    <col min="9" max="9" width="15.7109375" style="12" hidden="1" customWidth="1"/>
    <col min="10" max="10" width="13.140625" style="12" hidden="1" customWidth="1"/>
    <col min="11" max="11" width="20.42578125" style="12" hidden="1" customWidth="1"/>
    <col min="12" max="15" width="20.28515625" style="12" hidden="1" customWidth="1"/>
    <col min="16" max="16" width="15.140625" style="12" hidden="1" customWidth="1"/>
    <col min="17" max="17" width="5.5703125" style="12" hidden="1" customWidth="1"/>
    <col min="18" max="18" width="19.28515625" style="12" customWidth="1"/>
    <col min="19" max="28" width="21.140625" style="12" customWidth="1"/>
    <col min="29" max="29" width="19.5703125" style="12" customWidth="1"/>
    <col min="30" max="30" width="13.140625" style="12" customWidth="1"/>
    <col min="31" max="34" width="21.140625" style="12" customWidth="1"/>
    <col min="35" max="40" width="16.7109375" style="12" customWidth="1"/>
    <col min="41" max="41" width="18" style="12" bestFit="1" customWidth="1"/>
    <col min="42" max="16384" width="9.140625" style="12"/>
  </cols>
  <sheetData>
    <row r="1" spans="1:41">
      <c r="R1" s="1101"/>
    </row>
    <row r="2" spans="1:41" ht="46.5">
      <c r="A2" s="1220" t="s">
        <v>55</v>
      </c>
      <c r="B2" s="1221"/>
      <c r="C2" s="1221"/>
      <c r="D2" s="1221"/>
      <c r="E2" s="1221"/>
      <c r="F2" s="1221"/>
      <c r="G2" s="1221"/>
      <c r="H2" s="1221"/>
      <c r="I2" s="1221"/>
      <c r="J2" s="1221"/>
      <c r="K2" s="1221"/>
      <c r="L2" s="1221"/>
      <c r="M2" s="1221"/>
      <c r="N2" s="1221"/>
      <c r="O2" s="1222"/>
      <c r="R2" s="1220" t="s">
        <v>57</v>
      </c>
      <c r="S2" s="1221"/>
      <c r="T2" s="1221"/>
      <c r="U2" s="1221"/>
      <c r="V2" s="1221"/>
      <c r="W2" s="1221"/>
      <c r="X2" s="1221"/>
      <c r="Y2" s="1221"/>
      <c r="Z2" s="1221"/>
      <c r="AA2" s="1221"/>
      <c r="AB2" s="1221"/>
      <c r="AC2" s="1221"/>
      <c r="AD2" s="1221"/>
      <c r="AE2" s="1221"/>
      <c r="AF2" s="1221"/>
      <c r="AG2" s="1221"/>
      <c r="AH2" s="1222"/>
    </row>
    <row r="3" spans="1:41" ht="35.1" customHeight="1">
      <c r="A3" s="1226" t="s">
        <v>33</v>
      </c>
      <c r="B3" s="1228" t="s">
        <v>27</v>
      </c>
      <c r="C3" s="1229"/>
      <c r="D3" s="1228" t="s">
        <v>29</v>
      </c>
      <c r="E3" s="1229"/>
      <c r="F3" s="1226" t="s">
        <v>28</v>
      </c>
      <c r="G3" s="1226" t="s">
        <v>36</v>
      </c>
      <c r="H3" s="1226" t="s">
        <v>30</v>
      </c>
      <c r="I3" s="1226" t="s">
        <v>31</v>
      </c>
      <c r="J3" s="1226" t="s">
        <v>41</v>
      </c>
      <c r="K3" s="1226" t="s">
        <v>35</v>
      </c>
      <c r="L3" s="1226" t="s">
        <v>40</v>
      </c>
      <c r="M3" s="1226" t="s">
        <v>42</v>
      </c>
      <c r="N3" s="1226" t="s">
        <v>45</v>
      </c>
      <c r="O3" s="1226" t="s">
        <v>34</v>
      </c>
      <c r="P3" s="1087"/>
      <c r="Q3" s="1087"/>
      <c r="R3" s="1226" t="s">
        <v>33</v>
      </c>
      <c r="S3" s="1228" t="s">
        <v>27</v>
      </c>
      <c r="T3" s="1229"/>
      <c r="U3" s="1228" t="s">
        <v>29</v>
      </c>
      <c r="V3" s="1229"/>
      <c r="W3" s="1226" t="s">
        <v>28</v>
      </c>
      <c r="X3" s="1226" t="s">
        <v>36</v>
      </c>
      <c r="Y3" s="1226" t="s">
        <v>30</v>
      </c>
      <c r="Z3" s="1226" t="s">
        <v>31</v>
      </c>
      <c r="AA3" s="1226" t="s">
        <v>41</v>
      </c>
      <c r="AB3" s="1226" t="s">
        <v>35</v>
      </c>
      <c r="AC3" s="1226" t="s">
        <v>40</v>
      </c>
      <c r="AD3" s="1226" t="s">
        <v>42</v>
      </c>
      <c r="AE3" s="1226" t="s">
        <v>45</v>
      </c>
      <c r="AF3" s="1228" t="s">
        <v>51</v>
      </c>
      <c r="AG3" s="1229"/>
      <c r="AH3" s="1226" t="s">
        <v>34</v>
      </c>
      <c r="AI3" s="1087"/>
      <c r="AJ3" s="1087"/>
      <c r="AK3" s="1087"/>
      <c r="AL3" s="1087"/>
      <c r="AM3" s="1087"/>
      <c r="AN3" s="1087"/>
    </row>
    <row r="4" spans="1:41" ht="35.1" customHeight="1">
      <c r="A4" s="1227"/>
      <c r="B4" s="1091" t="s">
        <v>43</v>
      </c>
      <c r="C4" s="1091" t="s">
        <v>44</v>
      </c>
      <c r="D4" s="1091" t="s">
        <v>43</v>
      </c>
      <c r="E4" s="1091" t="s">
        <v>44</v>
      </c>
      <c r="F4" s="1227"/>
      <c r="G4" s="1227"/>
      <c r="H4" s="1227"/>
      <c r="I4" s="1227"/>
      <c r="J4" s="1227"/>
      <c r="K4" s="1227"/>
      <c r="L4" s="1227"/>
      <c r="M4" s="1227"/>
      <c r="N4" s="1227"/>
      <c r="O4" s="1227"/>
      <c r="P4" s="1087"/>
      <c r="Q4" s="1087"/>
      <c r="R4" s="1227"/>
      <c r="S4" s="1091" t="s">
        <v>43</v>
      </c>
      <c r="T4" s="1091" t="s">
        <v>44</v>
      </c>
      <c r="U4" s="1091" t="s">
        <v>43</v>
      </c>
      <c r="V4" s="1091" t="s">
        <v>44</v>
      </c>
      <c r="W4" s="1227"/>
      <c r="X4" s="1227"/>
      <c r="Y4" s="1227"/>
      <c r="Z4" s="1227"/>
      <c r="AA4" s="1227"/>
      <c r="AB4" s="1227"/>
      <c r="AC4" s="1227"/>
      <c r="AD4" s="1227"/>
      <c r="AE4" s="1227"/>
      <c r="AF4" s="1092" t="s">
        <v>52</v>
      </c>
      <c r="AG4" s="1092" t="s">
        <v>53</v>
      </c>
      <c r="AH4" s="1227"/>
      <c r="AI4" s="1104" t="s">
        <v>183</v>
      </c>
      <c r="AJ4" s="1104" t="s">
        <v>424</v>
      </c>
      <c r="AK4" s="1104" t="s">
        <v>184</v>
      </c>
      <c r="AL4" s="1104" t="s">
        <v>425</v>
      </c>
      <c r="AM4" s="1104" t="s">
        <v>28</v>
      </c>
      <c r="AN4" s="1104" t="s">
        <v>185</v>
      </c>
    </row>
    <row r="5" spans="1:41">
      <c r="A5" s="2" t="s">
        <v>0</v>
      </c>
      <c r="B5" s="20"/>
      <c r="C5" s="20"/>
      <c r="D5" s="20"/>
      <c r="E5" s="20"/>
      <c r="F5" s="20"/>
      <c r="G5" s="20"/>
      <c r="H5" s="20"/>
      <c r="I5" s="20"/>
      <c r="J5" s="20"/>
      <c r="K5" s="20"/>
      <c r="L5" s="20"/>
      <c r="M5" s="20"/>
      <c r="N5" s="20"/>
      <c r="O5" s="10">
        <f t="shared" ref="O5:O31" si="0">SUM(B5:N5)</f>
        <v>0</v>
      </c>
      <c r="P5" s="1093"/>
      <c r="Q5" s="1087"/>
      <c r="R5" s="2" t="s">
        <v>87</v>
      </c>
      <c r="S5" s="20">
        <f t="shared" ref="S5:AG5" si="1">S75*0.8</f>
        <v>14560.495999999999</v>
      </c>
      <c r="T5" s="20">
        <f t="shared" si="1"/>
        <v>3850.3919999999998</v>
      </c>
      <c r="U5" s="20">
        <f t="shared" si="1"/>
        <v>2697.0560000000005</v>
      </c>
      <c r="V5" s="20">
        <f t="shared" si="1"/>
        <v>420.52800000000002</v>
      </c>
      <c r="W5" s="20">
        <f t="shared" si="1"/>
        <v>14855.224</v>
      </c>
      <c r="X5" s="20">
        <f t="shared" si="1"/>
        <v>313.44000000000005</v>
      </c>
      <c r="Y5" s="20">
        <f t="shared" si="1"/>
        <v>292.40000000000003</v>
      </c>
      <c r="Z5" s="20">
        <f t="shared" si="1"/>
        <v>0</v>
      </c>
      <c r="AA5" s="20">
        <f t="shared" si="1"/>
        <v>740.47200000000009</v>
      </c>
      <c r="AB5" s="20">
        <f t="shared" si="1"/>
        <v>310.88800000000003</v>
      </c>
      <c r="AC5" s="20">
        <f t="shared" si="1"/>
        <v>0</v>
      </c>
      <c r="AD5" s="20">
        <f t="shared" si="1"/>
        <v>0</v>
      </c>
      <c r="AE5" s="20">
        <f t="shared" si="1"/>
        <v>0</v>
      </c>
      <c r="AF5" s="20">
        <f t="shared" si="1"/>
        <v>0</v>
      </c>
      <c r="AG5" s="20">
        <f t="shared" si="1"/>
        <v>0</v>
      </c>
      <c r="AH5" s="10">
        <f t="shared" ref="AH5:AH31" si="2">SUM(S5:AG5)</f>
        <v>38040.896000000001</v>
      </c>
      <c r="AI5" s="1093">
        <f>S5</f>
        <v>14560.495999999999</v>
      </c>
      <c r="AJ5" s="1093">
        <f>T5</f>
        <v>3850.3919999999998</v>
      </c>
      <c r="AK5" s="1093">
        <f>U5</f>
        <v>2697.0560000000005</v>
      </c>
      <c r="AL5" s="1093">
        <f>V5</f>
        <v>420.52800000000002</v>
      </c>
      <c r="AM5" s="1093">
        <f>W5</f>
        <v>14855.224</v>
      </c>
      <c r="AN5" s="1093">
        <f>SUM(X5:AG5)</f>
        <v>1657.2000000000003</v>
      </c>
      <c r="AO5" s="1102"/>
    </row>
    <row r="6" spans="1:41">
      <c r="A6" s="2" t="s">
        <v>1</v>
      </c>
      <c r="B6" s="20"/>
      <c r="C6" s="20"/>
      <c r="D6" s="20"/>
      <c r="E6" s="20"/>
      <c r="F6" s="20"/>
      <c r="G6" s="20"/>
      <c r="H6" s="20"/>
      <c r="I6" s="20"/>
      <c r="J6" s="20"/>
      <c r="K6" s="20"/>
      <c r="L6" s="20"/>
      <c r="M6" s="20"/>
      <c r="N6" s="20"/>
      <c r="O6" s="10">
        <f t="shared" si="0"/>
        <v>0</v>
      </c>
      <c r="P6" s="1093"/>
      <c r="Q6" s="1087"/>
      <c r="R6" s="2" t="s">
        <v>88</v>
      </c>
      <c r="S6" s="20">
        <f t="shared" ref="S6:AG6" si="3">S76*0.8</f>
        <v>82619.016000000003</v>
      </c>
      <c r="T6" s="20">
        <f t="shared" si="3"/>
        <v>25126.440000000002</v>
      </c>
      <c r="U6" s="20">
        <f t="shared" si="3"/>
        <v>3794.1680000000001</v>
      </c>
      <c r="V6" s="20">
        <f t="shared" si="3"/>
        <v>1131.8399999999999</v>
      </c>
      <c r="W6" s="20">
        <f t="shared" si="3"/>
        <v>37533.688000000002</v>
      </c>
      <c r="X6" s="20">
        <f t="shared" si="3"/>
        <v>1011.024</v>
      </c>
      <c r="Y6" s="20">
        <f t="shared" si="3"/>
        <v>3503.3440000000005</v>
      </c>
      <c r="Z6" s="20">
        <f t="shared" si="3"/>
        <v>442.22399999999999</v>
      </c>
      <c r="AA6" s="20">
        <f t="shared" si="3"/>
        <v>3467.3760000000002</v>
      </c>
      <c r="AB6" s="20">
        <f t="shared" si="3"/>
        <v>0</v>
      </c>
      <c r="AC6" s="20">
        <f t="shared" si="3"/>
        <v>0</v>
      </c>
      <c r="AD6" s="20">
        <f t="shared" si="3"/>
        <v>0</v>
      </c>
      <c r="AE6" s="20">
        <f t="shared" si="3"/>
        <v>68.567999999999998</v>
      </c>
      <c r="AF6" s="20">
        <f t="shared" si="3"/>
        <v>0</v>
      </c>
      <c r="AG6" s="20">
        <f t="shared" si="3"/>
        <v>0</v>
      </c>
      <c r="AH6" s="10">
        <f t="shared" si="2"/>
        <v>158697.68799999999</v>
      </c>
      <c r="AI6" s="1093">
        <f t="shared" ref="AI6:AI31" si="4">S6</f>
        <v>82619.016000000003</v>
      </c>
      <c r="AJ6" s="1093">
        <f t="shared" ref="AJ6:AJ31" si="5">T6</f>
        <v>25126.440000000002</v>
      </c>
      <c r="AK6" s="1093">
        <f t="shared" ref="AK6:AK31" si="6">U6</f>
        <v>3794.1680000000001</v>
      </c>
      <c r="AL6" s="1093">
        <f t="shared" ref="AL6:AL31" si="7">V6</f>
        <v>1131.8399999999999</v>
      </c>
      <c r="AM6" s="1093">
        <f t="shared" ref="AM6:AM31" si="8">W6</f>
        <v>37533.688000000002</v>
      </c>
      <c r="AN6" s="1093">
        <f t="shared" ref="AN6:AN31" si="9">SUM(X6:AG6)</f>
        <v>8492.5360000000001</v>
      </c>
      <c r="AO6" s="1102"/>
    </row>
    <row r="7" spans="1:41">
      <c r="A7" s="2" t="s">
        <v>2</v>
      </c>
      <c r="B7" s="20"/>
      <c r="C7" s="20"/>
      <c r="D7" s="20"/>
      <c r="E7" s="20"/>
      <c r="F7" s="20"/>
      <c r="G7" s="20"/>
      <c r="H7" s="20"/>
      <c r="I7" s="20"/>
      <c r="J7" s="20"/>
      <c r="K7" s="20"/>
      <c r="L7" s="20"/>
      <c r="M7" s="20"/>
      <c r="N7" s="20"/>
      <c r="O7" s="10">
        <f t="shared" si="0"/>
        <v>0</v>
      </c>
      <c r="P7" s="1093"/>
      <c r="Q7" s="1087"/>
      <c r="R7" s="2" t="s">
        <v>89</v>
      </c>
      <c r="S7" s="20">
        <f t="shared" ref="S7:AG7" si="10">S77*0.8</f>
        <v>16939.752</v>
      </c>
      <c r="T7" s="20">
        <f t="shared" si="10"/>
        <v>6473.5680000000002</v>
      </c>
      <c r="U7" s="20">
        <f t="shared" si="10"/>
        <v>2392.3040000000001</v>
      </c>
      <c r="V7" s="20">
        <f t="shared" si="10"/>
        <v>3040.6640000000002</v>
      </c>
      <c r="W7" s="20">
        <f t="shared" si="10"/>
        <v>22650.392000000003</v>
      </c>
      <c r="X7" s="20">
        <f t="shared" si="10"/>
        <v>1253.7600000000002</v>
      </c>
      <c r="Y7" s="20">
        <f t="shared" si="10"/>
        <v>866.16800000000012</v>
      </c>
      <c r="Z7" s="20">
        <f t="shared" si="10"/>
        <v>0</v>
      </c>
      <c r="AA7" s="20">
        <f t="shared" si="10"/>
        <v>1294.9520000000002</v>
      </c>
      <c r="AB7" s="20">
        <f t="shared" si="10"/>
        <v>156.72000000000003</v>
      </c>
      <c r="AC7" s="20">
        <f t="shared" si="10"/>
        <v>0</v>
      </c>
      <c r="AD7" s="20">
        <f t="shared" si="10"/>
        <v>0</v>
      </c>
      <c r="AE7" s="20">
        <f t="shared" si="10"/>
        <v>0</v>
      </c>
      <c r="AF7" s="20">
        <f t="shared" si="10"/>
        <v>0</v>
      </c>
      <c r="AG7" s="20">
        <f t="shared" si="10"/>
        <v>0</v>
      </c>
      <c r="AH7" s="10">
        <f t="shared" si="2"/>
        <v>55068.280000000006</v>
      </c>
      <c r="AI7" s="1093">
        <f t="shared" si="4"/>
        <v>16939.752</v>
      </c>
      <c r="AJ7" s="1093">
        <f t="shared" si="5"/>
        <v>6473.5680000000002</v>
      </c>
      <c r="AK7" s="1093">
        <f t="shared" si="6"/>
        <v>2392.3040000000001</v>
      </c>
      <c r="AL7" s="1093">
        <f t="shared" si="7"/>
        <v>3040.6640000000002</v>
      </c>
      <c r="AM7" s="1093">
        <f t="shared" si="8"/>
        <v>22650.392000000003</v>
      </c>
      <c r="AN7" s="1093">
        <f t="shared" si="9"/>
        <v>3571.6000000000004</v>
      </c>
      <c r="AO7" s="1102"/>
    </row>
    <row r="8" spans="1:41">
      <c r="A8" s="2" t="s">
        <v>3</v>
      </c>
      <c r="B8" s="20"/>
      <c r="C8" s="20"/>
      <c r="D8" s="20"/>
      <c r="E8" s="20"/>
      <c r="F8" s="20"/>
      <c r="G8" s="20"/>
      <c r="H8" s="20"/>
      <c r="I8" s="20"/>
      <c r="J8" s="20"/>
      <c r="K8" s="20"/>
      <c r="L8" s="20"/>
      <c r="M8" s="20"/>
      <c r="N8" s="20"/>
      <c r="O8" s="10">
        <f t="shared" si="0"/>
        <v>0</v>
      </c>
      <c r="P8" s="1093"/>
      <c r="Q8" s="1087"/>
      <c r="R8" s="2" t="s">
        <v>90</v>
      </c>
      <c r="S8" s="20">
        <f t="shared" ref="S8:AE8" si="11">S78*0.8</f>
        <v>56159.095999999998</v>
      </c>
      <c r="T8" s="20">
        <f t="shared" si="11"/>
        <v>20675.456000000002</v>
      </c>
      <c r="U8" s="20">
        <f t="shared" si="11"/>
        <v>7055.0240000000013</v>
      </c>
      <c r="V8" s="20">
        <f t="shared" si="11"/>
        <v>1523.9760000000001</v>
      </c>
      <c r="W8" s="20">
        <f t="shared" si="11"/>
        <v>33880.640000000007</v>
      </c>
      <c r="X8" s="20">
        <f t="shared" si="11"/>
        <v>624.32799999999997</v>
      </c>
      <c r="Y8" s="20">
        <f t="shared" si="11"/>
        <v>2184.1680000000001</v>
      </c>
      <c r="Z8" s="20">
        <f t="shared" si="11"/>
        <v>0</v>
      </c>
      <c r="AA8" s="20">
        <f t="shared" si="11"/>
        <v>2872</v>
      </c>
      <c r="AB8" s="20">
        <f t="shared" si="11"/>
        <v>78.360000000000014</v>
      </c>
      <c r="AC8" s="20">
        <f t="shared" si="11"/>
        <v>0</v>
      </c>
      <c r="AD8" s="20">
        <f t="shared" si="11"/>
        <v>0</v>
      </c>
      <c r="AE8" s="20">
        <f t="shared" si="11"/>
        <v>22.112000000000002</v>
      </c>
      <c r="AF8" s="20">
        <f>AF78</f>
        <v>0</v>
      </c>
      <c r="AG8" s="20">
        <f>AG78</f>
        <v>0</v>
      </c>
      <c r="AH8" s="10">
        <f t="shared" si="2"/>
        <v>125075.16</v>
      </c>
      <c r="AI8" s="1093">
        <f t="shared" si="4"/>
        <v>56159.095999999998</v>
      </c>
      <c r="AJ8" s="1093">
        <f t="shared" si="5"/>
        <v>20675.456000000002</v>
      </c>
      <c r="AK8" s="1093">
        <f t="shared" si="6"/>
        <v>7055.0240000000013</v>
      </c>
      <c r="AL8" s="1093">
        <f t="shared" si="7"/>
        <v>1523.9760000000001</v>
      </c>
      <c r="AM8" s="1093">
        <f t="shared" si="8"/>
        <v>33880.640000000007</v>
      </c>
      <c r="AN8" s="1093">
        <f t="shared" si="9"/>
        <v>5780.9679999999998</v>
      </c>
      <c r="AO8" s="1102"/>
    </row>
    <row r="9" spans="1:41">
      <c r="A9" s="2" t="s">
        <v>4</v>
      </c>
      <c r="B9" s="20"/>
      <c r="C9" s="20"/>
      <c r="D9" s="20"/>
      <c r="E9" s="20"/>
      <c r="F9" s="20"/>
      <c r="G9" s="20"/>
      <c r="H9" s="20"/>
      <c r="I9" s="20"/>
      <c r="J9" s="20"/>
      <c r="K9" s="20"/>
      <c r="L9" s="20"/>
      <c r="M9" s="20"/>
      <c r="N9" s="20"/>
      <c r="O9" s="10">
        <f t="shared" si="0"/>
        <v>0</v>
      </c>
      <c r="P9" s="1093"/>
      <c r="Q9" s="1087"/>
      <c r="R9" s="2" t="s">
        <v>91</v>
      </c>
      <c r="S9" s="20">
        <f t="shared" ref="S9:AE9" si="12">S79*0.8</f>
        <v>240394.49600000001</v>
      </c>
      <c r="T9" s="20">
        <f t="shared" si="12"/>
        <v>56708.472000000002</v>
      </c>
      <c r="U9" s="20">
        <f t="shared" si="12"/>
        <v>30840.920000000002</v>
      </c>
      <c r="V9" s="20">
        <f t="shared" si="12"/>
        <v>3606.4400000000005</v>
      </c>
      <c r="W9" s="20">
        <f t="shared" si="12"/>
        <v>103651.664</v>
      </c>
      <c r="X9" s="20">
        <f t="shared" si="12"/>
        <v>2194.08</v>
      </c>
      <c r="Y9" s="20">
        <f t="shared" si="12"/>
        <v>6419.9760000000006</v>
      </c>
      <c r="Z9" s="20">
        <f t="shared" si="12"/>
        <v>0</v>
      </c>
      <c r="AA9" s="20">
        <f t="shared" si="12"/>
        <v>8489.5920000000006</v>
      </c>
      <c r="AB9" s="20">
        <f t="shared" si="12"/>
        <v>391.8</v>
      </c>
      <c r="AC9" s="20">
        <f t="shared" si="12"/>
        <v>151.61600000000001</v>
      </c>
      <c r="AD9" s="20">
        <f t="shared" si="12"/>
        <v>0</v>
      </c>
      <c r="AE9" s="20">
        <f t="shared" si="12"/>
        <v>182.10400000000001</v>
      </c>
      <c r="AF9" s="20">
        <f t="shared" ref="AF9:AG28" si="13">AF79*0.8</f>
        <v>0</v>
      </c>
      <c r="AG9" s="20">
        <f t="shared" si="13"/>
        <v>0</v>
      </c>
      <c r="AH9" s="10">
        <f t="shared" si="2"/>
        <v>453031.16</v>
      </c>
      <c r="AI9" s="1093">
        <f t="shared" si="4"/>
        <v>240394.49600000001</v>
      </c>
      <c r="AJ9" s="1093">
        <f t="shared" si="5"/>
        <v>56708.472000000002</v>
      </c>
      <c r="AK9" s="1093">
        <f t="shared" si="6"/>
        <v>30840.920000000002</v>
      </c>
      <c r="AL9" s="1093">
        <f t="shared" si="7"/>
        <v>3606.4400000000005</v>
      </c>
      <c r="AM9" s="1093">
        <f t="shared" si="8"/>
        <v>103651.664</v>
      </c>
      <c r="AN9" s="1093">
        <f t="shared" si="9"/>
        <v>17829.168000000001</v>
      </c>
      <c r="AO9" s="1102"/>
    </row>
    <row r="10" spans="1:41">
      <c r="A10" s="2" t="s">
        <v>5</v>
      </c>
      <c r="B10" s="20"/>
      <c r="C10" s="20"/>
      <c r="D10" s="20"/>
      <c r="E10" s="20"/>
      <c r="F10" s="20"/>
      <c r="G10" s="20"/>
      <c r="H10" s="20"/>
      <c r="I10" s="20"/>
      <c r="J10" s="20"/>
      <c r="K10" s="20"/>
      <c r="L10" s="20"/>
      <c r="M10" s="20"/>
      <c r="N10" s="20"/>
      <c r="O10" s="10">
        <f t="shared" si="0"/>
        <v>0</v>
      </c>
      <c r="P10" s="1093"/>
      <c r="Q10" s="1087"/>
      <c r="R10" s="2" t="s">
        <v>92</v>
      </c>
      <c r="S10" s="20">
        <f t="shared" ref="S10:AE10" si="14">S80*0.8</f>
        <v>187853.024</v>
      </c>
      <c r="T10" s="20">
        <f t="shared" si="14"/>
        <v>23023.120000000003</v>
      </c>
      <c r="U10" s="20">
        <f t="shared" si="14"/>
        <v>19353.648000000001</v>
      </c>
      <c r="V10" s="20">
        <f t="shared" si="14"/>
        <v>1410.6080000000002</v>
      </c>
      <c r="W10" s="20">
        <f t="shared" si="14"/>
        <v>75146.487999999998</v>
      </c>
      <c r="X10" s="20">
        <f t="shared" si="14"/>
        <v>1314.2560000000001</v>
      </c>
      <c r="Y10" s="20">
        <f t="shared" si="14"/>
        <v>2218.3119999999999</v>
      </c>
      <c r="Z10" s="20">
        <f t="shared" si="14"/>
        <v>361.53600000000006</v>
      </c>
      <c r="AA10" s="20">
        <f t="shared" si="14"/>
        <v>3996.6480000000006</v>
      </c>
      <c r="AB10" s="20">
        <f t="shared" si="14"/>
        <v>78.360000000000014</v>
      </c>
      <c r="AC10" s="20">
        <f t="shared" si="14"/>
        <v>0</v>
      </c>
      <c r="AD10" s="20">
        <f t="shared" si="14"/>
        <v>0</v>
      </c>
      <c r="AE10" s="20">
        <f t="shared" si="14"/>
        <v>68.567999999999998</v>
      </c>
      <c r="AF10" s="20">
        <f t="shared" si="13"/>
        <v>0</v>
      </c>
      <c r="AG10" s="20">
        <f t="shared" si="13"/>
        <v>0</v>
      </c>
      <c r="AH10" s="10">
        <f t="shared" si="2"/>
        <v>314824.56800000003</v>
      </c>
      <c r="AI10" s="1093">
        <f t="shared" si="4"/>
        <v>187853.024</v>
      </c>
      <c r="AJ10" s="1093">
        <f t="shared" si="5"/>
        <v>23023.120000000003</v>
      </c>
      <c r="AK10" s="1093">
        <f t="shared" si="6"/>
        <v>19353.648000000001</v>
      </c>
      <c r="AL10" s="1093">
        <f t="shared" si="7"/>
        <v>1410.6080000000002</v>
      </c>
      <c r="AM10" s="1093">
        <f t="shared" si="8"/>
        <v>75146.487999999998</v>
      </c>
      <c r="AN10" s="1093">
        <f t="shared" si="9"/>
        <v>8037.68</v>
      </c>
      <c r="AO10" s="1102"/>
    </row>
    <row r="11" spans="1:41">
      <c r="A11" s="2" t="s">
        <v>6</v>
      </c>
      <c r="B11" s="20"/>
      <c r="C11" s="20"/>
      <c r="D11" s="20"/>
      <c r="E11" s="20"/>
      <c r="F11" s="20"/>
      <c r="G11" s="20"/>
      <c r="H11" s="20"/>
      <c r="I11" s="20"/>
      <c r="J11" s="20"/>
      <c r="K11" s="20"/>
      <c r="L11" s="20"/>
      <c r="M11" s="20"/>
      <c r="N11" s="20"/>
      <c r="O11" s="10">
        <f t="shared" si="0"/>
        <v>0</v>
      </c>
      <c r="P11" s="1093"/>
      <c r="Q11" s="1087"/>
      <c r="R11" s="2" t="s">
        <v>93</v>
      </c>
      <c r="S11" s="20">
        <f t="shared" ref="S11:AE11" si="15">S81*0.8</f>
        <v>256441</v>
      </c>
      <c r="T11" s="20">
        <f t="shared" si="15"/>
        <v>59251.224000000002</v>
      </c>
      <c r="U11" s="20">
        <f t="shared" si="15"/>
        <v>17348.032000000003</v>
      </c>
      <c r="V11" s="20">
        <f t="shared" si="15"/>
        <v>7419.1759999999995</v>
      </c>
      <c r="W11" s="20">
        <f t="shared" si="15"/>
        <v>96113.040000000008</v>
      </c>
      <c r="X11" s="20">
        <f t="shared" si="15"/>
        <v>3283.4639999999999</v>
      </c>
      <c r="Y11" s="20">
        <f t="shared" si="15"/>
        <v>8917.496000000001</v>
      </c>
      <c r="Z11" s="20">
        <f t="shared" si="15"/>
        <v>0</v>
      </c>
      <c r="AA11" s="20">
        <f t="shared" si="15"/>
        <v>9772.4719999999998</v>
      </c>
      <c r="AB11" s="20">
        <f t="shared" si="15"/>
        <v>75.808000000000007</v>
      </c>
      <c r="AC11" s="20">
        <f t="shared" si="15"/>
        <v>156.72000000000003</v>
      </c>
      <c r="AD11" s="20">
        <f t="shared" si="15"/>
        <v>0</v>
      </c>
      <c r="AE11" s="20">
        <f t="shared" si="15"/>
        <v>317.00800000000004</v>
      </c>
      <c r="AF11" s="20">
        <f t="shared" si="13"/>
        <v>0</v>
      </c>
      <c r="AG11" s="20">
        <f t="shared" si="13"/>
        <v>0</v>
      </c>
      <c r="AH11" s="10">
        <f t="shared" si="2"/>
        <v>459095.43999999989</v>
      </c>
      <c r="AI11" s="1093">
        <f t="shared" si="4"/>
        <v>256441</v>
      </c>
      <c r="AJ11" s="1093">
        <f t="shared" si="5"/>
        <v>59251.224000000002</v>
      </c>
      <c r="AK11" s="1093">
        <f t="shared" si="6"/>
        <v>17348.032000000003</v>
      </c>
      <c r="AL11" s="1093">
        <f t="shared" si="7"/>
        <v>7419.1759999999995</v>
      </c>
      <c r="AM11" s="1093">
        <f t="shared" si="8"/>
        <v>96113.040000000008</v>
      </c>
      <c r="AN11" s="1093">
        <f t="shared" si="9"/>
        <v>22522.968000000004</v>
      </c>
      <c r="AO11" s="1102"/>
    </row>
    <row r="12" spans="1:41">
      <c r="A12" s="2" t="s">
        <v>7</v>
      </c>
      <c r="B12" s="20"/>
      <c r="C12" s="20"/>
      <c r="D12" s="20"/>
      <c r="E12" s="20"/>
      <c r="F12" s="20"/>
      <c r="G12" s="20"/>
      <c r="H12" s="20"/>
      <c r="I12" s="20"/>
      <c r="J12" s="20"/>
      <c r="K12" s="20"/>
      <c r="L12" s="20"/>
      <c r="M12" s="20"/>
      <c r="N12" s="20"/>
      <c r="O12" s="10">
        <f t="shared" si="0"/>
        <v>0</v>
      </c>
      <c r="P12" s="1093"/>
      <c r="Q12" s="1087"/>
      <c r="R12" s="2" t="s">
        <v>94</v>
      </c>
      <c r="S12" s="20">
        <f t="shared" ref="S12:AE12" si="16">S82*0.8</f>
        <v>196303.32800000001</v>
      </c>
      <c r="T12" s="20">
        <f t="shared" si="16"/>
        <v>26082.856</v>
      </c>
      <c r="U12" s="20">
        <f t="shared" si="16"/>
        <v>16850.904000000002</v>
      </c>
      <c r="V12" s="20">
        <f t="shared" si="16"/>
        <v>3367.92</v>
      </c>
      <c r="W12" s="20">
        <f t="shared" si="16"/>
        <v>79599.495999999999</v>
      </c>
      <c r="X12" s="20">
        <f t="shared" si="16"/>
        <v>4067.0640000000003</v>
      </c>
      <c r="Y12" s="20">
        <f t="shared" si="16"/>
        <v>3687.2240000000002</v>
      </c>
      <c r="Z12" s="20">
        <f t="shared" si="16"/>
        <v>1370.1840000000002</v>
      </c>
      <c r="AA12" s="20">
        <f t="shared" si="16"/>
        <v>3191.7919999999999</v>
      </c>
      <c r="AB12" s="20">
        <f t="shared" si="16"/>
        <v>308.33600000000001</v>
      </c>
      <c r="AC12" s="20">
        <f t="shared" si="16"/>
        <v>0</v>
      </c>
      <c r="AD12" s="20">
        <f t="shared" si="16"/>
        <v>0</v>
      </c>
      <c r="AE12" s="20">
        <f t="shared" si="16"/>
        <v>68.567999999999998</v>
      </c>
      <c r="AF12" s="20">
        <f t="shared" si="13"/>
        <v>0</v>
      </c>
      <c r="AG12" s="20">
        <f t="shared" si="13"/>
        <v>0</v>
      </c>
      <c r="AH12" s="10">
        <f t="shared" si="2"/>
        <v>334897.67200000008</v>
      </c>
      <c r="AI12" s="1093">
        <f t="shared" si="4"/>
        <v>196303.32800000001</v>
      </c>
      <c r="AJ12" s="1093">
        <f t="shared" si="5"/>
        <v>26082.856</v>
      </c>
      <c r="AK12" s="1093">
        <f t="shared" si="6"/>
        <v>16850.904000000002</v>
      </c>
      <c r="AL12" s="1093">
        <f t="shared" si="7"/>
        <v>3367.92</v>
      </c>
      <c r="AM12" s="1093">
        <f t="shared" si="8"/>
        <v>79599.495999999999</v>
      </c>
      <c r="AN12" s="1093">
        <f t="shared" si="9"/>
        <v>12693.168</v>
      </c>
      <c r="AO12" s="1102"/>
    </row>
    <row r="13" spans="1:41">
      <c r="A13" s="2" t="s">
        <v>8</v>
      </c>
      <c r="B13" s="20"/>
      <c r="C13" s="20"/>
      <c r="D13" s="20"/>
      <c r="E13" s="20"/>
      <c r="F13" s="20"/>
      <c r="G13" s="20"/>
      <c r="H13" s="20"/>
      <c r="I13" s="20"/>
      <c r="J13" s="20"/>
      <c r="K13" s="20"/>
      <c r="L13" s="20"/>
      <c r="M13" s="20"/>
      <c r="N13" s="20"/>
      <c r="O13" s="10">
        <f t="shared" si="0"/>
        <v>0</v>
      </c>
      <c r="P13" s="1093"/>
      <c r="Q13" s="1087"/>
      <c r="R13" s="2" t="s">
        <v>95</v>
      </c>
      <c r="S13" s="20">
        <f t="shared" ref="S13:AE13" si="17">S83*0.8</f>
        <v>163799.96799999999</v>
      </c>
      <c r="T13" s="20">
        <f t="shared" si="17"/>
        <v>32932.112000000001</v>
      </c>
      <c r="U13" s="20">
        <f t="shared" si="17"/>
        <v>13953.848000000002</v>
      </c>
      <c r="V13" s="20">
        <f t="shared" si="17"/>
        <v>4949.9440000000004</v>
      </c>
      <c r="W13" s="20">
        <f t="shared" si="17"/>
        <v>156191.44</v>
      </c>
      <c r="X13" s="20">
        <f t="shared" si="17"/>
        <v>2421.5040000000004</v>
      </c>
      <c r="Y13" s="20">
        <f t="shared" si="17"/>
        <v>4313.768</v>
      </c>
      <c r="Z13" s="20">
        <f t="shared" si="17"/>
        <v>1497.808</v>
      </c>
      <c r="AA13" s="20">
        <f t="shared" si="17"/>
        <v>5241.9440000000004</v>
      </c>
      <c r="AB13" s="20">
        <f t="shared" si="17"/>
        <v>156.72000000000003</v>
      </c>
      <c r="AC13" s="20">
        <f t="shared" si="17"/>
        <v>156.72000000000003</v>
      </c>
      <c r="AD13" s="20">
        <f t="shared" si="17"/>
        <v>0</v>
      </c>
      <c r="AE13" s="20">
        <f t="shared" si="17"/>
        <v>113.536</v>
      </c>
      <c r="AF13" s="20">
        <f t="shared" si="13"/>
        <v>0</v>
      </c>
      <c r="AG13" s="20">
        <f t="shared" si="13"/>
        <v>0</v>
      </c>
      <c r="AH13" s="10">
        <f t="shared" si="2"/>
        <v>385729.31199999998</v>
      </c>
      <c r="AI13" s="1093">
        <f t="shared" si="4"/>
        <v>163799.96799999999</v>
      </c>
      <c r="AJ13" s="1093">
        <f t="shared" si="5"/>
        <v>32932.112000000001</v>
      </c>
      <c r="AK13" s="1093">
        <f t="shared" si="6"/>
        <v>13953.848000000002</v>
      </c>
      <c r="AL13" s="1093">
        <f t="shared" si="7"/>
        <v>4949.9440000000004</v>
      </c>
      <c r="AM13" s="1093">
        <f t="shared" si="8"/>
        <v>156191.44</v>
      </c>
      <c r="AN13" s="1093">
        <f t="shared" si="9"/>
        <v>13902</v>
      </c>
      <c r="AO13" s="1102"/>
    </row>
    <row r="14" spans="1:41">
      <c r="A14" s="2" t="s">
        <v>9</v>
      </c>
      <c r="B14" s="20"/>
      <c r="C14" s="20"/>
      <c r="D14" s="20"/>
      <c r="E14" s="20"/>
      <c r="F14" s="20"/>
      <c r="G14" s="20"/>
      <c r="H14" s="20"/>
      <c r="I14" s="20"/>
      <c r="J14" s="20"/>
      <c r="K14" s="20"/>
      <c r="L14" s="20"/>
      <c r="M14" s="20"/>
      <c r="N14" s="20"/>
      <c r="O14" s="10">
        <f t="shared" si="0"/>
        <v>0</v>
      </c>
      <c r="P14" s="1093"/>
      <c r="Q14" s="1087"/>
      <c r="R14" s="2" t="s">
        <v>96</v>
      </c>
      <c r="S14" s="20">
        <f t="shared" ref="S14:AE14" si="18">S84*0.8</f>
        <v>66259.423999999999</v>
      </c>
      <c r="T14" s="20">
        <f t="shared" si="18"/>
        <v>17902.864000000001</v>
      </c>
      <c r="U14" s="20">
        <f t="shared" si="18"/>
        <v>6171.2400000000007</v>
      </c>
      <c r="V14" s="20">
        <f t="shared" si="18"/>
        <v>496.18400000000003</v>
      </c>
      <c r="W14" s="20">
        <f t="shared" si="18"/>
        <v>28570.776000000002</v>
      </c>
      <c r="X14" s="20">
        <f t="shared" si="18"/>
        <v>548.52</v>
      </c>
      <c r="Y14" s="20">
        <f t="shared" si="18"/>
        <v>2079</v>
      </c>
      <c r="Z14" s="20">
        <f t="shared" si="18"/>
        <v>0</v>
      </c>
      <c r="AA14" s="20">
        <f t="shared" si="18"/>
        <v>2525.1840000000002</v>
      </c>
      <c r="AB14" s="20">
        <f t="shared" si="18"/>
        <v>78.360000000000014</v>
      </c>
      <c r="AC14" s="20">
        <f t="shared" si="18"/>
        <v>0</v>
      </c>
      <c r="AD14" s="20">
        <f t="shared" si="18"/>
        <v>0</v>
      </c>
      <c r="AE14" s="20">
        <f t="shared" si="18"/>
        <v>44.968000000000004</v>
      </c>
      <c r="AF14" s="20">
        <f t="shared" si="13"/>
        <v>0</v>
      </c>
      <c r="AG14" s="20">
        <f t="shared" si="13"/>
        <v>0</v>
      </c>
      <c r="AH14" s="10">
        <f t="shared" si="2"/>
        <v>124676.51999999999</v>
      </c>
      <c r="AI14" s="1093">
        <f t="shared" si="4"/>
        <v>66259.423999999999</v>
      </c>
      <c r="AJ14" s="1093">
        <f t="shared" si="5"/>
        <v>17902.864000000001</v>
      </c>
      <c r="AK14" s="1093">
        <f t="shared" si="6"/>
        <v>6171.2400000000007</v>
      </c>
      <c r="AL14" s="1093">
        <f t="shared" si="7"/>
        <v>496.18400000000003</v>
      </c>
      <c r="AM14" s="1093">
        <f t="shared" si="8"/>
        <v>28570.776000000002</v>
      </c>
      <c r="AN14" s="1093">
        <f t="shared" si="9"/>
        <v>5276.0319999999992</v>
      </c>
      <c r="AO14" s="1102"/>
    </row>
    <row r="15" spans="1:41">
      <c r="A15" s="2" t="s">
        <v>10</v>
      </c>
      <c r="B15" s="20"/>
      <c r="C15" s="20"/>
      <c r="D15" s="20"/>
      <c r="E15" s="20"/>
      <c r="F15" s="20"/>
      <c r="G15" s="20"/>
      <c r="H15" s="20"/>
      <c r="I15" s="20"/>
      <c r="J15" s="20"/>
      <c r="K15" s="20"/>
      <c r="L15" s="20"/>
      <c r="M15" s="20"/>
      <c r="N15" s="20"/>
      <c r="O15" s="10">
        <f t="shared" si="0"/>
        <v>0</v>
      </c>
      <c r="P15" s="1093"/>
      <c r="Q15" s="1087"/>
      <c r="R15" s="2" t="s">
        <v>97</v>
      </c>
      <c r="S15" s="20">
        <f t="shared" ref="S15:AE15" si="19">S85*0.8</f>
        <v>112503.58400000002</v>
      </c>
      <c r="T15" s="20">
        <f t="shared" si="19"/>
        <v>14915.576000000001</v>
      </c>
      <c r="U15" s="20">
        <f t="shared" si="19"/>
        <v>13970.344000000001</v>
      </c>
      <c r="V15" s="20">
        <f t="shared" si="19"/>
        <v>5375.1760000000004</v>
      </c>
      <c r="W15" s="20">
        <f t="shared" si="19"/>
        <v>136832.16800000001</v>
      </c>
      <c r="X15" s="20">
        <f t="shared" si="19"/>
        <v>626.88000000000011</v>
      </c>
      <c r="Y15" s="20">
        <f t="shared" si="19"/>
        <v>1493.7920000000001</v>
      </c>
      <c r="Z15" s="20">
        <f t="shared" si="19"/>
        <v>0</v>
      </c>
      <c r="AA15" s="20">
        <f t="shared" si="19"/>
        <v>3080.0160000000001</v>
      </c>
      <c r="AB15" s="20">
        <f t="shared" si="19"/>
        <v>235.08000000000004</v>
      </c>
      <c r="AC15" s="20">
        <f t="shared" si="19"/>
        <v>0</v>
      </c>
      <c r="AD15" s="20">
        <f t="shared" si="19"/>
        <v>0</v>
      </c>
      <c r="AE15" s="20">
        <f t="shared" si="19"/>
        <v>68.567999999999998</v>
      </c>
      <c r="AF15" s="20">
        <f t="shared" si="13"/>
        <v>0</v>
      </c>
      <c r="AG15" s="20">
        <f t="shared" si="13"/>
        <v>0</v>
      </c>
      <c r="AH15" s="10">
        <f t="shared" si="2"/>
        <v>289101.18400000007</v>
      </c>
      <c r="AI15" s="1093">
        <f t="shared" si="4"/>
        <v>112503.58400000002</v>
      </c>
      <c r="AJ15" s="1093">
        <f t="shared" si="5"/>
        <v>14915.576000000001</v>
      </c>
      <c r="AK15" s="1093">
        <f t="shared" si="6"/>
        <v>13970.344000000001</v>
      </c>
      <c r="AL15" s="1093">
        <f t="shared" si="7"/>
        <v>5375.1760000000004</v>
      </c>
      <c r="AM15" s="1093">
        <f t="shared" si="8"/>
        <v>136832.16800000001</v>
      </c>
      <c r="AN15" s="1093">
        <f t="shared" si="9"/>
        <v>5504.3360000000002</v>
      </c>
      <c r="AO15" s="1102"/>
    </row>
    <row r="16" spans="1:41">
      <c r="A16" s="2" t="s">
        <v>11</v>
      </c>
      <c r="B16" s="20"/>
      <c r="C16" s="20"/>
      <c r="D16" s="20"/>
      <c r="E16" s="20"/>
      <c r="F16" s="20"/>
      <c r="G16" s="20"/>
      <c r="H16" s="20"/>
      <c r="I16" s="20"/>
      <c r="J16" s="20"/>
      <c r="K16" s="20"/>
      <c r="L16" s="20"/>
      <c r="M16" s="20"/>
      <c r="N16" s="20"/>
      <c r="O16" s="10">
        <f t="shared" si="0"/>
        <v>0</v>
      </c>
      <c r="P16" s="1093"/>
      <c r="Q16" s="1087"/>
      <c r="R16" s="2" t="s">
        <v>98</v>
      </c>
      <c r="S16" s="20">
        <f t="shared" ref="S16:AE16" si="20">S86*0.8</f>
        <v>141702.24</v>
      </c>
      <c r="T16" s="20">
        <f t="shared" si="20"/>
        <v>24890.128000000001</v>
      </c>
      <c r="U16" s="20">
        <f t="shared" si="20"/>
        <v>21671.696</v>
      </c>
      <c r="V16" s="20">
        <f t="shared" si="20"/>
        <v>4095.2080000000005</v>
      </c>
      <c r="W16" s="20">
        <f t="shared" si="20"/>
        <v>96885.384000000005</v>
      </c>
      <c r="X16" s="20">
        <f t="shared" si="20"/>
        <v>861.96</v>
      </c>
      <c r="Y16" s="20">
        <f t="shared" si="20"/>
        <v>3151.1360000000004</v>
      </c>
      <c r="Z16" s="20">
        <f t="shared" si="20"/>
        <v>1597.4960000000001</v>
      </c>
      <c r="AA16" s="20">
        <f t="shared" si="20"/>
        <v>4625.3120000000008</v>
      </c>
      <c r="AB16" s="20">
        <f t="shared" si="20"/>
        <v>232.52800000000002</v>
      </c>
      <c r="AC16" s="20">
        <f t="shared" si="20"/>
        <v>0</v>
      </c>
      <c r="AD16" s="20">
        <f t="shared" si="20"/>
        <v>368.52</v>
      </c>
      <c r="AE16" s="20">
        <f t="shared" si="20"/>
        <v>112.048</v>
      </c>
      <c r="AF16" s="20">
        <f t="shared" si="13"/>
        <v>30.584</v>
      </c>
      <c r="AG16" s="20">
        <f t="shared" si="13"/>
        <v>0</v>
      </c>
      <c r="AH16" s="10">
        <f t="shared" si="2"/>
        <v>300224.24</v>
      </c>
      <c r="AI16" s="1093">
        <f t="shared" si="4"/>
        <v>141702.24</v>
      </c>
      <c r="AJ16" s="1093">
        <f t="shared" si="5"/>
        <v>24890.128000000001</v>
      </c>
      <c r="AK16" s="1093">
        <f t="shared" si="6"/>
        <v>21671.696</v>
      </c>
      <c r="AL16" s="1093">
        <f t="shared" si="7"/>
        <v>4095.2080000000005</v>
      </c>
      <c r="AM16" s="1093">
        <f t="shared" si="8"/>
        <v>96885.384000000005</v>
      </c>
      <c r="AN16" s="1093">
        <f t="shared" si="9"/>
        <v>10979.584000000004</v>
      </c>
      <c r="AO16" s="1102"/>
    </row>
    <row r="17" spans="1:41">
      <c r="A17" s="2" t="s">
        <v>12</v>
      </c>
      <c r="B17" s="20"/>
      <c r="C17" s="20"/>
      <c r="D17" s="20"/>
      <c r="E17" s="20"/>
      <c r="F17" s="20"/>
      <c r="G17" s="20"/>
      <c r="H17" s="20"/>
      <c r="I17" s="20"/>
      <c r="J17" s="20"/>
      <c r="K17" s="20"/>
      <c r="L17" s="20"/>
      <c r="M17" s="20"/>
      <c r="N17" s="20"/>
      <c r="O17" s="10">
        <f t="shared" si="0"/>
        <v>0</v>
      </c>
      <c r="P17" s="1093"/>
      <c r="Q17" s="1087"/>
      <c r="R17" s="2" t="s">
        <v>99</v>
      </c>
      <c r="S17" s="20">
        <f t="shared" ref="S17:AE17" si="21">S87*0.8</f>
        <v>829661.576</v>
      </c>
      <c r="T17" s="20">
        <f t="shared" si="21"/>
        <v>185115.45600000001</v>
      </c>
      <c r="U17" s="20">
        <f t="shared" si="21"/>
        <v>84454.495999999999</v>
      </c>
      <c r="V17" s="20">
        <f t="shared" si="21"/>
        <v>27282.232000000004</v>
      </c>
      <c r="W17" s="20">
        <f t="shared" si="21"/>
        <v>325183.33600000001</v>
      </c>
      <c r="X17" s="20">
        <f t="shared" si="21"/>
        <v>3210.2080000000005</v>
      </c>
      <c r="Y17" s="20">
        <f t="shared" si="21"/>
        <v>27006.871999999999</v>
      </c>
      <c r="Z17" s="20">
        <f t="shared" si="21"/>
        <v>0</v>
      </c>
      <c r="AA17" s="20">
        <f t="shared" si="21"/>
        <v>27829.440000000002</v>
      </c>
      <c r="AB17" s="20">
        <f t="shared" si="21"/>
        <v>1948.7919999999999</v>
      </c>
      <c r="AC17" s="20">
        <f t="shared" si="21"/>
        <v>156.72000000000003</v>
      </c>
      <c r="AD17" s="20">
        <f t="shared" si="21"/>
        <v>0</v>
      </c>
      <c r="AE17" s="20">
        <f t="shared" si="21"/>
        <v>470.30400000000003</v>
      </c>
      <c r="AF17" s="20">
        <f t="shared" si="13"/>
        <v>0</v>
      </c>
      <c r="AG17" s="20">
        <f t="shared" si="13"/>
        <v>0</v>
      </c>
      <c r="AH17" s="10">
        <f t="shared" si="2"/>
        <v>1512319.4319999998</v>
      </c>
      <c r="AI17" s="1093">
        <f t="shared" si="4"/>
        <v>829661.576</v>
      </c>
      <c r="AJ17" s="1093">
        <f t="shared" si="5"/>
        <v>185115.45600000001</v>
      </c>
      <c r="AK17" s="1093">
        <f t="shared" si="6"/>
        <v>84454.495999999999</v>
      </c>
      <c r="AL17" s="1093">
        <f t="shared" si="7"/>
        <v>27282.232000000004</v>
      </c>
      <c r="AM17" s="1093">
        <f t="shared" si="8"/>
        <v>325183.33600000001</v>
      </c>
      <c r="AN17" s="1093">
        <f t="shared" si="9"/>
        <v>60622.336000000003</v>
      </c>
      <c r="AO17" s="1102"/>
    </row>
    <row r="18" spans="1:41">
      <c r="A18" s="2" t="s">
        <v>15</v>
      </c>
      <c r="B18" s="20"/>
      <c r="C18" s="20"/>
      <c r="D18" s="20"/>
      <c r="E18" s="20"/>
      <c r="F18" s="20"/>
      <c r="G18" s="20"/>
      <c r="H18" s="20"/>
      <c r="I18" s="20"/>
      <c r="J18" s="20"/>
      <c r="K18" s="20"/>
      <c r="L18" s="20"/>
      <c r="M18" s="20"/>
      <c r="N18" s="20"/>
      <c r="O18" s="10">
        <f t="shared" si="0"/>
        <v>0</v>
      </c>
      <c r="P18" s="1093"/>
      <c r="Q18" s="1087"/>
      <c r="R18" s="2" t="s">
        <v>100</v>
      </c>
      <c r="S18" s="20">
        <f t="shared" ref="S18:AE18" si="22">S88*0.8</f>
        <v>84695.631999999998</v>
      </c>
      <c r="T18" s="20">
        <f t="shared" si="22"/>
        <v>33064.248</v>
      </c>
      <c r="U18" s="20">
        <f t="shared" si="22"/>
        <v>7336.9039999999995</v>
      </c>
      <c r="V18" s="20">
        <f t="shared" si="22"/>
        <v>931.16000000000008</v>
      </c>
      <c r="W18" s="20">
        <f t="shared" si="22"/>
        <v>42419.328000000009</v>
      </c>
      <c r="X18" s="20">
        <f t="shared" si="22"/>
        <v>3657.4</v>
      </c>
      <c r="Y18" s="20">
        <f t="shared" si="22"/>
        <v>4760.0559999999996</v>
      </c>
      <c r="Z18" s="20">
        <f t="shared" si="22"/>
        <v>0</v>
      </c>
      <c r="AA18" s="20">
        <f t="shared" si="22"/>
        <v>4625.12</v>
      </c>
      <c r="AB18" s="20">
        <f t="shared" si="22"/>
        <v>624.32799999999997</v>
      </c>
      <c r="AC18" s="20">
        <f t="shared" si="22"/>
        <v>0</v>
      </c>
      <c r="AD18" s="20">
        <f t="shared" si="22"/>
        <v>0</v>
      </c>
      <c r="AE18" s="20">
        <f t="shared" si="22"/>
        <v>91.424000000000007</v>
      </c>
      <c r="AF18" s="20">
        <f t="shared" si="13"/>
        <v>0</v>
      </c>
      <c r="AG18" s="20">
        <f t="shared" si="13"/>
        <v>0</v>
      </c>
      <c r="AH18" s="10">
        <f t="shared" si="2"/>
        <v>182205.6</v>
      </c>
      <c r="AI18" s="1093">
        <f t="shared" si="4"/>
        <v>84695.631999999998</v>
      </c>
      <c r="AJ18" s="1093">
        <f t="shared" si="5"/>
        <v>33064.248</v>
      </c>
      <c r="AK18" s="1093">
        <f t="shared" si="6"/>
        <v>7336.9039999999995</v>
      </c>
      <c r="AL18" s="1093">
        <f t="shared" si="7"/>
        <v>931.16000000000008</v>
      </c>
      <c r="AM18" s="1093">
        <f t="shared" si="8"/>
        <v>42419.328000000009</v>
      </c>
      <c r="AN18" s="1093">
        <f t="shared" si="9"/>
        <v>13758.328000000001</v>
      </c>
      <c r="AO18" s="1102"/>
    </row>
    <row r="19" spans="1:41">
      <c r="A19" s="2" t="s">
        <v>14</v>
      </c>
      <c r="B19" s="20"/>
      <c r="C19" s="20"/>
      <c r="D19" s="20"/>
      <c r="E19" s="20"/>
      <c r="F19" s="20"/>
      <c r="G19" s="20"/>
      <c r="H19" s="20"/>
      <c r="I19" s="20"/>
      <c r="J19" s="20"/>
      <c r="K19" s="20"/>
      <c r="L19" s="20"/>
      <c r="M19" s="20"/>
      <c r="N19" s="20"/>
      <c r="O19" s="10">
        <f t="shared" si="0"/>
        <v>0</v>
      </c>
      <c r="P19" s="1093"/>
      <c r="Q19" s="1087"/>
      <c r="R19" s="2" t="s">
        <v>101</v>
      </c>
      <c r="S19" s="20">
        <f t="shared" ref="S19:AE19" si="23">S89*0.8</f>
        <v>93676.256000000008</v>
      </c>
      <c r="T19" s="20">
        <f t="shared" si="23"/>
        <v>34927.256000000001</v>
      </c>
      <c r="U19" s="20">
        <f t="shared" si="23"/>
        <v>6376.9440000000004</v>
      </c>
      <c r="V19" s="20">
        <f t="shared" si="23"/>
        <v>3045.768</v>
      </c>
      <c r="W19" s="20">
        <f t="shared" si="23"/>
        <v>58018.072</v>
      </c>
      <c r="X19" s="20">
        <f t="shared" si="23"/>
        <v>619.22400000000005</v>
      </c>
      <c r="Y19" s="20">
        <f t="shared" si="23"/>
        <v>4306.4800000000005</v>
      </c>
      <c r="Z19" s="20">
        <f t="shared" si="23"/>
        <v>0</v>
      </c>
      <c r="AA19" s="20">
        <f t="shared" si="23"/>
        <v>4547.8879999999999</v>
      </c>
      <c r="AB19" s="20">
        <f t="shared" si="23"/>
        <v>0</v>
      </c>
      <c r="AC19" s="20">
        <f t="shared" si="23"/>
        <v>0</v>
      </c>
      <c r="AD19" s="20">
        <f t="shared" si="23"/>
        <v>0</v>
      </c>
      <c r="AE19" s="20">
        <f t="shared" si="23"/>
        <v>91.424000000000007</v>
      </c>
      <c r="AF19" s="20">
        <f t="shared" si="13"/>
        <v>0</v>
      </c>
      <c r="AG19" s="20">
        <f t="shared" si="13"/>
        <v>0</v>
      </c>
      <c r="AH19" s="10">
        <f t="shared" si="2"/>
        <v>205609.31200000003</v>
      </c>
      <c r="AI19" s="1093">
        <f t="shared" si="4"/>
        <v>93676.256000000008</v>
      </c>
      <c r="AJ19" s="1093">
        <f t="shared" si="5"/>
        <v>34927.256000000001</v>
      </c>
      <c r="AK19" s="1093">
        <f t="shared" si="6"/>
        <v>6376.9440000000004</v>
      </c>
      <c r="AL19" s="1093">
        <f t="shared" si="7"/>
        <v>3045.768</v>
      </c>
      <c r="AM19" s="1093">
        <f t="shared" si="8"/>
        <v>58018.072</v>
      </c>
      <c r="AN19" s="1093">
        <f t="shared" si="9"/>
        <v>9565.0160000000014</v>
      </c>
      <c r="AO19" s="1102"/>
    </row>
    <row r="20" spans="1:41">
      <c r="A20" s="2" t="s">
        <v>13</v>
      </c>
      <c r="B20" s="20"/>
      <c r="C20" s="20"/>
      <c r="D20" s="20"/>
      <c r="E20" s="20"/>
      <c r="F20" s="20"/>
      <c r="G20" s="20"/>
      <c r="H20" s="20"/>
      <c r="I20" s="20"/>
      <c r="J20" s="20"/>
      <c r="K20" s="20"/>
      <c r="L20" s="20"/>
      <c r="M20" s="20"/>
      <c r="N20" s="20"/>
      <c r="O20" s="10">
        <f t="shared" si="0"/>
        <v>0</v>
      </c>
      <c r="P20" s="1093"/>
      <c r="Q20" s="1087"/>
      <c r="R20" s="2" t="s">
        <v>102</v>
      </c>
      <c r="S20" s="20">
        <f t="shared" ref="S20:AE20" si="24">S90*0.8</f>
        <v>662450.64000000013</v>
      </c>
      <c r="T20" s="20">
        <f t="shared" si="24"/>
        <v>163800.576</v>
      </c>
      <c r="U20" s="20">
        <f t="shared" si="24"/>
        <v>106628.96000000002</v>
      </c>
      <c r="V20" s="20">
        <f t="shared" si="24"/>
        <v>44301.504000000001</v>
      </c>
      <c r="W20" s="20">
        <f t="shared" si="24"/>
        <v>371881.54399999999</v>
      </c>
      <c r="X20" s="20">
        <f t="shared" si="24"/>
        <v>7044.7440000000006</v>
      </c>
      <c r="Y20" s="20">
        <f t="shared" si="24"/>
        <v>24546.976000000002</v>
      </c>
      <c r="Z20" s="20">
        <f t="shared" si="24"/>
        <v>0</v>
      </c>
      <c r="AA20" s="20">
        <f t="shared" si="24"/>
        <v>28203.576000000001</v>
      </c>
      <c r="AB20" s="20">
        <f t="shared" si="24"/>
        <v>1857.6720000000003</v>
      </c>
      <c r="AC20" s="20">
        <f t="shared" si="24"/>
        <v>0</v>
      </c>
      <c r="AD20" s="20">
        <f t="shared" si="24"/>
        <v>0</v>
      </c>
      <c r="AE20" s="20">
        <f t="shared" si="24"/>
        <v>339.12</v>
      </c>
      <c r="AF20" s="20">
        <f t="shared" si="13"/>
        <v>0</v>
      </c>
      <c r="AG20" s="20">
        <f t="shared" si="13"/>
        <v>0</v>
      </c>
      <c r="AH20" s="10">
        <f t="shared" si="2"/>
        <v>1411055.3120000002</v>
      </c>
      <c r="AI20" s="1093">
        <f t="shared" si="4"/>
        <v>662450.64000000013</v>
      </c>
      <c r="AJ20" s="1093">
        <f t="shared" si="5"/>
        <v>163800.576</v>
      </c>
      <c r="AK20" s="1093">
        <f t="shared" si="6"/>
        <v>106628.96000000002</v>
      </c>
      <c r="AL20" s="1093">
        <f t="shared" si="7"/>
        <v>44301.504000000001</v>
      </c>
      <c r="AM20" s="1093">
        <f t="shared" si="8"/>
        <v>371881.54399999999</v>
      </c>
      <c r="AN20" s="1093">
        <f t="shared" si="9"/>
        <v>61992.088000000003</v>
      </c>
      <c r="AO20" s="1102"/>
    </row>
    <row r="21" spans="1:41">
      <c r="A21" s="2" t="s">
        <v>16</v>
      </c>
      <c r="B21" s="20"/>
      <c r="C21" s="20"/>
      <c r="D21" s="20"/>
      <c r="E21" s="20"/>
      <c r="F21" s="20"/>
      <c r="G21" s="20"/>
      <c r="H21" s="20"/>
      <c r="I21" s="20"/>
      <c r="J21" s="20"/>
      <c r="K21" s="20"/>
      <c r="L21" s="20"/>
      <c r="M21" s="20"/>
      <c r="N21" s="20"/>
      <c r="O21" s="10">
        <f t="shared" si="0"/>
        <v>0</v>
      </c>
      <c r="P21" s="1093"/>
      <c r="Q21" s="1087"/>
      <c r="R21" s="2" t="s">
        <v>103</v>
      </c>
      <c r="S21" s="20">
        <f t="shared" ref="S21:AE21" si="25">S91*0.8</f>
        <v>203282.79200000002</v>
      </c>
      <c r="T21" s="20">
        <f t="shared" si="25"/>
        <v>66953.768000000011</v>
      </c>
      <c r="U21" s="20">
        <f t="shared" si="25"/>
        <v>22182.168000000001</v>
      </c>
      <c r="V21" s="20">
        <f t="shared" si="25"/>
        <v>5265.0960000000005</v>
      </c>
      <c r="W21" s="20">
        <f t="shared" si="25"/>
        <v>104110.864</v>
      </c>
      <c r="X21" s="20">
        <f t="shared" si="25"/>
        <v>2115.7200000000003</v>
      </c>
      <c r="Y21" s="20">
        <f t="shared" si="25"/>
        <v>8991.1280000000006</v>
      </c>
      <c r="Z21" s="20">
        <f t="shared" si="25"/>
        <v>454.84799999999996</v>
      </c>
      <c r="AA21" s="20">
        <f t="shared" si="25"/>
        <v>11234.336000000001</v>
      </c>
      <c r="AB21" s="20">
        <f t="shared" si="25"/>
        <v>0</v>
      </c>
      <c r="AC21" s="20">
        <f t="shared" si="25"/>
        <v>0</v>
      </c>
      <c r="AD21" s="20">
        <f t="shared" si="25"/>
        <v>0</v>
      </c>
      <c r="AE21" s="20">
        <f t="shared" si="25"/>
        <v>90.68</v>
      </c>
      <c r="AF21" s="20">
        <f t="shared" si="13"/>
        <v>0</v>
      </c>
      <c r="AG21" s="20">
        <f t="shared" si="13"/>
        <v>0</v>
      </c>
      <c r="AH21" s="10">
        <f t="shared" si="2"/>
        <v>424681.40000000008</v>
      </c>
      <c r="AI21" s="1093">
        <f t="shared" si="4"/>
        <v>203282.79200000002</v>
      </c>
      <c r="AJ21" s="1093">
        <f t="shared" si="5"/>
        <v>66953.768000000011</v>
      </c>
      <c r="AK21" s="1093">
        <f t="shared" si="6"/>
        <v>22182.168000000001</v>
      </c>
      <c r="AL21" s="1093">
        <f t="shared" si="7"/>
        <v>5265.0960000000005</v>
      </c>
      <c r="AM21" s="1093">
        <f t="shared" si="8"/>
        <v>104110.864</v>
      </c>
      <c r="AN21" s="1093">
        <f t="shared" si="9"/>
        <v>22886.712000000003</v>
      </c>
      <c r="AO21" s="1102"/>
    </row>
    <row r="22" spans="1:41">
      <c r="A22" s="2" t="s">
        <v>17</v>
      </c>
      <c r="B22" s="20"/>
      <c r="C22" s="20"/>
      <c r="D22" s="20"/>
      <c r="E22" s="20"/>
      <c r="F22" s="20"/>
      <c r="G22" s="20"/>
      <c r="H22" s="20"/>
      <c r="I22" s="20"/>
      <c r="J22" s="20"/>
      <c r="K22" s="20"/>
      <c r="L22" s="20"/>
      <c r="M22" s="20"/>
      <c r="N22" s="20"/>
      <c r="O22" s="10">
        <f t="shared" si="0"/>
        <v>0</v>
      </c>
      <c r="P22" s="1093"/>
      <c r="Q22" s="1087"/>
      <c r="R22" s="2" t="s">
        <v>104</v>
      </c>
      <c r="S22" s="20">
        <f t="shared" ref="S22:AE22" si="26">S92*0.8</f>
        <v>64615.952000000005</v>
      </c>
      <c r="T22" s="20">
        <f t="shared" si="26"/>
        <v>11724.016000000001</v>
      </c>
      <c r="U22" s="20">
        <f t="shared" si="26"/>
        <v>8445.4480000000003</v>
      </c>
      <c r="V22" s="20">
        <f t="shared" si="26"/>
        <v>3252.7520000000004</v>
      </c>
      <c r="W22" s="20">
        <f t="shared" si="26"/>
        <v>30533.047999999999</v>
      </c>
      <c r="X22" s="20">
        <f t="shared" si="26"/>
        <v>777.48</v>
      </c>
      <c r="Y22" s="20">
        <f t="shared" si="26"/>
        <v>1455.3120000000001</v>
      </c>
      <c r="Z22" s="20">
        <f t="shared" si="26"/>
        <v>0</v>
      </c>
      <c r="AA22" s="20">
        <f t="shared" si="26"/>
        <v>1743.9680000000001</v>
      </c>
      <c r="AB22" s="20">
        <f t="shared" si="26"/>
        <v>0</v>
      </c>
      <c r="AC22" s="20">
        <f t="shared" si="26"/>
        <v>156.72000000000003</v>
      </c>
      <c r="AD22" s="20">
        <f t="shared" si="26"/>
        <v>0</v>
      </c>
      <c r="AE22" s="20">
        <f t="shared" si="26"/>
        <v>44.968000000000004</v>
      </c>
      <c r="AF22" s="20">
        <f t="shared" si="13"/>
        <v>0</v>
      </c>
      <c r="AG22" s="20">
        <f t="shared" si="13"/>
        <v>0</v>
      </c>
      <c r="AH22" s="10">
        <f t="shared" si="2"/>
        <v>122749.66399999999</v>
      </c>
      <c r="AI22" s="1093">
        <f t="shared" si="4"/>
        <v>64615.952000000005</v>
      </c>
      <c r="AJ22" s="1093">
        <f t="shared" si="5"/>
        <v>11724.016000000001</v>
      </c>
      <c r="AK22" s="1093">
        <f t="shared" si="6"/>
        <v>8445.4480000000003</v>
      </c>
      <c r="AL22" s="1093">
        <f t="shared" si="7"/>
        <v>3252.7520000000004</v>
      </c>
      <c r="AM22" s="1093">
        <f t="shared" si="8"/>
        <v>30533.047999999999</v>
      </c>
      <c r="AN22" s="1093">
        <f t="shared" si="9"/>
        <v>4178.4480000000003</v>
      </c>
      <c r="AO22" s="1102"/>
    </row>
    <row r="23" spans="1:41">
      <c r="A23" s="2" t="s">
        <v>18</v>
      </c>
      <c r="B23" s="20"/>
      <c r="C23" s="20"/>
      <c r="D23" s="20"/>
      <c r="E23" s="20"/>
      <c r="F23" s="20"/>
      <c r="G23" s="20"/>
      <c r="H23" s="20"/>
      <c r="I23" s="20"/>
      <c r="J23" s="20"/>
      <c r="K23" s="20"/>
      <c r="L23" s="20"/>
      <c r="M23" s="20"/>
      <c r="N23" s="20"/>
      <c r="O23" s="10">
        <f t="shared" si="0"/>
        <v>0</v>
      </c>
      <c r="P23" s="1093"/>
      <c r="Q23" s="1087"/>
      <c r="R23" s="2" t="s">
        <v>105</v>
      </c>
      <c r="S23" s="20">
        <f t="shared" ref="S23:AE23" si="27">S93*0.8</f>
        <v>926093.58400000003</v>
      </c>
      <c r="T23" s="20">
        <f t="shared" si="27"/>
        <v>146034.54399999999</v>
      </c>
      <c r="U23" s="20">
        <f t="shared" si="27"/>
        <v>125810.91200000001</v>
      </c>
      <c r="V23" s="20">
        <f t="shared" si="27"/>
        <v>18606</v>
      </c>
      <c r="W23" s="20">
        <f t="shared" si="27"/>
        <v>344969.68</v>
      </c>
      <c r="X23" s="20">
        <f t="shared" si="27"/>
        <v>10497.688000000002</v>
      </c>
      <c r="Y23" s="20">
        <f t="shared" si="27"/>
        <v>25830.256000000001</v>
      </c>
      <c r="Z23" s="20">
        <f t="shared" si="27"/>
        <v>815.54399999999998</v>
      </c>
      <c r="AA23" s="20">
        <f t="shared" si="27"/>
        <v>21785.344000000001</v>
      </c>
      <c r="AB23" s="20">
        <f t="shared" si="27"/>
        <v>1175.4000000000001</v>
      </c>
      <c r="AC23" s="20">
        <f t="shared" si="27"/>
        <v>156.72000000000003</v>
      </c>
      <c r="AD23" s="20">
        <f t="shared" si="27"/>
        <v>0</v>
      </c>
      <c r="AE23" s="20">
        <f t="shared" si="27"/>
        <v>993.7600000000001</v>
      </c>
      <c r="AF23" s="20">
        <f t="shared" si="13"/>
        <v>0</v>
      </c>
      <c r="AG23" s="20">
        <f t="shared" si="13"/>
        <v>0</v>
      </c>
      <c r="AH23" s="10">
        <f t="shared" si="2"/>
        <v>1622769.432</v>
      </c>
      <c r="AI23" s="1093">
        <f t="shared" si="4"/>
        <v>926093.58400000003</v>
      </c>
      <c r="AJ23" s="1093">
        <f t="shared" si="5"/>
        <v>146034.54399999999</v>
      </c>
      <c r="AK23" s="1093">
        <f t="shared" si="6"/>
        <v>125810.91200000001</v>
      </c>
      <c r="AL23" s="1093">
        <f t="shared" si="7"/>
        <v>18606</v>
      </c>
      <c r="AM23" s="1093">
        <f t="shared" si="8"/>
        <v>344969.68</v>
      </c>
      <c r="AN23" s="1093">
        <f t="shared" si="9"/>
        <v>61254.712000000014</v>
      </c>
      <c r="AO23" s="1102"/>
    </row>
    <row r="24" spans="1:41">
      <c r="A24" s="2" t="s">
        <v>20</v>
      </c>
      <c r="B24" s="20"/>
      <c r="C24" s="20"/>
      <c r="D24" s="20"/>
      <c r="E24" s="20"/>
      <c r="F24" s="20"/>
      <c r="G24" s="20"/>
      <c r="H24" s="20"/>
      <c r="I24" s="20"/>
      <c r="J24" s="20"/>
      <c r="K24" s="20"/>
      <c r="L24" s="20"/>
      <c r="M24" s="20"/>
      <c r="N24" s="20"/>
      <c r="O24" s="10">
        <f t="shared" si="0"/>
        <v>0</v>
      </c>
      <c r="P24" s="1093"/>
      <c r="Q24" s="1087"/>
      <c r="R24" s="2" t="s">
        <v>106</v>
      </c>
      <c r="S24" s="20">
        <f t="shared" ref="S24:AE24" si="28">S94*0.8</f>
        <v>93402.648000000001</v>
      </c>
      <c r="T24" s="20">
        <f t="shared" si="28"/>
        <v>33630.336000000003</v>
      </c>
      <c r="U24" s="20">
        <f t="shared" si="28"/>
        <v>5005.5519999999997</v>
      </c>
      <c r="V24" s="20">
        <f t="shared" si="28"/>
        <v>1252.672</v>
      </c>
      <c r="W24" s="20">
        <f t="shared" si="28"/>
        <v>41903.984000000004</v>
      </c>
      <c r="X24" s="20">
        <f t="shared" si="28"/>
        <v>1167.7440000000001</v>
      </c>
      <c r="Y24" s="20">
        <f t="shared" si="28"/>
        <v>4382.3599999999997</v>
      </c>
      <c r="Z24" s="20">
        <f t="shared" si="28"/>
        <v>682.27200000000005</v>
      </c>
      <c r="AA24" s="20">
        <f t="shared" si="28"/>
        <v>4783.3040000000001</v>
      </c>
      <c r="AB24" s="20">
        <f t="shared" si="28"/>
        <v>78.360000000000014</v>
      </c>
      <c r="AC24" s="20">
        <f t="shared" si="28"/>
        <v>0</v>
      </c>
      <c r="AD24" s="20">
        <f t="shared" si="28"/>
        <v>0</v>
      </c>
      <c r="AE24" s="20">
        <f t="shared" si="28"/>
        <v>89.936000000000007</v>
      </c>
      <c r="AF24" s="20">
        <f t="shared" si="13"/>
        <v>0</v>
      </c>
      <c r="AG24" s="20">
        <f t="shared" si="13"/>
        <v>0</v>
      </c>
      <c r="AH24" s="10">
        <f t="shared" si="2"/>
        <v>186379.16799999995</v>
      </c>
      <c r="AI24" s="1093">
        <f t="shared" si="4"/>
        <v>93402.648000000001</v>
      </c>
      <c r="AJ24" s="1093">
        <f t="shared" si="5"/>
        <v>33630.336000000003</v>
      </c>
      <c r="AK24" s="1093">
        <f t="shared" si="6"/>
        <v>5005.5519999999997</v>
      </c>
      <c r="AL24" s="1093">
        <f t="shared" si="7"/>
        <v>1252.672</v>
      </c>
      <c r="AM24" s="1093">
        <f t="shared" si="8"/>
        <v>41903.984000000004</v>
      </c>
      <c r="AN24" s="1093">
        <f t="shared" si="9"/>
        <v>11183.976000000001</v>
      </c>
      <c r="AO24" s="1102"/>
    </row>
    <row r="25" spans="1:41">
      <c r="A25" s="2" t="s">
        <v>19</v>
      </c>
      <c r="B25" s="20"/>
      <c r="C25" s="20"/>
      <c r="D25" s="20"/>
      <c r="E25" s="20"/>
      <c r="F25" s="20"/>
      <c r="G25" s="20"/>
      <c r="H25" s="20"/>
      <c r="I25" s="20"/>
      <c r="J25" s="20"/>
      <c r="K25" s="20"/>
      <c r="L25" s="20"/>
      <c r="M25" s="20"/>
      <c r="N25" s="20"/>
      <c r="O25" s="10">
        <f t="shared" si="0"/>
        <v>0</v>
      </c>
      <c r="P25" s="1093"/>
      <c r="Q25" s="1087"/>
      <c r="R25" s="2" t="s">
        <v>107</v>
      </c>
      <c r="S25" s="20">
        <f t="shared" ref="S25:AE25" si="29">S95*0.8</f>
        <v>861931.18400000001</v>
      </c>
      <c r="T25" s="20">
        <f t="shared" si="29"/>
        <v>131183.56000000003</v>
      </c>
      <c r="U25" s="20">
        <f t="shared" si="29"/>
        <v>98484.488000000012</v>
      </c>
      <c r="V25" s="20">
        <f t="shared" si="29"/>
        <v>31813.528000000006</v>
      </c>
      <c r="W25" s="20">
        <f t="shared" si="29"/>
        <v>544917.83200000005</v>
      </c>
      <c r="X25" s="20">
        <f t="shared" si="29"/>
        <v>3902.6880000000001</v>
      </c>
      <c r="Y25" s="20">
        <f t="shared" si="29"/>
        <v>18000.952000000001</v>
      </c>
      <c r="Z25" s="20">
        <f t="shared" si="29"/>
        <v>1754.6959999999999</v>
      </c>
      <c r="AA25" s="20">
        <f t="shared" si="29"/>
        <v>21712.312000000002</v>
      </c>
      <c r="AB25" s="20">
        <f t="shared" si="29"/>
        <v>1488.8400000000001</v>
      </c>
      <c r="AC25" s="20">
        <f t="shared" si="29"/>
        <v>313.44000000000005</v>
      </c>
      <c r="AD25" s="20">
        <f t="shared" si="29"/>
        <v>447.13599999999997</v>
      </c>
      <c r="AE25" s="20">
        <f t="shared" si="29"/>
        <v>202.72800000000001</v>
      </c>
      <c r="AF25" s="20">
        <f t="shared" si="13"/>
        <v>0</v>
      </c>
      <c r="AG25" s="20">
        <f t="shared" si="13"/>
        <v>0</v>
      </c>
      <c r="AH25" s="10">
        <f t="shared" si="2"/>
        <v>1716153.3840000001</v>
      </c>
      <c r="AI25" s="1093">
        <f t="shared" si="4"/>
        <v>861931.18400000001</v>
      </c>
      <c r="AJ25" s="1093">
        <f t="shared" si="5"/>
        <v>131183.56000000003</v>
      </c>
      <c r="AK25" s="1093">
        <f t="shared" si="6"/>
        <v>98484.488000000012</v>
      </c>
      <c r="AL25" s="1093">
        <f t="shared" si="7"/>
        <v>31813.528000000006</v>
      </c>
      <c r="AM25" s="1093">
        <f t="shared" si="8"/>
        <v>544917.83200000005</v>
      </c>
      <c r="AN25" s="1093">
        <f t="shared" si="9"/>
        <v>47822.792000000001</v>
      </c>
      <c r="AO25" s="1102"/>
    </row>
    <row r="26" spans="1:41">
      <c r="A26" s="2" t="s">
        <v>21</v>
      </c>
      <c r="B26" s="20"/>
      <c r="C26" s="20"/>
      <c r="D26" s="20"/>
      <c r="E26" s="20"/>
      <c r="F26" s="20"/>
      <c r="G26" s="20"/>
      <c r="H26" s="20"/>
      <c r="I26" s="20"/>
      <c r="J26" s="20"/>
      <c r="K26" s="20"/>
      <c r="L26" s="20"/>
      <c r="M26" s="20"/>
      <c r="N26" s="20"/>
      <c r="O26" s="10">
        <f t="shared" si="0"/>
        <v>0</v>
      </c>
      <c r="P26" s="1093"/>
      <c r="Q26" s="1087"/>
      <c r="R26" s="2" t="s">
        <v>108</v>
      </c>
      <c r="S26" s="20">
        <f t="shared" ref="S26:AE26" si="30">S96*0.8</f>
        <v>47562.847999999998</v>
      </c>
      <c r="T26" s="20">
        <f t="shared" si="30"/>
        <v>10134.36</v>
      </c>
      <c r="U26" s="20">
        <f t="shared" si="30"/>
        <v>5562.9920000000002</v>
      </c>
      <c r="V26" s="20">
        <f t="shared" si="30"/>
        <v>2103.1840000000002</v>
      </c>
      <c r="W26" s="20">
        <f t="shared" si="30"/>
        <v>52359.040000000008</v>
      </c>
      <c r="X26" s="20">
        <f t="shared" si="30"/>
        <v>235.08000000000004</v>
      </c>
      <c r="Y26" s="20">
        <f t="shared" si="30"/>
        <v>1000.064</v>
      </c>
      <c r="Z26" s="20">
        <f t="shared" si="30"/>
        <v>0</v>
      </c>
      <c r="AA26" s="20">
        <f t="shared" si="30"/>
        <v>2084.6959999999999</v>
      </c>
      <c r="AB26" s="20">
        <f t="shared" si="30"/>
        <v>0</v>
      </c>
      <c r="AC26" s="20">
        <f t="shared" si="30"/>
        <v>0</v>
      </c>
      <c r="AD26" s="20">
        <f t="shared" si="30"/>
        <v>0</v>
      </c>
      <c r="AE26" s="20">
        <f t="shared" si="30"/>
        <v>22.856000000000002</v>
      </c>
      <c r="AF26" s="20">
        <f t="shared" si="13"/>
        <v>0</v>
      </c>
      <c r="AG26" s="20">
        <f t="shared" si="13"/>
        <v>0</v>
      </c>
      <c r="AH26" s="10">
        <f t="shared" si="2"/>
        <v>121065.12</v>
      </c>
      <c r="AI26" s="1093">
        <f t="shared" si="4"/>
        <v>47562.847999999998</v>
      </c>
      <c r="AJ26" s="1093">
        <f t="shared" si="5"/>
        <v>10134.36</v>
      </c>
      <c r="AK26" s="1093">
        <f t="shared" si="6"/>
        <v>5562.9920000000002</v>
      </c>
      <c r="AL26" s="1093">
        <f t="shared" si="7"/>
        <v>2103.1840000000002</v>
      </c>
      <c r="AM26" s="1093">
        <f t="shared" si="8"/>
        <v>52359.040000000008</v>
      </c>
      <c r="AN26" s="1093">
        <f t="shared" si="9"/>
        <v>3342.6960000000004</v>
      </c>
      <c r="AO26" s="1102"/>
    </row>
    <row r="27" spans="1:41">
      <c r="A27" s="2" t="s">
        <v>22</v>
      </c>
      <c r="B27" s="20"/>
      <c r="C27" s="20"/>
      <c r="D27" s="20"/>
      <c r="E27" s="20"/>
      <c r="F27" s="20"/>
      <c r="G27" s="20"/>
      <c r="H27" s="20"/>
      <c r="I27" s="20"/>
      <c r="J27" s="20"/>
      <c r="K27" s="20"/>
      <c r="L27" s="20"/>
      <c r="M27" s="20"/>
      <c r="N27" s="20"/>
      <c r="O27" s="10">
        <f t="shared" si="0"/>
        <v>0</v>
      </c>
      <c r="P27" s="1093"/>
      <c r="Q27" s="1087"/>
      <c r="R27" s="2" t="s">
        <v>109</v>
      </c>
      <c r="S27" s="20">
        <f t="shared" ref="S27:AE27" si="31">S97*0.8</f>
        <v>9237.7839999999997</v>
      </c>
      <c r="T27" s="20">
        <f t="shared" si="31"/>
        <v>706.03200000000004</v>
      </c>
      <c r="U27" s="20">
        <f t="shared" si="31"/>
        <v>2559.92</v>
      </c>
      <c r="V27" s="20">
        <f t="shared" si="31"/>
        <v>0</v>
      </c>
      <c r="W27" s="20">
        <f t="shared" si="31"/>
        <v>8680.0960000000014</v>
      </c>
      <c r="X27" s="20">
        <f t="shared" si="31"/>
        <v>78.360000000000014</v>
      </c>
      <c r="Y27" s="20">
        <f t="shared" si="31"/>
        <v>33.167999999999999</v>
      </c>
      <c r="Z27" s="20">
        <f t="shared" si="31"/>
        <v>0</v>
      </c>
      <c r="AA27" s="20">
        <f t="shared" si="31"/>
        <v>129.136</v>
      </c>
      <c r="AB27" s="20">
        <f t="shared" si="31"/>
        <v>0</v>
      </c>
      <c r="AC27" s="20">
        <f t="shared" si="31"/>
        <v>0</v>
      </c>
      <c r="AD27" s="20">
        <f t="shared" si="31"/>
        <v>0</v>
      </c>
      <c r="AE27" s="20">
        <f t="shared" si="31"/>
        <v>0</v>
      </c>
      <c r="AF27" s="20">
        <f t="shared" si="13"/>
        <v>0</v>
      </c>
      <c r="AG27" s="20">
        <f t="shared" si="13"/>
        <v>0</v>
      </c>
      <c r="AH27" s="10">
        <f t="shared" si="2"/>
        <v>21424.496000000003</v>
      </c>
      <c r="AI27" s="1093">
        <f t="shared" si="4"/>
        <v>9237.7839999999997</v>
      </c>
      <c r="AJ27" s="1093">
        <f t="shared" si="5"/>
        <v>706.03200000000004</v>
      </c>
      <c r="AK27" s="1093">
        <f t="shared" si="6"/>
        <v>2559.92</v>
      </c>
      <c r="AL27" s="1093">
        <f t="shared" si="7"/>
        <v>0</v>
      </c>
      <c r="AM27" s="1093">
        <f t="shared" si="8"/>
        <v>8680.0960000000014</v>
      </c>
      <c r="AN27" s="1093">
        <f t="shared" si="9"/>
        <v>240.66400000000002</v>
      </c>
      <c r="AO27" s="1102"/>
    </row>
    <row r="28" spans="1:41">
      <c r="A28" s="2" t="s">
        <v>23</v>
      </c>
      <c r="B28" s="20"/>
      <c r="C28" s="20"/>
      <c r="D28" s="20"/>
      <c r="E28" s="20"/>
      <c r="F28" s="20"/>
      <c r="G28" s="20"/>
      <c r="H28" s="20"/>
      <c r="I28" s="20"/>
      <c r="J28" s="20"/>
      <c r="K28" s="20"/>
      <c r="L28" s="20"/>
      <c r="M28" s="20"/>
      <c r="N28" s="20"/>
      <c r="O28" s="10">
        <f t="shared" si="0"/>
        <v>0</v>
      </c>
      <c r="P28" s="1093"/>
      <c r="Q28" s="1087"/>
      <c r="R28" s="2" t="s">
        <v>110</v>
      </c>
      <c r="S28" s="20">
        <f t="shared" ref="S28:AE28" si="32">S98*0.8</f>
        <v>499567.94400000008</v>
      </c>
      <c r="T28" s="20">
        <f t="shared" si="32"/>
        <v>56408.32</v>
      </c>
      <c r="U28" s="20">
        <f t="shared" si="32"/>
        <v>57631.528000000006</v>
      </c>
      <c r="V28" s="20">
        <f t="shared" si="32"/>
        <v>9873.8240000000005</v>
      </c>
      <c r="W28" s="20">
        <f t="shared" si="32"/>
        <v>244161.64800000002</v>
      </c>
      <c r="X28" s="20">
        <f t="shared" si="32"/>
        <v>4072.1680000000001</v>
      </c>
      <c r="Y28" s="20">
        <f t="shared" si="32"/>
        <v>7321.5920000000006</v>
      </c>
      <c r="Z28" s="20">
        <f t="shared" si="32"/>
        <v>0</v>
      </c>
      <c r="AA28" s="20">
        <f t="shared" si="32"/>
        <v>9620.6720000000005</v>
      </c>
      <c r="AB28" s="20">
        <f t="shared" si="32"/>
        <v>1327.0160000000001</v>
      </c>
      <c r="AC28" s="20">
        <f t="shared" si="32"/>
        <v>156.72000000000003</v>
      </c>
      <c r="AD28" s="20">
        <f t="shared" si="32"/>
        <v>0</v>
      </c>
      <c r="AE28" s="20">
        <f t="shared" si="32"/>
        <v>203.47200000000001</v>
      </c>
      <c r="AF28" s="20">
        <f t="shared" si="13"/>
        <v>0</v>
      </c>
      <c r="AG28" s="20">
        <f t="shared" si="13"/>
        <v>0</v>
      </c>
      <c r="AH28" s="10">
        <f t="shared" si="2"/>
        <v>890344.90399999998</v>
      </c>
      <c r="AI28" s="1093">
        <f t="shared" si="4"/>
        <v>499567.94400000008</v>
      </c>
      <c r="AJ28" s="1093">
        <f t="shared" si="5"/>
        <v>56408.32</v>
      </c>
      <c r="AK28" s="1093">
        <f t="shared" si="6"/>
        <v>57631.528000000006</v>
      </c>
      <c r="AL28" s="1093">
        <f t="shared" si="7"/>
        <v>9873.8240000000005</v>
      </c>
      <c r="AM28" s="1093">
        <f t="shared" si="8"/>
        <v>244161.64800000002</v>
      </c>
      <c r="AN28" s="1093">
        <f t="shared" si="9"/>
        <v>22701.640000000003</v>
      </c>
      <c r="AO28" s="1102"/>
    </row>
    <row r="29" spans="1:41">
      <c r="A29" s="2" t="s">
        <v>25</v>
      </c>
      <c r="B29" s="20"/>
      <c r="C29" s="20"/>
      <c r="D29" s="20"/>
      <c r="E29" s="20"/>
      <c r="F29" s="20"/>
      <c r="G29" s="20"/>
      <c r="H29" s="20"/>
      <c r="I29" s="20"/>
      <c r="J29" s="20"/>
      <c r="K29" s="20"/>
      <c r="L29" s="20"/>
      <c r="M29" s="20"/>
      <c r="N29" s="20"/>
      <c r="O29" s="10">
        <f t="shared" si="0"/>
        <v>0</v>
      </c>
      <c r="P29" s="1093"/>
      <c r="Q29" s="1087"/>
      <c r="R29" s="2" t="s">
        <v>111</v>
      </c>
      <c r="S29" s="20">
        <f t="shared" ref="S29:AE29" si="33">S99*0.8</f>
        <v>3419659.3920000005</v>
      </c>
      <c r="T29" s="20">
        <f t="shared" si="33"/>
        <v>584707.04800000007</v>
      </c>
      <c r="U29" s="20">
        <f t="shared" si="33"/>
        <v>385907.76800000004</v>
      </c>
      <c r="V29" s="20">
        <f t="shared" si="33"/>
        <v>70190.623999999996</v>
      </c>
      <c r="W29" s="20">
        <f t="shared" si="33"/>
        <v>1756131.4960000003</v>
      </c>
      <c r="X29" s="20">
        <f t="shared" si="33"/>
        <v>19890.68</v>
      </c>
      <c r="Y29" s="20">
        <f t="shared" si="33"/>
        <v>91631.368000000017</v>
      </c>
      <c r="Z29" s="20">
        <f t="shared" si="33"/>
        <v>5217.8</v>
      </c>
      <c r="AA29" s="20">
        <f t="shared" si="33"/>
        <v>86379.584000000003</v>
      </c>
      <c r="AB29" s="20">
        <f t="shared" si="33"/>
        <v>3753.6239999999998</v>
      </c>
      <c r="AC29" s="20">
        <f t="shared" si="33"/>
        <v>465.05600000000004</v>
      </c>
      <c r="AD29" s="20">
        <f t="shared" si="33"/>
        <v>0</v>
      </c>
      <c r="AE29" s="20">
        <f t="shared" si="33"/>
        <v>2463.0320000000002</v>
      </c>
      <c r="AF29" s="20">
        <f>AF99</f>
        <v>493.42</v>
      </c>
      <c r="AG29" s="20">
        <f>AG99</f>
        <v>4976.8</v>
      </c>
      <c r="AH29" s="10">
        <f t="shared" si="2"/>
        <v>6431867.6919999989</v>
      </c>
      <c r="AI29" s="1093">
        <f t="shared" si="4"/>
        <v>3419659.3920000005</v>
      </c>
      <c r="AJ29" s="1093">
        <f t="shared" si="5"/>
        <v>584707.04800000007</v>
      </c>
      <c r="AK29" s="1093">
        <f t="shared" si="6"/>
        <v>385907.76800000004</v>
      </c>
      <c r="AL29" s="1093">
        <f t="shared" si="7"/>
        <v>70190.623999999996</v>
      </c>
      <c r="AM29" s="1093">
        <f t="shared" si="8"/>
        <v>1756131.4960000003</v>
      </c>
      <c r="AN29" s="1093">
        <f t="shared" si="9"/>
        <v>215271.36400000006</v>
      </c>
      <c r="AO29" s="1102"/>
    </row>
    <row r="30" spans="1:41">
      <c r="A30" s="2" t="s">
        <v>24</v>
      </c>
      <c r="B30" s="20"/>
      <c r="C30" s="20"/>
      <c r="D30" s="20"/>
      <c r="E30" s="20"/>
      <c r="F30" s="20"/>
      <c r="G30" s="20"/>
      <c r="H30" s="20"/>
      <c r="I30" s="20"/>
      <c r="J30" s="20"/>
      <c r="K30" s="20"/>
      <c r="L30" s="20"/>
      <c r="M30" s="20"/>
      <c r="N30" s="20"/>
      <c r="O30" s="10">
        <f t="shared" si="0"/>
        <v>0</v>
      </c>
      <c r="P30" s="1093"/>
      <c r="Q30" s="1087"/>
      <c r="R30" s="2" t="s">
        <v>112</v>
      </c>
      <c r="S30" s="20">
        <f t="shared" ref="S30:AE30" si="34">S100*0.8</f>
        <v>53316.256000000008</v>
      </c>
      <c r="T30" s="20">
        <f t="shared" si="34"/>
        <v>10739.464</v>
      </c>
      <c r="U30" s="20">
        <f t="shared" si="34"/>
        <v>7274.0560000000005</v>
      </c>
      <c r="V30" s="20">
        <f t="shared" si="34"/>
        <v>347</v>
      </c>
      <c r="W30" s="20">
        <f t="shared" si="34"/>
        <v>47771.528000000006</v>
      </c>
      <c r="X30" s="20">
        <f t="shared" si="34"/>
        <v>1410.48</v>
      </c>
      <c r="Y30" s="20">
        <f t="shared" si="34"/>
        <v>814.78400000000011</v>
      </c>
      <c r="Z30" s="20">
        <f t="shared" si="34"/>
        <v>454.84799999999996</v>
      </c>
      <c r="AA30" s="20">
        <f t="shared" si="34"/>
        <v>1756.88</v>
      </c>
      <c r="AB30" s="20">
        <f t="shared" si="34"/>
        <v>235.08000000000004</v>
      </c>
      <c r="AC30" s="20">
        <f t="shared" si="34"/>
        <v>0</v>
      </c>
      <c r="AD30" s="20">
        <f t="shared" si="34"/>
        <v>0</v>
      </c>
      <c r="AE30" s="20">
        <f t="shared" si="34"/>
        <v>22.856000000000002</v>
      </c>
      <c r="AF30" s="20">
        <f>AF100*0.8</f>
        <v>0</v>
      </c>
      <c r="AG30" s="20">
        <f>AG100*0.8</f>
        <v>0</v>
      </c>
      <c r="AH30" s="10">
        <f t="shared" si="2"/>
        <v>124143.23200000002</v>
      </c>
      <c r="AI30" s="1093">
        <f t="shared" si="4"/>
        <v>53316.256000000008</v>
      </c>
      <c r="AJ30" s="1093">
        <f t="shared" si="5"/>
        <v>10739.464</v>
      </c>
      <c r="AK30" s="1093">
        <f t="shared" si="6"/>
        <v>7274.0560000000005</v>
      </c>
      <c r="AL30" s="1093">
        <f t="shared" si="7"/>
        <v>347</v>
      </c>
      <c r="AM30" s="1093">
        <f t="shared" si="8"/>
        <v>47771.528000000006</v>
      </c>
      <c r="AN30" s="1093">
        <f t="shared" si="9"/>
        <v>4694.9279999999999</v>
      </c>
      <c r="AO30" s="1102"/>
    </row>
    <row r="31" spans="1:41">
      <c r="A31" s="2" t="s">
        <v>26</v>
      </c>
      <c r="B31" s="20"/>
      <c r="C31" s="20"/>
      <c r="D31" s="20"/>
      <c r="E31" s="20"/>
      <c r="F31" s="20"/>
      <c r="G31" s="20"/>
      <c r="H31" s="20"/>
      <c r="I31" s="20"/>
      <c r="J31" s="20"/>
      <c r="K31" s="20"/>
      <c r="L31" s="20"/>
      <c r="M31" s="20"/>
      <c r="N31" s="20"/>
      <c r="O31" s="10">
        <f t="shared" si="0"/>
        <v>0</v>
      </c>
      <c r="P31" s="1093"/>
      <c r="Q31" s="1087"/>
      <c r="R31" s="2" t="s">
        <v>113</v>
      </c>
      <c r="S31" s="20">
        <f t="shared" ref="S31:AE31" si="35">S101*0.8</f>
        <v>17624.168000000001</v>
      </c>
      <c r="T31" s="20">
        <f t="shared" si="35"/>
        <v>5320.0240000000003</v>
      </c>
      <c r="U31" s="20">
        <f t="shared" si="35"/>
        <v>2986.5680000000002</v>
      </c>
      <c r="V31" s="20">
        <f t="shared" si="35"/>
        <v>1131.7440000000001</v>
      </c>
      <c r="W31" s="20">
        <f t="shared" si="35"/>
        <v>21652.128000000001</v>
      </c>
      <c r="X31" s="20">
        <f t="shared" si="35"/>
        <v>0</v>
      </c>
      <c r="Y31" s="20">
        <f t="shared" si="35"/>
        <v>766.47200000000009</v>
      </c>
      <c r="Z31" s="20">
        <f t="shared" si="35"/>
        <v>665.12800000000004</v>
      </c>
      <c r="AA31" s="20">
        <f t="shared" si="35"/>
        <v>726.74400000000003</v>
      </c>
      <c r="AB31" s="20">
        <f t="shared" si="35"/>
        <v>78.360000000000014</v>
      </c>
      <c r="AC31" s="20">
        <f t="shared" si="35"/>
        <v>0</v>
      </c>
      <c r="AD31" s="20">
        <f t="shared" si="35"/>
        <v>0</v>
      </c>
      <c r="AE31" s="20">
        <f t="shared" si="35"/>
        <v>22.856000000000002</v>
      </c>
      <c r="AF31" s="20">
        <f>AF101*0.8</f>
        <v>0</v>
      </c>
      <c r="AG31" s="20">
        <f>AG101*0.8</f>
        <v>0</v>
      </c>
      <c r="AH31" s="10">
        <f t="shared" si="2"/>
        <v>50974.191999999995</v>
      </c>
      <c r="AI31" s="1093">
        <f t="shared" si="4"/>
        <v>17624.168000000001</v>
      </c>
      <c r="AJ31" s="1093">
        <f t="shared" si="5"/>
        <v>5320.0240000000003</v>
      </c>
      <c r="AK31" s="1093">
        <f t="shared" si="6"/>
        <v>2986.5680000000002</v>
      </c>
      <c r="AL31" s="1093">
        <f t="shared" si="7"/>
        <v>1131.7440000000001</v>
      </c>
      <c r="AM31" s="1093">
        <f t="shared" si="8"/>
        <v>21652.128000000001</v>
      </c>
      <c r="AN31" s="1093">
        <f t="shared" si="9"/>
        <v>2259.5600000000004</v>
      </c>
      <c r="AO31" s="1102"/>
    </row>
    <row r="32" spans="1:41">
      <c r="A32" s="5" t="s">
        <v>37</v>
      </c>
      <c r="B32" s="6">
        <f t="shared" ref="B32:O32" si="36">SUM(B5:B31)</f>
        <v>0</v>
      </c>
      <c r="C32" s="6">
        <f t="shared" si="36"/>
        <v>0</v>
      </c>
      <c r="D32" s="6">
        <f t="shared" si="36"/>
        <v>0</v>
      </c>
      <c r="E32" s="6">
        <f t="shared" si="36"/>
        <v>0</v>
      </c>
      <c r="F32" s="6">
        <f t="shared" si="36"/>
        <v>0</v>
      </c>
      <c r="G32" s="6">
        <f t="shared" si="36"/>
        <v>0</v>
      </c>
      <c r="H32" s="6">
        <f t="shared" si="36"/>
        <v>0</v>
      </c>
      <c r="I32" s="6">
        <f t="shared" si="36"/>
        <v>0</v>
      </c>
      <c r="J32" s="6">
        <f t="shared" si="36"/>
        <v>0</v>
      </c>
      <c r="K32" s="6">
        <f t="shared" si="36"/>
        <v>0</v>
      </c>
      <c r="L32" s="6">
        <f t="shared" si="36"/>
        <v>0</v>
      </c>
      <c r="M32" s="6">
        <f t="shared" si="36"/>
        <v>0</v>
      </c>
      <c r="N32" s="6">
        <f t="shared" si="36"/>
        <v>0</v>
      </c>
      <c r="O32" s="6">
        <f t="shared" si="36"/>
        <v>0</v>
      </c>
      <c r="P32" s="1077"/>
      <c r="Q32" s="91"/>
      <c r="R32" s="5" t="s">
        <v>37</v>
      </c>
      <c r="S32" s="6">
        <f t="shared" ref="S32:AI32" si="37">SUM(S5:S31)</f>
        <v>9402314.0800000001</v>
      </c>
      <c r="T32" s="6">
        <f t="shared" si="37"/>
        <v>1786281.216</v>
      </c>
      <c r="U32" s="6">
        <f t="shared" si="37"/>
        <v>1082747.8880000003</v>
      </c>
      <c r="V32" s="6">
        <f t="shared" si="37"/>
        <v>256234.75199999998</v>
      </c>
      <c r="W32" s="6">
        <f t="shared" si="37"/>
        <v>4876604.0240000002</v>
      </c>
      <c r="X32" s="6">
        <f t="shared" si="37"/>
        <v>77199.944000000003</v>
      </c>
      <c r="Y32" s="6">
        <f t="shared" si="37"/>
        <v>259974.62400000004</v>
      </c>
      <c r="Z32" s="6">
        <f t="shared" si="37"/>
        <v>15314.384</v>
      </c>
      <c r="AA32" s="6">
        <f t="shared" si="37"/>
        <v>276460.76</v>
      </c>
      <c r="AB32" s="6">
        <f t="shared" si="37"/>
        <v>14670.431999999999</v>
      </c>
      <c r="AC32" s="6">
        <f t="shared" si="37"/>
        <v>1870.4320000000002</v>
      </c>
      <c r="AD32" s="6">
        <f t="shared" si="37"/>
        <v>815.65599999999995</v>
      </c>
      <c r="AE32" s="6">
        <f t="shared" si="37"/>
        <v>6215.4639999999999</v>
      </c>
      <c r="AF32" s="6">
        <f t="shared" si="37"/>
        <v>524.00400000000002</v>
      </c>
      <c r="AG32" s="6">
        <f t="shared" si="37"/>
        <v>4976.8</v>
      </c>
      <c r="AH32" s="6">
        <f t="shared" si="37"/>
        <v>18062204.459999997</v>
      </c>
      <c r="AI32" s="1093">
        <f t="shared" si="37"/>
        <v>9402314.0800000001</v>
      </c>
      <c r="AJ32" s="1093">
        <f t="shared" ref="AJ32:AN32" si="38">SUM(AJ5:AJ31)</f>
        <v>1786281.216</v>
      </c>
      <c r="AK32" s="1093">
        <f t="shared" si="38"/>
        <v>1082747.8880000003</v>
      </c>
      <c r="AL32" s="1093">
        <f t="shared" si="38"/>
        <v>256234.75199999998</v>
      </c>
      <c r="AM32" s="1093">
        <f t="shared" si="38"/>
        <v>4876604.0240000002</v>
      </c>
      <c r="AN32" s="1093">
        <f t="shared" si="38"/>
        <v>658022.50000000012</v>
      </c>
      <c r="AO32" s="1102"/>
    </row>
    <row r="33" spans="1:41">
      <c r="A33" s="1078"/>
      <c r="B33" s="1078"/>
      <c r="C33" s="1079"/>
      <c r="D33" s="1079"/>
      <c r="E33" s="1079"/>
      <c r="F33" s="1079"/>
      <c r="G33" s="1079"/>
      <c r="H33" s="1086"/>
      <c r="I33" s="1079"/>
      <c r="J33" s="1079"/>
      <c r="K33" s="1079"/>
      <c r="L33" s="1079"/>
      <c r="M33" s="1079"/>
      <c r="N33" s="1079"/>
      <c r="O33" s="18"/>
      <c r="P33" s="1077"/>
      <c r="Q33" s="91"/>
      <c r="R33" s="1080" t="s">
        <v>50</v>
      </c>
      <c r="S33" s="1081"/>
      <c r="T33" s="1082"/>
      <c r="U33" s="1082"/>
      <c r="V33" s="1082"/>
      <c r="W33" s="1082"/>
      <c r="X33" s="1082"/>
      <c r="Y33" s="1082"/>
      <c r="Z33" s="1082"/>
      <c r="AA33" s="1082"/>
      <c r="AB33" s="1082"/>
      <c r="AC33" s="1082"/>
      <c r="AD33" s="1082"/>
      <c r="AE33" s="1082"/>
      <c r="AF33" s="1083"/>
      <c r="AG33" s="1082"/>
      <c r="AH33" s="1081"/>
      <c r="AI33" s="1087"/>
      <c r="AJ33" s="1087"/>
      <c r="AK33" s="1087"/>
      <c r="AL33" s="1087"/>
      <c r="AM33" s="1087"/>
      <c r="AN33" s="1087"/>
      <c r="AO33" s="1102"/>
    </row>
    <row r="34" spans="1:41">
      <c r="A34" s="1094"/>
      <c r="B34" s="1094"/>
      <c r="C34" s="1095"/>
      <c r="D34" s="1095"/>
      <c r="E34" s="1095"/>
      <c r="F34" s="1095"/>
      <c r="G34" s="1095"/>
      <c r="H34" s="1095"/>
      <c r="I34" s="1095"/>
      <c r="J34" s="1095"/>
      <c r="K34" s="1095"/>
      <c r="L34" s="1095"/>
      <c r="M34" s="1095"/>
      <c r="N34" s="1095"/>
      <c r="O34" s="1096"/>
      <c r="P34" s="1093"/>
      <c r="Q34" s="1087"/>
      <c r="R34" s="1094"/>
      <c r="S34" s="1094"/>
      <c r="T34" s="1095"/>
      <c r="U34" s="1095"/>
      <c r="V34" s="1095"/>
      <c r="W34" s="1095"/>
      <c r="X34" s="1095"/>
      <c r="Y34" s="1095"/>
      <c r="Z34" s="1095"/>
      <c r="AA34" s="1095"/>
      <c r="AB34" s="1095"/>
      <c r="AC34" s="1095"/>
      <c r="AD34" s="1095"/>
      <c r="AE34" s="1095"/>
      <c r="AF34" s="1095"/>
      <c r="AG34" s="1095"/>
      <c r="AH34" s="1096"/>
      <c r="AI34" s="1087"/>
      <c r="AJ34" s="1087"/>
      <c r="AK34" s="1087"/>
      <c r="AL34" s="1087"/>
      <c r="AM34" s="1087"/>
      <c r="AN34" s="1087"/>
    </row>
    <row r="35" spans="1:41">
      <c r="A35" s="1097" t="s">
        <v>14</v>
      </c>
      <c r="B35" s="1230" t="s">
        <v>46</v>
      </c>
      <c r="C35" s="1230"/>
      <c r="D35" s="1230"/>
      <c r="E35" s="1230"/>
      <c r="F35" s="1230"/>
      <c r="G35" s="1230"/>
      <c r="H35" s="1230"/>
      <c r="I35" s="1089"/>
      <c r="J35" s="1089"/>
      <c r="K35" s="1089"/>
      <c r="L35" s="1089"/>
      <c r="M35" s="1089"/>
      <c r="N35" s="1089"/>
      <c r="O35" s="1090"/>
      <c r="P35" s="1093"/>
      <c r="Q35" s="1087"/>
      <c r="R35" s="1088"/>
      <c r="S35" s="1088"/>
      <c r="T35" s="1089"/>
      <c r="U35" s="1089"/>
      <c r="V35" s="1089"/>
      <c r="W35" s="1089"/>
      <c r="X35" s="1089"/>
      <c r="Y35" s="1089"/>
      <c r="Z35" s="1089"/>
      <c r="AA35" s="1089"/>
      <c r="AB35" s="1089"/>
      <c r="AC35" s="1089"/>
      <c r="AD35" s="1089"/>
      <c r="AE35" s="1089"/>
      <c r="AF35" s="1089"/>
      <c r="AG35" s="1089"/>
      <c r="AH35" s="1090"/>
      <c r="AI35" s="1087"/>
      <c r="AJ35" s="1087"/>
      <c r="AK35" s="1087"/>
      <c r="AL35" s="1087"/>
      <c r="AM35" s="1087"/>
      <c r="AN35" s="1087"/>
    </row>
    <row r="36" spans="1:41">
      <c r="A36" s="1098"/>
      <c r="B36" s="1098"/>
      <c r="C36" s="1099"/>
      <c r="D36" s="1099"/>
      <c r="E36" s="1099"/>
      <c r="F36" s="1099"/>
      <c r="G36" s="1099"/>
      <c r="H36" s="1099"/>
      <c r="I36" s="1099"/>
      <c r="J36" s="1099"/>
      <c r="K36" s="1099"/>
      <c r="L36" s="1099"/>
      <c r="M36" s="1099"/>
      <c r="N36" s="1099"/>
      <c r="O36" s="1100"/>
      <c r="P36" s="1093"/>
      <c r="Q36" s="1087"/>
      <c r="R36" s="1098"/>
      <c r="S36" s="1098"/>
      <c r="T36" s="1099"/>
      <c r="U36" s="1099"/>
      <c r="V36" s="1099"/>
      <c r="W36" s="1099"/>
      <c r="X36" s="1099"/>
      <c r="Y36" s="1099"/>
      <c r="Z36" s="1099"/>
      <c r="AA36" s="1099"/>
      <c r="AB36" s="1099"/>
      <c r="AC36" s="1099"/>
      <c r="AD36" s="1099"/>
      <c r="AE36" s="1099"/>
      <c r="AF36" s="1099"/>
      <c r="AG36" s="1099"/>
      <c r="AH36" s="1100"/>
      <c r="AI36" s="1087"/>
      <c r="AJ36" s="1087"/>
      <c r="AK36" s="1087"/>
      <c r="AL36" s="1087"/>
      <c r="AM36" s="1087"/>
      <c r="AN36" s="1087"/>
    </row>
    <row r="37" spans="1:41" ht="46.5">
      <c r="A37" s="1223" t="s">
        <v>56</v>
      </c>
      <c r="B37" s="1224"/>
      <c r="C37" s="1224"/>
      <c r="D37" s="1224"/>
      <c r="E37" s="1224"/>
      <c r="F37" s="1224"/>
      <c r="G37" s="1224"/>
      <c r="H37" s="1224"/>
      <c r="I37" s="1224"/>
      <c r="J37" s="1224"/>
      <c r="K37" s="1224"/>
      <c r="L37" s="1224"/>
      <c r="M37" s="1224"/>
      <c r="N37" s="1224"/>
      <c r="O37" s="1225"/>
      <c r="P37" s="1093"/>
      <c r="Q37" s="1087"/>
      <c r="R37" s="1220" t="s">
        <v>58</v>
      </c>
      <c r="S37" s="1221"/>
      <c r="T37" s="1221"/>
      <c r="U37" s="1221"/>
      <c r="V37" s="1221"/>
      <c r="W37" s="1221"/>
      <c r="X37" s="1221"/>
      <c r="Y37" s="1221"/>
      <c r="Z37" s="1221"/>
      <c r="AA37" s="1221"/>
      <c r="AB37" s="1221"/>
      <c r="AC37" s="1221"/>
      <c r="AD37" s="1221"/>
      <c r="AE37" s="1221"/>
      <c r="AF37" s="1221"/>
      <c r="AG37" s="1221"/>
      <c r="AH37" s="1222"/>
      <c r="AI37" s="1087"/>
      <c r="AJ37" s="1087"/>
      <c r="AK37" s="1087"/>
      <c r="AL37" s="1087"/>
      <c r="AM37" s="1087"/>
      <c r="AN37" s="1087"/>
    </row>
    <row r="38" spans="1:41" ht="35.1" customHeight="1">
      <c r="A38" s="1226" t="s">
        <v>33</v>
      </c>
      <c r="B38" s="1228" t="s">
        <v>27</v>
      </c>
      <c r="C38" s="1229"/>
      <c r="D38" s="1228" t="s">
        <v>29</v>
      </c>
      <c r="E38" s="1229"/>
      <c r="F38" s="1226" t="s">
        <v>28</v>
      </c>
      <c r="G38" s="1226" t="s">
        <v>36</v>
      </c>
      <c r="H38" s="1226" t="s">
        <v>30</v>
      </c>
      <c r="I38" s="1226" t="s">
        <v>31</v>
      </c>
      <c r="J38" s="1226" t="s">
        <v>41</v>
      </c>
      <c r="K38" s="1226" t="s">
        <v>35</v>
      </c>
      <c r="L38" s="1226" t="s">
        <v>40</v>
      </c>
      <c r="M38" s="1226" t="s">
        <v>42</v>
      </c>
      <c r="N38" s="1226" t="s">
        <v>45</v>
      </c>
      <c r="O38" s="1226" t="s">
        <v>34</v>
      </c>
      <c r="P38" s="1093"/>
      <c r="Q38" s="1087"/>
      <c r="R38" s="1226" t="s">
        <v>33</v>
      </c>
      <c r="S38" s="1228" t="s">
        <v>27</v>
      </c>
      <c r="T38" s="1229"/>
      <c r="U38" s="1228" t="s">
        <v>29</v>
      </c>
      <c r="V38" s="1229"/>
      <c r="W38" s="1226" t="s">
        <v>28</v>
      </c>
      <c r="X38" s="1226" t="s">
        <v>36</v>
      </c>
      <c r="Y38" s="1226" t="s">
        <v>30</v>
      </c>
      <c r="Z38" s="1226" t="s">
        <v>31</v>
      </c>
      <c r="AA38" s="1226" t="s">
        <v>41</v>
      </c>
      <c r="AB38" s="1226" t="s">
        <v>35</v>
      </c>
      <c r="AC38" s="1226" t="s">
        <v>40</v>
      </c>
      <c r="AD38" s="1226" t="s">
        <v>42</v>
      </c>
      <c r="AE38" s="1226" t="s">
        <v>45</v>
      </c>
      <c r="AF38" s="1228" t="s">
        <v>51</v>
      </c>
      <c r="AG38" s="1229"/>
      <c r="AH38" s="1226" t="s">
        <v>34</v>
      </c>
      <c r="AI38" s="1087"/>
      <c r="AJ38" s="1087"/>
      <c r="AK38" s="1087"/>
      <c r="AL38" s="1087"/>
      <c r="AM38" s="1087"/>
      <c r="AN38" s="1087"/>
    </row>
    <row r="39" spans="1:41" ht="35.1" customHeight="1">
      <c r="A39" s="1227"/>
      <c r="B39" s="1091" t="s">
        <v>43</v>
      </c>
      <c r="C39" s="1091" t="s">
        <v>44</v>
      </c>
      <c r="D39" s="1091" t="s">
        <v>43</v>
      </c>
      <c r="E39" s="1091" t="s">
        <v>44</v>
      </c>
      <c r="F39" s="1227"/>
      <c r="G39" s="1227"/>
      <c r="H39" s="1227"/>
      <c r="I39" s="1227"/>
      <c r="J39" s="1227"/>
      <c r="K39" s="1227"/>
      <c r="L39" s="1227"/>
      <c r="M39" s="1227"/>
      <c r="N39" s="1227"/>
      <c r="O39" s="1227"/>
      <c r="P39" s="1093"/>
      <c r="Q39" s="1087"/>
      <c r="R39" s="1227"/>
      <c r="S39" s="1091" t="s">
        <v>43</v>
      </c>
      <c r="T39" s="1091" t="s">
        <v>44</v>
      </c>
      <c r="U39" s="1091" t="s">
        <v>43</v>
      </c>
      <c r="V39" s="1091" t="s">
        <v>44</v>
      </c>
      <c r="W39" s="1227"/>
      <c r="X39" s="1227"/>
      <c r="Y39" s="1227"/>
      <c r="Z39" s="1227"/>
      <c r="AA39" s="1227"/>
      <c r="AB39" s="1227"/>
      <c r="AC39" s="1227"/>
      <c r="AD39" s="1227"/>
      <c r="AE39" s="1227"/>
      <c r="AF39" s="1092" t="s">
        <v>52</v>
      </c>
      <c r="AG39" s="1092" t="s">
        <v>53</v>
      </c>
      <c r="AH39" s="1227"/>
      <c r="AI39" s="1104" t="s">
        <v>183</v>
      </c>
      <c r="AJ39" s="1104" t="s">
        <v>424</v>
      </c>
      <c r="AK39" s="1104" t="s">
        <v>184</v>
      </c>
      <c r="AL39" s="1104" t="s">
        <v>425</v>
      </c>
      <c r="AM39" s="1104" t="s">
        <v>28</v>
      </c>
      <c r="AN39" s="1104" t="s">
        <v>185</v>
      </c>
    </row>
    <row r="40" spans="1:41">
      <c r="A40" s="2" t="s">
        <v>0</v>
      </c>
      <c r="B40" s="20"/>
      <c r="C40" s="20"/>
      <c r="D40" s="20"/>
      <c r="E40" s="20"/>
      <c r="F40" s="20"/>
      <c r="G40" s="20"/>
      <c r="H40" s="20"/>
      <c r="I40" s="20"/>
      <c r="J40" s="20"/>
      <c r="K40" s="20"/>
      <c r="L40" s="20"/>
      <c r="M40" s="20"/>
      <c r="N40" s="20"/>
      <c r="O40" s="10">
        <f t="shared" ref="O40:O66" si="39">SUM(B40:N40)</f>
        <v>0</v>
      </c>
      <c r="P40" s="1093"/>
      <c r="Q40" s="1087"/>
      <c r="R40" s="2" t="s">
        <v>87</v>
      </c>
      <c r="S40" s="20">
        <f t="shared" ref="S40:AE40" si="40">S75*0.2</f>
        <v>3640.1239999999998</v>
      </c>
      <c r="T40" s="20">
        <f t="shared" si="40"/>
        <v>962.59799999999996</v>
      </c>
      <c r="U40" s="20">
        <f t="shared" si="40"/>
        <v>674.26400000000012</v>
      </c>
      <c r="V40" s="20">
        <f t="shared" si="40"/>
        <v>105.13200000000001</v>
      </c>
      <c r="W40" s="20">
        <f t="shared" si="40"/>
        <v>3713.806</v>
      </c>
      <c r="X40" s="20">
        <f t="shared" si="40"/>
        <v>78.360000000000014</v>
      </c>
      <c r="Y40" s="20">
        <f t="shared" si="40"/>
        <v>73.100000000000009</v>
      </c>
      <c r="Z40" s="20">
        <f t="shared" si="40"/>
        <v>0</v>
      </c>
      <c r="AA40" s="20">
        <f t="shared" si="40"/>
        <v>185.11800000000002</v>
      </c>
      <c r="AB40" s="20">
        <f t="shared" si="40"/>
        <v>77.722000000000008</v>
      </c>
      <c r="AC40" s="20">
        <f t="shared" si="40"/>
        <v>0</v>
      </c>
      <c r="AD40" s="20">
        <f t="shared" si="40"/>
        <v>0</v>
      </c>
      <c r="AE40" s="20">
        <f t="shared" si="40"/>
        <v>0</v>
      </c>
      <c r="AF40" s="20">
        <v>0</v>
      </c>
      <c r="AG40" s="20">
        <v>0</v>
      </c>
      <c r="AH40" s="10">
        <f t="shared" ref="AH40:AH66" si="41">SUM(S40:AG40)</f>
        <v>9510.2240000000002</v>
      </c>
      <c r="AI40" s="1093">
        <f>S40</f>
        <v>3640.1239999999998</v>
      </c>
      <c r="AJ40" s="1093">
        <f>T40</f>
        <v>962.59799999999996</v>
      </c>
      <c r="AK40" s="1093">
        <f>U40</f>
        <v>674.26400000000012</v>
      </c>
      <c r="AL40" s="1093">
        <f>V40</f>
        <v>105.13200000000001</v>
      </c>
      <c r="AM40" s="1093">
        <f>W40</f>
        <v>3713.806</v>
      </c>
      <c r="AN40" s="1093">
        <f>SUM(X40:AG40)</f>
        <v>414.30000000000007</v>
      </c>
    </row>
    <row r="41" spans="1:41">
      <c r="A41" s="2" t="s">
        <v>1</v>
      </c>
      <c r="B41" s="20"/>
      <c r="C41" s="20"/>
      <c r="D41" s="20"/>
      <c r="E41" s="20"/>
      <c r="F41" s="20"/>
      <c r="G41" s="20"/>
      <c r="H41" s="20"/>
      <c r="I41" s="20"/>
      <c r="J41" s="20"/>
      <c r="K41" s="20"/>
      <c r="L41" s="20"/>
      <c r="M41" s="20"/>
      <c r="N41" s="20"/>
      <c r="O41" s="10">
        <f t="shared" si="39"/>
        <v>0</v>
      </c>
      <c r="P41" s="1093"/>
      <c r="Q41" s="1087"/>
      <c r="R41" s="2" t="s">
        <v>88</v>
      </c>
      <c r="S41" s="20">
        <f t="shared" ref="S41:AE41" si="42">S76*0.2</f>
        <v>20654.754000000001</v>
      </c>
      <c r="T41" s="20">
        <f t="shared" si="42"/>
        <v>6281.6100000000006</v>
      </c>
      <c r="U41" s="20">
        <f t="shared" si="42"/>
        <v>948.54200000000003</v>
      </c>
      <c r="V41" s="20">
        <f t="shared" si="42"/>
        <v>282.95999999999998</v>
      </c>
      <c r="W41" s="20">
        <f t="shared" si="42"/>
        <v>9383.4220000000005</v>
      </c>
      <c r="X41" s="20">
        <f t="shared" si="42"/>
        <v>252.756</v>
      </c>
      <c r="Y41" s="20">
        <f t="shared" si="42"/>
        <v>875.83600000000013</v>
      </c>
      <c r="Z41" s="20">
        <f t="shared" si="42"/>
        <v>110.556</v>
      </c>
      <c r="AA41" s="20">
        <f t="shared" si="42"/>
        <v>866.84400000000005</v>
      </c>
      <c r="AB41" s="20">
        <f t="shared" si="42"/>
        <v>0</v>
      </c>
      <c r="AC41" s="20">
        <f t="shared" si="42"/>
        <v>0</v>
      </c>
      <c r="AD41" s="20">
        <f t="shared" si="42"/>
        <v>0</v>
      </c>
      <c r="AE41" s="20">
        <f t="shared" si="42"/>
        <v>17.141999999999999</v>
      </c>
      <c r="AF41" s="20">
        <v>0</v>
      </c>
      <c r="AG41" s="20">
        <v>0</v>
      </c>
      <c r="AH41" s="10">
        <f t="shared" si="41"/>
        <v>39674.421999999999</v>
      </c>
      <c r="AI41" s="1093">
        <f t="shared" ref="AI41:AI66" si="43">S41</f>
        <v>20654.754000000001</v>
      </c>
      <c r="AJ41" s="1093">
        <f t="shared" ref="AJ41:AJ66" si="44">T41</f>
        <v>6281.6100000000006</v>
      </c>
      <c r="AK41" s="1093">
        <f t="shared" ref="AK41:AK66" si="45">U41</f>
        <v>948.54200000000003</v>
      </c>
      <c r="AL41" s="1093">
        <f t="shared" ref="AL41:AL66" si="46">V41</f>
        <v>282.95999999999998</v>
      </c>
      <c r="AM41" s="1093">
        <f t="shared" ref="AM41:AM66" si="47">W41</f>
        <v>9383.4220000000005</v>
      </c>
      <c r="AN41" s="1093">
        <f t="shared" ref="AN41:AN66" si="48">SUM(X41:AG41)</f>
        <v>2123.134</v>
      </c>
    </row>
    <row r="42" spans="1:41">
      <c r="A42" s="2" t="s">
        <v>2</v>
      </c>
      <c r="B42" s="20"/>
      <c r="C42" s="20"/>
      <c r="D42" s="20"/>
      <c r="E42" s="20"/>
      <c r="F42" s="20"/>
      <c r="G42" s="20"/>
      <c r="H42" s="20"/>
      <c r="I42" s="20"/>
      <c r="J42" s="20"/>
      <c r="K42" s="20"/>
      <c r="L42" s="20"/>
      <c r="M42" s="20"/>
      <c r="N42" s="20"/>
      <c r="O42" s="10">
        <f t="shared" si="39"/>
        <v>0</v>
      </c>
      <c r="P42" s="1093"/>
      <c r="Q42" s="1087"/>
      <c r="R42" s="2" t="s">
        <v>89</v>
      </c>
      <c r="S42" s="20">
        <f t="shared" ref="S42:AE42" si="49">S77*0.2</f>
        <v>4234.9380000000001</v>
      </c>
      <c r="T42" s="20">
        <f t="shared" si="49"/>
        <v>1618.3920000000001</v>
      </c>
      <c r="U42" s="20">
        <f t="shared" si="49"/>
        <v>598.07600000000002</v>
      </c>
      <c r="V42" s="20">
        <f t="shared" si="49"/>
        <v>760.16600000000005</v>
      </c>
      <c r="W42" s="20">
        <f t="shared" si="49"/>
        <v>5662.5980000000009</v>
      </c>
      <c r="X42" s="20">
        <f t="shared" si="49"/>
        <v>313.44000000000005</v>
      </c>
      <c r="Y42" s="20">
        <f t="shared" si="49"/>
        <v>216.54200000000003</v>
      </c>
      <c r="Z42" s="20">
        <f t="shared" si="49"/>
        <v>0</v>
      </c>
      <c r="AA42" s="20">
        <f t="shared" si="49"/>
        <v>323.73800000000006</v>
      </c>
      <c r="AB42" s="20">
        <f t="shared" si="49"/>
        <v>39.180000000000007</v>
      </c>
      <c r="AC42" s="20">
        <f t="shared" si="49"/>
        <v>0</v>
      </c>
      <c r="AD42" s="20">
        <f t="shared" si="49"/>
        <v>0</v>
      </c>
      <c r="AE42" s="20">
        <f t="shared" si="49"/>
        <v>0</v>
      </c>
      <c r="AF42" s="20">
        <v>0</v>
      </c>
      <c r="AG42" s="20">
        <v>0</v>
      </c>
      <c r="AH42" s="10">
        <f t="shared" si="41"/>
        <v>13767.070000000002</v>
      </c>
      <c r="AI42" s="1093">
        <f t="shared" si="43"/>
        <v>4234.9380000000001</v>
      </c>
      <c r="AJ42" s="1093">
        <f t="shared" si="44"/>
        <v>1618.3920000000001</v>
      </c>
      <c r="AK42" s="1093">
        <f t="shared" si="45"/>
        <v>598.07600000000002</v>
      </c>
      <c r="AL42" s="1093">
        <f t="shared" si="46"/>
        <v>760.16600000000005</v>
      </c>
      <c r="AM42" s="1093">
        <f t="shared" si="47"/>
        <v>5662.5980000000009</v>
      </c>
      <c r="AN42" s="1093">
        <f t="shared" si="48"/>
        <v>892.90000000000009</v>
      </c>
    </row>
    <row r="43" spans="1:41">
      <c r="A43" s="2" t="s">
        <v>3</v>
      </c>
      <c r="B43" s="20"/>
      <c r="C43" s="20"/>
      <c r="D43" s="20"/>
      <c r="E43" s="20"/>
      <c r="F43" s="20"/>
      <c r="G43" s="20"/>
      <c r="H43" s="20"/>
      <c r="I43" s="20"/>
      <c r="J43" s="20"/>
      <c r="K43" s="20"/>
      <c r="L43" s="20"/>
      <c r="M43" s="20"/>
      <c r="N43" s="20"/>
      <c r="O43" s="10">
        <f t="shared" si="39"/>
        <v>0</v>
      </c>
      <c r="P43" s="1093"/>
      <c r="Q43" s="1087"/>
      <c r="R43" s="2" t="s">
        <v>90</v>
      </c>
      <c r="S43" s="20">
        <f t="shared" ref="S43:AE43" si="50">S78*0.2</f>
        <v>14039.773999999999</v>
      </c>
      <c r="T43" s="20">
        <f t="shared" si="50"/>
        <v>5168.8640000000005</v>
      </c>
      <c r="U43" s="20">
        <f t="shared" si="50"/>
        <v>1763.7560000000003</v>
      </c>
      <c r="V43" s="20">
        <f t="shared" si="50"/>
        <v>380.99400000000003</v>
      </c>
      <c r="W43" s="20">
        <f t="shared" si="50"/>
        <v>8470.1600000000017</v>
      </c>
      <c r="X43" s="20">
        <f t="shared" si="50"/>
        <v>156.08199999999999</v>
      </c>
      <c r="Y43" s="20">
        <f t="shared" si="50"/>
        <v>546.04200000000003</v>
      </c>
      <c r="Z43" s="20">
        <f t="shared" si="50"/>
        <v>0</v>
      </c>
      <c r="AA43" s="20">
        <f t="shared" si="50"/>
        <v>718</v>
      </c>
      <c r="AB43" s="20">
        <f t="shared" si="50"/>
        <v>19.590000000000003</v>
      </c>
      <c r="AC43" s="20">
        <f t="shared" si="50"/>
        <v>0</v>
      </c>
      <c r="AD43" s="20">
        <f t="shared" si="50"/>
        <v>0</v>
      </c>
      <c r="AE43" s="20">
        <f t="shared" si="50"/>
        <v>5.5280000000000005</v>
      </c>
      <c r="AF43" s="20">
        <v>0</v>
      </c>
      <c r="AG43" s="20">
        <v>0</v>
      </c>
      <c r="AH43" s="10">
        <f t="shared" si="41"/>
        <v>31268.79</v>
      </c>
      <c r="AI43" s="1093">
        <f t="shared" si="43"/>
        <v>14039.773999999999</v>
      </c>
      <c r="AJ43" s="1093">
        <f t="shared" si="44"/>
        <v>5168.8640000000005</v>
      </c>
      <c r="AK43" s="1093">
        <f t="shared" si="45"/>
        <v>1763.7560000000003</v>
      </c>
      <c r="AL43" s="1093">
        <f t="shared" si="46"/>
        <v>380.99400000000003</v>
      </c>
      <c r="AM43" s="1093">
        <f t="shared" si="47"/>
        <v>8470.1600000000017</v>
      </c>
      <c r="AN43" s="1093">
        <f t="shared" si="48"/>
        <v>1445.242</v>
      </c>
    </row>
    <row r="44" spans="1:41">
      <c r="A44" s="2" t="s">
        <v>4</v>
      </c>
      <c r="B44" s="20"/>
      <c r="C44" s="20"/>
      <c r="D44" s="20"/>
      <c r="E44" s="20"/>
      <c r="F44" s="20"/>
      <c r="G44" s="20"/>
      <c r="H44" s="20"/>
      <c r="I44" s="20"/>
      <c r="J44" s="20"/>
      <c r="K44" s="20"/>
      <c r="L44" s="20"/>
      <c r="M44" s="20"/>
      <c r="N44" s="20"/>
      <c r="O44" s="10">
        <f t="shared" si="39"/>
        <v>0</v>
      </c>
      <c r="P44" s="1093"/>
      <c r="Q44" s="1087"/>
      <c r="R44" s="2" t="s">
        <v>91</v>
      </c>
      <c r="S44" s="20">
        <f t="shared" ref="S44:AE44" si="51">S79*0.2</f>
        <v>60098.624000000003</v>
      </c>
      <c r="T44" s="20">
        <f t="shared" si="51"/>
        <v>14177.118</v>
      </c>
      <c r="U44" s="20">
        <f t="shared" si="51"/>
        <v>7710.2300000000005</v>
      </c>
      <c r="V44" s="20">
        <f t="shared" si="51"/>
        <v>901.61000000000013</v>
      </c>
      <c r="W44" s="20">
        <f t="shared" si="51"/>
        <v>25912.916000000001</v>
      </c>
      <c r="X44" s="20">
        <f t="shared" si="51"/>
        <v>548.52</v>
      </c>
      <c r="Y44" s="20">
        <f t="shared" si="51"/>
        <v>1604.9940000000001</v>
      </c>
      <c r="Z44" s="20">
        <f t="shared" si="51"/>
        <v>0</v>
      </c>
      <c r="AA44" s="20">
        <f t="shared" si="51"/>
        <v>2122.3980000000001</v>
      </c>
      <c r="AB44" s="20">
        <f t="shared" si="51"/>
        <v>97.95</v>
      </c>
      <c r="AC44" s="20">
        <f t="shared" si="51"/>
        <v>37.904000000000003</v>
      </c>
      <c r="AD44" s="20">
        <f t="shared" si="51"/>
        <v>0</v>
      </c>
      <c r="AE44" s="20">
        <f t="shared" si="51"/>
        <v>45.526000000000003</v>
      </c>
      <c r="AF44" s="20">
        <v>0</v>
      </c>
      <c r="AG44" s="20">
        <v>0</v>
      </c>
      <c r="AH44" s="10">
        <f t="shared" si="41"/>
        <v>113257.79</v>
      </c>
      <c r="AI44" s="1093">
        <f t="shared" si="43"/>
        <v>60098.624000000003</v>
      </c>
      <c r="AJ44" s="1093">
        <f t="shared" si="44"/>
        <v>14177.118</v>
      </c>
      <c r="AK44" s="1093">
        <f t="shared" si="45"/>
        <v>7710.2300000000005</v>
      </c>
      <c r="AL44" s="1093">
        <f t="shared" si="46"/>
        <v>901.61000000000013</v>
      </c>
      <c r="AM44" s="1093">
        <f t="shared" si="47"/>
        <v>25912.916000000001</v>
      </c>
      <c r="AN44" s="1093">
        <f t="shared" si="48"/>
        <v>4457.2920000000004</v>
      </c>
    </row>
    <row r="45" spans="1:41">
      <c r="A45" s="2" t="s">
        <v>5</v>
      </c>
      <c r="B45" s="20"/>
      <c r="C45" s="20"/>
      <c r="D45" s="20"/>
      <c r="E45" s="20"/>
      <c r="F45" s="20"/>
      <c r="G45" s="20"/>
      <c r="H45" s="20"/>
      <c r="I45" s="20"/>
      <c r="J45" s="20"/>
      <c r="K45" s="20"/>
      <c r="L45" s="20"/>
      <c r="M45" s="20"/>
      <c r="N45" s="20"/>
      <c r="O45" s="10">
        <f t="shared" si="39"/>
        <v>0</v>
      </c>
      <c r="P45" s="1093"/>
      <c r="Q45" s="1087"/>
      <c r="R45" s="2" t="s">
        <v>92</v>
      </c>
      <c r="S45" s="20">
        <f t="shared" ref="S45:AE45" si="52">S80*0.2</f>
        <v>46963.256000000001</v>
      </c>
      <c r="T45" s="20">
        <f t="shared" si="52"/>
        <v>5755.7800000000007</v>
      </c>
      <c r="U45" s="20">
        <f t="shared" si="52"/>
        <v>4838.4120000000003</v>
      </c>
      <c r="V45" s="20">
        <f t="shared" si="52"/>
        <v>352.65200000000004</v>
      </c>
      <c r="W45" s="20">
        <f t="shared" si="52"/>
        <v>18786.621999999999</v>
      </c>
      <c r="X45" s="20">
        <f t="shared" si="52"/>
        <v>328.56400000000002</v>
      </c>
      <c r="Y45" s="20">
        <f t="shared" si="52"/>
        <v>554.57799999999997</v>
      </c>
      <c r="Z45" s="20">
        <f t="shared" si="52"/>
        <v>90.384000000000015</v>
      </c>
      <c r="AA45" s="20">
        <f t="shared" si="52"/>
        <v>999.16200000000015</v>
      </c>
      <c r="AB45" s="20">
        <f t="shared" si="52"/>
        <v>19.590000000000003</v>
      </c>
      <c r="AC45" s="20">
        <f t="shared" si="52"/>
        <v>0</v>
      </c>
      <c r="AD45" s="20">
        <f t="shared" si="52"/>
        <v>0</v>
      </c>
      <c r="AE45" s="20">
        <f t="shared" si="52"/>
        <v>17.141999999999999</v>
      </c>
      <c r="AF45" s="20">
        <v>0</v>
      </c>
      <c r="AG45" s="20">
        <v>0</v>
      </c>
      <c r="AH45" s="10">
        <f t="shared" si="41"/>
        <v>78706.142000000007</v>
      </c>
      <c r="AI45" s="1093">
        <f t="shared" si="43"/>
        <v>46963.256000000001</v>
      </c>
      <c r="AJ45" s="1093">
        <f t="shared" si="44"/>
        <v>5755.7800000000007</v>
      </c>
      <c r="AK45" s="1093">
        <f t="shared" si="45"/>
        <v>4838.4120000000003</v>
      </c>
      <c r="AL45" s="1093">
        <f t="shared" si="46"/>
        <v>352.65200000000004</v>
      </c>
      <c r="AM45" s="1093">
        <f t="shared" si="47"/>
        <v>18786.621999999999</v>
      </c>
      <c r="AN45" s="1093">
        <f t="shared" si="48"/>
        <v>2009.42</v>
      </c>
    </row>
    <row r="46" spans="1:41">
      <c r="A46" s="2" t="s">
        <v>6</v>
      </c>
      <c r="B46" s="20"/>
      <c r="C46" s="20"/>
      <c r="D46" s="20"/>
      <c r="E46" s="20"/>
      <c r="F46" s="20"/>
      <c r="G46" s="20"/>
      <c r="H46" s="20"/>
      <c r="I46" s="20"/>
      <c r="J46" s="20"/>
      <c r="K46" s="20"/>
      <c r="L46" s="20"/>
      <c r="M46" s="20"/>
      <c r="N46" s="20"/>
      <c r="O46" s="10">
        <f t="shared" si="39"/>
        <v>0</v>
      </c>
      <c r="P46" s="1093"/>
      <c r="Q46" s="1087"/>
      <c r="R46" s="2" t="s">
        <v>93</v>
      </c>
      <c r="S46" s="20">
        <f t="shared" ref="S46:AE46" si="53">S81*0.2</f>
        <v>64110.25</v>
      </c>
      <c r="T46" s="20">
        <f t="shared" si="53"/>
        <v>14812.806</v>
      </c>
      <c r="U46" s="20">
        <f t="shared" si="53"/>
        <v>4337.0080000000007</v>
      </c>
      <c r="V46" s="20">
        <f t="shared" si="53"/>
        <v>1854.7939999999999</v>
      </c>
      <c r="W46" s="20">
        <f t="shared" si="53"/>
        <v>24028.260000000002</v>
      </c>
      <c r="X46" s="20">
        <f t="shared" si="53"/>
        <v>820.86599999999999</v>
      </c>
      <c r="Y46" s="20">
        <f t="shared" si="53"/>
        <v>2229.3740000000003</v>
      </c>
      <c r="Z46" s="20">
        <f t="shared" si="53"/>
        <v>0</v>
      </c>
      <c r="AA46" s="20">
        <f t="shared" si="53"/>
        <v>2443.1179999999999</v>
      </c>
      <c r="AB46" s="20">
        <f t="shared" si="53"/>
        <v>18.952000000000002</v>
      </c>
      <c r="AC46" s="20">
        <f t="shared" si="53"/>
        <v>39.180000000000007</v>
      </c>
      <c r="AD46" s="20">
        <f t="shared" si="53"/>
        <v>0</v>
      </c>
      <c r="AE46" s="20">
        <f t="shared" si="53"/>
        <v>79.25200000000001</v>
      </c>
      <c r="AF46" s="20">
        <v>0</v>
      </c>
      <c r="AG46" s="20">
        <v>0</v>
      </c>
      <c r="AH46" s="10">
        <f t="shared" si="41"/>
        <v>114773.85999999997</v>
      </c>
      <c r="AI46" s="1093">
        <f t="shared" si="43"/>
        <v>64110.25</v>
      </c>
      <c r="AJ46" s="1093">
        <f t="shared" si="44"/>
        <v>14812.806</v>
      </c>
      <c r="AK46" s="1093">
        <f t="shared" si="45"/>
        <v>4337.0080000000007</v>
      </c>
      <c r="AL46" s="1093">
        <f t="shared" si="46"/>
        <v>1854.7939999999999</v>
      </c>
      <c r="AM46" s="1093">
        <f t="shared" si="47"/>
        <v>24028.260000000002</v>
      </c>
      <c r="AN46" s="1093">
        <f t="shared" si="48"/>
        <v>5630.7420000000011</v>
      </c>
    </row>
    <row r="47" spans="1:41">
      <c r="A47" s="2" t="s">
        <v>7</v>
      </c>
      <c r="B47" s="20"/>
      <c r="C47" s="20"/>
      <c r="D47" s="20"/>
      <c r="E47" s="20"/>
      <c r="F47" s="20"/>
      <c r="G47" s="20"/>
      <c r="H47" s="20"/>
      <c r="I47" s="20"/>
      <c r="J47" s="20"/>
      <c r="K47" s="20"/>
      <c r="L47" s="20"/>
      <c r="M47" s="20"/>
      <c r="N47" s="20"/>
      <c r="O47" s="10">
        <f t="shared" si="39"/>
        <v>0</v>
      </c>
      <c r="P47" s="1093"/>
      <c r="Q47" s="1087"/>
      <c r="R47" s="2" t="s">
        <v>94</v>
      </c>
      <c r="S47" s="20">
        <f t="shared" ref="S47:AE47" si="54">S82*0.2</f>
        <v>49075.832000000002</v>
      </c>
      <c r="T47" s="20">
        <f t="shared" si="54"/>
        <v>6520.7139999999999</v>
      </c>
      <c r="U47" s="20">
        <f t="shared" si="54"/>
        <v>4212.7260000000006</v>
      </c>
      <c r="V47" s="20">
        <f t="shared" si="54"/>
        <v>841.98</v>
      </c>
      <c r="W47" s="20">
        <f t="shared" si="54"/>
        <v>19899.874</v>
      </c>
      <c r="X47" s="20">
        <f t="shared" si="54"/>
        <v>1016.7660000000001</v>
      </c>
      <c r="Y47" s="20">
        <f t="shared" si="54"/>
        <v>921.80600000000004</v>
      </c>
      <c r="Z47" s="20">
        <f t="shared" si="54"/>
        <v>342.54600000000005</v>
      </c>
      <c r="AA47" s="20">
        <f t="shared" si="54"/>
        <v>797.94799999999998</v>
      </c>
      <c r="AB47" s="20">
        <f t="shared" si="54"/>
        <v>77.084000000000003</v>
      </c>
      <c r="AC47" s="20">
        <f t="shared" si="54"/>
        <v>0</v>
      </c>
      <c r="AD47" s="20">
        <f t="shared" si="54"/>
        <v>0</v>
      </c>
      <c r="AE47" s="20">
        <f t="shared" si="54"/>
        <v>17.141999999999999</v>
      </c>
      <c r="AF47" s="20">
        <v>0</v>
      </c>
      <c r="AG47" s="20">
        <v>0</v>
      </c>
      <c r="AH47" s="10">
        <f t="shared" si="41"/>
        <v>83724.41800000002</v>
      </c>
      <c r="AI47" s="1093">
        <f t="shared" si="43"/>
        <v>49075.832000000002</v>
      </c>
      <c r="AJ47" s="1093">
        <f t="shared" si="44"/>
        <v>6520.7139999999999</v>
      </c>
      <c r="AK47" s="1093">
        <f t="shared" si="45"/>
        <v>4212.7260000000006</v>
      </c>
      <c r="AL47" s="1093">
        <f t="shared" si="46"/>
        <v>841.98</v>
      </c>
      <c r="AM47" s="1093">
        <f t="shared" si="47"/>
        <v>19899.874</v>
      </c>
      <c r="AN47" s="1093">
        <f t="shared" si="48"/>
        <v>3173.2919999999999</v>
      </c>
    </row>
    <row r="48" spans="1:41">
      <c r="A48" s="2" t="s">
        <v>8</v>
      </c>
      <c r="B48" s="20"/>
      <c r="C48" s="20"/>
      <c r="D48" s="20"/>
      <c r="E48" s="20"/>
      <c r="F48" s="20"/>
      <c r="G48" s="20"/>
      <c r="H48" s="20"/>
      <c r="I48" s="20"/>
      <c r="J48" s="20"/>
      <c r="K48" s="20"/>
      <c r="L48" s="20"/>
      <c r="M48" s="20"/>
      <c r="N48" s="20"/>
      <c r="O48" s="10">
        <f t="shared" si="39"/>
        <v>0</v>
      </c>
      <c r="P48" s="1093"/>
      <c r="Q48" s="1087"/>
      <c r="R48" s="2" t="s">
        <v>95</v>
      </c>
      <c r="S48" s="20">
        <f t="shared" ref="S48:AE48" si="55">S83*0.2</f>
        <v>40949.991999999998</v>
      </c>
      <c r="T48" s="20">
        <f t="shared" si="55"/>
        <v>8233.0280000000002</v>
      </c>
      <c r="U48" s="20">
        <f t="shared" si="55"/>
        <v>3488.4620000000004</v>
      </c>
      <c r="V48" s="20">
        <f t="shared" si="55"/>
        <v>1237.4860000000001</v>
      </c>
      <c r="W48" s="20">
        <f t="shared" si="55"/>
        <v>39047.86</v>
      </c>
      <c r="X48" s="20">
        <f t="shared" si="55"/>
        <v>605.37600000000009</v>
      </c>
      <c r="Y48" s="20">
        <f t="shared" si="55"/>
        <v>1078.442</v>
      </c>
      <c r="Z48" s="20">
        <f t="shared" si="55"/>
        <v>374.452</v>
      </c>
      <c r="AA48" s="20">
        <f t="shared" si="55"/>
        <v>1310.4860000000001</v>
      </c>
      <c r="AB48" s="20">
        <f t="shared" si="55"/>
        <v>39.180000000000007</v>
      </c>
      <c r="AC48" s="20">
        <f t="shared" si="55"/>
        <v>39.180000000000007</v>
      </c>
      <c r="AD48" s="20">
        <f t="shared" si="55"/>
        <v>0</v>
      </c>
      <c r="AE48" s="20">
        <f t="shared" si="55"/>
        <v>28.384</v>
      </c>
      <c r="AF48" s="20">
        <v>0</v>
      </c>
      <c r="AG48" s="20">
        <v>0</v>
      </c>
      <c r="AH48" s="10">
        <f t="shared" si="41"/>
        <v>96432.327999999994</v>
      </c>
      <c r="AI48" s="1093">
        <f t="shared" si="43"/>
        <v>40949.991999999998</v>
      </c>
      <c r="AJ48" s="1093">
        <f t="shared" si="44"/>
        <v>8233.0280000000002</v>
      </c>
      <c r="AK48" s="1093">
        <f t="shared" si="45"/>
        <v>3488.4620000000004</v>
      </c>
      <c r="AL48" s="1093">
        <f t="shared" si="46"/>
        <v>1237.4860000000001</v>
      </c>
      <c r="AM48" s="1093">
        <f t="shared" si="47"/>
        <v>39047.86</v>
      </c>
      <c r="AN48" s="1093">
        <f t="shared" si="48"/>
        <v>3475.5</v>
      </c>
    </row>
    <row r="49" spans="1:40">
      <c r="A49" s="2" t="s">
        <v>9</v>
      </c>
      <c r="B49" s="20"/>
      <c r="C49" s="20"/>
      <c r="D49" s="20"/>
      <c r="E49" s="20"/>
      <c r="F49" s="20"/>
      <c r="G49" s="20"/>
      <c r="H49" s="20"/>
      <c r="I49" s="20"/>
      <c r="J49" s="20"/>
      <c r="K49" s="20"/>
      <c r="L49" s="20"/>
      <c r="M49" s="20"/>
      <c r="N49" s="20"/>
      <c r="O49" s="10">
        <f t="shared" si="39"/>
        <v>0</v>
      </c>
      <c r="P49" s="1093"/>
      <c r="Q49" s="1087"/>
      <c r="R49" s="2" t="s">
        <v>96</v>
      </c>
      <c r="S49" s="20">
        <f t="shared" ref="S49:AE49" si="56">S84*0.2</f>
        <v>16564.856</v>
      </c>
      <c r="T49" s="20">
        <f t="shared" si="56"/>
        <v>4475.7160000000003</v>
      </c>
      <c r="U49" s="20">
        <f t="shared" si="56"/>
        <v>1542.8100000000002</v>
      </c>
      <c r="V49" s="20">
        <f t="shared" si="56"/>
        <v>124.04600000000001</v>
      </c>
      <c r="W49" s="20">
        <f t="shared" si="56"/>
        <v>7142.6940000000004</v>
      </c>
      <c r="X49" s="20">
        <f t="shared" si="56"/>
        <v>137.13</v>
      </c>
      <c r="Y49" s="20">
        <f t="shared" si="56"/>
        <v>519.75</v>
      </c>
      <c r="Z49" s="20">
        <f t="shared" si="56"/>
        <v>0</v>
      </c>
      <c r="AA49" s="20">
        <f t="shared" si="56"/>
        <v>631.29600000000005</v>
      </c>
      <c r="AB49" s="20">
        <f t="shared" si="56"/>
        <v>19.590000000000003</v>
      </c>
      <c r="AC49" s="20">
        <f t="shared" si="56"/>
        <v>0</v>
      </c>
      <c r="AD49" s="20">
        <f t="shared" si="56"/>
        <v>0</v>
      </c>
      <c r="AE49" s="20">
        <f t="shared" si="56"/>
        <v>11.242000000000001</v>
      </c>
      <c r="AF49" s="20">
        <v>0</v>
      </c>
      <c r="AG49" s="20">
        <v>0</v>
      </c>
      <c r="AH49" s="10">
        <f t="shared" si="41"/>
        <v>31169.129999999997</v>
      </c>
      <c r="AI49" s="1093">
        <f t="shared" si="43"/>
        <v>16564.856</v>
      </c>
      <c r="AJ49" s="1093">
        <f t="shared" si="44"/>
        <v>4475.7160000000003</v>
      </c>
      <c r="AK49" s="1093">
        <f t="shared" si="45"/>
        <v>1542.8100000000002</v>
      </c>
      <c r="AL49" s="1093">
        <f t="shared" si="46"/>
        <v>124.04600000000001</v>
      </c>
      <c r="AM49" s="1093">
        <f t="shared" si="47"/>
        <v>7142.6940000000004</v>
      </c>
      <c r="AN49" s="1093">
        <f t="shared" si="48"/>
        <v>1319.0079999999998</v>
      </c>
    </row>
    <row r="50" spans="1:40">
      <c r="A50" s="2" t="s">
        <v>10</v>
      </c>
      <c r="B50" s="20"/>
      <c r="C50" s="20"/>
      <c r="D50" s="20"/>
      <c r="E50" s="20"/>
      <c r="F50" s="20"/>
      <c r="G50" s="20"/>
      <c r="H50" s="20"/>
      <c r="I50" s="20"/>
      <c r="J50" s="20"/>
      <c r="K50" s="20"/>
      <c r="L50" s="20"/>
      <c r="M50" s="20"/>
      <c r="N50" s="20"/>
      <c r="O50" s="10">
        <f t="shared" si="39"/>
        <v>0</v>
      </c>
      <c r="P50" s="1093"/>
      <c r="Q50" s="1087"/>
      <c r="R50" s="2" t="s">
        <v>97</v>
      </c>
      <c r="S50" s="20">
        <f t="shared" ref="S50:AE50" si="57">S85*0.2</f>
        <v>28125.896000000004</v>
      </c>
      <c r="T50" s="20">
        <f t="shared" si="57"/>
        <v>3728.8940000000002</v>
      </c>
      <c r="U50" s="20">
        <f t="shared" si="57"/>
        <v>3492.5860000000002</v>
      </c>
      <c r="V50" s="20">
        <f t="shared" si="57"/>
        <v>1343.7940000000001</v>
      </c>
      <c r="W50" s="20">
        <f t="shared" si="57"/>
        <v>34208.042000000001</v>
      </c>
      <c r="X50" s="20">
        <f t="shared" si="57"/>
        <v>156.72000000000003</v>
      </c>
      <c r="Y50" s="20">
        <f t="shared" si="57"/>
        <v>373.44800000000004</v>
      </c>
      <c r="Z50" s="20">
        <f t="shared" si="57"/>
        <v>0</v>
      </c>
      <c r="AA50" s="20">
        <f t="shared" si="57"/>
        <v>770.00400000000002</v>
      </c>
      <c r="AB50" s="20">
        <f t="shared" si="57"/>
        <v>58.77000000000001</v>
      </c>
      <c r="AC50" s="20">
        <f t="shared" si="57"/>
        <v>0</v>
      </c>
      <c r="AD50" s="20">
        <f t="shared" si="57"/>
        <v>0</v>
      </c>
      <c r="AE50" s="20">
        <f t="shared" si="57"/>
        <v>17.141999999999999</v>
      </c>
      <c r="AF50" s="20">
        <v>0</v>
      </c>
      <c r="AG50" s="20">
        <v>0</v>
      </c>
      <c r="AH50" s="10">
        <f t="shared" si="41"/>
        <v>72275.296000000017</v>
      </c>
      <c r="AI50" s="1093">
        <f t="shared" si="43"/>
        <v>28125.896000000004</v>
      </c>
      <c r="AJ50" s="1093">
        <f t="shared" si="44"/>
        <v>3728.8940000000002</v>
      </c>
      <c r="AK50" s="1093">
        <f t="shared" si="45"/>
        <v>3492.5860000000002</v>
      </c>
      <c r="AL50" s="1093">
        <f t="shared" si="46"/>
        <v>1343.7940000000001</v>
      </c>
      <c r="AM50" s="1093">
        <f t="shared" si="47"/>
        <v>34208.042000000001</v>
      </c>
      <c r="AN50" s="1093">
        <f t="shared" si="48"/>
        <v>1376.0840000000001</v>
      </c>
    </row>
    <row r="51" spans="1:40">
      <c r="A51" s="2" t="s">
        <v>11</v>
      </c>
      <c r="B51" s="20"/>
      <c r="C51" s="20"/>
      <c r="D51" s="20"/>
      <c r="E51" s="20"/>
      <c r="F51" s="20"/>
      <c r="G51" s="20"/>
      <c r="H51" s="20"/>
      <c r="I51" s="20"/>
      <c r="J51" s="20"/>
      <c r="K51" s="20"/>
      <c r="L51" s="20"/>
      <c r="M51" s="20"/>
      <c r="N51" s="20"/>
      <c r="O51" s="10">
        <f t="shared" si="39"/>
        <v>0</v>
      </c>
      <c r="P51" s="1093"/>
      <c r="Q51" s="1087"/>
      <c r="R51" s="2" t="s">
        <v>98</v>
      </c>
      <c r="S51" s="20">
        <f t="shared" ref="S51:AE51" si="58">S86*0.2</f>
        <v>35425.56</v>
      </c>
      <c r="T51" s="20">
        <f t="shared" si="58"/>
        <v>6222.5320000000002</v>
      </c>
      <c r="U51" s="20">
        <f t="shared" si="58"/>
        <v>5417.924</v>
      </c>
      <c r="V51" s="20">
        <f t="shared" si="58"/>
        <v>1023.8020000000001</v>
      </c>
      <c r="W51" s="20">
        <f t="shared" si="58"/>
        <v>24221.346000000001</v>
      </c>
      <c r="X51" s="20">
        <f t="shared" si="58"/>
        <v>215.49</v>
      </c>
      <c r="Y51" s="20">
        <f t="shared" si="58"/>
        <v>787.78400000000011</v>
      </c>
      <c r="Z51" s="20">
        <f t="shared" si="58"/>
        <v>399.37400000000002</v>
      </c>
      <c r="AA51" s="20">
        <f t="shared" si="58"/>
        <v>1156.3280000000002</v>
      </c>
      <c r="AB51" s="20">
        <f t="shared" si="58"/>
        <v>58.132000000000005</v>
      </c>
      <c r="AC51" s="20">
        <f t="shared" si="58"/>
        <v>0</v>
      </c>
      <c r="AD51" s="20">
        <f t="shared" si="58"/>
        <v>92.13</v>
      </c>
      <c r="AE51" s="20">
        <f t="shared" si="58"/>
        <v>28.012</v>
      </c>
      <c r="AF51" s="20">
        <f>AF86*0.2</f>
        <v>7.6459999999999999</v>
      </c>
      <c r="AG51" s="20">
        <v>0</v>
      </c>
      <c r="AH51" s="10">
        <f t="shared" si="41"/>
        <v>75056.06</v>
      </c>
      <c r="AI51" s="1093">
        <f t="shared" si="43"/>
        <v>35425.56</v>
      </c>
      <c r="AJ51" s="1093">
        <f t="shared" si="44"/>
        <v>6222.5320000000002</v>
      </c>
      <c r="AK51" s="1093">
        <f t="shared" si="45"/>
        <v>5417.924</v>
      </c>
      <c r="AL51" s="1093">
        <f t="shared" si="46"/>
        <v>1023.8020000000001</v>
      </c>
      <c r="AM51" s="1093">
        <f t="shared" si="47"/>
        <v>24221.346000000001</v>
      </c>
      <c r="AN51" s="1093">
        <f t="shared" si="48"/>
        <v>2744.8960000000011</v>
      </c>
    </row>
    <row r="52" spans="1:40">
      <c r="A52" s="2" t="s">
        <v>12</v>
      </c>
      <c r="B52" s="20"/>
      <c r="C52" s="20"/>
      <c r="D52" s="20"/>
      <c r="E52" s="20"/>
      <c r="F52" s="20"/>
      <c r="G52" s="20"/>
      <c r="H52" s="20"/>
      <c r="I52" s="20"/>
      <c r="J52" s="20"/>
      <c r="K52" s="20"/>
      <c r="L52" s="20"/>
      <c r="M52" s="20"/>
      <c r="N52" s="20"/>
      <c r="O52" s="10">
        <f t="shared" si="39"/>
        <v>0</v>
      </c>
      <c r="P52" s="1093"/>
      <c r="Q52" s="1087"/>
      <c r="R52" s="2" t="s">
        <v>99</v>
      </c>
      <c r="S52" s="20">
        <f t="shared" ref="S52:AE52" si="59">S87*0.2</f>
        <v>207415.394</v>
      </c>
      <c r="T52" s="20">
        <f t="shared" si="59"/>
        <v>46278.864000000001</v>
      </c>
      <c r="U52" s="20">
        <f t="shared" si="59"/>
        <v>21113.624</v>
      </c>
      <c r="V52" s="20">
        <f t="shared" si="59"/>
        <v>6820.5580000000009</v>
      </c>
      <c r="W52" s="20">
        <f t="shared" si="59"/>
        <v>81295.834000000003</v>
      </c>
      <c r="X52" s="20">
        <f t="shared" si="59"/>
        <v>802.55200000000013</v>
      </c>
      <c r="Y52" s="20">
        <f t="shared" si="59"/>
        <v>6751.7179999999998</v>
      </c>
      <c r="Z52" s="20">
        <f t="shared" si="59"/>
        <v>0</v>
      </c>
      <c r="AA52" s="20">
        <f t="shared" si="59"/>
        <v>6957.3600000000006</v>
      </c>
      <c r="AB52" s="20">
        <f t="shared" si="59"/>
        <v>487.19799999999998</v>
      </c>
      <c r="AC52" s="20">
        <f t="shared" si="59"/>
        <v>39.180000000000007</v>
      </c>
      <c r="AD52" s="20">
        <f t="shared" si="59"/>
        <v>0</v>
      </c>
      <c r="AE52" s="20">
        <f t="shared" si="59"/>
        <v>117.57600000000001</v>
      </c>
      <c r="AF52" s="20">
        <f>AF87*0.2</f>
        <v>0</v>
      </c>
      <c r="AG52" s="20">
        <v>0</v>
      </c>
      <c r="AH52" s="10">
        <f t="shared" si="41"/>
        <v>378079.85799999995</v>
      </c>
      <c r="AI52" s="1093">
        <f t="shared" si="43"/>
        <v>207415.394</v>
      </c>
      <c r="AJ52" s="1093">
        <f t="shared" si="44"/>
        <v>46278.864000000001</v>
      </c>
      <c r="AK52" s="1093">
        <f t="shared" si="45"/>
        <v>21113.624</v>
      </c>
      <c r="AL52" s="1093">
        <f t="shared" si="46"/>
        <v>6820.5580000000009</v>
      </c>
      <c r="AM52" s="1093">
        <f t="shared" si="47"/>
        <v>81295.834000000003</v>
      </c>
      <c r="AN52" s="1093">
        <f t="shared" si="48"/>
        <v>15155.584000000001</v>
      </c>
    </row>
    <row r="53" spans="1:40">
      <c r="A53" s="2" t="s">
        <v>15</v>
      </c>
      <c r="B53" s="20"/>
      <c r="C53" s="20"/>
      <c r="D53" s="20"/>
      <c r="E53" s="20"/>
      <c r="F53" s="20"/>
      <c r="G53" s="20"/>
      <c r="H53" s="20"/>
      <c r="I53" s="20"/>
      <c r="J53" s="20"/>
      <c r="K53" s="20"/>
      <c r="L53" s="20"/>
      <c r="M53" s="20"/>
      <c r="N53" s="20"/>
      <c r="O53" s="10">
        <f t="shared" si="39"/>
        <v>0</v>
      </c>
      <c r="P53" s="1093"/>
      <c r="Q53" s="1087"/>
      <c r="R53" s="2" t="s">
        <v>100</v>
      </c>
      <c r="S53" s="20">
        <f t="shared" ref="S53:AE53" si="60">S88*0.2</f>
        <v>21173.907999999999</v>
      </c>
      <c r="T53" s="20">
        <f t="shared" si="60"/>
        <v>8266.0619999999999</v>
      </c>
      <c r="U53" s="20">
        <f t="shared" si="60"/>
        <v>1834.2259999999999</v>
      </c>
      <c r="V53" s="20">
        <f t="shared" si="60"/>
        <v>232.79000000000002</v>
      </c>
      <c r="W53" s="20">
        <f t="shared" si="60"/>
        <v>10604.832000000002</v>
      </c>
      <c r="X53" s="20">
        <f t="shared" si="60"/>
        <v>914.35</v>
      </c>
      <c r="Y53" s="20">
        <f t="shared" si="60"/>
        <v>1190.0139999999999</v>
      </c>
      <c r="Z53" s="20">
        <f t="shared" si="60"/>
        <v>0</v>
      </c>
      <c r="AA53" s="20">
        <f t="shared" si="60"/>
        <v>1156.28</v>
      </c>
      <c r="AB53" s="20">
        <f t="shared" si="60"/>
        <v>156.08199999999999</v>
      </c>
      <c r="AC53" s="20">
        <f t="shared" si="60"/>
        <v>0</v>
      </c>
      <c r="AD53" s="20">
        <f t="shared" si="60"/>
        <v>0</v>
      </c>
      <c r="AE53" s="20">
        <f t="shared" si="60"/>
        <v>22.856000000000002</v>
      </c>
      <c r="AF53" s="20">
        <v>0</v>
      </c>
      <c r="AG53" s="20">
        <v>0</v>
      </c>
      <c r="AH53" s="10">
        <f t="shared" si="41"/>
        <v>45551.4</v>
      </c>
      <c r="AI53" s="1093">
        <f t="shared" si="43"/>
        <v>21173.907999999999</v>
      </c>
      <c r="AJ53" s="1093">
        <f t="shared" si="44"/>
        <v>8266.0619999999999</v>
      </c>
      <c r="AK53" s="1093">
        <f t="shared" si="45"/>
        <v>1834.2259999999999</v>
      </c>
      <c r="AL53" s="1093">
        <f t="shared" si="46"/>
        <v>232.79000000000002</v>
      </c>
      <c r="AM53" s="1093">
        <f t="shared" si="47"/>
        <v>10604.832000000002</v>
      </c>
      <c r="AN53" s="1093">
        <f t="shared" si="48"/>
        <v>3439.5820000000003</v>
      </c>
    </row>
    <row r="54" spans="1:40">
      <c r="A54" s="2" t="s">
        <v>14</v>
      </c>
      <c r="B54" s="20"/>
      <c r="C54" s="20"/>
      <c r="D54" s="20"/>
      <c r="E54" s="20"/>
      <c r="F54" s="20"/>
      <c r="G54" s="20"/>
      <c r="H54" s="20"/>
      <c r="I54" s="20"/>
      <c r="J54" s="20"/>
      <c r="K54" s="20"/>
      <c r="L54" s="20"/>
      <c r="M54" s="20"/>
      <c r="N54" s="20"/>
      <c r="O54" s="10">
        <f t="shared" si="39"/>
        <v>0</v>
      </c>
      <c r="P54" s="1093"/>
      <c r="Q54" s="1087"/>
      <c r="R54" s="2" t="s">
        <v>101</v>
      </c>
      <c r="S54" s="20">
        <f t="shared" ref="S54:AE54" si="61">S89*0.2</f>
        <v>23419.064000000002</v>
      </c>
      <c r="T54" s="20">
        <f t="shared" si="61"/>
        <v>8731.8140000000003</v>
      </c>
      <c r="U54" s="20">
        <f t="shared" si="61"/>
        <v>1594.2360000000001</v>
      </c>
      <c r="V54" s="20">
        <f t="shared" si="61"/>
        <v>761.44200000000001</v>
      </c>
      <c r="W54" s="20">
        <f t="shared" si="61"/>
        <v>14504.518</v>
      </c>
      <c r="X54" s="20">
        <f t="shared" si="61"/>
        <v>154.80600000000001</v>
      </c>
      <c r="Y54" s="20">
        <f t="shared" si="61"/>
        <v>1076.6200000000001</v>
      </c>
      <c r="Z54" s="20">
        <f t="shared" si="61"/>
        <v>0</v>
      </c>
      <c r="AA54" s="20">
        <f t="shared" si="61"/>
        <v>1136.972</v>
      </c>
      <c r="AB54" s="20">
        <f t="shared" si="61"/>
        <v>0</v>
      </c>
      <c r="AC54" s="20">
        <f t="shared" si="61"/>
        <v>0</v>
      </c>
      <c r="AD54" s="20">
        <f t="shared" si="61"/>
        <v>0</v>
      </c>
      <c r="AE54" s="20">
        <f t="shared" si="61"/>
        <v>22.856000000000002</v>
      </c>
      <c r="AF54" s="20">
        <v>0</v>
      </c>
      <c r="AG54" s="20">
        <v>0</v>
      </c>
      <c r="AH54" s="10">
        <f t="shared" si="41"/>
        <v>51402.328000000009</v>
      </c>
      <c r="AI54" s="1093">
        <f t="shared" si="43"/>
        <v>23419.064000000002</v>
      </c>
      <c r="AJ54" s="1093">
        <f t="shared" si="44"/>
        <v>8731.8140000000003</v>
      </c>
      <c r="AK54" s="1093">
        <f t="shared" si="45"/>
        <v>1594.2360000000001</v>
      </c>
      <c r="AL54" s="1093">
        <f t="shared" si="46"/>
        <v>761.44200000000001</v>
      </c>
      <c r="AM54" s="1093">
        <f t="shared" si="47"/>
        <v>14504.518</v>
      </c>
      <c r="AN54" s="1093">
        <f t="shared" si="48"/>
        <v>2391.2540000000004</v>
      </c>
    </row>
    <row r="55" spans="1:40">
      <c r="A55" s="2" t="s">
        <v>13</v>
      </c>
      <c r="B55" s="20"/>
      <c r="C55" s="20"/>
      <c r="D55" s="20"/>
      <c r="E55" s="20"/>
      <c r="F55" s="20"/>
      <c r="G55" s="20"/>
      <c r="H55" s="20"/>
      <c r="I55" s="20"/>
      <c r="J55" s="20"/>
      <c r="K55" s="20"/>
      <c r="L55" s="20"/>
      <c r="M55" s="20"/>
      <c r="N55" s="20"/>
      <c r="O55" s="10">
        <f t="shared" si="39"/>
        <v>0</v>
      </c>
      <c r="P55" s="1093"/>
      <c r="Q55" s="1087"/>
      <c r="R55" s="2" t="s">
        <v>102</v>
      </c>
      <c r="S55" s="20">
        <f t="shared" ref="S55:AE55" si="62">S90*0.2</f>
        <v>165612.66000000003</v>
      </c>
      <c r="T55" s="20">
        <f t="shared" si="62"/>
        <v>40950.144</v>
      </c>
      <c r="U55" s="20">
        <f t="shared" si="62"/>
        <v>26657.240000000005</v>
      </c>
      <c r="V55" s="20">
        <f t="shared" si="62"/>
        <v>11075.376</v>
      </c>
      <c r="W55" s="20">
        <f t="shared" si="62"/>
        <v>92970.385999999999</v>
      </c>
      <c r="X55" s="20">
        <f t="shared" si="62"/>
        <v>1761.1860000000001</v>
      </c>
      <c r="Y55" s="20">
        <f t="shared" si="62"/>
        <v>6136.7440000000006</v>
      </c>
      <c r="Z55" s="20">
        <f t="shared" si="62"/>
        <v>0</v>
      </c>
      <c r="AA55" s="20">
        <f t="shared" si="62"/>
        <v>7050.8940000000002</v>
      </c>
      <c r="AB55" s="20">
        <f t="shared" si="62"/>
        <v>464.41800000000006</v>
      </c>
      <c r="AC55" s="20">
        <f t="shared" si="62"/>
        <v>0</v>
      </c>
      <c r="AD55" s="20">
        <f t="shared" si="62"/>
        <v>0</v>
      </c>
      <c r="AE55" s="20">
        <f t="shared" si="62"/>
        <v>84.78</v>
      </c>
      <c r="AF55" s="20">
        <v>0</v>
      </c>
      <c r="AG55" s="20">
        <v>0</v>
      </c>
      <c r="AH55" s="10">
        <f t="shared" si="41"/>
        <v>352763.82800000004</v>
      </c>
      <c r="AI55" s="1093">
        <f t="shared" si="43"/>
        <v>165612.66000000003</v>
      </c>
      <c r="AJ55" s="1093">
        <f t="shared" si="44"/>
        <v>40950.144</v>
      </c>
      <c r="AK55" s="1093">
        <f t="shared" si="45"/>
        <v>26657.240000000005</v>
      </c>
      <c r="AL55" s="1093">
        <f t="shared" si="46"/>
        <v>11075.376</v>
      </c>
      <c r="AM55" s="1093">
        <f t="shared" si="47"/>
        <v>92970.385999999999</v>
      </c>
      <c r="AN55" s="1093">
        <f t="shared" si="48"/>
        <v>15498.022000000001</v>
      </c>
    </row>
    <row r="56" spans="1:40">
      <c r="A56" s="2" t="s">
        <v>16</v>
      </c>
      <c r="B56" s="20"/>
      <c r="C56" s="20"/>
      <c r="D56" s="20"/>
      <c r="E56" s="20"/>
      <c r="F56" s="20"/>
      <c r="G56" s="20"/>
      <c r="H56" s="20"/>
      <c r="I56" s="20"/>
      <c r="J56" s="20"/>
      <c r="K56" s="20"/>
      <c r="L56" s="20"/>
      <c r="M56" s="20"/>
      <c r="N56" s="20"/>
      <c r="O56" s="10">
        <f t="shared" si="39"/>
        <v>0</v>
      </c>
      <c r="P56" s="1093"/>
      <c r="Q56" s="1087"/>
      <c r="R56" s="2" t="s">
        <v>103</v>
      </c>
      <c r="S56" s="20">
        <f t="shared" ref="S56:AE56" si="63">S91*0.2</f>
        <v>50820.698000000004</v>
      </c>
      <c r="T56" s="20">
        <f t="shared" si="63"/>
        <v>16738.442000000003</v>
      </c>
      <c r="U56" s="20">
        <f t="shared" si="63"/>
        <v>5545.5420000000004</v>
      </c>
      <c r="V56" s="20">
        <f t="shared" si="63"/>
        <v>1316.2740000000001</v>
      </c>
      <c r="W56" s="20">
        <f t="shared" si="63"/>
        <v>26027.716</v>
      </c>
      <c r="X56" s="20">
        <f t="shared" si="63"/>
        <v>528.93000000000006</v>
      </c>
      <c r="Y56" s="20">
        <f t="shared" si="63"/>
        <v>2247.7820000000002</v>
      </c>
      <c r="Z56" s="20">
        <f t="shared" si="63"/>
        <v>113.71199999999999</v>
      </c>
      <c r="AA56" s="20">
        <f t="shared" si="63"/>
        <v>2808.5840000000003</v>
      </c>
      <c r="AB56" s="20">
        <f t="shared" si="63"/>
        <v>0</v>
      </c>
      <c r="AC56" s="20">
        <f t="shared" si="63"/>
        <v>0</v>
      </c>
      <c r="AD56" s="20">
        <f t="shared" si="63"/>
        <v>0</v>
      </c>
      <c r="AE56" s="20">
        <f t="shared" si="63"/>
        <v>22.67</v>
      </c>
      <c r="AF56" s="20">
        <v>0</v>
      </c>
      <c r="AG56" s="20">
        <v>0</v>
      </c>
      <c r="AH56" s="10">
        <f t="shared" si="41"/>
        <v>106170.35000000002</v>
      </c>
      <c r="AI56" s="1093">
        <f t="shared" si="43"/>
        <v>50820.698000000004</v>
      </c>
      <c r="AJ56" s="1093">
        <f t="shared" si="44"/>
        <v>16738.442000000003</v>
      </c>
      <c r="AK56" s="1093">
        <f t="shared" si="45"/>
        <v>5545.5420000000004</v>
      </c>
      <c r="AL56" s="1093">
        <f t="shared" si="46"/>
        <v>1316.2740000000001</v>
      </c>
      <c r="AM56" s="1093">
        <f t="shared" si="47"/>
        <v>26027.716</v>
      </c>
      <c r="AN56" s="1093">
        <f t="shared" si="48"/>
        <v>5721.6780000000008</v>
      </c>
    </row>
    <row r="57" spans="1:40">
      <c r="A57" s="2" t="s">
        <v>17</v>
      </c>
      <c r="B57" s="20"/>
      <c r="C57" s="20"/>
      <c r="D57" s="20"/>
      <c r="E57" s="20"/>
      <c r="F57" s="20"/>
      <c r="G57" s="20"/>
      <c r="H57" s="20"/>
      <c r="I57" s="20"/>
      <c r="J57" s="20"/>
      <c r="K57" s="20"/>
      <c r="L57" s="20"/>
      <c r="M57" s="20"/>
      <c r="N57" s="20"/>
      <c r="O57" s="10">
        <f t="shared" si="39"/>
        <v>0</v>
      </c>
      <c r="P57" s="1093"/>
      <c r="Q57" s="1087"/>
      <c r="R57" s="2" t="s">
        <v>104</v>
      </c>
      <c r="S57" s="20">
        <f t="shared" ref="S57:AE57" si="64">S92*0.2</f>
        <v>16153.988000000001</v>
      </c>
      <c r="T57" s="20">
        <f t="shared" si="64"/>
        <v>2931.0040000000004</v>
      </c>
      <c r="U57" s="20">
        <f t="shared" si="64"/>
        <v>2111.3620000000001</v>
      </c>
      <c r="V57" s="20">
        <f t="shared" si="64"/>
        <v>813.1880000000001</v>
      </c>
      <c r="W57" s="20">
        <f t="shared" si="64"/>
        <v>7633.2619999999997</v>
      </c>
      <c r="X57" s="20">
        <f t="shared" si="64"/>
        <v>194.37</v>
      </c>
      <c r="Y57" s="20">
        <f t="shared" si="64"/>
        <v>363.82800000000003</v>
      </c>
      <c r="Z57" s="20">
        <f t="shared" si="64"/>
        <v>0</v>
      </c>
      <c r="AA57" s="20">
        <f t="shared" si="64"/>
        <v>435.99200000000002</v>
      </c>
      <c r="AB57" s="20">
        <f t="shared" si="64"/>
        <v>0</v>
      </c>
      <c r="AC57" s="20">
        <f t="shared" si="64"/>
        <v>39.180000000000007</v>
      </c>
      <c r="AD57" s="20">
        <f t="shared" si="64"/>
        <v>0</v>
      </c>
      <c r="AE57" s="20">
        <f t="shared" si="64"/>
        <v>11.242000000000001</v>
      </c>
      <c r="AF57" s="20">
        <v>0</v>
      </c>
      <c r="AG57" s="20">
        <v>0</v>
      </c>
      <c r="AH57" s="10">
        <f t="shared" si="41"/>
        <v>30687.415999999997</v>
      </c>
      <c r="AI57" s="1093">
        <f t="shared" si="43"/>
        <v>16153.988000000001</v>
      </c>
      <c r="AJ57" s="1093">
        <f t="shared" si="44"/>
        <v>2931.0040000000004</v>
      </c>
      <c r="AK57" s="1093">
        <f t="shared" si="45"/>
        <v>2111.3620000000001</v>
      </c>
      <c r="AL57" s="1093">
        <f t="shared" si="46"/>
        <v>813.1880000000001</v>
      </c>
      <c r="AM57" s="1093">
        <f t="shared" si="47"/>
        <v>7633.2619999999997</v>
      </c>
      <c r="AN57" s="1093">
        <f t="shared" si="48"/>
        <v>1044.6120000000001</v>
      </c>
    </row>
    <row r="58" spans="1:40">
      <c r="A58" s="2" t="s">
        <v>18</v>
      </c>
      <c r="B58" s="20"/>
      <c r="C58" s="20"/>
      <c r="D58" s="20"/>
      <c r="E58" s="20"/>
      <c r="F58" s="20"/>
      <c r="G58" s="20"/>
      <c r="H58" s="20"/>
      <c r="I58" s="20"/>
      <c r="J58" s="20"/>
      <c r="K58" s="20"/>
      <c r="L58" s="20"/>
      <c r="M58" s="20"/>
      <c r="N58" s="20"/>
      <c r="O58" s="10">
        <f t="shared" si="39"/>
        <v>0</v>
      </c>
      <c r="P58" s="1093"/>
      <c r="Q58" s="1087"/>
      <c r="R58" s="2" t="s">
        <v>105</v>
      </c>
      <c r="S58" s="20">
        <f t="shared" ref="S58:AE58" si="65">S93*0.2</f>
        <v>231523.39600000001</v>
      </c>
      <c r="T58" s="20">
        <f t="shared" si="65"/>
        <v>36508.635999999999</v>
      </c>
      <c r="U58" s="20">
        <f t="shared" si="65"/>
        <v>31452.728000000003</v>
      </c>
      <c r="V58" s="20">
        <f t="shared" si="65"/>
        <v>4651.5</v>
      </c>
      <c r="W58" s="20">
        <f t="shared" si="65"/>
        <v>86242.42</v>
      </c>
      <c r="X58" s="20">
        <f t="shared" si="65"/>
        <v>2624.4220000000005</v>
      </c>
      <c r="Y58" s="20">
        <f t="shared" si="65"/>
        <v>6457.5640000000003</v>
      </c>
      <c r="Z58" s="20">
        <f t="shared" si="65"/>
        <v>203.886</v>
      </c>
      <c r="AA58" s="20">
        <f t="shared" si="65"/>
        <v>5446.3360000000002</v>
      </c>
      <c r="AB58" s="20">
        <f t="shared" si="65"/>
        <v>293.85000000000002</v>
      </c>
      <c r="AC58" s="20">
        <f t="shared" si="65"/>
        <v>39.180000000000007</v>
      </c>
      <c r="AD58" s="20">
        <f t="shared" si="65"/>
        <v>0</v>
      </c>
      <c r="AE58" s="20">
        <f t="shared" si="65"/>
        <v>248.44000000000003</v>
      </c>
      <c r="AF58" s="20">
        <v>0</v>
      </c>
      <c r="AG58" s="20">
        <v>0</v>
      </c>
      <c r="AH58" s="10">
        <f t="shared" si="41"/>
        <v>405692.35800000001</v>
      </c>
      <c r="AI58" s="1093">
        <f t="shared" si="43"/>
        <v>231523.39600000001</v>
      </c>
      <c r="AJ58" s="1093">
        <f t="shared" si="44"/>
        <v>36508.635999999999</v>
      </c>
      <c r="AK58" s="1093">
        <f t="shared" si="45"/>
        <v>31452.728000000003</v>
      </c>
      <c r="AL58" s="1093">
        <f t="shared" si="46"/>
        <v>4651.5</v>
      </c>
      <c r="AM58" s="1093">
        <f t="shared" si="47"/>
        <v>86242.42</v>
      </c>
      <c r="AN58" s="1093">
        <f t="shared" si="48"/>
        <v>15313.678000000004</v>
      </c>
    </row>
    <row r="59" spans="1:40">
      <c r="A59" s="2" t="s">
        <v>20</v>
      </c>
      <c r="B59" s="20"/>
      <c r="C59" s="20"/>
      <c r="D59" s="20"/>
      <c r="E59" s="20"/>
      <c r="F59" s="20"/>
      <c r="G59" s="20"/>
      <c r="H59" s="20"/>
      <c r="I59" s="20"/>
      <c r="J59" s="20"/>
      <c r="K59" s="20"/>
      <c r="L59" s="20"/>
      <c r="M59" s="20"/>
      <c r="N59" s="20"/>
      <c r="O59" s="10">
        <f t="shared" si="39"/>
        <v>0</v>
      </c>
      <c r="P59" s="1093"/>
      <c r="Q59" s="1087"/>
      <c r="R59" s="2" t="s">
        <v>106</v>
      </c>
      <c r="S59" s="20">
        <f t="shared" ref="S59:AE59" si="66">S94*0.2</f>
        <v>23350.662</v>
      </c>
      <c r="T59" s="20">
        <f t="shared" si="66"/>
        <v>8407.5840000000007</v>
      </c>
      <c r="U59" s="20">
        <f t="shared" si="66"/>
        <v>1251.3879999999999</v>
      </c>
      <c r="V59" s="20">
        <f t="shared" si="66"/>
        <v>313.16800000000001</v>
      </c>
      <c r="W59" s="20">
        <f t="shared" si="66"/>
        <v>10475.996000000001</v>
      </c>
      <c r="X59" s="20">
        <f t="shared" si="66"/>
        <v>291.93600000000004</v>
      </c>
      <c r="Y59" s="20">
        <f t="shared" si="66"/>
        <v>1095.5899999999999</v>
      </c>
      <c r="Z59" s="20">
        <f t="shared" si="66"/>
        <v>170.56800000000001</v>
      </c>
      <c r="AA59" s="20">
        <f t="shared" si="66"/>
        <v>1195.826</v>
      </c>
      <c r="AB59" s="20">
        <f t="shared" si="66"/>
        <v>19.590000000000003</v>
      </c>
      <c r="AC59" s="20">
        <f t="shared" si="66"/>
        <v>0</v>
      </c>
      <c r="AD59" s="20">
        <f t="shared" si="66"/>
        <v>0</v>
      </c>
      <c r="AE59" s="20">
        <f t="shared" si="66"/>
        <v>22.484000000000002</v>
      </c>
      <c r="AF59" s="20">
        <v>0</v>
      </c>
      <c r="AG59" s="20">
        <v>0</v>
      </c>
      <c r="AH59" s="10">
        <f t="shared" si="41"/>
        <v>46594.791999999987</v>
      </c>
      <c r="AI59" s="1093">
        <f t="shared" si="43"/>
        <v>23350.662</v>
      </c>
      <c r="AJ59" s="1093">
        <f t="shared" si="44"/>
        <v>8407.5840000000007</v>
      </c>
      <c r="AK59" s="1093">
        <f t="shared" si="45"/>
        <v>1251.3879999999999</v>
      </c>
      <c r="AL59" s="1093">
        <f t="shared" si="46"/>
        <v>313.16800000000001</v>
      </c>
      <c r="AM59" s="1093">
        <f t="shared" si="47"/>
        <v>10475.996000000001</v>
      </c>
      <c r="AN59" s="1093">
        <f t="shared" si="48"/>
        <v>2795.9940000000001</v>
      </c>
    </row>
    <row r="60" spans="1:40">
      <c r="A60" s="2" t="s">
        <v>19</v>
      </c>
      <c r="B60" s="20"/>
      <c r="C60" s="20"/>
      <c r="D60" s="20"/>
      <c r="E60" s="20"/>
      <c r="F60" s="20"/>
      <c r="G60" s="20"/>
      <c r="H60" s="20"/>
      <c r="I60" s="20"/>
      <c r="J60" s="20"/>
      <c r="K60" s="20"/>
      <c r="L60" s="20"/>
      <c r="M60" s="20"/>
      <c r="N60" s="20"/>
      <c r="O60" s="10">
        <f t="shared" si="39"/>
        <v>0</v>
      </c>
      <c r="P60" s="1093"/>
      <c r="Q60" s="1087"/>
      <c r="R60" s="2" t="s">
        <v>107</v>
      </c>
      <c r="S60" s="20">
        <f t="shared" ref="S60:AE60" si="67">S95*0.2</f>
        <v>215482.796</v>
      </c>
      <c r="T60" s="20">
        <f t="shared" si="67"/>
        <v>32795.890000000007</v>
      </c>
      <c r="U60" s="20">
        <f t="shared" si="67"/>
        <v>24621.122000000003</v>
      </c>
      <c r="V60" s="20">
        <f t="shared" si="67"/>
        <v>7953.3820000000014</v>
      </c>
      <c r="W60" s="20">
        <f t="shared" si="67"/>
        <v>136229.45800000001</v>
      </c>
      <c r="X60" s="20">
        <f t="shared" si="67"/>
        <v>975.67200000000003</v>
      </c>
      <c r="Y60" s="20">
        <f t="shared" si="67"/>
        <v>4500.2380000000003</v>
      </c>
      <c r="Z60" s="20">
        <f t="shared" si="67"/>
        <v>438.67399999999998</v>
      </c>
      <c r="AA60" s="20">
        <f t="shared" si="67"/>
        <v>5428.0780000000004</v>
      </c>
      <c r="AB60" s="20">
        <f t="shared" si="67"/>
        <v>372.21000000000004</v>
      </c>
      <c r="AC60" s="20">
        <f t="shared" si="67"/>
        <v>78.360000000000014</v>
      </c>
      <c r="AD60" s="20">
        <f t="shared" si="67"/>
        <v>111.78399999999999</v>
      </c>
      <c r="AE60" s="20">
        <f t="shared" si="67"/>
        <v>50.682000000000002</v>
      </c>
      <c r="AF60" s="20">
        <v>0</v>
      </c>
      <c r="AG60" s="20">
        <v>0</v>
      </c>
      <c r="AH60" s="10">
        <f t="shared" si="41"/>
        <v>429038.34600000002</v>
      </c>
      <c r="AI60" s="1093">
        <f t="shared" si="43"/>
        <v>215482.796</v>
      </c>
      <c r="AJ60" s="1093">
        <f t="shared" si="44"/>
        <v>32795.890000000007</v>
      </c>
      <c r="AK60" s="1093">
        <f t="shared" si="45"/>
        <v>24621.122000000003</v>
      </c>
      <c r="AL60" s="1093">
        <f t="shared" si="46"/>
        <v>7953.3820000000014</v>
      </c>
      <c r="AM60" s="1093">
        <f t="shared" si="47"/>
        <v>136229.45800000001</v>
      </c>
      <c r="AN60" s="1093">
        <f t="shared" si="48"/>
        <v>11955.698</v>
      </c>
    </row>
    <row r="61" spans="1:40">
      <c r="A61" s="2" t="s">
        <v>21</v>
      </c>
      <c r="B61" s="20"/>
      <c r="C61" s="20"/>
      <c r="D61" s="20"/>
      <c r="E61" s="20"/>
      <c r="F61" s="20"/>
      <c r="G61" s="20"/>
      <c r="H61" s="20"/>
      <c r="I61" s="20"/>
      <c r="J61" s="20"/>
      <c r="K61" s="20"/>
      <c r="L61" s="20"/>
      <c r="M61" s="20"/>
      <c r="N61" s="20"/>
      <c r="O61" s="10">
        <f t="shared" si="39"/>
        <v>0</v>
      </c>
      <c r="P61" s="1093"/>
      <c r="Q61" s="1087"/>
      <c r="R61" s="2" t="s">
        <v>108</v>
      </c>
      <c r="S61" s="20">
        <f t="shared" ref="S61:AE61" si="68">S96*0.2</f>
        <v>11890.712</v>
      </c>
      <c r="T61" s="20">
        <f t="shared" si="68"/>
        <v>2533.59</v>
      </c>
      <c r="U61" s="20">
        <f t="shared" si="68"/>
        <v>1390.748</v>
      </c>
      <c r="V61" s="20">
        <f t="shared" si="68"/>
        <v>525.79600000000005</v>
      </c>
      <c r="W61" s="20">
        <f t="shared" si="68"/>
        <v>13089.760000000002</v>
      </c>
      <c r="X61" s="20">
        <f t="shared" si="68"/>
        <v>58.77000000000001</v>
      </c>
      <c r="Y61" s="20">
        <f t="shared" si="68"/>
        <v>250.01599999999999</v>
      </c>
      <c r="Z61" s="20">
        <f t="shared" si="68"/>
        <v>0</v>
      </c>
      <c r="AA61" s="20">
        <f t="shared" si="68"/>
        <v>521.17399999999998</v>
      </c>
      <c r="AB61" s="20">
        <f t="shared" si="68"/>
        <v>0</v>
      </c>
      <c r="AC61" s="20">
        <f t="shared" si="68"/>
        <v>0</v>
      </c>
      <c r="AD61" s="20">
        <f t="shared" si="68"/>
        <v>0</v>
      </c>
      <c r="AE61" s="20">
        <f t="shared" si="68"/>
        <v>5.7140000000000004</v>
      </c>
      <c r="AF61" s="20">
        <v>0</v>
      </c>
      <c r="AG61" s="20">
        <v>0</v>
      </c>
      <c r="AH61" s="10">
        <f t="shared" si="41"/>
        <v>30266.28</v>
      </c>
      <c r="AI61" s="1093">
        <f t="shared" si="43"/>
        <v>11890.712</v>
      </c>
      <c r="AJ61" s="1093">
        <f t="shared" si="44"/>
        <v>2533.59</v>
      </c>
      <c r="AK61" s="1093">
        <f t="shared" si="45"/>
        <v>1390.748</v>
      </c>
      <c r="AL61" s="1093">
        <f t="shared" si="46"/>
        <v>525.79600000000005</v>
      </c>
      <c r="AM61" s="1093">
        <f t="shared" si="47"/>
        <v>13089.760000000002</v>
      </c>
      <c r="AN61" s="1093">
        <f t="shared" si="48"/>
        <v>835.67400000000009</v>
      </c>
    </row>
    <row r="62" spans="1:40">
      <c r="A62" s="2" t="s">
        <v>22</v>
      </c>
      <c r="B62" s="20"/>
      <c r="C62" s="20"/>
      <c r="D62" s="20"/>
      <c r="E62" s="20"/>
      <c r="F62" s="20"/>
      <c r="G62" s="20"/>
      <c r="H62" s="20"/>
      <c r="I62" s="20"/>
      <c r="J62" s="20"/>
      <c r="K62" s="20"/>
      <c r="L62" s="20"/>
      <c r="M62" s="20"/>
      <c r="N62" s="20"/>
      <c r="O62" s="10">
        <f t="shared" si="39"/>
        <v>0</v>
      </c>
      <c r="P62" s="1093"/>
      <c r="Q62" s="1087"/>
      <c r="R62" s="2" t="s">
        <v>109</v>
      </c>
      <c r="S62" s="20">
        <f t="shared" ref="S62:AE62" si="69">S97*0.2</f>
        <v>2309.4459999999999</v>
      </c>
      <c r="T62" s="20">
        <f t="shared" si="69"/>
        <v>176.50800000000001</v>
      </c>
      <c r="U62" s="20">
        <f t="shared" si="69"/>
        <v>639.98</v>
      </c>
      <c r="V62" s="20">
        <f t="shared" si="69"/>
        <v>0</v>
      </c>
      <c r="W62" s="20">
        <f t="shared" si="69"/>
        <v>2170.0240000000003</v>
      </c>
      <c r="X62" s="20">
        <f t="shared" si="69"/>
        <v>19.590000000000003</v>
      </c>
      <c r="Y62" s="20">
        <f t="shared" si="69"/>
        <v>8.2919999999999998</v>
      </c>
      <c r="Z62" s="20">
        <f t="shared" si="69"/>
        <v>0</v>
      </c>
      <c r="AA62" s="20">
        <f t="shared" si="69"/>
        <v>32.283999999999999</v>
      </c>
      <c r="AB62" s="20">
        <f t="shared" si="69"/>
        <v>0</v>
      </c>
      <c r="AC62" s="20">
        <f t="shared" si="69"/>
        <v>0</v>
      </c>
      <c r="AD62" s="20">
        <f t="shared" si="69"/>
        <v>0</v>
      </c>
      <c r="AE62" s="20">
        <f t="shared" si="69"/>
        <v>0</v>
      </c>
      <c r="AF62" s="20">
        <v>0</v>
      </c>
      <c r="AG62" s="20">
        <v>0</v>
      </c>
      <c r="AH62" s="10">
        <f t="shared" si="41"/>
        <v>5356.1240000000007</v>
      </c>
      <c r="AI62" s="1093">
        <f t="shared" si="43"/>
        <v>2309.4459999999999</v>
      </c>
      <c r="AJ62" s="1093">
        <f t="shared" si="44"/>
        <v>176.50800000000001</v>
      </c>
      <c r="AK62" s="1093">
        <f t="shared" si="45"/>
        <v>639.98</v>
      </c>
      <c r="AL62" s="1093">
        <f t="shared" si="46"/>
        <v>0</v>
      </c>
      <c r="AM62" s="1093">
        <f t="shared" si="47"/>
        <v>2170.0240000000003</v>
      </c>
      <c r="AN62" s="1093">
        <f t="shared" si="48"/>
        <v>60.166000000000004</v>
      </c>
    </row>
    <row r="63" spans="1:40">
      <c r="A63" s="2" t="s">
        <v>23</v>
      </c>
      <c r="B63" s="20"/>
      <c r="C63" s="20"/>
      <c r="D63" s="20"/>
      <c r="E63" s="20"/>
      <c r="F63" s="20"/>
      <c r="G63" s="20"/>
      <c r="H63" s="20"/>
      <c r="I63" s="20"/>
      <c r="J63" s="20"/>
      <c r="K63" s="20"/>
      <c r="L63" s="20"/>
      <c r="M63" s="20"/>
      <c r="N63" s="20"/>
      <c r="O63" s="10">
        <f t="shared" si="39"/>
        <v>0</v>
      </c>
      <c r="P63" s="1093"/>
      <c r="Q63" s="1087"/>
      <c r="R63" s="2" t="s">
        <v>110</v>
      </c>
      <c r="S63" s="20">
        <f t="shared" ref="S63:AE63" si="70">S98*0.2</f>
        <v>124891.98600000002</v>
      </c>
      <c r="T63" s="20">
        <f t="shared" si="70"/>
        <v>14102.08</v>
      </c>
      <c r="U63" s="20">
        <f t="shared" si="70"/>
        <v>14407.882000000001</v>
      </c>
      <c r="V63" s="20">
        <f t="shared" si="70"/>
        <v>2468.4560000000001</v>
      </c>
      <c r="W63" s="20">
        <f t="shared" si="70"/>
        <v>61040.412000000004</v>
      </c>
      <c r="X63" s="20">
        <f t="shared" si="70"/>
        <v>1018.042</v>
      </c>
      <c r="Y63" s="20">
        <f t="shared" si="70"/>
        <v>1830.3980000000001</v>
      </c>
      <c r="Z63" s="20">
        <f t="shared" si="70"/>
        <v>0</v>
      </c>
      <c r="AA63" s="20">
        <f t="shared" si="70"/>
        <v>2405.1680000000001</v>
      </c>
      <c r="AB63" s="20">
        <f t="shared" si="70"/>
        <v>331.75400000000002</v>
      </c>
      <c r="AC63" s="20">
        <f t="shared" si="70"/>
        <v>39.180000000000007</v>
      </c>
      <c r="AD63" s="20">
        <f t="shared" si="70"/>
        <v>0</v>
      </c>
      <c r="AE63" s="20">
        <f t="shared" si="70"/>
        <v>50.868000000000002</v>
      </c>
      <c r="AF63" s="20">
        <v>0</v>
      </c>
      <c r="AG63" s="20">
        <v>0</v>
      </c>
      <c r="AH63" s="10">
        <f t="shared" si="41"/>
        <v>222586.226</v>
      </c>
      <c r="AI63" s="1093">
        <f t="shared" si="43"/>
        <v>124891.98600000002</v>
      </c>
      <c r="AJ63" s="1093">
        <f t="shared" si="44"/>
        <v>14102.08</v>
      </c>
      <c r="AK63" s="1093">
        <f t="shared" si="45"/>
        <v>14407.882000000001</v>
      </c>
      <c r="AL63" s="1093">
        <f t="shared" si="46"/>
        <v>2468.4560000000001</v>
      </c>
      <c r="AM63" s="1093">
        <f t="shared" si="47"/>
        <v>61040.412000000004</v>
      </c>
      <c r="AN63" s="1093">
        <f t="shared" si="48"/>
        <v>5675.4100000000008</v>
      </c>
    </row>
    <row r="64" spans="1:40">
      <c r="A64" s="2" t="s">
        <v>25</v>
      </c>
      <c r="B64" s="20"/>
      <c r="C64" s="20"/>
      <c r="D64" s="20"/>
      <c r="E64" s="20"/>
      <c r="F64" s="20"/>
      <c r="G64" s="20"/>
      <c r="H64" s="20"/>
      <c r="I64" s="20"/>
      <c r="J64" s="20"/>
      <c r="K64" s="20"/>
      <c r="L64" s="20"/>
      <c r="M64" s="20"/>
      <c r="N64" s="20"/>
      <c r="O64" s="10">
        <f t="shared" si="39"/>
        <v>0</v>
      </c>
      <c r="P64" s="1093"/>
      <c r="Q64" s="1087"/>
      <c r="R64" s="2" t="s">
        <v>111</v>
      </c>
      <c r="S64" s="20">
        <f t="shared" ref="S64:AE64" si="71">S99*0.2</f>
        <v>854914.84800000011</v>
      </c>
      <c r="T64" s="20">
        <f t="shared" si="71"/>
        <v>146176.76200000002</v>
      </c>
      <c r="U64" s="20">
        <f t="shared" si="71"/>
        <v>96476.94200000001</v>
      </c>
      <c r="V64" s="20">
        <f t="shared" si="71"/>
        <v>17547.655999999999</v>
      </c>
      <c r="W64" s="20">
        <f t="shared" si="71"/>
        <v>439032.87400000007</v>
      </c>
      <c r="X64" s="20">
        <f t="shared" si="71"/>
        <v>4972.67</v>
      </c>
      <c r="Y64" s="20">
        <f t="shared" si="71"/>
        <v>22907.842000000004</v>
      </c>
      <c r="Z64" s="20">
        <f t="shared" si="71"/>
        <v>1304.45</v>
      </c>
      <c r="AA64" s="20">
        <f t="shared" si="71"/>
        <v>21594.896000000001</v>
      </c>
      <c r="AB64" s="20">
        <f t="shared" si="71"/>
        <v>938.40599999999995</v>
      </c>
      <c r="AC64" s="20">
        <f t="shared" si="71"/>
        <v>116.26400000000001</v>
      </c>
      <c r="AD64" s="20">
        <f t="shared" si="71"/>
        <v>0</v>
      </c>
      <c r="AE64" s="20">
        <f t="shared" si="71"/>
        <v>615.75800000000004</v>
      </c>
      <c r="AF64" s="20">
        <v>0</v>
      </c>
      <c r="AG64" s="20">
        <v>0</v>
      </c>
      <c r="AH64" s="10">
        <f t="shared" si="41"/>
        <v>1606599.3679999998</v>
      </c>
      <c r="AI64" s="1093">
        <f t="shared" si="43"/>
        <v>854914.84800000011</v>
      </c>
      <c r="AJ64" s="1093">
        <f t="shared" si="44"/>
        <v>146176.76200000002</v>
      </c>
      <c r="AK64" s="1093">
        <f t="shared" si="45"/>
        <v>96476.94200000001</v>
      </c>
      <c r="AL64" s="1093">
        <f t="shared" si="46"/>
        <v>17547.655999999999</v>
      </c>
      <c r="AM64" s="1093">
        <f t="shared" si="47"/>
        <v>439032.87400000007</v>
      </c>
      <c r="AN64" s="1093">
        <f t="shared" si="48"/>
        <v>52450.286000000015</v>
      </c>
    </row>
    <row r="65" spans="1:42">
      <c r="A65" s="2" t="s">
        <v>24</v>
      </c>
      <c r="B65" s="20"/>
      <c r="C65" s="20"/>
      <c r="D65" s="20"/>
      <c r="E65" s="20"/>
      <c r="F65" s="20"/>
      <c r="G65" s="20"/>
      <c r="H65" s="20"/>
      <c r="I65" s="20"/>
      <c r="J65" s="20"/>
      <c r="K65" s="20"/>
      <c r="L65" s="20"/>
      <c r="M65" s="20"/>
      <c r="N65" s="20"/>
      <c r="O65" s="10">
        <f t="shared" si="39"/>
        <v>0</v>
      </c>
      <c r="P65" s="1093"/>
      <c r="Q65" s="1087"/>
      <c r="R65" s="2" t="s">
        <v>112</v>
      </c>
      <c r="S65" s="20">
        <f t="shared" ref="S65:AE65" si="72">S100*0.2</f>
        <v>13329.064000000002</v>
      </c>
      <c r="T65" s="20">
        <f t="shared" si="72"/>
        <v>2684.866</v>
      </c>
      <c r="U65" s="20">
        <f t="shared" si="72"/>
        <v>1818.5140000000001</v>
      </c>
      <c r="V65" s="20">
        <f t="shared" si="72"/>
        <v>86.75</v>
      </c>
      <c r="W65" s="20">
        <f t="shared" si="72"/>
        <v>11942.882000000001</v>
      </c>
      <c r="X65" s="20">
        <f t="shared" si="72"/>
        <v>352.62</v>
      </c>
      <c r="Y65" s="20">
        <f t="shared" si="72"/>
        <v>203.69600000000003</v>
      </c>
      <c r="Z65" s="20">
        <f t="shared" si="72"/>
        <v>113.71199999999999</v>
      </c>
      <c r="AA65" s="20">
        <f t="shared" si="72"/>
        <v>439.22</v>
      </c>
      <c r="AB65" s="20">
        <f t="shared" si="72"/>
        <v>58.77000000000001</v>
      </c>
      <c r="AC65" s="20">
        <f t="shared" si="72"/>
        <v>0</v>
      </c>
      <c r="AD65" s="20">
        <f t="shared" si="72"/>
        <v>0</v>
      </c>
      <c r="AE65" s="20">
        <f t="shared" si="72"/>
        <v>5.7140000000000004</v>
      </c>
      <c r="AF65" s="20">
        <v>0</v>
      </c>
      <c r="AG65" s="20">
        <v>0</v>
      </c>
      <c r="AH65" s="10">
        <f t="shared" si="41"/>
        <v>31035.808000000005</v>
      </c>
      <c r="AI65" s="1093">
        <f t="shared" si="43"/>
        <v>13329.064000000002</v>
      </c>
      <c r="AJ65" s="1093">
        <f t="shared" si="44"/>
        <v>2684.866</v>
      </c>
      <c r="AK65" s="1093">
        <f t="shared" si="45"/>
        <v>1818.5140000000001</v>
      </c>
      <c r="AL65" s="1093">
        <f t="shared" si="46"/>
        <v>86.75</v>
      </c>
      <c r="AM65" s="1093">
        <f t="shared" si="47"/>
        <v>11942.882000000001</v>
      </c>
      <c r="AN65" s="1093">
        <f t="shared" si="48"/>
        <v>1173.732</v>
      </c>
    </row>
    <row r="66" spans="1:42">
      <c r="A66" s="2" t="s">
        <v>26</v>
      </c>
      <c r="B66" s="20"/>
      <c r="C66" s="20"/>
      <c r="D66" s="20"/>
      <c r="E66" s="20"/>
      <c r="F66" s="20"/>
      <c r="G66" s="20"/>
      <c r="H66" s="20"/>
      <c r="I66" s="20"/>
      <c r="J66" s="20"/>
      <c r="K66" s="20"/>
      <c r="L66" s="20"/>
      <c r="M66" s="20"/>
      <c r="N66" s="20"/>
      <c r="O66" s="10">
        <f t="shared" si="39"/>
        <v>0</v>
      </c>
      <c r="P66" s="1093"/>
      <c r="Q66" s="1087"/>
      <c r="R66" s="2" t="s">
        <v>113</v>
      </c>
      <c r="S66" s="20">
        <f t="shared" ref="S66:AE66" si="73">S101*0.2</f>
        <v>4406.0420000000004</v>
      </c>
      <c r="T66" s="20">
        <f t="shared" si="73"/>
        <v>1330.0060000000001</v>
      </c>
      <c r="U66" s="20">
        <f t="shared" si="73"/>
        <v>746.64200000000005</v>
      </c>
      <c r="V66" s="20">
        <f t="shared" si="73"/>
        <v>282.93600000000004</v>
      </c>
      <c r="W66" s="20">
        <f t="shared" si="73"/>
        <v>5413.0320000000002</v>
      </c>
      <c r="X66" s="20">
        <f t="shared" si="73"/>
        <v>0</v>
      </c>
      <c r="Y66" s="20">
        <f t="shared" si="73"/>
        <v>191.61800000000002</v>
      </c>
      <c r="Z66" s="20">
        <f t="shared" si="73"/>
        <v>166.28200000000001</v>
      </c>
      <c r="AA66" s="20">
        <f t="shared" si="73"/>
        <v>181.68600000000001</v>
      </c>
      <c r="AB66" s="20">
        <f t="shared" si="73"/>
        <v>19.590000000000003</v>
      </c>
      <c r="AC66" s="20">
        <f t="shared" si="73"/>
        <v>0</v>
      </c>
      <c r="AD66" s="20">
        <f t="shared" si="73"/>
        <v>0</v>
      </c>
      <c r="AE66" s="20">
        <f t="shared" si="73"/>
        <v>5.7140000000000004</v>
      </c>
      <c r="AF66" s="20">
        <v>0</v>
      </c>
      <c r="AG66" s="20">
        <f>AG101*0.2</f>
        <v>0</v>
      </c>
      <c r="AH66" s="10">
        <f t="shared" si="41"/>
        <v>12743.547999999999</v>
      </c>
      <c r="AI66" s="1093">
        <f t="shared" si="43"/>
        <v>4406.0420000000004</v>
      </c>
      <c r="AJ66" s="1093">
        <f t="shared" si="44"/>
        <v>1330.0060000000001</v>
      </c>
      <c r="AK66" s="1093">
        <f t="shared" si="45"/>
        <v>746.64200000000005</v>
      </c>
      <c r="AL66" s="1093">
        <f t="shared" si="46"/>
        <v>282.93600000000004</v>
      </c>
      <c r="AM66" s="1093">
        <f t="shared" si="47"/>
        <v>5413.0320000000002</v>
      </c>
      <c r="AN66" s="1093">
        <f t="shared" si="48"/>
        <v>564.8900000000001</v>
      </c>
    </row>
    <row r="67" spans="1:42">
      <c r="A67" s="7" t="s">
        <v>37</v>
      </c>
      <c r="B67" s="8">
        <f t="shared" ref="B67:O67" si="74">SUM(B40:B66)</f>
        <v>0</v>
      </c>
      <c r="C67" s="8">
        <f t="shared" si="74"/>
        <v>0</v>
      </c>
      <c r="D67" s="8">
        <f t="shared" si="74"/>
        <v>0</v>
      </c>
      <c r="E67" s="8">
        <f t="shared" si="74"/>
        <v>0</v>
      </c>
      <c r="F67" s="8">
        <f t="shared" si="74"/>
        <v>0</v>
      </c>
      <c r="G67" s="8">
        <f t="shared" si="74"/>
        <v>0</v>
      </c>
      <c r="H67" s="8">
        <f t="shared" si="74"/>
        <v>0</v>
      </c>
      <c r="I67" s="8">
        <f t="shared" si="74"/>
        <v>0</v>
      </c>
      <c r="J67" s="8">
        <f t="shared" si="74"/>
        <v>0</v>
      </c>
      <c r="K67" s="8">
        <f t="shared" si="74"/>
        <v>0</v>
      </c>
      <c r="L67" s="8">
        <f t="shared" si="74"/>
        <v>0</v>
      </c>
      <c r="M67" s="8">
        <f t="shared" si="74"/>
        <v>0</v>
      </c>
      <c r="N67" s="8">
        <f t="shared" si="74"/>
        <v>0</v>
      </c>
      <c r="O67" s="11">
        <f t="shared" si="74"/>
        <v>0</v>
      </c>
      <c r="P67" s="91"/>
      <c r="Q67" s="91"/>
      <c r="R67" s="7" t="s">
        <v>37</v>
      </c>
      <c r="S67" s="8">
        <f t="shared" ref="S67:AI67" si="75">SUM(S40:S66)</f>
        <v>2350578.52</v>
      </c>
      <c r="T67" s="8">
        <f t="shared" si="75"/>
        <v>446570.304</v>
      </c>
      <c r="U67" s="8">
        <f t="shared" si="75"/>
        <v>270686.97200000007</v>
      </c>
      <c r="V67" s="8">
        <f t="shared" si="75"/>
        <v>64058.687999999995</v>
      </c>
      <c r="W67" s="8">
        <f t="shared" si="75"/>
        <v>1219151.0060000001</v>
      </c>
      <c r="X67" s="8">
        <f t="shared" si="75"/>
        <v>19299.986000000001</v>
      </c>
      <c r="Y67" s="8">
        <f t="shared" si="75"/>
        <v>64993.65600000001</v>
      </c>
      <c r="Z67" s="8">
        <f t="shared" si="75"/>
        <v>3828.596</v>
      </c>
      <c r="AA67" s="8">
        <f t="shared" si="75"/>
        <v>69115.19</v>
      </c>
      <c r="AB67" s="8">
        <f t="shared" si="75"/>
        <v>3667.6079999999997</v>
      </c>
      <c r="AC67" s="8">
        <f t="shared" si="75"/>
        <v>467.60800000000006</v>
      </c>
      <c r="AD67" s="8">
        <f t="shared" si="75"/>
        <v>203.91399999999999</v>
      </c>
      <c r="AE67" s="8">
        <f t="shared" si="75"/>
        <v>1553.866</v>
      </c>
      <c r="AF67" s="8">
        <f t="shared" si="75"/>
        <v>7.6459999999999999</v>
      </c>
      <c r="AG67" s="8">
        <f t="shared" si="75"/>
        <v>0</v>
      </c>
      <c r="AH67" s="11">
        <f t="shared" si="75"/>
        <v>4514183.5599999996</v>
      </c>
      <c r="AI67" s="1093">
        <f t="shared" si="75"/>
        <v>2350578.52</v>
      </c>
      <c r="AJ67" s="1093">
        <f t="shared" ref="AJ67" si="76">SUM(AJ40:AJ66)</f>
        <v>446570.304</v>
      </c>
      <c r="AK67" s="1093">
        <f t="shared" ref="AK67" si="77">SUM(AK40:AK66)</f>
        <v>270686.97200000007</v>
      </c>
      <c r="AL67" s="1093">
        <f t="shared" ref="AL67" si="78">SUM(AL40:AL66)</f>
        <v>64058.687999999995</v>
      </c>
      <c r="AM67" s="1093">
        <f t="shared" ref="AM67" si="79">SUM(AM40:AM66)</f>
        <v>1219151.0060000001</v>
      </c>
      <c r="AN67" s="1093">
        <f t="shared" ref="AN67" si="80">SUM(AN40:AN66)</f>
        <v>163138.07000000004</v>
      </c>
    </row>
    <row r="68" spans="1:42">
      <c r="A68" s="91"/>
      <c r="B68" s="91"/>
      <c r="C68" s="91"/>
      <c r="D68" s="91"/>
      <c r="E68" s="91"/>
      <c r="F68" s="91"/>
      <c r="G68" s="91"/>
      <c r="H68" s="1086"/>
      <c r="I68" s="91"/>
      <c r="J68" s="91"/>
      <c r="K68" s="91"/>
      <c r="L68" s="91"/>
      <c r="M68" s="91"/>
      <c r="N68" s="91"/>
      <c r="O68" s="3"/>
      <c r="P68" s="91"/>
      <c r="Q68" s="91"/>
      <c r="R68" s="1080" t="s">
        <v>49</v>
      </c>
      <c r="S68" s="1084"/>
      <c r="T68" s="1084"/>
      <c r="U68" s="1084"/>
      <c r="V68" s="1084"/>
      <c r="W68" s="1084"/>
      <c r="X68" s="1084"/>
      <c r="Y68" s="1084"/>
      <c r="Z68" s="1084"/>
      <c r="AA68" s="1084"/>
      <c r="AB68" s="1084"/>
      <c r="AC68" s="1084"/>
      <c r="AD68" s="1084"/>
      <c r="AE68" s="1084"/>
      <c r="AF68" s="1083"/>
      <c r="AG68" s="1084"/>
      <c r="AH68" s="1085"/>
      <c r="AI68" s="1087"/>
      <c r="AJ68" s="1087"/>
      <c r="AK68" s="1087"/>
      <c r="AL68" s="1087"/>
      <c r="AM68" s="1087"/>
      <c r="AN68" s="1087"/>
    </row>
    <row r="69" spans="1:42">
      <c r="A69" s="2" t="s">
        <v>14</v>
      </c>
      <c r="B69" s="20"/>
      <c r="C69" s="20"/>
      <c r="D69" s="20"/>
      <c r="E69" s="20"/>
      <c r="F69" s="20"/>
      <c r="G69" s="20"/>
      <c r="H69" s="20"/>
      <c r="I69" s="20"/>
      <c r="J69" s="20"/>
      <c r="K69" s="20"/>
      <c r="L69" s="20"/>
      <c r="M69" s="20"/>
      <c r="N69" s="20"/>
      <c r="O69" s="10">
        <f>SUM(B69:N69)</f>
        <v>0</v>
      </c>
      <c r="P69" s="1087"/>
      <c r="Q69" s="1087"/>
      <c r="R69" s="1088"/>
      <c r="S69" s="1088"/>
      <c r="T69" s="1089"/>
      <c r="U69" s="1089"/>
      <c r="V69" s="1089"/>
      <c r="W69" s="1089"/>
      <c r="X69" s="1089"/>
      <c r="Y69" s="1089"/>
      <c r="Z69" s="1089"/>
      <c r="AA69" s="1089"/>
      <c r="AB69" s="1089"/>
      <c r="AC69" s="1087"/>
      <c r="AD69" s="1087"/>
      <c r="AE69" s="1087"/>
      <c r="AF69" s="1087"/>
      <c r="AG69" s="1087"/>
      <c r="AH69" s="1090"/>
      <c r="AI69" s="1087"/>
      <c r="AJ69" s="1087"/>
      <c r="AK69" s="1087"/>
      <c r="AL69" s="1087"/>
      <c r="AM69" s="1087"/>
      <c r="AN69" s="1087"/>
    </row>
    <row r="70" spans="1:42">
      <c r="A70" s="1087"/>
      <c r="B70" s="1087"/>
      <c r="C70" s="1087"/>
      <c r="D70" s="1087"/>
      <c r="E70" s="1087"/>
      <c r="F70" s="1087"/>
      <c r="G70" s="1087"/>
      <c r="H70" s="1087"/>
      <c r="I70" s="1087"/>
      <c r="J70" s="1087"/>
      <c r="K70" s="1087"/>
      <c r="L70" s="605"/>
      <c r="M70" s="605"/>
      <c r="N70" s="605"/>
      <c r="O70" s="1087"/>
      <c r="P70" s="1087"/>
      <c r="Q70" s="1087"/>
      <c r="R70" s="1087"/>
      <c r="S70" s="1087"/>
      <c r="T70" s="1087"/>
      <c r="U70" s="1087"/>
      <c r="V70" s="1087"/>
      <c r="W70" s="1087"/>
      <c r="X70" s="1087"/>
      <c r="Y70" s="1087"/>
      <c r="Z70" s="1087"/>
      <c r="AA70" s="1087"/>
      <c r="AB70" s="1087"/>
      <c r="AC70" s="605"/>
      <c r="AD70" s="605"/>
      <c r="AE70" s="605"/>
      <c r="AF70" s="605"/>
      <c r="AG70" s="605"/>
      <c r="AH70" s="1087"/>
      <c r="AI70" s="1087"/>
      <c r="AJ70" s="1087"/>
      <c r="AK70" s="1087"/>
      <c r="AL70" s="1087"/>
      <c r="AM70" s="1087"/>
      <c r="AN70" s="1087"/>
    </row>
    <row r="71" spans="1:42">
      <c r="A71" s="1087"/>
      <c r="B71" s="1087"/>
      <c r="C71" s="1087"/>
      <c r="D71" s="1087"/>
      <c r="E71" s="1087"/>
      <c r="F71" s="1087"/>
      <c r="G71" s="1087"/>
      <c r="H71" s="1087"/>
      <c r="I71" s="1087"/>
      <c r="J71" s="1087"/>
      <c r="K71" s="1087"/>
      <c r="L71" s="1087"/>
      <c r="M71" s="1087"/>
      <c r="N71" s="1087"/>
      <c r="O71" s="1087"/>
      <c r="P71" s="1087"/>
      <c r="Q71" s="1087"/>
      <c r="R71" s="1087"/>
      <c r="S71" s="1087"/>
      <c r="T71" s="1087"/>
      <c r="U71" s="1087"/>
      <c r="V71" s="1087"/>
      <c r="W71" s="1087"/>
      <c r="X71" s="1087"/>
      <c r="Y71" s="1087"/>
      <c r="Z71" s="1087"/>
      <c r="AA71" s="1087"/>
      <c r="AB71" s="1087"/>
      <c r="AC71" s="1087"/>
      <c r="AD71" s="1087"/>
      <c r="AE71" s="1087"/>
      <c r="AF71" s="1087"/>
      <c r="AG71" s="1087"/>
      <c r="AH71" s="1087"/>
      <c r="AI71" s="1087"/>
      <c r="AJ71" s="1087"/>
      <c r="AK71" s="1087"/>
      <c r="AL71" s="1087"/>
      <c r="AM71" s="1087"/>
      <c r="AN71" s="1087"/>
    </row>
    <row r="72" spans="1:42" ht="46.5" customHeight="1">
      <c r="A72" s="1223" t="s">
        <v>38</v>
      </c>
      <c r="B72" s="1224"/>
      <c r="C72" s="1224"/>
      <c r="D72" s="1224"/>
      <c r="E72" s="1224"/>
      <c r="F72" s="1224"/>
      <c r="G72" s="1224"/>
      <c r="H72" s="1224"/>
      <c r="I72" s="1224"/>
      <c r="J72" s="1224"/>
      <c r="K72" s="1224"/>
      <c r="L72" s="1224"/>
      <c r="M72" s="1224"/>
      <c r="N72" s="1224"/>
      <c r="O72" s="1225"/>
      <c r="P72" s="1087"/>
      <c r="Q72" s="1087"/>
      <c r="R72" s="1220" t="s">
        <v>47</v>
      </c>
      <c r="S72" s="1221"/>
      <c r="T72" s="1221"/>
      <c r="U72" s="1221"/>
      <c r="V72" s="1221"/>
      <c r="W72" s="1221"/>
      <c r="X72" s="1221"/>
      <c r="Y72" s="1221"/>
      <c r="Z72" s="1221"/>
      <c r="AA72" s="1221"/>
      <c r="AB72" s="1221"/>
      <c r="AC72" s="1221"/>
      <c r="AD72" s="1221"/>
      <c r="AE72" s="1221"/>
      <c r="AF72" s="1221"/>
      <c r="AG72" s="1221"/>
      <c r="AH72" s="1222"/>
      <c r="AI72" s="1087"/>
      <c r="AJ72" s="1087"/>
      <c r="AK72" s="1087"/>
      <c r="AL72" s="1087"/>
      <c r="AM72" s="1087"/>
      <c r="AN72" s="1087"/>
    </row>
    <row r="73" spans="1:42" ht="35.1" customHeight="1">
      <c r="A73" s="1226" t="s">
        <v>33</v>
      </c>
      <c r="B73" s="1228" t="s">
        <v>27</v>
      </c>
      <c r="C73" s="1229"/>
      <c r="D73" s="1228" t="s">
        <v>29</v>
      </c>
      <c r="E73" s="1229"/>
      <c r="F73" s="1226" t="s">
        <v>28</v>
      </c>
      <c r="G73" s="1226" t="s">
        <v>36</v>
      </c>
      <c r="H73" s="1226" t="s">
        <v>30</v>
      </c>
      <c r="I73" s="1226" t="s">
        <v>31</v>
      </c>
      <c r="J73" s="1226" t="s">
        <v>41</v>
      </c>
      <c r="K73" s="1226" t="s">
        <v>35</v>
      </c>
      <c r="L73" s="1226" t="s">
        <v>40</v>
      </c>
      <c r="M73" s="1226" t="s">
        <v>42</v>
      </c>
      <c r="N73" s="1226" t="s">
        <v>45</v>
      </c>
      <c r="O73" s="1226" t="s">
        <v>34</v>
      </c>
      <c r="P73" s="1087"/>
      <c r="Q73" s="1087"/>
      <c r="R73" s="1226" t="s">
        <v>33</v>
      </c>
      <c r="S73" s="1228" t="s">
        <v>27</v>
      </c>
      <c r="T73" s="1229"/>
      <c r="U73" s="1228" t="s">
        <v>29</v>
      </c>
      <c r="V73" s="1229"/>
      <c r="W73" s="1226" t="s">
        <v>28</v>
      </c>
      <c r="X73" s="1226" t="s">
        <v>36</v>
      </c>
      <c r="Y73" s="1226" t="s">
        <v>30</v>
      </c>
      <c r="Z73" s="1226" t="s">
        <v>31</v>
      </c>
      <c r="AA73" s="1226" t="s">
        <v>41</v>
      </c>
      <c r="AB73" s="1226" t="s">
        <v>35</v>
      </c>
      <c r="AC73" s="1226" t="s">
        <v>40</v>
      </c>
      <c r="AD73" s="1226" t="s">
        <v>42</v>
      </c>
      <c r="AE73" s="1226" t="s">
        <v>45</v>
      </c>
      <c r="AF73" s="1228" t="s">
        <v>51</v>
      </c>
      <c r="AG73" s="1229"/>
      <c r="AH73" s="1226" t="s">
        <v>34</v>
      </c>
      <c r="AI73" s="1087"/>
      <c r="AJ73" s="1087"/>
      <c r="AK73" s="1087"/>
      <c r="AL73" s="1087"/>
      <c r="AM73" s="1087"/>
      <c r="AN73" s="1087"/>
      <c r="AO73" s="1087"/>
      <c r="AP73" s="1087"/>
    </row>
    <row r="74" spans="1:42" ht="35.1" customHeight="1">
      <c r="A74" s="1227"/>
      <c r="B74" s="1091" t="s">
        <v>43</v>
      </c>
      <c r="C74" s="1091" t="s">
        <v>44</v>
      </c>
      <c r="D74" s="1091" t="s">
        <v>43</v>
      </c>
      <c r="E74" s="1091" t="s">
        <v>44</v>
      </c>
      <c r="F74" s="1227"/>
      <c r="G74" s="1227"/>
      <c r="H74" s="1227"/>
      <c r="I74" s="1227"/>
      <c r="J74" s="1227"/>
      <c r="K74" s="1227"/>
      <c r="L74" s="1227"/>
      <c r="M74" s="1227"/>
      <c r="N74" s="1227"/>
      <c r="O74" s="1227"/>
      <c r="P74" s="1087"/>
      <c r="Q74" s="1087"/>
      <c r="R74" s="1227"/>
      <c r="S74" s="1091" t="s">
        <v>43</v>
      </c>
      <c r="T74" s="1091" t="s">
        <v>44</v>
      </c>
      <c r="U74" s="1091" t="s">
        <v>43</v>
      </c>
      <c r="V74" s="1091" t="s">
        <v>44</v>
      </c>
      <c r="W74" s="1227"/>
      <c r="X74" s="1227"/>
      <c r="Y74" s="1227"/>
      <c r="Z74" s="1227"/>
      <c r="AA74" s="1227"/>
      <c r="AB74" s="1227"/>
      <c r="AC74" s="1227"/>
      <c r="AD74" s="1227"/>
      <c r="AE74" s="1227"/>
      <c r="AF74" s="1092" t="s">
        <v>52</v>
      </c>
      <c r="AG74" s="1092" t="s">
        <v>53</v>
      </c>
      <c r="AH74" s="1227"/>
      <c r="AI74" s="1104" t="s">
        <v>183</v>
      </c>
      <c r="AJ74" s="1104" t="s">
        <v>424</v>
      </c>
      <c r="AK74" s="1104" t="s">
        <v>184</v>
      </c>
      <c r="AL74" s="1104" t="s">
        <v>425</v>
      </c>
      <c r="AM74" s="1104" t="s">
        <v>28</v>
      </c>
      <c r="AN74" s="1104" t="s">
        <v>185</v>
      </c>
      <c r="AO74" s="1087"/>
      <c r="AP74" s="1087"/>
    </row>
    <row r="75" spans="1:42">
      <c r="A75" s="2" t="s">
        <v>0</v>
      </c>
      <c r="B75" s="20">
        <f t="shared" ref="B75:N75" si="81">B5+B40</f>
        <v>0</v>
      </c>
      <c r="C75" s="20">
        <f t="shared" si="81"/>
        <v>0</v>
      </c>
      <c r="D75" s="20">
        <f t="shared" si="81"/>
        <v>0</v>
      </c>
      <c r="E75" s="20">
        <f t="shared" si="81"/>
        <v>0</v>
      </c>
      <c r="F75" s="20">
        <f t="shared" si="81"/>
        <v>0</v>
      </c>
      <c r="G75" s="20">
        <f t="shared" si="81"/>
        <v>0</v>
      </c>
      <c r="H75" s="20">
        <f t="shared" si="81"/>
        <v>0</v>
      </c>
      <c r="I75" s="20">
        <f t="shared" si="81"/>
        <v>0</v>
      </c>
      <c r="J75" s="20">
        <f t="shared" si="81"/>
        <v>0</v>
      </c>
      <c r="K75" s="20">
        <f t="shared" si="81"/>
        <v>0</v>
      </c>
      <c r="L75" s="20">
        <f t="shared" si="81"/>
        <v>0</v>
      </c>
      <c r="M75" s="20">
        <f t="shared" si="81"/>
        <v>0</v>
      </c>
      <c r="N75" s="20">
        <f t="shared" si="81"/>
        <v>0</v>
      </c>
      <c r="O75" s="10">
        <f t="shared" ref="O75:O101" si="82">SUM(B75:N75)</f>
        <v>0</v>
      </c>
      <c r="P75" s="1087"/>
      <c r="Q75" s="1087"/>
      <c r="R75" s="2" t="s">
        <v>87</v>
      </c>
      <c r="S75" s="20">
        <v>18200.62</v>
      </c>
      <c r="T75" s="20">
        <v>4812.99</v>
      </c>
      <c r="U75" s="20">
        <v>3371.32</v>
      </c>
      <c r="V75" s="20">
        <v>525.66</v>
      </c>
      <c r="W75" s="20">
        <v>18569.03</v>
      </c>
      <c r="X75" s="20">
        <v>391.8</v>
      </c>
      <c r="Y75" s="20">
        <v>365.5</v>
      </c>
      <c r="Z75" s="20"/>
      <c r="AA75" s="20">
        <v>925.59</v>
      </c>
      <c r="AB75" s="20">
        <v>388.61</v>
      </c>
      <c r="AC75" s="20"/>
      <c r="AD75" s="20"/>
      <c r="AE75" s="20"/>
      <c r="AF75" s="20"/>
      <c r="AG75" s="20"/>
      <c r="AH75" s="10">
        <f t="shared" ref="AH75:AH101" si="83">SUM(S75:AG75)</f>
        <v>47551.119999999995</v>
      </c>
      <c r="AI75" s="1093">
        <f>S75</f>
        <v>18200.62</v>
      </c>
      <c r="AJ75" s="1093">
        <f>T75</f>
        <v>4812.99</v>
      </c>
      <c r="AK75" s="1093">
        <f>U75</f>
        <v>3371.32</v>
      </c>
      <c r="AL75" s="1093">
        <f>V75</f>
        <v>525.66</v>
      </c>
      <c r="AM75" s="1093">
        <f>W75</f>
        <v>18569.03</v>
      </c>
      <c r="AN75" s="1093">
        <f>SUM(X75:AG75)</f>
        <v>2071.5</v>
      </c>
      <c r="AO75" s="1087"/>
      <c r="AP75" s="1087"/>
    </row>
    <row r="76" spans="1:42">
      <c r="A76" s="2" t="s">
        <v>1</v>
      </c>
      <c r="B76" s="20">
        <f t="shared" ref="B76:N76" si="84">B6+B41</f>
        <v>0</v>
      </c>
      <c r="C76" s="20">
        <f t="shared" si="84"/>
        <v>0</v>
      </c>
      <c r="D76" s="20">
        <f t="shared" si="84"/>
        <v>0</v>
      </c>
      <c r="E76" s="20">
        <f t="shared" si="84"/>
        <v>0</v>
      </c>
      <c r="F76" s="20">
        <f t="shared" si="84"/>
        <v>0</v>
      </c>
      <c r="G76" s="20">
        <f t="shared" si="84"/>
        <v>0</v>
      </c>
      <c r="H76" s="20">
        <f t="shared" si="84"/>
        <v>0</v>
      </c>
      <c r="I76" s="20">
        <f t="shared" si="84"/>
        <v>0</v>
      </c>
      <c r="J76" s="20">
        <f t="shared" si="84"/>
        <v>0</v>
      </c>
      <c r="K76" s="20">
        <f t="shared" si="84"/>
        <v>0</v>
      </c>
      <c r="L76" s="20">
        <f t="shared" si="84"/>
        <v>0</v>
      </c>
      <c r="M76" s="20">
        <f t="shared" si="84"/>
        <v>0</v>
      </c>
      <c r="N76" s="20">
        <f t="shared" si="84"/>
        <v>0</v>
      </c>
      <c r="O76" s="10">
        <f t="shared" si="82"/>
        <v>0</v>
      </c>
      <c r="P76" s="1087"/>
      <c r="Q76" s="1087"/>
      <c r="R76" s="2" t="s">
        <v>88</v>
      </c>
      <c r="S76" s="20">
        <v>103273.77</v>
      </c>
      <c r="T76" s="20">
        <v>31408.05</v>
      </c>
      <c r="U76" s="20">
        <v>4742.71</v>
      </c>
      <c r="V76" s="20">
        <v>1414.8</v>
      </c>
      <c r="W76" s="20">
        <v>46917.11</v>
      </c>
      <c r="X76" s="20">
        <v>1263.78</v>
      </c>
      <c r="Y76" s="20">
        <v>4379.18</v>
      </c>
      <c r="Z76" s="20">
        <v>552.78</v>
      </c>
      <c r="AA76" s="20">
        <v>4334.22</v>
      </c>
      <c r="AB76" s="20"/>
      <c r="AC76" s="20"/>
      <c r="AD76" s="20"/>
      <c r="AE76" s="20">
        <v>85.71</v>
      </c>
      <c r="AF76" s="20"/>
      <c r="AG76" s="20"/>
      <c r="AH76" s="10">
        <f t="shared" si="83"/>
        <v>198372.11</v>
      </c>
      <c r="AI76" s="1093">
        <f t="shared" ref="AI76:AI101" si="85">S76</f>
        <v>103273.77</v>
      </c>
      <c r="AJ76" s="1093">
        <f t="shared" ref="AJ76:AJ101" si="86">T76</f>
        <v>31408.05</v>
      </c>
      <c r="AK76" s="1093">
        <f t="shared" ref="AK76:AK101" si="87">U76</f>
        <v>4742.71</v>
      </c>
      <c r="AL76" s="1093">
        <f t="shared" ref="AL76:AL101" si="88">V76</f>
        <v>1414.8</v>
      </c>
      <c r="AM76" s="1093">
        <f t="shared" ref="AM76:AM101" si="89">W76</f>
        <v>46917.11</v>
      </c>
      <c r="AN76" s="1093">
        <f t="shared" ref="AN76:AN101" si="90">SUM(X76:AG76)</f>
        <v>10615.669999999998</v>
      </c>
      <c r="AO76" s="1087"/>
      <c r="AP76" s="1087"/>
    </row>
    <row r="77" spans="1:42">
      <c r="A77" s="2" t="s">
        <v>2</v>
      </c>
      <c r="B77" s="20">
        <f t="shared" ref="B77:N77" si="91">B7+B42</f>
        <v>0</v>
      </c>
      <c r="C77" s="20">
        <f t="shared" si="91"/>
        <v>0</v>
      </c>
      <c r="D77" s="20">
        <f t="shared" si="91"/>
        <v>0</v>
      </c>
      <c r="E77" s="20">
        <f t="shared" si="91"/>
        <v>0</v>
      </c>
      <c r="F77" s="20">
        <f t="shared" si="91"/>
        <v>0</v>
      </c>
      <c r="G77" s="20">
        <f t="shared" si="91"/>
        <v>0</v>
      </c>
      <c r="H77" s="20">
        <f t="shared" si="91"/>
        <v>0</v>
      </c>
      <c r="I77" s="20">
        <f t="shared" si="91"/>
        <v>0</v>
      </c>
      <c r="J77" s="20">
        <f t="shared" si="91"/>
        <v>0</v>
      </c>
      <c r="K77" s="20">
        <f t="shared" si="91"/>
        <v>0</v>
      </c>
      <c r="L77" s="20">
        <f t="shared" si="91"/>
        <v>0</v>
      </c>
      <c r="M77" s="20">
        <f t="shared" si="91"/>
        <v>0</v>
      </c>
      <c r="N77" s="20">
        <f t="shared" si="91"/>
        <v>0</v>
      </c>
      <c r="O77" s="10">
        <f t="shared" si="82"/>
        <v>0</v>
      </c>
      <c r="P77" s="1087"/>
      <c r="Q77" s="1087"/>
      <c r="R77" s="2" t="s">
        <v>89</v>
      </c>
      <c r="S77" s="20">
        <v>21174.69</v>
      </c>
      <c r="T77" s="20">
        <v>8091.96</v>
      </c>
      <c r="U77" s="20">
        <v>2990.38</v>
      </c>
      <c r="V77" s="20">
        <v>3800.83</v>
      </c>
      <c r="W77" s="20">
        <v>28312.99</v>
      </c>
      <c r="X77" s="20">
        <v>1567.2</v>
      </c>
      <c r="Y77" s="20">
        <v>1082.71</v>
      </c>
      <c r="Z77" s="20"/>
      <c r="AA77" s="20">
        <v>1618.69</v>
      </c>
      <c r="AB77" s="20">
        <v>195.9</v>
      </c>
      <c r="AC77" s="20"/>
      <c r="AD77" s="20"/>
      <c r="AE77" s="20"/>
      <c r="AF77" s="20"/>
      <c r="AG77" s="20"/>
      <c r="AH77" s="10">
        <f t="shared" si="83"/>
        <v>68835.350000000006</v>
      </c>
      <c r="AI77" s="1093">
        <f t="shared" si="85"/>
        <v>21174.69</v>
      </c>
      <c r="AJ77" s="1093">
        <f t="shared" si="86"/>
        <v>8091.96</v>
      </c>
      <c r="AK77" s="1093">
        <f t="shared" si="87"/>
        <v>2990.38</v>
      </c>
      <c r="AL77" s="1093">
        <f t="shared" si="88"/>
        <v>3800.83</v>
      </c>
      <c r="AM77" s="1093">
        <f t="shared" si="89"/>
        <v>28312.99</v>
      </c>
      <c r="AN77" s="1093">
        <f t="shared" si="90"/>
        <v>4464.5</v>
      </c>
      <c r="AO77" s="1087"/>
      <c r="AP77" s="1087"/>
    </row>
    <row r="78" spans="1:42">
      <c r="A78" s="2" t="s">
        <v>3</v>
      </c>
      <c r="B78" s="20">
        <f t="shared" ref="B78:N78" si="92">B8+B43</f>
        <v>0</v>
      </c>
      <c r="C78" s="20">
        <f t="shared" si="92"/>
        <v>0</v>
      </c>
      <c r="D78" s="20">
        <f t="shared" si="92"/>
        <v>0</v>
      </c>
      <c r="E78" s="20">
        <f t="shared" si="92"/>
        <v>0</v>
      </c>
      <c r="F78" s="20">
        <f t="shared" si="92"/>
        <v>0</v>
      </c>
      <c r="G78" s="20">
        <f t="shared" si="92"/>
        <v>0</v>
      </c>
      <c r="H78" s="20">
        <f t="shared" si="92"/>
        <v>0</v>
      </c>
      <c r="I78" s="20">
        <f t="shared" si="92"/>
        <v>0</v>
      </c>
      <c r="J78" s="20">
        <f t="shared" si="92"/>
        <v>0</v>
      </c>
      <c r="K78" s="20">
        <f t="shared" si="92"/>
        <v>0</v>
      </c>
      <c r="L78" s="20">
        <f t="shared" si="92"/>
        <v>0</v>
      </c>
      <c r="M78" s="20">
        <f t="shared" si="92"/>
        <v>0</v>
      </c>
      <c r="N78" s="20">
        <f t="shared" si="92"/>
        <v>0</v>
      </c>
      <c r="O78" s="10">
        <f t="shared" si="82"/>
        <v>0</v>
      </c>
      <c r="P78" s="1087"/>
      <c r="Q78" s="1087"/>
      <c r="R78" s="2" t="s">
        <v>90</v>
      </c>
      <c r="S78" s="20">
        <v>70198.87</v>
      </c>
      <c r="T78" s="20">
        <v>25844.32</v>
      </c>
      <c r="U78" s="20">
        <v>8818.7800000000007</v>
      </c>
      <c r="V78" s="20">
        <v>1904.97</v>
      </c>
      <c r="W78" s="20">
        <v>42350.8</v>
      </c>
      <c r="X78" s="20">
        <v>780.41</v>
      </c>
      <c r="Y78" s="20">
        <v>2730.21</v>
      </c>
      <c r="Z78" s="20"/>
      <c r="AA78" s="20">
        <v>3590</v>
      </c>
      <c r="AB78" s="20">
        <v>97.95</v>
      </c>
      <c r="AC78" s="20"/>
      <c r="AD78" s="20"/>
      <c r="AE78" s="20">
        <v>27.64</v>
      </c>
      <c r="AF78" s="20"/>
      <c r="AG78" s="20"/>
      <c r="AH78" s="10">
        <f t="shared" si="83"/>
        <v>156343.95000000001</v>
      </c>
      <c r="AI78" s="1093">
        <f t="shared" si="85"/>
        <v>70198.87</v>
      </c>
      <c r="AJ78" s="1093">
        <f t="shared" si="86"/>
        <v>25844.32</v>
      </c>
      <c r="AK78" s="1093">
        <f t="shared" si="87"/>
        <v>8818.7800000000007</v>
      </c>
      <c r="AL78" s="1093">
        <f t="shared" si="88"/>
        <v>1904.97</v>
      </c>
      <c r="AM78" s="1093">
        <f t="shared" si="89"/>
        <v>42350.8</v>
      </c>
      <c r="AN78" s="1093">
        <f t="shared" si="90"/>
        <v>7226.21</v>
      </c>
      <c r="AO78" s="1087"/>
      <c r="AP78" s="1087"/>
    </row>
    <row r="79" spans="1:42">
      <c r="A79" s="2" t="s">
        <v>4</v>
      </c>
      <c r="B79" s="20">
        <f t="shared" ref="B79:N79" si="93">B9+B44</f>
        <v>0</v>
      </c>
      <c r="C79" s="20">
        <f t="shared" si="93"/>
        <v>0</v>
      </c>
      <c r="D79" s="20">
        <f t="shared" si="93"/>
        <v>0</v>
      </c>
      <c r="E79" s="20">
        <f t="shared" si="93"/>
        <v>0</v>
      </c>
      <c r="F79" s="20">
        <f t="shared" si="93"/>
        <v>0</v>
      </c>
      <c r="G79" s="20">
        <f t="shared" si="93"/>
        <v>0</v>
      </c>
      <c r="H79" s="20">
        <f t="shared" si="93"/>
        <v>0</v>
      </c>
      <c r="I79" s="20">
        <f t="shared" si="93"/>
        <v>0</v>
      </c>
      <c r="J79" s="20">
        <f t="shared" si="93"/>
        <v>0</v>
      </c>
      <c r="K79" s="20">
        <f t="shared" si="93"/>
        <v>0</v>
      </c>
      <c r="L79" s="20">
        <f t="shared" si="93"/>
        <v>0</v>
      </c>
      <c r="M79" s="20">
        <f t="shared" si="93"/>
        <v>0</v>
      </c>
      <c r="N79" s="20">
        <f t="shared" si="93"/>
        <v>0</v>
      </c>
      <c r="O79" s="10">
        <f t="shared" si="82"/>
        <v>0</v>
      </c>
      <c r="P79" s="1087"/>
      <c r="Q79" s="1087"/>
      <c r="R79" s="2" t="s">
        <v>91</v>
      </c>
      <c r="S79" s="20">
        <v>300493.12</v>
      </c>
      <c r="T79" s="20">
        <v>70885.59</v>
      </c>
      <c r="U79" s="20">
        <v>38551.15</v>
      </c>
      <c r="V79" s="20">
        <v>4508.05</v>
      </c>
      <c r="W79" s="20">
        <v>129564.58</v>
      </c>
      <c r="X79" s="20">
        <v>2742.6</v>
      </c>
      <c r="Y79" s="20">
        <v>8024.97</v>
      </c>
      <c r="Z79" s="20"/>
      <c r="AA79" s="20">
        <v>10611.99</v>
      </c>
      <c r="AB79" s="20">
        <v>489.75</v>
      </c>
      <c r="AC79" s="20">
        <v>189.52</v>
      </c>
      <c r="AD79" s="20"/>
      <c r="AE79" s="20">
        <v>227.63</v>
      </c>
      <c r="AF79" s="20"/>
      <c r="AG79" s="20"/>
      <c r="AH79" s="10">
        <f t="shared" si="83"/>
        <v>566288.94999999995</v>
      </c>
      <c r="AI79" s="1093">
        <f t="shared" si="85"/>
        <v>300493.12</v>
      </c>
      <c r="AJ79" s="1093">
        <f t="shared" si="86"/>
        <v>70885.59</v>
      </c>
      <c r="AK79" s="1093">
        <f t="shared" si="87"/>
        <v>38551.15</v>
      </c>
      <c r="AL79" s="1093">
        <f t="shared" si="88"/>
        <v>4508.05</v>
      </c>
      <c r="AM79" s="1093">
        <f t="shared" si="89"/>
        <v>129564.58</v>
      </c>
      <c r="AN79" s="1093">
        <f t="shared" si="90"/>
        <v>22286.46</v>
      </c>
      <c r="AO79" s="1087"/>
      <c r="AP79" s="1087"/>
    </row>
    <row r="80" spans="1:42">
      <c r="A80" s="2" t="s">
        <v>5</v>
      </c>
      <c r="B80" s="20">
        <f t="shared" ref="B80:N80" si="94">B10+B45</f>
        <v>0</v>
      </c>
      <c r="C80" s="20">
        <f t="shared" si="94"/>
        <v>0</v>
      </c>
      <c r="D80" s="20">
        <f t="shared" si="94"/>
        <v>0</v>
      </c>
      <c r="E80" s="20">
        <f t="shared" si="94"/>
        <v>0</v>
      </c>
      <c r="F80" s="20">
        <f t="shared" si="94"/>
        <v>0</v>
      </c>
      <c r="G80" s="20">
        <f t="shared" si="94"/>
        <v>0</v>
      </c>
      <c r="H80" s="20">
        <f t="shared" si="94"/>
        <v>0</v>
      </c>
      <c r="I80" s="20">
        <f t="shared" si="94"/>
        <v>0</v>
      </c>
      <c r="J80" s="20">
        <f t="shared" si="94"/>
        <v>0</v>
      </c>
      <c r="K80" s="20">
        <f t="shared" si="94"/>
        <v>0</v>
      </c>
      <c r="L80" s="20">
        <f t="shared" si="94"/>
        <v>0</v>
      </c>
      <c r="M80" s="20">
        <f t="shared" si="94"/>
        <v>0</v>
      </c>
      <c r="N80" s="20">
        <f t="shared" si="94"/>
        <v>0</v>
      </c>
      <c r="O80" s="10">
        <f t="shared" si="82"/>
        <v>0</v>
      </c>
      <c r="P80" s="1087"/>
      <c r="Q80" s="1087"/>
      <c r="R80" s="2" t="s">
        <v>92</v>
      </c>
      <c r="S80" s="20">
        <v>234816.28</v>
      </c>
      <c r="T80" s="20">
        <v>28778.9</v>
      </c>
      <c r="U80" s="20">
        <v>24192.06</v>
      </c>
      <c r="V80" s="20">
        <v>1763.26</v>
      </c>
      <c r="W80" s="20">
        <v>93933.11</v>
      </c>
      <c r="X80" s="20">
        <v>1642.82</v>
      </c>
      <c r="Y80" s="20">
        <v>2772.89</v>
      </c>
      <c r="Z80" s="20">
        <v>451.92</v>
      </c>
      <c r="AA80" s="20">
        <v>4995.8100000000004</v>
      </c>
      <c r="AB80" s="20">
        <v>97.95</v>
      </c>
      <c r="AC80" s="20"/>
      <c r="AD80" s="20"/>
      <c r="AE80" s="20">
        <v>85.71</v>
      </c>
      <c r="AF80" s="20"/>
      <c r="AG80" s="20"/>
      <c r="AH80" s="10">
        <f t="shared" si="83"/>
        <v>393530.71</v>
      </c>
      <c r="AI80" s="1093">
        <f t="shared" si="85"/>
        <v>234816.28</v>
      </c>
      <c r="AJ80" s="1093">
        <f t="shared" si="86"/>
        <v>28778.9</v>
      </c>
      <c r="AK80" s="1093">
        <f t="shared" si="87"/>
        <v>24192.06</v>
      </c>
      <c r="AL80" s="1093">
        <f t="shared" si="88"/>
        <v>1763.26</v>
      </c>
      <c r="AM80" s="1093">
        <f t="shared" si="89"/>
        <v>93933.11</v>
      </c>
      <c r="AN80" s="1093">
        <f t="shared" si="90"/>
        <v>10047.1</v>
      </c>
      <c r="AO80" s="1087"/>
      <c r="AP80" s="1087"/>
    </row>
    <row r="81" spans="1:42">
      <c r="A81" s="2" t="s">
        <v>6</v>
      </c>
      <c r="B81" s="20">
        <f t="shared" ref="B81:N81" si="95">B11+B46</f>
        <v>0</v>
      </c>
      <c r="C81" s="20">
        <f t="shared" si="95"/>
        <v>0</v>
      </c>
      <c r="D81" s="20">
        <f t="shared" si="95"/>
        <v>0</v>
      </c>
      <c r="E81" s="20">
        <f t="shared" si="95"/>
        <v>0</v>
      </c>
      <c r="F81" s="20">
        <f t="shared" si="95"/>
        <v>0</v>
      </c>
      <c r="G81" s="20">
        <f t="shared" si="95"/>
        <v>0</v>
      </c>
      <c r="H81" s="20">
        <f t="shared" si="95"/>
        <v>0</v>
      </c>
      <c r="I81" s="20">
        <f t="shared" si="95"/>
        <v>0</v>
      </c>
      <c r="J81" s="20">
        <f t="shared" si="95"/>
        <v>0</v>
      </c>
      <c r="K81" s="20">
        <f t="shared" si="95"/>
        <v>0</v>
      </c>
      <c r="L81" s="20">
        <f t="shared" si="95"/>
        <v>0</v>
      </c>
      <c r="M81" s="20">
        <f t="shared" si="95"/>
        <v>0</v>
      </c>
      <c r="N81" s="20">
        <f t="shared" si="95"/>
        <v>0</v>
      </c>
      <c r="O81" s="10">
        <f t="shared" si="82"/>
        <v>0</v>
      </c>
      <c r="P81" s="1087"/>
      <c r="Q81" s="1087"/>
      <c r="R81" s="2" t="s">
        <v>93</v>
      </c>
      <c r="S81" s="20">
        <v>320551.25</v>
      </c>
      <c r="T81" s="20">
        <v>74064.03</v>
      </c>
      <c r="U81" s="20">
        <v>21685.040000000001</v>
      </c>
      <c r="V81" s="20">
        <v>9273.9699999999993</v>
      </c>
      <c r="W81" s="20">
        <v>120141.3</v>
      </c>
      <c r="X81" s="20">
        <v>4104.33</v>
      </c>
      <c r="Y81" s="20">
        <v>11146.87</v>
      </c>
      <c r="Z81" s="20"/>
      <c r="AA81" s="20">
        <v>12215.59</v>
      </c>
      <c r="AB81" s="20">
        <v>94.76</v>
      </c>
      <c r="AC81" s="20">
        <v>195.9</v>
      </c>
      <c r="AD81" s="20"/>
      <c r="AE81" s="20">
        <v>396.26</v>
      </c>
      <c r="AF81" s="20"/>
      <c r="AG81" s="20"/>
      <c r="AH81" s="10">
        <f t="shared" si="83"/>
        <v>573869.29999999993</v>
      </c>
      <c r="AI81" s="1093">
        <f t="shared" si="85"/>
        <v>320551.25</v>
      </c>
      <c r="AJ81" s="1093">
        <f t="shared" si="86"/>
        <v>74064.03</v>
      </c>
      <c r="AK81" s="1093">
        <f t="shared" si="87"/>
        <v>21685.040000000001</v>
      </c>
      <c r="AL81" s="1093">
        <f t="shared" si="88"/>
        <v>9273.9699999999993</v>
      </c>
      <c r="AM81" s="1093">
        <f t="shared" si="89"/>
        <v>120141.3</v>
      </c>
      <c r="AN81" s="1093">
        <f t="shared" si="90"/>
        <v>28153.71</v>
      </c>
      <c r="AO81" s="1087"/>
      <c r="AP81" s="1087"/>
    </row>
    <row r="82" spans="1:42">
      <c r="A82" s="2" t="s">
        <v>7</v>
      </c>
      <c r="B82" s="20">
        <f t="shared" ref="B82:N82" si="96">B12+B47</f>
        <v>0</v>
      </c>
      <c r="C82" s="20">
        <f t="shared" si="96"/>
        <v>0</v>
      </c>
      <c r="D82" s="20">
        <f t="shared" si="96"/>
        <v>0</v>
      </c>
      <c r="E82" s="20">
        <f t="shared" si="96"/>
        <v>0</v>
      </c>
      <c r="F82" s="20">
        <f t="shared" si="96"/>
        <v>0</v>
      </c>
      <c r="G82" s="20">
        <f t="shared" si="96"/>
        <v>0</v>
      </c>
      <c r="H82" s="20">
        <f t="shared" si="96"/>
        <v>0</v>
      </c>
      <c r="I82" s="20">
        <f t="shared" si="96"/>
        <v>0</v>
      </c>
      <c r="J82" s="20">
        <f t="shared" si="96"/>
        <v>0</v>
      </c>
      <c r="K82" s="20">
        <f t="shared" si="96"/>
        <v>0</v>
      </c>
      <c r="L82" s="20">
        <f t="shared" si="96"/>
        <v>0</v>
      </c>
      <c r="M82" s="20">
        <f t="shared" si="96"/>
        <v>0</v>
      </c>
      <c r="N82" s="20">
        <f t="shared" si="96"/>
        <v>0</v>
      </c>
      <c r="O82" s="10">
        <f t="shared" si="82"/>
        <v>0</v>
      </c>
      <c r="P82" s="1087"/>
      <c r="Q82" s="1087"/>
      <c r="R82" s="2" t="s">
        <v>94</v>
      </c>
      <c r="S82" s="20">
        <v>245379.16</v>
      </c>
      <c r="T82" s="20">
        <v>32603.57</v>
      </c>
      <c r="U82" s="20">
        <v>21063.63</v>
      </c>
      <c r="V82" s="20">
        <v>4209.8999999999996</v>
      </c>
      <c r="W82" s="20">
        <v>99499.37</v>
      </c>
      <c r="X82" s="20">
        <v>5083.83</v>
      </c>
      <c r="Y82" s="20">
        <v>4609.03</v>
      </c>
      <c r="Z82" s="20">
        <v>1712.73</v>
      </c>
      <c r="AA82" s="20">
        <v>3989.74</v>
      </c>
      <c r="AB82" s="20">
        <v>385.42</v>
      </c>
      <c r="AC82" s="20"/>
      <c r="AD82" s="20"/>
      <c r="AE82" s="20">
        <v>85.71</v>
      </c>
      <c r="AF82" s="20"/>
      <c r="AG82" s="20"/>
      <c r="AH82" s="10">
        <f t="shared" si="83"/>
        <v>418622.09</v>
      </c>
      <c r="AI82" s="1093">
        <f t="shared" si="85"/>
        <v>245379.16</v>
      </c>
      <c r="AJ82" s="1093">
        <f t="shared" si="86"/>
        <v>32603.57</v>
      </c>
      <c r="AK82" s="1093">
        <f t="shared" si="87"/>
        <v>21063.63</v>
      </c>
      <c r="AL82" s="1093">
        <f t="shared" si="88"/>
        <v>4209.8999999999996</v>
      </c>
      <c r="AM82" s="1093">
        <f t="shared" si="89"/>
        <v>99499.37</v>
      </c>
      <c r="AN82" s="1093">
        <f t="shared" si="90"/>
        <v>15866.46</v>
      </c>
      <c r="AO82" s="1087"/>
      <c r="AP82" s="1087"/>
    </row>
    <row r="83" spans="1:42">
      <c r="A83" s="2" t="s">
        <v>8</v>
      </c>
      <c r="B83" s="20">
        <f t="shared" ref="B83:N83" si="97">B13+B48</f>
        <v>0</v>
      </c>
      <c r="C83" s="20">
        <f t="shared" si="97"/>
        <v>0</v>
      </c>
      <c r="D83" s="20">
        <f t="shared" si="97"/>
        <v>0</v>
      </c>
      <c r="E83" s="20">
        <f t="shared" si="97"/>
        <v>0</v>
      </c>
      <c r="F83" s="20">
        <f t="shared" si="97"/>
        <v>0</v>
      </c>
      <c r="G83" s="20">
        <f t="shared" si="97"/>
        <v>0</v>
      </c>
      <c r="H83" s="20">
        <f t="shared" si="97"/>
        <v>0</v>
      </c>
      <c r="I83" s="20">
        <f t="shared" si="97"/>
        <v>0</v>
      </c>
      <c r="J83" s="20">
        <f t="shared" si="97"/>
        <v>0</v>
      </c>
      <c r="K83" s="20">
        <f t="shared" si="97"/>
        <v>0</v>
      </c>
      <c r="L83" s="20">
        <f t="shared" si="97"/>
        <v>0</v>
      </c>
      <c r="M83" s="20">
        <f t="shared" si="97"/>
        <v>0</v>
      </c>
      <c r="N83" s="20">
        <f t="shared" si="97"/>
        <v>0</v>
      </c>
      <c r="O83" s="10">
        <f t="shared" si="82"/>
        <v>0</v>
      </c>
      <c r="P83" s="1087"/>
      <c r="Q83" s="1087"/>
      <c r="R83" s="2" t="s">
        <v>95</v>
      </c>
      <c r="S83" s="20">
        <v>204749.96</v>
      </c>
      <c r="T83" s="20">
        <v>41165.14</v>
      </c>
      <c r="U83" s="20">
        <v>17442.310000000001</v>
      </c>
      <c r="V83" s="20">
        <v>6187.43</v>
      </c>
      <c r="W83" s="20">
        <v>195239.3</v>
      </c>
      <c r="X83" s="20">
        <v>3026.88</v>
      </c>
      <c r="Y83" s="20">
        <v>5392.21</v>
      </c>
      <c r="Z83" s="20">
        <v>1872.26</v>
      </c>
      <c r="AA83" s="20">
        <v>6552.43</v>
      </c>
      <c r="AB83" s="20">
        <v>195.9</v>
      </c>
      <c r="AC83" s="20">
        <v>195.9</v>
      </c>
      <c r="AD83" s="20"/>
      <c r="AE83" s="20">
        <v>141.91999999999999</v>
      </c>
      <c r="AF83" s="20"/>
      <c r="AG83" s="20"/>
      <c r="AH83" s="10">
        <f t="shared" si="83"/>
        <v>482161.64</v>
      </c>
      <c r="AI83" s="1093">
        <f t="shared" si="85"/>
        <v>204749.96</v>
      </c>
      <c r="AJ83" s="1093">
        <f t="shared" si="86"/>
        <v>41165.14</v>
      </c>
      <c r="AK83" s="1093">
        <f t="shared" si="87"/>
        <v>17442.310000000001</v>
      </c>
      <c r="AL83" s="1093">
        <f t="shared" si="88"/>
        <v>6187.43</v>
      </c>
      <c r="AM83" s="1093">
        <f t="shared" si="89"/>
        <v>195239.3</v>
      </c>
      <c r="AN83" s="1093">
        <f t="shared" si="90"/>
        <v>17377.5</v>
      </c>
      <c r="AO83" s="1087"/>
      <c r="AP83" s="1087"/>
    </row>
    <row r="84" spans="1:42">
      <c r="A84" s="2" t="s">
        <v>9</v>
      </c>
      <c r="B84" s="20">
        <f t="shared" ref="B84:N84" si="98">B14+B49</f>
        <v>0</v>
      </c>
      <c r="C84" s="20">
        <f t="shared" si="98"/>
        <v>0</v>
      </c>
      <c r="D84" s="20">
        <f t="shared" si="98"/>
        <v>0</v>
      </c>
      <c r="E84" s="20">
        <f t="shared" si="98"/>
        <v>0</v>
      </c>
      <c r="F84" s="20">
        <f t="shared" si="98"/>
        <v>0</v>
      </c>
      <c r="G84" s="20">
        <f t="shared" si="98"/>
        <v>0</v>
      </c>
      <c r="H84" s="20">
        <f t="shared" si="98"/>
        <v>0</v>
      </c>
      <c r="I84" s="20">
        <f t="shared" si="98"/>
        <v>0</v>
      </c>
      <c r="J84" s="20">
        <f t="shared" si="98"/>
        <v>0</v>
      </c>
      <c r="K84" s="20">
        <f t="shared" si="98"/>
        <v>0</v>
      </c>
      <c r="L84" s="20">
        <f t="shared" si="98"/>
        <v>0</v>
      </c>
      <c r="M84" s="20">
        <f t="shared" si="98"/>
        <v>0</v>
      </c>
      <c r="N84" s="20">
        <f t="shared" si="98"/>
        <v>0</v>
      </c>
      <c r="O84" s="10">
        <f t="shared" si="82"/>
        <v>0</v>
      </c>
      <c r="P84" s="1087"/>
      <c r="Q84" s="1087"/>
      <c r="R84" s="2" t="s">
        <v>96</v>
      </c>
      <c r="S84" s="20">
        <v>82824.28</v>
      </c>
      <c r="T84" s="20">
        <v>22378.58</v>
      </c>
      <c r="U84" s="20">
        <v>7714.05</v>
      </c>
      <c r="V84" s="20">
        <v>620.23</v>
      </c>
      <c r="W84" s="20">
        <v>35713.47</v>
      </c>
      <c r="X84" s="20">
        <v>685.65</v>
      </c>
      <c r="Y84" s="20">
        <v>2598.75</v>
      </c>
      <c r="Z84" s="20"/>
      <c r="AA84" s="20">
        <v>3156.48</v>
      </c>
      <c r="AB84" s="20">
        <v>97.95</v>
      </c>
      <c r="AC84" s="20"/>
      <c r="AD84" s="20"/>
      <c r="AE84" s="20">
        <v>56.21</v>
      </c>
      <c r="AF84" s="20"/>
      <c r="AG84" s="20"/>
      <c r="AH84" s="10">
        <f t="shared" si="83"/>
        <v>155845.65</v>
      </c>
      <c r="AI84" s="1093">
        <f t="shared" si="85"/>
        <v>82824.28</v>
      </c>
      <c r="AJ84" s="1093">
        <f t="shared" si="86"/>
        <v>22378.58</v>
      </c>
      <c r="AK84" s="1093">
        <f t="shared" si="87"/>
        <v>7714.05</v>
      </c>
      <c r="AL84" s="1093">
        <f t="shared" si="88"/>
        <v>620.23</v>
      </c>
      <c r="AM84" s="1093">
        <f t="shared" si="89"/>
        <v>35713.47</v>
      </c>
      <c r="AN84" s="1093">
        <f t="shared" si="90"/>
        <v>6595.04</v>
      </c>
      <c r="AO84" s="1087"/>
      <c r="AP84" s="1087"/>
    </row>
    <row r="85" spans="1:42">
      <c r="A85" s="2" t="s">
        <v>10</v>
      </c>
      <c r="B85" s="20">
        <f t="shared" ref="B85:N85" si="99">B15+B50</f>
        <v>0</v>
      </c>
      <c r="C85" s="20">
        <f t="shared" si="99"/>
        <v>0</v>
      </c>
      <c r="D85" s="20">
        <f t="shared" si="99"/>
        <v>0</v>
      </c>
      <c r="E85" s="20">
        <f t="shared" si="99"/>
        <v>0</v>
      </c>
      <c r="F85" s="20">
        <f t="shared" si="99"/>
        <v>0</v>
      </c>
      <c r="G85" s="20">
        <f t="shared" si="99"/>
        <v>0</v>
      </c>
      <c r="H85" s="20">
        <f t="shared" si="99"/>
        <v>0</v>
      </c>
      <c r="I85" s="20">
        <f t="shared" si="99"/>
        <v>0</v>
      </c>
      <c r="J85" s="20">
        <f t="shared" si="99"/>
        <v>0</v>
      </c>
      <c r="K85" s="20">
        <f t="shared" si="99"/>
        <v>0</v>
      </c>
      <c r="L85" s="20">
        <f t="shared" si="99"/>
        <v>0</v>
      </c>
      <c r="M85" s="20">
        <f t="shared" si="99"/>
        <v>0</v>
      </c>
      <c r="N85" s="20">
        <f t="shared" si="99"/>
        <v>0</v>
      </c>
      <c r="O85" s="10">
        <f t="shared" si="82"/>
        <v>0</v>
      </c>
      <c r="P85" s="1087"/>
      <c r="Q85" s="1087"/>
      <c r="R85" s="2" t="s">
        <v>97</v>
      </c>
      <c r="S85" s="20">
        <v>140629.48000000001</v>
      </c>
      <c r="T85" s="20">
        <v>18644.47</v>
      </c>
      <c r="U85" s="20">
        <v>17462.93</v>
      </c>
      <c r="V85" s="20">
        <v>6718.97</v>
      </c>
      <c r="W85" s="20">
        <v>171040.21</v>
      </c>
      <c r="X85" s="20">
        <v>783.6</v>
      </c>
      <c r="Y85" s="20">
        <v>1867.24</v>
      </c>
      <c r="Z85" s="20"/>
      <c r="AA85" s="20">
        <v>3850.02</v>
      </c>
      <c r="AB85" s="20">
        <v>293.85000000000002</v>
      </c>
      <c r="AC85" s="20"/>
      <c r="AD85" s="20"/>
      <c r="AE85" s="20">
        <v>85.71</v>
      </c>
      <c r="AF85" s="20"/>
      <c r="AG85" s="20"/>
      <c r="AH85" s="10">
        <f t="shared" si="83"/>
        <v>361376.48</v>
      </c>
      <c r="AI85" s="1093">
        <f t="shared" si="85"/>
        <v>140629.48000000001</v>
      </c>
      <c r="AJ85" s="1093">
        <f t="shared" si="86"/>
        <v>18644.47</v>
      </c>
      <c r="AK85" s="1093">
        <f t="shared" si="87"/>
        <v>17462.93</v>
      </c>
      <c r="AL85" s="1093">
        <f t="shared" si="88"/>
        <v>6718.97</v>
      </c>
      <c r="AM85" s="1093">
        <f t="shared" si="89"/>
        <v>171040.21</v>
      </c>
      <c r="AN85" s="1093">
        <f t="shared" si="90"/>
        <v>6880.420000000001</v>
      </c>
      <c r="AO85" s="1087"/>
      <c r="AP85" s="1087"/>
    </row>
    <row r="86" spans="1:42">
      <c r="A86" s="2" t="s">
        <v>11</v>
      </c>
      <c r="B86" s="20">
        <f t="shared" ref="B86:N86" si="100">B16+B51</f>
        <v>0</v>
      </c>
      <c r="C86" s="20">
        <f t="shared" si="100"/>
        <v>0</v>
      </c>
      <c r="D86" s="20">
        <f t="shared" si="100"/>
        <v>0</v>
      </c>
      <c r="E86" s="20">
        <f t="shared" si="100"/>
        <v>0</v>
      </c>
      <c r="F86" s="20">
        <f t="shared" si="100"/>
        <v>0</v>
      </c>
      <c r="G86" s="20">
        <f t="shared" si="100"/>
        <v>0</v>
      </c>
      <c r="H86" s="20">
        <f t="shared" si="100"/>
        <v>0</v>
      </c>
      <c r="I86" s="20">
        <f t="shared" si="100"/>
        <v>0</v>
      </c>
      <c r="J86" s="20">
        <f t="shared" si="100"/>
        <v>0</v>
      </c>
      <c r="K86" s="20">
        <f t="shared" si="100"/>
        <v>0</v>
      </c>
      <c r="L86" s="20">
        <f t="shared" si="100"/>
        <v>0</v>
      </c>
      <c r="M86" s="20">
        <f t="shared" si="100"/>
        <v>0</v>
      </c>
      <c r="N86" s="20">
        <f t="shared" si="100"/>
        <v>0</v>
      </c>
      <c r="O86" s="10">
        <f t="shared" si="82"/>
        <v>0</v>
      </c>
      <c r="P86" s="1087"/>
      <c r="Q86" s="1087"/>
      <c r="R86" s="2" t="s">
        <v>98</v>
      </c>
      <c r="S86" s="20">
        <v>177127.8</v>
      </c>
      <c r="T86" s="20">
        <v>31112.66</v>
      </c>
      <c r="U86" s="20">
        <v>27089.62</v>
      </c>
      <c r="V86" s="20">
        <v>5119.01</v>
      </c>
      <c r="W86" s="20">
        <v>121106.73</v>
      </c>
      <c r="X86" s="20">
        <v>1077.45</v>
      </c>
      <c r="Y86" s="20">
        <v>3938.92</v>
      </c>
      <c r="Z86" s="20">
        <v>1996.87</v>
      </c>
      <c r="AA86" s="20">
        <v>5781.64</v>
      </c>
      <c r="AB86" s="20">
        <v>290.66000000000003</v>
      </c>
      <c r="AC86" s="20"/>
      <c r="AD86" s="20">
        <v>460.65</v>
      </c>
      <c r="AE86" s="20">
        <v>140.06</v>
      </c>
      <c r="AF86" s="20">
        <v>38.229999999999997</v>
      </c>
      <c r="AG86" s="20"/>
      <c r="AH86" s="10">
        <f t="shared" si="83"/>
        <v>375280.3</v>
      </c>
      <c r="AI86" s="1093">
        <f t="shared" si="85"/>
        <v>177127.8</v>
      </c>
      <c r="AJ86" s="1093">
        <f t="shared" si="86"/>
        <v>31112.66</v>
      </c>
      <c r="AK86" s="1093">
        <f t="shared" si="87"/>
        <v>27089.62</v>
      </c>
      <c r="AL86" s="1093">
        <f t="shared" si="88"/>
        <v>5119.01</v>
      </c>
      <c r="AM86" s="1093">
        <f t="shared" si="89"/>
        <v>121106.73</v>
      </c>
      <c r="AN86" s="1093">
        <f t="shared" si="90"/>
        <v>13724.48</v>
      </c>
      <c r="AO86" s="1087"/>
      <c r="AP86" s="1087"/>
    </row>
    <row r="87" spans="1:42">
      <c r="A87" s="2" t="s">
        <v>12</v>
      </c>
      <c r="B87" s="20">
        <f t="shared" ref="B87:N87" si="101">B17+B52</f>
        <v>0</v>
      </c>
      <c r="C87" s="20">
        <f t="shared" si="101"/>
        <v>0</v>
      </c>
      <c r="D87" s="20">
        <f t="shared" si="101"/>
        <v>0</v>
      </c>
      <c r="E87" s="20">
        <f t="shared" si="101"/>
        <v>0</v>
      </c>
      <c r="F87" s="20">
        <f t="shared" si="101"/>
        <v>0</v>
      </c>
      <c r="G87" s="20">
        <f t="shared" si="101"/>
        <v>0</v>
      </c>
      <c r="H87" s="20">
        <f t="shared" si="101"/>
        <v>0</v>
      </c>
      <c r="I87" s="20">
        <f t="shared" si="101"/>
        <v>0</v>
      </c>
      <c r="J87" s="20">
        <f t="shared" si="101"/>
        <v>0</v>
      </c>
      <c r="K87" s="20">
        <f t="shared" si="101"/>
        <v>0</v>
      </c>
      <c r="L87" s="20">
        <f t="shared" si="101"/>
        <v>0</v>
      </c>
      <c r="M87" s="20">
        <f t="shared" si="101"/>
        <v>0</v>
      </c>
      <c r="N87" s="20">
        <f t="shared" si="101"/>
        <v>0</v>
      </c>
      <c r="O87" s="10">
        <f t="shared" si="82"/>
        <v>0</v>
      </c>
      <c r="P87" s="1087"/>
      <c r="Q87" s="1087"/>
      <c r="R87" s="2" t="s">
        <v>99</v>
      </c>
      <c r="S87" s="20">
        <v>1037076.97</v>
      </c>
      <c r="T87" s="20">
        <v>231394.32</v>
      </c>
      <c r="U87" s="20">
        <v>105568.12</v>
      </c>
      <c r="V87" s="20">
        <v>34102.79</v>
      </c>
      <c r="W87" s="20">
        <v>406479.17</v>
      </c>
      <c r="X87" s="20">
        <v>4012.76</v>
      </c>
      <c r="Y87" s="20">
        <v>33758.589999999997</v>
      </c>
      <c r="Z87" s="20"/>
      <c r="AA87" s="20">
        <v>34786.800000000003</v>
      </c>
      <c r="AB87" s="20">
        <v>2435.9899999999998</v>
      </c>
      <c r="AC87" s="20">
        <v>195.9</v>
      </c>
      <c r="AD87" s="20"/>
      <c r="AE87" s="20">
        <v>587.88</v>
      </c>
      <c r="AF87" s="20"/>
      <c r="AG87" s="20"/>
      <c r="AH87" s="10">
        <f t="shared" si="83"/>
        <v>1890399.29</v>
      </c>
      <c r="AI87" s="1093">
        <f t="shared" si="85"/>
        <v>1037076.97</v>
      </c>
      <c r="AJ87" s="1093">
        <f t="shared" si="86"/>
        <v>231394.32</v>
      </c>
      <c r="AK87" s="1093">
        <f t="shared" si="87"/>
        <v>105568.12</v>
      </c>
      <c r="AL87" s="1093">
        <f t="shared" si="88"/>
        <v>34102.79</v>
      </c>
      <c r="AM87" s="1093">
        <f t="shared" si="89"/>
        <v>406479.17</v>
      </c>
      <c r="AN87" s="1093">
        <f t="shared" si="90"/>
        <v>75777.919999999998</v>
      </c>
      <c r="AO87" s="1087"/>
      <c r="AP87" s="1087"/>
    </row>
    <row r="88" spans="1:42">
      <c r="A88" s="2" t="s">
        <v>15</v>
      </c>
      <c r="B88" s="20">
        <f t="shared" ref="B88:N88" si="102">B18+B53</f>
        <v>0</v>
      </c>
      <c r="C88" s="20">
        <f t="shared" si="102"/>
        <v>0</v>
      </c>
      <c r="D88" s="20">
        <f t="shared" si="102"/>
        <v>0</v>
      </c>
      <c r="E88" s="20">
        <f t="shared" si="102"/>
        <v>0</v>
      </c>
      <c r="F88" s="20">
        <f t="shared" si="102"/>
        <v>0</v>
      </c>
      <c r="G88" s="20">
        <f t="shared" si="102"/>
        <v>0</v>
      </c>
      <c r="H88" s="20">
        <f t="shared" si="102"/>
        <v>0</v>
      </c>
      <c r="I88" s="20">
        <f t="shared" si="102"/>
        <v>0</v>
      </c>
      <c r="J88" s="20">
        <f t="shared" si="102"/>
        <v>0</v>
      </c>
      <c r="K88" s="20">
        <f t="shared" si="102"/>
        <v>0</v>
      </c>
      <c r="L88" s="20">
        <f t="shared" si="102"/>
        <v>0</v>
      </c>
      <c r="M88" s="20">
        <f t="shared" si="102"/>
        <v>0</v>
      </c>
      <c r="N88" s="20">
        <f t="shared" si="102"/>
        <v>0</v>
      </c>
      <c r="O88" s="10">
        <f t="shared" si="82"/>
        <v>0</v>
      </c>
      <c r="P88" s="1087"/>
      <c r="Q88" s="1087"/>
      <c r="R88" s="2" t="s">
        <v>100</v>
      </c>
      <c r="S88" s="20">
        <v>105869.54</v>
      </c>
      <c r="T88" s="20">
        <v>41330.31</v>
      </c>
      <c r="U88" s="20">
        <v>9171.1299999999992</v>
      </c>
      <c r="V88" s="20">
        <v>1163.95</v>
      </c>
      <c r="W88" s="20">
        <v>53024.160000000003</v>
      </c>
      <c r="X88" s="20">
        <v>4571.75</v>
      </c>
      <c r="Y88" s="20">
        <v>5950.07</v>
      </c>
      <c r="Z88" s="20"/>
      <c r="AA88" s="20">
        <v>5781.4</v>
      </c>
      <c r="AB88" s="20">
        <v>780.41</v>
      </c>
      <c r="AC88" s="20"/>
      <c r="AD88" s="20"/>
      <c r="AE88" s="20">
        <v>114.28</v>
      </c>
      <c r="AF88" s="20"/>
      <c r="AG88" s="20"/>
      <c r="AH88" s="10">
        <f t="shared" si="83"/>
        <v>227757</v>
      </c>
      <c r="AI88" s="1093">
        <f t="shared" si="85"/>
        <v>105869.54</v>
      </c>
      <c r="AJ88" s="1093">
        <f t="shared" si="86"/>
        <v>41330.31</v>
      </c>
      <c r="AK88" s="1093">
        <f t="shared" si="87"/>
        <v>9171.1299999999992</v>
      </c>
      <c r="AL88" s="1093">
        <f t="shared" si="88"/>
        <v>1163.95</v>
      </c>
      <c r="AM88" s="1093">
        <f t="shared" si="89"/>
        <v>53024.160000000003</v>
      </c>
      <c r="AN88" s="1093">
        <f t="shared" si="90"/>
        <v>17197.91</v>
      </c>
      <c r="AO88" s="1087"/>
      <c r="AP88" s="1087"/>
    </row>
    <row r="89" spans="1:42">
      <c r="A89" s="2" t="s">
        <v>14</v>
      </c>
      <c r="B89" s="20">
        <f t="shared" ref="B89:N89" si="103">B19+B54</f>
        <v>0</v>
      </c>
      <c r="C89" s="20">
        <f t="shared" si="103"/>
        <v>0</v>
      </c>
      <c r="D89" s="20">
        <f t="shared" si="103"/>
        <v>0</v>
      </c>
      <c r="E89" s="20">
        <f t="shared" si="103"/>
        <v>0</v>
      </c>
      <c r="F89" s="20">
        <f t="shared" si="103"/>
        <v>0</v>
      </c>
      <c r="G89" s="20">
        <f t="shared" si="103"/>
        <v>0</v>
      </c>
      <c r="H89" s="20">
        <f t="shared" si="103"/>
        <v>0</v>
      </c>
      <c r="I89" s="20">
        <f t="shared" si="103"/>
        <v>0</v>
      </c>
      <c r="J89" s="20">
        <f t="shared" si="103"/>
        <v>0</v>
      </c>
      <c r="K89" s="20">
        <f t="shared" si="103"/>
        <v>0</v>
      </c>
      <c r="L89" s="20">
        <f t="shared" si="103"/>
        <v>0</v>
      </c>
      <c r="M89" s="20">
        <f t="shared" si="103"/>
        <v>0</v>
      </c>
      <c r="N89" s="20">
        <f t="shared" si="103"/>
        <v>0</v>
      </c>
      <c r="O89" s="10">
        <f t="shared" si="82"/>
        <v>0</v>
      </c>
      <c r="P89" s="1087"/>
      <c r="Q89" s="1087"/>
      <c r="R89" s="2" t="s">
        <v>101</v>
      </c>
      <c r="S89" s="20">
        <v>117095.32</v>
      </c>
      <c r="T89" s="20">
        <v>43659.07</v>
      </c>
      <c r="U89" s="20">
        <v>7971.18</v>
      </c>
      <c r="V89" s="20">
        <v>3807.21</v>
      </c>
      <c r="W89" s="20">
        <v>72522.59</v>
      </c>
      <c r="X89" s="20">
        <v>774.03</v>
      </c>
      <c r="Y89" s="20">
        <v>5383.1</v>
      </c>
      <c r="Z89" s="20"/>
      <c r="AA89" s="20">
        <v>5684.86</v>
      </c>
      <c r="AB89" s="20"/>
      <c r="AC89" s="20"/>
      <c r="AD89" s="20"/>
      <c r="AE89" s="20">
        <v>114.28</v>
      </c>
      <c r="AF89" s="20"/>
      <c r="AG89" s="20"/>
      <c r="AH89" s="10">
        <f t="shared" si="83"/>
        <v>257011.63999999998</v>
      </c>
      <c r="AI89" s="1093">
        <f t="shared" si="85"/>
        <v>117095.32</v>
      </c>
      <c r="AJ89" s="1093">
        <f t="shared" si="86"/>
        <v>43659.07</v>
      </c>
      <c r="AK89" s="1093">
        <f t="shared" si="87"/>
        <v>7971.18</v>
      </c>
      <c r="AL89" s="1093">
        <f t="shared" si="88"/>
        <v>3807.21</v>
      </c>
      <c r="AM89" s="1093">
        <f t="shared" si="89"/>
        <v>72522.59</v>
      </c>
      <c r="AN89" s="1093">
        <f t="shared" si="90"/>
        <v>11956.27</v>
      </c>
      <c r="AO89" s="1087"/>
      <c r="AP89" s="1087"/>
    </row>
    <row r="90" spans="1:42">
      <c r="A90" s="2" t="s">
        <v>13</v>
      </c>
      <c r="B90" s="20">
        <f t="shared" ref="B90:N90" si="104">B20+B55</f>
        <v>0</v>
      </c>
      <c r="C90" s="20">
        <f t="shared" si="104"/>
        <v>0</v>
      </c>
      <c r="D90" s="20">
        <f t="shared" si="104"/>
        <v>0</v>
      </c>
      <c r="E90" s="20">
        <f t="shared" si="104"/>
        <v>0</v>
      </c>
      <c r="F90" s="20">
        <f t="shared" si="104"/>
        <v>0</v>
      </c>
      <c r="G90" s="20">
        <f t="shared" si="104"/>
        <v>0</v>
      </c>
      <c r="H90" s="20">
        <f t="shared" si="104"/>
        <v>0</v>
      </c>
      <c r="I90" s="20">
        <f t="shared" si="104"/>
        <v>0</v>
      </c>
      <c r="J90" s="20">
        <f t="shared" si="104"/>
        <v>0</v>
      </c>
      <c r="K90" s="20">
        <f t="shared" si="104"/>
        <v>0</v>
      </c>
      <c r="L90" s="20">
        <f t="shared" si="104"/>
        <v>0</v>
      </c>
      <c r="M90" s="20">
        <f t="shared" si="104"/>
        <v>0</v>
      </c>
      <c r="N90" s="20">
        <f t="shared" si="104"/>
        <v>0</v>
      </c>
      <c r="O90" s="10">
        <f t="shared" si="82"/>
        <v>0</v>
      </c>
      <c r="P90" s="1087"/>
      <c r="Q90" s="1087"/>
      <c r="R90" s="2" t="s">
        <v>102</v>
      </c>
      <c r="S90" s="20">
        <v>828063.3</v>
      </c>
      <c r="T90" s="20">
        <v>204750.72</v>
      </c>
      <c r="U90" s="20">
        <v>133286.20000000001</v>
      </c>
      <c r="V90" s="20">
        <v>55376.88</v>
      </c>
      <c r="W90" s="20">
        <v>464851.93</v>
      </c>
      <c r="X90" s="20">
        <v>8805.93</v>
      </c>
      <c r="Y90" s="20">
        <v>30683.72</v>
      </c>
      <c r="Z90" s="20"/>
      <c r="AA90" s="20">
        <v>35254.47</v>
      </c>
      <c r="AB90" s="20">
        <v>2322.09</v>
      </c>
      <c r="AC90" s="20"/>
      <c r="AD90" s="20"/>
      <c r="AE90" s="20">
        <v>423.9</v>
      </c>
      <c r="AF90" s="20"/>
      <c r="AG90" s="20"/>
      <c r="AH90" s="10">
        <f t="shared" si="83"/>
        <v>1763819.1399999997</v>
      </c>
      <c r="AI90" s="1093">
        <f t="shared" si="85"/>
        <v>828063.3</v>
      </c>
      <c r="AJ90" s="1093">
        <f t="shared" si="86"/>
        <v>204750.72</v>
      </c>
      <c r="AK90" s="1093">
        <f t="shared" si="87"/>
        <v>133286.20000000001</v>
      </c>
      <c r="AL90" s="1093">
        <f t="shared" si="88"/>
        <v>55376.88</v>
      </c>
      <c r="AM90" s="1093">
        <f t="shared" si="89"/>
        <v>464851.93</v>
      </c>
      <c r="AN90" s="1093">
        <f t="shared" si="90"/>
        <v>77490.109999999986</v>
      </c>
      <c r="AO90" s="1087"/>
      <c r="AP90" s="1087"/>
    </row>
    <row r="91" spans="1:42">
      <c r="A91" s="2" t="s">
        <v>16</v>
      </c>
      <c r="B91" s="20">
        <f t="shared" ref="B91:N91" si="105">B21+B56</f>
        <v>0</v>
      </c>
      <c r="C91" s="20">
        <f t="shared" si="105"/>
        <v>0</v>
      </c>
      <c r="D91" s="20">
        <f t="shared" si="105"/>
        <v>0</v>
      </c>
      <c r="E91" s="20">
        <f t="shared" si="105"/>
        <v>0</v>
      </c>
      <c r="F91" s="20">
        <f t="shared" si="105"/>
        <v>0</v>
      </c>
      <c r="G91" s="20">
        <f t="shared" si="105"/>
        <v>0</v>
      </c>
      <c r="H91" s="20">
        <f t="shared" si="105"/>
        <v>0</v>
      </c>
      <c r="I91" s="20">
        <f t="shared" si="105"/>
        <v>0</v>
      </c>
      <c r="J91" s="20">
        <f t="shared" si="105"/>
        <v>0</v>
      </c>
      <c r="K91" s="20">
        <f t="shared" si="105"/>
        <v>0</v>
      </c>
      <c r="L91" s="20">
        <f t="shared" si="105"/>
        <v>0</v>
      </c>
      <c r="M91" s="20">
        <f t="shared" si="105"/>
        <v>0</v>
      </c>
      <c r="N91" s="20">
        <f t="shared" si="105"/>
        <v>0</v>
      </c>
      <c r="O91" s="10">
        <f t="shared" si="82"/>
        <v>0</v>
      </c>
      <c r="P91" s="1087"/>
      <c r="Q91" s="1087"/>
      <c r="R91" s="2" t="s">
        <v>103</v>
      </c>
      <c r="S91" s="20">
        <v>254103.49</v>
      </c>
      <c r="T91" s="20">
        <v>83692.210000000006</v>
      </c>
      <c r="U91" s="20">
        <v>27727.71</v>
      </c>
      <c r="V91" s="20">
        <v>6581.37</v>
      </c>
      <c r="W91" s="20">
        <v>130138.58</v>
      </c>
      <c r="X91" s="20">
        <v>2644.65</v>
      </c>
      <c r="Y91" s="20">
        <v>11238.91</v>
      </c>
      <c r="Z91" s="20">
        <v>568.55999999999995</v>
      </c>
      <c r="AA91" s="20">
        <v>14042.92</v>
      </c>
      <c r="AB91" s="20"/>
      <c r="AC91" s="20"/>
      <c r="AD91" s="20"/>
      <c r="AE91" s="20">
        <v>113.35</v>
      </c>
      <c r="AF91" s="20"/>
      <c r="AG91" s="20"/>
      <c r="AH91" s="10">
        <f t="shared" si="83"/>
        <v>530851.75</v>
      </c>
      <c r="AI91" s="1093">
        <f t="shared" si="85"/>
        <v>254103.49</v>
      </c>
      <c r="AJ91" s="1093">
        <f t="shared" si="86"/>
        <v>83692.210000000006</v>
      </c>
      <c r="AK91" s="1093">
        <f t="shared" si="87"/>
        <v>27727.71</v>
      </c>
      <c r="AL91" s="1093">
        <f t="shared" si="88"/>
        <v>6581.37</v>
      </c>
      <c r="AM91" s="1093">
        <f t="shared" si="89"/>
        <v>130138.58</v>
      </c>
      <c r="AN91" s="1093">
        <f t="shared" si="90"/>
        <v>28608.39</v>
      </c>
      <c r="AO91" s="1087"/>
      <c r="AP91" s="1087"/>
    </row>
    <row r="92" spans="1:42">
      <c r="A92" s="2" t="s">
        <v>17</v>
      </c>
      <c r="B92" s="20">
        <f t="shared" ref="B92:N92" si="106">B22+B57</f>
        <v>0</v>
      </c>
      <c r="C92" s="20">
        <f t="shared" si="106"/>
        <v>0</v>
      </c>
      <c r="D92" s="20">
        <f t="shared" si="106"/>
        <v>0</v>
      </c>
      <c r="E92" s="20">
        <f t="shared" si="106"/>
        <v>0</v>
      </c>
      <c r="F92" s="20">
        <f t="shared" si="106"/>
        <v>0</v>
      </c>
      <c r="G92" s="20">
        <f t="shared" si="106"/>
        <v>0</v>
      </c>
      <c r="H92" s="20">
        <f t="shared" si="106"/>
        <v>0</v>
      </c>
      <c r="I92" s="20">
        <f t="shared" si="106"/>
        <v>0</v>
      </c>
      <c r="J92" s="20">
        <f t="shared" si="106"/>
        <v>0</v>
      </c>
      <c r="K92" s="20">
        <f t="shared" si="106"/>
        <v>0</v>
      </c>
      <c r="L92" s="20">
        <f t="shared" si="106"/>
        <v>0</v>
      </c>
      <c r="M92" s="20">
        <f t="shared" si="106"/>
        <v>0</v>
      </c>
      <c r="N92" s="20">
        <f t="shared" si="106"/>
        <v>0</v>
      </c>
      <c r="O92" s="10">
        <f t="shared" si="82"/>
        <v>0</v>
      </c>
      <c r="P92" s="1087"/>
      <c r="Q92" s="1087"/>
      <c r="R92" s="2" t="s">
        <v>104</v>
      </c>
      <c r="S92" s="20">
        <v>80769.94</v>
      </c>
      <c r="T92" s="20">
        <v>14655.02</v>
      </c>
      <c r="U92" s="20">
        <v>10556.81</v>
      </c>
      <c r="V92" s="20">
        <v>4065.94</v>
      </c>
      <c r="W92" s="20">
        <v>38166.31</v>
      </c>
      <c r="X92" s="20">
        <v>971.85</v>
      </c>
      <c r="Y92" s="20">
        <v>1819.14</v>
      </c>
      <c r="Z92" s="20"/>
      <c r="AA92" s="20">
        <v>2179.96</v>
      </c>
      <c r="AB92" s="20"/>
      <c r="AC92" s="20">
        <v>195.9</v>
      </c>
      <c r="AD92" s="20"/>
      <c r="AE92" s="20">
        <v>56.21</v>
      </c>
      <c r="AF92" s="20"/>
      <c r="AG92" s="20"/>
      <c r="AH92" s="10">
        <f t="shared" si="83"/>
        <v>153437.08000000002</v>
      </c>
      <c r="AI92" s="1093">
        <f t="shared" si="85"/>
        <v>80769.94</v>
      </c>
      <c r="AJ92" s="1093">
        <f t="shared" si="86"/>
        <v>14655.02</v>
      </c>
      <c r="AK92" s="1093">
        <f t="shared" si="87"/>
        <v>10556.81</v>
      </c>
      <c r="AL92" s="1093">
        <f t="shared" si="88"/>
        <v>4065.94</v>
      </c>
      <c r="AM92" s="1093">
        <f t="shared" si="89"/>
        <v>38166.31</v>
      </c>
      <c r="AN92" s="1093">
        <f t="shared" si="90"/>
        <v>5223.0600000000004</v>
      </c>
      <c r="AO92" s="1087"/>
      <c r="AP92" s="1087"/>
    </row>
    <row r="93" spans="1:42">
      <c r="A93" s="2" t="s">
        <v>18</v>
      </c>
      <c r="B93" s="20">
        <f t="shared" ref="B93:N93" si="107">B23+B58</f>
        <v>0</v>
      </c>
      <c r="C93" s="20">
        <f t="shared" si="107"/>
        <v>0</v>
      </c>
      <c r="D93" s="20">
        <f t="shared" si="107"/>
        <v>0</v>
      </c>
      <c r="E93" s="20">
        <f t="shared" si="107"/>
        <v>0</v>
      </c>
      <c r="F93" s="20">
        <f t="shared" si="107"/>
        <v>0</v>
      </c>
      <c r="G93" s="20">
        <f t="shared" si="107"/>
        <v>0</v>
      </c>
      <c r="H93" s="20">
        <f t="shared" si="107"/>
        <v>0</v>
      </c>
      <c r="I93" s="20">
        <f t="shared" si="107"/>
        <v>0</v>
      </c>
      <c r="J93" s="20">
        <f t="shared" si="107"/>
        <v>0</v>
      </c>
      <c r="K93" s="20">
        <f t="shared" si="107"/>
        <v>0</v>
      </c>
      <c r="L93" s="20">
        <f t="shared" si="107"/>
        <v>0</v>
      </c>
      <c r="M93" s="20">
        <f t="shared" si="107"/>
        <v>0</v>
      </c>
      <c r="N93" s="20">
        <f t="shared" si="107"/>
        <v>0</v>
      </c>
      <c r="O93" s="10">
        <f t="shared" si="82"/>
        <v>0</v>
      </c>
      <c r="P93" s="1087"/>
      <c r="Q93" s="1087"/>
      <c r="R93" s="2" t="s">
        <v>105</v>
      </c>
      <c r="S93" s="20">
        <v>1157616.98</v>
      </c>
      <c r="T93" s="20">
        <v>182543.18</v>
      </c>
      <c r="U93" s="20">
        <v>157263.64000000001</v>
      </c>
      <c r="V93" s="20">
        <v>23257.5</v>
      </c>
      <c r="W93" s="20">
        <v>431212.1</v>
      </c>
      <c r="X93" s="20">
        <v>13122.11</v>
      </c>
      <c r="Y93" s="20">
        <v>32287.82</v>
      </c>
      <c r="Z93" s="20">
        <v>1019.43</v>
      </c>
      <c r="AA93" s="20">
        <v>27231.68</v>
      </c>
      <c r="AB93" s="20">
        <v>1469.25</v>
      </c>
      <c r="AC93" s="20">
        <v>195.9</v>
      </c>
      <c r="AD93" s="20"/>
      <c r="AE93" s="20">
        <v>1242.2</v>
      </c>
      <c r="AF93" s="20"/>
      <c r="AG93" s="20"/>
      <c r="AH93" s="10">
        <f t="shared" si="83"/>
        <v>2028461.7899999998</v>
      </c>
      <c r="AI93" s="1093">
        <f t="shared" si="85"/>
        <v>1157616.98</v>
      </c>
      <c r="AJ93" s="1093">
        <f t="shared" si="86"/>
        <v>182543.18</v>
      </c>
      <c r="AK93" s="1093">
        <f t="shared" si="87"/>
        <v>157263.64000000001</v>
      </c>
      <c r="AL93" s="1093">
        <f t="shared" si="88"/>
        <v>23257.5</v>
      </c>
      <c r="AM93" s="1093">
        <f t="shared" si="89"/>
        <v>431212.1</v>
      </c>
      <c r="AN93" s="1093">
        <f t="shared" si="90"/>
        <v>76568.39</v>
      </c>
      <c r="AO93" s="1087"/>
      <c r="AP93" s="1087"/>
    </row>
    <row r="94" spans="1:42">
      <c r="A94" s="2" t="s">
        <v>20</v>
      </c>
      <c r="B94" s="20">
        <f t="shared" ref="B94:N94" si="108">B24+B59</f>
        <v>0</v>
      </c>
      <c r="C94" s="20">
        <f t="shared" si="108"/>
        <v>0</v>
      </c>
      <c r="D94" s="20">
        <f t="shared" si="108"/>
        <v>0</v>
      </c>
      <c r="E94" s="20">
        <f t="shared" si="108"/>
        <v>0</v>
      </c>
      <c r="F94" s="20">
        <f t="shared" si="108"/>
        <v>0</v>
      </c>
      <c r="G94" s="20">
        <f t="shared" si="108"/>
        <v>0</v>
      </c>
      <c r="H94" s="20">
        <f t="shared" si="108"/>
        <v>0</v>
      </c>
      <c r="I94" s="20">
        <f t="shared" si="108"/>
        <v>0</v>
      </c>
      <c r="J94" s="20">
        <f t="shared" si="108"/>
        <v>0</v>
      </c>
      <c r="K94" s="20">
        <f t="shared" si="108"/>
        <v>0</v>
      </c>
      <c r="L94" s="20">
        <f t="shared" si="108"/>
        <v>0</v>
      </c>
      <c r="M94" s="20">
        <f t="shared" si="108"/>
        <v>0</v>
      </c>
      <c r="N94" s="20">
        <f t="shared" si="108"/>
        <v>0</v>
      </c>
      <c r="O94" s="10">
        <f t="shared" si="82"/>
        <v>0</v>
      </c>
      <c r="P94" s="1087"/>
      <c r="Q94" s="1087"/>
      <c r="R94" s="2" t="s">
        <v>106</v>
      </c>
      <c r="S94" s="20">
        <v>116753.31</v>
      </c>
      <c r="T94" s="20">
        <v>42037.919999999998</v>
      </c>
      <c r="U94" s="20">
        <v>6256.94</v>
      </c>
      <c r="V94" s="20">
        <v>1565.84</v>
      </c>
      <c r="W94" s="20">
        <v>52379.98</v>
      </c>
      <c r="X94" s="20">
        <v>1459.68</v>
      </c>
      <c r="Y94" s="20">
        <v>5477.95</v>
      </c>
      <c r="Z94" s="20">
        <v>852.84</v>
      </c>
      <c r="AA94" s="20">
        <v>5979.13</v>
      </c>
      <c r="AB94" s="20">
        <v>97.95</v>
      </c>
      <c r="AC94" s="20"/>
      <c r="AD94" s="20"/>
      <c r="AE94" s="20">
        <v>112.42</v>
      </c>
      <c r="AF94" s="20"/>
      <c r="AG94" s="20"/>
      <c r="AH94" s="10">
        <f t="shared" si="83"/>
        <v>232973.96000000002</v>
      </c>
      <c r="AI94" s="1093">
        <f t="shared" si="85"/>
        <v>116753.31</v>
      </c>
      <c r="AJ94" s="1093">
        <f t="shared" si="86"/>
        <v>42037.919999999998</v>
      </c>
      <c r="AK94" s="1093">
        <f t="shared" si="87"/>
        <v>6256.94</v>
      </c>
      <c r="AL94" s="1093">
        <f t="shared" si="88"/>
        <v>1565.84</v>
      </c>
      <c r="AM94" s="1093">
        <f t="shared" si="89"/>
        <v>52379.98</v>
      </c>
      <c r="AN94" s="1093">
        <f t="shared" si="90"/>
        <v>13979.970000000001</v>
      </c>
      <c r="AO94" s="1087"/>
      <c r="AP94" s="1087"/>
    </row>
    <row r="95" spans="1:42">
      <c r="A95" s="2" t="s">
        <v>19</v>
      </c>
      <c r="B95" s="20">
        <f t="shared" ref="B95:N95" si="109">B25+B60</f>
        <v>0</v>
      </c>
      <c r="C95" s="20">
        <f t="shared" si="109"/>
        <v>0</v>
      </c>
      <c r="D95" s="20">
        <f t="shared" si="109"/>
        <v>0</v>
      </c>
      <c r="E95" s="20">
        <f t="shared" si="109"/>
        <v>0</v>
      </c>
      <c r="F95" s="20">
        <f t="shared" si="109"/>
        <v>0</v>
      </c>
      <c r="G95" s="20">
        <f t="shared" si="109"/>
        <v>0</v>
      </c>
      <c r="H95" s="20">
        <f t="shared" si="109"/>
        <v>0</v>
      </c>
      <c r="I95" s="20">
        <f t="shared" si="109"/>
        <v>0</v>
      </c>
      <c r="J95" s="20">
        <f t="shared" si="109"/>
        <v>0</v>
      </c>
      <c r="K95" s="20">
        <f t="shared" si="109"/>
        <v>0</v>
      </c>
      <c r="L95" s="20">
        <f t="shared" si="109"/>
        <v>0</v>
      </c>
      <c r="M95" s="20">
        <f t="shared" si="109"/>
        <v>0</v>
      </c>
      <c r="N95" s="20">
        <f t="shared" si="109"/>
        <v>0</v>
      </c>
      <c r="O95" s="10">
        <f t="shared" si="82"/>
        <v>0</v>
      </c>
      <c r="P95" s="1087"/>
      <c r="Q95" s="1087"/>
      <c r="R95" s="2" t="s">
        <v>107</v>
      </c>
      <c r="S95" s="20">
        <v>1077413.98</v>
      </c>
      <c r="T95" s="20">
        <v>163979.45000000001</v>
      </c>
      <c r="U95" s="20">
        <v>123105.61</v>
      </c>
      <c r="V95" s="20">
        <v>39766.910000000003</v>
      </c>
      <c r="W95" s="20">
        <v>681147.29</v>
      </c>
      <c r="X95" s="20">
        <v>4878.3599999999997</v>
      </c>
      <c r="Y95" s="20">
        <v>22501.19</v>
      </c>
      <c r="Z95" s="20">
        <v>2193.37</v>
      </c>
      <c r="AA95" s="20">
        <v>27140.39</v>
      </c>
      <c r="AB95" s="20">
        <v>1861.05</v>
      </c>
      <c r="AC95" s="20">
        <v>391.8</v>
      </c>
      <c r="AD95" s="20">
        <v>558.91999999999996</v>
      </c>
      <c r="AE95" s="20">
        <v>253.41</v>
      </c>
      <c r="AF95" s="20"/>
      <c r="AG95" s="20"/>
      <c r="AH95" s="10">
        <f t="shared" si="83"/>
        <v>2145191.73</v>
      </c>
      <c r="AI95" s="1093">
        <f t="shared" si="85"/>
        <v>1077413.98</v>
      </c>
      <c r="AJ95" s="1093">
        <f t="shared" si="86"/>
        <v>163979.45000000001</v>
      </c>
      <c r="AK95" s="1093">
        <f t="shared" si="87"/>
        <v>123105.61</v>
      </c>
      <c r="AL95" s="1093">
        <f t="shared" si="88"/>
        <v>39766.910000000003</v>
      </c>
      <c r="AM95" s="1093">
        <f t="shared" si="89"/>
        <v>681147.29</v>
      </c>
      <c r="AN95" s="1093">
        <f t="shared" si="90"/>
        <v>59778.490000000005</v>
      </c>
      <c r="AO95" s="1087"/>
      <c r="AP95" s="1087"/>
    </row>
    <row r="96" spans="1:42">
      <c r="A96" s="2" t="s">
        <v>21</v>
      </c>
      <c r="B96" s="20">
        <f t="shared" ref="B96:N96" si="110">B26+B61</f>
        <v>0</v>
      </c>
      <c r="C96" s="20">
        <f t="shared" si="110"/>
        <v>0</v>
      </c>
      <c r="D96" s="20">
        <f t="shared" si="110"/>
        <v>0</v>
      </c>
      <c r="E96" s="20">
        <f t="shared" si="110"/>
        <v>0</v>
      </c>
      <c r="F96" s="20">
        <f t="shared" si="110"/>
        <v>0</v>
      </c>
      <c r="G96" s="20">
        <f t="shared" si="110"/>
        <v>0</v>
      </c>
      <c r="H96" s="20">
        <f t="shared" si="110"/>
        <v>0</v>
      </c>
      <c r="I96" s="20">
        <f t="shared" si="110"/>
        <v>0</v>
      </c>
      <c r="J96" s="20">
        <f t="shared" si="110"/>
        <v>0</v>
      </c>
      <c r="K96" s="20">
        <f t="shared" si="110"/>
        <v>0</v>
      </c>
      <c r="L96" s="20">
        <f t="shared" si="110"/>
        <v>0</v>
      </c>
      <c r="M96" s="20">
        <f t="shared" si="110"/>
        <v>0</v>
      </c>
      <c r="N96" s="20">
        <f t="shared" si="110"/>
        <v>0</v>
      </c>
      <c r="O96" s="10">
        <f t="shared" si="82"/>
        <v>0</v>
      </c>
      <c r="P96" s="1087"/>
      <c r="Q96" s="1087"/>
      <c r="R96" s="2" t="s">
        <v>108</v>
      </c>
      <c r="S96" s="20">
        <v>59453.56</v>
      </c>
      <c r="T96" s="20">
        <v>12667.95</v>
      </c>
      <c r="U96" s="20">
        <v>6953.74</v>
      </c>
      <c r="V96" s="20">
        <v>2628.98</v>
      </c>
      <c r="W96" s="20">
        <v>65448.800000000003</v>
      </c>
      <c r="X96" s="20">
        <v>293.85000000000002</v>
      </c>
      <c r="Y96" s="20">
        <v>1250.08</v>
      </c>
      <c r="Z96" s="20"/>
      <c r="AA96" s="20">
        <v>2605.87</v>
      </c>
      <c r="AB96" s="20"/>
      <c r="AC96" s="20"/>
      <c r="AD96" s="20"/>
      <c r="AE96" s="20">
        <v>28.57</v>
      </c>
      <c r="AF96" s="20"/>
      <c r="AG96" s="20"/>
      <c r="AH96" s="10">
        <f t="shared" si="83"/>
        <v>151331.4</v>
      </c>
      <c r="AI96" s="1093">
        <f t="shared" si="85"/>
        <v>59453.56</v>
      </c>
      <c r="AJ96" s="1093">
        <f t="shared" si="86"/>
        <v>12667.95</v>
      </c>
      <c r="AK96" s="1093">
        <f t="shared" si="87"/>
        <v>6953.74</v>
      </c>
      <c r="AL96" s="1093">
        <f t="shared" si="88"/>
        <v>2628.98</v>
      </c>
      <c r="AM96" s="1093">
        <f t="shared" si="89"/>
        <v>65448.800000000003</v>
      </c>
      <c r="AN96" s="1093">
        <f t="shared" si="90"/>
        <v>4178.369999999999</v>
      </c>
      <c r="AO96" s="1087"/>
      <c r="AP96" s="1087"/>
    </row>
    <row r="97" spans="1:42">
      <c r="A97" s="2" t="s">
        <v>22</v>
      </c>
      <c r="B97" s="20">
        <f t="shared" ref="B97:N97" si="111">B27+B62</f>
        <v>0</v>
      </c>
      <c r="C97" s="20">
        <f t="shared" si="111"/>
        <v>0</v>
      </c>
      <c r="D97" s="20">
        <f t="shared" si="111"/>
        <v>0</v>
      </c>
      <c r="E97" s="20">
        <f t="shared" si="111"/>
        <v>0</v>
      </c>
      <c r="F97" s="20">
        <f t="shared" si="111"/>
        <v>0</v>
      </c>
      <c r="G97" s="20">
        <f t="shared" si="111"/>
        <v>0</v>
      </c>
      <c r="H97" s="20">
        <f t="shared" si="111"/>
        <v>0</v>
      </c>
      <c r="I97" s="20">
        <f t="shared" si="111"/>
        <v>0</v>
      </c>
      <c r="J97" s="20">
        <f t="shared" si="111"/>
        <v>0</v>
      </c>
      <c r="K97" s="20">
        <f t="shared" si="111"/>
        <v>0</v>
      </c>
      <c r="L97" s="20">
        <f t="shared" si="111"/>
        <v>0</v>
      </c>
      <c r="M97" s="20">
        <f t="shared" si="111"/>
        <v>0</v>
      </c>
      <c r="N97" s="20">
        <f t="shared" si="111"/>
        <v>0</v>
      </c>
      <c r="O97" s="10">
        <f t="shared" si="82"/>
        <v>0</v>
      </c>
      <c r="P97" s="1087"/>
      <c r="Q97" s="1087"/>
      <c r="R97" s="2" t="s">
        <v>109</v>
      </c>
      <c r="S97" s="20">
        <v>11547.23</v>
      </c>
      <c r="T97" s="20">
        <v>882.54</v>
      </c>
      <c r="U97" s="20">
        <v>3199.9</v>
      </c>
      <c r="V97" s="20">
        <v>0</v>
      </c>
      <c r="W97" s="20">
        <v>10850.12</v>
      </c>
      <c r="X97" s="20">
        <v>97.95</v>
      </c>
      <c r="Y97" s="20">
        <v>41.46</v>
      </c>
      <c r="Z97" s="20"/>
      <c r="AA97" s="20">
        <v>161.41999999999999</v>
      </c>
      <c r="AB97" s="20"/>
      <c r="AC97" s="20"/>
      <c r="AD97" s="20"/>
      <c r="AE97" s="20"/>
      <c r="AF97" s="20"/>
      <c r="AG97" s="20"/>
      <c r="AH97" s="10">
        <f t="shared" si="83"/>
        <v>26780.62</v>
      </c>
      <c r="AI97" s="1093">
        <f t="shared" si="85"/>
        <v>11547.23</v>
      </c>
      <c r="AJ97" s="1093">
        <f t="shared" si="86"/>
        <v>882.54</v>
      </c>
      <c r="AK97" s="1093">
        <f t="shared" si="87"/>
        <v>3199.9</v>
      </c>
      <c r="AL97" s="1093">
        <f t="shared" si="88"/>
        <v>0</v>
      </c>
      <c r="AM97" s="1093">
        <f t="shared" si="89"/>
        <v>10850.12</v>
      </c>
      <c r="AN97" s="1093">
        <f t="shared" si="90"/>
        <v>300.83</v>
      </c>
      <c r="AO97" s="1087"/>
      <c r="AP97" s="1087"/>
    </row>
    <row r="98" spans="1:42">
      <c r="A98" s="2" t="s">
        <v>23</v>
      </c>
      <c r="B98" s="20">
        <f t="shared" ref="B98:N98" si="112">B28+B63</f>
        <v>0</v>
      </c>
      <c r="C98" s="20">
        <f t="shared" si="112"/>
        <v>0</v>
      </c>
      <c r="D98" s="20">
        <f t="shared" si="112"/>
        <v>0</v>
      </c>
      <c r="E98" s="20">
        <f t="shared" si="112"/>
        <v>0</v>
      </c>
      <c r="F98" s="20">
        <f t="shared" si="112"/>
        <v>0</v>
      </c>
      <c r="G98" s="20">
        <f t="shared" si="112"/>
        <v>0</v>
      </c>
      <c r="H98" s="20">
        <f t="shared" si="112"/>
        <v>0</v>
      </c>
      <c r="I98" s="20">
        <f t="shared" si="112"/>
        <v>0</v>
      </c>
      <c r="J98" s="20">
        <f t="shared" si="112"/>
        <v>0</v>
      </c>
      <c r="K98" s="20">
        <f t="shared" si="112"/>
        <v>0</v>
      </c>
      <c r="L98" s="20">
        <f t="shared" si="112"/>
        <v>0</v>
      </c>
      <c r="M98" s="20">
        <f t="shared" si="112"/>
        <v>0</v>
      </c>
      <c r="N98" s="20">
        <f t="shared" si="112"/>
        <v>0</v>
      </c>
      <c r="O98" s="10">
        <f t="shared" si="82"/>
        <v>0</v>
      </c>
      <c r="P98" s="1087"/>
      <c r="Q98" s="1087"/>
      <c r="R98" s="2" t="s">
        <v>110</v>
      </c>
      <c r="S98" s="20">
        <v>624459.93000000005</v>
      </c>
      <c r="T98" s="20">
        <v>70510.399999999994</v>
      </c>
      <c r="U98" s="20">
        <v>72039.41</v>
      </c>
      <c r="V98" s="20">
        <v>12342.28</v>
      </c>
      <c r="W98" s="20">
        <v>305202.06</v>
      </c>
      <c r="X98" s="20">
        <v>5090.21</v>
      </c>
      <c r="Y98" s="20">
        <v>9151.99</v>
      </c>
      <c r="Z98" s="20"/>
      <c r="AA98" s="20">
        <v>12025.84</v>
      </c>
      <c r="AB98" s="20">
        <v>1658.77</v>
      </c>
      <c r="AC98" s="20">
        <v>195.9</v>
      </c>
      <c r="AD98" s="20"/>
      <c r="AE98" s="20">
        <v>254.34</v>
      </c>
      <c r="AF98" s="20"/>
      <c r="AG98" s="20"/>
      <c r="AH98" s="10">
        <f t="shared" si="83"/>
        <v>1112931.1300000001</v>
      </c>
      <c r="AI98" s="1093">
        <f t="shared" si="85"/>
        <v>624459.93000000005</v>
      </c>
      <c r="AJ98" s="1093">
        <f t="shared" si="86"/>
        <v>70510.399999999994</v>
      </c>
      <c r="AK98" s="1093">
        <f t="shared" si="87"/>
        <v>72039.41</v>
      </c>
      <c r="AL98" s="1093">
        <f t="shared" si="88"/>
        <v>12342.28</v>
      </c>
      <c r="AM98" s="1093">
        <f t="shared" si="89"/>
        <v>305202.06</v>
      </c>
      <c r="AN98" s="1093">
        <f t="shared" si="90"/>
        <v>28377.050000000003</v>
      </c>
      <c r="AO98" s="1087"/>
      <c r="AP98" s="1087"/>
    </row>
    <row r="99" spans="1:42">
      <c r="A99" s="2" t="s">
        <v>25</v>
      </c>
      <c r="B99" s="20">
        <f t="shared" ref="B99:N99" si="113">B29+B64</f>
        <v>0</v>
      </c>
      <c r="C99" s="20">
        <f t="shared" si="113"/>
        <v>0</v>
      </c>
      <c r="D99" s="20">
        <f t="shared" si="113"/>
        <v>0</v>
      </c>
      <c r="E99" s="20">
        <f t="shared" si="113"/>
        <v>0</v>
      </c>
      <c r="F99" s="20">
        <f t="shared" si="113"/>
        <v>0</v>
      </c>
      <c r="G99" s="20">
        <f t="shared" si="113"/>
        <v>0</v>
      </c>
      <c r="H99" s="20">
        <f t="shared" si="113"/>
        <v>0</v>
      </c>
      <c r="I99" s="20">
        <f t="shared" si="113"/>
        <v>0</v>
      </c>
      <c r="J99" s="20">
        <f t="shared" si="113"/>
        <v>0</v>
      </c>
      <c r="K99" s="20">
        <f t="shared" si="113"/>
        <v>0</v>
      </c>
      <c r="L99" s="20">
        <f t="shared" si="113"/>
        <v>0</v>
      </c>
      <c r="M99" s="20">
        <f t="shared" si="113"/>
        <v>0</v>
      </c>
      <c r="N99" s="20">
        <f t="shared" si="113"/>
        <v>0</v>
      </c>
      <c r="O99" s="10">
        <f t="shared" si="82"/>
        <v>0</v>
      </c>
      <c r="P99" s="1087"/>
      <c r="Q99" s="1087"/>
      <c r="R99" s="2" t="s">
        <v>111</v>
      </c>
      <c r="S99" s="20">
        <v>4274574.24</v>
      </c>
      <c r="T99" s="20">
        <v>730883.81</v>
      </c>
      <c r="U99" s="20">
        <v>482384.71</v>
      </c>
      <c r="V99" s="20">
        <v>87738.28</v>
      </c>
      <c r="W99" s="20">
        <v>2195164.37</v>
      </c>
      <c r="X99" s="20">
        <v>24863.35</v>
      </c>
      <c r="Y99" s="20">
        <v>114539.21</v>
      </c>
      <c r="Z99" s="20">
        <v>6522.25</v>
      </c>
      <c r="AA99" s="20">
        <v>107974.48</v>
      </c>
      <c r="AB99" s="20">
        <v>4692.03</v>
      </c>
      <c r="AC99" s="20">
        <v>581.32000000000005</v>
      </c>
      <c r="AD99" s="20"/>
      <c r="AE99" s="20">
        <v>3078.79</v>
      </c>
      <c r="AF99" s="20">
        <v>493.42</v>
      </c>
      <c r="AG99" s="20">
        <v>4976.8</v>
      </c>
      <c r="AH99" s="10">
        <f t="shared" si="83"/>
        <v>8038467.0600000015</v>
      </c>
      <c r="AI99" s="1093">
        <f t="shared" si="85"/>
        <v>4274574.24</v>
      </c>
      <c r="AJ99" s="1093">
        <f t="shared" si="86"/>
        <v>730883.81</v>
      </c>
      <c r="AK99" s="1093">
        <f t="shared" si="87"/>
        <v>482384.71</v>
      </c>
      <c r="AL99" s="1093">
        <f t="shared" si="88"/>
        <v>87738.28</v>
      </c>
      <c r="AM99" s="1093">
        <f t="shared" si="89"/>
        <v>2195164.37</v>
      </c>
      <c r="AN99" s="1093">
        <f t="shared" si="90"/>
        <v>267721.64999999997</v>
      </c>
      <c r="AO99" s="1087"/>
      <c r="AP99" s="1087"/>
    </row>
    <row r="100" spans="1:42">
      <c r="A100" s="2" t="s">
        <v>24</v>
      </c>
      <c r="B100" s="20">
        <f t="shared" ref="B100:N100" si="114">B30+B65</f>
        <v>0</v>
      </c>
      <c r="C100" s="20">
        <f t="shared" si="114"/>
        <v>0</v>
      </c>
      <c r="D100" s="20">
        <f t="shared" si="114"/>
        <v>0</v>
      </c>
      <c r="E100" s="20">
        <f t="shared" si="114"/>
        <v>0</v>
      </c>
      <c r="F100" s="20">
        <f t="shared" si="114"/>
        <v>0</v>
      </c>
      <c r="G100" s="20">
        <f t="shared" si="114"/>
        <v>0</v>
      </c>
      <c r="H100" s="20">
        <f t="shared" si="114"/>
        <v>0</v>
      </c>
      <c r="I100" s="20">
        <f t="shared" si="114"/>
        <v>0</v>
      </c>
      <c r="J100" s="20">
        <f t="shared" si="114"/>
        <v>0</v>
      </c>
      <c r="K100" s="20">
        <f t="shared" si="114"/>
        <v>0</v>
      </c>
      <c r="L100" s="20">
        <f t="shared" si="114"/>
        <v>0</v>
      </c>
      <c r="M100" s="20">
        <f t="shared" si="114"/>
        <v>0</v>
      </c>
      <c r="N100" s="20">
        <f t="shared" si="114"/>
        <v>0</v>
      </c>
      <c r="O100" s="10">
        <f t="shared" si="82"/>
        <v>0</v>
      </c>
      <c r="P100" s="1087"/>
      <c r="Q100" s="1087"/>
      <c r="R100" s="2" t="s">
        <v>112</v>
      </c>
      <c r="S100" s="20">
        <v>66645.320000000007</v>
      </c>
      <c r="T100" s="20">
        <v>13424.33</v>
      </c>
      <c r="U100" s="20">
        <v>9092.57</v>
      </c>
      <c r="V100" s="20">
        <v>433.75</v>
      </c>
      <c r="W100" s="20">
        <v>59714.41</v>
      </c>
      <c r="X100" s="20">
        <v>1763.1</v>
      </c>
      <c r="Y100" s="20">
        <v>1018.48</v>
      </c>
      <c r="Z100" s="20">
        <v>568.55999999999995</v>
      </c>
      <c r="AA100" s="20">
        <v>2196.1</v>
      </c>
      <c r="AB100" s="20">
        <v>293.85000000000002</v>
      </c>
      <c r="AC100" s="20"/>
      <c r="AD100" s="20"/>
      <c r="AE100" s="20">
        <v>28.57</v>
      </c>
      <c r="AF100" s="20"/>
      <c r="AG100" s="20"/>
      <c r="AH100" s="10">
        <f t="shared" si="83"/>
        <v>155179.04000000004</v>
      </c>
      <c r="AI100" s="1093">
        <f t="shared" si="85"/>
        <v>66645.320000000007</v>
      </c>
      <c r="AJ100" s="1093">
        <f t="shared" si="86"/>
        <v>13424.33</v>
      </c>
      <c r="AK100" s="1093">
        <f t="shared" si="87"/>
        <v>9092.57</v>
      </c>
      <c r="AL100" s="1093">
        <f t="shared" si="88"/>
        <v>433.75</v>
      </c>
      <c r="AM100" s="1093">
        <f t="shared" si="89"/>
        <v>59714.41</v>
      </c>
      <c r="AN100" s="1093">
        <f t="shared" si="90"/>
        <v>5868.66</v>
      </c>
      <c r="AO100" s="1087"/>
      <c r="AP100" s="1087"/>
    </row>
    <row r="101" spans="1:42">
      <c r="A101" s="2" t="s">
        <v>26</v>
      </c>
      <c r="B101" s="20">
        <f t="shared" ref="B101:N101" si="115">B31+B66</f>
        <v>0</v>
      </c>
      <c r="C101" s="20">
        <f t="shared" si="115"/>
        <v>0</v>
      </c>
      <c r="D101" s="20">
        <f t="shared" si="115"/>
        <v>0</v>
      </c>
      <c r="E101" s="20">
        <f t="shared" si="115"/>
        <v>0</v>
      </c>
      <c r="F101" s="20">
        <f t="shared" si="115"/>
        <v>0</v>
      </c>
      <c r="G101" s="20">
        <f t="shared" si="115"/>
        <v>0</v>
      </c>
      <c r="H101" s="20">
        <f t="shared" si="115"/>
        <v>0</v>
      </c>
      <c r="I101" s="20">
        <f t="shared" si="115"/>
        <v>0</v>
      </c>
      <c r="J101" s="20">
        <f t="shared" si="115"/>
        <v>0</v>
      </c>
      <c r="K101" s="20">
        <f t="shared" si="115"/>
        <v>0</v>
      </c>
      <c r="L101" s="20">
        <f t="shared" si="115"/>
        <v>0</v>
      </c>
      <c r="M101" s="20">
        <f t="shared" si="115"/>
        <v>0</v>
      </c>
      <c r="N101" s="20">
        <f t="shared" si="115"/>
        <v>0</v>
      </c>
      <c r="O101" s="10">
        <f t="shared" si="82"/>
        <v>0</v>
      </c>
      <c r="P101" s="1087"/>
      <c r="Q101" s="1087"/>
      <c r="R101" s="2" t="s">
        <v>113</v>
      </c>
      <c r="S101" s="20">
        <v>22030.21</v>
      </c>
      <c r="T101" s="20">
        <v>6650.03</v>
      </c>
      <c r="U101" s="20">
        <v>3733.21</v>
      </c>
      <c r="V101" s="20">
        <v>1414.68</v>
      </c>
      <c r="W101" s="20">
        <v>27065.16</v>
      </c>
      <c r="X101" s="20"/>
      <c r="Y101" s="20">
        <v>958.09</v>
      </c>
      <c r="Z101" s="20">
        <v>831.41</v>
      </c>
      <c r="AA101" s="20">
        <v>908.43</v>
      </c>
      <c r="AB101" s="20">
        <v>97.95</v>
      </c>
      <c r="AC101" s="20"/>
      <c r="AD101" s="20"/>
      <c r="AE101" s="20">
        <v>28.57</v>
      </c>
      <c r="AF101" s="20"/>
      <c r="AG101" s="20"/>
      <c r="AH101" s="10">
        <f t="shared" si="83"/>
        <v>63717.739999999991</v>
      </c>
      <c r="AI101" s="1093">
        <f t="shared" si="85"/>
        <v>22030.21</v>
      </c>
      <c r="AJ101" s="1093">
        <f t="shared" si="86"/>
        <v>6650.03</v>
      </c>
      <c r="AK101" s="1093">
        <f t="shared" si="87"/>
        <v>3733.21</v>
      </c>
      <c r="AL101" s="1093">
        <f t="shared" si="88"/>
        <v>1414.68</v>
      </c>
      <c r="AM101" s="1093">
        <f t="shared" si="89"/>
        <v>27065.16</v>
      </c>
      <c r="AN101" s="1093">
        <f t="shared" si="90"/>
        <v>2824.45</v>
      </c>
      <c r="AO101" s="1087"/>
      <c r="AP101" s="1087"/>
    </row>
    <row r="102" spans="1:42">
      <c r="A102" s="7" t="s">
        <v>37</v>
      </c>
      <c r="B102" s="21">
        <f t="shared" ref="B102:O102" si="116">SUM(B75:B101)</f>
        <v>0</v>
      </c>
      <c r="C102" s="21">
        <f t="shared" si="116"/>
        <v>0</v>
      </c>
      <c r="D102" s="21">
        <f t="shared" si="116"/>
        <v>0</v>
      </c>
      <c r="E102" s="21">
        <f t="shared" si="116"/>
        <v>0</v>
      </c>
      <c r="F102" s="21">
        <f t="shared" si="116"/>
        <v>0</v>
      </c>
      <c r="G102" s="21">
        <f t="shared" si="116"/>
        <v>0</v>
      </c>
      <c r="H102" s="21">
        <f t="shared" si="116"/>
        <v>0</v>
      </c>
      <c r="I102" s="21">
        <f t="shared" si="116"/>
        <v>0</v>
      </c>
      <c r="J102" s="21">
        <f t="shared" si="116"/>
        <v>0</v>
      </c>
      <c r="K102" s="21">
        <f t="shared" si="116"/>
        <v>0</v>
      </c>
      <c r="L102" s="21">
        <f t="shared" si="116"/>
        <v>0</v>
      </c>
      <c r="M102" s="21">
        <f t="shared" si="116"/>
        <v>0</v>
      </c>
      <c r="N102" s="21">
        <f t="shared" si="116"/>
        <v>0</v>
      </c>
      <c r="O102" s="6">
        <f t="shared" si="116"/>
        <v>0</v>
      </c>
      <c r="P102" s="91"/>
      <c r="Q102" s="91"/>
      <c r="R102" s="7" t="s">
        <v>37</v>
      </c>
      <c r="S102" s="6">
        <f t="shared" ref="S102:AI102" si="117">SUM(S75:S101)</f>
        <v>11752892.600000001</v>
      </c>
      <c r="T102" s="6">
        <f t="shared" si="117"/>
        <v>2232851.5199999996</v>
      </c>
      <c r="U102" s="6">
        <f t="shared" si="117"/>
        <v>1353434.86</v>
      </c>
      <c r="V102" s="6">
        <f t="shared" si="117"/>
        <v>320293.44</v>
      </c>
      <c r="W102" s="6">
        <f t="shared" si="117"/>
        <v>6095755.0300000012</v>
      </c>
      <c r="X102" s="6">
        <f t="shared" si="117"/>
        <v>96499.93</v>
      </c>
      <c r="Y102" s="6">
        <f t="shared" si="117"/>
        <v>324968.28000000003</v>
      </c>
      <c r="Z102" s="6">
        <f t="shared" si="117"/>
        <v>19142.980000000003</v>
      </c>
      <c r="AA102" s="6">
        <f t="shared" si="117"/>
        <v>345575.94999999995</v>
      </c>
      <c r="AB102" s="6">
        <f t="shared" si="117"/>
        <v>18338.04</v>
      </c>
      <c r="AC102" s="6">
        <f t="shared" si="117"/>
        <v>2338.04</v>
      </c>
      <c r="AD102" s="6">
        <f t="shared" si="117"/>
        <v>1019.5699999999999</v>
      </c>
      <c r="AE102" s="6">
        <f t="shared" si="117"/>
        <v>7769.329999999999</v>
      </c>
      <c r="AF102" s="6">
        <f t="shared" si="117"/>
        <v>531.65</v>
      </c>
      <c r="AG102" s="6">
        <f t="shared" si="117"/>
        <v>4976.8</v>
      </c>
      <c r="AH102" s="6">
        <f t="shared" si="117"/>
        <v>22576388.02</v>
      </c>
      <c r="AI102" s="1093">
        <f t="shared" si="117"/>
        <v>11752892.600000001</v>
      </c>
      <c r="AJ102" s="1093">
        <f t="shared" ref="AJ102" si="118">SUM(AJ75:AJ101)</f>
        <v>2232851.5199999996</v>
      </c>
      <c r="AK102" s="1093">
        <f t="shared" ref="AK102" si="119">SUM(AK75:AK101)</f>
        <v>1353434.86</v>
      </c>
      <c r="AL102" s="1093">
        <f t="shared" ref="AL102" si="120">SUM(AL75:AL101)</f>
        <v>320293.44</v>
      </c>
      <c r="AM102" s="1093">
        <f t="shared" ref="AM102" si="121">SUM(AM75:AM101)</f>
        <v>6095755.0300000012</v>
      </c>
      <c r="AN102" s="1093">
        <f t="shared" ref="AN102" si="122">SUM(AN75:AN101)</f>
        <v>821160.57</v>
      </c>
      <c r="AO102" s="1087"/>
      <c r="AP102" s="1087"/>
    </row>
    <row r="103" spans="1:42">
      <c r="A103" s="1087"/>
      <c r="B103" s="1087"/>
      <c r="C103" s="1087"/>
      <c r="D103" s="1087"/>
      <c r="E103" s="1087"/>
      <c r="F103" s="1087"/>
      <c r="G103" s="1087"/>
      <c r="H103" s="1087"/>
      <c r="I103" s="1087"/>
      <c r="J103" s="1087"/>
      <c r="K103" s="1087"/>
      <c r="L103" s="1087"/>
      <c r="M103" s="1087"/>
      <c r="N103" s="1087"/>
      <c r="O103" s="1087"/>
      <c r="P103" s="1087"/>
      <c r="Q103" s="1087"/>
      <c r="R103" s="1101"/>
      <c r="S103" s="1087"/>
      <c r="T103" s="1087"/>
      <c r="U103" s="1087"/>
      <c r="V103" s="1087"/>
      <c r="W103" s="1087"/>
      <c r="X103" s="1087"/>
      <c r="Y103" s="1087"/>
      <c r="Z103" s="1087"/>
      <c r="AA103" s="1087"/>
      <c r="AB103" s="1087"/>
      <c r="AC103" s="1087"/>
      <c r="AD103" s="1087"/>
      <c r="AE103" s="1087"/>
      <c r="AF103" s="1093"/>
      <c r="AG103" s="1087"/>
      <c r="AH103" s="1093"/>
      <c r="AI103" s="1087"/>
      <c r="AJ103" s="1087"/>
      <c r="AK103" s="1087"/>
      <c r="AL103" s="1087"/>
      <c r="AM103" s="1087"/>
      <c r="AN103" s="1087"/>
    </row>
    <row r="104" spans="1:42">
      <c r="A104" s="1087"/>
      <c r="B104" s="1087"/>
      <c r="C104" s="1087"/>
      <c r="D104" s="1087"/>
      <c r="E104" s="1087"/>
      <c r="F104" s="1087"/>
      <c r="G104" s="1087"/>
      <c r="H104" s="1087"/>
      <c r="I104" s="1087"/>
      <c r="J104" s="1087"/>
      <c r="K104" s="1087"/>
      <c r="L104" s="1087"/>
      <c r="M104" s="1087"/>
      <c r="N104" s="1087"/>
      <c r="O104" s="1093" t="e">
        <f>O102+#REF!+#REF!+#REF!+#REF!</f>
        <v>#REF!</v>
      </c>
      <c r="P104" s="1087"/>
      <c r="Q104" s="1087"/>
      <c r="R104" s="1101"/>
      <c r="S104" s="1087"/>
      <c r="T104" s="1087"/>
      <c r="U104" s="1087"/>
      <c r="V104" s="1087"/>
      <c r="W104" s="1087"/>
      <c r="X104" s="1087"/>
      <c r="Y104" s="1087"/>
      <c r="Z104" s="1087"/>
      <c r="AA104" s="1087"/>
      <c r="AB104" s="1087"/>
      <c r="AC104" s="1087"/>
      <c r="AD104" s="1087"/>
      <c r="AE104" s="1087"/>
      <c r="AF104" s="1087"/>
      <c r="AG104" s="1087"/>
      <c r="AH104" s="1087"/>
      <c r="AI104" s="1087"/>
      <c r="AJ104" s="1087"/>
      <c r="AK104" s="1087"/>
      <c r="AL104" s="1087"/>
      <c r="AM104" s="1087"/>
      <c r="AN104" s="1087"/>
    </row>
    <row r="105" spans="1:42" ht="46.5">
      <c r="A105" s="1087"/>
      <c r="B105" s="1087"/>
      <c r="C105" s="1087"/>
      <c r="D105" s="1087"/>
      <c r="E105" s="1087"/>
      <c r="F105" s="1087"/>
      <c r="G105" s="1087"/>
      <c r="H105" s="1087"/>
      <c r="I105" s="1087"/>
      <c r="J105" s="1087"/>
      <c r="K105" s="1231" t="s">
        <v>48</v>
      </c>
      <c r="L105" s="1231"/>
      <c r="M105" s="1231"/>
      <c r="N105" s="1231"/>
      <c r="O105" s="1231"/>
      <c r="P105" s="1231"/>
      <c r="Q105" s="1231"/>
      <c r="R105" s="1231"/>
      <c r="S105" s="1231"/>
      <c r="T105" s="1231"/>
      <c r="U105" s="1231"/>
      <c r="V105" s="1231"/>
      <c r="W105" s="1231"/>
      <c r="X105" s="1231"/>
      <c r="Y105" s="1231"/>
      <c r="Z105" s="1231"/>
      <c r="AA105" s="1231"/>
      <c r="AB105" s="1087"/>
      <c r="AC105" s="1087"/>
      <c r="AD105" s="1087"/>
      <c r="AE105" s="1087"/>
      <c r="AF105" s="1087"/>
      <c r="AG105" s="1087"/>
      <c r="AH105" s="1087"/>
      <c r="AI105" s="1087"/>
      <c r="AJ105" s="1087"/>
      <c r="AK105" s="1087"/>
      <c r="AL105" s="1087"/>
      <c r="AM105" s="1087"/>
      <c r="AN105" s="1087"/>
    </row>
    <row r="106" spans="1:42" ht="35.1" customHeight="1">
      <c r="A106" s="1087"/>
      <c r="B106" s="1087"/>
      <c r="C106" s="1087"/>
      <c r="D106" s="1087"/>
      <c r="E106" s="1087"/>
      <c r="F106" s="1087"/>
      <c r="G106" s="1087"/>
      <c r="H106" s="1087"/>
      <c r="I106" s="1087"/>
      <c r="J106" s="1087"/>
      <c r="K106" s="1226" t="s">
        <v>33</v>
      </c>
      <c r="L106" s="1228" t="s">
        <v>27</v>
      </c>
      <c r="M106" s="1229"/>
      <c r="N106" s="1228" t="s">
        <v>29</v>
      </c>
      <c r="O106" s="1229"/>
      <c r="P106" s="1226" t="s">
        <v>28</v>
      </c>
      <c r="Q106" s="1226" t="s">
        <v>36</v>
      </c>
      <c r="R106" s="1226" t="s">
        <v>30</v>
      </c>
      <c r="S106" s="1226" t="s">
        <v>31</v>
      </c>
      <c r="T106" s="1226" t="s">
        <v>41</v>
      </c>
      <c r="U106" s="1226" t="s">
        <v>35</v>
      </c>
      <c r="V106" s="1226" t="s">
        <v>40</v>
      </c>
      <c r="W106" s="1226" t="s">
        <v>42</v>
      </c>
      <c r="X106" s="1226" t="s">
        <v>45</v>
      </c>
      <c r="Y106" s="1228" t="s">
        <v>51</v>
      </c>
      <c r="Z106" s="1229"/>
      <c r="AA106" s="1226" t="s">
        <v>34</v>
      </c>
      <c r="AB106" s="1087"/>
      <c r="AC106" s="1087"/>
      <c r="AD106" s="1087"/>
      <c r="AE106" s="1087"/>
      <c r="AF106" s="1087"/>
      <c r="AG106" s="1087"/>
      <c r="AH106" s="1087"/>
      <c r="AI106" s="1087"/>
      <c r="AJ106" s="1087"/>
      <c r="AK106" s="1087"/>
      <c r="AL106" s="1087"/>
      <c r="AM106" s="1087"/>
      <c r="AN106" s="1087"/>
    </row>
    <row r="107" spans="1:42" ht="35.1" customHeight="1">
      <c r="A107" s="1087"/>
      <c r="B107" s="1087"/>
      <c r="C107" s="1087"/>
      <c r="D107" s="1087"/>
      <c r="E107" s="1087"/>
      <c r="F107" s="1087"/>
      <c r="G107" s="1087"/>
      <c r="H107" s="1087"/>
      <c r="I107" s="1087"/>
      <c r="J107" s="1087"/>
      <c r="K107" s="1227"/>
      <c r="L107" s="1091" t="s">
        <v>43</v>
      </c>
      <c r="M107" s="1091" t="s">
        <v>44</v>
      </c>
      <c r="N107" s="1091" t="s">
        <v>43</v>
      </c>
      <c r="O107" s="1091" t="s">
        <v>44</v>
      </c>
      <c r="P107" s="1227"/>
      <c r="Q107" s="1227"/>
      <c r="R107" s="1227"/>
      <c r="S107" s="1227"/>
      <c r="T107" s="1227"/>
      <c r="U107" s="1227"/>
      <c r="V107" s="1227"/>
      <c r="W107" s="1227"/>
      <c r="X107" s="1227"/>
      <c r="Y107" s="1092" t="s">
        <v>52</v>
      </c>
      <c r="Z107" s="1092" t="s">
        <v>53</v>
      </c>
      <c r="AA107" s="1227"/>
      <c r="AB107" s="1087"/>
      <c r="AC107" s="1087"/>
      <c r="AD107" s="1087"/>
      <c r="AE107" s="1087"/>
      <c r="AF107" s="1087"/>
      <c r="AG107" s="1087"/>
      <c r="AH107" s="1087"/>
      <c r="AI107" s="1087"/>
      <c r="AJ107" s="1087"/>
      <c r="AK107" s="1087"/>
      <c r="AL107" s="1087"/>
      <c r="AM107" s="1087"/>
      <c r="AN107" s="1087"/>
    </row>
    <row r="108" spans="1:42">
      <c r="A108" s="1087"/>
      <c r="B108" s="1087"/>
      <c r="C108" s="1087"/>
      <c r="D108" s="1087"/>
      <c r="E108" s="1087"/>
      <c r="F108" s="1087"/>
      <c r="G108" s="1087"/>
      <c r="H108" s="1087"/>
      <c r="I108" s="1087"/>
      <c r="J108" s="1087"/>
      <c r="K108" s="2" t="s">
        <v>0</v>
      </c>
      <c r="L108" s="20">
        <f t="shared" ref="L108:L134" si="123">B75+S75</f>
        <v>18200.62</v>
      </c>
      <c r="M108" s="20">
        <f t="shared" ref="M108:M134" si="124">C75+T75</f>
        <v>4812.99</v>
      </c>
      <c r="N108" s="20">
        <f t="shared" ref="N108:N134" si="125">D75+U75</f>
        <v>3371.32</v>
      </c>
      <c r="O108" s="20">
        <f t="shared" ref="O108:O134" si="126">E75+V75</f>
        <v>525.66</v>
      </c>
      <c r="P108" s="20">
        <f t="shared" ref="P108:P134" si="127">F75+W75</f>
        <v>18569.03</v>
      </c>
      <c r="Q108" s="20">
        <f t="shared" ref="Q108:Q134" si="128">G75+X75</f>
        <v>391.8</v>
      </c>
      <c r="R108" s="20">
        <f t="shared" ref="R108:R134" si="129">H75+Y75</f>
        <v>365.5</v>
      </c>
      <c r="S108" s="20">
        <f t="shared" ref="S108:S134" si="130">I75+Z75</f>
        <v>0</v>
      </c>
      <c r="T108" s="20">
        <f t="shared" ref="T108:T134" si="131">J75+AA75</f>
        <v>925.59</v>
      </c>
      <c r="U108" s="20">
        <f t="shared" ref="U108:U134" si="132">K75+AB75</f>
        <v>388.61</v>
      </c>
      <c r="V108" s="20">
        <f t="shared" ref="V108:V134" si="133">L75+AC75</f>
        <v>0</v>
      </c>
      <c r="W108" s="20">
        <f t="shared" ref="W108:W134" si="134">M75+AD75</f>
        <v>0</v>
      </c>
      <c r="X108" s="20">
        <f t="shared" ref="X108:X134" si="135">N75+AE75</f>
        <v>0</v>
      </c>
      <c r="Y108" s="20">
        <f t="shared" ref="Y108:Y134" si="136">AF75</f>
        <v>0</v>
      </c>
      <c r="Z108" s="20">
        <f t="shared" ref="Z108:Z134" si="137">AG75</f>
        <v>0</v>
      </c>
      <c r="AA108" s="10">
        <f t="shared" ref="AA108:AA134" si="138">SUM(L108:Z108)</f>
        <v>47551.119999999995</v>
      </c>
      <c r="AB108" s="1087"/>
      <c r="AC108" s="1087"/>
      <c r="AD108" s="1087"/>
      <c r="AE108" s="1087"/>
      <c r="AF108" s="1087"/>
      <c r="AG108" s="1087"/>
      <c r="AH108" s="1087"/>
      <c r="AI108" s="1087"/>
      <c r="AJ108" s="1087"/>
      <c r="AK108" s="1087"/>
      <c r="AL108" s="1087"/>
      <c r="AM108" s="1087"/>
      <c r="AN108" s="1087"/>
    </row>
    <row r="109" spans="1:42">
      <c r="A109" s="1087"/>
      <c r="B109" s="1087"/>
      <c r="C109" s="1087"/>
      <c r="D109" s="1087"/>
      <c r="E109" s="1087"/>
      <c r="F109" s="1087"/>
      <c r="G109" s="1087"/>
      <c r="H109" s="1087"/>
      <c r="I109" s="1087"/>
      <c r="J109" s="1087"/>
      <c r="K109" s="2" t="s">
        <v>1</v>
      </c>
      <c r="L109" s="20">
        <f t="shared" si="123"/>
        <v>103273.77</v>
      </c>
      <c r="M109" s="20">
        <f t="shared" si="124"/>
        <v>31408.05</v>
      </c>
      <c r="N109" s="20">
        <f t="shared" si="125"/>
        <v>4742.71</v>
      </c>
      <c r="O109" s="20">
        <f t="shared" si="126"/>
        <v>1414.8</v>
      </c>
      <c r="P109" s="20">
        <f t="shared" si="127"/>
        <v>46917.11</v>
      </c>
      <c r="Q109" s="20">
        <f t="shared" si="128"/>
        <v>1263.78</v>
      </c>
      <c r="R109" s="20">
        <f t="shared" si="129"/>
        <v>4379.18</v>
      </c>
      <c r="S109" s="20">
        <f t="shared" si="130"/>
        <v>552.78</v>
      </c>
      <c r="T109" s="20">
        <f t="shared" si="131"/>
        <v>4334.22</v>
      </c>
      <c r="U109" s="20">
        <f t="shared" si="132"/>
        <v>0</v>
      </c>
      <c r="V109" s="20">
        <f t="shared" si="133"/>
        <v>0</v>
      </c>
      <c r="W109" s="20">
        <f t="shared" si="134"/>
        <v>0</v>
      </c>
      <c r="X109" s="20">
        <f t="shared" si="135"/>
        <v>85.71</v>
      </c>
      <c r="Y109" s="20">
        <f t="shared" si="136"/>
        <v>0</v>
      </c>
      <c r="Z109" s="20">
        <f t="shared" si="137"/>
        <v>0</v>
      </c>
      <c r="AA109" s="10">
        <f t="shared" si="138"/>
        <v>198372.11</v>
      </c>
      <c r="AB109" s="1087"/>
      <c r="AC109" s="1087"/>
      <c r="AD109" s="1087"/>
      <c r="AE109" s="1087"/>
      <c r="AF109" s="1087"/>
      <c r="AG109" s="1087"/>
      <c r="AH109" s="1087"/>
      <c r="AI109" s="1087"/>
      <c r="AJ109" s="1087"/>
      <c r="AK109" s="1087"/>
      <c r="AL109" s="1087"/>
      <c r="AM109" s="1087"/>
      <c r="AN109" s="1087"/>
    </row>
    <row r="110" spans="1:42">
      <c r="A110" s="1087"/>
      <c r="B110" s="1087"/>
      <c r="C110" s="1087"/>
      <c r="D110" s="1087"/>
      <c r="E110" s="1087"/>
      <c r="F110" s="1087"/>
      <c r="G110" s="1087"/>
      <c r="H110" s="1087"/>
      <c r="I110" s="1087"/>
      <c r="J110" s="1087"/>
      <c r="K110" s="2" t="s">
        <v>2</v>
      </c>
      <c r="L110" s="20">
        <f t="shared" si="123"/>
        <v>21174.69</v>
      </c>
      <c r="M110" s="20">
        <f t="shared" si="124"/>
        <v>8091.96</v>
      </c>
      <c r="N110" s="20">
        <f t="shared" si="125"/>
        <v>2990.38</v>
      </c>
      <c r="O110" s="20">
        <f t="shared" si="126"/>
        <v>3800.83</v>
      </c>
      <c r="P110" s="20">
        <f t="shared" si="127"/>
        <v>28312.99</v>
      </c>
      <c r="Q110" s="20">
        <f t="shared" si="128"/>
        <v>1567.2</v>
      </c>
      <c r="R110" s="20">
        <f t="shared" si="129"/>
        <v>1082.71</v>
      </c>
      <c r="S110" s="20">
        <f t="shared" si="130"/>
        <v>0</v>
      </c>
      <c r="T110" s="20">
        <f t="shared" si="131"/>
        <v>1618.69</v>
      </c>
      <c r="U110" s="20">
        <f t="shared" si="132"/>
        <v>195.9</v>
      </c>
      <c r="V110" s="20">
        <f t="shared" si="133"/>
        <v>0</v>
      </c>
      <c r="W110" s="20">
        <f t="shared" si="134"/>
        <v>0</v>
      </c>
      <c r="X110" s="20">
        <f t="shared" si="135"/>
        <v>0</v>
      </c>
      <c r="Y110" s="20">
        <f t="shared" si="136"/>
        <v>0</v>
      </c>
      <c r="Z110" s="20">
        <f t="shared" si="137"/>
        <v>0</v>
      </c>
      <c r="AA110" s="10">
        <f t="shared" si="138"/>
        <v>68835.350000000006</v>
      </c>
      <c r="AB110" s="1087"/>
      <c r="AC110" s="1087"/>
      <c r="AD110" s="1087"/>
      <c r="AE110" s="1087"/>
      <c r="AF110" s="1087"/>
      <c r="AG110" s="1087"/>
      <c r="AH110" s="1087"/>
      <c r="AI110" s="1087"/>
      <c r="AJ110" s="1087"/>
      <c r="AK110" s="1087"/>
      <c r="AL110" s="1087"/>
      <c r="AM110" s="1087"/>
      <c r="AN110" s="1087"/>
    </row>
    <row r="111" spans="1:42">
      <c r="A111" s="1087"/>
      <c r="B111" s="1087"/>
      <c r="C111" s="1087"/>
      <c r="D111" s="1087"/>
      <c r="E111" s="1087"/>
      <c r="F111" s="1087"/>
      <c r="G111" s="1087"/>
      <c r="H111" s="1087"/>
      <c r="I111" s="1087"/>
      <c r="J111" s="1087"/>
      <c r="K111" s="2" t="s">
        <v>3</v>
      </c>
      <c r="L111" s="20">
        <f t="shared" si="123"/>
        <v>70198.87</v>
      </c>
      <c r="M111" s="20">
        <f t="shared" si="124"/>
        <v>25844.32</v>
      </c>
      <c r="N111" s="20">
        <f t="shared" si="125"/>
        <v>8818.7800000000007</v>
      </c>
      <c r="O111" s="20">
        <f t="shared" si="126"/>
        <v>1904.97</v>
      </c>
      <c r="P111" s="20">
        <f t="shared" si="127"/>
        <v>42350.8</v>
      </c>
      <c r="Q111" s="20">
        <f t="shared" si="128"/>
        <v>780.41</v>
      </c>
      <c r="R111" s="20">
        <f t="shared" si="129"/>
        <v>2730.21</v>
      </c>
      <c r="S111" s="20">
        <f t="shared" si="130"/>
        <v>0</v>
      </c>
      <c r="T111" s="20">
        <f t="shared" si="131"/>
        <v>3590</v>
      </c>
      <c r="U111" s="20">
        <f t="shared" si="132"/>
        <v>97.95</v>
      </c>
      <c r="V111" s="20">
        <f t="shared" si="133"/>
        <v>0</v>
      </c>
      <c r="W111" s="20">
        <f t="shared" si="134"/>
        <v>0</v>
      </c>
      <c r="X111" s="20">
        <f t="shared" si="135"/>
        <v>27.64</v>
      </c>
      <c r="Y111" s="20">
        <f t="shared" si="136"/>
        <v>0</v>
      </c>
      <c r="Z111" s="20">
        <f t="shared" si="137"/>
        <v>0</v>
      </c>
      <c r="AA111" s="10">
        <f t="shared" si="138"/>
        <v>156343.95000000001</v>
      </c>
      <c r="AB111" s="1087"/>
      <c r="AC111" s="1087"/>
      <c r="AD111" s="1087"/>
      <c r="AE111" s="1087"/>
      <c r="AF111" s="1087"/>
      <c r="AG111" s="1087"/>
      <c r="AH111" s="1087"/>
      <c r="AI111" s="1087"/>
      <c r="AJ111" s="1087"/>
      <c r="AK111" s="1087"/>
      <c r="AL111" s="1087"/>
      <c r="AM111" s="1087"/>
      <c r="AN111" s="1087"/>
    </row>
    <row r="112" spans="1:42">
      <c r="A112" s="1087"/>
      <c r="B112" s="1087"/>
      <c r="C112" s="1087"/>
      <c r="D112" s="1087"/>
      <c r="E112" s="1087"/>
      <c r="F112" s="1087"/>
      <c r="G112" s="1087"/>
      <c r="H112" s="1087"/>
      <c r="I112" s="1087"/>
      <c r="J112" s="1087"/>
      <c r="K112" s="2" t="s">
        <v>4</v>
      </c>
      <c r="L112" s="20">
        <f t="shared" si="123"/>
        <v>300493.12</v>
      </c>
      <c r="M112" s="20">
        <f t="shared" si="124"/>
        <v>70885.59</v>
      </c>
      <c r="N112" s="20">
        <f t="shared" si="125"/>
        <v>38551.15</v>
      </c>
      <c r="O112" s="20">
        <f t="shared" si="126"/>
        <v>4508.05</v>
      </c>
      <c r="P112" s="20">
        <f t="shared" si="127"/>
        <v>129564.58</v>
      </c>
      <c r="Q112" s="20">
        <f t="shared" si="128"/>
        <v>2742.6</v>
      </c>
      <c r="R112" s="20">
        <f t="shared" si="129"/>
        <v>8024.97</v>
      </c>
      <c r="S112" s="20">
        <f t="shared" si="130"/>
        <v>0</v>
      </c>
      <c r="T112" s="20">
        <f t="shared" si="131"/>
        <v>10611.99</v>
      </c>
      <c r="U112" s="20">
        <f t="shared" si="132"/>
        <v>489.75</v>
      </c>
      <c r="V112" s="20">
        <f t="shared" si="133"/>
        <v>189.52</v>
      </c>
      <c r="W112" s="20">
        <f t="shared" si="134"/>
        <v>0</v>
      </c>
      <c r="X112" s="20">
        <f t="shared" si="135"/>
        <v>227.63</v>
      </c>
      <c r="Y112" s="20">
        <f t="shared" si="136"/>
        <v>0</v>
      </c>
      <c r="Z112" s="20">
        <f t="shared" si="137"/>
        <v>0</v>
      </c>
      <c r="AA112" s="10">
        <f t="shared" si="138"/>
        <v>566288.94999999995</v>
      </c>
      <c r="AB112" s="1087"/>
      <c r="AC112" s="1087"/>
      <c r="AD112" s="1087"/>
      <c r="AE112" s="1087"/>
      <c r="AF112" s="1087"/>
      <c r="AG112" s="1087"/>
      <c r="AH112" s="1087"/>
      <c r="AI112" s="1087"/>
      <c r="AJ112" s="1087"/>
      <c r="AK112" s="1087"/>
      <c r="AL112" s="1087"/>
      <c r="AM112" s="1087"/>
      <c r="AN112" s="1087"/>
    </row>
    <row r="113" spans="1:40">
      <c r="A113" s="1087"/>
      <c r="B113" s="1087"/>
      <c r="C113" s="1087"/>
      <c r="D113" s="1087"/>
      <c r="E113" s="1087"/>
      <c r="F113" s="1087"/>
      <c r="G113" s="1087"/>
      <c r="H113" s="1087"/>
      <c r="I113" s="1087"/>
      <c r="J113" s="1087"/>
      <c r="K113" s="2" t="s">
        <v>5</v>
      </c>
      <c r="L113" s="20">
        <f t="shared" si="123"/>
        <v>234816.28</v>
      </c>
      <c r="M113" s="20">
        <f t="shared" si="124"/>
        <v>28778.9</v>
      </c>
      <c r="N113" s="20">
        <f t="shared" si="125"/>
        <v>24192.06</v>
      </c>
      <c r="O113" s="20">
        <f t="shared" si="126"/>
        <v>1763.26</v>
      </c>
      <c r="P113" s="20">
        <f t="shared" si="127"/>
        <v>93933.11</v>
      </c>
      <c r="Q113" s="20">
        <f t="shared" si="128"/>
        <v>1642.82</v>
      </c>
      <c r="R113" s="20">
        <f t="shared" si="129"/>
        <v>2772.89</v>
      </c>
      <c r="S113" s="20">
        <f t="shared" si="130"/>
        <v>451.92</v>
      </c>
      <c r="T113" s="20">
        <f t="shared" si="131"/>
        <v>4995.8100000000004</v>
      </c>
      <c r="U113" s="20">
        <f t="shared" si="132"/>
        <v>97.95</v>
      </c>
      <c r="V113" s="20">
        <f t="shared" si="133"/>
        <v>0</v>
      </c>
      <c r="W113" s="20">
        <f t="shared" si="134"/>
        <v>0</v>
      </c>
      <c r="X113" s="20">
        <f t="shared" si="135"/>
        <v>85.71</v>
      </c>
      <c r="Y113" s="20">
        <f t="shared" si="136"/>
        <v>0</v>
      </c>
      <c r="Z113" s="20">
        <f t="shared" si="137"/>
        <v>0</v>
      </c>
      <c r="AA113" s="10">
        <f t="shared" si="138"/>
        <v>393530.71</v>
      </c>
      <c r="AB113" s="1087"/>
      <c r="AC113" s="1087"/>
      <c r="AD113" s="1087"/>
      <c r="AE113" s="1087"/>
      <c r="AF113" s="1087"/>
      <c r="AG113" s="1087"/>
      <c r="AH113" s="1087"/>
      <c r="AI113" s="1087"/>
      <c r="AJ113" s="1087"/>
      <c r="AK113" s="1087"/>
      <c r="AL113" s="1087"/>
      <c r="AM113" s="1087"/>
      <c r="AN113" s="1087"/>
    </row>
    <row r="114" spans="1:40">
      <c r="A114" s="1087"/>
      <c r="B114" s="1087"/>
      <c r="C114" s="1087"/>
      <c r="D114" s="1087"/>
      <c r="E114" s="1087"/>
      <c r="F114" s="1087"/>
      <c r="G114" s="1087"/>
      <c r="H114" s="1087"/>
      <c r="I114" s="1087"/>
      <c r="J114" s="1087"/>
      <c r="K114" s="2" t="s">
        <v>6</v>
      </c>
      <c r="L114" s="20">
        <f t="shared" si="123"/>
        <v>320551.25</v>
      </c>
      <c r="M114" s="20">
        <f t="shared" si="124"/>
        <v>74064.03</v>
      </c>
      <c r="N114" s="20">
        <f t="shared" si="125"/>
        <v>21685.040000000001</v>
      </c>
      <c r="O114" s="20">
        <f t="shared" si="126"/>
        <v>9273.9699999999993</v>
      </c>
      <c r="P114" s="20">
        <f t="shared" si="127"/>
        <v>120141.3</v>
      </c>
      <c r="Q114" s="20">
        <f t="shared" si="128"/>
        <v>4104.33</v>
      </c>
      <c r="R114" s="20">
        <f t="shared" si="129"/>
        <v>11146.87</v>
      </c>
      <c r="S114" s="20">
        <f t="shared" si="130"/>
        <v>0</v>
      </c>
      <c r="T114" s="20">
        <f t="shared" si="131"/>
        <v>12215.59</v>
      </c>
      <c r="U114" s="20">
        <f t="shared" si="132"/>
        <v>94.76</v>
      </c>
      <c r="V114" s="20">
        <f t="shared" si="133"/>
        <v>195.9</v>
      </c>
      <c r="W114" s="20">
        <f t="shared" si="134"/>
        <v>0</v>
      </c>
      <c r="X114" s="20">
        <f t="shared" si="135"/>
        <v>396.26</v>
      </c>
      <c r="Y114" s="20">
        <f t="shared" si="136"/>
        <v>0</v>
      </c>
      <c r="Z114" s="20">
        <f t="shared" si="137"/>
        <v>0</v>
      </c>
      <c r="AA114" s="10">
        <f t="shared" si="138"/>
        <v>573869.29999999993</v>
      </c>
      <c r="AB114" s="1087"/>
      <c r="AC114" s="1087"/>
      <c r="AD114" s="1087"/>
      <c r="AE114" s="1087"/>
      <c r="AF114" s="1087"/>
      <c r="AG114" s="1087"/>
      <c r="AH114" s="1087"/>
      <c r="AI114" s="1087"/>
      <c r="AJ114" s="1087"/>
      <c r="AK114" s="1087"/>
      <c r="AL114" s="1087"/>
      <c r="AM114" s="1087"/>
      <c r="AN114" s="1087"/>
    </row>
    <row r="115" spans="1:40">
      <c r="A115" s="1087"/>
      <c r="B115" s="1087"/>
      <c r="C115" s="1087"/>
      <c r="D115" s="1087"/>
      <c r="E115" s="1087"/>
      <c r="F115" s="1087"/>
      <c r="G115" s="1087"/>
      <c r="H115" s="1087"/>
      <c r="I115" s="1087"/>
      <c r="J115" s="1087"/>
      <c r="K115" s="2" t="s">
        <v>7</v>
      </c>
      <c r="L115" s="20">
        <f t="shared" si="123"/>
        <v>245379.16</v>
      </c>
      <c r="M115" s="20">
        <f t="shared" si="124"/>
        <v>32603.57</v>
      </c>
      <c r="N115" s="20">
        <f t="shared" si="125"/>
        <v>21063.63</v>
      </c>
      <c r="O115" s="20">
        <f t="shared" si="126"/>
        <v>4209.8999999999996</v>
      </c>
      <c r="P115" s="20">
        <f t="shared" si="127"/>
        <v>99499.37</v>
      </c>
      <c r="Q115" s="20">
        <f t="shared" si="128"/>
        <v>5083.83</v>
      </c>
      <c r="R115" s="20">
        <f t="shared" si="129"/>
        <v>4609.03</v>
      </c>
      <c r="S115" s="20">
        <f t="shared" si="130"/>
        <v>1712.73</v>
      </c>
      <c r="T115" s="20">
        <f t="shared" si="131"/>
        <v>3989.74</v>
      </c>
      <c r="U115" s="20">
        <f t="shared" si="132"/>
        <v>385.42</v>
      </c>
      <c r="V115" s="20">
        <f t="shared" si="133"/>
        <v>0</v>
      </c>
      <c r="W115" s="20">
        <f t="shared" si="134"/>
        <v>0</v>
      </c>
      <c r="X115" s="20">
        <f t="shared" si="135"/>
        <v>85.71</v>
      </c>
      <c r="Y115" s="20">
        <f t="shared" si="136"/>
        <v>0</v>
      </c>
      <c r="Z115" s="20">
        <f t="shared" si="137"/>
        <v>0</v>
      </c>
      <c r="AA115" s="10">
        <f t="shared" si="138"/>
        <v>418622.09</v>
      </c>
      <c r="AB115" s="1087"/>
      <c r="AC115" s="1087"/>
      <c r="AD115" s="1087"/>
      <c r="AE115" s="1087"/>
      <c r="AF115" s="1087"/>
      <c r="AG115" s="1087"/>
      <c r="AH115" s="1087"/>
      <c r="AI115" s="1087"/>
      <c r="AJ115" s="1087"/>
      <c r="AK115" s="1087"/>
      <c r="AL115" s="1087"/>
      <c r="AM115" s="1087"/>
      <c r="AN115" s="1087"/>
    </row>
    <row r="116" spans="1:40">
      <c r="A116" s="1087"/>
      <c r="B116" s="1087"/>
      <c r="C116" s="1087"/>
      <c r="D116" s="1087"/>
      <c r="E116" s="1087"/>
      <c r="F116" s="1087"/>
      <c r="G116" s="1087"/>
      <c r="H116" s="1087"/>
      <c r="I116" s="1087"/>
      <c r="J116" s="1087"/>
      <c r="K116" s="2" t="s">
        <v>8</v>
      </c>
      <c r="L116" s="20">
        <f t="shared" si="123"/>
        <v>204749.96</v>
      </c>
      <c r="M116" s="20">
        <f t="shared" si="124"/>
        <v>41165.14</v>
      </c>
      <c r="N116" s="20">
        <f t="shared" si="125"/>
        <v>17442.310000000001</v>
      </c>
      <c r="O116" s="20">
        <f t="shared" si="126"/>
        <v>6187.43</v>
      </c>
      <c r="P116" s="20">
        <f t="shared" si="127"/>
        <v>195239.3</v>
      </c>
      <c r="Q116" s="20">
        <f t="shared" si="128"/>
        <v>3026.88</v>
      </c>
      <c r="R116" s="20">
        <f t="shared" si="129"/>
        <v>5392.21</v>
      </c>
      <c r="S116" s="20">
        <f t="shared" si="130"/>
        <v>1872.26</v>
      </c>
      <c r="T116" s="20">
        <f t="shared" si="131"/>
        <v>6552.43</v>
      </c>
      <c r="U116" s="20">
        <f t="shared" si="132"/>
        <v>195.9</v>
      </c>
      <c r="V116" s="20">
        <f t="shared" si="133"/>
        <v>195.9</v>
      </c>
      <c r="W116" s="20">
        <f t="shared" si="134"/>
        <v>0</v>
      </c>
      <c r="X116" s="20">
        <f t="shared" si="135"/>
        <v>141.91999999999999</v>
      </c>
      <c r="Y116" s="20">
        <f t="shared" si="136"/>
        <v>0</v>
      </c>
      <c r="Z116" s="20">
        <f t="shared" si="137"/>
        <v>0</v>
      </c>
      <c r="AA116" s="10">
        <f t="shared" si="138"/>
        <v>482161.64</v>
      </c>
      <c r="AB116" s="1087"/>
      <c r="AC116" s="1087"/>
      <c r="AD116" s="1087"/>
      <c r="AE116" s="1087"/>
      <c r="AF116" s="1087"/>
      <c r="AG116" s="1087"/>
      <c r="AH116" s="1087"/>
      <c r="AI116" s="1087"/>
      <c r="AJ116" s="1087"/>
      <c r="AK116" s="1087"/>
      <c r="AL116" s="1087"/>
      <c r="AM116" s="1087"/>
      <c r="AN116" s="1087"/>
    </row>
    <row r="117" spans="1:40">
      <c r="A117" s="1087"/>
      <c r="B117" s="1087"/>
      <c r="C117" s="1087"/>
      <c r="D117" s="1087"/>
      <c r="E117" s="1087"/>
      <c r="F117" s="1087"/>
      <c r="G117" s="1087"/>
      <c r="H117" s="1087"/>
      <c r="I117" s="1087"/>
      <c r="J117" s="1087"/>
      <c r="K117" s="2" t="s">
        <v>9</v>
      </c>
      <c r="L117" s="20">
        <f t="shared" si="123"/>
        <v>82824.28</v>
      </c>
      <c r="M117" s="20">
        <f t="shared" si="124"/>
        <v>22378.58</v>
      </c>
      <c r="N117" s="20">
        <f t="shared" si="125"/>
        <v>7714.05</v>
      </c>
      <c r="O117" s="20">
        <f t="shared" si="126"/>
        <v>620.23</v>
      </c>
      <c r="P117" s="20">
        <f t="shared" si="127"/>
        <v>35713.47</v>
      </c>
      <c r="Q117" s="20">
        <f t="shared" si="128"/>
        <v>685.65</v>
      </c>
      <c r="R117" s="20">
        <f t="shared" si="129"/>
        <v>2598.75</v>
      </c>
      <c r="S117" s="20">
        <f t="shared" si="130"/>
        <v>0</v>
      </c>
      <c r="T117" s="20">
        <f t="shared" si="131"/>
        <v>3156.48</v>
      </c>
      <c r="U117" s="20">
        <f t="shared" si="132"/>
        <v>97.95</v>
      </c>
      <c r="V117" s="20">
        <f t="shared" si="133"/>
        <v>0</v>
      </c>
      <c r="W117" s="20">
        <f t="shared" si="134"/>
        <v>0</v>
      </c>
      <c r="X117" s="20">
        <f t="shared" si="135"/>
        <v>56.21</v>
      </c>
      <c r="Y117" s="20">
        <f t="shared" si="136"/>
        <v>0</v>
      </c>
      <c r="Z117" s="20">
        <f t="shared" si="137"/>
        <v>0</v>
      </c>
      <c r="AA117" s="10">
        <f t="shared" si="138"/>
        <v>155845.65</v>
      </c>
      <c r="AB117" s="1087"/>
      <c r="AC117" s="1087"/>
      <c r="AD117" s="1087"/>
      <c r="AE117" s="1087"/>
      <c r="AF117" s="1087"/>
      <c r="AG117" s="1087"/>
      <c r="AH117" s="1087"/>
      <c r="AI117" s="1087"/>
      <c r="AJ117" s="1087"/>
      <c r="AK117" s="1087"/>
      <c r="AL117" s="1087"/>
      <c r="AM117" s="1087"/>
      <c r="AN117" s="1087"/>
    </row>
    <row r="118" spans="1:40">
      <c r="A118" s="1087"/>
      <c r="B118" s="1087"/>
      <c r="C118" s="1087"/>
      <c r="D118" s="1087"/>
      <c r="E118" s="1087"/>
      <c r="F118" s="1087"/>
      <c r="G118" s="1087"/>
      <c r="H118" s="1087"/>
      <c r="I118" s="1087"/>
      <c r="J118" s="1087"/>
      <c r="K118" s="2" t="s">
        <v>10</v>
      </c>
      <c r="L118" s="20">
        <f t="shared" si="123"/>
        <v>140629.48000000001</v>
      </c>
      <c r="M118" s="20">
        <f t="shared" si="124"/>
        <v>18644.47</v>
      </c>
      <c r="N118" s="20">
        <f t="shared" si="125"/>
        <v>17462.93</v>
      </c>
      <c r="O118" s="20">
        <f t="shared" si="126"/>
        <v>6718.97</v>
      </c>
      <c r="P118" s="20">
        <f t="shared" si="127"/>
        <v>171040.21</v>
      </c>
      <c r="Q118" s="20">
        <f t="shared" si="128"/>
        <v>783.6</v>
      </c>
      <c r="R118" s="20">
        <f t="shared" si="129"/>
        <v>1867.24</v>
      </c>
      <c r="S118" s="20">
        <f t="shared" si="130"/>
        <v>0</v>
      </c>
      <c r="T118" s="20">
        <f t="shared" si="131"/>
        <v>3850.02</v>
      </c>
      <c r="U118" s="20">
        <f t="shared" si="132"/>
        <v>293.85000000000002</v>
      </c>
      <c r="V118" s="20">
        <f t="shared" si="133"/>
        <v>0</v>
      </c>
      <c r="W118" s="20">
        <f t="shared" si="134"/>
        <v>0</v>
      </c>
      <c r="X118" s="20">
        <f t="shared" si="135"/>
        <v>85.71</v>
      </c>
      <c r="Y118" s="20">
        <f t="shared" si="136"/>
        <v>0</v>
      </c>
      <c r="Z118" s="20">
        <f t="shared" si="137"/>
        <v>0</v>
      </c>
      <c r="AA118" s="10">
        <f t="shared" si="138"/>
        <v>361376.48</v>
      </c>
      <c r="AB118" s="1087"/>
      <c r="AC118" s="1087"/>
      <c r="AD118" s="1087"/>
      <c r="AE118" s="1087"/>
      <c r="AF118" s="1087"/>
      <c r="AG118" s="1087"/>
      <c r="AH118" s="1087"/>
      <c r="AI118" s="1087"/>
      <c r="AJ118" s="1087"/>
      <c r="AK118" s="1087"/>
      <c r="AL118" s="1087"/>
      <c r="AM118" s="1087"/>
      <c r="AN118" s="1087"/>
    </row>
    <row r="119" spans="1:40">
      <c r="A119" s="1087"/>
      <c r="B119" s="1087"/>
      <c r="C119" s="1087"/>
      <c r="D119" s="1087"/>
      <c r="E119" s="1087"/>
      <c r="F119" s="1087"/>
      <c r="G119" s="1087"/>
      <c r="H119" s="1087"/>
      <c r="I119" s="1087"/>
      <c r="J119" s="1087"/>
      <c r="K119" s="2" t="s">
        <v>11</v>
      </c>
      <c r="L119" s="20">
        <f t="shared" si="123"/>
        <v>177127.8</v>
      </c>
      <c r="M119" s="20">
        <f t="shared" si="124"/>
        <v>31112.66</v>
      </c>
      <c r="N119" s="20">
        <f t="shared" si="125"/>
        <v>27089.62</v>
      </c>
      <c r="O119" s="20">
        <f t="shared" si="126"/>
        <v>5119.01</v>
      </c>
      <c r="P119" s="20">
        <f t="shared" si="127"/>
        <v>121106.73</v>
      </c>
      <c r="Q119" s="20">
        <f t="shared" si="128"/>
        <v>1077.45</v>
      </c>
      <c r="R119" s="20">
        <f t="shared" si="129"/>
        <v>3938.92</v>
      </c>
      <c r="S119" s="20">
        <f t="shared" si="130"/>
        <v>1996.87</v>
      </c>
      <c r="T119" s="20">
        <f t="shared" si="131"/>
        <v>5781.64</v>
      </c>
      <c r="U119" s="20">
        <f t="shared" si="132"/>
        <v>290.66000000000003</v>
      </c>
      <c r="V119" s="20">
        <f t="shared" si="133"/>
        <v>0</v>
      </c>
      <c r="W119" s="20">
        <f t="shared" si="134"/>
        <v>460.65</v>
      </c>
      <c r="X119" s="20">
        <f t="shared" si="135"/>
        <v>140.06</v>
      </c>
      <c r="Y119" s="20">
        <f t="shared" si="136"/>
        <v>38.229999999999997</v>
      </c>
      <c r="Z119" s="20">
        <f t="shared" si="137"/>
        <v>0</v>
      </c>
      <c r="AA119" s="10">
        <f t="shared" si="138"/>
        <v>375280.3</v>
      </c>
      <c r="AB119" s="1087"/>
      <c r="AC119" s="1087"/>
      <c r="AD119" s="1087"/>
      <c r="AE119" s="1087"/>
      <c r="AF119" s="1087"/>
      <c r="AG119" s="1087"/>
      <c r="AH119" s="1087"/>
      <c r="AI119" s="1087"/>
      <c r="AJ119" s="1087"/>
      <c r="AK119" s="1087"/>
      <c r="AL119" s="1087"/>
      <c r="AM119" s="1087"/>
      <c r="AN119" s="1087"/>
    </row>
    <row r="120" spans="1:40">
      <c r="A120" s="1087"/>
      <c r="B120" s="1087"/>
      <c r="C120" s="1087"/>
      <c r="D120" s="1087"/>
      <c r="E120" s="1087"/>
      <c r="F120" s="1087"/>
      <c r="G120" s="1087"/>
      <c r="H120" s="1087"/>
      <c r="I120" s="1087"/>
      <c r="J120" s="1087"/>
      <c r="K120" s="2" t="s">
        <v>12</v>
      </c>
      <c r="L120" s="20">
        <f t="shared" si="123"/>
        <v>1037076.97</v>
      </c>
      <c r="M120" s="20">
        <f t="shared" si="124"/>
        <v>231394.32</v>
      </c>
      <c r="N120" s="20">
        <f t="shared" si="125"/>
        <v>105568.12</v>
      </c>
      <c r="O120" s="20">
        <f t="shared" si="126"/>
        <v>34102.79</v>
      </c>
      <c r="P120" s="20">
        <f t="shared" si="127"/>
        <v>406479.17</v>
      </c>
      <c r="Q120" s="20">
        <f t="shared" si="128"/>
        <v>4012.76</v>
      </c>
      <c r="R120" s="20">
        <f t="shared" si="129"/>
        <v>33758.589999999997</v>
      </c>
      <c r="S120" s="20">
        <f t="shared" si="130"/>
        <v>0</v>
      </c>
      <c r="T120" s="20">
        <f t="shared" si="131"/>
        <v>34786.800000000003</v>
      </c>
      <c r="U120" s="20">
        <f t="shared" si="132"/>
        <v>2435.9899999999998</v>
      </c>
      <c r="V120" s="20">
        <f t="shared" si="133"/>
        <v>195.9</v>
      </c>
      <c r="W120" s="20">
        <f t="shared" si="134"/>
        <v>0</v>
      </c>
      <c r="X120" s="20">
        <f t="shared" si="135"/>
        <v>587.88</v>
      </c>
      <c r="Y120" s="20">
        <f t="shared" si="136"/>
        <v>0</v>
      </c>
      <c r="Z120" s="20">
        <f t="shared" si="137"/>
        <v>0</v>
      </c>
      <c r="AA120" s="10">
        <f t="shared" si="138"/>
        <v>1890399.29</v>
      </c>
      <c r="AB120" s="1087"/>
      <c r="AC120" s="1087"/>
      <c r="AD120" s="1087"/>
      <c r="AE120" s="1087"/>
      <c r="AF120" s="1087"/>
      <c r="AG120" s="1087"/>
      <c r="AH120" s="1087"/>
      <c r="AI120" s="1087"/>
      <c r="AJ120" s="1087"/>
      <c r="AK120" s="1087"/>
      <c r="AL120" s="1087"/>
      <c r="AM120" s="1087"/>
      <c r="AN120" s="1087"/>
    </row>
    <row r="121" spans="1:40">
      <c r="A121" s="1087"/>
      <c r="B121" s="1087"/>
      <c r="C121" s="1087"/>
      <c r="D121" s="1087"/>
      <c r="E121" s="1087"/>
      <c r="F121" s="1087"/>
      <c r="G121" s="1087"/>
      <c r="H121" s="1087"/>
      <c r="I121" s="1087"/>
      <c r="J121" s="1087"/>
      <c r="K121" s="2" t="s">
        <v>15</v>
      </c>
      <c r="L121" s="20">
        <f t="shared" si="123"/>
        <v>105869.54</v>
      </c>
      <c r="M121" s="20">
        <f t="shared" si="124"/>
        <v>41330.31</v>
      </c>
      <c r="N121" s="20">
        <f t="shared" si="125"/>
        <v>9171.1299999999992</v>
      </c>
      <c r="O121" s="20">
        <f t="shared" si="126"/>
        <v>1163.95</v>
      </c>
      <c r="P121" s="20">
        <f t="shared" si="127"/>
        <v>53024.160000000003</v>
      </c>
      <c r="Q121" s="20">
        <f t="shared" si="128"/>
        <v>4571.75</v>
      </c>
      <c r="R121" s="20">
        <f t="shared" si="129"/>
        <v>5950.07</v>
      </c>
      <c r="S121" s="20">
        <f t="shared" si="130"/>
        <v>0</v>
      </c>
      <c r="T121" s="20">
        <f t="shared" si="131"/>
        <v>5781.4</v>
      </c>
      <c r="U121" s="20">
        <f t="shared" si="132"/>
        <v>780.41</v>
      </c>
      <c r="V121" s="20">
        <f t="shared" si="133"/>
        <v>0</v>
      </c>
      <c r="W121" s="20">
        <f t="shared" si="134"/>
        <v>0</v>
      </c>
      <c r="X121" s="20">
        <f t="shared" si="135"/>
        <v>114.28</v>
      </c>
      <c r="Y121" s="20">
        <f t="shared" si="136"/>
        <v>0</v>
      </c>
      <c r="Z121" s="20">
        <f t="shared" si="137"/>
        <v>0</v>
      </c>
      <c r="AA121" s="10">
        <f t="shared" si="138"/>
        <v>227757</v>
      </c>
      <c r="AB121" s="1087"/>
      <c r="AC121" s="1087"/>
      <c r="AD121" s="1087"/>
      <c r="AE121" s="1087"/>
      <c r="AF121" s="1087"/>
      <c r="AG121" s="1087"/>
      <c r="AH121" s="1087"/>
      <c r="AI121" s="1087"/>
      <c r="AJ121" s="1087"/>
      <c r="AK121" s="1087"/>
      <c r="AL121" s="1087"/>
      <c r="AM121" s="1087"/>
      <c r="AN121" s="1087"/>
    </row>
    <row r="122" spans="1:40">
      <c r="A122" s="1087"/>
      <c r="B122" s="1087"/>
      <c r="C122" s="1087"/>
      <c r="D122" s="1087"/>
      <c r="E122" s="1087"/>
      <c r="F122" s="1087"/>
      <c r="G122" s="1087"/>
      <c r="H122" s="1087"/>
      <c r="I122" s="1087"/>
      <c r="J122" s="1087"/>
      <c r="K122" s="2" t="s">
        <v>14</v>
      </c>
      <c r="L122" s="20">
        <f t="shared" si="123"/>
        <v>117095.32</v>
      </c>
      <c r="M122" s="20">
        <f t="shared" si="124"/>
        <v>43659.07</v>
      </c>
      <c r="N122" s="20">
        <f t="shared" si="125"/>
        <v>7971.18</v>
      </c>
      <c r="O122" s="20">
        <f t="shared" si="126"/>
        <v>3807.21</v>
      </c>
      <c r="P122" s="20">
        <f t="shared" si="127"/>
        <v>72522.59</v>
      </c>
      <c r="Q122" s="20">
        <f t="shared" si="128"/>
        <v>774.03</v>
      </c>
      <c r="R122" s="20">
        <f t="shared" si="129"/>
        <v>5383.1</v>
      </c>
      <c r="S122" s="20">
        <f t="shared" si="130"/>
        <v>0</v>
      </c>
      <c r="T122" s="20">
        <f t="shared" si="131"/>
        <v>5684.86</v>
      </c>
      <c r="U122" s="20">
        <f t="shared" si="132"/>
        <v>0</v>
      </c>
      <c r="V122" s="20">
        <f t="shared" si="133"/>
        <v>0</v>
      </c>
      <c r="W122" s="20">
        <f t="shared" si="134"/>
        <v>0</v>
      </c>
      <c r="X122" s="20">
        <f t="shared" si="135"/>
        <v>114.28</v>
      </c>
      <c r="Y122" s="20">
        <f t="shared" si="136"/>
        <v>0</v>
      </c>
      <c r="Z122" s="20">
        <f t="shared" si="137"/>
        <v>0</v>
      </c>
      <c r="AA122" s="10">
        <f t="shared" si="138"/>
        <v>257011.63999999998</v>
      </c>
      <c r="AB122" s="1087"/>
      <c r="AC122" s="1087"/>
      <c r="AD122" s="1087"/>
      <c r="AE122" s="1087"/>
      <c r="AF122" s="1087"/>
      <c r="AG122" s="1087"/>
      <c r="AH122" s="1087"/>
      <c r="AI122" s="1087"/>
      <c r="AJ122" s="1087"/>
      <c r="AK122" s="1087"/>
      <c r="AL122" s="1087"/>
      <c r="AM122" s="1087"/>
      <c r="AN122" s="1087"/>
    </row>
    <row r="123" spans="1:40">
      <c r="A123" s="1087"/>
      <c r="B123" s="1087"/>
      <c r="C123" s="1087"/>
      <c r="D123" s="1087"/>
      <c r="E123" s="1087"/>
      <c r="F123" s="1087"/>
      <c r="G123" s="1087"/>
      <c r="H123" s="1087"/>
      <c r="I123" s="1087"/>
      <c r="J123" s="1087"/>
      <c r="K123" s="2" t="s">
        <v>13</v>
      </c>
      <c r="L123" s="20">
        <f t="shared" si="123"/>
        <v>828063.3</v>
      </c>
      <c r="M123" s="20">
        <f t="shared" si="124"/>
        <v>204750.72</v>
      </c>
      <c r="N123" s="20">
        <f t="shared" si="125"/>
        <v>133286.20000000001</v>
      </c>
      <c r="O123" s="20">
        <f t="shared" si="126"/>
        <v>55376.88</v>
      </c>
      <c r="P123" s="20">
        <f t="shared" si="127"/>
        <v>464851.93</v>
      </c>
      <c r="Q123" s="20">
        <f t="shared" si="128"/>
        <v>8805.93</v>
      </c>
      <c r="R123" s="20">
        <f t="shared" si="129"/>
        <v>30683.72</v>
      </c>
      <c r="S123" s="20">
        <f t="shared" si="130"/>
        <v>0</v>
      </c>
      <c r="T123" s="20">
        <f t="shared" si="131"/>
        <v>35254.47</v>
      </c>
      <c r="U123" s="20">
        <f t="shared" si="132"/>
        <v>2322.09</v>
      </c>
      <c r="V123" s="20">
        <f t="shared" si="133"/>
        <v>0</v>
      </c>
      <c r="W123" s="20">
        <f t="shared" si="134"/>
        <v>0</v>
      </c>
      <c r="X123" s="20">
        <f t="shared" si="135"/>
        <v>423.9</v>
      </c>
      <c r="Y123" s="20">
        <f t="shared" si="136"/>
        <v>0</v>
      </c>
      <c r="Z123" s="20">
        <f t="shared" si="137"/>
        <v>0</v>
      </c>
      <c r="AA123" s="10">
        <f t="shared" si="138"/>
        <v>1763819.1399999997</v>
      </c>
      <c r="AB123" s="1087"/>
      <c r="AC123" s="1087"/>
      <c r="AD123" s="1087"/>
      <c r="AE123" s="1087"/>
      <c r="AF123" s="1087"/>
      <c r="AG123" s="1087"/>
      <c r="AH123" s="1087"/>
      <c r="AI123" s="1087"/>
      <c r="AJ123" s="1087"/>
      <c r="AK123" s="1087"/>
      <c r="AL123" s="1087"/>
      <c r="AM123" s="1087"/>
      <c r="AN123" s="1087"/>
    </row>
    <row r="124" spans="1:40">
      <c r="A124" s="1087"/>
      <c r="B124" s="1087"/>
      <c r="C124" s="1087"/>
      <c r="D124" s="1087"/>
      <c r="E124" s="1087"/>
      <c r="F124" s="1087"/>
      <c r="G124" s="1087"/>
      <c r="H124" s="1087"/>
      <c r="I124" s="1087"/>
      <c r="J124" s="1087"/>
      <c r="K124" s="2" t="s">
        <v>16</v>
      </c>
      <c r="L124" s="20">
        <f t="shared" si="123"/>
        <v>254103.49</v>
      </c>
      <c r="M124" s="20">
        <f t="shared" si="124"/>
        <v>83692.210000000006</v>
      </c>
      <c r="N124" s="20">
        <f t="shared" si="125"/>
        <v>27727.71</v>
      </c>
      <c r="O124" s="20">
        <f t="shared" si="126"/>
        <v>6581.37</v>
      </c>
      <c r="P124" s="20">
        <f t="shared" si="127"/>
        <v>130138.58</v>
      </c>
      <c r="Q124" s="20">
        <f t="shared" si="128"/>
        <v>2644.65</v>
      </c>
      <c r="R124" s="20">
        <f t="shared" si="129"/>
        <v>11238.91</v>
      </c>
      <c r="S124" s="20">
        <f t="shared" si="130"/>
        <v>568.55999999999995</v>
      </c>
      <c r="T124" s="20">
        <f t="shared" si="131"/>
        <v>14042.92</v>
      </c>
      <c r="U124" s="20">
        <f t="shared" si="132"/>
        <v>0</v>
      </c>
      <c r="V124" s="20">
        <f t="shared" si="133"/>
        <v>0</v>
      </c>
      <c r="W124" s="20">
        <f t="shared" si="134"/>
        <v>0</v>
      </c>
      <c r="X124" s="20">
        <f t="shared" si="135"/>
        <v>113.35</v>
      </c>
      <c r="Y124" s="20">
        <f t="shared" si="136"/>
        <v>0</v>
      </c>
      <c r="Z124" s="20">
        <f t="shared" si="137"/>
        <v>0</v>
      </c>
      <c r="AA124" s="10">
        <f t="shared" si="138"/>
        <v>530851.75</v>
      </c>
      <c r="AB124" s="1087"/>
      <c r="AC124" s="1087"/>
      <c r="AD124" s="1087"/>
      <c r="AE124" s="1087"/>
      <c r="AF124" s="1087"/>
      <c r="AG124" s="1087"/>
      <c r="AH124" s="1087"/>
      <c r="AI124" s="1087"/>
      <c r="AJ124" s="1087"/>
      <c r="AK124" s="1087"/>
      <c r="AL124" s="1087"/>
      <c r="AM124" s="1087"/>
      <c r="AN124" s="1087"/>
    </row>
    <row r="125" spans="1:40">
      <c r="A125" s="1087"/>
      <c r="B125" s="1087"/>
      <c r="C125" s="1087"/>
      <c r="D125" s="1087"/>
      <c r="E125" s="1087"/>
      <c r="F125" s="1087"/>
      <c r="G125" s="1087"/>
      <c r="H125" s="1087"/>
      <c r="I125" s="1087"/>
      <c r="J125" s="1087"/>
      <c r="K125" s="2" t="s">
        <v>17</v>
      </c>
      <c r="L125" s="20">
        <f t="shared" si="123"/>
        <v>80769.94</v>
      </c>
      <c r="M125" s="20">
        <f t="shared" si="124"/>
        <v>14655.02</v>
      </c>
      <c r="N125" s="20">
        <f t="shared" si="125"/>
        <v>10556.81</v>
      </c>
      <c r="O125" s="20">
        <f t="shared" si="126"/>
        <v>4065.94</v>
      </c>
      <c r="P125" s="20">
        <f t="shared" si="127"/>
        <v>38166.31</v>
      </c>
      <c r="Q125" s="20">
        <f t="shared" si="128"/>
        <v>971.85</v>
      </c>
      <c r="R125" s="20">
        <f t="shared" si="129"/>
        <v>1819.14</v>
      </c>
      <c r="S125" s="20">
        <f t="shared" si="130"/>
        <v>0</v>
      </c>
      <c r="T125" s="20">
        <f t="shared" si="131"/>
        <v>2179.96</v>
      </c>
      <c r="U125" s="20">
        <f t="shared" si="132"/>
        <v>0</v>
      </c>
      <c r="V125" s="20">
        <f t="shared" si="133"/>
        <v>195.9</v>
      </c>
      <c r="W125" s="20">
        <f t="shared" si="134"/>
        <v>0</v>
      </c>
      <c r="X125" s="20">
        <f t="shared" si="135"/>
        <v>56.21</v>
      </c>
      <c r="Y125" s="20">
        <f t="shared" si="136"/>
        <v>0</v>
      </c>
      <c r="Z125" s="20">
        <f t="shared" si="137"/>
        <v>0</v>
      </c>
      <c r="AA125" s="10">
        <f t="shared" si="138"/>
        <v>153437.08000000002</v>
      </c>
      <c r="AB125" s="1087"/>
      <c r="AC125" s="1087"/>
      <c r="AD125" s="1087"/>
      <c r="AE125" s="1087"/>
      <c r="AF125" s="1087"/>
      <c r="AG125" s="1087"/>
      <c r="AH125" s="1087"/>
      <c r="AI125" s="1087"/>
      <c r="AJ125" s="1087"/>
      <c r="AK125" s="1087"/>
      <c r="AL125" s="1087"/>
      <c r="AM125" s="1087"/>
      <c r="AN125" s="1087"/>
    </row>
    <row r="126" spans="1:40">
      <c r="A126" s="1087"/>
      <c r="B126" s="1087"/>
      <c r="C126" s="1087"/>
      <c r="D126" s="1087"/>
      <c r="E126" s="1087"/>
      <c r="F126" s="1087"/>
      <c r="G126" s="1087"/>
      <c r="H126" s="1087"/>
      <c r="I126" s="1087"/>
      <c r="J126" s="1087"/>
      <c r="K126" s="2" t="s">
        <v>18</v>
      </c>
      <c r="L126" s="20">
        <f t="shared" si="123"/>
        <v>1157616.98</v>
      </c>
      <c r="M126" s="20">
        <f t="shared" si="124"/>
        <v>182543.18</v>
      </c>
      <c r="N126" s="20">
        <f t="shared" si="125"/>
        <v>157263.64000000001</v>
      </c>
      <c r="O126" s="20">
        <f t="shared" si="126"/>
        <v>23257.5</v>
      </c>
      <c r="P126" s="20">
        <f t="shared" si="127"/>
        <v>431212.1</v>
      </c>
      <c r="Q126" s="20">
        <f t="shared" si="128"/>
        <v>13122.11</v>
      </c>
      <c r="R126" s="20">
        <f t="shared" si="129"/>
        <v>32287.82</v>
      </c>
      <c r="S126" s="20">
        <f t="shared" si="130"/>
        <v>1019.43</v>
      </c>
      <c r="T126" s="20">
        <f t="shared" si="131"/>
        <v>27231.68</v>
      </c>
      <c r="U126" s="20">
        <f t="shared" si="132"/>
        <v>1469.25</v>
      </c>
      <c r="V126" s="20">
        <f t="shared" si="133"/>
        <v>195.9</v>
      </c>
      <c r="W126" s="20">
        <f t="shared" si="134"/>
        <v>0</v>
      </c>
      <c r="X126" s="20">
        <f t="shared" si="135"/>
        <v>1242.2</v>
      </c>
      <c r="Y126" s="20">
        <f t="shared" si="136"/>
        <v>0</v>
      </c>
      <c r="Z126" s="20">
        <f t="shared" si="137"/>
        <v>0</v>
      </c>
      <c r="AA126" s="10">
        <f t="shared" si="138"/>
        <v>2028461.7899999998</v>
      </c>
      <c r="AB126" s="1087"/>
      <c r="AC126" s="1087"/>
      <c r="AD126" s="1087"/>
      <c r="AE126" s="1087"/>
      <c r="AF126" s="1087"/>
      <c r="AG126" s="1087"/>
      <c r="AH126" s="1087"/>
      <c r="AI126" s="1087"/>
      <c r="AJ126" s="1087"/>
      <c r="AK126" s="1087"/>
      <c r="AL126" s="1087"/>
      <c r="AM126" s="1087"/>
      <c r="AN126" s="1087"/>
    </row>
    <row r="127" spans="1:40">
      <c r="A127" s="1087"/>
      <c r="B127" s="1087"/>
      <c r="C127" s="1087"/>
      <c r="D127" s="1087"/>
      <c r="E127" s="1087"/>
      <c r="F127" s="1087"/>
      <c r="G127" s="1087"/>
      <c r="H127" s="1087"/>
      <c r="I127" s="1087"/>
      <c r="J127" s="1087"/>
      <c r="K127" s="2" t="s">
        <v>20</v>
      </c>
      <c r="L127" s="20">
        <f t="shared" si="123"/>
        <v>116753.31</v>
      </c>
      <c r="M127" s="20">
        <f t="shared" si="124"/>
        <v>42037.919999999998</v>
      </c>
      <c r="N127" s="20">
        <f t="shared" si="125"/>
        <v>6256.94</v>
      </c>
      <c r="O127" s="20">
        <f t="shared" si="126"/>
        <v>1565.84</v>
      </c>
      <c r="P127" s="20">
        <f t="shared" si="127"/>
        <v>52379.98</v>
      </c>
      <c r="Q127" s="20">
        <f t="shared" si="128"/>
        <v>1459.68</v>
      </c>
      <c r="R127" s="20">
        <f t="shared" si="129"/>
        <v>5477.95</v>
      </c>
      <c r="S127" s="20">
        <f t="shared" si="130"/>
        <v>852.84</v>
      </c>
      <c r="T127" s="20">
        <f t="shared" si="131"/>
        <v>5979.13</v>
      </c>
      <c r="U127" s="20">
        <f t="shared" si="132"/>
        <v>97.95</v>
      </c>
      <c r="V127" s="20">
        <f t="shared" si="133"/>
        <v>0</v>
      </c>
      <c r="W127" s="20">
        <f t="shared" si="134"/>
        <v>0</v>
      </c>
      <c r="X127" s="20">
        <f t="shared" si="135"/>
        <v>112.42</v>
      </c>
      <c r="Y127" s="20">
        <f t="shared" si="136"/>
        <v>0</v>
      </c>
      <c r="Z127" s="20">
        <f t="shared" si="137"/>
        <v>0</v>
      </c>
      <c r="AA127" s="10">
        <f t="shared" si="138"/>
        <v>232973.96000000002</v>
      </c>
      <c r="AB127" s="1087"/>
      <c r="AC127" s="1087"/>
      <c r="AD127" s="1087"/>
      <c r="AE127" s="1087"/>
      <c r="AF127" s="1087"/>
      <c r="AG127" s="1087"/>
      <c r="AH127" s="1087"/>
      <c r="AI127" s="1087"/>
      <c r="AJ127" s="1087"/>
      <c r="AK127" s="1087"/>
      <c r="AL127" s="1087"/>
      <c r="AM127" s="1087"/>
      <c r="AN127" s="1087"/>
    </row>
    <row r="128" spans="1:40">
      <c r="A128" s="1087"/>
      <c r="B128" s="1087"/>
      <c r="C128" s="1087"/>
      <c r="D128" s="1087"/>
      <c r="E128" s="1087"/>
      <c r="F128" s="1087"/>
      <c r="G128" s="1087"/>
      <c r="H128" s="1087"/>
      <c r="I128" s="1087"/>
      <c r="J128" s="1087"/>
      <c r="K128" s="2" t="s">
        <v>19</v>
      </c>
      <c r="L128" s="20">
        <f t="shared" si="123"/>
        <v>1077413.98</v>
      </c>
      <c r="M128" s="20">
        <f t="shared" si="124"/>
        <v>163979.45000000001</v>
      </c>
      <c r="N128" s="20">
        <f t="shared" si="125"/>
        <v>123105.61</v>
      </c>
      <c r="O128" s="20">
        <f t="shared" si="126"/>
        <v>39766.910000000003</v>
      </c>
      <c r="P128" s="20">
        <f t="shared" si="127"/>
        <v>681147.29</v>
      </c>
      <c r="Q128" s="20">
        <f t="shared" si="128"/>
        <v>4878.3599999999997</v>
      </c>
      <c r="R128" s="20">
        <f t="shared" si="129"/>
        <v>22501.19</v>
      </c>
      <c r="S128" s="20">
        <f t="shared" si="130"/>
        <v>2193.37</v>
      </c>
      <c r="T128" s="20">
        <f t="shared" si="131"/>
        <v>27140.39</v>
      </c>
      <c r="U128" s="20">
        <f t="shared" si="132"/>
        <v>1861.05</v>
      </c>
      <c r="V128" s="20">
        <f t="shared" si="133"/>
        <v>391.8</v>
      </c>
      <c r="W128" s="20">
        <f t="shared" si="134"/>
        <v>558.91999999999996</v>
      </c>
      <c r="X128" s="20">
        <f t="shared" si="135"/>
        <v>253.41</v>
      </c>
      <c r="Y128" s="20">
        <f t="shared" si="136"/>
        <v>0</v>
      </c>
      <c r="Z128" s="20">
        <f t="shared" si="137"/>
        <v>0</v>
      </c>
      <c r="AA128" s="10">
        <f t="shared" si="138"/>
        <v>2145191.73</v>
      </c>
      <c r="AB128" s="1087"/>
      <c r="AC128" s="1087"/>
      <c r="AD128" s="1087"/>
      <c r="AE128" s="1087"/>
      <c r="AF128" s="1087"/>
      <c r="AG128" s="1087"/>
      <c r="AH128" s="1087"/>
      <c r="AI128" s="1087"/>
      <c r="AJ128" s="1087"/>
      <c r="AK128" s="1087"/>
      <c r="AL128" s="1087"/>
      <c r="AM128" s="1087"/>
      <c r="AN128" s="1087"/>
    </row>
    <row r="129" spans="1:40">
      <c r="A129" s="1087"/>
      <c r="B129" s="1087"/>
      <c r="C129" s="1087"/>
      <c r="D129" s="1087"/>
      <c r="E129" s="1087"/>
      <c r="F129" s="1087"/>
      <c r="G129" s="1087"/>
      <c r="H129" s="1087"/>
      <c r="I129" s="1087"/>
      <c r="J129" s="1087"/>
      <c r="K129" s="2" t="s">
        <v>21</v>
      </c>
      <c r="L129" s="20">
        <f t="shared" si="123"/>
        <v>59453.56</v>
      </c>
      <c r="M129" s="20">
        <f t="shared" si="124"/>
        <v>12667.95</v>
      </c>
      <c r="N129" s="20">
        <f t="shared" si="125"/>
        <v>6953.74</v>
      </c>
      <c r="O129" s="20">
        <f t="shared" si="126"/>
        <v>2628.98</v>
      </c>
      <c r="P129" s="20">
        <f t="shared" si="127"/>
        <v>65448.800000000003</v>
      </c>
      <c r="Q129" s="20">
        <f t="shared" si="128"/>
        <v>293.85000000000002</v>
      </c>
      <c r="R129" s="20">
        <f t="shared" si="129"/>
        <v>1250.08</v>
      </c>
      <c r="S129" s="20">
        <f t="shared" si="130"/>
        <v>0</v>
      </c>
      <c r="T129" s="20">
        <f t="shared" si="131"/>
        <v>2605.87</v>
      </c>
      <c r="U129" s="20">
        <f t="shared" si="132"/>
        <v>0</v>
      </c>
      <c r="V129" s="20">
        <f t="shared" si="133"/>
        <v>0</v>
      </c>
      <c r="W129" s="20">
        <f t="shared" si="134"/>
        <v>0</v>
      </c>
      <c r="X129" s="20">
        <f t="shared" si="135"/>
        <v>28.57</v>
      </c>
      <c r="Y129" s="20">
        <f t="shared" si="136"/>
        <v>0</v>
      </c>
      <c r="Z129" s="20">
        <f t="shared" si="137"/>
        <v>0</v>
      </c>
      <c r="AA129" s="10">
        <f t="shared" si="138"/>
        <v>151331.4</v>
      </c>
      <c r="AB129" s="1087"/>
      <c r="AC129" s="1087"/>
      <c r="AD129" s="1087"/>
      <c r="AE129" s="1087"/>
      <c r="AF129" s="1087"/>
      <c r="AG129" s="1087"/>
      <c r="AH129" s="1087"/>
      <c r="AI129" s="1087"/>
      <c r="AJ129" s="1087"/>
      <c r="AK129" s="1087"/>
      <c r="AL129" s="1087"/>
      <c r="AM129" s="1087"/>
      <c r="AN129" s="1087"/>
    </row>
    <row r="130" spans="1:40">
      <c r="A130" s="1087"/>
      <c r="B130" s="1087"/>
      <c r="C130" s="1087"/>
      <c r="D130" s="1087"/>
      <c r="E130" s="1087"/>
      <c r="F130" s="1087"/>
      <c r="G130" s="1087"/>
      <c r="H130" s="1087"/>
      <c r="I130" s="1087"/>
      <c r="J130" s="1087"/>
      <c r="K130" s="2" t="s">
        <v>22</v>
      </c>
      <c r="L130" s="20">
        <f t="shared" si="123"/>
        <v>11547.23</v>
      </c>
      <c r="M130" s="20">
        <f t="shared" si="124"/>
        <v>882.54</v>
      </c>
      <c r="N130" s="20">
        <f t="shared" si="125"/>
        <v>3199.9</v>
      </c>
      <c r="O130" s="20">
        <f t="shared" si="126"/>
        <v>0</v>
      </c>
      <c r="P130" s="20">
        <f t="shared" si="127"/>
        <v>10850.12</v>
      </c>
      <c r="Q130" s="20">
        <f t="shared" si="128"/>
        <v>97.95</v>
      </c>
      <c r="R130" s="20">
        <f t="shared" si="129"/>
        <v>41.46</v>
      </c>
      <c r="S130" s="20">
        <f t="shared" si="130"/>
        <v>0</v>
      </c>
      <c r="T130" s="20">
        <f t="shared" si="131"/>
        <v>161.41999999999999</v>
      </c>
      <c r="U130" s="20">
        <f t="shared" si="132"/>
        <v>0</v>
      </c>
      <c r="V130" s="20">
        <f t="shared" si="133"/>
        <v>0</v>
      </c>
      <c r="W130" s="20">
        <f t="shared" si="134"/>
        <v>0</v>
      </c>
      <c r="X130" s="20">
        <f t="shared" si="135"/>
        <v>0</v>
      </c>
      <c r="Y130" s="20">
        <f t="shared" si="136"/>
        <v>0</v>
      </c>
      <c r="Z130" s="20">
        <f t="shared" si="137"/>
        <v>0</v>
      </c>
      <c r="AA130" s="10">
        <f t="shared" si="138"/>
        <v>26780.62</v>
      </c>
      <c r="AB130" s="1087"/>
      <c r="AC130" s="1087"/>
      <c r="AD130" s="1087"/>
      <c r="AE130" s="1087"/>
      <c r="AF130" s="1087"/>
      <c r="AG130" s="1087"/>
      <c r="AH130" s="1087"/>
      <c r="AI130" s="1087"/>
      <c r="AJ130" s="1087"/>
      <c r="AK130" s="1087"/>
      <c r="AL130" s="1087"/>
      <c r="AM130" s="1087"/>
      <c r="AN130" s="1087"/>
    </row>
    <row r="131" spans="1:40">
      <c r="A131" s="1087"/>
      <c r="B131" s="1087"/>
      <c r="C131" s="1087"/>
      <c r="D131" s="1087"/>
      <c r="E131" s="1087"/>
      <c r="F131" s="1087"/>
      <c r="G131" s="1087"/>
      <c r="H131" s="1087"/>
      <c r="I131" s="1087"/>
      <c r="J131" s="1087"/>
      <c r="K131" s="2" t="s">
        <v>23</v>
      </c>
      <c r="L131" s="20">
        <f t="shared" si="123"/>
        <v>624459.93000000005</v>
      </c>
      <c r="M131" s="20">
        <f t="shared" si="124"/>
        <v>70510.399999999994</v>
      </c>
      <c r="N131" s="20">
        <f t="shared" si="125"/>
        <v>72039.41</v>
      </c>
      <c r="O131" s="20">
        <f t="shared" si="126"/>
        <v>12342.28</v>
      </c>
      <c r="P131" s="20">
        <f t="shared" si="127"/>
        <v>305202.06</v>
      </c>
      <c r="Q131" s="20">
        <f t="shared" si="128"/>
        <v>5090.21</v>
      </c>
      <c r="R131" s="20">
        <f t="shared" si="129"/>
        <v>9151.99</v>
      </c>
      <c r="S131" s="20">
        <f t="shared" si="130"/>
        <v>0</v>
      </c>
      <c r="T131" s="20">
        <f t="shared" si="131"/>
        <v>12025.84</v>
      </c>
      <c r="U131" s="20">
        <f t="shared" si="132"/>
        <v>1658.77</v>
      </c>
      <c r="V131" s="20">
        <f t="shared" si="133"/>
        <v>195.9</v>
      </c>
      <c r="W131" s="20">
        <f t="shared" si="134"/>
        <v>0</v>
      </c>
      <c r="X131" s="20">
        <f t="shared" si="135"/>
        <v>254.34</v>
      </c>
      <c r="Y131" s="20">
        <f t="shared" si="136"/>
        <v>0</v>
      </c>
      <c r="Z131" s="20">
        <f t="shared" si="137"/>
        <v>0</v>
      </c>
      <c r="AA131" s="10">
        <f t="shared" si="138"/>
        <v>1112931.1300000001</v>
      </c>
      <c r="AB131" s="1087"/>
      <c r="AC131" s="1087"/>
      <c r="AD131" s="1087"/>
      <c r="AE131" s="1087"/>
      <c r="AF131" s="1087"/>
      <c r="AG131" s="1087"/>
      <c r="AH131" s="1087"/>
      <c r="AI131" s="1087"/>
      <c r="AJ131" s="1087"/>
      <c r="AK131" s="1087"/>
      <c r="AL131" s="1087"/>
      <c r="AM131" s="1087"/>
      <c r="AN131" s="1087"/>
    </row>
    <row r="132" spans="1:40">
      <c r="A132" s="1087"/>
      <c r="B132" s="1087"/>
      <c r="C132" s="1087"/>
      <c r="D132" s="1087"/>
      <c r="E132" s="1087"/>
      <c r="F132" s="1087"/>
      <c r="G132" s="1087"/>
      <c r="H132" s="1087"/>
      <c r="I132" s="1087"/>
      <c r="J132" s="1087"/>
      <c r="K132" s="2" t="s">
        <v>25</v>
      </c>
      <c r="L132" s="20">
        <f t="shared" si="123"/>
        <v>4274574.24</v>
      </c>
      <c r="M132" s="20">
        <f t="shared" si="124"/>
        <v>730883.81</v>
      </c>
      <c r="N132" s="20">
        <f t="shared" si="125"/>
        <v>482384.71</v>
      </c>
      <c r="O132" s="20">
        <f t="shared" si="126"/>
        <v>87738.28</v>
      </c>
      <c r="P132" s="20">
        <f t="shared" si="127"/>
        <v>2195164.37</v>
      </c>
      <c r="Q132" s="20">
        <f t="shared" si="128"/>
        <v>24863.35</v>
      </c>
      <c r="R132" s="20">
        <f t="shared" si="129"/>
        <v>114539.21</v>
      </c>
      <c r="S132" s="20">
        <f t="shared" si="130"/>
        <v>6522.25</v>
      </c>
      <c r="T132" s="20">
        <f t="shared" si="131"/>
        <v>107974.48</v>
      </c>
      <c r="U132" s="20">
        <f t="shared" si="132"/>
        <v>4692.03</v>
      </c>
      <c r="V132" s="20">
        <f t="shared" si="133"/>
        <v>581.32000000000005</v>
      </c>
      <c r="W132" s="20">
        <f t="shared" si="134"/>
        <v>0</v>
      </c>
      <c r="X132" s="20">
        <f t="shared" si="135"/>
        <v>3078.79</v>
      </c>
      <c r="Y132" s="20">
        <f t="shared" si="136"/>
        <v>493.42</v>
      </c>
      <c r="Z132" s="20">
        <f t="shared" si="137"/>
        <v>4976.8</v>
      </c>
      <c r="AA132" s="10">
        <f t="shared" si="138"/>
        <v>8038467.0600000015</v>
      </c>
      <c r="AB132" s="1087"/>
      <c r="AC132" s="1087"/>
      <c r="AD132" s="1087"/>
      <c r="AE132" s="1087"/>
      <c r="AF132" s="1087"/>
      <c r="AG132" s="1087"/>
      <c r="AH132" s="1087"/>
      <c r="AI132" s="1087"/>
      <c r="AJ132" s="1087"/>
      <c r="AK132" s="1087"/>
      <c r="AL132" s="1087"/>
      <c r="AM132" s="1087"/>
      <c r="AN132" s="1087"/>
    </row>
    <row r="133" spans="1:40">
      <c r="A133" s="1087"/>
      <c r="B133" s="1087"/>
      <c r="C133" s="1087"/>
      <c r="D133" s="1087"/>
      <c r="E133" s="1087"/>
      <c r="F133" s="1087"/>
      <c r="G133" s="1087"/>
      <c r="H133" s="1087"/>
      <c r="I133" s="1087"/>
      <c r="J133" s="1087"/>
      <c r="K133" s="2" t="s">
        <v>24</v>
      </c>
      <c r="L133" s="20">
        <f t="shared" si="123"/>
        <v>66645.320000000007</v>
      </c>
      <c r="M133" s="20">
        <f t="shared" si="124"/>
        <v>13424.33</v>
      </c>
      <c r="N133" s="20">
        <f t="shared" si="125"/>
        <v>9092.57</v>
      </c>
      <c r="O133" s="20">
        <f t="shared" si="126"/>
        <v>433.75</v>
      </c>
      <c r="P133" s="20">
        <f t="shared" si="127"/>
        <v>59714.41</v>
      </c>
      <c r="Q133" s="20">
        <f t="shared" si="128"/>
        <v>1763.1</v>
      </c>
      <c r="R133" s="20">
        <f t="shared" si="129"/>
        <v>1018.48</v>
      </c>
      <c r="S133" s="20">
        <f t="shared" si="130"/>
        <v>568.55999999999995</v>
      </c>
      <c r="T133" s="20">
        <f t="shared" si="131"/>
        <v>2196.1</v>
      </c>
      <c r="U133" s="20">
        <f t="shared" si="132"/>
        <v>293.85000000000002</v>
      </c>
      <c r="V133" s="20">
        <f t="shared" si="133"/>
        <v>0</v>
      </c>
      <c r="W133" s="20">
        <f t="shared" si="134"/>
        <v>0</v>
      </c>
      <c r="X133" s="20">
        <f t="shared" si="135"/>
        <v>28.57</v>
      </c>
      <c r="Y133" s="20">
        <f t="shared" si="136"/>
        <v>0</v>
      </c>
      <c r="Z133" s="20">
        <f t="shared" si="137"/>
        <v>0</v>
      </c>
      <c r="AA133" s="10">
        <f t="shared" si="138"/>
        <v>155179.04000000004</v>
      </c>
      <c r="AB133" s="1087"/>
      <c r="AC133" s="1087"/>
      <c r="AD133" s="1087"/>
      <c r="AE133" s="1087"/>
      <c r="AF133" s="1087"/>
      <c r="AG133" s="1087"/>
      <c r="AH133" s="1087"/>
      <c r="AI133" s="1087"/>
      <c r="AJ133" s="1087"/>
      <c r="AK133" s="1087"/>
      <c r="AL133" s="1087"/>
      <c r="AM133" s="1087"/>
      <c r="AN133" s="1087"/>
    </row>
    <row r="134" spans="1:40">
      <c r="A134" s="1087"/>
      <c r="B134" s="1087"/>
      <c r="C134" s="1087"/>
      <c r="D134" s="1087"/>
      <c r="E134" s="1087"/>
      <c r="F134" s="1087"/>
      <c r="G134" s="1087"/>
      <c r="H134" s="1087"/>
      <c r="I134" s="1087"/>
      <c r="J134" s="1087"/>
      <c r="K134" s="2" t="s">
        <v>26</v>
      </c>
      <c r="L134" s="20">
        <f t="shared" si="123"/>
        <v>22030.21</v>
      </c>
      <c r="M134" s="20">
        <f t="shared" si="124"/>
        <v>6650.03</v>
      </c>
      <c r="N134" s="20">
        <f t="shared" si="125"/>
        <v>3733.21</v>
      </c>
      <c r="O134" s="20">
        <f t="shared" si="126"/>
        <v>1414.68</v>
      </c>
      <c r="P134" s="20">
        <f t="shared" si="127"/>
        <v>27065.16</v>
      </c>
      <c r="Q134" s="20">
        <f t="shared" si="128"/>
        <v>0</v>
      </c>
      <c r="R134" s="20">
        <f t="shared" si="129"/>
        <v>958.09</v>
      </c>
      <c r="S134" s="20">
        <f t="shared" si="130"/>
        <v>831.41</v>
      </c>
      <c r="T134" s="20">
        <f t="shared" si="131"/>
        <v>908.43</v>
      </c>
      <c r="U134" s="20">
        <f t="shared" si="132"/>
        <v>97.95</v>
      </c>
      <c r="V134" s="20">
        <f t="shared" si="133"/>
        <v>0</v>
      </c>
      <c r="W134" s="20">
        <f t="shared" si="134"/>
        <v>0</v>
      </c>
      <c r="X134" s="20">
        <f t="shared" si="135"/>
        <v>28.57</v>
      </c>
      <c r="Y134" s="20">
        <f t="shared" si="136"/>
        <v>0</v>
      </c>
      <c r="Z134" s="20">
        <f t="shared" si="137"/>
        <v>0</v>
      </c>
      <c r="AA134" s="10">
        <f t="shared" si="138"/>
        <v>63717.739999999991</v>
      </c>
      <c r="AB134" s="1087"/>
      <c r="AC134" s="1087"/>
      <c r="AD134" s="1087"/>
      <c r="AE134" s="1087"/>
      <c r="AF134" s="1087"/>
      <c r="AG134" s="1087"/>
      <c r="AH134" s="1087"/>
      <c r="AI134" s="1087"/>
      <c r="AJ134" s="1087"/>
      <c r="AK134" s="1087"/>
      <c r="AL134" s="1087"/>
      <c r="AM134" s="1087"/>
      <c r="AN134" s="1087"/>
    </row>
    <row r="135" spans="1:40">
      <c r="A135" s="91"/>
      <c r="B135" s="91"/>
      <c r="C135" s="91"/>
      <c r="D135" s="91"/>
      <c r="E135" s="91"/>
      <c r="F135" s="91"/>
      <c r="G135" s="91"/>
      <c r="H135" s="91"/>
      <c r="I135" s="91"/>
      <c r="J135" s="91"/>
      <c r="K135" s="7" t="s">
        <v>37</v>
      </c>
      <c r="L135" s="21">
        <f t="shared" ref="L135:AA135" si="139">SUM(L108:L134)</f>
        <v>11752892.600000001</v>
      </c>
      <c r="M135" s="21">
        <f t="shared" si="139"/>
        <v>2232851.5199999996</v>
      </c>
      <c r="N135" s="21">
        <f t="shared" si="139"/>
        <v>1353434.86</v>
      </c>
      <c r="O135" s="21">
        <f t="shared" si="139"/>
        <v>320293.44</v>
      </c>
      <c r="P135" s="21">
        <f t="shared" si="139"/>
        <v>6095755.0300000012</v>
      </c>
      <c r="Q135" s="21">
        <f t="shared" si="139"/>
        <v>96499.93</v>
      </c>
      <c r="R135" s="21">
        <f t="shared" si="139"/>
        <v>324968.28000000003</v>
      </c>
      <c r="S135" s="21">
        <f t="shared" si="139"/>
        <v>19142.980000000003</v>
      </c>
      <c r="T135" s="21">
        <f t="shared" si="139"/>
        <v>345575.94999999995</v>
      </c>
      <c r="U135" s="21">
        <f t="shared" si="139"/>
        <v>18338.04</v>
      </c>
      <c r="V135" s="21">
        <f t="shared" si="139"/>
        <v>2338.04</v>
      </c>
      <c r="W135" s="21">
        <f t="shared" si="139"/>
        <v>1019.5699999999999</v>
      </c>
      <c r="X135" s="21">
        <f t="shared" si="139"/>
        <v>7769.329999999999</v>
      </c>
      <c r="Y135" s="21">
        <f t="shared" si="139"/>
        <v>531.65</v>
      </c>
      <c r="Z135" s="21">
        <f t="shared" si="139"/>
        <v>4976.8</v>
      </c>
      <c r="AA135" s="6">
        <f t="shared" si="139"/>
        <v>22576388.02</v>
      </c>
      <c r="AB135" s="1087"/>
      <c r="AC135" s="1087"/>
      <c r="AD135" s="1087"/>
      <c r="AE135" s="1087"/>
      <c r="AF135" s="1087"/>
      <c r="AG135" s="1087"/>
      <c r="AH135" s="1087"/>
      <c r="AI135" s="1087"/>
      <c r="AJ135" s="1087"/>
      <c r="AK135" s="1087"/>
      <c r="AL135" s="1087"/>
      <c r="AM135" s="1087"/>
      <c r="AN135" s="1087"/>
    </row>
    <row r="136" spans="1:40">
      <c r="Y136" s="1102"/>
    </row>
  </sheetData>
  <mergeCells count="103">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U73:V73"/>
    <mergeCell ref="W73:W74"/>
    <mergeCell ref="R2:AH2"/>
    <mergeCell ref="R3:R4"/>
    <mergeCell ref="S3:T3"/>
    <mergeCell ref="U3:V3"/>
    <mergeCell ref="W3:W4"/>
    <mergeCell ref="X3:X4"/>
    <mergeCell ref="Y3:Y4"/>
    <mergeCell ref="Z3:Z4"/>
    <mergeCell ref="AE38:AE39"/>
    <mergeCell ref="AF38:AG38"/>
    <mergeCell ref="AH38:AH39"/>
    <mergeCell ref="AA3:AA4"/>
    <mergeCell ref="AB3:AB4"/>
    <mergeCell ref="AC3:AC4"/>
    <mergeCell ref="AD3:AD4"/>
    <mergeCell ref="Y38:Y39"/>
    <mergeCell ref="Z38:Z39"/>
    <mergeCell ref="AA38:AA39"/>
    <mergeCell ref="AB38:AB39"/>
    <mergeCell ref="AC38:AC39"/>
    <mergeCell ref="AD38:AD39"/>
    <mergeCell ref="AE3:AE4"/>
    <mergeCell ref="AF3:AG3"/>
    <mergeCell ref="AH3:AH4"/>
    <mergeCell ref="H3:H4"/>
    <mergeCell ref="G3:G4"/>
    <mergeCell ref="F3:F4"/>
    <mergeCell ref="N3:N4"/>
    <mergeCell ref="M3:M4"/>
    <mergeCell ref="J3:J4"/>
    <mergeCell ref="I3:I4"/>
    <mergeCell ref="O3:O4"/>
    <mergeCell ref="L3:L4"/>
    <mergeCell ref="K3:K4"/>
    <mergeCell ref="A2:O2"/>
    <mergeCell ref="A37:O37"/>
    <mergeCell ref="A38:A39"/>
    <mergeCell ref="B38:C38"/>
    <mergeCell ref="D38:E38"/>
    <mergeCell ref="F38:F39"/>
    <mergeCell ref="G38:G39"/>
    <mergeCell ref="H38:H39"/>
    <mergeCell ref="I38:I39"/>
    <mergeCell ref="B3:C3"/>
    <mergeCell ref="D3:E3"/>
    <mergeCell ref="A3:A4"/>
    <mergeCell ref="J38:J39"/>
    <mergeCell ref="K38:K39"/>
    <mergeCell ref="L38:L39"/>
    <mergeCell ref="O38:O39"/>
    <mergeCell ref="N38:N39"/>
    <mergeCell ref="M38:M39"/>
    <mergeCell ref="B35:H35"/>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rgb="FF7030A0"/>
    <pageSetUpPr fitToPage="1"/>
  </sheetPr>
  <dimension ref="A1:AV85"/>
  <sheetViews>
    <sheetView showGridLines="0" zoomScale="37" zoomScaleNormal="37" zoomScaleSheetLayoutView="50" workbookViewId="0">
      <pane xSplit="1" topLeftCell="B1" activePane="topRight" state="frozen"/>
      <selection sqref="A1:AC1"/>
      <selection pane="topRight" sqref="A1:AC1"/>
    </sheetView>
  </sheetViews>
  <sheetFormatPr defaultRowHeight="15"/>
  <cols>
    <col min="1" max="1" width="25.5703125" style="253" customWidth="1"/>
    <col min="2" max="2" width="24" style="253" customWidth="1"/>
    <col min="3" max="5" width="31.140625" style="253" customWidth="1"/>
    <col min="6" max="8" width="29.140625" style="253" customWidth="1"/>
    <col min="9" max="9" width="35.42578125" style="253" customWidth="1"/>
    <col min="10" max="10" width="29" style="253" customWidth="1"/>
    <col min="11" max="11" width="28.7109375" style="253" customWidth="1"/>
    <col min="12" max="23" width="31" style="253" customWidth="1"/>
    <col min="24" max="25" width="31.85546875" style="253" customWidth="1"/>
    <col min="26" max="27" width="29.7109375" style="253" customWidth="1"/>
    <col min="28" max="29" width="34.85546875" style="253" customWidth="1"/>
    <col min="30" max="31" width="37.28515625" style="253" customWidth="1"/>
    <col min="32" max="36" width="34.42578125" style="253" customWidth="1"/>
    <col min="37" max="37" width="21.85546875" style="253" customWidth="1"/>
    <col min="38" max="38" width="25" style="253" customWidth="1"/>
    <col min="39" max="39" width="25.5703125" style="253" bestFit="1" customWidth="1"/>
    <col min="40" max="40" width="17" style="253" bestFit="1" customWidth="1"/>
    <col min="41" max="41" width="25.5703125" style="253" bestFit="1" customWidth="1"/>
    <col min="42" max="42" width="25.5703125" style="253" customWidth="1"/>
    <col min="43" max="44" width="21.85546875" style="253" customWidth="1"/>
    <col min="45" max="45" width="22.140625" style="253" bestFit="1" customWidth="1"/>
    <col min="46" max="46" width="9.140625" style="253"/>
    <col min="47" max="47" width="19" style="253" bestFit="1" customWidth="1"/>
    <col min="48" max="49" width="16" style="253" bestFit="1" customWidth="1"/>
    <col min="50" max="50" width="14" style="253" bestFit="1" customWidth="1"/>
    <col min="51" max="16384" width="9.140625" style="253"/>
  </cols>
  <sheetData>
    <row r="1" spans="1:48" s="313" customFormat="1" ht="39" customHeight="1">
      <c r="A1" s="1259" t="s">
        <v>525</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48" s="313" customFormat="1" ht="29.25" thickBot="1">
      <c r="A2" s="392"/>
      <c r="B2" s="1292" t="s">
        <v>524</v>
      </c>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391"/>
      <c r="AL2" s="390"/>
    </row>
    <row r="3" spans="1:48" s="313" customFormat="1" ht="28.5" customHeight="1">
      <c r="A3" s="1293" t="s">
        <v>182</v>
      </c>
      <c r="B3" s="1294" t="s">
        <v>1111</v>
      </c>
      <c r="C3" s="1295"/>
      <c r="D3" s="1295"/>
      <c r="E3" s="1296"/>
      <c r="F3" s="1284" t="s">
        <v>177</v>
      </c>
      <c r="G3" s="1285"/>
      <c r="H3" s="1285"/>
      <c r="I3" s="1286"/>
      <c r="J3" s="1301" t="s">
        <v>510</v>
      </c>
      <c r="K3" s="1301" t="s">
        <v>506</v>
      </c>
      <c r="L3" s="1291" t="s">
        <v>523</v>
      </c>
      <c r="M3" s="1291"/>
      <c r="N3" s="1291"/>
      <c r="O3" s="1291"/>
      <c r="P3" s="1291"/>
      <c r="Q3" s="1291"/>
      <c r="R3" s="1291"/>
      <c r="S3" s="1291"/>
      <c r="T3" s="1291"/>
      <c r="U3" s="1291"/>
      <c r="V3" s="1291"/>
      <c r="W3" s="1291"/>
      <c r="X3" s="1291"/>
      <c r="Y3" s="1291"/>
      <c r="Z3" s="1291"/>
      <c r="AA3" s="1291"/>
      <c r="AB3" s="1291"/>
      <c r="AC3" s="1291"/>
      <c r="AD3" s="1291"/>
      <c r="AE3" s="1291"/>
      <c r="AF3" s="1291"/>
      <c r="AG3" s="1291"/>
      <c r="AH3" s="1291"/>
      <c r="AI3" s="1291"/>
      <c r="AJ3" s="1265" t="s">
        <v>508</v>
      </c>
      <c r="AK3" s="1265" t="s">
        <v>507</v>
      </c>
      <c r="AL3" s="1265" t="s">
        <v>506</v>
      </c>
    </row>
    <row r="4" spans="1:48" s="313" customFormat="1" ht="85.5" customHeight="1">
      <c r="A4" s="1275"/>
      <c r="B4" s="1297" t="s">
        <v>501</v>
      </c>
      <c r="C4" s="1297" t="s">
        <v>522</v>
      </c>
      <c r="D4" s="1297" t="s">
        <v>503</v>
      </c>
      <c r="E4" s="1297" t="s">
        <v>502</v>
      </c>
      <c r="F4" s="1299" t="s">
        <v>501</v>
      </c>
      <c r="G4" s="1299" t="s">
        <v>1148</v>
      </c>
      <c r="H4" s="1299" t="s">
        <v>498</v>
      </c>
      <c r="I4" s="1299" t="s">
        <v>497</v>
      </c>
      <c r="J4" s="1302"/>
      <c r="K4" s="1302"/>
      <c r="L4" s="1291" t="s">
        <v>422</v>
      </c>
      <c r="M4" s="1291"/>
      <c r="N4" s="1291" t="s">
        <v>421</v>
      </c>
      <c r="O4" s="1291"/>
      <c r="P4" s="1291" t="s">
        <v>496</v>
      </c>
      <c r="Q4" s="1291"/>
      <c r="R4" s="1291" t="s">
        <v>420</v>
      </c>
      <c r="S4" s="1291"/>
      <c r="T4" s="1291" t="s">
        <v>419</v>
      </c>
      <c r="U4" s="1291"/>
      <c r="V4" s="1291" t="s">
        <v>418</v>
      </c>
      <c r="W4" s="1291"/>
      <c r="X4" s="1291" t="s">
        <v>417</v>
      </c>
      <c r="Y4" s="1291"/>
      <c r="Z4" s="1291" t="s">
        <v>416</v>
      </c>
      <c r="AA4" s="1291"/>
      <c r="AB4" s="1291" t="s">
        <v>415</v>
      </c>
      <c r="AC4" s="1291"/>
      <c r="AD4" s="1291" t="s">
        <v>414</v>
      </c>
      <c r="AE4" s="1291"/>
      <c r="AF4" s="1291" t="s">
        <v>413</v>
      </c>
      <c r="AG4" s="1291"/>
      <c r="AH4" s="1291" t="s">
        <v>412</v>
      </c>
      <c r="AI4" s="1291"/>
      <c r="AJ4" s="1266"/>
      <c r="AK4" s="1266"/>
      <c r="AL4" s="1266"/>
    </row>
    <row r="5" spans="1:48" s="313" customFormat="1" ht="28.5">
      <c r="A5" s="389"/>
      <c r="B5" s="1298"/>
      <c r="C5" s="1298"/>
      <c r="D5" s="1298"/>
      <c r="E5" s="1298"/>
      <c r="F5" s="1300"/>
      <c r="G5" s="1300"/>
      <c r="H5" s="1300"/>
      <c r="I5" s="1300"/>
      <c r="J5" s="1303"/>
      <c r="K5" s="1303"/>
      <c r="L5" s="388" t="s">
        <v>297</v>
      </c>
      <c r="M5" s="388" t="s">
        <v>495</v>
      </c>
      <c r="N5" s="388" t="s">
        <v>297</v>
      </c>
      <c r="O5" s="388" t="s">
        <v>495</v>
      </c>
      <c r="P5" s="388" t="s">
        <v>297</v>
      </c>
      <c r="Q5" s="388" t="s">
        <v>495</v>
      </c>
      <c r="R5" s="388" t="s">
        <v>297</v>
      </c>
      <c r="S5" s="388" t="s">
        <v>495</v>
      </c>
      <c r="T5" s="388" t="s">
        <v>297</v>
      </c>
      <c r="U5" s="388" t="s">
        <v>495</v>
      </c>
      <c r="V5" s="388" t="s">
        <v>297</v>
      </c>
      <c r="W5" s="388" t="s">
        <v>495</v>
      </c>
      <c r="X5" s="388" t="s">
        <v>297</v>
      </c>
      <c r="Y5" s="388" t="s">
        <v>495</v>
      </c>
      <c r="Z5" s="388" t="s">
        <v>297</v>
      </c>
      <c r="AA5" s="388" t="s">
        <v>495</v>
      </c>
      <c r="AB5" s="388" t="s">
        <v>297</v>
      </c>
      <c r="AC5" s="388" t="s">
        <v>495</v>
      </c>
      <c r="AD5" s="388" t="s">
        <v>297</v>
      </c>
      <c r="AE5" s="388" t="s">
        <v>495</v>
      </c>
      <c r="AF5" s="388" t="s">
        <v>297</v>
      </c>
      <c r="AG5" s="388" t="s">
        <v>495</v>
      </c>
      <c r="AH5" s="388" t="s">
        <v>297</v>
      </c>
      <c r="AI5" s="387" t="s">
        <v>495</v>
      </c>
      <c r="AJ5" s="1267"/>
      <c r="AK5" s="1267"/>
      <c r="AL5" s="1267"/>
      <c r="AN5" s="313" t="s">
        <v>521</v>
      </c>
      <c r="AO5" s="313" t="s">
        <v>520</v>
      </c>
      <c r="AP5" s="313" t="s">
        <v>519</v>
      </c>
    </row>
    <row r="6" spans="1:48" s="313" customFormat="1" ht="36.75" customHeight="1">
      <c r="A6" s="386" t="s">
        <v>87</v>
      </c>
      <c r="B6" s="350">
        <v>122</v>
      </c>
      <c r="C6" s="385">
        <v>42</v>
      </c>
      <c r="D6" s="350">
        <v>15220.45</v>
      </c>
      <c r="E6" s="350">
        <v>2763.9080000000004</v>
      </c>
      <c r="F6" s="1008">
        <f>VLOOKUP($A$6:$A$32,'Relatórios - SICCAU e IGEO'!$A$3:$H$29,8,)</f>
        <v>132</v>
      </c>
      <c r="G6" s="346">
        <v>56</v>
      </c>
      <c r="H6" s="346">
        <v>37</v>
      </c>
      <c r="I6" s="384">
        <f t="shared" ref="I6:I32" si="0">G6-H6</f>
        <v>19</v>
      </c>
      <c r="J6" s="383">
        <f t="shared" ref="J6:J33" si="1">G6/F6*100</f>
        <v>42.424242424242422</v>
      </c>
      <c r="K6" s="383">
        <f t="shared" ref="K6:K33" si="2">G6/$G$33*100</f>
        <v>0.38586095224970712</v>
      </c>
      <c r="L6" s="382">
        <f>VLOOKUP($A$6:$A$32,JAN!$R$5:$V$31,4,)</f>
        <v>2697.0560000000005</v>
      </c>
      <c r="M6" s="382">
        <f>VLOOKUP($A$6:$A$32,JAN!$R$5:$V$31,5,)</f>
        <v>420.52800000000002</v>
      </c>
      <c r="N6" s="382">
        <f>VLOOKUP($A$6:$A$32,FEV!$R$5:$V$31,4,)</f>
        <v>3304.6559999999999</v>
      </c>
      <c r="O6" s="382">
        <f>VLOOKUP($A$6:$A$32,FEV!$R$5:$V$31,5,)</f>
        <v>693.88800000000003</v>
      </c>
      <c r="P6" s="382">
        <f>VLOOKUP($A$6:$A$32,MAR!$R$5:$AK$31,20,)</f>
        <v>2255.16</v>
      </c>
      <c r="Q6" s="382">
        <f>VLOOKUP($A$6:$A$32,MAR!$R$5:$AL$31,21,)</f>
        <v>295.952</v>
      </c>
      <c r="R6" s="345">
        <f>VLOOKUP($A$6:$A$32,ABR!$R$5:$U$31,4,)</f>
        <v>510.45600000000007</v>
      </c>
      <c r="S6" s="345">
        <f>VLOOKUP($A$6:$A$32,ABR!$R$5:$V$31,5,)</f>
        <v>184.584</v>
      </c>
      <c r="T6" s="345">
        <f>VLOOKUP($A$6:$A$32,MAI!$B$5:$F$31,4,)</f>
        <v>1119.96</v>
      </c>
      <c r="U6" s="345">
        <f>VLOOKUP($A$6:$A$32,MAI!$B$5:$F$31,5,)</f>
        <v>439.20000000000005</v>
      </c>
      <c r="V6" s="345">
        <f>VLOOKUP($A$6:$A$32,JUN!$B$5:$F$31,4,)</f>
        <v>1538.9920000000002</v>
      </c>
      <c r="W6" s="345">
        <f>VLOOKUP($A$6:$A$32,JUN!$B$5:$F$31,5,)</f>
        <v>295.49600000000004</v>
      </c>
      <c r="X6" s="345">
        <f>VLOOKUP($A$6:$A$32,JUL!$B$5:$F$31,4,)</f>
        <v>1752.328</v>
      </c>
      <c r="Y6" s="345">
        <f>VLOOKUP($A$6:$A$32,JUL!$B$5:$F$31,5,)</f>
        <v>0</v>
      </c>
      <c r="Z6" s="344">
        <f>VLOOKUP($A$6:$A$32,AGO!$B$5:$F$31,4,)</f>
        <v>3047.5439999999999</v>
      </c>
      <c r="AA6" s="344">
        <f>VLOOKUP($A$6:$A$32,AGO!$B$5:$F$31,5,)</f>
        <v>0</v>
      </c>
      <c r="AB6" s="344">
        <f>VLOOKUP($A$6:$A$32,SET!$B$5:$F$31,4,)</f>
        <v>1310.4480000000001</v>
      </c>
      <c r="AC6" s="344">
        <f>VLOOKUP($A$6:$A$32,SET!$B$5:$F$31,5,)</f>
        <v>527.64800000000002</v>
      </c>
      <c r="AD6" s="344">
        <f>VLOOKUP($A$6:$A$32,OUT!$B$5:$F$31,4,)</f>
        <v>393.13600000000002</v>
      </c>
      <c r="AE6" s="344">
        <f>VLOOKUP($A$6:$A$32,OUT!$B$5:$F$31,5,)</f>
        <v>1757.1840000000002</v>
      </c>
      <c r="AF6" s="344">
        <f>VLOOKUP($A$6:$A$32,NOV!$B$5:$F$31,4,)</f>
        <v>758.80799999999999</v>
      </c>
      <c r="AG6" s="344">
        <f>VLOOKUP($A$6:$A$32,NOV!$B$5:$F$31,5,)</f>
        <v>568.6</v>
      </c>
      <c r="AH6" s="344">
        <f>VLOOKUP($A$6:$A$32,DEZ!$B$5:$F$31,4,)</f>
        <v>167.61600000000001</v>
      </c>
      <c r="AI6" s="344">
        <f>VLOOKUP($A$6:$A$32,DEZ!$B$5:$F$31,5,)</f>
        <v>0</v>
      </c>
      <c r="AJ6" s="343">
        <f>SUM(L6:AI6)</f>
        <v>24039.240000000005</v>
      </c>
      <c r="AK6" s="381">
        <f t="shared" ref="AK6:AK35" si="3">AJ6/(D6+E6)*100</f>
        <v>133.66749038247573</v>
      </c>
      <c r="AL6" s="342">
        <f t="shared" ref="AL6:AL35" si="4">AJ6/$AJ$35*100</f>
        <v>0.26401193642289672</v>
      </c>
      <c r="AM6" s="314">
        <f>IFERROR(AJ6/(D6+E6),)</f>
        <v>1.3366749038247574</v>
      </c>
      <c r="AN6" s="368">
        <f>IFERROR((L6+N6+P6+R6+T6+V6+X6+Z6+AB6)/D6,)</f>
        <v>1.1521735559723922</v>
      </c>
      <c r="AO6" s="314">
        <f>IFERROR((M6+O6+Q6+S6+U6+W6+Y6+AA6+AC6)/E6,)</f>
        <v>1.0337883894832969</v>
      </c>
      <c r="AP6" s="367">
        <f>'Comparativo YoY'!EC8</f>
        <v>5.1571685685959778</v>
      </c>
      <c r="AQ6" s="315">
        <f>L6+N6+P6+R6+T6+V6+X6+Z6+AB6+AD6+AF6+AH6</f>
        <v>18856.16</v>
      </c>
      <c r="AR6" s="315">
        <f>M6+O6+Q6+S6+U6+W6+Y6+AA6+AC6+AE6+AG6+AI6</f>
        <v>5183.0800000000008</v>
      </c>
      <c r="AS6" s="1202" t="b">
        <f>AQ6+AR6=AJ6</f>
        <v>1</v>
      </c>
      <c r="AT6" s="608"/>
      <c r="AU6" s="608"/>
      <c r="AV6" s="608"/>
    </row>
    <row r="7" spans="1:48" s="313" customFormat="1" ht="28.5">
      <c r="A7" s="386" t="s">
        <v>88</v>
      </c>
      <c r="B7" s="350">
        <v>148</v>
      </c>
      <c r="C7" s="385">
        <v>51</v>
      </c>
      <c r="D7" s="350">
        <v>25007.51</v>
      </c>
      <c r="E7" s="350">
        <v>5192.82</v>
      </c>
      <c r="F7" s="1008">
        <f>VLOOKUP($A$6:$A$32,'Relatórios - SICCAU e IGEO'!$A$3:$H$29,8,)</f>
        <v>152</v>
      </c>
      <c r="G7" s="346">
        <v>67</v>
      </c>
      <c r="H7" s="346">
        <v>50</v>
      </c>
      <c r="I7" s="384">
        <f t="shared" si="0"/>
        <v>17</v>
      </c>
      <c r="J7" s="383">
        <f t="shared" si="1"/>
        <v>44.078947368421048</v>
      </c>
      <c r="K7" s="383">
        <f t="shared" si="2"/>
        <v>0.4616550678701854</v>
      </c>
      <c r="L7" s="382">
        <f>VLOOKUP($A$6:$A$32,JAN!$R$5:$V$31,4,)</f>
        <v>3794.1680000000001</v>
      </c>
      <c r="M7" s="382">
        <f>VLOOKUP($A$6:$A$32,JAN!$R$5:$V$31,5,)</f>
        <v>1131.8399999999999</v>
      </c>
      <c r="N7" s="382">
        <f>VLOOKUP($A$6:$A$32,FEV!$R$5:$V$31,4,)</f>
        <v>8479.728000000001</v>
      </c>
      <c r="O7" s="382">
        <f>VLOOKUP($A$6:$A$32,FEV!$R$5:$V$31,5,)</f>
        <v>568</v>
      </c>
      <c r="P7" s="382">
        <f>VLOOKUP($A$6:$A$32,MAR!$R$5:$AK$31,20,)</f>
        <v>1409.472</v>
      </c>
      <c r="Q7" s="382">
        <f>VLOOKUP($A$6:$A$32,MAR!$R$5:$AL$31,21,)</f>
        <v>325.03200000000004</v>
      </c>
      <c r="R7" s="345">
        <f>VLOOKUP($A$6:$A$32,ABR!$R$5:$U$31,4,)</f>
        <v>746.64</v>
      </c>
      <c r="S7" s="345">
        <f>VLOOKUP($A$6:$A$32,ABR!$R$5:$V$31,5,)</f>
        <v>506.52800000000002</v>
      </c>
      <c r="T7" s="345">
        <f>VLOOKUP($A$6:$A$32,MAI!$B$5:$F$31,4,)</f>
        <v>959.96800000000007</v>
      </c>
      <c r="U7" s="345">
        <f>VLOOKUP($A$6:$A$32,MAI!$B$5:$F$31,5,)</f>
        <v>233.80799999999999</v>
      </c>
      <c r="V7" s="345">
        <f>VLOOKUP($A$6:$A$32,JUN!$B$5:$F$31,4,)</f>
        <v>182.84800000000001</v>
      </c>
      <c r="W7" s="345">
        <f>VLOOKUP($A$6:$A$32,JUN!$B$5:$F$31,5,)</f>
        <v>297.44</v>
      </c>
      <c r="X7" s="345">
        <f>VLOOKUP($A$6:$A$32,JUL!$B$5:$F$31,4,)</f>
        <v>2392.3040000000001</v>
      </c>
      <c r="Y7" s="345">
        <f>VLOOKUP($A$6:$A$32,JUL!$B$5:$F$31,5,)</f>
        <v>254.14399999999989</v>
      </c>
      <c r="Z7" s="344">
        <f>VLOOKUP($A$6:$A$32,AGO!$B$5:$F$31,4,)</f>
        <v>2173.92</v>
      </c>
      <c r="AA7" s="344">
        <f>VLOOKUP($A$6:$A$32,AGO!$B$5:$F$31,5,)</f>
        <v>64.247999999999962</v>
      </c>
      <c r="AB7" s="344">
        <f>VLOOKUP($A$6:$A$32,SET!$B$5:$F$31,4,)</f>
        <v>2377.1040000000003</v>
      </c>
      <c r="AC7" s="344">
        <f>VLOOKUP($A$6:$A$32,SET!$B$5:$F$31,5,)</f>
        <v>335.32799999999992</v>
      </c>
      <c r="AD7" s="344">
        <f>VLOOKUP($A$6:$A$32,OUT!$B$5:$F$31,4,)</f>
        <v>253.96</v>
      </c>
      <c r="AE7" s="344">
        <f>VLOOKUP($A$6:$A$32,OUT!$B$5:$F$31,5,)</f>
        <v>335.31200000000007</v>
      </c>
      <c r="AF7" s="344">
        <f>VLOOKUP($A$6:$A$32,NOV!$B$5:$F$31,4,)</f>
        <v>1427.248</v>
      </c>
      <c r="AG7" s="344">
        <f>VLOOKUP($A$6:$A$32,NOV!$B$5:$F$31,5,)</f>
        <v>589.48</v>
      </c>
      <c r="AH7" s="344">
        <f>VLOOKUP($A$6:$A$32,DEZ!$B$5:$F$31,4,)</f>
        <v>1447.5680000000002</v>
      </c>
      <c r="AI7" s="344">
        <f>VLOOKUP($A$6:$A$32,DEZ!$B$5:$F$31,5,)</f>
        <v>760.60799999999983</v>
      </c>
      <c r="AJ7" s="343">
        <f t="shared" ref="AJ7:AJ32" si="5">SUM(L7:AI7)</f>
        <v>31046.696000000004</v>
      </c>
      <c r="AK7" s="381">
        <f t="shared" si="3"/>
        <v>102.80250580043332</v>
      </c>
      <c r="AL7" s="342">
        <f t="shared" si="4"/>
        <v>0.34097160852393843</v>
      </c>
      <c r="AM7" s="314">
        <f t="shared" ref="AM7:AM36" si="6">IFERROR(AJ7/(D7+E7),)</f>
        <v>1.0280250580043333</v>
      </c>
      <c r="AN7" s="368">
        <f t="shared" ref="AN7:AN36" si="7">IFERROR((L7+N7+P7+R7+T7+V7+X7+Z7+AB7)/D7,)</f>
        <v>0.90037560716760701</v>
      </c>
      <c r="AO7" s="314">
        <f t="shared" ref="AO7:AO36" si="8">IFERROR((M7+O7+Q7+S7+U7+W7+Y7+AA7+AC7)/E7,)</f>
        <v>0.71567433494709998</v>
      </c>
      <c r="AP7" s="367">
        <f>'Comparativo YoY'!EC9</f>
        <v>0.86226433728553786</v>
      </c>
      <c r="AQ7" s="315">
        <f t="shared" ref="AQ7:AQ36" si="9">L7+N7+P7+R7+T7+V7+X7+Z7+AB7+AD7+AF7+AH7</f>
        <v>25644.928</v>
      </c>
      <c r="AR7" s="315">
        <f t="shared" ref="AR7:AR35" si="10">M7+O7+Q7+S7+U7+W7+Y7+AA7+AC7+AE7+AG7+AI7</f>
        <v>5401.768</v>
      </c>
      <c r="AS7" s="1202" t="b">
        <f t="shared" ref="AS7:AS36" si="11">AQ7+AR7=AJ7</f>
        <v>1</v>
      </c>
      <c r="AT7" s="608"/>
      <c r="AU7" s="608"/>
      <c r="AV7" s="608"/>
    </row>
    <row r="8" spans="1:48" s="313" customFormat="1" ht="28.5">
      <c r="A8" s="386" t="s">
        <v>90</v>
      </c>
      <c r="B8" s="350">
        <v>222</v>
      </c>
      <c r="C8" s="385">
        <v>80</v>
      </c>
      <c r="D8" s="350">
        <v>38909.86</v>
      </c>
      <c r="E8" s="350">
        <v>15180.37</v>
      </c>
      <c r="F8" s="1008">
        <f>VLOOKUP($A$6:$A$32,'Relatórios - SICCAU e IGEO'!$A$3:$H$29,8,)</f>
        <v>238</v>
      </c>
      <c r="G8" s="346">
        <v>105</v>
      </c>
      <c r="H8" s="346">
        <v>70</v>
      </c>
      <c r="I8" s="384">
        <f t="shared" si="0"/>
        <v>35</v>
      </c>
      <c r="J8" s="383">
        <f t="shared" si="1"/>
        <v>44.117647058823529</v>
      </c>
      <c r="K8" s="383">
        <f t="shared" si="2"/>
        <v>0.7234892854682009</v>
      </c>
      <c r="L8" s="382">
        <f>VLOOKUP($A$6:$A$32,JAN!$R$5:$V$31,4,)</f>
        <v>7055.0240000000013</v>
      </c>
      <c r="M8" s="382">
        <f>VLOOKUP($A$6:$A$32,JAN!$R$5:$V$31,5,)</f>
        <v>1523.9760000000001</v>
      </c>
      <c r="N8" s="382">
        <f>VLOOKUP($A$6:$A$32,FEV!$R$5:$V$31,4,)</f>
        <v>7854.9759999999997</v>
      </c>
      <c r="O8" s="382">
        <f>VLOOKUP($A$6:$A$32,FEV!$R$5:$V$31,5,)</f>
        <v>2352.4320000000002</v>
      </c>
      <c r="P8" s="382">
        <f>VLOOKUP($A$6:$A$32,MAR!$R$5:$AK$31,20,)</f>
        <v>5015.0640000000003</v>
      </c>
      <c r="Q8" s="382">
        <f>VLOOKUP($A$6:$A$32,MAR!$R$5:$AL$31,21,)</f>
        <v>4690.424</v>
      </c>
      <c r="R8" s="345">
        <f>VLOOKUP($A$6:$A$32,ABR!$R$5:$U$31,4,)</f>
        <v>1211.3920000000001</v>
      </c>
      <c r="S8" s="345">
        <f>VLOOKUP($A$6:$A$32,ABR!$R$5:$V$31,5,)</f>
        <v>824.24</v>
      </c>
      <c r="T8" s="345">
        <f>VLOOKUP($A$6:$A$32,MAI!$B$5:$F$31,4,)</f>
        <v>182.84800000000001</v>
      </c>
      <c r="U8" s="345">
        <f>VLOOKUP($A$6:$A$32,MAI!$B$5:$F$31,5,)</f>
        <v>801.37600000000009</v>
      </c>
      <c r="V8" s="345">
        <f>VLOOKUP($A$6:$A$32,JUN!$B$5:$F$31,4,)</f>
        <v>2697.0480000000002</v>
      </c>
      <c r="W8" s="345">
        <f>VLOOKUP($A$6:$A$32,JUN!$B$5:$F$31,5,)</f>
        <v>0</v>
      </c>
      <c r="X8" s="345">
        <f>VLOOKUP($A$6:$A$32,JUL!$B$5:$F$31,4,)</f>
        <v>3146.56</v>
      </c>
      <c r="Y8" s="345">
        <f>VLOOKUP($A$6:$A$32,JUL!$B$5:$F$31,5,)</f>
        <v>1741.2720000000002</v>
      </c>
      <c r="Z8" s="344">
        <f>VLOOKUP($A$6:$A$32,AGO!$B$5:$F$31,4,)</f>
        <v>5288.9760000000006</v>
      </c>
      <c r="AA8" s="344">
        <f>VLOOKUP($A$6:$A$32,AGO!$B$5:$F$31,5,)</f>
        <v>412.20799999999946</v>
      </c>
      <c r="AB8" s="344">
        <f>VLOOKUP($A$6:$A$32,SET!$B$5:$F$31,4,)</f>
        <v>1660.9360000000001</v>
      </c>
      <c r="AC8" s="344">
        <f>VLOOKUP($A$6:$A$32,SET!$B$5:$F$31,5,)</f>
        <v>762.95999999999992</v>
      </c>
      <c r="AD8" s="344">
        <f>VLOOKUP($A$6:$A$32,OUT!$B$5:$F$31,4,)</f>
        <v>777.15200000000004</v>
      </c>
      <c r="AE8" s="344">
        <f>VLOOKUP($A$6:$A$32,OUT!$B$5:$F$31,5,)</f>
        <v>1483.1279999999999</v>
      </c>
      <c r="AF8" s="344">
        <f>VLOOKUP($A$6:$A$32,NOV!$B$5:$F$31,4,)</f>
        <v>1478.0879999999997</v>
      </c>
      <c r="AG8" s="344">
        <f>VLOOKUP($A$6:$A$32,NOV!$B$5:$F$31,5,)</f>
        <v>1795.0560000000003</v>
      </c>
      <c r="AH8" s="344">
        <f>VLOOKUP($A$6:$A$32,DEZ!$B$5:$F$31,4,)</f>
        <v>1577.088</v>
      </c>
      <c r="AI8" s="344">
        <f>VLOOKUP($A$6:$A$32,DEZ!$B$5:$F$31,5,)</f>
        <v>1848.4160000000004</v>
      </c>
      <c r="AJ8" s="343">
        <f t="shared" si="5"/>
        <v>56180.639999999999</v>
      </c>
      <c r="AK8" s="381">
        <f t="shared" si="3"/>
        <v>103.86467204890791</v>
      </c>
      <c r="AL8" s="342">
        <f t="shared" si="4"/>
        <v>0.61700617639649358</v>
      </c>
      <c r="AM8" s="314">
        <f t="shared" si="6"/>
        <v>1.038646720489079</v>
      </c>
      <c r="AN8" s="368">
        <f t="shared" si="7"/>
        <v>0.87671412850110486</v>
      </c>
      <c r="AO8" s="314">
        <f t="shared" si="8"/>
        <v>0.86354206122775656</v>
      </c>
      <c r="AP8" s="367">
        <f>'Comparativo YoY'!EC10</f>
        <v>-1.1086408306751139</v>
      </c>
      <c r="AQ8" s="315">
        <f t="shared" si="9"/>
        <v>37945.152000000002</v>
      </c>
      <c r="AR8" s="315">
        <f t="shared" si="10"/>
        <v>18235.488000000001</v>
      </c>
      <c r="AS8" s="1202" t="b">
        <f t="shared" si="11"/>
        <v>1</v>
      </c>
      <c r="AT8" s="608"/>
      <c r="AU8" s="608"/>
      <c r="AV8" s="608"/>
    </row>
    <row r="9" spans="1:48" s="313" customFormat="1" ht="28.5">
      <c r="A9" s="386" t="s">
        <v>89</v>
      </c>
      <c r="B9" s="350">
        <v>245</v>
      </c>
      <c r="C9" s="385">
        <v>45</v>
      </c>
      <c r="D9" s="350">
        <v>16003.19</v>
      </c>
      <c r="E9" s="350">
        <v>6948.27</v>
      </c>
      <c r="F9" s="1008">
        <f>VLOOKUP($A$6:$A$32,'Relatórios - SICCAU e IGEO'!$A$3:$H$29,8,)</f>
        <v>256</v>
      </c>
      <c r="G9" s="346">
        <v>81</v>
      </c>
      <c r="H9" s="346">
        <v>55</v>
      </c>
      <c r="I9" s="384">
        <f t="shared" si="0"/>
        <v>26</v>
      </c>
      <c r="J9" s="383">
        <f t="shared" si="1"/>
        <v>31.640625</v>
      </c>
      <c r="K9" s="383">
        <f t="shared" si="2"/>
        <v>0.55812030593261208</v>
      </c>
      <c r="L9" s="382">
        <f>VLOOKUP($A$6:$A$32,JAN!$R$5:$V$31,4,)</f>
        <v>2392.3040000000001</v>
      </c>
      <c r="M9" s="382">
        <f>VLOOKUP($A$6:$A$32,JAN!$R$5:$V$31,5,)</f>
        <v>3040.6640000000002</v>
      </c>
      <c r="N9" s="382">
        <f>VLOOKUP($A$6:$A$32,FEV!$R$5:$V$31,4,)</f>
        <v>3702.7440000000006</v>
      </c>
      <c r="O9" s="382">
        <f>VLOOKUP($A$6:$A$32,FEV!$R$5:$V$31,5,)</f>
        <v>793.95200000000011</v>
      </c>
      <c r="P9" s="382">
        <f>VLOOKUP($A$6:$A$32,MAR!$R$5:$AK$31,20,)</f>
        <v>2636.096</v>
      </c>
      <c r="Q9" s="382">
        <f>VLOOKUP($A$6:$A$32,MAR!$R$5:$AL$31,21,)</f>
        <v>1394.96</v>
      </c>
      <c r="R9" s="345">
        <f>VLOOKUP($A$6:$A$32,ABR!$R$5:$U$31,4,)</f>
        <v>1828.5119999999999</v>
      </c>
      <c r="S9" s="345">
        <f>VLOOKUP($A$6:$A$32,ABR!$R$5:$V$31,5,)</f>
        <v>871.51200000000017</v>
      </c>
      <c r="T9" s="345">
        <f>VLOOKUP($A$6:$A$32,MAI!$B$5:$F$31,4,)</f>
        <v>548.55200000000002</v>
      </c>
      <c r="U9" s="345">
        <f>VLOOKUP($A$6:$A$32,MAI!$B$5:$F$31,5,)</f>
        <v>311.56799999999998</v>
      </c>
      <c r="V9" s="345">
        <f>VLOOKUP($A$6:$A$32,JUN!$B$5:$F$31,4,)</f>
        <v>2836.8240000000001</v>
      </c>
      <c r="W9" s="345">
        <f>VLOOKUP($A$6:$A$32,JUN!$B$5:$F$31,5,)</f>
        <v>435.63200000000001</v>
      </c>
      <c r="X9" s="345">
        <f>VLOOKUP($A$6:$A$32,JUL!$B$5:$F$31,4,)</f>
        <v>4015.1120000000005</v>
      </c>
      <c r="Y9" s="345">
        <f>VLOOKUP($A$6:$A$32,JUL!$B$5:$F$31,5,)</f>
        <v>1225.992</v>
      </c>
      <c r="Z9" s="344">
        <f>VLOOKUP($A$6:$A$32,AGO!$B$5:$F$31,4,)</f>
        <v>5607.5040000000008</v>
      </c>
      <c r="AA9" s="344">
        <f>VLOOKUP($A$6:$A$32,AGO!$B$5:$F$31,5,)</f>
        <v>659.17599999999948</v>
      </c>
      <c r="AB9" s="344">
        <f>VLOOKUP($A$6:$A$32,SET!$B$5:$F$31,4,)</f>
        <v>1447.6000000000001</v>
      </c>
      <c r="AC9" s="344">
        <f>VLOOKUP($A$6:$A$32,SET!$B$5:$F$31,5,)</f>
        <v>511.61599999999999</v>
      </c>
      <c r="AD9" s="344">
        <f>VLOOKUP($A$6:$A$32,OUT!$B$5:$F$31,4,)</f>
        <v>266.64800000000002</v>
      </c>
      <c r="AE9" s="344">
        <f>VLOOKUP($A$6:$A$32,OUT!$B$5:$F$31,5,)</f>
        <v>1221.912</v>
      </c>
      <c r="AF9" s="344">
        <f>VLOOKUP($A$6:$A$32,NOV!$B$5:$F$31,4,)</f>
        <v>2079.904</v>
      </c>
      <c r="AG9" s="344">
        <f>VLOOKUP($A$6:$A$32,NOV!$B$5:$F$31,5,)</f>
        <v>242.01599999999999</v>
      </c>
      <c r="AH9" s="344">
        <f>VLOOKUP($A$6:$A$32,DEZ!$B$5:$F$31,4,)</f>
        <v>2064.7040000000002</v>
      </c>
      <c r="AI9" s="344">
        <f>VLOOKUP($A$6:$A$32,DEZ!$B$5:$F$31,5,)</f>
        <v>330.03199999999998</v>
      </c>
      <c r="AJ9" s="343">
        <f t="shared" si="5"/>
        <v>40465.536000000007</v>
      </c>
      <c r="AK9" s="381">
        <f t="shared" si="3"/>
        <v>176.30920211611814</v>
      </c>
      <c r="AL9" s="342">
        <f t="shared" si="4"/>
        <v>0.44441440402235838</v>
      </c>
      <c r="AM9" s="314">
        <f t="shared" si="6"/>
        <v>1.7630920211611814</v>
      </c>
      <c r="AN9" s="368">
        <f t="shared" si="7"/>
        <v>1.5631413486936041</v>
      </c>
      <c r="AO9" s="314">
        <f t="shared" si="8"/>
        <v>1.330557390544697</v>
      </c>
      <c r="AP9" s="367">
        <f>'Comparativo YoY'!EC11</f>
        <v>18.349099745692413</v>
      </c>
      <c r="AQ9" s="315">
        <f t="shared" si="9"/>
        <v>29426.504000000001</v>
      </c>
      <c r="AR9" s="315">
        <f t="shared" si="10"/>
        <v>11039.032000000001</v>
      </c>
      <c r="AS9" s="1202" t="b">
        <f t="shared" si="11"/>
        <v>1</v>
      </c>
      <c r="AT9" s="608"/>
      <c r="AU9" s="608"/>
      <c r="AV9" s="608"/>
    </row>
    <row r="10" spans="1:48" s="313" customFormat="1" ht="28.5">
      <c r="A10" s="386" t="s">
        <v>91</v>
      </c>
      <c r="B10" s="350">
        <v>949</v>
      </c>
      <c r="C10" s="385">
        <v>392</v>
      </c>
      <c r="D10" s="350">
        <v>166075.54</v>
      </c>
      <c r="E10" s="350">
        <v>25000</v>
      </c>
      <c r="F10" s="1008">
        <f>VLOOKUP($A$6:$A$32,'Relatórios - SICCAU e IGEO'!$A$3:$H$29,8,)</f>
        <v>957</v>
      </c>
      <c r="G10" s="346">
        <v>425</v>
      </c>
      <c r="H10" s="346">
        <v>281</v>
      </c>
      <c r="I10" s="384">
        <f t="shared" si="0"/>
        <v>144</v>
      </c>
      <c r="J10" s="383">
        <f t="shared" si="1"/>
        <v>44.409613375130618</v>
      </c>
      <c r="K10" s="383">
        <f t="shared" si="2"/>
        <v>2.9284090126093845</v>
      </c>
      <c r="L10" s="382">
        <f>VLOOKUP($A$6:$A$32,JAN!$R$5:$V$31,4,)</f>
        <v>30840.920000000002</v>
      </c>
      <c r="M10" s="382">
        <f>VLOOKUP($A$6:$A$32,JAN!$R$5:$V$31,5,)</f>
        <v>3606.4400000000005</v>
      </c>
      <c r="N10" s="382">
        <f>VLOOKUP($A$6:$A$32,FEV!$R$5:$V$31,4,)</f>
        <v>36066.455999999998</v>
      </c>
      <c r="O10" s="382">
        <f>VLOOKUP($A$6:$A$32,FEV!$R$5:$V$31,5,)</f>
        <v>2710.0320000000002</v>
      </c>
      <c r="P10" s="382">
        <f>VLOOKUP($A$6:$A$32,MAR!$R$5:$AK$31,20,)</f>
        <v>16043.2</v>
      </c>
      <c r="Q10" s="382">
        <f>VLOOKUP($A$6:$A$32,MAR!$R$5:$AL$31,21,)</f>
        <v>3676.6080000000002</v>
      </c>
      <c r="R10" s="345">
        <f>VLOOKUP($A$6:$A$32,ABR!$R$5:$U$31,4,)</f>
        <v>8719.68</v>
      </c>
      <c r="S10" s="345">
        <f>VLOOKUP($A$6:$A$32,ABR!$R$5:$V$31,5,)</f>
        <v>1494.7920000000001</v>
      </c>
      <c r="T10" s="345">
        <f>VLOOKUP($A$6:$A$32,MAI!$B$5:$F$31,4,)</f>
        <v>4533.152</v>
      </c>
      <c r="U10" s="345">
        <f>VLOOKUP($A$6:$A$32,MAI!$B$5:$F$31,5,)</f>
        <v>1919.3440000000001</v>
      </c>
      <c r="V10" s="345">
        <f>VLOOKUP($A$6:$A$32,JUN!$B$5:$F$31,4,)</f>
        <v>11102.448</v>
      </c>
      <c r="W10" s="345">
        <f>VLOOKUP($A$6:$A$32,JUN!$B$5:$F$31,5,)</f>
        <v>1449.5440000000001</v>
      </c>
      <c r="X10" s="345">
        <f>VLOOKUP($A$6:$A$32,JUL!$B$5:$F$31,4,)</f>
        <v>17660.376</v>
      </c>
      <c r="Y10" s="345">
        <f>VLOOKUP($A$6:$A$32,JUL!$B$5:$F$31,5,)</f>
        <v>1998.8319999999978</v>
      </c>
      <c r="Z10" s="344">
        <f>VLOOKUP($A$6:$A$32,AGO!$B$5:$F$31,4,)</f>
        <v>18569.007999999998</v>
      </c>
      <c r="AA10" s="344">
        <f>VLOOKUP($A$6:$A$32,AGO!$B$5:$F$31,5,)</f>
        <v>4831.0880000000006</v>
      </c>
      <c r="AB10" s="344">
        <f>VLOOKUP($A$6:$A$32,SET!$B$5:$F$31,4,)</f>
        <v>6823.5119999999997</v>
      </c>
      <c r="AC10" s="344">
        <f>VLOOKUP($A$6:$A$32,SET!$B$5:$F$31,5,)</f>
        <v>1290.3919999999998</v>
      </c>
      <c r="AD10" s="344">
        <f>VLOOKUP($A$6:$A$32,OUT!$B$5:$F$31,4,)</f>
        <v>1820.9360000000001</v>
      </c>
      <c r="AE10" s="344">
        <f>VLOOKUP($A$6:$A$32,OUT!$B$5:$F$31,5,)</f>
        <v>4229.9040000000005</v>
      </c>
      <c r="AF10" s="344">
        <f>VLOOKUP($A$6:$A$32,NOV!$B$5:$F$31,4,)</f>
        <v>6159</v>
      </c>
      <c r="AG10" s="344">
        <f>VLOOKUP($A$6:$A$32,NOV!$B$5:$F$31,5,)</f>
        <v>3076.0880000000002</v>
      </c>
      <c r="AH10" s="344">
        <f>VLOOKUP($A$6:$A$32,DEZ!$B$5:$F$31,4,)</f>
        <v>4921.32</v>
      </c>
      <c r="AI10" s="344">
        <f>VLOOKUP($A$6:$A$32,DEZ!$B$5:$F$31,5,)</f>
        <v>3087.3120000000013</v>
      </c>
      <c r="AJ10" s="343">
        <f t="shared" si="5"/>
        <v>196630.38399999993</v>
      </c>
      <c r="AK10" s="381">
        <f t="shared" si="3"/>
        <v>102.90714551951542</v>
      </c>
      <c r="AL10" s="342">
        <f t="shared" si="4"/>
        <v>2.1595012337918229</v>
      </c>
      <c r="AM10" s="314">
        <f t="shared" si="6"/>
        <v>1.0290714551951543</v>
      </c>
      <c r="AN10" s="368">
        <f t="shared" si="7"/>
        <v>0.90536361947099475</v>
      </c>
      <c r="AO10" s="314">
        <f t="shared" si="8"/>
        <v>0.91908287999999982</v>
      </c>
      <c r="AP10" s="367">
        <f>'Comparativo YoY'!EC12</f>
        <v>-9.4110022953897641</v>
      </c>
      <c r="AQ10" s="315">
        <f t="shared" si="9"/>
        <v>163260.00799999997</v>
      </c>
      <c r="AR10" s="315">
        <f t="shared" si="10"/>
        <v>33370.375999999997</v>
      </c>
      <c r="AS10" s="1202" t="b">
        <f t="shared" si="11"/>
        <v>1</v>
      </c>
      <c r="AT10" s="608"/>
      <c r="AU10" s="608"/>
      <c r="AV10" s="608"/>
    </row>
    <row r="11" spans="1:48" s="313" customFormat="1" ht="28.5">
      <c r="A11" s="386" t="s">
        <v>92</v>
      </c>
      <c r="B11" s="350">
        <v>366</v>
      </c>
      <c r="C11" s="385">
        <v>170</v>
      </c>
      <c r="D11" s="350">
        <v>86662.07</v>
      </c>
      <c r="E11" s="350">
        <v>8679</v>
      </c>
      <c r="F11" s="1008">
        <f>VLOOKUP($A$6:$A$32,'Relatórios - SICCAU e IGEO'!$A$3:$H$29,8,)</f>
        <v>390</v>
      </c>
      <c r="G11" s="346">
        <v>214</v>
      </c>
      <c r="H11" s="346">
        <v>147</v>
      </c>
      <c r="I11" s="384">
        <f t="shared" si="0"/>
        <v>67</v>
      </c>
      <c r="J11" s="383">
        <f t="shared" si="1"/>
        <v>54.871794871794876</v>
      </c>
      <c r="K11" s="383">
        <f t="shared" si="2"/>
        <v>1.4745400675256668</v>
      </c>
      <c r="L11" s="382">
        <f>VLOOKUP($A$6:$A$32,JAN!$R$5:$V$31,4,)</f>
        <v>19353.648000000001</v>
      </c>
      <c r="M11" s="382">
        <f>VLOOKUP($A$6:$A$32,JAN!$R$5:$V$31,5,)</f>
        <v>1410.6080000000002</v>
      </c>
      <c r="N11" s="382">
        <f>VLOOKUP($A$6:$A$32,FEV!$R$5:$V$31,4,)</f>
        <v>14031.920000000002</v>
      </c>
      <c r="O11" s="382">
        <f>VLOOKUP($A$6:$A$32,FEV!$R$5:$V$31,5,)</f>
        <v>800.73599999999999</v>
      </c>
      <c r="P11" s="382">
        <f>VLOOKUP($A$6:$A$32,MAR!$R$5:$AK$31,20,)</f>
        <v>7915.2320000000009</v>
      </c>
      <c r="Q11" s="382">
        <f>VLOOKUP($A$6:$A$32,MAR!$R$5:$AL$31,21,)</f>
        <v>655.98400000000004</v>
      </c>
      <c r="R11" s="345">
        <f>VLOOKUP($A$6:$A$32,ABR!$R$5:$U$31,4,)</f>
        <v>1452.6320000000001</v>
      </c>
      <c r="S11" s="345">
        <f>VLOOKUP($A$6:$A$32,ABR!$R$5:$V$31,5,)</f>
        <v>88.448000000000008</v>
      </c>
      <c r="T11" s="345">
        <f>VLOOKUP($A$6:$A$32,MAI!$B$5:$F$31,4,)</f>
        <v>3304.0080000000003</v>
      </c>
      <c r="U11" s="345">
        <f>VLOOKUP($A$6:$A$32,MAI!$B$5:$F$31,5,)</f>
        <v>1261.384</v>
      </c>
      <c r="V11" s="345">
        <f>VLOOKUP($A$6:$A$32,JUN!$B$5:$F$31,4,)</f>
        <v>3276.0480000000002</v>
      </c>
      <c r="W11" s="345">
        <f>VLOOKUP($A$6:$A$32,JUN!$B$5:$F$31,5,)</f>
        <v>678.08</v>
      </c>
      <c r="X11" s="345">
        <f>VLOOKUP($A$6:$A$32,JUL!$B$5:$F$31,4,)</f>
        <v>7805.4240000000009</v>
      </c>
      <c r="Y11" s="345">
        <f>VLOOKUP($A$6:$A$32,JUL!$B$5:$F$31,5,)</f>
        <v>0</v>
      </c>
      <c r="Z11" s="344">
        <f>VLOOKUP($A$6:$A$32,AGO!$B$5:$F$31,4,)</f>
        <v>9679.7119999999995</v>
      </c>
      <c r="AA11" s="344">
        <f>VLOOKUP($A$6:$A$32,AGO!$B$5:$F$31,5,)</f>
        <v>36.688000000000464</v>
      </c>
      <c r="AB11" s="344">
        <f>VLOOKUP($A$6:$A$32,SET!$B$5:$F$31,4,)</f>
        <v>4681.808</v>
      </c>
      <c r="AC11" s="344">
        <f>VLOOKUP($A$6:$A$32,SET!$B$5:$F$31,5,)</f>
        <v>788.47200000000021</v>
      </c>
      <c r="AD11" s="344">
        <f>VLOOKUP($A$6:$A$32,OUT!$B$5:$F$31,4,)</f>
        <v>819</v>
      </c>
      <c r="AE11" s="344">
        <f>VLOOKUP($A$6:$A$32,OUT!$B$5:$F$31,5,)</f>
        <v>959.5200000000001</v>
      </c>
      <c r="AF11" s="344">
        <f>VLOOKUP($A$6:$A$32,NOV!$B$5:$F$31,4,)</f>
        <v>1558.0160000000003</v>
      </c>
      <c r="AG11" s="344">
        <f>VLOOKUP($A$6:$A$32,NOV!$B$5:$F$31,5,)</f>
        <v>267.24</v>
      </c>
      <c r="AH11" s="344">
        <f>VLOOKUP($A$6:$A$32,DEZ!$B$5:$F$31,4,)</f>
        <v>2057.056</v>
      </c>
      <c r="AI11" s="344">
        <f>VLOOKUP($A$6:$A$32,DEZ!$B$5:$F$31,5,)</f>
        <v>694.87199999999984</v>
      </c>
      <c r="AJ11" s="343">
        <f t="shared" si="5"/>
        <v>83576.536000000007</v>
      </c>
      <c r="AK11" s="381">
        <f t="shared" si="3"/>
        <v>87.66058111158182</v>
      </c>
      <c r="AL11" s="342">
        <f t="shared" si="4"/>
        <v>0.91788272461516829</v>
      </c>
      <c r="AM11" s="314">
        <f t="shared" si="6"/>
        <v>0.87660581111581826</v>
      </c>
      <c r="AN11" s="368">
        <f t="shared" si="7"/>
        <v>0.82504874393145711</v>
      </c>
      <c r="AO11" s="314">
        <f t="shared" si="8"/>
        <v>0.65910819218804007</v>
      </c>
      <c r="AP11" s="367">
        <f>'Comparativo YoY'!EC13</f>
        <v>-7.4243887984140429</v>
      </c>
      <c r="AQ11" s="315">
        <f t="shared" si="9"/>
        <v>75934.504000000015</v>
      </c>
      <c r="AR11" s="315">
        <f t="shared" si="10"/>
        <v>7642.0319999999992</v>
      </c>
      <c r="AS11" s="1202" t="b">
        <f t="shared" si="11"/>
        <v>1</v>
      </c>
      <c r="AT11" s="608"/>
      <c r="AU11" s="608"/>
      <c r="AV11" s="608"/>
    </row>
    <row r="12" spans="1:48" s="313" customFormat="1" ht="28.5">
      <c r="A12" s="386" t="s">
        <v>93</v>
      </c>
      <c r="B12" s="350">
        <v>716</v>
      </c>
      <c r="C12" s="385">
        <v>275</v>
      </c>
      <c r="D12" s="350">
        <v>106063.11</v>
      </c>
      <c r="E12" s="350">
        <v>30000</v>
      </c>
      <c r="F12" s="1008">
        <f>VLOOKUP($A$6:$A$32,'Relatórios - SICCAU e IGEO'!$A$3:$H$29,8,)</f>
        <v>734</v>
      </c>
      <c r="G12" s="346">
        <v>321</v>
      </c>
      <c r="H12" s="346">
        <v>220</v>
      </c>
      <c r="I12" s="384">
        <f t="shared" si="0"/>
        <v>101</v>
      </c>
      <c r="J12" s="383">
        <f t="shared" si="1"/>
        <v>43.732970027247958</v>
      </c>
      <c r="K12" s="383">
        <f t="shared" si="2"/>
        <v>2.2118101012885001</v>
      </c>
      <c r="L12" s="382">
        <f>VLOOKUP($A$6:$A$32,JAN!$R$5:$V$31,4,)</f>
        <v>17348.032000000003</v>
      </c>
      <c r="M12" s="382">
        <f>VLOOKUP($A$6:$A$32,JAN!$R$5:$V$31,5,)</f>
        <v>7419.1759999999995</v>
      </c>
      <c r="N12" s="382">
        <f>VLOOKUP($A$6:$A$32,FEV!$R$5:$V$31,4,)</f>
        <v>34402.688000000002</v>
      </c>
      <c r="O12" s="382">
        <f>VLOOKUP($A$6:$A$32,FEV!$R$5:$V$31,5,)</f>
        <v>3635.1120000000005</v>
      </c>
      <c r="P12" s="382">
        <f>VLOOKUP($A$6:$A$32,MAR!$R$5:$AK$31,20,)</f>
        <v>10359.616000000002</v>
      </c>
      <c r="Q12" s="382">
        <f>VLOOKUP($A$6:$A$32,MAR!$R$5:$AL$31,21,)</f>
        <v>1122</v>
      </c>
      <c r="R12" s="345">
        <f>VLOOKUP($A$6:$A$32,ABR!$R$5:$U$31,4,)</f>
        <v>7362.2640000000001</v>
      </c>
      <c r="S12" s="345">
        <f>VLOOKUP($A$6:$A$32,ABR!$R$5:$V$31,5,)</f>
        <v>1098.0160000000001</v>
      </c>
      <c r="T12" s="345">
        <f>VLOOKUP($A$6:$A$32,MAI!$B$5:$F$31,4,)</f>
        <v>4771.88</v>
      </c>
      <c r="U12" s="345">
        <f>VLOOKUP($A$6:$A$32,MAI!$B$5:$F$31,5,)</f>
        <v>619.13599999999997</v>
      </c>
      <c r="V12" s="345">
        <f>VLOOKUP($A$6:$A$32,JUN!$B$5:$F$31,4,)</f>
        <v>9762.2000000000007</v>
      </c>
      <c r="W12" s="345">
        <f>VLOOKUP($A$6:$A$32,JUN!$B$5:$F$31,5,)</f>
        <v>2493.3040000000001</v>
      </c>
      <c r="X12" s="345">
        <f>VLOOKUP($A$6:$A$32,JUL!$B$5:$F$31,4,)</f>
        <v>8830.1759999999995</v>
      </c>
      <c r="Y12" s="345">
        <f>VLOOKUP($A$6:$A$32,JUL!$B$5:$F$31,5,)</f>
        <v>353.79199999999986</v>
      </c>
      <c r="Z12" s="344">
        <f>VLOOKUP($A$6:$A$32,AGO!$B$5:$F$31,4,)</f>
        <v>17371.68</v>
      </c>
      <c r="AA12" s="344">
        <f>VLOOKUP($A$6:$A$32,AGO!$B$5:$F$31,5,)</f>
        <v>4806.0960000000023</v>
      </c>
      <c r="AB12" s="344">
        <f>VLOOKUP($A$6:$A$32,SET!$B$5:$F$31,4,)</f>
        <v>3055.16</v>
      </c>
      <c r="AC12" s="344">
        <f>VLOOKUP($A$6:$A$32,SET!$B$5:$F$31,5,)</f>
        <v>1762.768</v>
      </c>
      <c r="AD12" s="344">
        <f>VLOOKUP($A$6:$A$32,OUT!$B$5:$F$31,4,)</f>
        <v>4108.4480000000003</v>
      </c>
      <c r="AE12" s="344">
        <f>VLOOKUP($A$6:$A$32,OUT!$B$5:$F$31,5,)</f>
        <v>962.1519999999997</v>
      </c>
      <c r="AF12" s="344">
        <f>VLOOKUP($A$6:$A$32,NOV!$B$5:$F$31,4,)</f>
        <v>4664.6320000000005</v>
      </c>
      <c r="AG12" s="344">
        <f>VLOOKUP($A$6:$A$32,NOV!$B$5:$F$31,5,)</f>
        <v>850.36800000000005</v>
      </c>
      <c r="AH12" s="344">
        <f>VLOOKUP($A$6:$A$32,DEZ!$B$5:$F$31,4,)</f>
        <v>4893.1440000000002</v>
      </c>
      <c r="AI12" s="344">
        <f>VLOOKUP($A$6:$A$32,DEZ!$B$5:$F$31,5,)</f>
        <v>2356.2720000000004</v>
      </c>
      <c r="AJ12" s="343">
        <f t="shared" si="5"/>
        <v>154408.11200000002</v>
      </c>
      <c r="AK12" s="381">
        <f t="shared" si="3"/>
        <v>113.4827154840133</v>
      </c>
      <c r="AL12" s="342">
        <f t="shared" si="4"/>
        <v>1.6957934048049568</v>
      </c>
      <c r="AM12" s="314">
        <f t="shared" si="6"/>
        <v>1.134827154840133</v>
      </c>
      <c r="AN12" s="368">
        <f t="shared" si="7"/>
        <v>1.0678896366512352</v>
      </c>
      <c r="AO12" s="314">
        <f t="shared" si="8"/>
        <v>0.77698</v>
      </c>
      <c r="AP12" s="367">
        <f>'Comparativo YoY'!EC14</f>
        <v>-19.704058854747998</v>
      </c>
      <c r="AQ12" s="315">
        <f t="shared" si="9"/>
        <v>126929.92</v>
      </c>
      <c r="AR12" s="315">
        <f t="shared" si="10"/>
        <v>27478.191999999999</v>
      </c>
      <c r="AS12" s="1202" t="b">
        <f t="shared" si="11"/>
        <v>1</v>
      </c>
      <c r="AT12" s="608"/>
      <c r="AU12" s="608"/>
      <c r="AV12" s="608"/>
    </row>
    <row r="13" spans="1:48" s="313" customFormat="1" ht="28.5">
      <c r="A13" s="386" t="s">
        <v>94</v>
      </c>
      <c r="B13" s="350">
        <v>430</v>
      </c>
      <c r="C13" s="385">
        <v>265</v>
      </c>
      <c r="D13" s="350">
        <v>121100.47</v>
      </c>
      <c r="E13" s="350">
        <v>25044.92</v>
      </c>
      <c r="F13" s="1008">
        <f>VLOOKUP($A$6:$A$32,'Relatórios - SICCAU e IGEO'!$A$3:$H$29,8,)</f>
        <v>452</v>
      </c>
      <c r="G13" s="346">
        <v>321</v>
      </c>
      <c r="H13" s="346">
        <v>229</v>
      </c>
      <c r="I13" s="384">
        <f t="shared" si="0"/>
        <v>92</v>
      </c>
      <c r="J13" s="383">
        <f t="shared" si="1"/>
        <v>71.017699115044252</v>
      </c>
      <c r="K13" s="383">
        <f t="shared" si="2"/>
        <v>2.2118101012885001</v>
      </c>
      <c r="L13" s="382">
        <f>VLOOKUP($A$6:$A$32,JAN!$R$5:$V$31,4,)</f>
        <v>16850.904000000002</v>
      </c>
      <c r="M13" s="382">
        <f>VLOOKUP($A$6:$A$32,JAN!$R$5:$V$31,5,)</f>
        <v>3367.92</v>
      </c>
      <c r="N13" s="382">
        <f>VLOOKUP($A$6:$A$32,FEV!$R$5:$V$31,4,)</f>
        <v>45672.832000000002</v>
      </c>
      <c r="O13" s="382">
        <f>VLOOKUP($A$6:$A$32,FEV!$R$5:$V$31,5,)</f>
        <v>2910.3919999999998</v>
      </c>
      <c r="P13" s="382">
        <f>VLOOKUP($A$6:$A$32,MAR!$R$5:$AK$31,20,)</f>
        <v>12975.400000000001</v>
      </c>
      <c r="Q13" s="382">
        <f>VLOOKUP($A$6:$A$32,MAR!$R$5:$AL$31,21,)</f>
        <v>3004.4639999999999</v>
      </c>
      <c r="R13" s="345">
        <f>VLOOKUP($A$6:$A$32,ABR!$R$5:$U$31,4,)</f>
        <v>3329.384</v>
      </c>
      <c r="S13" s="345">
        <f>VLOOKUP($A$6:$A$32,ABR!$R$5:$V$31,5,)</f>
        <v>1503.4</v>
      </c>
      <c r="T13" s="345">
        <f>VLOOKUP($A$6:$A$32,MAI!$B$5:$F$31,4,)</f>
        <v>4197.9279999999999</v>
      </c>
      <c r="U13" s="345">
        <f>VLOOKUP($A$6:$A$32,MAI!$B$5:$F$31,5,)</f>
        <v>1018.3920000000001</v>
      </c>
      <c r="V13" s="345">
        <f>VLOOKUP($A$6:$A$32,JUN!$B$5:$F$31,4,)</f>
        <v>4214.4160000000002</v>
      </c>
      <c r="W13" s="345">
        <f>VLOOKUP($A$6:$A$32,JUN!$B$5:$F$31,5,)</f>
        <v>519.52</v>
      </c>
      <c r="X13" s="345">
        <f>VLOOKUP($A$6:$A$32,JUL!$B$5:$F$31,4,)</f>
        <v>6823.92</v>
      </c>
      <c r="Y13" s="345">
        <f>VLOOKUP($A$6:$A$32,JUL!$B$5:$F$31,5,)</f>
        <v>2920.7759999999998</v>
      </c>
      <c r="Z13" s="344">
        <f>VLOOKUP($A$6:$A$32,AGO!$B$5:$F$31,4,)</f>
        <v>12088.744000000001</v>
      </c>
      <c r="AA13" s="344">
        <f>VLOOKUP($A$6:$A$32,AGO!$B$5:$F$31,5,)</f>
        <v>2770.2320000000009</v>
      </c>
      <c r="AB13" s="344">
        <f>VLOOKUP($A$6:$A$32,SET!$B$5:$F$31,4,)</f>
        <v>4302.3680000000004</v>
      </c>
      <c r="AC13" s="344">
        <f>VLOOKUP($A$6:$A$32,SET!$B$5:$F$31,5,)</f>
        <v>1745.6240000000007</v>
      </c>
      <c r="AD13" s="344">
        <f>VLOOKUP($A$6:$A$32,OUT!$B$5:$F$31,4,)</f>
        <v>2081.4639999999999</v>
      </c>
      <c r="AE13" s="344">
        <f>VLOOKUP($A$6:$A$32,OUT!$B$5:$F$31,5,)</f>
        <v>3201.9840000000004</v>
      </c>
      <c r="AF13" s="344">
        <f>VLOOKUP($A$6:$A$32,NOV!$B$5:$F$31,4,)</f>
        <v>3269.9920000000002</v>
      </c>
      <c r="AG13" s="344">
        <f>VLOOKUP($A$6:$A$32,NOV!$B$5:$F$31,5,)</f>
        <v>1792.384</v>
      </c>
      <c r="AH13" s="344">
        <f>VLOOKUP($A$6:$A$32,DEZ!$B$5:$F$31,4,)</f>
        <v>4201.9679999999998</v>
      </c>
      <c r="AI13" s="344">
        <f>VLOOKUP($A$6:$A$32,DEZ!$B$5:$F$31,5,)</f>
        <v>1743.3119999999997</v>
      </c>
      <c r="AJ13" s="343">
        <f t="shared" si="5"/>
        <v>146507.72</v>
      </c>
      <c r="AK13" s="381">
        <f t="shared" si="3"/>
        <v>100.24792434438061</v>
      </c>
      <c r="AL13" s="342">
        <f t="shared" si="4"/>
        <v>1.609027026565879</v>
      </c>
      <c r="AM13" s="314">
        <f t="shared" si="6"/>
        <v>1.0024792434438061</v>
      </c>
      <c r="AN13" s="368">
        <f t="shared" si="7"/>
        <v>0.91210129902881476</v>
      </c>
      <c r="AO13" s="314">
        <f t="shared" si="8"/>
        <v>0.78901110484681136</v>
      </c>
      <c r="AP13" s="367">
        <f>'Comparativo YoY'!EC15</f>
        <v>-7.4308921144627078</v>
      </c>
      <c r="AQ13" s="315">
        <f t="shared" si="9"/>
        <v>120009.32</v>
      </c>
      <c r="AR13" s="315">
        <f t="shared" si="10"/>
        <v>26498.400000000001</v>
      </c>
      <c r="AS13" s="1202" t="b">
        <f t="shared" si="11"/>
        <v>1</v>
      </c>
      <c r="AT13" s="608"/>
      <c r="AU13" s="608"/>
      <c r="AV13" s="608"/>
    </row>
    <row r="14" spans="1:48" s="313" customFormat="1" ht="28.5">
      <c r="A14" s="386" t="s">
        <v>95</v>
      </c>
      <c r="B14" s="350">
        <v>632</v>
      </c>
      <c r="C14" s="385">
        <v>298</v>
      </c>
      <c r="D14" s="350">
        <v>117915.48999999999</v>
      </c>
      <c r="E14" s="350">
        <v>30000</v>
      </c>
      <c r="F14" s="1008">
        <f>VLOOKUP($A$6:$A$32,'Relatórios - SICCAU e IGEO'!$A$3:$H$29,8,)</f>
        <v>670</v>
      </c>
      <c r="G14" s="346">
        <v>344</v>
      </c>
      <c r="H14" s="346">
        <v>258</v>
      </c>
      <c r="I14" s="384">
        <f t="shared" si="0"/>
        <v>86</v>
      </c>
      <c r="J14" s="383">
        <f t="shared" si="1"/>
        <v>51.343283582089548</v>
      </c>
      <c r="K14" s="383">
        <f t="shared" si="2"/>
        <v>2.3702887066767726</v>
      </c>
      <c r="L14" s="382">
        <f>VLOOKUP($A$6:$A$32,JAN!$R$5:$V$31,4,)</f>
        <v>13953.848000000002</v>
      </c>
      <c r="M14" s="382">
        <f>VLOOKUP($A$6:$A$32,JAN!$R$5:$V$31,5,)</f>
        <v>4949.9440000000004</v>
      </c>
      <c r="N14" s="382">
        <f>VLOOKUP($A$6:$A$32,FEV!$R$5:$V$31,4,)</f>
        <v>30779.976000000002</v>
      </c>
      <c r="O14" s="382">
        <f>VLOOKUP($A$6:$A$32,FEV!$R$5:$V$31,5,)</f>
        <v>6452.7520000000004</v>
      </c>
      <c r="P14" s="382">
        <f>VLOOKUP($A$6:$A$32,MAR!$R$5:$AK$31,20,)</f>
        <v>13795.688000000002</v>
      </c>
      <c r="Q14" s="382">
        <f>VLOOKUP($A$6:$A$32,MAR!$R$5:$AL$31,21,)</f>
        <v>3303.0320000000002</v>
      </c>
      <c r="R14" s="345">
        <f>VLOOKUP($A$6:$A$32,ABR!$R$5:$U$31,4,)</f>
        <v>6578.8160000000007</v>
      </c>
      <c r="S14" s="345">
        <f>VLOOKUP($A$6:$A$32,ABR!$R$5:$V$31,5,)</f>
        <v>3891.4320000000002</v>
      </c>
      <c r="T14" s="345">
        <f>VLOOKUP($A$6:$A$32,MAI!$B$5:$F$31,4,)</f>
        <v>8007.344000000001</v>
      </c>
      <c r="U14" s="345">
        <f>VLOOKUP($A$6:$A$32,MAI!$B$5:$F$31,5,)</f>
        <v>2114</v>
      </c>
      <c r="V14" s="345">
        <f>VLOOKUP($A$6:$A$32,JUN!$B$5:$F$31,4,)</f>
        <v>8813.6720000000005</v>
      </c>
      <c r="W14" s="345">
        <f>VLOOKUP($A$6:$A$32,JUN!$B$5:$F$31,5,)</f>
        <v>1812.7919999999999</v>
      </c>
      <c r="X14" s="345">
        <f>VLOOKUP($A$6:$A$32,JUL!$B$5:$F$31,4,)</f>
        <v>11978.008000000002</v>
      </c>
      <c r="Y14" s="345">
        <f>VLOOKUP($A$6:$A$32,JUL!$B$5:$F$31,5,)</f>
        <v>4266.9680000000008</v>
      </c>
      <c r="Z14" s="344">
        <f>VLOOKUP($A$6:$A$32,AGO!$B$5:$F$31,4,)</f>
        <v>18768.952000000001</v>
      </c>
      <c r="AA14" s="344">
        <f>VLOOKUP($A$6:$A$32,AGO!$B$5:$F$31,5,)</f>
        <v>1777.1200000000013</v>
      </c>
      <c r="AB14" s="344">
        <f>VLOOKUP($A$6:$A$32,SET!$B$5:$F$31,4,)</f>
        <v>7455.0640000000003</v>
      </c>
      <c r="AC14" s="344">
        <f>VLOOKUP($A$6:$A$32,SET!$B$5:$F$31,5,)</f>
        <v>943.23999999999944</v>
      </c>
      <c r="AD14" s="344">
        <f>VLOOKUP($A$6:$A$32,OUT!$B$5:$F$31,4,)</f>
        <v>3356.056</v>
      </c>
      <c r="AE14" s="344">
        <f>VLOOKUP($A$6:$A$32,OUT!$B$5:$F$31,5,)</f>
        <v>1828.2560000000005</v>
      </c>
      <c r="AF14" s="344">
        <f>VLOOKUP($A$6:$A$32,NOV!$B$5:$F$31,4,)</f>
        <v>5504.5040000000008</v>
      </c>
      <c r="AG14" s="344">
        <f>VLOOKUP($A$6:$A$32,NOV!$B$5:$F$31,5,)</f>
        <v>2146.6480000000001</v>
      </c>
      <c r="AH14" s="344">
        <f>VLOOKUP($A$6:$A$32,DEZ!$B$5:$F$31,4,)</f>
        <v>3931.2960000000003</v>
      </c>
      <c r="AI14" s="344">
        <f>VLOOKUP($A$6:$A$32,DEZ!$B$5:$F$31,5,)</f>
        <v>826.95999999999992</v>
      </c>
      <c r="AJ14" s="343">
        <f t="shared" si="5"/>
        <v>167236.36800000002</v>
      </c>
      <c r="AK14" s="381">
        <f t="shared" si="3"/>
        <v>113.06210593630188</v>
      </c>
      <c r="AL14" s="342">
        <f t="shared" si="4"/>
        <v>1.8366802509568587</v>
      </c>
      <c r="AM14" s="314">
        <f t="shared" si="6"/>
        <v>1.1306210593630188</v>
      </c>
      <c r="AN14" s="368">
        <f t="shared" si="7"/>
        <v>1.0187920857556545</v>
      </c>
      <c r="AO14" s="314">
        <f t="shared" si="8"/>
        <v>0.98370933333333344</v>
      </c>
      <c r="AP14" s="367">
        <f>'Comparativo YoY'!EC16</f>
        <v>5.2142030028448261</v>
      </c>
      <c r="AQ14" s="315">
        <f t="shared" si="9"/>
        <v>132923.22400000002</v>
      </c>
      <c r="AR14" s="315">
        <f t="shared" si="10"/>
        <v>34313.144</v>
      </c>
      <c r="AS14" s="1202" t="b">
        <f t="shared" si="11"/>
        <v>1</v>
      </c>
      <c r="AT14" s="608"/>
      <c r="AU14" s="608"/>
      <c r="AV14" s="608"/>
    </row>
    <row r="15" spans="1:48" s="313" customFormat="1" ht="28.5">
      <c r="A15" s="386" t="s">
        <v>96</v>
      </c>
      <c r="B15" s="350">
        <v>262</v>
      </c>
      <c r="C15" s="385">
        <v>57</v>
      </c>
      <c r="D15" s="350">
        <v>29715.329999999998</v>
      </c>
      <c r="E15" s="350">
        <v>6988.3807833333221</v>
      </c>
      <c r="F15" s="1008">
        <f>VLOOKUP($A$6:$A$32,'Relatórios - SICCAU e IGEO'!$A$3:$H$29,8,)</f>
        <v>272</v>
      </c>
      <c r="G15" s="346">
        <v>85</v>
      </c>
      <c r="H15" s="346">
        <v>58</v>
      </c>
      <c r="I15" s="384">
        <f t="shared" si="0"/>
        <v>27</v>
      </c>
      <c r="J15" s="383">
        <f t="shared" si="1"/>
        <v>31.25</v>
      </c>
      <c r="K15" s="383">
        <f t="shared" si="2"/>
        <v>0.58568180252187696</v>
      </c>
      <c r="L15" s="382">
        <f>VLOOKUP($A$6:$A$32,JAN!$R$5:$V$31,4,)</f>
        <v>6171.2400000000007</v>
      </c>
      <c r="M15" s="382">
        <f>VLOOKUP($A$6:$A$32,JAN!$R$5:$V$31,5,)</f>
        <v>496.18400000000003</v>
      </c>
      <c r="N15" s="382">
        <f>VLOOKUP($A$6:$A$32,FEV!$R$5:$V$31,4,)</f>
        <v>6721.688000000001</v>
      </c>
      <c r="O15" s="382">
        <f>VLOOKUP($A$6:$A$32,FEV!$R$5:$V$31,5,)</f>
        <v>732.75200000000007</v>
      </c>
      <c r="P15" s="382">
        <f>VLOOKUP($A$6:$A$32,MAR!$R$5:$AK$31,20,)</f>
        <v>1851.36</v>
      </c>
      <c r="Q15" s="382">
        <f>VLOOKUP($A$6:$A$32,MAR!$R$5:$AL$31,21,)</f>
        <v>1214.28</v>
      </c>
      <c r="R15" s="345">
        <f>VLOOKUP($A$6:$A$32,ABR!$R$5:$U$31,4,)</f>
        <v>319.98400000000004</v>
      </c>
      <c r="S15" s="345">
        <f>VLOOKUP($A$6:$A$32,ABR!$R$5:$V$31,5,)</f>
        <v>189.024</v>
      </c>
      <c r="T15" s="345">
        <f>VLOOKUP($A$6:$A$32,MAI!$B$5:$F$31,4,)</f>
        <v>685.6880000000001</v>
      </c>
      <c r="U15" s="345">
        <f>VLOOKUP($A$6:$A$32,MAI!$B$5:$F$31,5,)</f>
        <v>644.32000000000005</v>
      </c>
      <c r="V15" s="345">
        <f>VLOOKUP($A$6:$A$32,JUN!$B$5:$F$31,4,)</f>
        <v>2110.4</v>
      </c>
      <c r="W15" s="345">
        <f>VLOOKUP($A$6:$A$32,JUN!$B$5:$F$31,5,)</f>
        <v>163.56</v>
      </c>
      <c r="X15" s="345">
        <f>VLOOKUP($A$6:$A$32,JUL!$B$5:$F$31,4,)</f>
        <v>3039.8960000000002</v>
      </c>
      <c r="Y15" s="345">
        <f>VLOOKUP($A$6:$A$32,JUL!$B$5:$F$31,5,)</f>
        <v>1868.3120000000004</v>
      </c>
      <c r="Z15" s="344">
        <f>VLOOKUP($A$6:$A$32,AGO!$B$5:$F$31,4,)</f>
        <v>4578.9360000000006</v>
      </c>
      <c r="AA15" s="344">
        <f>VLOOKUP($A$6:$A$32,AGO!$B$5:$F$31,5,)</f>
        <v>420.9839999999997</v>
      </c>
      <c r="AB15" s="344">
        <f>VLOOKUP($A$6:$A$32,SET!$B$5:$F$31,4,)</f>
        <v>2144.7040000000002</v>
      </c>
      <c r="AC15" s="344">
        <f>VLOOKUP($A$6:$A$32,SET!$B$5:$F$31,5,)</f>
        <v>579.27199999999982</v>
      </c>
      <c r="AD15" s="344">
        <f>VLOOKUP($A$6:$A$32,OUT!$B$5:$F$31,4,)</f>
        <v>982.84799999999996</v>
      </c>
      <c r="AE15" s="344">
        <f>VLOOKUP($A$6:$A$32,OUT!$B$5:$F$31,5,)</f>
        <v>665.52799999999991</v>
      </c>
      <c r="AF15" s="344">
        <f>VLOOKUP($A$6:$A$32,NOV!$B$5:$F$31,4,)</f>
        <v>1226.6479999999999</v>
      </c>
      <c r="AG15" s="344">
        <f>VLOOKUP($A$6:$A$32,NOV!$B$5:$F$31,5,)</f>
        <v>1185.568</v>
      </c>
      <c r="AH15" s="344">
        <f>VLOOKUP($A$6:$A$32,DEZ!$B$5:$F$31,4,)</f>
        <v>1679.9360000000001</v>
      </c>
      <c r="AI15" s="344">
        <f>VLOOKUP($A$6:$A$32,DEZ!$B$5:$F$31,5,)</f>
        <v>820.4079999999999</v>
      </c>
      <c r="AJ15" s="343">
        <f t="shared" si="5"/>
        <v>40493.520000000011</v>
      </c>
      <c r="AK15" s="381">
        <f t="shared" si="3"/>
        <v>110.3254116158402</v>
      </c>
      <c r="AL15" s="342">
        <f t="shared" si="4"/>
        <v>0.44472173944680854</v>
      </c>
      <c r="AM15" s="314">
        <f t="shared" si="6"/>
        <v>1.103254116158402</v>
      </c>
      <c r="AN15" s="368">
        <f t="shared" si="7"/>
        <v>0.92961767545573315</v>
      </c>
      <c r="AO15" s="314">
        <f t="shared" si="8"/>
        <v>0.90273958955494671</v>
      </c>
      <c r="AP15" s="367">
        <f>'Comparativo YoY'!EC17</f>
        <v>-16.256568396946335</v>
      </c>
      <c r="AQ15" s="315">
        <f t="shared" si="9"/>
        <v>31513.328000000009</v>
      </c>
      <c r="AR15" s="315">
        <f t="shared" si="10"/>
        <v>8980.1920000000009</v>
      </c>
      <c r="AS15" s="1202" t="b">
        <f t="shared" si="11"/>
        <v>1</v>
      </c>
      <c r="AT15" s="608"/>
      <c r="AU15" s="608"/>
      <c r="AV15" s="608"/>
    </row>
    <row r="16" spans="1:48" s="313" customFormat="1" ht="28.5">
      <c r="A16" s="386" t="s">
        <v>99</v>
      </c>
      <c r="B16" s="350">
        <v>1747</v>
      </c>
      <c r="C16" s="385">
        <v>981</v>
      </c>
      <c r="D16" s="350">
        <v>385175.61</v>
      </c>
      <c r="E16" s="350">
        <v>169602.58000000002</v>
      </c>
      <c r="F16" s="1008">
        <f>VLOOKUP($A$6:$A$32,'Relatórios - SICCAU e IGEO'!$A$3:$H$29,8,)</f>
        <v>1738</v>
      </c>
      <c r="G16" s="346">
        <v>1076</v>
      </c>
      <c r="H16" s="346">
        <v>765</v>
      </c>
      <c r="I16" s="384">
        <f t="shared" si="0"/>
        <v>311</v>
      </c>
      <c r="J16" s="383">
        <f t="shared" si="1"/>
        <v>61.910241657077101</v>
      </c>
      <c r="K16" s="383">
        <f t="shared" si="2"/>
        <v>7.4140425825122298</v>
      </c>
      <c r="L16" s="382">
        <f>VLOOKUP($A$6:$A$32,JAN!$R$5:$V$31,4,)</f>
        <v>84454.495999999999</v>
      </c>
      <c r="M16" s="382">
        <f>VLOOKUP($A$6:$A$32,JAN!$R$5:$V$31,5,)</f>
        <v>27282.232000000004</v>
      </c>
      <c r="N16" s="382">
        <f>VLOOKUP($A$6:$A$32,FEV!$R$5:$V$31,4,)</f>
        <v>94701.664000000004</v>
      </c>
      <c r="O16" s="382">
        <f>VLOOKUP($A$6:$A$32,FEV!$R$5:$V$31,5,)</f>
        <v>19393.48</v>
      </c>
      <c r="P16" s="382">
        <f>VLOOKUP($A$6:$A$32,MAR!$R$5:$AK$31,20,)</f>
        <v>46743.056000000004</v>
      </c>
      <c r="Q16" s="382">
        <f>VLOOKUP($A$6:$A$32,MAR!$R$5:$AL$31,21,)</f>
        <v>16598.423999999999</v>
      </c>
      <c r="R16" s="345">
        <f>VLOOKUP($A$6:$A$32,ABR!$R$5:$U$31,4,)</f>
        <v>14156.248000000001</v>
      </c>
      <c r="S16" s="345">
        <f>VLOOKUP($A$6:$A$32,ABR!$R$5:$V$31,5,)</f>
        <v>9891.9760000000006</v>
      </c>
      <c r="T16" s="345">
        <f>VLOOKUP($A$6:$A$32,MAI!$B$5:$F$31,4,)</f>
        <v>16198.752</v>
      </c>
      <c r="U16" s="345">
        <f>VLOOKUP($A$6:$A$32,MAI!$B$5:$F$31,5,)</f>
        <v>11258.352000000001</v>
      </c>
      <c r="V16" s="345">
        <f>VLOOKUP($A$6:$A$32,JUN!$B$5:$F$31,4,)</f>
        <v>25764.096000000005</v>
      </c>
      <c r="W16" s="345">
        <f>VLOOKUP($A$6:$A$32,JUN!$B$5:$F$31,5,)</f>
        <v>11858.968000000001</v>
      </c>
      <c r="X16" s="345">
        <f>VLOOKUP($A$6:$A$32,JUL!$B$5:$F$31,4,)</f>
        <v>40958.632000000005</v>
      </c>
      <c r="Y16" s="345">
        <f>VLOOKUP($A$6:$A$32,JUL!$B$5:$F$31,5,)</f>
        <v>10326.151999999996</v>
      </c>
      <c r="Z16" s="344">
        <f>VLOOKUP($A$6:$A$32,AGO!$B$5:$F$31,4,)</f>
        <v>42586.976000000002</v>
      </c>
      <c r="AA16" s="344">
        <f>VLOOKUP($A$6:$A$32,AGO!$B$5:$F$31,5,)</f>
        <v>11881.240000000003</v>
      </c>
      <c r="AB16" s="344">
        <f>VLOOKUP($A$6:$A$32,SET!$B$5:$F$31,4,)</f>
        <v>12176.816000000001</v>
      </c>
      <c r="AC16" s="344">
        <f>VLOOKUP($A$6:$A$32,SET!$B$5:$F$31,5,)</f>
        <v>9360.2320000000018</v>
      </c>
      <c r="AD16" s="344">
        <f>VLOOKUP($A$6:$A$32,OUT!$B$5:$F$31,4,)</f>
        <v>5351.4480000000003</v>
      </c>
      <c r="AE16" s="344">
        <f>VLOOKUP($A$6:$A$32,OUT!$B$5:$F$31,5,)</f>
        <v>14109.143999999998</v>
      </c>
      <c r="AF16" s="344">
        <f>VLOOKUP($A$6:$A$32,NOV!$B$5:$F$31,4,)</f>
        <v>9232.4399999999987</v>
      </c>
      <c r="AG16" s="344">
        <f>VLOOKUP($A$6:$A$32,NOV!$B$5:$F$31,5,)</f>
        <v>9004.0960000000014</v>
      </c>
      <c r="AH16" s="344">
        <f>VLOOKUP($A$6:$A$32,DEZ!$B$5:$F$31,4,)</f>
        <v>14337.936</v>
      </c>
      <c r="AI16" s="344">
        <f>VLOOKUP($A$6:$A$32,DEZ!$B$5:$F$31,5,)</f>
        <v>12662.056</v>
      </c>
      <c r="AJ16" s="343">
        <f t="shared" si="5"/>
        <v>570288.91200000001</v>
      </c>
      <c r="AK16" s="381">
        <f t="shared" si="3"/>
        <v>102.79584206437534</v>
      </c>
      <c r="AL16" s="342">
        <f t="shared" si="4"/>
        <v>6.2632212989107359</v>
      </c>
      <c r="AM16" s="314">
        <f t="shared" si="6"/>
        <v>1.0279584206437533</v>
      </c>
      <c r="AN16" s="368">
        <f t="shared" si="7"/>
        <v>0.98069744343365883</v>
      </c>
      <c r="AO16" s="314">
        <f t="shared" si="8"/>
        <v>0.75382730616480009</v>
      </c>
      <c r="AP16" s="367">
        <f>'Comparativo YoY'!EC18</f>
        <v>-8.3929154525507101</v>
      </c>
      <c r="AQ16" s="315">
        <f t="shared" si="9"/>
        <v>406662.56</v>
      </c>
      <c r="AR16" s="315">
        <f t="shared" si="10"/>
        <v>163626.35200000001</v>
      </c>
      <c r="AS16" s="1202" t="b">
        <f t="shared" si="11"/>
        <v>1</v>
      </c>
      <c r="AT16" s="608"/>
      <c r="AU16" s="608"/>
      <c r="AV16" s="608"/>
    </row>
    <row r="17" spans="1:48" s="313" customFormat="1" ht="28.5">
      <c r="A17" s="386" t="s">
        <v>98</v>
      </c>
      <c r="B17" s="350">
        <v>627</v>
      </c>
      <c r="C17" s="385">
        <v>250</v>
      </c>
      <c r="D17" s="350">
        <v>97064.06</v>
      </c>
      <c r="E17" s="350">
        <v>24717.03</v>
      </c>
      <c r="F17" s="1008">
        <f>VLOOKUP($A$6:$A$32,'Relatórios - SICCAU e IGEO'!$A$3:$H$29,8,)</f>
        <v>638</v>
      </c>
      <c r="G17" s="346">
        <v>278</v>
      </c>
      <c r="H17" s="346">
        <v>187</v>
      </c>
      <c r="I17" s="384">
        <f t="shared" si="0"/>
        <v>91</v>
      </c>
      <c r="J17" s="383">
        <f t="shared" si="1"/>
        <v>43.573667711598745</v>
      </c>
      <c r="K17" s="383">
        <f t="shared" si="2"/>
        <v>1.9155240129539033</v>
      </c>
      <c r="L17" s="382">
        <f>VLOOKUP($A$6:$A$32,JAN!$R$5:$V$31,4,)</f>
        <v>21671.696</v>
      </c>
      <c r="M17" s="382">
        <f>VLOOKUP($A$6:$A$32,JAN!$R$5:$V$31,5,)</f>
        <v>4095.2080000000005</v>
      </c>
      <c r="N17" s="382">
        <f>VLOOKUP($A$6:$A$32,FEV!$R$5:$V$31,4,)</f>
        <v>17017.544000000002</v>
      </c>
      <c r="O17" s="382">
        <f>VLOOKUP($A$6:$A$32,FEV!$R$5:$V$31,5,)</f>
        <v>2218.9680000000003</v>
      </c>
      <c r="P17" s="382">
        <f>VLOOKUP($A$6:$A$32,MAR!$R$5:$AK$31,20,)</f>
        <v>11386.567999999999</v>
      </c>
      <c r="Q17" s="382">
        <f>VLOOKUP($A$6:$A$32,MAR!$R$5:$AL$31,21,)</f>
        <v>3617.1760000000004</v>
      </c>
      <c r="R17" s="345">
        <f>VLOOKUP($A$6:$A$32,ABR!$R$5:$U$31,4,)</f>
        <v>5594.3919999999998</v>
      </c>
      <c r="S17" s="345">
        <f>VLOOKUP($A$6:$A$32,ABR!$R$5:$V$31,5,)</f>
        <v>1956.5840000000001</v>
      </c>
      <c r="T17" s="345">
        <f>VLOOKUP($A$6:$A$32,MAI!$B$5:$F$31,4,)</f>
        <v>7232.4480000000003</v>
      </c>
      <c r="U17" s="345">
        <f>VLOOKUP($A$6:$A$32,MAI!$B$5:$F$31,5,)</f>
        <v>1447.7440000000001</v>
      </c>
      <c r="V17" s="345">
        <f>VLOOKUP($A$6:$A$32,JUN!$B$5:$F$31,4,)</f>
        <v>5240.4480000000012</v>
      </c>
      <c r="W17" s="345">
        <f>VLOOKUP($A$6:$A$32,JUN!$B$5:$F$31,5,)</f>
        <v>1705.88</v>
      </c>
      <c r="X17" s="345">
        <f>VLOOKUP($A$6:$A$32,JUL!$B$5:$F$31,4,)</f>
        <v>12108.832000000002</v>
      </c>
      <c r="Y17" s="345">
        <f>VLOOKUP($A$6:$A$32,JUL!$B$5:$F$31,5,)</f>
        <v>3067.3919999999985</v>
      </c>
      <c r="Z17" s="344">
        <f>VLOOKUP($A$6:$A$32,AGO!$B$5:$F$31,4,)</f>
        <v>10908.256000000001</v>
      </c>
      <c r="AA17" s="344">
        <f>VLOOKUP($A$6:$A$32,AGO!$B$5:$F$31,5,)</f>
        <v>1312.440000000001</v>
      </c>
      <c r="AB17" s="344">
        <f>VLOOKUP($A$6:$A$32,SET!$B$5:$F$31,4,)</f>
        <v>6697</v>
      </c>
      <c r="AC17" s="344">
        <f>VLOOKUP($A$6:$A$32,SET!$B$5:$F$31,5,)</f>
        <v>5847.9600000000009</v>
      </c>
      <c r="AD17" s="344">
        <f>VLOOKUP($A$6:$A$32,OUT!$B$5:$F$31,4,)</f>
        <v>3100.8720000000003</v>
      </c>
      <c r="AE17" s="344">
        <f>VLOOKUP($A$6:$A$32,OUT!$B$5:$F$31,5,)</f>
        <v>3216.5520000000006</v>
      </c>
      <c r="AF17" s="344">
        <f>VLOOKUP($A$6:$A$32,NOV!$B$5:$F$31,4,)</f>
        <v>3771.3199999999997</v>
      </c>
      <c r="AG17" s="344">
        <f>VLOOKUP($A$6:$A$32,NOV!$B$5:$F$31,5,)</f>
        <v>1536.5040000000001</v>
      </c>
      <c r="AH17" s="344">
        <f>VLOOKUP($A$6:$A$32,DEZ!$B$5:$F$31,4,)</f>
        <v>2948.4639999999999</v>
      </c>
      <c r="AI17" s="344">
        <f>VLOOKUP($A$6:$A$32,DEZ!$B$5:$F$31,5,)</f>
        <v>2421.288</v>
      </c>
      <c r="AJ17" s="343">
        <f t="shared" si="5"/>
        <v>140121.53599999999</v>
      </c>
      <c r="AK17" s="381">
        <f t="shared" si="3"/>
        <v>115.06017559869106</v>
      </c>
      <c r="AL17" s="342">
        <f t="shared" si="4"/>
        <v>1.5388904996127426</v>
      </c>
      <c r="AM17" s="314">
        <f t="shared" si="6"/>
        <v>1.1506017559869106</v>
      </c>
      <c r="AN17" s="368">
        <f t="shared" si="7"/>
        <v>1.0081711397606901</v>
      </c>
      <c r="AO17" s="314">
        <f t="shared" si="8"/>
        <v>1.0223458077285179</v>
      </c>
      <c r="AP17" s="367">
        <f>'Comparativo YoY'!EC19</f>
        <v>-2.546699732731085</v>
      </c>
      <c r="AQ17" s="315">
        <f t="shared" si="9"/>
        <v>107677.84000000003</v>
      </c>
      <c r="AR17" s="315">
        <f t="shared" si="10"/>
        <v>32443.696000000007</v>
      </c>
      <c r="AS17" s="1202" t="b">
        <f t="shared" si="11"/>
        <v>1</v>
      </c>
      <c r="AT17" s="608"/>
      <c r="AU17" s="608"/>
      <c r="AV17" s="608"/>
    </row>
    <row r="18" spans="1:48" s="313" customFormat="1" ht="28.5">
      <c r="A18" s="386" t="s">
        <v>97</v>
      </c>
      <c r="B18" s="350">
        <v>548</v>
      </c>
      <c r="C18" s="385">
        <v>231</v>
      </c>
      <c r="D18" s="350">
        <v>91461.94</v>
      </c>
      <c r="E18" s="350">
        <v>16067.46</v>
      </c>
      <c r="F18" s="1008">
        <f>VLOOKUP($A$6:$A$32,'Relatórios - SICCAU e IGEO'!$A$3:$H$29,8,)</f>
        <v>585</v>
      </c>
      <c r="G18" s="346">
        <v>265</v>
      </c>
      <c r="H18" s="346">
        <v>174</v>
      </c>
      <c r="I18" s="384">
        <f t="shared" si="0"/>
        <v>91</v>
      </c>
      <c r="J18" s="383">
        <f t="shared" si="1"/>
        <v>45.299145299145302</v>
      </c>
      <c r="K18" s="383">
        <f t="shared" si="2"/>
        <v>1.8259491490387927</v>
      </c>
      <c r="L18" s="382">
        <f>VLOOKUP($A$6:$A$32,JAN!$R$5:$V$31,4,)</f>
        <v>13970.344000000001</v>
      </c>
      <c r="M18" s="382">
        <f>VLOOKUP($A$6:$A$32,JAN!$R$5:$V$31,5,)</f>
        <v>5375.1760000000004</v>
      </c>
      <c r="N18" s="382">
        <f>VLOOKUP($A$6:$A$32,FEV!$R$5:$V$31,4,)</f>
        <v>26962.615999999998</v>
      </c>
      <c r="O18" s="382">
        <f>VLOOKUP($A$6:$A$32,FEV!$R$5:$V$31,5,)</f>
        <v>2830.32</v>
      </c>
      <c r="P18" s="382">
        <f>VLOOKUP($A$6:$A$32,MAR!$R$5:$AK$31,20,)</f>
        <v>8617.728000000001</v>
      </c>
      <c r="Q18" s="382">
        <f>VLOOKUP($A$6:$A$32,MAR!$R$5:$AL$31,21,)</f>
        <v>1620.5039999999999</v>
      </c>
      <c r="R18" s="345">
        <f>VLOOKUP($A$6:$A$32,ABR!$R$5:$U$31,4,)</f>
        <v>6268.32</v>
      </c>
      <c r="S18" s="345">
        <f>VLOOKUP($A$6:$A$32,ABR!$R$5:$V$31,5,)</f>
        <v>1093.08</v>
      </c>
      <c r="T18" s="345">
        <f>VLOOKUP($A$6:$A$32,MAI!$B$5:$F$31,4,)</f>
        <v>4585.2240000000002</v>
      </c>
      <c r="U18" s="345">
        <f>VLOOKUP($A$6:$A$32,MAI!$B$5:$F$31,5,)</f>
        <v>1615.864</v>
      </c>
      <c r="V18" s="345">
        <f>VLOOKUP($A$6:$A$32,JUN!$B$5:$F$31,4,)</f>
        <v>5546.4480000000003</v>
      </c>
      <c r="W18" s="345">
        <f>VLOOKUP($A$6:$A$32,JUN!$B$5:$F$31,5,)</f>
        <v>3602.7120000000004</v>
      </c>
      <c r="X18" s="345">
        <f>VLOOKUP($A$6:$A$32,JUL!$B$5:$F$31,4,)</f>
        <v>5109.4160000000011</v>
      </c>
      <c r="Y18" s="345">
        <f>VLOOKUP($A$6:$A$32,JUL!$B$5:$F$31,5,)</f>
        <v>1996.6240000000007</v>
      </c>
      <c r="Z18" s="344">
        <f>VLOOKUP($A$6:$A$32,AGO!$B$5:$F$31,4,)</f>
        <v>17846.264000000003</v>
      </c>
      <c r="AA18" s="344">
        <f>VLOOKUP($A$6:$A$32,AGO!$B$5:$F$31,5,)</f>
        <v>4789.2719999999999</v>
      </c>
      <c r="AB18" s="344">
        <f>VLOOKUP($A$6:$A$32,SET!$B$5:$F$31,4,)</f>
        <v>3512.3360000000002</v>
      </c>
      <c r="AC18" s="344">
        <f>VLOOKUP($A$6:$A$32,SET!$B$5:$F$31,5,)</f>
        <v>3597.6880000000006</v>
      </c>
      <c r="AD18" s="344">
        <f>VLOOKUP($A$6:$A$32,OUT!$B$5:$F$31,4,)</f>
        <v>1691.3680000000002</v>
      </c>
      <c r="AE18" s="344">
        <f>VLOOKUP($A$6:$A$32,OUT!$B$5:$F$31,5,)</f>
        <v>3649.1600000000008</v>
      </c>
      <c r="AF18" s="344">
        <f>VLOOKUP($A$6:$A$32,NOV!$B$5:$F$31,4,)</f>
        <v>2201.8320000000003</v>
      </c>
      <c r="AG18" s="344">
        <f>VLOOKUP($A$6:$A$32,NOV!$B$5:$F$31,5,)</f>
        <v>1614.5840000000001</v>
      </c>
      <c r="AH18" s="344">
        <f>VLOOKUP($A$6:$A$32,DEZ!$B$5:$F$31,4,)</f>
        <v>2565.5840000000003</v>
      </c>
      <c r="AI18" s="344">
        <f>VLOOKUP($A$6:$A$32,DEZ!$B$5:$F$31,5,)</f>
        <v>4103.9920000000011</v>
      </c>
      <c r="AJ18" s="343">
        <f t="shared" si="5"/>
        <v>134766.45600000001</v>
      </c>
      <c r="AK18" s="381">
        <f t="shared" si="3"/>
        <v>125.32986885447144</v>
      </c>
      <c r="AL18" s="342">
        <f t="shared" si="4"/>
        <v>1.4800781145082416</v>
      </c>
      <c r="AM18" s="314">
        <f t="shared" si="6"/>
        <v>1.2532986885447144</v>
      </c>
      <c r="AN18" s="368">
        <f t="shared" si="7"/>
        <v>1.0104607009210609</v>
      </c>
      <c r="AO18" s="314">
        <f t="shared" si="8"/>
        <v>1.6506180815138176</v>
      </c>
      <c r="AP18" s="367">
        <f>'Comparativo YoY'!EC20</f>
        <v>44.828490702361734</v>
      </c>
      <c r="AQ18" s="315">
        <f t="shared" si="9"/>
        <v>98877.48000000001</v>
      </c>
      <c r="AR18" s="315">
        <f t="shared" si="10"/>
        <v>35888.976000000002</v>
      </c>
      <c r="AS18" s="1202" t="b">
        <f t="shared" si="11"/>
        <v>1</v>
      </c>
      <c r="AT18" s="608"/>
      <c r="AU18" s="608"/>
      <c r="AV18" s="608"/>
    </row>
    <row r="19" spans="1:48" s="313" customFormat="1" ht="28.5">
      <c r="A19" s="386" t="s">
        <v>100</v>
      </c>
      <c r="B19" s="350">
        <v>364</v>
      </c>
      <c r="C19" s="385">
        <v>105</v>
      </c>
      <c r="D19" s="350">
        <v>37952.99</v>
      </c>
      <c r="E19" s="350">
        <v>12982.24</v>
      </c>
      <c r="F19" s="1008">
        <f>VLOOKUP($A$6:$A$32,'Relatórios - SICCAU e IGEO'!$A$3:$H$29,8,)</f>
        <v>382</v>
      </c>
      <c r="G19" s="346">
        <v>140</v>
      </c>
      <c r="H19" s="346">
        <v>92</v>
      </c>
      <c r="I19" s="384">
        <f t="shared" si="0"/>
        <v>48</v>
      </c>
      <c r="J19" s="383">
        <f t="shared" si="1"/>
        <v>36.64921465968586</v>
      </c>
      <c r="K19" s="383">
        <f t="shared" si="2"/>
        <v>0.96465238062426795</v>
      </c>
      <c r="L19" s="382">
        <f>VLOOKUP($A$6:$A$32,JAN!$R$5:$V$31,4,)</f>
        <v>7336.9039999999995</v>
      </c>
      <c r="M19" s="382">
        <f>VLOOKUP($A$6:$A$32,JAN!$R$5:$V$31,5,)</f>
        <v>931.16000000000008</v>
      </c>
      <c r="N19" s="382">
        <f>VLOOKUP($A$6:$A$32,FEV!$R$5:$V$31,4,)</f>
        <v>9211.1200000000008</v>
      </c>
      <c r="O19" s="382">
        <f>VLOOKUP($A$6:$A$32,FEV!$R$5:$V$31,5,)</f>
        <v>2140.384</v>
      </c>
      <c r="P19" s="382">
        <f>VLOOKUP($A$6:$A$32,MAR!$R$5:$AK$31,20,)</f>
        <v>7409.2479999999996</v>
      </c>
      <c r="Q19" s="382">
        <f>VLOOKUP($A$6:$A$32,MAR!$R$5:$AL$31,21,)</f>
        <v>3005.5040000000004</v>
      </c>
      <c r="R19" s="345">
        <f>VLOOKUP($A$6:$A$32,ABR!$R$5:$U$31,4,)</f>
        <v>1417.096</v>
      </c>
      <c r="S19" s="345">
        <f>VLOOKUP($A$6:$A$32,ABR!$R$5:$V$31,5,)</f>
        <v>259.22399999999999</v>
      </c>
      <c r="T19" s="345">
        <f>VLOOKUP($A$6:$A$32,MAI!$B$5:$F$31,4,)</f>
        <v>1531.3760000000002</v>
      </c>
      <c r="U19" s="345">
        <f>VLOOKUP($A$6:$A$32,MAI!$B$5:$F$31,5,)</f>
        <v>497.19200000000001</v>
      </c>
      <c r="V19" s="345">
        <f>VLOOKUP($A$6:$A$32,JUN!$B$5:$F$31,4,)</f>
        <v>4418.88</v>
      </c>
      <c r="W19" s="345">
        <f>VLOOKUP($A$6:$A$32,JUN!$B$5:$F$31,5,)</f>
        <v>1148.7920000000001</v>
      </c>
      <c r="X19" s="345">
        <f>VLOOKUP($A$6:$A$32,JUL!$B$5:$F$31,4,)</f>
        <v>6186.4560000000001</v>
      </c>
      <c r="Y19" s="345">
        <f>VLOOKUP($A$6:$A$32,JUL!$B$5:$F$31,5,)</f>
        <v>1601.4639999999999</v>
      </c>
      <c r="Z19" s="344">
        <f>VLOOKUP($A$6:$A$32,AGO!$B$5:$F$31,4,)</f>
        <v>9034.8080000000009</v>
      </c>
      <c r="AA19" s="344">
        <f>VLOOKUP($A$6:$A$32,AGO!$B$5:$F$31,5,)</f>
        <v>2402.7039999999993</v>
      </c>
      <c r="AB19" s="344">
        <f>VLOOKUP($A$6:$A$32,SET!$B$5:$F$31,4,)</f>
        <v>2363.7759999999998</v>
      </c>
      <c r="AC19" s="344">
        <f>VLOOKUP($A$6:$A$32,SET!$B$5:$F$31,5,)</f>
        <v>538.1600000000002</v>
      </c>
      <c r="AD19" s="344">
        <f>VLOOKUP($A$6:$A$32,OUT!$B$5:$F$31,4,)</f>
        <v>1086.4480000000001</v>
      </c>
      <c r="AE19" s="344">
        <f>VLOOKUP($A$6:$A$32,OUT!$B$5:$F$31,5,)</f>
        <v>502.69600000000014</v>
      </c>
      <c r="AF19" s="344">
        <f>VLOOKUP($A$6:$A$32,NOV!$B$5:$F$31,4,)</f>
        <v>1657.8480000000004</v>
      </c>
      <c r="AG19" s="344">
        <f>VLOOKUP($A$6:$A$32,NOV!$B$5:$F$31,5,)</f>
        <v>1491.056</v>
      </c>
      <c r="AH19" s="344">
        <f>VLOOKUP($A$6:$A$32,DEZ!$B$5:$F$31,4,)</f>
        <v>463.608</v>
      </c>
      <c r="AI19" s="344">
        <f>VLOOKUP($A$6:$A$32,DEZ!$B$5:$F$31,5,)</f>
        <v>417.36800000000005</v>
      </c>
      <c r="AJ19" s="343">
        <f t="shared" si="5"/>
        <v>67053.271999999997</v>
      </c>
      <c r="AK19" s="381">
        <f t="shared" si="3"/>
        <v>131.64419204546638</v>
      </c>
      <c r="AL19" s="342">
        <f t="shared" si="4"/>
        <v>0.73641530199004612</v>
      </c>
      <c r="AM19" s="314">
        <f t="shared" si="6"/>
        <v>1.3164419204546638</v>
      </c>
      <c r="AN19" s="368">
        <f t="shared" si="7"/>
        <v>1.2886906670594334</v>
      </c>
      <c r="AO19" s="314">
        <f t="shared" si="8"/>
        <v>0.96474753201296548</v>
      </c>
      <c r="AP19" s="367">
        <f>'Comparativo YoY'!EC21</f>
        <v>7.1506882238111018</v>
      </c>
      <c r="AQ19" s="315">
        <f t="shared" si="9"/>
        <v>52117.567999999999</v>
      </c>
      <c r="AR19" s="315">
        <f t="shared" si="10"/>
        <v>14935.704000000002</v>
      </c>
      <c r="AS19" s="1202" t="b">
        <f t="shared" si="11"/>
        <v>1</v>
      </c>
      <c r="AT19" s="608"/>
      <c r="AU19" s="608"/>
      <c r="AV19" s="608"/>
    </row>
    <row r="20" spans="1:48" s="313" customFormat="1" ht="28.5">
      <c r="A20" s="386" t="s">
        <v>101</v>
      </c>
      <c r="B20" s="350">
        <v>467</v>
      </c>
      <c r="C20" s="385">
        <v>109</v>
      </c>
      <c r="D20" s="350">
        <v>40340.9</v>
      </c>
      <c r="E20" s="350">
        <v>14275.61</v>
      </c>
      <c r="F20" s="1008">
        <f>VLOOKUP($A$6:$A$32,'Relatórios - SICCAU e IGEO'!$A$3:$H$29,8,)</f>
        <v>480</v>
      </c>
      <c r="G20" s="346">
        <v>135</v>
      </c>
      <c r="H20" s="346">
        <v>93</v>
      </c>
      <c r="I20" s="384">
        <f t="shared" si="0"/>
        <v>42</v>
      </c>
      <c r="J20" s="383">
        <f t="shared" si="1"/>
        <v>28.125</v>
      </c>
      <c r="K20" s="383">
        <f t="shared" si="2"/>
        <v>0.93020050988768688</v>
      </c>
      <c r="L20" s="382">
        <f>VLOOKUP($A$6:$A$32,JAN!$R$5:$V$31,4,)</f>
        <v>6376.9440000000004</v>
      </c>
      <c r="M20" s="382">
        <f>VLOOKUP($A$6:$A$32,JAN!$R$5:$V$31,5,)</f>
        <v>3045.768</v>
      </c>
      <c r="N20" s="382">
        <f>VLOOKUP($A$6:$A$32,FEV!$R$5:$V$31,4,)</f>
        <v>10910.136</v>
      </c>
      <c r="O20" s="382">
        <f>VLOOKUP($A$6:$A$32,FEV!$R$5:$V$31,5,)</f>
        <v>4342.4480000000003</v>
      </c>
      <c r="P20" s="382">
        <f>VLOOKUP($A$6:$A$32,MAR!$R$5:$AK$31,20,)</f>
        <v>6592.1440000000002</v>
      </c>
      <c r="Q20" s="382">
        <f>VLOOKUP($A$6:$A$32,MAR!$R$5:$AL$31,21,)</f>
        <v>2208.7440000000001</v>
      </c>
      <c r="R20" s="345">
        <f>VLOOKUP($A$6:$A$32,ABR!$R$5:$U$31,4,)</f>
        <v>2062.1439999999998</v>
      </c>
      <c r="S20" s="345">
        <f>VLOOKUP($A$6:$A$32,ABR!$R$5:$V$31,5,)</f>
        <v>618.30400000000009</v>
      </c>
      <c r="T20" s="345">
        <f>VLOOKUP($A$6:$A$32,MAI!$B$5:$F$31,4,)</f>
        <v>2270.4</v>
      </c>
      <c r="U20" s="345">
        <f>VLOOKUP($A$6:$A$32,MAI!$B$5:$F$31,5,)</f>
        <v>546.72799999999995</v>
      </c>
      <c r="V20" s="345">
        <f>VLOOKUP($A$6:$A$32,JUN!$B$5:$F$31,4,)</f>
        <v>3535.12</v>
      </c>
      <c r="W20" s="345">
        <f>VLOOKUP($A$6:$A$32,JUN!$B$5:$F$31,5,)</f>
        <v>82.00800000000001</v>
      </c>
      <c r="X20" s="345">
        <f>VLOOKUP($A$6:$A$32,JUL!$B$5:$F$31,4,)</f>
        <v>4223.3919999999998</v>
      </c>
      <c r="Y20" s="345">
        <f>VLOOKUP($A$6:$A$32,JUL!$B$5:$F$31,5,)</f>
        <v>836.2080000000002</v>
      </c>
      <c r="Z20" s="344">
        <f>VLOOKUP($A$6:$A$32,AGO!$B$5:$F$31,4,)</f>
        <v>6205.5440000000008</v>
      </c>
      <c r="AA20" s="344">
        <f>VLOOKUP($A$6:$A$32,AGO!$B$5:$F$31,5,)</f>
        <v>1061.8319999999992</v>
      </c>
      <c r="AB20" s="344">
        <f>VLOOKUP($A$6:$A$32,SET!$B$5:$F$31,4,)</f>
        <v>1295.2080000000001</v>
      </c>
      <c r="AC20" s="344">
        <f>VLOOKUP($A$6:$A$32,SET!$B$5:$F$31,5,)</f>
        <v>1191.0719999999999</v>
      </c>
      <c r="AD20" s="344">
        <f>VLOOKUP($A$6:$A$32,OUT!$B$5:$F$31,4,)</f>
        <v>914.24800000000005</v>
      </c>
      <c r="AE20" s="344">
        <f>VLOOKUP($A$6:$A$32,OUT!$B$5:$F$31,5,)</f>
        <v>3298.7360000000003</v>
      </c>
      <c r="AF20" s="344">
        <f>VLOOKUP($A$6:$A$32,NOV!$B$5:$F$31,4,)</f>
        <v>1447.5599999999995</v>
      </c>
      <c r="AG20" s="344">
        <f>VLOOKUP($A$6:$A$32,NOV!$B$5:$F$31,5,)</f>
        <v>2816.152</v>
      </c>
      <c r="AH20" s="344">
        <f>VLOOKUP($A$6:$A$32,DEZ!$B$5:$F$31,4,)</f>
        <v>3847.4560000000001</v>
      </c>
      <c r="AI20" s="344">
        <f>VLOOKUP($A$6:$A$32,DEZ!$B$5:$F$31,5,)</f>
        <v>1333.6480000000004</v>
      </c>
      <c r="AJ20" s="343">
        <f t="shared" si="5"/>
        <v>71061.944000000003</v>
      </c>
      <c r="AK20" s="381">
        <f t="shared" si="3"/>
        <v>130.11073757733695</v>
      </c>
      <c r="AL20" s="342">
        <f t="shared" si="4"/>
        <v>0.78044070617105377</v>
      </c>
      <c r="AM20" s="314">
        <f t="shared" si="6"/>
        <v>1.3011073757733695</v>
      </c>
      <c r="AN20" s="368">
        <f t="shared" si="7"/>
        <v>1.0775920219925683</v>
      </c>
      <c r="AO20" s="314">
        <f t="shared" si="8"/>
        <v>0.97600817057905043</v>
      </c>
      <c r="AP20" s="367">
        <f>'Comparativo YoY'!EC22</f>
        <v>-23.504389173529844</v>
      </c>
      <c r="AQ20" s="315">
        <f t="shared" si="9"/>
        <v>49680.295999999995</v>
      </c>
      <c r="AR20" s="315">
        <f t="shared" si="10"/>
        <v>21381.648000000001</v>
      </c>
      <c r="AS20" s="1202" t="b">
        <f t="shared" si="11"/>
        <v>1</v>
      </c>
      <c r="AT20" s="608"/>
      <c r="AU20" s="608"/>
      <c r="AV20" s="608"/>
    </row>
    <row r="21" spans="1:48" s="313" customFormat="1" ht="28.5">
      <c r="A21" s="386" t="s">
        <v>103</v>
      </c>
      <c r="B21" s="350">
        <v>539</v>
      </c>
      <c r="C21" s="385">
        <v>264</v>
      </c>
      <c r="D21" s="350">
        <v>129174.40000000001</v>
      </c>
      <c r="E21" s="350">
        <v>24973.199999999997</v>
      </c>
      <c r="F21" s="1008">
        <f>VLOOKUP($A$6:$A$32,'Relatórios - SICCAU e IGEO'!$A$3:$H$29,8,)</f>
        <v>528</v>
      </c>
      <c r="G21" s="346">
        <v>294</v>
      </c>
      <c r="H21" s="346">
        <v>202</v>
      </c>
      <c r="I21" s="384">
        <f t="shared" si="0"/>
        <v>92</v>
      </c>
      <c r="J21" s="383">
        <f t="shared" si="1"/>
        <v>55.68181818181818</v>
      </c>
      <c r="K21" s="383">
        <f t="shared" si="2"/>
        <v>2.0257699993109628</v>
      </c>
      <c r="L21" s="382">
        <f>VLOOKUP($A$6:$A$32,JAN!$R$5:$V$31,4,)</f>
        <v>22182.168000000001</v>
      </c>
      <c r="M21" s="382">
        <f>VLOOKUP($A$6:$A$32,JAN!$R$5:$V$31,5,)</f>
        <v>5265.0960000000005</v>
      </c>
      <c r="N21" s="382">
        <f>VLOOKUP($A$6:$A$32,FEV!$R$5:$V$31,4,)</f>
        <v>28568.576000000001</v>
      </c>
      <c r="O21" s="382">
        <f>VLOOKUP($A$6:$A$32,FEV!$R$5:$V$31,5,)</f>
        <v>5529.16</v>
      </c>
      <c r="P21" s="382">
        <f>VLOOKUP($A$6:$A$32,MAR!$R$5:$AK$31,20,)</f>
        <v>10928.152000000002</v>
      </c>
      <c r="Q21" s="382">
        <f>VLOOKUP($A$6:$A$32,MAR!$R$5:$AL$31,21,)</f>
        <v>2478.6240000000003</v>
      </c>
      <c r="R21" s="345">
        <f>VLOOKUP($A$6:$A$32,ABR!$R$5:$U$31,4,)</f>
        <v>5470.2560000000003</v>
      </c>
      <c r="S21" s="345">
        <f>VLOOKUP($A$6:$A$32,ABR!$R$5:$V$31,5,)</f>
        <v>746.50400000000002</v>
      </c>
      <c r="T21" s="345">
        <f>VLOOKUP($A$6:$A$32,MAI!$B$5:$F$31,4,)</f>
        <v>4723.6160000000009</v>
      </c>
      <c r="U21" s="345">
        <f>VLOOKUP($A$6:$A$32,MAI!$B$5:$F$31,5,)</f>
        <v>512.25600000000009</v>
      </c>
      <c r="V21" s="345">
        <f>VLOOKUP($A$6:$A$32,JUN!$B$5:$F$31,4,)</f>
        <v>5683.5840000000007</v>
      </c>
      <c r="W21" s="345">
        <f>VLOOKUP($A$6:$A$32,JUN!$B$5:$F$31,5,)</f>
        <v>993.84</v>
      </c>
      <c r="X21" s="345">
        <f>VLOOKUP($A$6:$A$32,JUL!$B$5:$F$31,4,)</f>
        <v>7561.6320000000014</v>
      </c>
      <c r="Y21" s="345">
        <f>VLOOKUP($A$6:$A$32,JUL!$B$5:$F$31,5,)</f>
        <v>1809.12</v>
      </c>
      <c r="Z21" s="344">
        <f>VLOOKUP($A$6:$A$32,AGO!$B$5:$F$31,4,)</f>
        <v>14390.648000000001</v>
      </c>
      <c r="AA21" s="344">
        <f>VLOOKUP($A$6:$A$32,AGO!$B$5:$F$31,5,)</f>
        <v>1597.0639999999985</v>
      </c>
      <c r="AB21" s="344">
        <f>VLOOKUP($A$6:$A$32,SET!$B$5:$F$31,4,)</f>
        <v>5766.2640000000001</v>
      </c>
      <c r="AC21" s="344">
        <f>VLOOKUP($A$6:$A$32,SET!$B$5:$F$31,5,)</f>
        <v>2842.52</v>
      </c>
      <c r="AD21" s="344">
        <f>VLOOKUP($A$6:$A$32,OUT!$B$5:$F$31,4,)</f>
        <v>1234.232</v>
      </c>
      <c r="AE21" s="344">
        <f>VLOOKUP($A$6:$A$32,OUT!$B$5:$F$31,5,)</f>
        <v>5136.344000000001</v>
      </c>
      <c r="AF21" s="344">
        <f>VLOOKUP($A$6:$A$32,NOV!$B$5:$F$31,4,)</f>
        <v>2971.3039999999996</v>
      </c>
      <c r="AG21" s="344">
        <f>VLOOKUP($A$6:$A$32,NOV!$B$5:$F$31,5,)</f>
        <v>1931.6000000000001</v>
      </c>
      <c r="AH21" s="344">
        <f>VLOOKUP($A$6:$A$32,DEZ!$B$5:$F$31,4,)</f>
        <v>3954.1360000000004</v>
      </c>
      <c r="AI21" s="344">
        <f>VLOOKUP($A$6:$A$32,DEZ!$B$5:$F$31,5,)</f>
        <v>2184.3840000000005</v>
      </c>
      <c r="AJ21" s="343">
        <f t="shared" si="5"/>
        <v>144461.07999999999</v>
      </c>
      <c r="AK21" s="381">
        <f t="shared" si="3"/>
        <v>93.716074723187376</v>
      </c>
      <c r="AL21" s="342">
        <f t="shared" si="4"/>
        <v>1.5865497190652862</v>
      </c>
      <c r="AM21" s="314">
        <f t="shared" si="6"/>
        <v>0.9371607472318737</v>
      </c>
      <c r="AN21" s="368">
        <f t="shared" si="7"/>
        <v>0.81498265910273238</v>
      </c>
      <c r="AO21" s="314">
        <f t="shared" si="8"/>
        <v>0.87190203898579288</v>
      </c>
      <c r="AP21" s="367">
        <f>'Comparativo YoY'!EC23</f>
        <v>-23.36682915931992</v>
      </c>
      <c r="AQ21" s="315">
        <f t="shared" si="9"/>
        <v>113434.568</v>
      </c>
      <c r="AR21" s="315">
        <f t="shared" si="10"/>
        <v>31026.512000000002</v>
      </c>
      <c r="AS21" s="1202" t="b">
        <f t="shared" si="11"/>
        <v>1</v>
      </c>
      <c r="AT21" s="608"/>
      <c r="AU21" s="608"/>
      <c r="AV21" s="608"/>
    </row>
    <row r="22" spans="1:48" s="313" customFormat="1" ht="28.5">
      <c r="A22" s="386" t="s">
        <v>104</v>
      </c>
      <c r="B22" s="350">
        <v>223</v>
      </c>
      <c r="C22" s="385">
        <v>87</v>
      </c>
      <c r="D22" s="350">
        <v>43670.39</v>
      </c>
      <c r="E22" s="350">
        <v>16377.880000000001</v>
      </c>
      <c r="F22" s="1008">
        <f>VLOOKUP($A$6:$A$32,'Relatórios - SICCAU e IGEO'!$A$3:$H$29,8,)</f>
        <v>239</v>
      </c>
      <c r="G22" s="346">
        <v>122</v>
      </c>
      <c r="H22" s="346">
        <v>82</v>
      </c>
      <c r="I22" s="384">
        <f t="shared" si="0"/>
        <v>40</v>
      </c>
      <c r="J22" s="383">
        <f t="shared" si="1"/>
        <v>51.046025104602514</v>
      </c>
      <c r="K22" s="383">
        <f t="shared" si="2"/>
        <v>0.84062564597257639</v>
      </c>
      <c r="L22" s="382">
        <f>VLOOKUP($A$6:$A$32,JAN!$R$5:$V$31,4,)</f>
        <v>8445.4480000000003</v>
      </c>
      <c r="M22" s="382">
        <f>VLOOKUP($A$6:$A$32,JAN!$R$5:$V$31,5,)</f>
        <v>3252.7520000000004</v>
      </c>
      <c r="N22" s="382">
        <f>VLOOKUP($A$6:$A$32,FEV!$R$5:$V$31,4,)</f>
        <v>8008.92</v>
      </c>
      <c r="O22" s="382">
        <f>VLOOKUP($A$6:$A$32,FEV!$R$5:$V$31,5,)</f>
        <v>1141.4559999999999</v>
      </c>
      <c r="P22" s="382">
        <f>VLOOKUP($A$6:$A$32,MAR!$R$5:$AK$31,20,)</f>
        <v>3603.056</v>
      </c>
      <c r="Q22" s="382">
        <f>VLOOKUP($A$6:$A$32,MAR!$R$5:$AL$31,21,)</f>
        <v>536.85600000000011</v>
      </c>
      <c r="R22" s="345">
        <f>VLOOKUP($A$6:$A$32,ABR!$R$5:$U$31,4,)</f>
        <v>914.24800000000005</v>
      </c>
      <c r="S22" s="345">
        <f>VLOOKUP($A$6:$A$32,ABR!$R$5:$V$31,5,)</f>
        <v>216.76</v>
      </c>
      <c r="T22" s="345">
        <f>VLOOKUP($A$6:$A$32,MAI!$B$5:$F$31,4,)</f>
        <v>1024.72</v>
      </c>
      <c r="U22" s="345">
        <f>VLOOKUP($A$6:$A$32,MAI!$B$5:$F$31,5,)</f>
        <v>278.84000000000003</v>
      </c>
      <c r="V22" s="345">
        <f>VLOOKUP($A$6:$A$32,JUN!$B$5:$F$31,4,)</f>
        <v>1978.7439999999999</v>
      </c>
      <c r="W22" s="345">
        <f>VLOOKUP($A$6:$A$32,JUN!$B$5:$F$31,5,)</f>
        <v>867.35200000000009</v>
      </c>
      <c r="X22" s="345">
        <f>VLOOKUP($A$6:$A$32,JUL!$B$5:$F$31,4,)</f>
        <v>5601.0879999999997</v>
      </c>
      <c r="Y22" s="345">
        <f>VLOOKUP($A$6:$A$32,JUL!$B$5:$F$31,5,)</f>
        <v>1663.8879999999999</v>
      </c>
      <c r="Z22" s="344">
        <f>VLOOKUP($A$6:$A$32,AGO!$B$5:$F$31,4,)</f>
        <v>5675.3680000000004</v>
      </c>
      <c r="AA22" s="344">
        <f>VLOOKUP($A$6:$A$32,AGO!$B$5:$F$31,5,)</f>
        <v>241.51999999999973</v>
      </c>
      <c r="AB22" s="344">
        <f>VLOOKUP($A$6:$A$32,SET!$B$5:$F$31,4,)</f>
        <v>1573.672</v>
      </c>
      <c r="AC22" s="344">
        <f>VLOOKUP($A$6:$A$32,SET!$B$5:$F$31,5,)</f>
        <v>683.74400000000014</v>
      </c>
      <c r="AD22" s="344">
        <f>VLOOKUP($A$6:$A$32,OUT!$B$5:$F$31,4,)</f>
        <v>1425.48</v>
      </c>
      <c r="AE22" s="344">
        <f>VLOOKUP($A$6:$A$32,OUT!$B$5:$F$31,5,)</f>
        <v>685.88800000000015</v>
      </c>
      <c r="AF22" s="344">
        <f>VLOOKUP($A$6:$A$32,NOV!$B$5:$F$31,4,)</f>
        <v>1760.7040000000002</v>
      </c>
      <c r="AG22" s="344">
        <f>VLOOKUP($A$6:$A$32,NOV!$B$5:$F$31,5,)</f>
        <v>419.19200000000001</v>
      </c>
      <c r="AH22" s="344">
        <f>VLOOKUP($A$6:$A$32,DEZ!$B$5:$F$31,4,)</f>
        <v>2059.712</v>
      </c>
      <c r="AI22" s="344">
        <f>VLOOKUP($A$6:$A$32,DEZ!$B$5:$F$31,5,)</f>
        <v>2099.7920000000004</v>
      </c>
      <c r="AJ22" s="343">
        <f t="shared" si="5"/>
        <v>54159.199999999997</v>
      </c>
      <c r="AK22" s="381">
        <f t="shared" si="3"/>
        <v>90.192773247255914</v>
      </c>
      <c r="AL22" s="342">
        <f t="shared" si="4"/>
        <v>0.59480562892649458</v>
      </c>
      <c r="AM22" s="314">
        <f t="shared" si="6"/>
        <v>0.90192773247255908</v>
      </c>
      <c r="AN22" s="368">
        <f t="shared" si="7"/>
        <v>0.84325475453734222</v>
      </c>
      <c r="AO22" s="314">
        <f t="shared" si="8"/>
        <v>0.54238814791658019</v>
      </c>
      <c r="AP22" s="367">
        <f>'Comparativo YoY'!EC24</f>
        <v>7.681014538742275</v>
      </c>
      <c r="AQ22" s="315">
        <f t="shared" si="9"/>
        <v>42071.16</v>
      </c>
      <c r="AR22" s="315">
        <f t="shared" si="10"/>
        <v>12088.040000000005</v>
      </c>
      <c r="AS22" s="1202" t="b">
        <f t="shared" si="11"/>
        <v>1</v>
      </c>
      <c r="AT22" s="608"/>
      <c r="AU22" s="608"/>
      <c r="AV22" s="608"/>
    </row>
    <row r="23" spans="1:48" s="313" customFormat="1" ht="28.5">
      <c r="A23" s="386" t="s">
        <v>102</v>
      </c>
      <c r="B23" s="350">
        <v>2643</v>
      </c>
      <c r="C23" s="385">
        <v>1180</v>
      </c>
      <c r="D23" s="350">
        <v>447868.44000000006</v>
      </c>
      <c r="E23" s="350">
        <v>187730.11</v>
      </c>
      <c r="F23" s="1008">
        <f>VLOOKUP($A$6:$A$32,'Relatórios - SICCAU e IGEO'!$A$3:$H$29,8,)</f>
        <v>2666</v>
      </c>
      <c r="G23" s="346">
        <v>1532</v>
      </c>
      <c r="H23" s="346">
        <v>987</v>
      </c>
      <c r="I23" s="384">
        <f t="shared" si="0"/>
        <v>545</v>
      </c>
      <c r="J23" s="383">
        <f t="shared" si="1"/>
        <v>57.464366091522876</v>
      </c>
      <c r="K23" s="383">
        <f t="shared" si="2"/>
        <v>10.556053193688417</v>
      </c>
      <c r="L23" s="382">
        <f>VLOOKUP($A$6:$A$32,JAN!$R$5:$V$31,4,)</f>
        <v>106628.96000000002</v>
      </c>
      <c r="M23" s="382">
        <f>VLOOKUP($A$6:$A$32,JAN!$R$5:$V$31,5,)</f>
        <v>44301.504000000001</v>
      </c>
      <c r="N23" s="382">
        <f>VLOOKUP($A$6:$A$32,FEV!$R$5:$V$31,4,)</f>
        <v>106411.66399999999</v>
      </c>
      <c r="O23" s="382">
        <f>VLOOKUP($A$6:$A$32,FEV!$R$5:$V$31,5,)</f>
        <v>30599.135999999999</v>
      </c>
      <c r="P23" s="382">
        <f>VLOOKUP($A$6:$A$32,MAR!$R$5:$AK$31,20,)</f>
        <v>78715.504000000015</v>
      </c>
      <c r="Q23" s="382">
        <f>VLOOKUP($A$6:$A$32,MAR!$R$5:$AL$31,21,)</f>
        <v>32049.304</v>
      </c>
      <c r="R23" s="345">
        <f>VLOOKUP($A$6:$A$32,ABR!$R$5:$U$31,4,)</f>
        <v>32472.976000000002</v>
      </c>
      <c r="S23" s="345">
        <f>VLOOKUP($A$6:$A$32,ABR!$R$5:$V$31,5,)</f>
        <v>17739.04</v>
      </c>
      <c r="T23" s="345">
        <f>VLOOKUP($A$6:$A$32,MAI!$B$5:$F$31,4,)</f>
        <v>30086.440000000002</v>
      </c>
      <c r="U23" s="345">
        <f>VLOOKUP($A$6:$A$32,MAI!$B$5:$F$31,5,)</f>
        <v>12153.68</v>
      </c>
      <c r="V23" s="345">
        <f>VLOOKUP($A$6:$A$32,JUN!$B$5:$F$31,4,)</f>
        <v>48530.880000000005</v>
      </c>
      <c r="W23" s="345">
        <f>VLOOKUP($A$6:$A$32,JUN!$B$5:$F$31,5,)</f>
        <v>16490.952000000001</v>
      </c>
      <c r="X23" s="345">
        <f>VLOOKUP($A$6:$A$32,JUL!$B$5:$F$31,4,)</f>
        <v>56680.959999999999</v>
      </c>
      <c r="Y23" s="345">
        <f>VLOOKUP($A$6:$A$32,JUL!$B$5:$F$31,5,)</f>
        <v>15796.040000000003</v>
      </c>
      <c r="Z23" s="344">
        <f>VLOOKUP($A$6:$A$32,AGO!$B$5:$F$31,4,)</f>
        <v>60975.088000000003</v>
      </c>
      <c r="AA23" s="344">
        <f>VLOOKUP($A$6:$A$32,AGO!$B$5:$F$31,5,)</f>
        <v>10409.471999999998</v>
      </c>
      <c r="AB23" s="344">
        <f>VLOOKUP($A$6:$A$32,SET!$B$5:$F$31,4,)</f>
        <v>22474.135999999999</v>
      </c>
      <c r="AC23" s="344">
        <f>VLOOKUP($A$6:$A$32,SET!$B$5:$F$31,5,)</f>
        <v>16162.368000000006</v>
      </c>
      <c r="AD23" s="344">
        <f>VLOOKUP($A$6:$A$32,OUT!$B$5:$F$31,4,)</f>
        <v>9027.848</v>
      </c>
      <c r="AE23" s="344">
        <f>VLOOKUP($A$6:$A$32,OUT!$B$5:$F$31,5,)</f>
        <v>17819.439999999999</v>
      </c>
      <c r="AF23" s="344">
        <f>VLOOKUP($A$6:$A$32,NOV!$B$5:$F$31,4,)</f>
        <v>15988.839999999997</v>
      </c>
      <c r="AG23" s="344">
        <f>VLOOKUP($A$6:$A$32,NOV!$B$5:$F$31,5,)</f>
        <v>10213.632000000001</v>
      </c>
      <c r="AH23" s="344">
        <f>VLOOKUP($A$6:$A$32,DEZ!$B$5:$F$31,4,)</f>
        <v>13659.264000000003</v>
      </c>
      <c r="AI23" s="344">
        <f>VLOOKUP($A$6:$A$32,DEZ!$B$5:$F$31,5,)</f>
        <v>9324.5919999999987</v>
      </c>
      <c r="AJ23" s="343">
        <f t="shared" si="5"/>
        <v>814711.71999999986</v>
      </c>
      <c r="AK23" s="381">
        <f t="shared" si="3"/>
        <v>128.18023577932956</v>
      </c>
      <c r="AL23" s="342">
        <f t="shared" si="4"/>
        <v>8.947604783829636</v>
      </c>
      <c r="AM23" s="314">
        <f t="shared" si="6"/>
        <v>1.2818023577932955</v>
      </c>
      <c r="AN23" s="368">
        <f t="shared" si="7"/>
        <v>1.2123573788767075</v>
      </c>
      <c r="AO23" s="314">
        <f t="shared" si="8"/>
        <v>1.0424619471005478</v>
      </c>
      <c r="AP23" s="367">
        <f>'Comparativo YoY'!EC25</f>
        <v>10.283074210055048</v>
      </c>
      <c r="AQ23" s="315">
        <f t="shared" si="9"/>
        <v>581652.55999999994</v>
      </c>
      <c r="AR23" s="315">
        <f t="shared" si="10"/>
        <v>233059.16000000003</v>
      </c>
      <c r="AS23" s="1202" t="b">
        <f t="shared" si="11"/>
        <v>1</v>
      </c>
      <c r="AT23" s="608"/>
      <c r="AU23" s="608"/>
      <c r="AV23" s="608"/>
    </row>
    <row r="24" spans="1:48" s="313" customFormat="1" ht="36.75" customHeight="1">
      <c r="A24" s="386" t="s">
        <v>105</v>
      </c>
      <c r="B24" s="350">
        <v>2768</v>
      </c>
      <c r="C24" s="385">
        <v>1269</v>
      </c>
      <c r="D24" s="350">
        <v>564504.696</v>
      </c>
      <c r="E24" s="350">
        <v>140000</v>
      </c>
      <c r="F24" s="1008">
        <f>VLOOKUP($A$6:$A$32,'Relatórios - SICCAU e IGEO'!$A$3:$H$29,8,)</f>
        <v>2780</v>
      </c>
      <c r="G24" s="346">
        <v>1460</v>
      </c>
      <c r="H24" s="346">
        <v>1008</v>
      </c>
      <c r="I24" s="384">
        <f t="shared" si="0"/>
        <v>452</v>
      </c>
      <c r="J24" s="383">
        <f t="shared" si="1"/>
        <v>52.517985611510788</v>
      </c>
      <c r="K24" s="383">
        <f t="shared" si="2"/>
        <v>10.05994625508165</v>
      </c>
      <c r="L24" s="382">
        <f>VLOOKUP($A$6:$A$32,JAN!$R$5:$V$31,4,)</f>
        <v>125810.91200000001</v>
      </c>
      <c r="M24" s="382">
        <f>VLOOKUP($A$6:$A$32,JAN!$R$5:$V$31,5,)</f>
        <v>18606</v>
      </c>
      <c r="N24" s="382">
        <f>VLOOKUP($A$6:$A$32,FEV!$R$5:$V$31,4,)</f>
        <v>143578.17600000001</v>
      </c>
      <c r="O24" s="382">
        <f>VLOOKUP($A$6:$A$32,FEV!$R$5:$V$31,5,)</f>
        <v>16482.960000000003</v>
      </c>
      <c r="P24" s="382">
        <f>VLOOKUP($A$6:$A$32,MAR!$R$5:$AK$31,20,)</f>
        <v>75875.376000000004</v>
      </c>
      <c r="Q24" s="382">
        <f>VLOOKUP($A$6:$A$32,MAR!$R$5:$AL$31,21,)</f>
        <v>15240.936000000002</v>
      </c>
      <c r="R24" s="345">
        <f>VLOOKUP($A$6:$A$32,ABR!$R$5:$U$31,4,)</f>
        <v>23336.848000000002</v>
      </c>
      <c r="S24" s="345">
        <f>VLOOKUP($A$6:$A$32,ABR!$R$5:$V$31,5,)</f>
        <v>8184.8</v>
      </c>
      <c r="T24" s="345">
        <f>VLOOKUP($A$6:$A$32,MAI!$B$5:$F$31,4,)</f>
        <v>15936.495999999999</v>
      </c>
      <c r="U24" s="345">
        <f>VLOOKUP($A$6:$A$32,MAI!$B$5:$F$31,5,)</f>
        <v>7156.4240000000009</v>
      </c>
      <c r="V24" s="345">
        <f>VLOOKUP($A$6:$A$32,JUN!$B$5:$F$31,4,)</f>
        <v>34346.624000000003</v>
      </c>
      <c r="W24" s="345">
        <f>VLOOKUP($A$6:$A$32,JUN!$B$5:$F$31,5,)</f>
        <v>6892.7520000000004</v>
      </c>
      <c r="X24" s="345">
        <f>VLOOKUP($A$6:$A$32,JUL!$B$5:$F$31,4,)</f>
        <v>41122.344000000005</v>
      </c>
      <c r="Y24" s="345">
        <f>VLOOKUP($A$6:$A$32,JUL!$B$5:$F$31,5,)</f>
        <v>7149.4080000000022</v>
      </c>
      <c r="Z24" s="344">
        <f>VLOOKUP($A$6:$A$32,AGO!$B$5:$F$31,4,)</f>
        <v>57174.728000000003</v>
      </c>
      <c r="AA24" s="344">
        <f>VLOOKUP($A$6:$A$32,AGO!$B$5:$F$31,5,)</f>
        <v>5840.7599999999984</v>
      </c>
      <c r="AB24" s="344">
        <f>VLOOKUP($A$6:$A$32,SET!$B$5:$F$31,4,)</f>
        <v>14805.048000000003</v>
      </c>
      <c r="AC24" s="344">
        <f>VLOOKUP($A$6:$A$32,SET!$B$5:$F$31,5,)</f>
        <v>7063.5519999999997</v>
      </c>
      <c r="AD24" s="344">
        <f>VLOOKUP($A$6:$A$32,OUT!$B$5:$F$31,4,)</f>
        <v>8140.3919999999998</v>
      </c>
      <c r="AE24" s="344">
        <f>VLOOKUP($A$6:$A$32,OUT!$B$5:$F$31,5,)</f>
        <v>14351.272000000004</v>
      </c>
      <c r="AF24" s="344">
        <f>VLOOKUP($A$6:$A$32,NOV!$B$5:$F$31,4,)</f>
        <v>13376.352000000003</v>
      </c>
      <c r="AG24" s="344">
        <f>VLOOKUP($A$6:$A$32,NOV!$B$5:$F$31,5,)</f>
        <v>6954.9520000000011</v>
      </c>
      <c r="AH24" s="344">
        <f>VLOOKUP($A$6:$A$32,DEZ!$B$5:$F$31,4,)</f>
        <v>15631</v>
      </c>
      <c r="AI24" s="344">
        <f>VLOOKUP($A$6:$A$32,DEZ!$B$5:$F$31,5,)</f>
        <v>9964.4239999999991</v>
      </c>
      <c r="AJ24" s="343">
        <f t="shared" si="5"/>
        <v>693022.53599999996</v>
      </c>
      <c r="AK24" s="381">
        <f t="shared" si="3"/>
        <v>98.370179778049334</v>
      </c>
      <c r="AL24" s="342">
        <f t="shared" si="4"/>
        <v>7.6111483438772023</v>
      </c>
      <c r="AM24" s="314">
        <f t="shared" si="6"/>
        <v>0.98370179778049338</v>
      </c>
      <c r="AN24" s="368">
        <f t="shared" si="7"/>
        <v>0.94239526397137341</v>
      </c>
      <c r="AO24" s="314">
        <f t="shared" si="8"/>
        <v>0.66155422857142854</v>
      </c>
      <c r="AP24" s="367">
        <f>'Comparativo YoY'!EC26</f>
        <v>-29.13355689765848</v>
      </c>
      <c r="AQ24" s="315">
        <f t="shared" si="9"/>
        <v>569134.29599999986</v>
      </c>
      <c r="AR24" s="315">
        <f t="shared" si="10"/>
        <v>123888.24</v>
      </c>
      <c r="AS24" s="1202" t="b">
        <f t="shared" si="11"/>
        <v>1</v>
      </c>
      <c r="AT24" s="608"/>
      <c r="AU24" s="608"/>
      <c r="AV24" s="608"/>
    </row>
    <row r="25" spans="1:48" s="313" customFormat="1" ht="28.5">
      <c r="A25" s="386" t="s">
        <v>106</v>
      </c>
      <c r="B25" s="350">
        <v>284</v>
      </c>
      <c r="C25" s="385">
        <v>92</v>
      </c>
      <c r="D25" s="350">
        <v>37583.050000000003</v>
      </c>
      <c r="E25" s="350">
        <v>11774</v>
      </c>
      <c r="F25" s="1008">
        <f>VLOOKUP($A$6:$A$32,'Relatórios - SICCAU e IGEO'!$A$3:$H$29,8,)</f>
        <v>295</v>
      </c>
      <c r="G25" s="346">
        <v>110</v>
      </c>
      <c r="H25" s="346">
        <v>70</v>
      </c>
      <c r="I25" s="384">
        <f t="shared" si="0"/>
        <v>40</v>
      </c>
      <c r="J25" s="383">
        <f t="shared" si="1"/>
        <v>37.288135593220339</v>
      </c>
      <c r="K25" s="383">
        <f t="shared" si="2"/>
        <v>0.75794115620478197</v>
      </c>
      <c r="L25" s="382">
        <f>VLOOKUP($A$6:$A$32,JAN!$R$5:$V$31,4,)</f>
        <v>5005.5519999999997</v>
      </c>
      <c r="M25" s="382">
        <f>VLOOKUP($A$6:$A$32,JAN!$R$5:$V$31,5,)</f>
        <v>1252.672</v>
      </c>
      <c r="N25" s="382">
        <f>VLOOKUP($A$6:$A$32,FEV!$R$5:$V$31,4,)</f>
        <v>9249.2160000000003</v>
      </c>
      <c r="O25" s="382">
        <f>VLOOKUP($A$6:$A$32,FEV!$R$5:$V$31,5,)</f>
        <v>2064.616</v>
      </c>
      <c r="P25" s="382">
        <f>VLOOKUP($A$6:$A$32,MAR!$R$5:$AK$31,20,)</f>
        <v>5501.384</v>
      </c>
      <c r="Q25" s="382">
        <f>VLOOKUP($A$6:$A$32,MAR!$R$5:$AL$31,21,)</f>
        <v>2341.9919999999997</v>
      </c>
      <c r="R25" s="345">
        <f>VLOOKUP($A$6:$A$32,ABR!$R$5:$U$31,4,)</f>
        <v>1932.6320000000001</v>
      </c>
      <c r="S25" s="345">
        <f>VLOOKUP($A$6:$A$32,ABR!$R$5:$V$31,5,)</f>
        <v>340.48800000000006</v>
      </c>
      <c r="T25" s="345">
        <f>VLOOKUP($A$6:$A$32,MAI!$B$5:$F$31,4,)</f>
        <v>2811.328</v>
      </c>
      <c r="U25" s="345">
        <f>VLOOKUP($A$6:$A$32,MAI!$B$5:$F$31,5,)</f>
        <v>845.12000000000012</v>
      </c>
      <c r="V25" s="345">
        <f>VLOOKUP($A$6:$A$32,JUN!$B$5:$F$31,4,)</f>
        <v>2247.5360000000001</v>
      </c>
      <c r="W25" s="345">
        <f>VLOOKUP($A$6:$A$32,JUN!$B$5:$F$31,5,)</f>
        <v>817.56000000000006</v>
      </c>
      <c r="X25" s="345">
        <f>VLOOKUP($A$6:$A$32,JUL!$B$5:$F$31,4,)</f>
        <v>2294.5360000000001</v>
      </c>
      <c r="Y25" s="345">
        <f>VLOOKUP($A$6:$A$32,JUL!$B$5:$F$31,5,)</f>
        <v>644.06399999999996</v>
      </c>
      <c r="Z25" s="344">
        <f>VLOOKUP($A$6:$A$32,AGO!$B$5:$F$31,4,)</f>
        <v>7312.7839999999997</v>
      </c>
      <c r="AA25" s="344">
        <f>VLOOKUP($A$6:$A$32,AGO!$B$5:$F$31,5,)</f>
        <v>1156.8400000000008</v>
      </c>
      <c r="AB25" s="344">
        <f>VLOOKUP($A$6:$A$32,SET!$B$5:$F$31,4,)</f>
        <v>1536.4880000000001</v>
      </c>
      <c r="AC25" s="344">
        <f>VLOOKUP($A$6:$A$32,SET!$B$5:$F$31,5,)</f>
        <v>366.52800000000008</v>
      </c>
      <c r="AD25" s="344">
        <f>VLOOKUP($A$6:$A$32,OUT!$B$5:$F$31,4,)</f>
        <v>599.35200000000009</v>
      </c>
      <c r="AE25" s="344">
        <f>VLOOKUP($A$6:$A$32,OUT!$B$5:$F$31,5,)</f>
        <v>850.73599999999988</v>
      </c>
      <c r="AF25" s="344">
        <f>VLOOKUP($A$6:$A$32,NOV!$B$5:$F$31,4,)</f>
        <v>599.35200000000009</v>
      </c>
      <c r="AG25" s="344">
        <f>VLOOKUP($A$6:$A$32,NOV!$B$5:$F$31,5,)</f>
        <v>134.56</v>
      </c>
      <c r="AH25" s="344">
        <f>VLOOKUP($A$6:$A$32,DEZ!$B$5:$F$31,4,)</f>
        <v>1249.4560000000001</v>
      </c>
      <c r="AI25" s="344">
        <f>VLOOKUP($A$6:$A$32,DEZ!$B$5:$F$31,5,)</f>
        <v>126.25600000000014</v>
      </c>
      <c r="AJ25" s="343">
        <f t="shared" si="5"/>
        <v>51281.047999999995</v>
      </c>
      <c r="AK25" s="381">
        <f t="shared" si="3"/>
        <v>103.89812195015706</v>
      </c>
      <c r="AL25" s="342">
        <f t="shared" si="4"/>
        <v>0.56319620687989769</v>
      </c>
      <c r="AM25" s="314">
        <f t="shared" si="6"/>
        <v>1.0389812195015706</v>
      </c>
      <c r="AN25" s="368">
        <f t="shared" si="7"/>
        <v>1.0082059864752861</v>
      </c>
      <c r="AO25" s="314">
        <f t="shared" si="8"/>
        <v>0.83488024460676069</v>
      </c>
      <c r="AP25" s="367">
        <f>'Comparativo YoY'!EC27</f>
        <v>-16.185120142448412</v>
      </c>
      <c r="AQ25" s="315">
        <f t="shared" si="9"/>
        <v>40339.616000000002</v>
      </c>
      <c r="AR25" s="315">
        <f t="shared" si="10"/>
        <v>10941.432000000001</v>
      </c>
      <c r="AS25" s="1202" t="b">
        <f t="shared" si="11"/>
        <v>1</v>
      </c>
      <c r="AT25" s="608"/>
      <c r="AU25" s="608"/>
      <c r="AV25" s="608"/>
    </row>
    <row r="26" spans="1:48" s="313" customFormat="1" ht="28.5">
      <c r="A26" s="386" t="s">
        <v>108</v>
      </c>
      <c r="B26" s="350">
        <v>205</v>
      </c>
      <c r="C26" s="385">
        <v>72</v>
      </c>
      <c r="D26" s="350">
        <v>27428.9</v>
      </c>
      <c r="E26" s="350">
        <v>6861.61</v>
      </c>
      <c r="F26" s="1008">
        <f>VLOOKUP($A$6:$A$32,'Relatórios - SICCAU e IGEO'!$A$3:$H$29,8,)</f>
        <v>216</v>
      </c>
      <c r="G26" s="346">
        <v>82</v>
      </c>
      <c r="H26" s="346">
        <v>46</v>
      </c>
      <c r="I26" s="384">
        <f t="shared" si="0"/>
        <v>36</v>
      </c>
      <c r="J26" s="383">
        <f t="shared" si="1"/>
        <v>37.962962962962962</v>
      </c>
      <c r="K26" s="383">
        <f t="shared" si="2"/>
        <v>0.56501068007992827</v>
      </c>
      <c r="L26" s="382">
        <f>VLOOKUP($A$6:$A$32,JAN!$R$5:$V$31,4,)</f>
        <v>5562.9920000000002</v>
      </c>
      <c r="M26" s="382">
        <f>VLOOKUP($A$6:$A$32,JAN!$R$5:$V$31,5,)</f>
        <v>2103.1840000000002</v>
      </c>
      <c r="N26" s="382">
        <f>VLOOKUP($A$6:$A$32,FEV!$R$5:$V$31,4,)</f>
        <v>2956.0880000000002</v>
      </c>
      <c r="O26" s="382">
        <f>VLOOKUP($A$6:$A$32,FEV!$R$5:$V$31,5,)</f>
        <v>1861.864</v>
      </c>
      <c r="P26" s="382">
        <f>VLOOKUP($A$6:$A$32,MAR!$R$5:$AK$31,20,)</f>
        <v>4883.6320000000005</v>
      </c>
      <c r="Q26" s="382">
        <f>VLOOKUP($A$6:$A$32,MAR!$R$5:$AL$31,21,)</f>
        <v>1007.792</v>
      </c>
      <c r="R26" s="345">
        <f>VLOOKUP($A$6:$A$32,ABR!$R$5:$U$31,4,)</f>
        <v>2232.2959999999998</v>
      </c>
      <c r="S26" s="345">
        <f>VLOOKUP($A$6:$A$32,ABR!$R$5:$V$31,5,)</f>
        <v>652.77600000000007</v>
      </c>
      <c r="T26" s="345">
        <f>VLOOKUP($A$6:$A$32,MAI!$B$5:$F$31,4,)</f>
        <v>2095.1680000000001</v>
      </c>
      <c r="U26" s="345">
        <f>VLOOKUP($A$6:$A$32,MAI!$B$5:$F$31,5,)</f>
        <v>311.16000000000003</v>
      </c>
      <c r="V26" s="345">
        <f>VLOOKUP($A$6:$A$32,JUN!$B$5:$F$31,4,)</f>
        <v>2765.6160000000004</v>
      </c>
      <c r="W26" s="345">
        <f>VLOOKUP($A$6:$A$32,JUN!$B$5:$F$31,5,)</f>
        <v>952.39200000000005</v>
      </c>
      <c r="X26" s="345">
        <f>VLOOKUP($A$6:$A$32,JUL!$B$5:$F$31,4,)</f>
        <v>2133.2720000000004</v>
      </c>
      <c r="Y26" s="345">
        <f>VLOOKUP($A$6:$A$32,JUL!$B$5:$F$31,5,)</f>
        <v>716.53600000000006</v>
      </c>
      <c r="Z26" s="344">
        <f>VLOOKUP($A$6:$A$32,AGO!$B$5:$F$31,4,)</f>
        <v>3429.76</v>
      </c>
      <c r="AA26" s="344">
        <f>VLOOKUP($A$6:$A$32,AGO!$B$5:$F$31,5,)</f>
        <v>671.76000000000067</v>
      </c>
      <c r="AB26" s="344">
        <f>VLOOKUP($A$6:$A$32,SET!$B$5:$F$31,4,)</f>
        <v>1517.432</v>
      </c>
      <c r="AC26" s="344">
        <f>VLOOKUP($A$6:$A$32,SET!$B$5:$F$31,5,)</f>
        <v>742.2</v>
      </c>
      <c r="AD26" s="344">
        <f>VLOOKUP($A$6:$A$32,OUT!$B$5:$F$31,4,)</f>
        <v>322.54400000000004</v>
      </c>
      <c r="AE26" s="344">
        <f>VLOOKUP($A$6:$A$32,OUT!$B$5:$F$31,5,)</f>
        <v>2180.4720000000002</v>
      </c>
      <c r="AF26" s="344">
        <f>VLOOKUP($A$6:$A$32,NOV!$B$5:$F$31,4,)</f>
        <v>932.04000000000019</v>
      </c>
      <c r="AG26" s="344">
        <f>VLOOKUP($A$6:$A$32,NOV!$B$5:$F$31,5,)</f>
        <v>217.26400000000001</v>
      </c>
      <c r="AH26" s="344">
        <f>VLOOKUP($A$6:$A$32,DEZ!$B$5:$F$31,4,)</f>
        <v>868.5440000000001</v>
      </c>
      <c r="AI26" s="344">
        <f>VLOOKUP($A$6:$A$32,DEZ!$B$5:$F$31,5,)</f>
        <v>758.48799999999994</v>
      </c>
      <c r="AJ26" s="343">
        <f t="shared" si="5"/>
        <v>41875.272000000012</v>
      </c>
      <c r="AK26" s="381">
        <f t="shared" si="3"/>
        <v>122.11912858688893</v>
      </c>
      <c r="AL26" s="342">
        <f t="shared" si="4"/>
        <v>0.45989688729575096</v>
      </c>
      <c r="AM26" s="314">
        <f t="shared" si="6"/>
        <v>1.2211912858688894</v>
      </c>
      <c r="AN26" s="368">
        <f t="shared" si="7"/>
        <v>1.0053722898111117</v>
      </c>
      <c r="AO26" s="314">
        <f t="shared" si="8"/>
        <v>1.3145113173147411</v>
      </c>
      <c r="AP26" s="367">
        <f>'Comparativo YoY'!EC28</f>
        <v>10.991733521909808</v>
      </c>
      <c r="AQ26" s="315">
        <f t="shared" si="9"/>
        <v>29699.384000000005</v>
      </c>
      <c r="AR26" s="315">
        <f t="shared" si="10"/>
        <v>12175.887999999999</v>
      </c>
      <c r="AS26" s="1202" t="b">
        <f t="shared" si="11"/>
        <v>1</v>
      </c>
      <c r="AT26" s="608"/>
      <c r="AU26" s="608"/>
      <c r="AV26" s="608"/>
    </row>
    <row r="27" spans="1:48" s="313" customFormat="1" ht="28.5">
      <c r="A27" s="386" t="s">
        <v>109</v>
      </c>
      <c r="B27" s="350">
        <v>56</v>
      </c>
      <c r="C27" s="385">
        <v>20</v>
      </c>
      <c r="D27" s="350">
        <v>7672.1399999999994</v>
      </c>
      <c r="E27" s="350">
        <v>810.78</v>
      </c>
      <c r="F27" s="1008">
        <f>VLOOKUP($A$6:$A$32,'Relatórios - SICCAU e IGEO'!$A$3:$H$29,8,)</f>
        <v>59</v>
      </c>
      <c r="G27" s="346">
        <v>19</v>
      </c>
      <c r="H27" s="346">
        <v>12</v>
      </c>
      <c r="I27" s="384">
        <f t="shared" si="0"/>
        <v>7</v>
      </c>
      <c r="J27" s="383">
        <f t="shared" si="1"/>
        <v>32.20338983050847</v>
      </c>
      <c r="K27" s="383">
        <f t="shared" si="2"/>
        <v>0.13091710879900778</v>
      </c>
      <c r="L27" s="382">
        <f>VLOOKUP($A$6:$A$32,JAN!$R$5:$V$31,4,)</f>
        <v>2559.92</v>
      </c>
      <c r="M27" s="382">
        <f>VLOOKUP($A$6:$A$32,JAN!$R$5:$V$31,5,)</f>
        <v>0</v>
      </c>
      <c r="N27" s="382">
        <f>VLOOKUP($A$6:$A$32,FEV!$R$5:$V$31,4,)</f>
        <v>1005.68</v>
      </c>
      <c r="O27" s="382">
        <f>VLOOKUP($A$6:$A$32,FEV!$R$5:$V$31,5,)</f>
        <v>368.52800000000002</v>
      </c>
      <c r="P27" s="382">
        <f>VLOOKUP($A$6:$A$32,MAR!$R$5:$AK$31,20,)</f>
        <v>1500.9120000000003</v>
      </c>
      <c r="Q27" s="382">
        <f>VLOOKUP($A$6:$A$32,MAR!$R$5:$AL$31,21,)</f>
        <v>176.904</v>
      </c>
      <c r="R27" s="345">
        <f>VLOOKUP($A$6:$A$32,ABR!$R$5:$U$31,4,)</f>
        <v>0</v>
      </c>
      <c r="S27" s="345">
        <f>VLOOKUP($A$6:$A$32,ABR!$R$5:$V$31,5,)</f>
        <v>0</v>
      </c>
      <c r="T27" s="345">
        <f>VLOOKUP($A$6:$A$32,MAI!$B$5:$F$31,4,)</f>
        <v>0</v>
      </c>
      <c r="U27" s="345">
        <f>VLOOKUP($A$6:$A$32,MAI!$B$5:$F$31,5,)</f>
        <v>0</v>
      </c>
      <c r="V27" s="345">
        <f>VLOOKUP($A$6:$A$32,JUN!$B$5:$F$31,4,)</f>
        <v>91.424000000000035</v>
      </c>
      <c r="W27" s="345">
        <f>VLOOKUP($A$6:$A$32,JUN!$B$5:$F$31,5,)</f>
        <v>265.35200000000003</v>
      </c>
      <c r="X27" s="345">
        <f>VLOOKUP($A$6:$A$32,JUL!$B$5:$F$31,4,)</f>
        <v>548.55200000000002</v>
      </c>
      <c r="Y27" s="345">
        <f>VLOOKUP($A$6:$A$32,JUL!$B$5:$F$31,5,)</f>
        <v>0</v>
      </c>
      <c r="Z27" s="344">
        <f>VLOOKUP($A$6:$A$32,AGO!$B$5:$F$31,4,)</f>
        <v>182.85599999999999</v>
      </c>
      <c r="AA27" s="344">
        <f>VLOOKUP($A$6:$A$32,AGO!$B$5:$F$31,5,)</f>
        <v>73.703999999999994</v>
      </c>
      <c r="AB27" s="344">
        <f>VLOOKUP($A$6:$A$32,SET!$B$5:$F$31,4,)</f>
        <v>451.03999999999996</v>
      </c>
      <c r="AC27" s="344">
        <f>VLOOKUP($A$6:$A$32,SET!$B$5:$F$31,5,)</f>
        <v>884.44799999999998</v>
      </c>
      <c r="AD27" s="344">
        <f>VLOOKUP($A$6:$A$32,OUT!$B$5:$F$31,4,)</f>
        <v>152.376</v>
      </c>
      <c r="AE27" s="344">
        <f>VLOOKUP($A$6:$A$32,OUT!$B$5:$F$31,5,)</f>
        <v>53.904000000000025</v>
      </c>
      <c r="AF27" s="344">
        <f>VLOOKUP($A$6:$A$32,NOV!$B$5:$F$31,4,)</f>
        <v>228.56799999999998</v>
      </c>
      <c r="AG27" s="344">
        <f>VLOOKUP($A$6:$A$32,NOV!$B$5:$F$31,5,)</f>
        <v>0</v>
      </c>
      <c r="AH27" s="344">
        <f>VLOOKUP($A$6:$A$32,DEZ!$B$5:$F$31,4,)</f>
        <v>219.42399999999998</v>
      </c>
      <c r="AI27" s="344">
        <f>VLOOKUP($A$6:$A$32,DEZ!$B$5:$F$31,5,)</f>
        <v>0</v>
      </c>
      <c r="AJ27" s="343">
        <f t="shared" si="5"/>
        <v>8763.5919999999969</v>
      </c>
      <c r="AK27" s="381">
        <f t="shared" si="3"/>
        <v>103.30867201388199</v>
      </c>
      <c r="AL27" s="342">
        <f t="shared" si="4"/>
        <v>9.6246507541012313E-2</v>
      </c>
      <c r="AM27" s="314">
        <f t="shared" si="6"/>
        <v>1.0330867201388199</v>
      </c>
      <c r="AN27" s="368">
        <f t="shared" si="7"/>
        <v>0.82641661909193531</v>
      </c>
      <c r="AO27" s="314">
        <f t="shared" si="8"/>
        <v>2.1817706406176769</v>
      </c>
      <c r="AP27" s="367">
        <f>'Comparativo YoY'!EC29</f>
        <v>61.191444904685881</v>
      </c>
      <c r="AQ27" s="315">
        <f t="shared" si="9"/>
        <v>6940.7520000000004</v>
      </c>
      <c r="AR27" s="315">
        <f t="shared" si="10"/>
        <v>1822.8400000000001</v>
      </c>
      <c r="AS27" s="1202" t="b">
        <f t="shared" si="11"/>
        <v>1</v>
      </c>
      <c r="AT27" s="608"/>
      <c r="AU27" s="608"/>
      <c r="AV27" s="608"/>
    </row>
    <row r="28" spans="1:48" s="313" customFormat="1" ht="28.5">
      <c r="A28" s="386" t="s">
        <v>107</v>
      </c>
      <c r="B28" s="350">
        <v>2623</v>
      </c>
      <c r="C28" s="385">
        <v>1129</v>
      </c>
      <c r="D28" s="350">
        <v>444889.02</v>
      </c>
      <c r="E28" s="350">
        <v>114583.78</v>
      </c>
      <c r="F28" s="1008">
        <f>VLOOKUP($A$6:$A$32,'Relatórios - SICCAU e IGEO'!$A$3:$H$29,8,)</f>
        <v>2709</v>
      </c>
      <c r="G28" s="346">
        <v>1442</v>
      </c>
      <c r="H28" s="346">
        <v>977</v>
      </c>
      <c r="I28" s="384">
        <f t="shared" si="0"/>
        <v>465</v>
      </c>
      <c r="J28" s="383">
        <f t="shared" si="1"/>
        <v>53.229974160206716</v>
      </c>
      <c r="K28" s="383">
        <f t="shared" si="2"/>
        <v>9.9359195204299589</v>
      </c>
      <c r="L28" s="382">
        <f>VLOOKUP($A$6:$A$32,JAN!$R$5:$V$31,4,)</f>
        <v>98484.488000000012</v>
      </c>
      <c r="M28" s="382">
        <f>VLOOKUP($A$6:$A$32,JAN!$R$5:$V$31,5,)</f>
        <v>31813.528000000006</v>
      </c>
      <c r="N28" s="382">
        <f>VLOOKUP($A$6:$A$32,FEV!$R$5:$V$31,4,)</f>
        <v>116429.144</v>
      </c>
      <c r="O28" s="382">
        <f>VLOOKUP($A$6:$A$32,FEV!$R$5:$V$31,5,)</f>
        <v>23029.248000000003</v>
      </c>
      <c r="P28" s="382">
        <f>VLOOKUP($A$6:$A$32,MAR!$R$5:$AK$31,20,)</f>
        <v>62860.743999999999</v>
      </c>
      <c r="Q28" s="382">
        <f>VLOOKUP($A$6:$A$32,MAR!$R$5:$AL$31,21,)</f>
        <v>27382.712</v>
      </c>
      <c r="R28" s="345">
        <f>VLOOKUP($A$6:$A$32,ABR!$R$5:$U$31,4,)</f>
        <v>28207.768</v>
      </c>
      <c r="S28" s="345">
        <f>VLOOKUP($A$6:$A$32,ABR!$R$5:$V$31,5,)</f>
        <v>11017.24</v>
      </c>
      <c r="T28" s="345">
        <f>VLOOKUP($A$6:$A$32,MAI!$B$5:$F$31,4,)</f>
        <v>25030.760000000002</v>
      </c>
      <c r="U28" s="345">
        <f>VLOOKUP($A$6:$A$32,MAI!$B$5:$F$31,5,)</f>
        <v>8636.344000000001</v>
      </c>
      <c r="V28" s="345">
        <f>VLOOKUP($A$6:$A$32,JUN!$B$5:$F$31,4,)</f>
        <v>37227.167999999998</v>
      </c>
      <c r="W28" s="345">
        <f>VLOOKUP($A$6:$A$32,JUN!$B$5:$F$31,5,)</f>
        <v>12704.704</v>
      </c>
      <c r="X28" s="345">
        <f>VLOOKUP($A$6:$A$32,JUL!$B$5:$F$31,4,)</f>
        <v>43995.936000000002</v>
      </c>
      <c r="Y28" s="345">
        <f>VLOOKUP($A$6:$A$32,JUL!$B$5:$F$31,5,)</f>
        <v>13106.088000000002</v>
      </c>
      <c r="Z28" s="344">
        <f>VLOOKUP($A$6:$A$32,AGO!$B$5:$F$31,4,)</f>
        <v>66542.248000000007</v>
      </c>
      <c r="AA28" s="344">
        <f>VLOOKUP($A$6:$A$32,AGO!$B$5:$F$31,5,)</f>
        <v>12905.704000000005</v>
      </c>
      <c r="AB28" s="344">
        <f>VLOOKUP($A$6:$A$32,SET!$B$5:$F$31,4,)</f>
        <v>23378.2</v>
      </c>
      <c r="AC28" s="344">
        <f>VLOOKUP($A$6:$A$32,SET!$B$5:$F$31,5,)</f>
        <v>8145.7280000000028</v>
      </c>
      <c r="AD28" s="344">
        <f>VLOOKUP($A$6:$A$32,OUT!$B$5:$F$31,4,)</f>
        <v>12853.656000000001</v>
      </c>
      <c r="AE28" s="344">
        <f>VLOOKUP($A$6:$A$32,OUT!$B$5:$F$31,5,)</f>
        <v>8678.5360000000019</v>
      </c>
      <c r="AF28" s="344">
        <f>VLOOKUP($A$6:$A$32,NOV!$B$5:$F$31,4,)</f>
        <v>22386.495999999999</v>
      </c>
      <c r="AG28" s="344">
        <f>VLOOKUP($A$6:$A$32,NOV!$B$5:$F$31,5,)</f>
        <v>8250.4639999999999</v>
      </c>
      <c r="AH28" s="344">
        <f>VLOOKUP($A$6:$A$32,DEZ!$B$5:$F$31,4,)</f>
        <v>18873.144</v>
      </c>
      <c r="AI28" s="344">
        <f>VLOOKUP($A$6:$A$32,DEZ!$B$5:$F$31,5,)</f>
        <v>10486.552000000003</v>
      </c>
      <c r="AJ28" s="343">
        <f t="shared" si="5"/>
        <v>732426.60000000009</v>
      </c>
      <c r="AK28" s="381">
        <f t="shared" si="3"/>
        <v>130.91371019288158</v>
      </c>
      <c r="AL28" s="342">
        <f t="shared" si="4"/>
        <v>8.0439050882489784</v>
      </c>
      <c r="AM28" s="314">
        <f t="shared" si="6"/>
        <v>1.3091371019288158</v>
      </c>
      <c r="AN28" s="368">
        <f t="shared" si="7"/>
        <v>1.1287229700566672</v>
      </c>
      <c r="AO28" s="314">
        <f t="shared" si="8"/>
        <v>1.29810079576708</v>
      </c>
      <c r="AP28" s="367">
        <f>'Comparativo YoY'!EC30</f>
        <v>-6.7507326237440708</v>
      </c>
      <c r="AQ28" s="315">
        <f t="shared" si="9"/>
        <v>556269.75199999998</v>
      </c>
      <c r="AR28" s="315">
        <f t="shared" si="10"/>
        <v>176156.84800000003</v>
      </c>
      <c r="AS28" s="1202" t="b">
        <f t="shared" si="11"/>
        <v>1</v>
      </c>
      <c r="AT28" s="608"/>
      <c r="AU28" s="608"/>
      <c r="AV28" s="608"/>
    </row>
    <row r="29" spans="1:48" s="313" customFormat="1" ht="36.75" customHeight="1">
      <c r="A29" s="386" t="s">
        <v>110</v>
      </c>
      <c r="B29" s="350">
        <v>1673</v>
      </c>
      <c r="C29" s="385">
        <v>844</v>
      </c>
      <c r="D29" s="350">
        <v>359595.36800000002</v>
      </c>
      <c r="E29" s="350">
        <v>73316.311999999947</v>
      </c>
      <c r="F29" s="1008">
        <f>VLOOKUP($A$6:$A$32,'Relatórios - SICCAU e IGEO'!$A$3:$H$29,8,)</f>
        <v>1733</v>
      </c>
      <c r="G29" s="346">
        <v>907</v>
      </c>
      <c r="H29" s="346">
        <v>612</v>
      </c>
      <c r="I29" s="384">
        <f t="shared" si="0"/>
        <v>295</v>
      </c>
      <c r="J29" s="383">
        <f t="shared" si="1"/>
        <v>52.336987882285058</v>
      </c>
      <c r="K29" s="383">
        <f t="shared" si="2"/>
        <v>6.2495693516157926</v>
      </c>
      <c r="L29" s="382">
        <f>VLOOKUP($A$6:$A$32,JAN!$R$5:$V$31,4,)</f>
        <v>57631.528000000006</v>
      </c>
      <c r="M29" s="382">
        <f>VLOOKUP($A$6:$A$32,JAN!$R$5:$V$31,5,)</f>
        <v>9873.8240000000005</v>
      </c>
      <c r="N29" s="382">
        <f>VLOOKUP($A$6:$A$32,FEV!$R$5:$V$31,4,)</f>
        <v>89545.631999999998</v>
      </c>
      <c r="O29" s="382">
        <f>VLOOKUP($A$6:$A$32,FEV!$R$5:$V$31,5,)</f>
        <v>10202.944000000001</v>
      </c>
      <c r="P29" s="382">
        <f>VLOOKUP($A$6:$A$32,MAR!$R$5:$AK$31,20,)</f>
        <v>40676.592000000004</v>
      </c>
      <c r="Q29" s="382">
        <f>VLOOKUP($A$6:$A$32,MAR!$R$5:$AL$31,21,)</f>
        <v>6572.04</v>
      </c>
      <c r="R29" s="345">
        <f>VLOOKUP($A$6:$A$32,ABR!$R$5:$U$31,4,)</f>
        <v>20754.440000000002</v>
      </c>
      <c r="S29" s="345">
        <f>VLOOKUP($A$6:$A$32,ABR!$R$5:$V$31,5,)</f>
        <v>4669.7120000000004</v>
      </c>
      <c r="T29" s="345">
        <f>VLOOKUP($A$6:$A$32,MAI!$B$5:$F$31,4,)</f>
        <v>14580.064000000002</v>
      </c>
      <c r="U29" s="345">
        <f>VLOOKUP($A$6:$A$32,MAI!$B$5:$F$31,5,)</f>
        <v>3281.1040000000003</v>
      </c>
      <c r="V29" s="345">
        <f>VLOOKUP($A$6:$A$32,JUN!$B$5:$F$31,4,)</f>
        <v>28890.368000000002</v>
      </c>
      <c r="W29" s="345">
        <f>VLOOKUP($A$6:$A$32,JUN!$B$5:$F$31,5,)</f>
        <v>4661.6400000000003</v>
      </c>
      <c r="X29" s="345">
        <f>VLOOKUP($A$6:$A$32,JUL!$B$5:$F$31,4,)</f>
        <v>27032.152000000002</v>
      </c>
      <c r="Y29" s="345">
        <f>VLOOKUP($A$6:$A$32,JUL!$B$5:$F$31,5,)</f>
        <v>3170.8079999999959</v>
      </c>
      <c r="Z29" s="344">
        <f>VLOOKUP($A$6:$A$32,AGO!$B$5:$F$31,4,)</f>
        <v>43838.928000000007</v>
      </c>
      <c r="AA29" s="344">
        <f>VLOOKUP($A$6:$A$32,AGO!$B$5:$F$31,5,)</f>
        <v>3901.3119999999999</v>
      </c>
      <c r="AB29" s="344">
        <f>VLOOKUP($A$6:$A$32,SET!$B$5:$F$31,4,)</f>
        <v>10427.992</v>
      </c>
      <c r="AC29" s="344">
        <f>VLOOKUP($A$6:$A$32,SET!$B$5:$F$31,5,)</f>
        <v>2873.3439999999991</v>
      </c>
      <c r="AD29" s="344">
        <f>VLOOKUP($A$6:$A$32,OUT!$B$5:$F$31,4,)</f>
        <v>5050.232</v>
      </c>
      <c r="AE29" s="344">
        <f>VLOOKUP($A$6:$A$32,OUT!$B$5:$F$31,5,)</f>
        <v>5789.3840000000009</v>
      </c>
      <c r="AF29" s="344">
        <f>VLOOKUP($A$6:$A$32,NOV!$B$5:$F$31,4,)</f>
        <v>5332.1360000000004</v>
      </c>
      <c r="AG29" s="344">
        <f>VLOOKUP($A$6:$A$32,NOV!$B$5:$F$31,5,)</f>
        <v>4310.9360000000006</v>
      </c>
      <c r="AH29" s="344">
        <f>VLOOKUP($A$6:$A$32,DEZ!$B$5:$F$31,4,)</f>
        <v>8882.6880000000001</v>
      </c>
      <c r="AI29" s="344">
        <f>VLOOKUP($A$6:$A$32,DEZ!$B$5:$F$31,5,)</f>
        <v>6651.8480000000018</v>
      </c>
      <c r="AJ29" s="343">
        <f t="shared" si="5"/>
        <v>418601.6480000001</v>
      </c>
      <c r="AK29" s="381">
        <f t="shared" si="3"/>
        <v>96.694468488353138</v>
      </c>
      <c r="AL29" s="342">
        <f t="shared" si="4"/>
        <v>4.5973097185391794</v>
      </c>
      <c r="AM29" s="314">
        <f t="shared" si="6"/>
        <v>0.96694468488353136</v>
      </c>
      <c r="AN29" s="368">
        <f t="shared" si="7"/>
        <v>0.92709118544597058</v>
      </c>
      <c r="AO29" s="314">
        <f t="shared" si="8"/>
        <v>0.67115661791607895</v>
      </c>
      <c r="AP29" s="367">
        <f>'Comparativo YoY'!EC31</f>
        <v>3.470911895196636</v>
      </c>
      <c r="AQ29" s="315">
        <f t="shared" si="9"/>
        <v>352642.75200000009</v>
      </c>
      <c r="AR29" s="315">
        <f t="shared" si="10"/>
        <v>65958.895999999993</v>
      </c>
      <c r="AS29" s="1202" t="b">
        <f t="shared" si="11"/>
        <v>1</v>
      </c>
      <c r="AT29" s="608"/>
      <c r="AU29" s="608"/>
      <c r="AV29" s="608"/>
    </row>
    <row r="30" spans="1:48" s="313" customFormat="1" ht="28.5">
      <c r="A30" s="386" t="s">
        <v>112</v>
      </c>
      <c r="B30" s="350">
        <v>158</v>
      </c>
      <c r="C30" s="385">
        <v>73</v>
      </c>
      <c r="D30" s="350">
        <v>28347.62</v>
      </c>
      <c r="E30" s="350">
        <v>2298.14</v>
      </c>
      <c r="F30" s="1008">
        <f>VLOOKUP($A$6:$A$32,'Relatórios - SICCAU e IGEO'!$A$3:$H$29,8,)</f>
        <v>161</v>
      </c>
      <c r="G30" s="346">
        <v>81</v>
      </c>
      <c r="H30" s="346">
        <v>52</v>
      </c>
      <c r="I30" s="384">
        <f t="shared" si="0"/>
        <v>29</v>
      </c>
      <c r="J30" s="383">
        <f t="shared" si="1"/>
        <v>50.310559006211179</v>
      </c>
      <c r="K30" s="383">
        <f t="shared" si="2"/>
        <v>0.55812030593261208</v>
      </c>
      <c r="L30" s="382">
        <f>VLOOKUP($A$6:$A$32,JAN!$R$5:$V$31,4,)</f>
        <v>7274.0560000000005</v>
      </c>
      <c r="M30" s="382">
        <f>VLOOKUP($A$6:$A$32,JAN!$R$5:$V$31,5,)</f>
        <v>347</v>
      </c>
      <c r="N30" s="382">
        <f>VLOOKUP($A$6:$A$32,FEV!$R$5:$V$31,4,)</f>
        <v>5950.2800000000007</v>
      </c>
      <c r="O30" s="382">
        <f>VLOOKUP($A$6:$A$32,FEV!$R$5:$V$31,5,)</f>
        <v>517.10400000000004</v>
      </c>
      <c r="P30" s="382">
        <f>VLOOKUP($A$6:$A$32,MAR!$R$5:$AK$31,20,)</f>
        <v>4997.9120000000003</v>
      </c>
      <c r="Q30" s="382">
        <f>VLOOKUP($A$6:$A$32,MAR!$R$5:$AL$31,21,)</f>
        <v>684.29599999999994</v>
      </c>
      <c r="R30" s="345">
        <f>VLOOKUP($A$6:$A$32,ABR!$R$5:$U$31,4,)</f>
        <v>967.58400000000006</v>
      </c>
      <c r="S30" s="345">
        <f>VLOOKUP($A$6:$A$32,ABR!$R$5:$V$31,5,)</f>
        <v>110.56</v>
      </c>
      <c r="T30" s="345">
        <f>VLOOKUP($A$6:$A$32,MAI!$B$5:$F$31,4,)</f>
        <v>1005.672</v>
      </c>
      <c r="U30" s="345">
        <f>VLOOKUP($A$6:$A$32,MAI!$B$5:$F$31,5,)</f>
        <v>639.18400000000008</v>
      </c>
      <c r="V30" s="345">
        <f>VLOOKUP($A$6:$A$32,JUN!$B$5:$F$31,4,)</f>
        <v>1158.056</v>
      </c>
      <c r="W30" s="345">
        <f>VLOOKUP($A$6:$A$32,JUN!$B$5:$F$31,5,)</f>
        <v>1288.1280000000002</v>
      </c>
      <c r="X30" s="345">
        <f>VLOOKUP($A$6:$A$32,JUL!$B$5:$F$31,4,)</f>
        <v>2377.08</v>
      </c>
      <c r="Y30" s="345">
        <f>VLOOKUP($A$6:$A$32,JUL!$B$5:$F$31,5,)</f>
        <v>343.48799999999977</v>
      </c>
      <c r="Z30" s="344">
        <f>VLOOKUP($A$6:$A$32,AGO!$B$5:$F$31,4,)</f>
        <v>2927.1680000000001</v>
      </c>
      <c r="AA30" s="344">
        <f>VLOOKUP($A$6:$A$32,AGO!$B$5:$F$31,5,)</f>
        <v>158.07199999999978</v>
      </c>
      <c r="AB30" s="344">
        <f>VLOOKUP($A$6:$A$32,SET!$B$5:$F$31,4,)</f>
        <v>1037.7040000000002</v>
      </c>
      <c r="AC30" s="344">
        <f>VLOOKUP($A$6:$A$32,SET!$B$5:$F$31,5,)</f>
        <v>772.33599999999979</v>
      </c>
      <c r="AD30" s="344">
        <f>VLOOKUP($A$6:$A$32,OUT!$B$5:$F$31,4,)</f>
        <v>365.69600000000003</v>
      </c>
      <c r="AE30" s="344">
        <f>VLOOKUP($A$6:$A$32,OUT!$B$5:$F$31,5,)</f>
        <v>1251.6080000000002</v>
      </c>
      <c r="AF30" s="344">
        <f>VLOOKUP($A$6:$A$32,NOV!$B$5:$F$31,4,)</f>
        <v>717.68000000000006</v>
      </c>
      <c r="AG30" s="344">
        <f>VLOOKUP($A$6:$A$32,NOV!$B$5:$F$31,5,)</f>
        <v>380.32799999999997</v>
      </c>
      <c r="AH30" s="344">
        <f>VLOOKUP($A$6:$A$32,DEZ!$B$5:$F$31,4,)</f>
        <v>1112.3520000000001</v>
      </c>
      <c r="AI30" s="344">
        <f>VLOOKUP($A$6:$A$32,DEZ!$B$5:$F$31,5,)</f>
        <v>487.37599999999986</v>
      </c>
      <c r="AJ30" s="343">
        <f t="shared" si="5"/>
        <v>36870.720000000001</v>
      </c>
      <c r="AK30" s="381">
        <f t="shared" si="3"/>
        <v>120.31263052376578</v>
      </c>
      <c r="AL30" s="342">
        <f t="shared" si="4"/>
        <v>0.40493419028664907</v>
      </c>
      <c r="AM30" s="314">
        <f t="shared" si="6"/>
        <v>1.2031263052376577</v>
      </c>
      <c r="AN30" s="368">
        <f t="shared" si="7"/>
        <v>0.9769960229465473</v>
      </c>
      <c r="AO30" s="314">
        <f t="shared" si="8"/>
        <v>2.1148267729555204</v>
      </c>
      <c r="AP30" s="367">
        <f>'Comparativo YoY'!EC32</f>
        <v>-5.9461676681533362</v>
      </c>
      <c r="AQ30" s="315">
        <f t="shared" si="9"/>
        <v>29891.24</v>
      </c>
      <c r="AR30" s="315">
        <f t="shared" si="10"/>
        <v>6979.48</v>
      </c>
      <c r="AS30" s="1202" t="b">
        <f t="shared" si="11"/>
        <v>1</v>
      </c>
      <c r="AT30" s="608"/>
      <c r="AU30" s="608"/>
      <c r="AV30" s="608"/>
    </row>
    <row r="31" spans="1:48" s="313" customFormat="1" ht="28.5">
      <c r="A31" s="386" t="s">
        <v>111</v>
      </c>
      <c r="B31" s="350">
        <v>8174</v>
      </c>
      <c r="C31" s="385">
        <v>4008</v>
      </c>
      <c r="D31" s="350">
        <v>1832188.7080000001</v>
      </c>
      <c r="E31" s="350">
        <v>421066.2122784832</v>
      </c>
      <c r="F31" s="1008">
        <f>VLOOKUP($A$6:$A$32,'Relatórios - SICCAU e IGEO'!$A$3:$H$29,8,)</f>
        <v>7514</v>
      </c>
      <c r="G31" s="346">
        <v>4480</v>
      </c>
      <c r="H31" s="346">
        <v>2873</v>
      </c>
      <c r="I31" s="384">
        <f t="shared" si="0"/>
        <v>1607</v>
      </c>
      <c r="J31" s="383">
        <f t="shared" si="1"/>
        <v>59.622038860793182</v>
      </c>
      <c r="K31" s="383">
        <f t="shared" si="2"/>
        <v>30.868876179976574</v>
      </c>
      <c r="L31" s="382">
        <f>VLOOKUP($A$6:$A$32,JAN!$R$5:$V$31,4,)</f>
        <v>385907.76800000004</v>
      </c>
      <c r="M31" s="382">
        <f>VLOOKUP($A$6:$A$32,JAN!$R$5:$V$31,5,)</f>
        <v>70190.623999999996</v>
      </c>
      <c r="N31" s="382">
        <f>VLOOKUP($A$6:$A$32,FEV!$R$5:$V$31,4,)</f>
        <v>467816.91200000001</v>
      </c>
      <c r="O31" s="382">
        <f>VLOOKUP($A$6:$A$32,FEV!$R$5:$V$31,5,)</f>
        <v>55168.52</v>
      </c>
      <c r="P31" s="382">
        <f>VLOOKUP($A$6:$A$32,MAR!$R$5:$AK$31,20,)</f>
        <v>221627.05600000001</v>
      </c>
      <c r="Q31" s="382">
        <f>VLOOKUP($A$6:$A$32,MAR!$R$5:$AL$31,21,)</f>
        <v>51641.656000000003</v>
      </c>
      <c r="R31" s="345">
        <f>VLOOKUP($A$6:$A$32,ABR!$R$5:$U$31,4,)</f>
        <v>95789.352000000014</v>
      </c>
      <c r="S31" s="345">
        <f>VLOOKUP($A$6:$A$32,ABR!$R$5:$V$31,5,)</f>
        <v>24785.312000000002</v>
      </c>
      <c r="T31" s="345">
        <f>VLOOKUP($A$6:$A$32,MAI!$B$5:$F$31,4,)</f>
        <v>72968.072</v>
      </c>
      <c r="U31" s="345">
        <f>VLOOKUP($A$6:$A$32,MAI!$B$5:$F$31,5,)</f>
        <v>25577.872000000003</v>
      </c>
      <c r="V31" s="345">
        <f>VLOOKUP($A$6:$A$32,JUN!$B$5:$F$31,4,)</f>
        <v>103465.944</v>
      </c>
      <c r="W31" s="345">
        <f>VLOOKUP($A$6:$A$32,JUN!$B$5:$F$31,5,)</f>
        <v>41828.04800000001</v>
      </c>
      <c r="X31" s="345">
        <f>VLOOKUP($A$6:$A$32,JUL!$B$5:$F$31,4,)</f>
        <v>104462.296</v>
      </c>
      <c r="Y31" s="345">
        <f>VLOOKUP($A$6:$A$32,JUL!$B$5:$F$31,5,)</f>
        <v>55157.648000000001</v>
      </c>
      <c r="Z31" s="344">
        <f>VLOOKUP($A$6:$A$32,AGO!$B$5:$F$31,4,)</f>
        <v>141136.82399999999</v>
      </c>
      <c r="AA31" s="344">
        <f>VLOOKUP($A$6:$A$32,AGO!$B$5:$F$31,5,)</f>
        <v>50839.495999999999</v>
      </c>
      <c r="AB31" s="344">
        <f>VLOOKUP($A$6:$A$32,SET!$B$5:$F$31,4,)</f>
        <v>54066.128000000004</v>
      </c>
      <c r="AC31" s="344">
        <f>VLOOKUP($A$6:$A$32,SET!$B$5:$F$31,5,)</f>
        <v>40324.519999999997</v>
      </c>
      <c r="AD31" s="344">
        <f>VLOOKUP($A$6:$A$32,OUT!$B$5:$F$31,4,)</f>
        <v>21150.624</v>
      </c>
      <c r="AE31" s="344">
        <f>VLOOKUP($A$6:$A$32,OUT!$B$5:$F$31,5,)</f>
        <v>66340.639999999999</v>
      </c>
      <c r="AF31" s="344">
        <f>VLOOKUP($A$6:$A$32,NOV!$B$5:$F$31,4,)</f>
        <v>39511.784000000014</v>
      </c>
      <c r="AG31" s="344">
        <f>VLOOKUP($A$6:$A$32,NOV!$B$5:$F$31,5,)</f>
        <v>39898.527999999998</v>
      </c>
      <c r="AH31" s="344">
        <f>VLOOKUP($A$6:$A$32,DEZ!$B$5:$F$31,4,)</f>
        <v>43030.776000000005</v>
      </c>
      <c r="AI31" s="344">
        <f>VLOOKUP($A$6:$A$32,DEZ!$B$5:$F$31,5,)</f>
        <v>52976.695999999996</v>
      </c>
      <c r="AJ31" s="343">
        <f t="shared" si="5"/>
        <v>2325663.0959999999</v>
      </c>
      <c r="AK31" s="381">
        <f t="shared" si="3"/>
        <v>103.21349240469284</v>
      </c>
      <c r="AL31" s="342">
        <f t="shared" si="4"/>
        <v>25.541690063505712</v>
      </c>
      <c r="AM31" s="314">
        <f t="shared" si="6"/>
        <v>1.0321349240469284</v>
      </c>
      <c r="AN31" s="368">
        <f t="shared" si="7"/>
        <v>0.89905605509277042</v>
      </c>
      <c r="AO31" s="314">
        <f t="shared" si="8"/>
        <v>0.98681319916780474</v>
      </c>
      <c r="AP31" s="367">
        <f>'Comparativo YoY'!EC33</f>
        <v>-4.5345319429433601</v>
      </c>
      <c r="AQ31" s="315">
        <f t="shared" si="9"/>
        <v>1750933.5360000001</v>
      </c>
      <c r="AR31" s="315">
        <f t="shared" si="10"/>
        <v>574729.56000000006</v>
      </c>
      <c r="AS31" s="1202" t="b">
        <f t="shared" si="11"/>
        <v>1</v>
      </c>
      <c r="AT31" s="608"/>
      <c r="AU31" s="608"/>
      <c r="AV31" s="608"/>
    </row>
    <row r="32" spans="1:48" s="313" customFormat="1" ht="28.5">
      <c r="A32" s="386" t="s">
        <v>113</v>
      </c>
      <c r="B32" s="350">
        <v>189</v>
      </c>
      <c r="C32" s="385">
        <v>63</v>
      </c>
      <c r="D32" s="350">
        <v>23218.27</v>
      </c>
      <c r="E32" s="350">
        <v>9444.98</v>
      </c>
      <c r="F32" s="1008">
        <f>VLOOKUP($A$6:$A$32,'Relatórios - SICCAU e IGEO'!$A$3:$H$29,8,)</f>
        <v>190</v>
      </c>
      <c r="G32" s="346">
        <v>71</v>
      </c>
      <c r="H32" s="346">
        <v>39</v>
      </c>
      <c r="I32" s="384">
        <f t="shared" si="0"/>
        <v>32</v>
      </c>
      <c r="J32" s="383">
        <f t="shared" si="1"/>
        <v>37.368421052631575</v>
      </c>
      <c r="K32" s="383">
        <f t="shared" si="2"/>
        <v>0.48921656445945017</v>
      </c>
      <c r="L32" s="382">
        <f>VLOOKUP($A$6:$A$32,JAN!$R$5:$V$31,4,)</f>
        <v>2986.5680000000002</v>
      </c>
      <c r="M32" s="382">
        <f>VLOOKUP($A$6:$A$32,JAN!$R$5:$V$31,5,)</f>
        <v>1131.7440000000001</v>
      </c>
      <c r="N32" s="382">
        <f>VLOOKUP($A$6:$A$32,FEV!$R$5:$V$31,4,)</f>
        <v>3626.5440000000003</v>
      </c>
      <c r="O32" s="382">
        <f>VLOOKUP($A$6:$A$32,FEV!$R$5:$V$31,5,)</f>
        <v>1490.0320000000002</v>
      </c>
      <c r="P32" s="382">
        <f>VLOOKUP($A$6:$A$32,MAR!$R$5:$AK$31,20,)</f>
        <v>3371.3120000000004</v>
      </c>
      <c r="Q32" s="382">
        <f>VLOOKUP($A$6:$A$32,MAR!$R$5:$AL$31,21,)</f>
        <v>1767.376</v>
      </c>
      <c r="R32" s="345">
        <f>VLOOKUP($A$6:$A$32,ABR!$R$5:$U$31,4,)</f>
        <v>1036.1600000000001</v>
      </c>
      <c r="S32" s="345">
        <f>VLOOKUP($A$6:$A$32,ABR!$R$5:$V$31,5,)</f>
        <v>678.67200000000003</v>
      </c>
      <c r="T32" s="345">
        <f>VLOOKUP($A$6:$A$32,MAI!$B$5:$F$31,4,)</f>
        <v>700.928</v>
      </c>
      <c r="U32" s="345">
        <f>VLOOKUP($A$6:$A$32,MAI!$B$5:$F$31,5,)</f>
        <v>1525.3040000000001</v>
      </c>
      <c r="V32" s="345">
        <f>VLOOKUP($A$6:$A$32,JUN!$B$5:$F$31,4,)</f>
        <v>2049.4480000000003</v>
      </c>
      <c r="W32" s="345">
        <f>VLOOKUP($A$6:$A$32,JUN!$B$5:$F$31,5,)</f>
        <v>1653.1279999999999</v>
      </c>
      <c r="X32" s="345">
        <f>VLOOKUP($A$6:$A$32,JUL!$B$5:$F$31,4,)</f>
        <v>2369.4479999999999</v>
      </c>
      <c r="Y32" s="345">
        <f>VLOOKUP($A$6:$A$32,JUL!$B$5:$F$31,5,)</f>
        <v>750.98400000000004</v>
      </c>
      <c r="Z32" s="344">
        <f>VLOOKUP($A$6:$A$32,AGO!$B$5:$F$31,4,)</f>
        <v>3923.7040000000002</v>
      </c>
      <c r="AA32" s="344">
        <f>VLOOKUP($A$6:$A$32,AGO!$B$5:$F$31,5,)</f>
        <v>628.1520000000005</v>
      </c>
      <c r="AB32" s="344">
        <f>VLOOKUP($A$6:$A$32,SET!$B$5:$F$31,4,)</f>
        <v>901.55200000000013</v>
      </c>
      <c r="AC32" s="344">
        <f>VLOOKUP($A$6:$A$32,SET!$B$5:$F$31,5,)</f>
        <v>404.47999999999996</v>
      </c>
      <c r="AD32" s="344">
        <f>VLOOKUP($A$6:$A$32,OUT!$B$5:$F$31,4,)</f>
        <v>845.68</v>
      </c>
      <c r="AE32" s="344">
        <f>VLOOKUP($A$6:$A$32,OUT!$B$5:$F$31,5,)</f>
        <v>1193.8399999999999</v>
      </c>
      <c r="AF32" s="344">
        <f>VLOOKUP($A$6:$A$32,NOV!$B$5:$F$31,4,)</f>
        <v>2034.1920000000002</v>
      </c>
      <c r="AG32" s="344">
        <f>VLOOKUP($A$6:$A$32,NOV!$B$5:$F$31,5,)</f>
        <v>1059</v>
      </c>
      <c r="AH32" s="344">
        <f>VLOOKUP($A$6:$A$32,DEZ!$B$5:$F$31,4,)</f>
        <v>1119.952</v>
      </c>
      <c r="AI32" s="344">
        <f>VLOOKUP($A$6:$A$32,DEZ!$B$5:$F$31,5,)</f>
        <v>1327.248</v>
      </c>
      <c r="AJ32" s="343">
        <f t="shared" si="5"/>
        <v>38575.448000000004</v>
      </c>
      <c r="AK32" s="381">
        <f t="shared" si="3"/>
        <v>118.1004584663192</v>
      </c>
      <c r="AL32" s="342">
        <f t="shared" si="4"/>
        <v>0.42365643526420788</v>
      </c>
      <c r="AM32" s="314">
        <f t="shared" si="6"/>
        <v>1.181004584663192</v>
      </c>
      <c r="AN32" s="368">
        <f t="shared" si="7"/>
        <v>0.90298131600674814</v>
      </c>
      <c r="AO32" s="314">
        <f t="shared" si="8"/>
        <v>1.0619262295949807</v>
      </c>
      <c r="AP32" s="367">
        <f>'Comparativo YoY'!EC34</f>
        <v>-27.813178071060278</v>
      </c>
      <c r="AQ32" s="315">
        <f t="shared" si="9"/>
        <v>24965.488000000001</v>
      </c>
      <c r="AR32" s="315">
        <f t="shared" si="10"/>
        <v>13609.960000000001</v>
      </c>
      <c r="AS32" s="1202" t="b">
        <f t="shared" si="11"/>
        <v>1</v>
      </c>
      <c r="AT32" s="476"/>
      <c r="AU32" s="476"/>
      <c r="AV32" s="476"/>
    </row>
    <row r="33" spans="1:48" s="313" customFormat="1" ht="51" customHeight="1">
      <c r="A33" s="380" t="s">
        <v>491</v>
      </c>
      <c r="B33" s="330">
        <f>SUM(B6:B32)</f>
        <v>27380</v>
      </c>
      <c r="C33" s="330">
        <f>SUM(C6:C32)</f>
        <v>12452</v>
      </c>
      <c r="D33" s="330">
        <f t="shared" ref="D33:I33" si="12">SUM(D6:D32)</f>
        <v>5320809.5219999999</v>
      </c>
      <c r="E33" s="330">
        <f t="shared" si="12"/>
        <v>1402679.5930618164</v>
      </c>
      <c r="F33" s="374">
        <f t="shared" si="12"/>
        <v>27166</v>
      </c>
      <c r="G33" s="374">
        <f t="shared" si="12"/>
        <v>14513</v>
      </c>
      <c r="H33" s="374">
        <f t="shared" si="12"/>
        <v>9676</v>
      </c>
      <c r="I33" s="1070">
        <f t="shared" si="12"/>
        <v>4837</v>
      </c>
      <c r="J33" s="373">
        <f t="shared" si="1"/>
        <v>53.423396893175287</v>
      </c>
      <c r="K33" s="373">
        <f t="shared" si="2"/>
        <v>100</v>
      </c>
      <c r="L33" s="379">
        <f t="shared" ref="L33:AJ33" si="13">SUM(L6:L32)</f>
        <v>1082747.8880000003</v>
      </c>
      <c r="M33" s="379">
        <f t="shared" si="13"/>
        <v>256234.75200000004</v>
      </c>
      <c r="N33" s="379">
        <f t="shared" si="13"/>
        <v>1332967.5760000001</v>
      </c>
      <c r="O33" s="379">
        <f t="shared" si="13"/>
        <v>201031.21599999999</v>
      </c>
      <c r="P33" s="379">
        <f t="shared" si="13"/>
        <v>669546.66400000011</v>
      </c>
      <c r="Q33" s="379">
        <f t="shared" si="13"/>
        <v>188613.576</v>
      </c>
      <c r="R33" s="379">
        <f t="shared" si="13"/>
        <v>274672.51999999996</v>
      </c>
      <c r="S33" s="379">
        <f t="shared" si="13"/>
        <v>93613.008000000016</v>
      </c>
      <c r="T33" s="379">
        <f t="shared" si="13"/>
        <v>231092.79200000002</v>
      </c>
      <c r="U33" s="379">
        <f t="shared" si="13"/>
        <v>85645.696000000011</v>
      </c>
      <c r="V33" s="379">
        <f t="shared" si="13"/>
        <v>359475.28</v>
      </c>
      <c r="W33" s="379">
        <f t="shared" si="13"/>
        <v>115959.576</v>
      </c>
      <c r="X33" s="379">
        <f t="shared" si="13"/>
        <v>432210.12800000003</v>
      </c>
      <c r="Y33" s="379">
        <f t="shared" si="13"/>
        <v>132766</v>
      </c>
      <c r="Z33" s="379">
        <f t="shared" si="13"/>
        <v>591266.92800000007</v>
      </c>
      <c r="AA33" s="379">
        <f t="shared" si="13"/>
        <v>125649.18400000001</v>
      </c>
      <c r="AB33" s="379">
        <f t="shared" si="13"/>
        <v>199239.49599999998</v>
      </c>
      <c r="AC33" s="379">
        <f t="shared" si="13"/>
        <v>111048.2</v>
      </c>
      <c r="AD33" s="379">
        <f t="shared" si="13"/>
        <v>88172.143999999986</v>
      </c>
      <c r="AE33" s="379">
        <f t="shared" si="13"/>
        <v>165753.23199999999</v>
      </c>
      <c r="AF33" s="379">
        <f t="shared" si="13"/>
        <v>152277.288</v>
      </c>
      <c r="AG33" s="379">
        <f t="shared" si="13"/>
        <v>102746.296</v>
      </c>
      <c r="AH33" s="379">
        <f t="shared" si="13"/>
        <v>161765.19199999998</v>
      </c>
      <c r="AI33" s="379">
        <f t="shared" si="13"/>
        <v>129794.20000000001</v>
      </c>
      <c r="AJ33" s="325">
        <f t="shared" si="13"/>
        <v>7284288.8319999995</v>
      </c>
      <c r="AK33" s="371">
        <f t="shared" si="3"/>
        <v>108.34090317305478</v>
      </c>
      <c r="AL33" s="371">
        <f t="shared" si="4"/>
        <v>80</v>
      </c>
      <c r="AM33" s="314">
        <f t="shared" si="6"/>
        <v>1.0834090317305478</v>
      </c>
      <c r="AN33" s="368">
        <f t="shared" si="7"/>
        <v>0.97226169262595186</v>
      </c>
      <c r="AO33" s="314">
        <f t="shared" si="8"/>
        <v>0.93432685160783058</v>
      </c>
      <c r="AP33" s="367">
        <f>'Comparativo YoY'!EC35</f>
        <v>-6.6512703824805612</v>
      </c>
      <c r="AQ33" s="315">
        <f t="shared" si="9"/>
        <v>5575433.8960000016</v>
      </c>
      <c r="AR33" s="315">
        <f t="shared" si="10"/>
        <v>1708854.936</v>
      </c>
      <c r="AS33" s="1202" t="b">
        <f t="shared" si="11"/>
        <v>1</v>
      </c>
    </row>
    <row r="34" spans="1:48" s="313" customFormat="1" ht="28.5">
      <c r="A34" s="375" t="s">
        <v>181</v>
      </c>
      <c r="B34" s="336"/>
      <c r="C34" s="336"/>
      <c r="D34" s="330">
        <v>1319645.9160000002</v>
      </c>
      <c r="E34" s="330">
        <v>341968.26831962075</v>
      </c>
      <c r="F34" s="378"/>
      <c r="G34" s="377"/>
      <c r="H34" s="377"/>
      <c r="I34" s="1070"/>
      <c r="J34" s="373"/>
      <c r="K34" s="373"/>
      <c r="L34" s="376">
        <f>JAN!$U$67</f>
        <v>270686.97200000007</v>
      </c>
      <c r="M34" s="376">
        <f>JAN!$V$67</f>
        <v>64058.687999999995</v>
      </c>
      <c r="N34" s="376">
        <f>FEV!$U$67</f>
        <v>333241.89399999997</v>
      </c>
      <c r="O34" s="376">
        <f>FEV!$V$67</f>
        <v>50257.803999999996</v>
      </c>
      <c r="P34" s="376">
        <f>MAR!$AK$67</f>
        <v>167386.66600000003</v>
      </c>
      <c r="Q34" s="376">
        <f>MAR!$AL$67</f>
        <v>47153.393999999993</v>
      </c>
      <c r="R34" s="376">
        <f>ABR!U67</f>
        <v>68668.12999999999</v>
      </c>
      <c r="S34" s="376">
        <f>ABR!V67</f>
        <v>23403.252000000004</v>
      </c>
      <c r="T34" s="376">
        <f>MAI!E67</f>
        <v>57773.197999999997</v>
      </c>
      <c r="U34" s="376">
        <f>MAI!F67</f>
        <v>21411.424000000003</v>
      </c>
      <c r="V34" s="376">
        <f>JUN!E67</f>
        <v>89868.82</v>
      </c>
      <c r="W34" s="376">
        <f>JUN!F67</f>
        <v>28989.894</v>
      </c>
      <c r="X34" s="376">
        <f>JUL!E67</f>
        <v>108052.53199999999</v>
      </c>
      <c r="Y34" s="376">
        <f>JUL!F67</f>
        <v>33191.5</v>
      </c>
      <c r="Z34" s="376">
        <f>AGO!E67</f>
        <v>147816.73200000002</v>
      </c>
      <c r="AA34" s="376">
        <f>AGO!F67</f>
        <v>31412.296000000002</v>
      </c>
      <c r="AB34" s="376">
        <f>SET!E67</f>
        <v>49809.873999999996</v>
      </c>
      <c r="AC34" s="376">
        <f>SET!F67</f>
        <v>27762.050000000003</v>
      </c>
      <c r="AD34" s="376">
        <f>OUT!E67</f>
        <v>22043.035999999996</v>
      </c>
      <c r="AE34" s="376">
        <f>OUT!F67</f>
        <v>41438.307999999997</v>
      </c>
      <c r="AF34" s="376">
        <f>NOV!E67</f>
        <v>38069.322</v>
      </c>
      <c r="AG34" s="376">
        <f>NOV!F67</f>
        <v>25686.574000000004</v>
      </c>
      <c r="AH34" s="376">
        <f>DEZ!E67</f>
        <v>40441.298000000003</v>
      </c>
      <c r="AI34" s="376">
        <f>DEZ!F67</f>
        <v>32448.55</v>
      </c>
      <c r="AJ34" s="325">
        <f>SUM(L34:AI34)</f>
        <v>1821072.2080000003</v>
      </c>
      <c r="AK34" s="371">
        <f t="shared" si="3"/>
        <v>109.59657333123167</v>
      </c>
      <c r="AL34" s="371">
        <f t="shared" si="4"/>
        <v>20.000000000000007</v>
      </c>
      <c r="AM34" s="314">
        <f t="shared" si="6"/>
        <v>1.0959657333123167</v>
      </c>
      <c r="AN34" s="368">
        <f t="shared" si="7"/>
        <v>0.98003926835173871</v>
      </c>
      <c r="AO34" s="314">
        <f t="shared" si="8"/>
        <v>0.95810147418055425</v>
      </c>
      <c r="AP34" s="367">
        <f>'Comparativo YoY'!EC36</f>
        <v>-6.6381374244511022</v>
      </c>
      <c r="AQ34" s="315">
        <f t="shared" si="9"/>
        <v>1393858.4740000002</v>
      </c>
      <c r="AR34" s="315">
        <f t="shared" si="10"/>
        <v>427213.734</v>
      </c>
      <c r="AS34" s="1202" t="b">
        <f t="shared" si="11"/>
        <v>1</v>
      </c>
    </row>
    <row r="35" spans="1:48" s="313" customFormat="1" ht="28.5">
      <c r="A35" s="375" t="s">
        <v>128</v>
      </c>
      <c r="B35" s="330">
        <f>SUM(B33:B34)</f>
        <v>27380</v>
      </c>
      <c r="C35" s="330">
        <f>SUM(C33:C34)</f>
        <v>12452</v>
      </c>
      <c r="D35" s="330">
        <f>D33+D34</f>
        <v>6640455.4380000001</v>
      </c>
      <c r="E35" s="330">
        <f>E33+E34</f>
        <v>1744647.8613814372</v>
      </c>
      <c r="F35" s="374">
        <f>F33</f>
        <v>27166</v>
      </c>
      <c r="G35" s="374">
        <f>G33</f>
        <v>14513</v>
      </c>
      <c r="H35" s="374">
        <f>H33</f>
        <v>9676</v>
      </c>
      <c r="I35" s="1070">
        <f>I33</f>
        <v>4837</v>
      </c>
      <c r="J35" s="373">
        <f>G35/F35*100</f>
        <v>53.423396893175287</v>
      </c>
      <c r="K35" s="373">
        <f>G35/$G$33*100</f>
        <v>100</v>
      </c>
      <c r="L35" s="372">
        <f t="shared" ref="L35:AJ35" si="14">L33+L34</f>
        <v>1353434.8600000003</v>
      </c>
      <c r="M35" s="372">
        <f t="shared" si="14"/>
        <v>320293.44000000006</v>
      </c>
      <c r="N35" s="372">
        <f t="shared" si="14"/>
        <v>1666209.4700000002</v>
      </c>
      <c r="O35" s="372">
        <f t="shared" si="14"/>
        <v>251289.02</v>
      </c>
      <c r="P35" s="372">
        <f t="shared" si="14"/>
        <v>836933.33000000007</v>
      </c>
      <c r="Q35" s="372">
        <f t="shared" si="14"/>
        <v>235766.97</v>
      </c>
      <c r="R35" s="372">
        <f t="shared" si="14"/>
        <v>343340.64999999997</v>
      </c>
      <c r="S35" s="372">
        <f t="shared" si="14"/>
        <v>117016.26000000002</v>
      </c>
      <c r="T35" s="372">
        <f t="shared" si="14"/>
        <v>288865.99</v>
      </c>
      <c r="U35" s="372">
        <f t="shared" si="14"/>
        <v>107057.12000000001</v>
      </c>
      <c r="V35" s="372">
        <f t="shared" si="14"/>
        <v>449344.10000000003</v>
      </c>
      <c r="W35" s="372">
        <f t="shared" si="14"/>
        <v>144949.47</v>
      </c>
      <c r="X35" s="372">
        <f t="shared" si="14"/>
        <v>540262.66</v>
      </c>
      <c r="Y35" s="372">
        <f t="shared" si="14"/>
        <v>165957.5</v>
      </c>
      <c r="Z35" s="372">
        <f t="shared" si="14"/>
        <v>739083.66000000015</v>
      </c>
      <c r="AA35" s="372">
        <f t="shared" si="14"/>
        <v>157061.48000000001</v>
      </c>
      <c r="AB35" s="372">
        <f t="shared" si="14"/>
        <v>249049.37</v>
      </c>
      <c r="AC35" s="372">
        <f t="shared" si="14"/>
        <v>138810.25</v>
      </c>
      <c r="AD35" s="372">
        <f t="shared" si="14"/>
        <v>110215.17999999998</v>
      </c>
      <c r="AE35" s="372">
        <f t="shared" si="14"/>
        <v>207191.53999999998</v>
      </c>
      <c r="AF35" s="372">
        <f t="shared" si="14"/>
        <v>190346.61</v>
      </c>
      <c r="AG35" s="372">
        <f t="shared" si="14"/>
        <v>128432.87000000001</v>
      </c>
      <c r="AH35" s="372">
        <f t="shared" si="14"/>
        <v>202206.49</v>
      </c>
      <c r="AI35" s="372">
        <f t="shared" si="14"/>
        <v>162242.75</v>
      </c>
      <c r="AJ35" s="325">
        <f t="shared" si="14"/>
        <v>9105361.0399999991</v>
      </c>
      <c r="AK35" s="371">
        <f t="shared" si="3"/>
        <v>108.58973008325007</v>
      </c>
      <c r="AL35" s="371">
        <f t="shared" si="4"/>
        <v>100</v>
      </c>
      <c r="AM35" s="314">
        <f t="shared" si="6"/>
        <v>1.0858973008325008</v>
      </c>
      <c r="AN35" s="368">
        <f t="shared" si="7"/>
        <v>0.97380731643726159</v>
      </c>
      <c r="AO35" s="314">
        <f t="shared" si="8"/>
        <v>0.93898691321172889</v>
      </c>
      <c r="AP35" s="367">
        <f>'Comparativo YoY'!EC37</f>
        <v>-6.6486440864633494</v>
      </c>
      <c r="AQ35" s="315">
        <f t="shared" si="9"/>
        <v>6969292.370000001</v>
      </c>
      <c r="AR35" s="315">
        <f t="shared" si="10"/>
        <v>2136068.67</v>
      </c>
      <c r="AS35" s="1202" t="b">
        <f t="shared" si="11"/>
        <v>1</v>
      </c>
    </row>
    <row r="36" spans="1:48" s="292" customFormat="1" ht="28.5">
      <c r="A36" s="321"/>
      <c r="B36" s="369"/>
      <c r="C36" s="369"/>
      <c r="D36" s="369"/>
      <c r="E36" s="369"/>
      <c r="F36" s="369">
        <f>'Relatórios - SICCAU e IGEO'!H30</f>
        <v>27166</v>
      </c>
      <c r="G36" s="369">
        <v>14513</v>
      </c>
      <c r="H36" s="369">
        <v>9676</v>
      </c>
      <c r="I36" s="369"/>
      <c r="J36" s="369"/>
      <c r="K36" s="369"/>
      <c r="L36" s="369">
        <f>JAN!$U$102</f>
        <v>1353434.86</v>
      </c>
      <c r="M36" s="369">
        <f>JAN!$V$102</f>
        <v>320293.44</v>
      </c>
      <c r="N36" s="369">
        <f>FEV!$U$102</f>
        <v>1666209.47</v>
      </c>
      <c r="O36" s="369">
        <f>FEV!$V$102</f>
        <v>251289.02</v>
      </c>
      <c r="P36" s="369">
        <f>MAR!$AK$102</f>
        <v>836933.33000000007</v>
      </c>
      <c r="Q36" s="369">
        <f>MAR!$AL$102</f>
        <v>235766.97</v>
      </c>
      <c r="R36" s="369">
        <f>ABR!U102</f>
        <v>343340.64999999997</v>
      </c>
      <c r="S36" s="369">
        <f>ABR!V102</f>
        <v>117016.25999999998</v>
      </c>
      <c r="T36" s="369">
        <f>MAI!E102</f>
        <v>288865.99</v>
      </c>
      <c r="U36" s="369">
        <f>MAI!F102</f>
        <v>107057.12</v>
      </c>
      <c r="V36" s="369">
        <f>JUN!E102</f>
        <v>449344.10000000009</v>
      </c>
      <c r="W36" s="369">
        <f>JUN!F102</f>
        <v>144949.47000000003</v>
      </c>
      <c r="X36" s="369">
        <f>JUL!E102</f>
        <v>540262.66</v>
      </c>
      <c r="Y36" s="369">
        <f>JUL!F102</f>
        <v>165957.5</v>
      </c>
      <c r="Z36" s="370">
        <f>AGO!E102</f>
        <v>739083.66</v>
      </c>
      <c r="AA36" s="370">
        <f>AGO!F102</f>
        <v>157061.48000000001</v>
      </c>
      <c r="AB36" s="370">
        <f>SET!E102</f>
        <v>249049.36999999997</v>
      </c>
      <c r="AC36" s="370">
        <f>SET!F102</f>
        <v>138810.25</v>
      </c>
      <c r="AD36" s="370">
        <f>OUT!E102</f>
        <v>110215.17999999998</v>
      </c>
      <c r="AE36" s="370">
        <f>OUT!F102</f>
        <v>207191.53999999998</v>
      </c>
      <c r="AF36" s="370">
        <f>NOV!E102</f>
        <v>190346.61000000002</v>
      </c>
      <c r="AG36" s="370">
        <f>NOV!F102</f>
        <v>128432.87</v>
      </c>
      <c r="AH36" s="370">
        <f>DEZ!E102</f>
        <v>202206.49000000002</v>
      </c>
      <c r="AI36" s="370">
        <f>DEZ!F102</f>
        <v>162242.75</v>
      </c>
      <c r="AJ36" s="369">
        <f>'ARRECADAÇÃO MENSAL POR RECEITA'!$D$17+'ARRECADAÇÃO MENSAL POR RECEITA'!$E$17</f>
        <v>9105361.040000001</v>
      </c>
      <c r="AM36" s="314">
        <f t="shared" si="6"/>
        <v>0</v>
      </c>
      <c r="AN36" s="368">
        <f t="shared" si="7"/>
        <v>0</v>
      </c>
      <c r="AO36" s="314">
        <f t="shared" si="8"/>
        <v>0</v>
      </c>
      <c r="AP36" s="367">
        <f>'Comparativo YoY'!EC38</f>
        <v>0</v>
      </c>
      <c r="AQ36" s="315">
        <f t="shared" si="9"/>
        <v>6969292.370000001</v>
      </c>
      <c r="AR36" s="315">
        <f>M36+O36+Q36+S36+U36+W36+Y36+AA36+AC36+AE36+AG36+AI36</f>
        <v>2136068.67</v>
      </c>
      <c r="AS36" s="1202" t="b">
        <f t="shared" si="11"/>
        <v>1</v>
      </c>
      <c r="AT36" s="476"/>
      <c r="AU36" s="476"/>
      <c r="AV36" s="476"/>
    </row>
    <row r="37" spans="1:48" s="292" customFormat="1" ht="28.5">
      <c r="A37" s="321"/>
      <c r="B37" s="307"/>
      <c r="C37" s="307"/>
      <c r="F37" s="292" t="b">
        <f>F35=F36</f>
        <v>1</v>
      </c>
      <c r="G37" s="292" t="b">
        <f>G35=G36</f>
        <v>1</v>
      </c>
      <c r="H37" s="292" t="b">
        <f>H35=H36</f>
        <v>1</v>
      </c>
      <c r="L37" s="292" t="b">
        <f t="shared" ref="L37:AJ37" si="15">L35=L36</f>
        <v>1</v>
      </c>
      <c r="M37" s="292" t="b">
        <f t="shared" si="15"/>
        <v>1</v>
      </c>
      <c r="N37" s="292" t="b">
        <f t="shared" si="15"/>
        <v>1</v>
      </c>
      <c r="O37" s="292" t="b">
        <f t="shared" si="15"/>
        <v>1</v>
      </c>
      <c r="P37" s="292" t="b">
        <f t="shared" si="15"/>
        <v>1</v>
      </c>
      <c r="Q37" s="292" t="b">
        <f t="shared" si="15"/>
        <v>1</v>
      </c>
      <c r="R37" s="292" t="b">
        <f t="shared" si="15"/>
        <v>1</v>
      </c>
      <c r="S37" s="292" t="b">
        <f t="shared" si="15"/>
        <v>1</v>
      </c>
      <c r="T37" s="292" t="b">
        <f t="shared" si="15"/>
        <v>1</v>
      </c>
      <c r="U37" s="292" t="b">
        <f t="shared" si="15"/>
        <v>1</v>
      </c>
      <c r="V37" s="292" t="b">
        <f t="shared" si="15"/>
        <v>1</v>
      </c>
      <c r="W37" s="292" t="b">
        <f t="shared" si="15"/>
        <v>1</v>
      </c>
      <c r="X37" s="292" t="b">
        <f t="shared" si="15"/>
        <v>1</v>
      </c>
      <c r="Y37" s="292" t="b">
        <f t="shared" si="15"/>
        <v>1</v>
      </c>
      <c r="Z37" s="292" t="b">
        <f t="shared" si="15"/>
        <v>1</v>
      </c>
      <c r="AA37" s="292" t="b">
        <f t="shared" si="15"/>
        <v>1</v>
      </c>
      <c r="AB37" s="292" t="b">
        <f t="shared" si="15"/>
        <v>1</v>
      </c>
      <c r="AC37" s="292" t="b">
        <f t="shared" si="15"/>
        <v>1</v>
      </c>
      <c r="AD37" s="292" t="b">
        <f t="shared" si="15"/>
        <v>1</v>
      </c>
      <c r="AE37" s="292" t="b">
        <f t="shared" si="15"/>
        <v>1</v>
      </c>
      <c r="AF37" s="292" t="b">
        <f t="shared" si="15"/>
        <v>1</v>
      </c>
      <c r="AG37" s="292" t="b">
        <f t="shared" si="15"/>
        <v>1</v>
      </c>
      <c r="AH37" s="292" t="b">
        <f t="shared" si="15"/>
        <v>1</v>
      </c>
      <c r="AI37" s="292" t="b">
        <f t="shared" si="15"/>
        <v>1</v>
      </c>
      <c r="AJ37" s="292" t="b">
        <f t="shared" si="15"/>
        <v>1</v>
      </c>
      <c r="AM37" s="314"/>
      <c r="AN37" s="368"/>
      <c r="AO37" s="314"/>
      <c r="AP37" s="367"/>
      <c r="AQ37" s="315"/>
      <c r="AR37" s="315"/>
      <c r="AS37" s="1202"/>
    </row>
    <row r="38" spans="1:48" s="292" customFormat="1" ht="26.25">
      <c r="A38" s="1290"/>
      <c r="B38" s="1290"/>
      <c r="C38" s="1290"/>
      <c r="D38" s="1290"/>
      <c r="E38" s="1290"/>
      <c r="F38" s="1290"/>
      <c r="G38" s="1290"/>
      <c r="H38" s="303"/>
      <c r="I38" s="303"/>
    </row>
    <row r="39" spans="1:48" ht="26.25">
      <c r="A39" s="292"/>
      <c r="B39" s="307"/>
      <c r="C39" s="307"/>
      <c r="D39" s="292"/>
      <c r="E39" s="292"/>
      <c r="F39" s="307"/>
      <c r="G39" s="292"/>
      <c r="H39" s="292"/>
      <c r="I39" s="292"/>
      <c r="K39" s="311"/>
      <c r="L39" s="310"/>
      <c r="M39" s="310"/>
      <c r="N39" s="311"/>
      <c r="O39" s="311"/>
      <c r="P39" s="310"/>
      <c r="Q39" s="310"/>
      <c r="R39" s="292"/>
      <c r="S39" s="292"/>
      <c r="T39" s="292"/>
      <c r="U39" s="292"/>
      <c r="V39" s="18"/>
      <c r="W39" s="18"/>
    </row>
    <row r="40" spans="1:48" ht="26.25">
      <c r="A40" s="292"/>
      <c r="B40" s="307"/>
      <c r="C40" s="307"/>
      <c r="D40" s="308"/>
      <c r="E40" s="308"/>
      <c r="F40" s="307"/>
      <c r="G40" s="292"/>
      <c r="H40" s="292"/>
      <c r="I40" s="292"/>
      <c r="K40" s="306"/>
      <c r="L40" s="1272"/>
      <c r="M40" s="1272"/>
      <c r="N40" s="1272"/>
      <c r="O40" s="1272"/>
      <c r="P40" s="1272"/>
      <c r="Q40" s="305"/>
      <c r="R40" s="292"/>
      <c r="S40" s="292"/>
      <c r="T40" s="292"/>
      <c r="U40" s="292"/>
      <c r="V40" s="18"/>
      <c r="W40" s="18"/>
    </row>
    <row r="41" spans="1:48" ht="26.25">
      <c r="A41" s="292"/>
      <c r="B41" s="307"/>
      <c r="C41" s="307"/>
      <c r="D41" s="308"/>
      <c r="E41" s="308"/>
      <c r="F41" s="307"/>
      <c r="G41" s="309" t="s">
        <v>518</v>
      </c>
      <c r="H41" s="309"/>
      <c r="I41" s="292"/>
      <c r="J41" s="284"/>
      <c r="K41" s="306"/>
      <c r="L41" s="1272"/>
      <c r="M41" s="1272"/>
      <c r="N41" s="1272"/>
      <c r="O41" s="1272"/>
      <c r="P41" s="1272"/>
      <c r="Q41" s="305"/>
      <c r="R41" s="292"/>
      <c r="S41" s="292"/>
      <c r="T41" s="304"/>
      <c r="U41" s="304"/>
      <c r="V41" s="292"/>
      <c r="W41" s="292"/>
      <c r="X41" s="292"/>
      <c r="Y41" s="292"/>
      <c r="Z41" s="18"/>
      <c r="AA41" s="18"/>
    </row>
    <row r="42" spans="1:48" ht="26.25">
      <c r="A42" s="1271"/>
      <c r="B42" s="1271"/>
      <c r="C42" s="1271"/>
      <c r="D42" s="1271"/>
      <c r="E42" s="1271"/>
      <c r="F42" s="1271"/>
      <c r="G42" s="292"/>
      <c r="H42" s="292"/>
      <c r="I42" s="292"/>
      <c r="J42" s="284"/>
      <c r="K42" s="306"/>
      <c r="L42" s="305"/>
      <c r="M42" s="305"/>
      <c r="N42" s="305"/>
      <c r="O42" s="305"/>
      <c r="P42" s="305"/>
      <c r="Q42" s="305"/>
      <c r="R42" s="292"/>
      <c r="S42" s="292"/>
      <c r="T42" s="304"/>
      <c r="U42" s="304"/>
      <c r="V42" s="292"/>
      <c r="W42" s="292"/>
      <c r="X42" s="292"/>
      <c r="Y42" s="292"/>
      <c r="Z42" s="18"/>
      <c r="AA42" s="18"/>
    </row>
    <row r="43" spans="1:48" ht="26.25">
      <c r="A43" s="1271"/>
      <c r="B43" s="1271"/>
      <c r="C43" s="1271"/>
      <c r="D43" s="1271"/>
      <c r="E43" s="1271"/>
      <c r="F43" s="1271"/>
      <c r="G43" s="292"/>
      <c r="H43" s="292"/>
      <c r="I43" s="292"/>
      <c r="J43" s="284"/>
      <c r="K43" s="306"/>
      <c r="L43" s="305"/>
      <c r="M43" s="305"/>
      <c r="N43" s="305"/>
      <c r="O43" s="305"/>
      <c r="P43" s="305"/>
      <c r="Q43" s="305"/>
      <c r="R43" s="292"/>
      <c r="S43" s="292"/>
      <c r="T43" s="304"/>
      <c r="U43" s="304"/>
      <c r="V43" s="292"/>
      <c r="W43" s="292"/>
      <c r="X43" s="292"/>
      <c r="Y43" s="292"/>
      <c r="Z43" s="18"/>
      <c r="AA43" s="18"/>
    </row>
    <row r="44" spans="1:48" ht="26.25">
      <c r="A44" s="1271"/>
      <c r="B44" s="1271"/>
      <c r="C44" s="1271"/>
      <c r="D44" s="1271"/>
      <c r="E44" s="1271"/>
      <c r="F44" s="1271"/>
      <c r="G44" s="292"/>
      <c r="H44" s="292"/>
      <c r="I44" s="292"/>
      <c r="J44" s="284"/>
      <c r="K44" s="306"/>
      <c r="L44" s="305"/>
      <c r="M44" s="305"/>
      <c r="N44" s="305"/>
      <c r="O44" s="305"/>
      <c r="P44" s="305"/>
      <c r="Q44" s="305"/>
      <c r="R44" s="292"/>
      <c r="S44" s="292"/>
      <c r="T44" s="304"/>
      <c r="U44" s="304"/>
      <c r="V44" s="292"/>
      <c r="W44" s="292"/>
      <c r="X44" s="292"/>
      <c r="Y44" s="292"/>
      <c r="Z44" s="18"/>
      <c r="AA44" s="18"/>
    </row>
    <row r="45" spans="1:48" ht="26.25">
      <c r="A45" s="1271"/>
      <c r="B45" s="1271"/>
      <c r="C45" s="1271"/>
      <c r="D45" s="1271"/>
      <c r="E45" s="1271"/>
      <c r="F45" s="1271"/>
      <c r="G45" s="292"/>
      <c r="H45" s="292"/>
      <c r="I45" s="292"/>
      <c r="J45" s="284"/>
      <c r="K45" s="306"/>
      <c r="L45" s="305"/>
      <c r="M45" s="305"/>
      <c r="N45" s="305"/>
      <c r="O45" s="305"/>
      <c r="P45" s="305"/>
      <c r="Q45" s="305"/>
      <c r="R45" s="292"/>
      <c r="S45" s="292"/>
      <c r="T45" s="304"/>
      <c r="U45" s="304"/>
      <c r="V45" s="292"/>
      <c r="W45" s="292"/>
      <c r="X45" s="292"/>
      <c r="Y45" s="292"/>
      <c r="Z45" s="18"/>
      <c r="AA45" s="18"/>
    </row>
    <row r="46" spans="1:48" ht="26.25">
      <c r="A46" s="1271"/>
      <c r="B46" s="1271"/>
      <c r="C46" s="1271"/>
      <c r="D46" s="1271"/>
      <c r="E46" s="1271"/>
      <c r="F46" s="1271"/>
      <c r="G46" s="292"/>
      <c r="H46" s="292"/>
      <c r="I46" s="292"/>
      <c r="J46" s="284"/>
      <c r="K46" s="306"/>
      <c r="L46" s="305"/>
      <c r="M46" s="305"/>
      <c r="N46" s="305"/>
      <c r="O46" s="305"/>
      <c r="P46" s="305"/>
      <c r="Q46" s="305"/>
      <c r="R46" s="292"/>
      <c r="S46" s="292"/>
      <c r="T46" s="304"/>
      <c r="U46" s="304"/>
      <c r="V46" s="292"/>
      <c r="W46" s="292"/>
      <c r="X46" s="292"/>
      <c r="Y46" s="292"/>
      <c r="Z46" s="18"/>
      <c r="AA46" s="18"/>
    </row>
    <row r="47" spans="1:48" s="292" customFormat="1" ht="26.25" hidden="1">
      <c r="A47" s="303"/>
      <c r="B47" s="303"/>
      <c r="C47" s="303"/>
      <c r="D47" s="303"/>
      <c r="E47" s="303"/>
      <c r="F47" s="303"/>
      <c r="G47" s="303"/>
      <c r="H47" s="303"/>
      <c r="I47" s="303"/>
    </row>
    <row r="48" spans="1:48" s="292" customFormat="1" ht="26.25" hidden="1">
      <c r="A48" s="321"/>
      <c r="B48" s="307"/>
      <c r="F48" s="1288" t="s">
        <v>517</v>
      </c>
      <c r="G48" s="1288"/>
      <c r="H48" s="1288"/>
      <c r="I48" s="1288"/>
      <c r="J48" s="1288"/>
      <c r="L48" s="1289" t="s">
        <v>516</v>
      </c>
      <c r="M48" s="1289"/>
      <c r="N48" s="1289"/>
      <c r="O48" s="366"/>
      <c r="P48" s="307" t="s">
        <v>488</v>
      </c>
      <c r="Q48" s="307"/>
      <c r="X48" s="307"/>
      <c r="Y48" s="307"/>
    </row>
    <row r="49" spans="1:35" s="292" customFormat="1" ht="26.25" hidden="1">
      <c r="A49" s="321"/>
      <c r="B49" s="307"/>
      <c r="C49" s="307"/>
      <c r="F49" s="365" t="s">
        <v>182</v>
      </c>
      <c r="G49" s="365" t="s">
        <v>515</v>
      </c>
      <c r="H49" s="365"/>
      <c r="I49" s="365"/>
      <c r="J49" s="365" t="s">
        <v>514</v>
      </c>
      <c r="K49" s="1287"/>
      <c r="L49" s="364" t="s">
        <v>87</v>
      </c>
      <c r="M49" s="364"/>
      <c r="N49" s="95">
        <v>32</v>
      </c>
      <c r="O49" s="253"/>
      <c r="P49" s="253">
        <v>23</v>
      </c>
      <c r="Q49" s="253"/>
    </row>
    <row r="50" spans="1:35" s="292" customFormat="1" ht="31.5" hidden="1">
      <c r="A50" s="321"/>
      <c r="B50" s="307"/>
      <c r="D50" s="307">
        <f>D33*20%</f>
        <v>1064161.9044000001</v>
      </c>
      <c r="E50" s="307"/>
      <c r="F50" s="363" t="s">
        <v>87</v>
      </c>
      <c r="G50" s="362">
        <v>20.7</v>
      </c>
      <c r="H50" s="361"/>
      <c r="I50" s="361"/>
      <c r="J50" s="360">
        <v>20.7</v>
      </c>
      <c r="K50" s="1287"/>
      <c r="L50" s="364" t="s">
        <v>88</v>
      </c>
      <c r="M50" s="364"/>
      <c r="N50" s="95">
        <v>73</v>
      </c>
      <c r="O50" s="253"/>
      <c r="P50" s="253">
        <v>58</v>
      </c>
      <c r="Q50" s="253"/>
      <c r="V50" s="307"/>
      <c r="W50" s="307"/>
      <c r="AH50" s="307"/>
      <c r="AI50" s="307"/>
    </row>
    <row r="51" spans="1:35" s="292" customFormat="1" ht="31.5" hidden="1">
      <c r="A51" s="321"/>
      <c r="F51" s="363" t="s">
        <v>90</v>
      </c>
      <c r="G51" s="362">
        <v>85</v>
      </c>
      <c r="H51" s="361"/>
      <c r="I51" s="361"/>
      <c r="J51" s="360">
        <v>81.5</v>
      </c>
      <c r="K51" s="1287"/>
      <c r="L51" s="364" t="s">
        <v>90</v>
      </c>
      <c r="M51" s="364"/>
      <c r="N51" s="95">
        <v>120</v>
      </c>
      <c r="O51" s="253"/>
      <c r="P51" s="253">
        <v>82</v>
      </c>
      <c r="Q51" s="253"/>
    </row>
    <row r="52" spans="1:35" s="292" customFormat="1" ht="31.5" hidden="1">
      <c r="A52" s="297"/>
      <c r="F52" s="363" t="s">
        <v>89</v>
      </c>
      <c r="G52" s="362">
        <v>81</v>
      </c>
      <c r="H52" s="361"/>
      <c r="I52" s="361"/>
      <c r="J52" s="360">
        <v>71.400000000000006</v>
      </c>
      <c r="K52" s="359"/>
      <c r="L52" s="364" t="s">
        <v>89</v>
      </c>
      <c r="M52" s="364"/>
      <c r="N52" s="95">
        <v>108</v>
      </c>
      <c r="O52" s="253"/>
      <c r="P52" s="253">
        <v>76</v>
      </c>
      <c r="Q52" s="253"/>
    </row>
    <row r="53" spans="1:35" s="292" customFormat="1" ht="31.5" hidden="1">
      <c r="A53" s="297" t="e">
        <f>IF(#REF!&lt;&gt;0,#REF!,"")</f>
        <v>#REF!</v>
      </c>
      <c r="F53" s="363" t="s">
        <v>100</v>
      </c>
      <c r="G53" s="362">
        <v>151</v>
      </c>
      <c r="H53" s="361"/>
      <c r="I53" s="361"/>
      <c r="J53" s="360">
        <v>151</v>
      </c>
      <c r="K53" s="359"/>
      <c r="L53" s="364" t="s">
        <v>91</v>
      </c>
      <c r="M53" s="364"/>
      <c r="N53" s="95">
        <v>523</v>
      </c>
      <c r="O53" s="253"/>
      <c r="P53" s="253">
        <v>408</v>
      </c>
      <c r="Q53" s="253"/>
    </row>
    <row r="54" spans="1:35" s="292" customFormat="1" ht="31.5" hidden="1">
      <c r="A54" s="297" t="e">
        <f>IF(#REF!&lt;&gt;0,#REF!,"")</f>
        <v>#REF!</v>
      </c>
      <c r="B54" s="307"/>
      <c r="D54" s="307"/>
      <c r="E54" s="307"/>
      <c r="F54" s="363" t="s">
        <v>108</v>
      </c>
      <c r="G54" s="362">
        <v>48</v>
      </c>
      <c r="H54" s="361"/>
      <c r="I54" s="361"/>
      <c r="J54" s="360">
        <v>40.299999999999997</v>
      </c>
      <c r="K54" s="359"/>
      <c r="L54" s="364" t="s">
        <v>92</v>
      </c>
      <c r="M54" s="364"/>
      <c r="N54" s="95">
        <v>174</v>
      </c>
      <c r="O54" s="253"/>
      <c r="P54" s="253">
        <v>149</v>
      </c>
      <c r="Q54" s="253"/>
      <c r="AF54" s="307"/>
      <c r="AG54" s="307"/>
    </row>
    <row r="55" spans="1:35" ht="31.5" hidden="1">
      <c r="A55" s="297" t="e">
        <f>IF(#REF!&lt;&gt;0,#REF!,"")</f>
        <v>#REF!</v>
      </c>
      <c r="F55" s="363" t="s">
        <v>109</v>
      </c>
      <c r="G55" s="362">
        <v>21</v>
      </c>
      <c r="H55" s="361"/>
      <c r="I55" s="361"/>
      <c r="J55" s="360">
        <v>18.5</v>
      </c>
      <c r="K55" s="359"/>
      <c r="L55" s="364" t="s">
        <v>93</v>
      </c>
      <c r="M55" s="364"/>
      <c r="N55" s="95">
        <v>411</v>
      </c>
      <c r="P55" s="253">
        <v>297</v>
      </c>
    </row>
    <row r="56" spans="1:35" ht="31.5" hidden="1">
      <c r="A56" s="292"/>
      <c r="F56" s="363" t="s">
        <v>113</v>
      </c>
      <c r="G56" s="362">
        <v>84.8</v>
      </c>
      <c r="H56" s="361"/>
      <c r="I56" s="361"/>
      <c r="J56" s="360">
        <v>84.8</v>
      </c>
      <c r="K56" s="359"/>
      <c r="L56" s="364" t="s">
        <v>94</v>
      </c>
      <c r="M56" s="364"/>
      <c r="N56" s="95">
        <v>191</v>
      </c>
      <c r="P56" s="253">
        <v>152</v>
      </c>
    </row>
    <row r="57" spans="1:35" ht="31.5" hidden="1">
      <c r="F57" s="363" t="s">
        <v>88</v>
      </c>
      <c r="G57" s="362">
        <v>62</v>
      </c>
      <c r="H57" s="361"/>
      <c r="I57" s="361"/>
      <c r="J57" s="360">
        <v>54.8</v>
      </c>
      <c r="K57" s="359"/>
      <c r="L57" s="364" t="s">
        <v>95</v>
      </c>
      <c r="M57" s="364"/>
      <c r="N57" s="95">
        <v>395</v>
      </c>
      <c r="P57" s="253">
        <v>286</v>
      </c>
    </row>
    <row r="58" spans="1:35" ht="31.5" hidden="1">
      <c r="F58" s="363" t="s">
        <v>91</v>
      </c>
      <c r="G58" s="362">
        <v>463</v>
      </c>
      <c r="H58" s="361"/>
      <c r="I58" s="361"/>
      <c r="J58" s="360">
        <v>408.6</v>
      </c>
      <c r="K58" s="359"/>
      <c r="L58" s="364" t="s">
        <v>96</v>
      </c>
      <c r="M58" s="364"/>
      <c r="N58" s="95">
        <v>160</v>
      </c>
      <c r="P58" s="253">
        <v>112</v>
      </c>
    </row>
    <row r="59" spans="1:35" ht="31.5" hidden="1">
      <c r="F59" s="363" t="s">
        <v>92</v>
      </c>
      <c r="G59" s="362">
        <v>135.19999999999999</v>
      </c>
      <c r="H59" s="361"/>
      <c r="I59" s="361"/>
      <c r="J59" s="360">
        <v>135.19999999999999</v>
      </c>
      <c r="K59" s="359"/>
      <c r="L59" s="364" t="s">
        <v>99</v>
      </c>
      <c r="M59" s="364"/>
      <c r="N59" s="95">
        <v>1156</v>
      </c>
      <c r="P59" s="253">
        <v>907</v>
      </c>
    </row>
    <row r="60" spans="1:35" ht="31.5" hidden="1">
      <c r="F60" s="363" t="s">
        <v>96</v>
      </c>
      <c r="G60" s="362">
        <v>120</v>
      </c>
      <c r="H60" s="361"/>
      <c r="I60" s="361"/>
      <c r="J60" s="360">
        <v>109.9</v>
      </c>
      <c r="K60" s="359"/>
      <c r="L60" s="364" t="s">
        <v>98</v>
      </c>
      <c r="M60" s="364"/>
      <c r="N60" s="95">
        <v>353</v>
      </c>
      <c r="P60" s="253">
        <v>262</v>
      </c>
    </row>
    <row r="61" spans="1:35" ht="31.5" hidden="1">
      <c r="F61" s="363" t="s">
        <v>101</v>
      </c>
      <c r="G61" s="362">
        <v>141</v>
      </c>
      <c r="H61" s="361"/>
      <c r="I61" s="361"/>
      <c r="J61" s="360">
        <v>119.4</v>
      </c>
      <c r="K61" s="359"/>
      <c r="L61" s="364" t="s">
        <v>97</v>
      </c>
      <c r="M61" s="364"/>
      <c r="N61" s="95">
        <v>246</v>
      </c>
      <c r="P61" s="253">
        <v>163</v>
      </c>
    </row>
    <row r="62" spans="1:35" ht="31.5" hidden="1">
      <c r="F62" s="363" t="s">
        <v>103</v>
      </c>
      <c r="G62" s="362">
        <v>241</v>
      </c>
      <c r="H62" s="361"/>
      <c r="I62" s="361"/>
      <c r="J62" s="360">
        <v>212.5</v>
      </c>
      <c r="K62" s="359"/>
      <c r="L62" s="364" t="s">
        <v>100</v>
      </c>
      <c r="M62" s="364"/>
      <c r="N62" s="95">
        <v>212</v>
      </c>
      <c r="P62" s="253">
        <v>159</v>
      </c>
    </row>
    <row r="63" spans="1:35" ht="31.5" hidden="1">
      <c r="F63" s="363" t="s">
        <v>104</v>
      </c>
      <c r="G63" s="362">
        <v>73</v>
      </c>
      <c r="H63" s="361"/>
      <c r="I63" s="361"/>
      <c r="J63" s="360">
        <v>65.3</v>
      </c>
      <c r="K63" s="359"/>
      <c r="L63" s="364" t="s">
        <v>101</v>
      </c>
      <c r="M63" s="364"/>
      <c r="N63" s="95">
        <v>185</v>
      </c>
      <c r="P63" s="253">
        <v>123</v>
      </c>
    </row>
    <row r="64" spans="1:35" ht="31.5" hidden="1">
      <c r="F64" s="363" t="s">
        <v>106</v>
      </c>
      <c r="G64" s="362">
        <v>126</v>
      </c>
      <c r="H64" s="361"/>
      <c r="I64" s="361"/>
      <c r="J64" s="360">
        <v>120.4</v>
      </c>
      <c r="K64" s="359"/>
      <c r="L64" s="364" t="s">
        <v>103</v>
      </c>
      <c r="M64" s="364"/>
      <c r="N64" s="95">
        <v>293</v>
      </c>
      <c r="P64" s="253">
        <v>254</v>
      </c>
    </row>
    <row r="65" spans="6:16" ht="31.5" hidden="1">
      <c r="F65" s="363" t="s">
        <v>112</v>
      </c>
      <c r="G65" s="362">
        <v>62</v>
      </c>
      <c r="H65" s="361"/>
      <c r="I65" s="361"/>
      <c r="J65" s="360">
        <v>56.8</v>
      </c>
      <c r="K65" s="359"/>
      <c r="L65" s="364" t="s">
        <v>104</v>
      </c>
      <c r="M65" s="364"/>
      <c r="N65" s="95">
        <v>87</v>
      </c>
      <c r="P65" s="253">
        <v>71</v>
      </c>
    </row>
    <row r="66" spans="6:16" ht="31.5" hidden="1">
      <c r="F66" s="363" t="s">
        <v>93</v>
      </c>
      <c r="G66" s="362">
        <v>375</v>
      </c>
      <c r="H66" s="361"/>
      <c r="I66" s="361"/>
      <c r="J66" s="360">
        <v>296.8</v>
      </c>
      <c r="K66" s="359"/>
      <c r="L66" s="364" t="s">
        <v>102</v>
      </c>
      <c r="M66" s="364"/>
      <c r="N66" s="95">
        <v>1176</v>
      </c>
      <c r="P66" s="253">
        <v>898</v>
      </c>
    </row>
    <row r="67" spans="6:16" ht="31.5" hidden="1">
      <c r="F67" s="363" t="s">
        <v>95</v>
      </c>
      <c r="G67" s="362">
        <v>363</v>
      </c>
      <c r="H67" s="361"/>
      <c r="I67" s="361"/>
      <c r="J67" s="360">
        <v>292.60000000000002</v>
      </c>
      <c r="K67" s="359"/>
      <c r="L67" s="364" t="s">
        <v>105</v>
      </c>
      <c r="M67" s="364"/>
      <c r="N67" s="95">
        <v>2110</v>
      </c>
      <c r="P67" s="253">
        <v>1556</v>
      </c>
    </row>
    <row r="68" spans="6:16" ht="31.5" hidden="1">
      <c r="F68" s="363" t="s">
        <v>98</v>
      </c>
      <c r="G68" s="362">
        <v>318</v>
      </c>
      <c r="H68" s="361"/>
      <c r="I68" s="361"/>
      <c r="J68" s="360">
        <v>268.60000000000002</v>
      </c>
      <c r="K68" s="359"/>
      <c r="L68" s="364" t="s">
        <v>106</v>
      </c>
      <c r="M68" s="364"/>
      <c r="N68" s="95">
        <v>158</v>
      </c>
      <c r="P68" s="253">
        <v>113</v>
      </c>
    </row>
    <row r="69" spans="6:16" ht="31.5" hidden="1">
      <c r="F69" s="363" t="s">
        <v>97</v>
      </c>
      <c r="G69" s="362">
        <v>199</v>
      </c>
      <c r="H69" s="361"/>
      <c r="I69" s="361"/>
      <c r="J69" s="360">
        <v>182.89999999999998</v>
      </c>
      <c r="K69" s="359"/>
      <c r="L69" s="364" t="s">
        <v>108</v>
      </c>
      <c r="M69" s="364"/>
      <c r="N69" s="95">
        <v>64</v>
      </c>
      <c r="P69" s="253">
        <v>38</v>
      </c>
    </row>
    <row r="70" spans="6:16" ht="31.5" hidden="1">
      <c r="F70" s="363" t="s">
        <v>94</v>
      </c>
      <c r="G70" s="362">
        <v>137</v>
      </c>
      <c r="H70" s="361"/>
      <c r="I70" s="361"/>
      <c r="J70" s="360">
        <v>126.69999999999999</v>
      </c>
      <c r="K70" s="359"/>
      <c r="L70" s="364" t="s">
        <v>109</v>
      </c>
      <c r="M70" s="364"/>
      <c r="N70" s="95">
        <v>26</v>
      </c>
      <c r="P70" s="253">
        <v>13</v>
      </c>
    </row>
    <row r="71" spans="6:16" ht="31.5" hidden="1">
      <c r="F71" s="363" t="s">
        <v>99</v>
      </c>
      <c r="G71" s="362">
        <v>941</v>
      </c>
      <c r="H71" s="361"/>
      <c r="I71" s="361"/>
      <c r="J71" s="360">
        <v>866.6</v>
      </c>
      <c r="K71" s="359"/>
      <c r="L71" s="364" t="s">
        <v>107</v>
      </c>
      <c r="M71" s="364"/>
      <c r="N71" s="95">
        <v>1585</v>
      </c>
      <c r="P71" s="253">
        <v>1223</v>
      </c>
    </row>
    <row r="72" spans="6:16" ht="31.5" hidden="1">
      <c r="F72" s="363" t="s">
        <v>105</v>
      </c>
      <c r="G72" s="362">
        <v>2075</v>
      </c>
      <c r="H72" s="361"/>
      <c r="I72" s="361"/>
      <c r="J72" s="360">
        <v>1664</v>
      </c>
      <c r="K72" s="359"/>
      <c r="L72" s="364" t="s">
        <v>110</v>
      </c>
      <c r="M72" s="364"/>
      <c r="N72" s="95">
        <v>985</v>
      </c>
      <c r="P72" s="253">
        <v>758</v>
      </c>
    </row>
    <row r="73" spans="6:16" ht="31.5" hidden="1">
      <c r="F73" s="363" t="s">
        <v>111</v>
      </c>
      <c r="G73" s="362">
        <v>4208</v>
      </c>
      <c r="H73" s="361"/>
      <c r="I73" s="361"/>
      <c r="J73" s="360">
        <v>3238.5</v>
      </c>
      <c r="K73" s="359"/>
      <c r="L73" s="364" t="s">
        <v>112</v>
      </c>
      <c r="M73" s="364"/>
      <c r="N73" s="95">
        <v>79</v>
      </c>
      <c r="P73" s="253">
        <v>72</v>
      </c>
    </row>
    <row r="74" spans="6:16" ht="31.5" hidden="1">
      <c r="F74" s="363" t="s">
        <v>102</v>
      </c>
      <c r="G74" s="362">
        <v>1021</v>
      </c>
      <c r="H74" s="361"/>
      <c r="I74" s="361"/>
      <c r="J74" s="360">
        <v>871.8</v>
      </c>
      <c r="K74" s="359"/>
      <c r="L74" s="364" t="s">
        <v>111</v>
      </c>
      <c r="M74" s="364"/>
      <c r="N74" s="95">
        <v>4102</v>
      </c>
      <c r="P74" s="253">
        <v>3230</v>
      </c>
    </row>
    <row r="75" spans="6:16" ht="31.5" hidden="1">
      <c r="F75" s="363" t="s">
        <v>107</v>
      </c>
      <c r="G75" s="362">
        <v>1330</v>
      </c>
      <c r="H75" s="361"/>
      <c r="I75" s="361"/>
      <c r="J75" s="360">
        <v>1213</v>
      </c>
      <c r="K75" s="359"/>
      <c r="L75" s="364" t="s">
        <v>113</v>
      </c>
      <c r="M75" s="364"/>
      <c r="N75" s="95">
        <v>119</v>
      </c>
      <c r="P75" s="253">
        <v>70</v>
      </c>
    </row>
    <row r="76" spans="6:16" ht="31.5" hidden="1">
      <c r="F76" s="363" t="s">
        <v>110</v>
      </c>
      <c r="G76" s="362">
        <v>846</v>
      </c>
      <c r="H76" s="361"/>
      <c r="I76" s="361"/>
      <c r="J76" s="360">
        <v>713.9</v>
      </c>
      <c r="K76" s="359"/>
      <c r="N76" s="253">
        <f>SUM(N49:N75)</f>
        <v>15123</v>
      </c>
      <c r="P76" s="253">
        <f>SUM(P49:P75)</f>
        <v>11553</v>
      </c>
    </row>
    <row r="77" spans="6:16" hidden="1">
      <c r="G77" s="253">
        <f>SUM(G50:G76)</f>
        <v>13727.7</v>
      </c>
      <c r="J77" s="253">
        <f>SUM(J50:J76)</f>
        <v>11486.499999999998</v>
      </c>
      <c r="K77" s="359"/>
      <c r="L77" s="358"/>
      <c r="M77" s="358"/>
      <c r="N77" s="358"/>
      <c r="O77" s="358"/>
    </row>
    <row r="78" spans="6:16" hidden="1">
      <c r="K78" s="359"/>
      <c r="L78" s="358"/>
      <c r="M78" s="358"/>
      <c r="N78" s="358"/>
      <c r="O78" s="358"/>
    </row>
    <row r="79" spans="6:16" hidden="1">
      <c r="L79" s="357"/>
      <c r="M79" s="357"/>
    </row>
    <row r="80" spans="6:16" hidden="1"/>
    <row r="81" hidden="1"/>
    <row r="82" hidden="1"/>
    <row r="83" hidden="1"/>
    <row r="84" hidden="1"/>
    <row r="85" hidden="1"/>
  </sheetData>
  <mergeCells count="38">
    <mergeCell ref="AK3:AK5"/>
    <mergeCell ref="AJ3:AJ5"/>
    <mergeCell ref="G4:G5"/>
    <mergeCell ref="H4:H5"/>
    <mergeCell ref="I4:I5"/>
    <mergeCell ref="J3:J5"/>
    <mergeCell ref="K3:K5"/>
    <mergeCell ref="X4:Y4"/>
    <mergeCell ref="V4:W4"/>
    <mergeCell ref="T4:U4"/>
    <mergeCell ref="R4:S4"/>
    <mergeCell ref="P4:Q4"/>
    <mergeCell ref="A1:AL1"/>
    <mergeCell ref="B2:AH2"/>
    <mergeCell ref="A3:A4"/>
    <mergeCell ref="B3:E3"/>
    <mergeCell ref="AH4:AI4"/>
    <mergeCell ref="AF4:AG4"/>
    <mergeCell ref="AD4:AE4"/>
    <mergeCell ref="AB4:AC4"/>
    <mergeCell ref="Z4:AA4"/>
    <mergeCell ref="AL3:AL5"/>
    <mergeCell ref="L3:AI3"/>
    <mergeCell ref="B4:B5"/>
    <mergeCell ref="C4:C5"/>
    <mergeCell ref="D4:D5"/>
    <mergeCell ref="E4:E5"/>
    <mergeCell ref="F4:F5"/>
    <mergeCell ref="L40:P40"/>
    <mergeCell ref="L41:P41"/>
    <mergeCell ref="F3:I3"/>
    <mergeCell ref="K49:K51"/>
    <mergeCell ref="F48:J48"/>
    <mergeCell ref="L48:N48"/>
    <mergeCell ref="A38:G38"/>
    <mergeCell ref="A42:F46"/>
    <mergeCell ref="N4:O4"/>
    <mergeCell ref="L4:M4"/>
  </mergeCells>
  <conditionalFormatting sqref="F37:AJ37">
    <cfRule type="cellIs" dxfId="228" priority="2" operator="equal">
      <formula>TRUE</formula>
    </cfRule>
  </conditionalFormatting>
  <conditionalFormatting sqref="D37:E37">
    <cfRule type="cellIs" dxfId="227" priority="1" operator="equal">
      <formula>TRUE</formula>
    </cfRule>
  </conditionalFormatting>
  <printOptions horizontalCentered="1"/>
  <pageMargins left="0.51181102362204722" right="0.51181102362204722" top="0.78740157480314965" bottom="0.78740157480314965" header="0.31496062992125984" footer="0.31496062992125984"/>
  <pageSetup paperSize="9" scale="19" orientation="landscape" r:id="rId1"/>
  <colBreaks count="1" manualBreakCount="1">
    <brk id="38" max="72" man="1"/>
  </colBreaks>
  <ignoredErrors>
    <ignoredError sqref="AJ33" formula="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1">
    <tabColor rgb="FF7030A0"/>
    <pageSetUpPr fitToPage="1"/>
  </sheetPr>
  <dimension ref="A1:Y65"/>
  <sheetViews>
    <sheetView showGridLines="0" zoomScale="40" zoomScaleNormal="40" zoomScaleSheetLayoutView="64" workbookViewId="0">
      <pane xSplit="1" topLeftCell="B1" activePane="topRight" state="frozen"/>
      <selection sqref="A1:AC1"/>
      <selection pane="topRight" sqref="A1:AC1"/>
    </sheetView>
  </sheetViews>
  <sheetFormatPr defaultRowHeight="15"/>
  <cols>
    <col min="1" max="1" width="23.7109375" style="253" customWidth="1"/>
    <col min="2" max="2" width="32.28515625" style="253" customWidth="1"/>
    <col min="3" max="3" width="31.140625" style="253" customWidth="1"/>
    <col min="4" max="4" width="32.5703125" style="253" hidden="1" customWidth="1"/>
    <col min="5" max="5" width="29.7109375" style="253" hidden="1" customWidth="1"/>
    <col min="6" max="6" width="30.7109375" style="253" bestFit="1" customWidth="1"/>
    <col min="7" max="7" width="24.85546875" style="253" customWidth="1"/>
    <col min="8" max="8" width="22.28515625" style="253" customWidth="1"/>
    <col min="9" max="14" width="32.28515625" style="253" customWidth="1"/>
    <col min="15" max="15" width="29.7109375" style="253" customWidth="1"/>
    <col min="16" max="16" width="31.5703125" style="253" customWidth="1"/>
    <col min="17" max="17" width="35.42578125" style="253" customWidth="1"/>
    <col min="18" max="18" width="35.85546875" style="253" customWidth="1"/>
    <col min="19" max="19" width="31.28515625" style="253" customWidth="1"/>
    <col min="20" max="20" width="36.28515625" style="253" customWidth="1"/>
    <col min="21" max="21" width="40.42578125" style="253" customWidth="1"/>
    <col min="22" max="22" width="27.28515625" style="253" customWidth="1"/>
    <col min="23" max="23" width="30.7109375" style="253" customWidth="1"/>
    <col min="24" max="24" width="17" style="253" bestFit="1" customWidth="1"/>
    <col min="25" max="25" width="11.28515625" style="253" bestFit="1" customWidth="1"/>
    <col min="26" max="16384" width="9.140625" style="253"/>
  </cols>
  <sheetData>
    <row r="1" spans="1:25" s="297" customFormat="1" ht="43.5" customHeight="1">
      <c r="A1" s="1306" t="s">
        <v>530</v>
      </c>
      <c r="B1" s="1306"/>
      <c r="C1" s="1306"/>
      <c r="D1" s="1306"/>
      <c r="E1" s="1306"/>
      <c r="F1" s="1306"/>
      <c r="G1" s="1306"/>
      <c r="H1" s="1306"/>
      <c r="I1" s="1306"/>
      <c r="J1" s="1306"/>
      <c r="K1" s="1306"/>
      <c r="L1" s="1306"/>
      <c r="M1" s="1306"/>
      <c r="N1" s="1306"/>
      <c r="O1" s="1306"/>
      <c r="P1" s="1306"/>
      <c r="Q1" s="1306"/>
      <c r="R1" s="1306"/>
      <c r="S1" s="1306"/>
      <c r="T1" s="1306"/>
      <c r="U1" s="1306"/>
      <c r="V1" s="1306"/>
      <c r="W1" s="1306"/>
    </row>
    <row r="2" spans="1:25" s="297" customFormat="1" ht="29.25" thickBot="1">
      <c r="A2" s="392"/>
      <c r="B2" s="1307" t="s">
        <v>28</v>
      </c>
      <c r="C2" s="1307"/>
      <c r="D2" s="1308"/>
      <c r="E2" s="1308"/>
      <c r="F2" s="1308"/>
      <c r="G2" s="1307"/>
      <c r="H2" s="1307"/>
      <c r="I2" s="1307"/>
      <c r="J2" s="1307"/>
      <c r="K2" s="1307"/>
      <c r="L2" s="1307"/>
      <c r="M2" s="1307"/>
      <c r="N2" s="1307"/>
      <c r="O2" s="1307"/>
      <c r="P2" s="1307"/>
      <c r="Q2" s="1307"/>
      <c r="R2" s="1307"/>
      <c r="S2" s="1307"/>
      <c r="T2" s="1307"/>
      <c r="U2" s="1307"/>
      <c r="V2" s="1307"/>
      <c r="W2" s="1307"/>
    </row>
    <row r="3" spans="1:25" s="313" customFormat="1" ht="44.25" customHeight="1">
      <c r="A3" s="1309" t="s">
        <v>182</v>
      </c>
      <c r="B3" s="1310" t="s">
        <v>1111</v>
      </c>
      <c r="C3" s="1294"/>
      <c r="D3" s="1304" t="s">
        <v>1149</v>
      </c>
      <c r="E3" s="1305"/>
      <c r="F3" s="1305"/>
      <c r="G3" s="1314" t="s">
        <v>529</v>
      </c>
      <c r="H3" s="1314" t="s">
        <v>528</v>
      </c>
      <c r="I3" s="1312" t="s">
        <v>509</v>
      </c>
      <c r="J3" s="1312"/>
      <c r="K3" s="1312"/>
      <c r="L3" s="1312"/>
      <c r="M3" s="1312"/>
      <c r="N3" s="1312"/>
      <c r="O3" s="1312"/>
      <c r="P3" s="1312"/>
      <c r="Q3" s="1312"/>
      <c r="R3" s="1313"/>
      <c r="S3" s="1313"/>
      <c r="T3" s="1313"/>
      <c r="U3" s="1311" t="s">
        <v>508</v>
      </c>
      <c r="V3" s="1311" t="s">
        <v>507</v>
      </c>
      <c r="W3" s="1311" t="s">
        <v>506</v>
      </c>
    </row>
    <row r="4" spans="1:25" s="313" customFormat="1" ht="60" customHeight="1">
      <c r="A4" s="1309"/>
      <c r="B4" s="443" t="s">
        <v>527</v>
      </c>
      <c r="C4" s="442" t="s">
        <v>526</v>
      </c>
      <c r="D4" s="441" t="s">
        <v>183</v>
      </c>
      <c r="E4" s="441" t="s">
        <v>184</v>
      </c>
      <c r="F4" s="441" t="s">
        <v>128</v>
      </c>
      <c r="G4" s="1314"/>
      <c r="H4" s="1314"/>
      <c r="I4" s="440" t="s">
        <v>422</v>
      </c>
      <c r="J4" s="440" t="s">
        <v>421</v>
      </c>
      <c r="K4" s="440" t="s">
        <v>496</v>
      </c>
      <c r="L4" s="440" t="s">
        <v>420</v>
      </c>
      <c r="M4" s="440" t="s">
        <v>419</v>
      </c>
      <c r="N4" s="440" t="s">
        <v>418</v>
      </c>
      <c r="O4" s="440" t="s">
        <v>417</v>
      </c>
      <c r="P4" s="440" t="s">
        <v>416</v>
      </c>
      <c r="Q4" s="440" t="s">
        <v>415</v>
      </c>
      <c r="R4" s="439" t="s">
        <v>414</v>
      </c>
      <c r="S4" s="439" t="s">
        <v>413</v>
      </c>
      <c r="T4" s="439" t="s">
        <v>412</v>
      </c>
      <c r="U4" s="1311"/>
      <c r="V4" s="1311"/>
      <c r="W4" s="1311"/>
    </row>
    <row r="5" spans="1:25" s="297" customFormat="1" ht="28.5">
      <c r="A5" s="436" t="s">
        <v>87</v>
      </c>
      <c r="B5" s="435">
        <v>1996</v>
      </c>
      <c r="C5" s="435">
        <v>156406.56200000001</v>
      </c>
      <c r="D5" s="434">
        <v>561</v>
      </c>
      <c r="E5" s="434">
        <v>108</v>
      </c>
      <c r="F5" s="435">
        <f>VLOOKUP($A$5:$A$31,'Relatórios - SICCAU e IGEO'!$A$3:$G$29,7,)</f>
        <v>2685</v>
      </c>
      <c r="G5" s="433">
        <f t="shared" ref="G5:G32" si="0">F5/B5*100</f>
        <v>134.5190380761523</v>
      </c>
      <c r="H5" s="432">
        <f t="shared" ref="H5:H32" si="1">F5/$F$34*100</f>
        <v>0.31986752600040508</v>
      </c>
      <c r="I5" s="431">
        <f>VLOOKUP($A$5:$A$31,JAN!$R$5:$W$31,6,)</f>
        <v>14855.224</v>
      </c>
      <c r="J5" s="431">
        <f>VLOOKUP($A$5:$A$31,FEV!$R$5:$W$31,6,)</f>
        <v>14104.800000000001</v>
      </c>
      <c r="K5" s="431">
        <f>VLOOKUP($A$5:$A$31,MAR!$R$5:$AM$31,22,)</f>
        <v>14165.448000000002</v>
      </c>
      <c r="L5" s="430">
        <f>VLOOKUP($A$5:$A$31,ABR!$R$5:$W$31,6,)</f>
        <v>7836</v>
      </c>
      <c r="M5" s="430">
        <f>VLOOKUP($A$5:$A$31,MAI!$B$5:$G$31,6,)</f>
        <v>11048.760000000002</v>
      </c>
      <c r="N5" s="430">
        <f>VLOOKUP($A$5:$A$31,JUN!$B$5:$G$31,6,)</f>
        <v>13164.48</v>
      </c>
      <c r="O5" s="429">
        <f>VLOOKUP($A$5:$A$31,JUL!$B$5:$G$31,6,)</f>
        <v>17631</v>
      </c>
      <c r="P5" s="429">
        <f>VLOOKUP($A$5:$A$31,AGO!$B$5:$G$31,6,)</f>
        <v>23508</v>
      </c>
      <c r="Q5" s="429">
        <f>VLOOKUP($A$5:$A$31,SET!$B$5:$G$31,6,)</f>
        <v>28209.600000000002</v>
      </c>
      <c r="R5" s="429">
        <f>VLOOKUP($A$5:$A$31,OUT!$B$5:$G$31,6,)</f>
        <v>24056.520000000004</v>
      </c>
      <c r="S5" s="429">
        <f>VLOOKUP($A$5:$A$31,NOV!$B$5:$G$31,6,)</f>
        <v>20765.400000000001</v>
      </c>
      <c r="T5" s="429">
        <f>VLOOKUP($A$5:$A$31,DEZ!$B$5:$G$31,6,)</f>
        <v>19981.800000000003</v>
      </c>
      <c r="U5" s="428">
        <f t="shared" ref="U5:U34" si="2">SUM(I5:T5)</f>
        <v>209327.03200000001</v>
      </c>
      <c r="V5" s="427">
        <f t="shared" ref="V5:V34" si="3">U5/C5*100</f>
        <v>133.83519803983671</v>
      </c>
      <c r="W5" s="426">
        <f t="shared" ref="W5:W34" si="4">U5/$U$34*100</f>
        <v>0.25711589237814331</v>
      </c>
      <c r="X5" s="400">
        <f t="shared" ref="X5:X36" si="5">U5/(C5)</f>
        <v>1.3383519803983672</v>
      </c>
      <c r="Y5" s="399">
        <f>'Comparativo YoY'!ED8</f>
        <v>17.411618697565928</v>
      </c>
    </row>
    <row r="6" spans="1:25" s="297" customFormat="1" ht="28.5">
      <c r="A6" s="436" t="s">
        <v>88</v>
      </c>
      <c r="B6" s="435">
        <v>5861</v>
      </c>
      <c r="C6" s="435">
        <v>493176.49</v>
      </c>
      <c r="D6" s="434">
        <v>1748</v>
      </c>
      <c r="E6" s="434">
        <v>166</v>
      </c>
      <c r="F6" s="435">
        <f>VLOOKUP($A$5:$A$31,'Relatórios - SICCAU e IGEO'!$A$3:$G$29,7,)</f>
        <v>6640</v>
      </c>
      <c r="G6" s="433">
        <f t="shared" ref="G6:G31" si="6">F6/B6*100</f>
        <v>113.2912472274356</v>
      </c>
      <c r="H6" s="432">
        <f t="shared" ref="H6:H31" si="7">F6/$F$34*100</f>
        <v>0.79103179614252861</v>
      </c>
      <c r="I6" s="431">
        <f>VLOOKUP($A$5:$A$31,JAN!$R$5:$W$31,6,)</f>
        <v>37533.688000000002</v>
      </c>
      <c r="J6" s="431">
        <f>VLOOKUP($A$5:$A$31,FEV!$R$5:$W$31,6,)</f>
        <v>39963.600000000006</v>
      </c>
      <c r="K6" s="431">
        <f>VLOOKUP($A$5:$A$31,MAR!$R$5:$AM$31,22,)</f>
        <v>40903.920000000006</v>
      </c>
      <c r="L6" s="430">
        <f>VLOOKUP($A$5:$A$31,ABR!$R$5:$W$31,6,)</f>
        <v>30482.040000000005</v>
      </c>
      <c r="M6" s="430">
        <f>VLOOKUP($A$5:$A$31,MAI!$B$5:$G$31,6,)</f>
        <v>30403.68</v>
      </c>
      <c r="N6" s="430">
        <f>VLOOKUP($A$5:$A$31,JUN!$B$5:$G$31,6,)</f>
        <v>34400.04</v>
      </c>
      <c r="O6" s="429">
        <f>VLOOKUP($A$5:$A$31,JUL!$B$5:$G$31,6,)</f>
        <v>43489.8</v>
      </c>
      <c r="P6" s="429">
        <f>VLOOKUP($A$5:$A$31,AGO!$B$5:$G$31,6,)</f>
        <v>50463.840000000011</v>
      </c>
      <c r="Q6" s="429">
        <f>VLOOKUP($A$5:$A$31,SET!$B$5:$G$31,6,)</f>
        <v>45448.800000000003</v>
      </c>
      <c r="R6" s="429">
        <f>VLOOKUP($A$5:$A$31,OUT!$B$5:$G$31,6,)</f>
        <v>62139.48000000001</v>
      </c>
      <c r="S6" s="429">
        <f>VLOOKUP($A$5:$A$31,NOV!$B$5:$G$31,6,)</f>
        <v>55635.600000000006</v>
      </c>
      <c r="T6" s="429">
        <f>VLOOKUP($A$5:$A$31,DEZ!$B$5:$G$31,6,)</f>
        <v>50542.200000000004</v>
      </c>
      <c r="U6" s="428">
        <f t="shared" si="2"/>
        <v>521406.68800000002</v>
      </c>
      <c r="V6" s="427">
        <f t="shared" si="3"/>
        <v>105.72415728900621</v>
      </c>
      <c r="W6" s="426">
        <f t="shared" si="4"/>
        <v>0.64044258687550748</v>
      </c>
      <c r="X6" s="400">
        <f t="shared" si="5"/>
        <v>1.0572415728900622</v>
      </c>
      <c r="Y6" s="399">
        <f>'Comparativo YoY'!ED9</f>
        <v>6.8566240272829759E-2</v>
      </c>
    </row>
    <row r="7" spans="1:25" s="297" customFormat="1" ht="28.5">
      <c r="A7" s="436" t="s">
        <v>90</v>
      </c>
      <c r="B7" s="435">
        <v>4815</v>
      </c>
      <c r="C7" s="435">
        <v>377303.4</v>
      </c>
      <c r="D7" s="434">
        <v>1440</v>
      </c>
      <c r="E7" s="434">
        <v>250</v>
      </c>
      <c r="F7" s="435">
        <f>VLOOKUP($A$5:$A$31,'Relatórios - SICCAU e IGEO'!$A$3:$G$29,7,)</f>
        <v>6192</v>
      </c>
      <c r="G7" s="433">
        <f t="shared" si="6"/>
        <v>128.5981308411215</v>
      </c>
      <c r="H7" s="432">
        <f t="shared" si="7"/>
        <v>0.73766097616182802</v>
      </c>
      <c r="I7" s="431">
        <f>VLOOKUP($A$5:$A$31,JAN!$R$5:$W$31,6,)</f>
        <v>33880.640000000007</v>
      </c>
      <c r="J7" s="431">
        <f>VLOOKUP($A$5:$A$31,FEV!$R$5:$W$31,6,)</f>
        <v>37299.360000000001</v>
      </c>
      <c r="K7" s="431">
        <f>VLOOKUP($A$5:$A$31,MAR!$R$5:$AM$31,22,)</f>
        <v>43959.96</v>
      </c>
      <c r="L7" s="430">
        <f>VLOOKUP($A$5:$A$31,ABR!$R$5:$W$31,6,)</f>
        <v>16612.320000000003</v>
      </c>
      <c r="M7" s="430">
        <f>VLOOKUP($A$5:$A$31,MAI!$B$5:$G$31,6,)</f>
        <v>21000.48</v>
      </c>
      <c r="N7" s="430">
        <f>VLOOKUP($A$5:$A$31,JUN!$B$5:$G$31,6,)</f>
        <v>37142.640000000007</v>
      </c>
      <c r="O7" s="429">
        <f>VLOOKUP($A$5:$A$31,JUL!$B$5:$G$31,6,)</f>
        <v>50150.400000000001</v>
      </c>
      <c r="P7" s="429">
        <f>VLOOKUP($A$5:$A$31,AGO!$B$5:$G$31,6,)</f>
        <v>55557.240000000005</v>
      </c>
      <c r="Q7" s="429">
        <f>VLOOKUP($A$5:$A$31,SET!$B$5:$G$31,6,)</f>
        <v>46859.28</v>
      </c>
      <c r="R7" s="429">
        <f>VLOOKUP($A$5:$A$31,OUT!$B$5:$G$31,6,)</f>
        <v>53990.040000000008</v>
      </c>
      <c r="S7" s="429">
        <f>VLOOKUP($A$5:$A$31,NOV!$B$5:$G$31,6,)</f>
        <v>50934</v>
      </c>
      <c r="T7" s="429">
        <f>VLOOKUP($A$5:$A$31,DEZ!$B$5:$G$31,6,)</f>
        <v>41217.360000000001</v>
      </c>
      <c r="U7" s="428">
        <f t="shared" si="2"/>
        <v>488603.72000000009</v>
      </c>
      <c r="V7" s="427">
        <f t="shared" si="3"/>
        <v>129.49889134314719</v>
      </c>
      <c r="W7" s="426">
        <f t="shared" si="4"/>
        <v>0.60015077979551379</v>
      </c>
      <c r="X7" s="400">
        <f t="shared" si="5"/>
        <v>1.294988913431472</v>
      </c>
      <c r="Y7" s="399">
        <f>'Comparativo YoY'!ED10</f>
        <v>7.0141245303767334</v>
      </c>
    </row>
    <row r="8" spans="1:25" s="297" customFormat="1" ht="28.5">
      <c r="A8" s="436" t="s">
        <v>89</v>
      </c>
      <c r="B8" s="435">
        <v>2565</v>
      </c>
      <c r="C8" s="435">
        <v>200993.4</v>
      </c>
      <c r="D8" s="434">
        <v>933</v>
      </c>
      <c r="E8" s="434">
        <v>117</v>
      </c>
      <c r="F8" s="435">
        <f>VLOOKUP($A$5:$A$31,'Relatórios - SICCAU e IGEO'!$A$3:$G$29,7,)</f>
        <v>3373</v>
      </c>
      <c r="G8" s="433">
        <f t="shared" si="6"/>
        <v>131.50097465886938</v>
      </c>
      <c r="H8" s="432">
        <f t="shared" si="7"/>
        <v>0.40182985668505256</v>
      </c>
      <c r="I8" s="431">
        <f>VLOOKUP($A$5:$A$31,JAN!$R$5:$W$31,6,)</f>
        <v>22650.392000000003</v>
      </c>
      <c r="J8" s="431">
        <f>VLOOKUP($A$5:$A$31,FEV!$R$5:$W$31,6,)</f>
        <v>23508</v>
      </c>
      <c r="K8" s="431">
        <f>VLOOKUP($A$5:$A$31,MAR!$R$5:$AM$31,22,)</f>
        <v>22019.160000000003</v>
      </c>
      <c r="L8" s="430">
        <f>VLOOKUP($A$5:$A$31,ABR!$R$5:$W$31,6,)</f>
        <v>13481.592000000002</v>
      </c>
      <c r="M8" s="430">
        <f>VLOOKUP($A$5:$A$31,MAI!$B$5:$G$31,6,)</f>
        <v>13477.920000000002</v>
      </c>
      <c r="N8" s="430">
        <f>VLOOKUP($A$5:$A$31,JUN!$B$5:$G$31,6,)</f>
        <v>14888.400000000001</v>
      </c>
      <c r="O8" s="429">
        <f>VLOOKUP($A$5:$A$31,JUL!$B$5:$G$31,6,)</f>
        <v>26877.48</v>
      </c>
      <c r="P8" s="429">
        <f>VLOOKUP($A$5:$A$31,AGO!$B$5:$G$31,6,)</f>
        <v>32597.759999999998</v>
      </c>
      <c r="Q8" s="429">
        <f>VLOOKUP($A$5:$A$31,SET!$B$5:$G$31,6,)</f>
        <v>28052.880000000001</v>
      </c>
      <c r="R8" s="429">
        <f>VLOOKUP($A$5:$A$31,OUT!$B$5:$G$31,6,)</f>
        <v>26093.88</v>
      </c>
      <c r="S8" s="429">
        <f>VLOOKUP($A$5:$A$31,NOV!$B$5:$G$31,6,)</f>
        <v>14888.400000000001</v>
      </c>
      <c r="T8" s="429">
        <f>VLOOKUP($A$5:$A$31,DEZ!$B$5:$G$31,6,)</f>
        <v>21470.639999999999</v>
      </c>
      <c r="U8" s="428">
        <f t="shared" si="2"/>
        <v>260006.50400000002</v>
      </c>
      <c r="V8" s="427">
        <f t="shared" si="3"/>
        <v>129.36071731708606</v>
      </c>
      <c r="W8" s="426">
        <f t="shared" si="4"/>
        <v>0.319365366533651</v>
      </c>
      <c r="X8" s="400">
        <f t="shared" si="5"/>
        <v>1.2936071731708605</v>
      </c>
      <c r="Y8" s="399">
        <f>'Comparativo YoY'!ED11</f>
        <v>0.50192187336833172</v>
      </c>
    </row>
    <row r="9" spans="1:25" s="297" customFormat="1" ht="28.5">
      <c r="A9" s="436" t="s">
        <v>91</v>
      </c>
      <c r="B9" s="435">
        <v>13550</v>
      </c>
      <c r="C9" s="435">
        <v>1061850.04</v>
      </c>
      <c r="D9" s="434">
        <v>3906</v>
      </c>
      <c r="E9" s="434">
        <v>964</v>
      </c>
      <c r="F9" s="435">
        <f>VLOOKUP($A$5:$A$31,'Relatórios - SICCAU e IGEO'!$A$3:$G$29,7,)</f>
        <v>17122</v>
      </c>
      <c r="G9" s="433">
        <f t="shared" si="6"/>
        <v>126.36162361623616</v>
      </c>
      <c r="H9" s="432">
        <f t="shared" si="7"/>
        <v>2.0397660261374058</v>
      </c>
      <c r="I9" s="431">
        <f>VLOOKUP($A$5:$A$31,JAN!$R$5:$W$31,6,)</f>
        <v>103651.664</v>
      </c>
      <c r="J9" s="431">
        <f>VLOOKUP($A$5:$A$31,FEV!$R$5:$W$31,6,)</f>
        <v>120282.6</v>
      </c>
      <c r="K9" s="431">
        <f>VLOOKUP($A$5:$A$31,MAR!$R$5:$AM$31,22,)</f>
        <v>110017.44</v>
      </c>
      <c r="L9" s="430">
        <f>VLOOKUP($A$5:$A$31,ABR!$R$5:$W$31,6,)</f>
        <v>59396.880000000005</v>
      </c>
      <c r="M9" s="430">
        <f>VLOOKUP($A$5:$A$31,MAI!$B$5:$G$31,6,)</f>
        <v>62844.72</v>
      </c>
      <c r="N9" s="430">
        <f>VLOOKUP($A$5:$A$31,JUN!$B$5:$G$31,6,)</f>
        <v>90819.24</v>
      </c>
      <c r="O9" s="429">
        <f>VLOOKUP($A$5:$A$31,JUL!$B$5:$G$31,6,)</f>
        <v>119342.28000000001</v>
      </c>
      <c r="P9" s="429">
        <f>VLOOKUP($A$5:$A$31,AGO!$B$5:$G$31,6,)</f>
        <v>128275.32000000002</v>
      </c>
      <c r="Q9" s="429">
        <f>VLOOKUP($A$5:$A$31,SET!$B$5:$G$31,6,)</f>
        <v>135797.88</v>
      </c>
      <c r="R9" s="429">
        <f>VLOOKUP($A$5:$A$31,OUT!$B$5:$G$31,6,)</f>
        <v>151783.32</v>
      </c>
      <c r="S9" s="429">
        <f>VLOOKUP($A$5:$A$31,NOV!$B$5:$G$31,6,)</f>
        <v>146689.92000000001</v>
      </c>
      <c r="T9" s="429">
        <f>VLOOKUP($A$5:$A$31,DEZ!$B$5:$G$31,6,)</f>
        <v>153742.32</v>
      </c>
      <c r="U9" s="428">
        <f t="shared" si="2"/>
        <v>1382643.584</v>
      </c>
      <c r="V9" s="427">
        <f t="shared" si="3"/>
        <v>130.21081432553319</v>
      </c>
      <c r="W9" s="426">
        <f t="shared" si="4"/>
        <v>1.6982978048486079</v>
      </c>
      <c r="X9" s="400">
        <f t="shared" si="5"/>
        <v>1.3021081432553319</v>
      </c>
      <c r="Y9" s="399">
        <f>'Comparativo YoY'!ED12</f>
        <v>-8.7703896700414816</v>
      </c>
    </row>
    <row r="10" spans="1:25" s="297" customFormat="1" ht="28.5">
      <c r="A10" s="436" t="s">
        <v>92</v>
      </c>
      <c r="B10" s="435">
        <v>9072</v>
      </c>
      <c r="C10" s="435">
        <v>710881.91999999993</v>
      </c>
      <c r="D10" s="434">
        <v>2528</v>
      </c>
      <c r="E10" s="434">
        <v>445</v>
      </c>
      <c r="F10" s="435">
        <f>VLOOKUP($A$5:$A$31,'Relatórios - SICCAU e IGEO'!$A$3:$G$29,7,)</f>
        <v>11420</v>
      </c>
      <c r="G10" s="433">
        <f t="shared" si="6"/>
        <v>125.88183421516754</v>
      </c>
      <c r="H10" s="432">
        <f t="shared" si="7"/>
        <v>1.3604793843294696</v>
      </c>
      <c r="I10" s="431">
        <f>VLOOKUP($A$5:$A$31,JAN!$R$5:$W$31,6,)</f>
        <v>75146.487999999998</v>
      </c>
      <c r="J10" s="431">
        <f>VLOOKUP($A$5:$A$31,FEV!$R$5:$W$31,6,)</f>
        <v>69113.52</v>
      </c>
      <c r="K10" s="431">
        <f>VLOOKUP($A$5:$A$31,MAR!$R$5:$AM$31,22,)</f>
        <v>57359.519999999997</v>
      </c>
      <c r="L10" s="430">
        <f>VLOOKUP($A$5:$A$31,ABR!$R$5:$W$31,6,)</f>
        <v>26642.400000000001</v>
      </c>
      <c r="M10" s="430">
        <f>VLOOKUP($A$5:$A$31,MAI!$B$5:$G$31,6,)</f>
        <v>27582.720000000001</v>
      </c>
      <c r="N10" s="430">
        <f>VLOOKUP($A$5:$A$31,JUN!$B$5:$G$31,6,)</f>
        <v>68016.48000000001</v>
      </c>
      <c r="O10" s="429">
        <f>VLOOKUP($A$5:$A$31,JUL!$B$5:$G$31,6,)</f>
        <v>85020.6</v>
      </c>
      <c r="P10" s="429">
        <f>VLOOKUP($A$5:$A$31,AGO!$B$5:$G$31,6,)</f>
        <v>90740.88</v>
      </c>
      <c r="Q10" s="429">
        <f>VLOOKUP($A$5:$A$31,SET!$B$5:$G$31,6,)</f>
        <v>88860.24</v>
      </c>
      <c r="R10" s="429">
        <f>VLOOKUP($A$5:$A$31,OUT!$B$5:$G$31,6,)</f>
        <v>106334.52</v>
      </c>
      <c r="S10" s="429">
        <f>VLOOKUP($A$5:$A$31,NOV!$B$5:$G$31,6,)</f>
        <v>94267.080000000016</v>
      </c>
      <c r="T10" s="429">
        <f>VLOOKUP($A$5:$A$31,DEZ!$B$5:$G$31,6,)</f>
        <v>90035.640000000014</v>
      </c>
      <c r="U10" s="428">
        <f t="shared" si="2"/>
        <v>879120.08800000011</v>
      </c>
      <c r="V10" s="427">
        <f t="shared" si="3"/>
        <v>123.6661199654649</v>
      </c>
      <c r="W10" s="426">
        <f t="shared" si="4"/>
        <v>1.0798210999030067</v>
      </c>
      <c r="X10" s="400">
        <f t="shared" si="5"/>
        <v>1.236661199654649</v>
      </c>
      <c r="Y10" s="399">
        <f>'Comparativo YoY'!ED13</f>
        <v>-1.3481405010612519</v>
      </c>
    </row>
    <row r="11" spans="1:25" s="297" customFormat="1" ht="28.5">
      <c r="A11" s="436" t="s">
        <v>93</v>
      </c>
      <c r="B11" s="435">
        <v>15181</v>
      </c>
      <c r="C11" s="435">
        <v>1189583.1599999999</v>
      </c>
      <c r="D11" s="434">
        <v>3727</v>
      </c>
      <c r="E11" s="434">
        <v>895</v>
      </c>
      <c r="F11" s="435">
        <f>VLOOKUP($A$5:$A$31,'Relatórios - SICCAU e IGEO'!$A$3:$G$29,7,)</f>
        <v>17197</v>
      </c>
      <c r="G11" s="433">
        <f t="shared" si="6"/>
        <v>113.27975759172651</v>
      </c>
      <c r="H11" s="432">
        <f t="shared" si="7"/>
        <v>2.0487008732323893</v>
      </c>
      <c r="I11" s="431">
        <f>VLOOKUP($A$5:$A$31,JAN!$R$5:$W$31,6,)</f>
        <v>96113.040000000008</v>
      </c>
      <c r="J11" s="431">
        <f>VLOOKUP($A$5:$A$31,FEV!$R$5:$W$31,6,)</f>
        <v>94658.880000000005</v>
      </c>
      <c r="K11" s="431">
        <f>VLOOKUP($A$5:$A$31,MAR!$R$5:$AM$31,22,)</f>
        <v>93013.32</v>
      </c>
      <c r="L11" s="430">
        <f>VLOOKUP($A$5:$A$31,ABR!$R$5:$W$31,6,)</f>
        <v>51952.68</v>
      </c>
      <c r="M11" s="430">
        <f>VLOOKUP($A$5:$A$31,MAI!$B$5:$G$31,6,)</f>
        <v>73815.12</v>
      </c>
      <c r="N11" s="430">
        <f>VLOOKUP($A$5:$A$31,JUN!$B$5:$G$31,6,)</f>
        <v>99047.040000000008</v>
      </c>
      <c r="O11" s="429">
        <f>VLOOKUP($A$5:$A$31,JUL!$B$5:$G$31,6,)</f>
        <v>116364.6</v>
      </c>
      <c r="P11" s="429">
        <f>VLOOKUP($A$5:$A$31,AGO!$B$5:$G$31,6,)</f>
        <v>134152.32000000001</v>
      </c>
      <c r="Q11" s="429">
        <f>VLOOKUP($A$5:$A$31,SET!$B$5:$G$31,6,)</f>
        <v>114719.03999999999</v>
      </c>
      <c r="R11" s="429">
        <f>VLOOKUP($A$5:$A$31,OUT!$B$5:$G$31,6,)</f>
        <v>131174.63999999998</v>
      </c>
      <c r="S11" s="429">
        <f>VLOOKUP($A$5:$A$31,NOV!$B$5:$G$31,6,)</f>
        <v>126237.96000000002</v>
      </c>
      <c r="T11" s="429">
        <f>VLOOKUP($A$5:$A$31,DEZ!$B$5:$G$31,6,)</f>
        <v>106334.52</v>
      </c>
      <c r="U11" s="428">
        <f t="shared" si="2"/>
        <v>1237583.1600000001</v>
      </c>
      <c r="V11" s="427">
        <f t="shared" si="3"/>
        <v>104.03502685764316</v>
      </c>
      <c r="W11" s="426">
        <f t="shared" si="4"/>
        <v>1.5201204332537546</v>
      </c>
      <c r="X11" s="400">
        <f t="shared" si="5"/>
        <v>1.0403502685764316</v>
      </c>
      <c r="Y11" s="399">
        <f>'Comparativo YoY'!ED14</f>
        <v>2.4916618552790908</v>
      </c>
    </row>
    <row r="12" spans="1:25" s="297" customFormat="1" ht="28.5">
      <c r="A12" s="436" t="s">
        <v>94</v>
      </c>
      <c r="B12" s="435">
        <v>12529</v>
      </c>
      <c r="C12" s="435">
        <v>981772.44000000006</v>
      </c>
      <c r="D12" s="434">
        <v>3064</v>
      </c>
      <c r="E12" s="434">
        <v>638</v>
      </c>
      <c r="F12" s="435">
        <f>VLOOKUP($A$5:$A$31,'Relatórios - SICCAU e IGEO'!$A$3:$G$29,7,)</f>
        <v>13559</v>
      </c>
      <c r="G12" s="433">
        <f t="shared" si="6"/>
        <v>108.2209274483199</v>
      </c>
      <c r="H12" s="432">
        <f t="shared" si="7"/>
        <v>1.6153012234783954</v>
      </c>
      <c r="I12" s="431">
        <f>VLOOKUP($A$5:$A$31,JAN!$R$5:$W$31,6,)</f>
        <v>79599.495999999999</v>
      </c>
      <c r="J12" s="431">
        <f>VLOOKUP($A$5:$A$31,FEV!$R$5:$W$31,6,)</f>
        <v>78908.52</v>
      </c>
      <c r="K12" s="431">
        <f>VLOOKUP($A$5:$A$31,MAR!$R$5:$AM$31,22,)</f>
        <v>81102.600000000006</v>
      </c>
      <c r="L12" s="430">
        <f>VLOOKUP($A$5:$A$31,ABR!$R$5:$W$31,6,)</f>
        <v>44351.76</v>
      </c>
      <c r="M12" s="430">
        <f>VLOOKUP($A$5:$A$31,MAI!$B$5:$G$31,6,)</f>
        <v>65822.400000000009</v>
      </c>
      <c r="N12" s="430">
        <f>VLOOKUP($A$5:$A$31,JUN!$B$5:$G$31,6,)</f>
        <v>75460.680000000008</v>
      </c>
      <c r="O12" s="429">
        <f>VLOOKUP($A$5:$A$31,JUL!$B$5:$G$31,6,)</f>
        <v>97009.680000000008</v>
      </c>
      <c r="P12" s="429">
        <f>VLOOKUP($A$5:$A$31,AGO!$B$5:$G$31,6,)</f>
        <v>110957.76000000004</v>
      </c>
      <c r="Q12" s="429">
        <f>VLOOKUP($A$5:$A$31,SET!$B$5:$G$31,6,)</f>
        <v>97323.12</v>
      </c>
      <c r="R12" s="429">
        <f>VLOOKUP($A$5:$A$31,OUT!$B$5:$G$31,6,)</f>
        <v>122711.76000000001</v>
      </c>
      <c r="S12" s="429">
        <f>VLOOKUP($A$5:$A$31,NOV!$B$5:$G$31,6,)</f>
        <v>102573.24</v>
      </c>
      <c r="T12" s="429">
        <f>VLOOKUP($A$5:$A$31,DEZ!$B$5:$G$31,6,)</f>
        <v>98185.080000000016</v>
      </c>
      <c r="U12" s="428">
        <f t="shared" si="2"/>
        <v>1054006.0960000001</v>
      </c>
      <c r="V12" s="427">
        <f t="shared" si="3"/>
        <v>107.35747440618727</v>
      </c>
      <c r="W12" s="426">
        <f t="shared" si="4"/>
        <v>1.2946331649370684</v>
      </c>
      <c r="X12" s="400">
        <f t="shared" si="5"/>
        <v>1.0735747440618726</v>
      </c>
      <c r="Y12" s="399">
        <f>'Comparativo YoY'!ED15</f>
        <v>-7.2258040874377087</v>
      </c>
    </row>
    <row r="13" spans="1:25" s="297" customFormat="1" ht="28.5">
      <c r="A13" s="436" t="s">
        <v>95</v>
      </c>
      <c r="B13" s="435">
        <v>23686</v>
      </c>
      <c r="C13" s="435">
        <v>1856034.96</v>
      </c>
      <c r="D13" s="434">
        <v>5542</v>
      </c>
      <c r="E13" s="434">
        <v>2060</v>
      </c>
      <c r="F13" s="435">
        <f>VLOOKUP($A$5:$A$31,'Relatórios - SICCAU e IGEO'!$A$3:$G$29,7,)</f>
        <v>27819</v>
      </c>
      <c r="G13" s="433">
        <f t="shared" si="6"/>
        <v>117.44912606603057</v>
      </c>
      <c r="H13" s="432">
        <f t="shared" si="7"/>
        <v>3.3141134844712359</v>
      </c>
      <c r="I13" s="431">
        <f>VLOOKUP($A$5:$A$31,JAN!$R$5:$W$31,6,)</f>
        <v>156191.44</v>
      </c>
      <c r="J13" s="431">
        <f>VLOOKUP($A$5:$A$31,FEV!$R$5:$W$31,6,)</f>
        <v>162048.48000000001</v>
      </c>
      <c r="K13" s="431">
        <f>VLOOKUP($A$5:$A$31,MAR!$R$5:$AM$31,22,)</f>
        <v>160638</v>
      </c>
      <c r="L13" s="430">
        <f>VLOOKUP($A$5:$A$31,ABR!$R$5:$W$31,6,)</f>
        <v>110409.23999999999</v>
      </c>
      <c r="M13" s="430">
        <f>VLOOKUP($A$5:$A$31,MAI!$B$5:$G$31,6,)</f>
        <v>149197.44</v>
      </c>
      <c r="N13" s="430">
        <f>VLOOKUP($A$5:$A$31,JUN!$B$5:$G$31,6,)</f>
        <v>187828.92</v>
      </c>
      <c r="O13" s="429">
        <f>VLOOKUP($A$5:$A$31,JUL!$B$5:$G$31,6,)</f>
        <v>251457.24</v>
      </c>
      <c r="P13" s="429">
        <f>VLOOKUP($A$5:$A$31,AGO!$B$5:$G$31,6,)</f>
        <v>207262.20000000004</v>
      </c>
      <c r="Q13" s="429">
        <f>VLOOKUP($A$5:$A$31,SET!$B$5:$G$31,6,)</f>
        <v>198642.6</v>
      </c>
      <c r="R13" s="429">
        <f>VLOOKUP($A$5:$A$31,OUT!$B$5:$G$31,6,)</f>
        <v>238527.84</v>
      </c>
      <c r="S13" s="429">
        <f>VLOOKUP($A$5:$A$31,NOV!$B$5:$G$31,6,)</f>
        <v>185556.48000000001</v>
      </c>
      <c r="T13" s="429">
        <f>VLOOKUP($A$5:$A$31,DEZ!$B$5:$G$31,6,)</f>
        <v>207340.56000000003</v>
      </c>
      <c r="U13" s="428">
        <f t="shared" si="2"/>
        <v>2215100.4400000004</v>
      </c>
      <c r="V13" s="427">
        <f t="shared" si="3"/>
        <v>119.34583602886448</v>
      </c>
      <c r="W13" s="426">
        <f t="shared" si="4"/>
        <v>2.7208025685751753</v>
      </c>
      <c r="X13" s="400">
        <f t="shared" si="5"/>
        <v>1.1934583602886448</v>
      </c>
      <c r="Y13" s="399">
        <f>'Comparativo YoY'!ED16</f>
        <v>3.1369590378874648</v>
      </c>
    </row>
    <row r="14" spans="1:25" s="297" customFormat="1" ht="28.5">
      <c r="A14" s="436" t="s">
        <v>96</v>
      </c>
      <c r="B14" s="435">
        <v>3660</v>
      </c>
      <c r="C14" s="435">
        <v>324381.13</v>
      </c>
      <c r="D14" s="435">
        <v>991</v>
      </c>
      <c r="E14" s="435">
        <v>197</v>
      </c>
      <c r="F14" s="435">
        <f>VLOOKUP($A$5:$A$31,'Relatórios - SICCAU e IGEO'!$A$3:$G$29,7,)</f>
        <v>4498</v>
      </c>
      <c r="G14" s="433">
        <f t="shared" si="6"/>
        <v>122.89617486338797</v>
      </c>
      <c r="H14" s="432">
        <f t="shared" si="7"/>
        <v>0.53585256310980334</v>
      </c>
      <c r="I14" s="431">
        <f>VLOOKUP($A$5:$A$31,JAN!$R$5:$W$31,6,)</f>
        <v>28570.776000000002</v>
      </c>
      <c r="J14" s="431">
        <f>VLOOKUP($A$5:$A$31,FEV!$R$5:$W$31,6,)</f>
        <v>29933.520000000004</v>
      </c>
      <c r="K14" s="431">
        <f>VLOOKUP($A$5:$A$31,MAR!$R$5:$AM$31,22,)</f>
        <v>27269.279999999999</v>
      </c>
      <c r="L14" s="430">
        <f>VLOOKUP($A$5:$A$31,ABR!$R$5:$W$31,6,)</f>
        <v>14653.320000000002</v>
      </c>
      <c r="M14" s="430">
        <f>VLOOKUP($A$5:$A$31,MAI!$B$5:$G$31,6,)</f>
        <v>12537.6</v>
      </c>
      <c r="N14" s="430">
        <f>VLOOKUP($A$5:$A$31,JUN!$B$5:$G$31,6,)</f>
        <v>27112.559999999998</v>
      </c>
      <c r="O14" s="429">
        <f>VLOOKUP($A$5:$A$31,JUL!$B$5:$G$31,6,)</f>
        <v>40120.320000000007</v>
      </c>
      <c r="P14" s="429">
        <f>VLOOKUP($A$5:$A$31,AGO!$B$5:$G$31,6,)</f>
        <v>39180</v>
      </c>
      <c r="Q14" s="429">
        <f>VLOOKUP($A$5:$A$31,SET!$B$5:$G$31,6,)</f>
        <v>42784.56</v>
      </c>
      <c r="R14" s="429">
        <f>VLOOKUP($A$5:$A$31,OUT!$B$5:$G$31,6,)</f>
        <v>46624.200000000004</v>
      </c>
      <c r="S14" s="429">
        <f>VLOOKUP($A$5:$A$31,NOV!$B$5:$G$31,6,)</f>
        <v>40825.56</v>
      </c>
      <c r="T14" s="429">
        <f>VLOOKUP($A$5:$A$31,DEZ!$B$5:$G$31,6,)</f>
        <v>35340.36</v>
      </c>
      <c r="U14" s="428">
        <f t="shared" si="2"/>
        <v>384952.05599999998</v>
      </c>
      <c r="V14" s="427">
        <f t="shared" si="3"/>
        <v>118.67276496632218</v>
      </c>
      <c r="W14" s="426">
        <f t="shared" si="4"/>
        <v>0.47283568899615885</v>
      </c>
      <c r="X14" s="400">
        <f t="shared" si="5"/>
        <v>1.1867276496632218</v>
      </c>
      <c r="Y14" s="399">
        <f>'Comparativo YoY'!ED17</f>
        <v>1.8392415351155904</v>
      </c>
    </row>
    <row r="15" spans="1:25" s="297" customFormat="1" ht="28.5">
      <c r="A15" s="436" t="s">
        <v>99</v>
      </c>
      <c r="B15" s="435">
        <v>48243</v>
      </c>
      <c r="C15" s="435">
        <v>3780321.4800000004</v>
      </c>
      <c r="D15" s="434">
        <v>11810</v>
      </c>
      <c r="E15" s="434">
        <v>2244</v>
      </c>
      <c r="F15" s="435">
        <f>VLOOKUP($A$5:$A$31,'Relatórios - SICCAU e IGEO'!$A$3:$G$29,7,)</f>
        <v>50211</v>
      </c>
      <c r="G15" s="433">
        <f t="shared" si="6"/>
        <v>104.07934829923514</v>
      </c>
      <c r="H15" s="432">
        <f t="shared" si="7"/>
        <v>5.9817014331494747</v>
      </c>
      <c r="I15" s="431">
        <f>VLOOKUP($A$5:$A$31,JAN!$R$5:$W$31,6,)</f>
        <v>325183.33600000001</v>
      </c>
      <c r="J15" s="431">
        <f>VLOOKUP($A$5:$A$31,FEV!$R$5:$W$31,6,)</f>
        <v>283506.48</v>
      </c>
      <c r="K15" s="431">
        <f>VLOOKUP($A$5:$A$31,MAR!$R$5:$AM$31,22,)</f>
        <v>292204.44</v>
      </c>
      <c r="L15" s="430">
        <f>VLOOKUP($A$5:$A$31,ABR!$R$5:$W$31,6,)</f>
        <v>193784.28000000003</v>
      </c>
      <c r="M15" s="430">
        <f>VLOOKUP($A$5:$A$31,MAI!$B$5:$G$31,6,)</f>
        <v>251457.24</v>
      </c>
      <c r="N15" s="430">
        <f>VLOOKUP($A$5:$A$31,JUN!$B$5:$G$31,6,)</f>
        <v>317514.72000000003</v>
      </c>
      <c r="O15" s="429">
        <f>VLOOKUP($A$5:$A$31,JUL!$B$5:$G$31,6,)</f>
        <v>374795.88</v>
      </c>
      <c r="P15" s="429">
        <f>VLOOKUP($A$5:$A$31,AGO!$B$5:$G$31,6,)</f>
        <v>390075.52</v>
      </c>
      <c r="Q15" s="429">
        <f>VLOOKUP($A$5:$A$31,SET!$B$5:$G$31,6,)</f>
        <v>370407.72000000003</v>
      </c>
      <c r="R15" s="429">
        <f>VLOOKUP($A$5:$A$31,OUT!$B$5:$G$31,6,)</f>
        <v>386784.96</v>
      </c>
      <c r="S15" s="429">
        <f>VLOOKUP($A$5:$A$31,NOV!$B$5:$G$31,6,)</f>
        <v>368495.04000000004</v>
      </c>
      <c r="T15" s="429">
        <f>VLOOKUP($A$5:$A$31,DEZ!$B$5:$G$31,6,)</f>
        <v>355676.04000000004</v>
      </c>
      <c r="U15" s="428">
        <f t="shared" si="2"/>
        <v>3909885.6560000004</v>
      </c>
      <c r="V15" s="427">
        <f t="shared" si="3"/>
        <v>103.42733221725895</v>
      </c>
      <c r="W15" s="426">
        <f t="shared" si="4"/>
        <v>4.8025031928936066</v>
      </c>
      <c r="X15" s="400">
        <f t="shared" si="5"/>
        <v>1.0342733221725895</v>
      </c>
      <c r="Y15" s="399">
        <f>'Comparativo YoY'!ED18</f>
        <v>-6.4094851512864892</v>
      </c>
    </row>
    <row r="16" spans="1:25" s="297" customFormat="1" ht="28.5">
      <c r="A16" s="436" t="s">
        <v>98</v>
      </c>
      <c r="B16" s="435">
        <v>17831</v>
      </c>
      <c r="C16" s="435">
        <v>1397237.1600000001</v>
      </c>
      <c r="D16" s="434">
        <v>4830</v>
      </c>
      <c r="E16" s="434">
        <v>710</v>
      </c>
      <c r="F16" s="435">
        <f>VLOOKUP($A$5:$A$31,'Relatórios - SICCAU e IGEO'!$A$3:$G$29,7,)</f>
        <v>19629</v>
      </c>
      <c r="G16" s="433">
        <f t="shared" si="6"/>
        <v>110.08356233525882</v>
      </c>
      <c r="H16" s="432">
        <f t="shared" si="7"/>
        <v>2.3384281816990504</v>
      </c>
      <c r="I16" s="431">
        <f>VLOOKUP($A$5:$A$31,JAN!$R$5:$W$31,6,)</f>
        <v>96885.384000000005</v>
      </c>
      <c r="J16" s="431">
        <f>VLOOKUP($A$5:$A$31,FEV!$R$5:$W$31,6,)</f>
        <v>118480.32000000001</v>
      </c>
      <c r="K16" s="431">
        <f>VLOOKUP($A$5:$A$31,MAR!$R$5:$AM$31,22,)</f>
        <v>123181.92</v>
      </c>
      <c r="L16" s="430">
        <f>VLOOKUP($A$5:$A$31,ABR!$R$5:$W$31,6,)</f>
        <v>93091.680000000008</v>
      </c>
      <c r="M16" s="430">
        <f>VLOOKUP($A$5:$A$31,MAI!$B$5:$G$31,6,)</f>
        <v>104297.16</v>
      </c>
      <c r="N16" s="430">
        <f>VLOOKUP($A$5:$A$31,JUN!$B$5:$G$31,6,)</f>
        <v>133995.6</v>
      </c>
      <c r="O16" s="429">
        <f>VLOOKUP($A$5:$A$31,JUL!$B$5:$G$31,6,)</f>
        <v>155543.88</v>
      </c>
      <c r="P16" s="429">
        <f>VLOOKUP($A$5:$A$31,AGO!$B$5:$G$31,6,)</f>
        <v>152723.63999999998</v>
      </c>
      <c r="Q16" s="429">
        <f>VLOOKUP($A$5:$A$31,SET!$B$5:$G$31,6,)</f>
        <v>137600.16</v>
      </c>
      <c r="R16" s="429">
        <f>VLOOKUP($A$5:$A$31,OUT!$B$5:$G$31,6,)</f>
        <v>152802</v>
      </c>
      <c r="S16" s="429">
        <f>VLOOKUP($A$5:$A$31,NOV!$B$5:$G$31,6,)</f>
        <v>145906.32</v>
      </c>
      <c r="T16" s="429">
        <f>VLOOKUP($A$5:$A$31,DEZ!$B$5:$G$31,6,)</f>
        <v>115972.8</v>
      </c>
      <c r="U16" s="428">
        <f t="shared" si="2"/>
        <v>1530480.8640000001</v>
      </c>
      <c r="V16" s="427">
        <f t="shared" si="3"/>
        <v>109.53622676339354</v>
      </c>
      <c r="W16" s="426">
        <f t="shared" si="4"/>
        <v>1.8798859820218143</v>
      </c>
      <c r="X16" s="400">
        <f t="shared" si="5"/>
        <v>1.0953622676339354</v>
      </c>
      <c r="Y16" s="399">
        <f>'Comparativo YoY'!ED19</f>
        <v>-8.7649250049632883</v>
      </c>
    </row>
    <row r="17" spans="1:25" s="297" customFormat="1" ht="28.5">
      <c r="A17" s="436" t="s">
        <v>97</v>
      </c>
      <c r="B17" s="435">
        <v>29241</v>
      </c>
      <c r="C17" s="435">
        <v>2291324.7599999998</v>
      </c>
      <c r="D17" s="434">
        <v>7451</v>
      </c>
      <c r="E17" s="434">
        <v>796</v>
      </c>
      <c r="F17" s="435">
        <f>VLOOKUP($A$5:$A$31,'Relatórios - SICCAU e IGEO'!$A$3:$G$29,7,)</f>
        <v>29385</v>
      </c>
      <c r="G17" s="433">
        <f t="shared" si="6"/>
        <v>100.49245921822099</v>
      </c>
      <c r="H17" s="432">
        <f t="shared" si="7"/>
        <v>3.5006730918144888</v>
      </c>
      <c r="I17" s="431">
        <f>VLOOKUP($A$5:$A$31,JAN!$R$5:$W$31,6,)</f>
        <v>136832.16800000001</v>
      </c>
      <c r="J17" s="431">
        <f>VLOOKUP($A$5:$A$31,FEV!$R$5:$W$31,6,)</f>
        <v>171135.68799999999</v>
      </c>
      <c r="K17" s="431">
        <f>VLOOKUP($A$5:$A$31,MAR!$R$5:$AM$31,22,)</f>
        <v>191982</v>
      </c>
      <c r="L17" s="430">
        <f>VLOOKUP($A$5:$A$31,ABR!$R$5:$W$31,6,)</f>
        <v>147316.80000000002</v>
      </c>
      <c r="M17" s="430">
        <f>VLOOKUP($A$5:$A$31,MAI!$B$5:$G$31,6,)</f>
        <v>197075.40000000002</v>
      </c>
      <c r="N17" s="430">
        <f>VLOOKUP($A$5:$A$31,JUN!$B$5:$G$31,6,)</f>
        <v>221288.64</v>
      </c>
      <c r="O17" s="429">
        <f>VLOOKUP($A$5:$A$31,JUL!$B$5:$G$31,6,)</f>
        <v>222777.47999999998</v>
      </c>
      <c r="P17" s="429">
        <f>VLOOKUP($A$5:$A$31,AGO!$B$5:$G$31,6,)</f>
        <v>236020.32000000004</v>
      </c>
      <c r="Q17" s="429">
        <f>VLOOKUP($A$5:$A$31,SET!$B$5:$G$31,6,)</f>
        <v>210945.12000000002</v>
      </c>
      <c r="R17" s="429">
        <f>VLOOKUP($A$5:$A$31,OUT!$B$5:$G$31,6,)</f>
        <v>223404.36000000002</v>
      </c>
      <c r="S17" s="429">
        <f>VLOOKUP($A$5:$A$31,NOV!$B$5:$G$31,6,)</f>
        <v>197623.92</v>
      </c>
      <c r="T17" s="429">
        <f>VLOOKUP($A$5:$A$31,DEZ!$B$5:$G$31,6,)</f>
        <v>181011.6</v>
      </c>
      <c r="U17" s="428">
        <f t="shared" si="2"/>
        <v>2337413.4960000003</v>
      </c>
      <c r="V17" s="427">
        <f t="shared" si="3"/>
        <v>102.01144494244458</v>
      </c>
      <c r="W17" s="426">
        <f t="shared" si="4"/>
        <v>2.8710394025018027</v>
      </c>
      <c r="X17" s="400">
        <f t="shared" si="5"/>
        <v>1.0201144494244458</v>
      </c>
      <c r="Y17" s="399">
        <f>'Comparativo YoY'!ED20</f>
        <v>9.3086654695726736</v>
      </c>
    </row>
    <row r="18" spans="1:25" s="297" customFormat="1" ht="28.5">
      <c r="A18" s="436" t="s">
        <v>100</v>
      </c>
      <c r="B18" s="435">
        <v>5940</v>
      </c>
      <c r="C18" s="435">
        <v>479426.69</v>
      </c>
      <c r="D18" s="1194">
        <v>1780</v>
      </c>
      <c r="E18" s="1194">
        <v>267</v>
      </c>
      <c r="F18" s="435">
        <f>VLOOKUP($A$5:$A$31,'Relatórios - SICCAU e IGEO'!$A$3:$G$29,7,)</f>
        <v>7688</v>
      </c>
      <c r="G18" s="433">
        <f t="shared" si="6"/>
        <v>129.42760942760941</v>
      </c>
      <c r="H18" s="432">
        <f t="shared" si="7"/>
        <v>0.91588139288309656</v>
      </c>
      <c r="I18" s="431">
        <f>VLOOKUP($A$5:$A$31,JAN!$R$5:$W$31,6,)</f>
        <v>42419.328000000009</v>
      </c>
      <c r="J18" s="431">
        <f>VLOOKUP($A$5:$A$31,FEV!$R$5:$W$31,6,)</f>
        <v>43176.36</v>
      </c>
      <c r="K18" s="431">
        <f>VLOOKUP($A$5:$A$31,MAR!$R$5:$AM$31,22,)</f>
        <v>43724.880000000005</v>
      </c>
      <c r="L18" s="430">
        <f>VLOOKUP($A$5:$A$31,ABR!$R$5:$W$31,6,)</f>
        <v>29071.559999999998</v>
      </c>
      <c r="M18" s="430">
        <f>VLOOKUP($A$5:$A$31,MAI!$B$5:$G$31,6,)</f>
        <v>20687.04</v>
      </c>
      <c r="N18" s="430">
        <f>VLOOKUP($A$5:$A$31,JUN!$B$5:$G$31,6,)</f>
        <v>44821.920000000006</v>
      </c>
      <c r="O18" s="429">
        <f>VLOOKUP($A$5:$A$31,JUL!$B$5:$G$31,6,)</f>
        <v>58064.76</v>
      </c>
      <c r="P18" s="429">
        <f>VLOOKUP($A$5:$A$31,AGO!$B$5:$G$31,6,)</f>
        <v>71229.24000000002</v>
      </c>
      <c r="Q18" s="429">
        <f>VLOOKUP($A$5:$A$31,SET!$B$5:$G$31,6,)</f>
        <v>59475.240000000005</v>
      </c>
      <c r="R18" s="429">
        <f>VLOOKUP($A$5:$A$31,OUT!$B$5:$G$31,6,)</f>
        <v>74755.44</v>
      </c>
      <c r="S18" s="429">
        <f>VLOOKUP($A$5:$A$31,NOV!$B$5:$G$31,6,)</f>
        <v>63941.760000000002</v>
      </c>
      <c r="T18" s="429">
        <f>VLOOKUP($A$5:$A$31,DEZ!$B$5:$G$31,6,)</f>
        <v>63393.240000000005</v>
      </c>
      <c r="U18" s="428">
        <f t="shared" si="2"/>
        <v>614760.76800000004</v>
      </c>
      <c r="V18" s="427">
        <f t="shared" si="3"/>
        <v>128.228315365588</v>
      </c>
      <c r="W18" s="426">
        <f t="shared" si="4"/>
        <v>0.75510917989508741</v>
      </c>
      <c r="X18" s="400">
        <f t="shared" si="5"/>
        <v>1.2822831536558801</v>
      </c>
      <c r="Y18" s="399">
        <f>'Comparativo YoY'!ED21</f>
        <v>2.4218140478009929</v>
      </c>
    </row>
    <row r="19" spans="1:25" s="297" customFormat="1" ht="31.5">
      <c r="A19" s="438" t="s">
        <v>101</v>
      </c>
      <c r="B19" s="435">
        <v>7680</v>
      </c>
      <c r="C19" s="435">
        <v>601804.80000000005</v>
      </c>
      <c r="D19" s="434">
        <v>2390</v>
      </c>
      <c r="E19" s="434">
        <v>245</v>
      </c>
      <c r="F19" s="435">
        <f>VLOOKUP($A$5:$A$31,'Relatórios - SICCAU e IGEO'!$A$3:$G$29,7,)</f>
        <v>9518</v>
      </c>
      <c r="G19" s="433">
        <f t="shared" si="6"/>
        <v>123.93229166666666</v>
      </c>
      <c r="H19" s="432">
        <f t="shared" si="7"/>
        <v>1.1338916620006909</v>
      </c>
      <c r="I19" s="431">
        <f>VLOOKUP($A$5:$A$31,JAN!$R$5:$W$31,6,)</f>
        <v>58018.072</v>
      </c>
      <c r="J19" s="431">
        <f>VLOOKUP($A$5:$A$31,FEV!$R$5:$W$31,6,)</f>
        <v>58299.840000000004</v>
      </c>
      <c r="K19" s="431">
        <f>VLOOKUP($A$5:$A$31,MAR!$R$5:$AM$31,22,)</f>
        <v>59631.96</v>
      </c>
      <c r="L19" s="430">
        <f>VLOOKUP($A$5:$A$31,ABR!$R$5:$W$31,6,)</f>
        <v>28209.600000000002</v>
      </c>
      <c r="M19" s="430">
        <f>VLOOKUP($A$5:$A$31,MAI!$B$5:$G$31,6,)</f>
        <v>36123.96</v>
      </c>
      <c r="N19" s="430">
        <f>VLOOKUP($A$5:$A$31,JUN!$B$5:$G$31,6,)</f>
        <v>39963.600000000006</v>
      </c>
      <c r="O19" s="429">
        <f>VLOOKUP($A$5:$A$31,JUL!$B$5:$G$31,6,)</f>
        <v>64960.44</v>
      </c>
      <c r="P19" s="429">
        <f>VLOOKUP($A$5:$A$31,AGO!$B$5:$G$31,6,)</f>
        <v>76244.280000000013</v>
      </c>
      <c r="Q19" s="429">
        <f>VLOOKUP($A$5:$A$31,SET!$B$5:$G$31,6,)</f>
        <v>76322.64</v>
      </c>
      <c r="R19" s="429">
        <f>VLOOKUP($A$5:$A$31,OUT!$B$5:$G$31,6,)</f>
        <v>84785.52</v>
      </c>
      <c r="S19" s="429">
        <f>VLOOKUP($A$5:$A$31,NOV!$B$5:$G$31,6,)</f>
        <v>73971.840000000011</v>
      </c>
      <c r="T19" s="429">
        <f>VLOOKUP($A$5:$A$31,DEZ!$B$5:$G$31,6,)</f>
        <v>76165.919999999998</v>
      </c>
      <c r="U19" s="428">
        <f t="shared" si="2"/>
        <v>732697.67200000002</v>
      </c>
      <c r="V19" s="437">
        <f t="shared" si="3"/>
        <v>121.75005450272248</v>
      </c>
      <c r="W19" s="426">
        <f t="shared" si="4"/>
        <v>0.89997079679450165</v>
      </c>
      <c r="X19" s="400">
        <f t="shared" si="5"/>
        <v>1.2175005450272247</v>
      </c>
      <c r="Y19" s="399">
        <f>'Comparativo YoY'!ED22</f>
        <v>-2.961129805474954</v>
      </c>
    </row>
    <row r="20" spans="1:25" s="297" customFormat="1" ht="28.5">
      <c r="A20" s="436" t="s">
        <v>103</v>
      </c>
      <c r="B20" s="435">
        <v>13028</v>
      </c>
      <c r="C20" s="435">
        <v>1178424.77</v>
      </c>
      <c r="D20" s="434">
        <v>3520</v>
      </c>
      <c r="E20" s="434">
        <v>876</v>
      </c>
      <c r="F20" s="435">
        <f>VLOOKUP($A$5:$A$31,'Relatórios - SICCAU e IGEO'!$A$3:$G$29,7,)</f>
        <v>15054</v>
      </c>
      <c r="G20" s="433">
        <f t="shared" si="6"/>
        <v>115.55112066318698</v>
      </c>
      <c r="H20" s="432">
        <f t="shared" si="7"/>
        <v>1.793402508905064</v>
      </c>
      <c r="I20" s="431">
        <f>VLOOKUP($A$5:$A$31,JAN!$R$5:$W$31,6,)</f>
        <v>104110.864</v>
      </c>
      <c r="J20" s="431">
        <f>VLOOKUP($A$5:$A$31,FEV!$R$5:$W$31,6,)</f>
        <v>103278.48000000001</v>
      </c>
      <c r="K20" s="431">
        <f>VLOOKUP($A$5:$A$31,MAR!$R$5:$AM$31,22,)</f>
        <v>94110.36</v>
      </c>
      <c r="L20" s="430">
        <f>VLOOKUP($A$5:$A$31,ABR!$R$5:$W$31,6,)</f>
        <v>42471.12</v>
      </c>
      <c r="M20" s="430">
        <f>VLOOKUP($A$5:$A$31,MAI!$B$5:$G$31,6,)</f>
        <v>55713.96</v>
      </c>
      <c r="N20" s="430">
        <f>VLOOKUP($A$5:$A$31,JUN!$B$5:$G$31,6,)</f>
        <v>68721.72</v>
      </c>
      <c r="O20" s="429">
        <f>VLOOKUP($A$5:$A$31,JUL!$B$5:$G$31,6,)</f>
        <v>107588.28000000001</v>
      </c>
      <c r="P20" s="429">
        <f>VLOOKUP($A$5:$A$31,AGO!$B$5:$G$31,6,)</f>
        <v>112368.23999999999</v>
      </c>
      <c r="Q20" s="429">
        <f>VLOOKUP($A$5:$A$31,SET!$B$5:$G$31,6,)</f>
        <v>107274.84</v>
      </c>
      <c r="R20" s="429">
        <f>VLOOKUP($A$5:$A$31,OUT!$B$5:$G$31,6,)</f>
        <v>136346.4</v>
      </c>
      <c r="S20" s="429">
        <f>VLOOKUP($A$5:$A$31,NOV!$B$5:$G$31,6,)</f>
        <v>127021.56000000001</v>
      </c>
      <c r="T20" s="429">
        <f>VLOOKUP($A$5:$A$31,DEZ!$B$5:$G$31,6,)</f>
        <v>125532.72</v>
      </c>
      <c r="U20" s="428">
        <f t="shared" si="2"/>
        <v>1184538.544</v>
      </c>
      <c r="V20" s="427">
        <f t="shared" si="3"/>
        <v>100.51880901994279</v>
      </c>
      <c r="W20" s="426">
        <f t="shared" si="4"/>
        <v>1.454965858384055</v>
      </c>
      <c r="X20" s="400">
        <f t="shared" si="5"/>
        <v>1.0051880901994279</v>
      </c>
      <c r="Y20" s="399">
        <f>'Comparativo YoY'!ED23</f>
        <v>-16.568705948794516</v>
      </c>
    </row>
    <row r="21" spans="1:25" s="297" customFormat="1" ht="28.5">
      <c r="A21" s="436" t="s">
        <v>104</v>
      </c>
      <c r="B21" s="435">
        <v>3695</v>
      </c>
      <c r="C21" s="435">
        <v>309541.19999999995</v>
      </c>
      <c r="D21" s="434">
        <v>1025</v>
      </c>
      <c r="E21" s="434">
        <v>226</v>
      </c>
      <c r="F21" s="435">
        <f>VLOOKUP($A$5:$A$31,'Relatórios - SICCAU e IGEO'!$A$3:$G$29,7,)</f>
        <v>4635</v>
      </c>
      <c r="G21" s="433">
        <f t="shared" si="6"/>
        <v>125.43978349120432</v>
      </c>
      <c r="H21" s="432">
        <f t="shared" si="7"/>
        <v>0.55217355046997296</v>
      </c>
      <c r="I21" s="431">
        <f>VLOOKUP($A$5:$A$31,JAN!$R$5:$W$31,6,)</f>
        <v>30533.047999999999</v>
      </c>
      <c r="J21" s="431">
        <f>VLOOKUP($A$5:$A$31,FEV!$R$5:$W$31,6,)</f>
        <v>24840.120000000003</v>
      </c>
      <c r="K21" s="431">
        <f>VLOOKUP($A$5:$A$31,MAR!$R$5:$AM$31,22,)</f>
        <v>23508</v>
      </c>
      <c r="L21" s="430">
        <f>VLOOKUP($A$5:$A$31,ABR!$R$5:$W$31,6,)</f>
        <v>12772.68</v>
      </c>
      <c r="M21" s="430">
        <f>VLOOKUP($A$5:$A$31,MAI!$B$5:$G$31,6,)</f>
        <v>13477.920000000002</v>
      </c>
      <c r="N21" s="430">
        <f>VLOOKUP($A$5:$A$31,JUN!$B$5:$G$31,6,)</f>
        <v>22881.120000000003</v>
      </c>
      <c r="O21" s="429">
        <f>VLOOKUP($A$5:$A$31,JUL!$B$5:$G$31,6,)</f>
        <v>33929.879999999997</v>
      </c>
      <c r="P21" s="429">
        <f>VLOOKUP($A$5:$A$31,AGO!$B$5:$G$31,6,)</f>
        <v>37691.160000000003</v>
      </c>
      <c r="Q21" s="429">
        <f>VLOOKUP($A$5:$A$31,SET!$B$5:$G$31,6,)</f>
        <v>33067.920000000006</v>
      </c>
      <c r="R21" s="429">
        <f>VLOOKUP($A$5:$A$31,OUT!$B$5:$G$31,6,)</f>
        <v>44508.480000000003</v>
      </c>
      <c r="S21" s="429">
        <f>VLOOKUP($A$5:$A$31,NOV!$B$5:$G$31,6,)</f>
        <v>37221</v>
      </c>
      <c r="T21" s="429">
        <f>VLOOKUP($A$5:$A$31,DEZ!$B$5:$G$31,6,)</f>
        <v>34556.76</v>
      </c>
      <c r="U21" s="428">
        <f t="shared" si="2"/>
        <v>348988.08800000005</v>
      </c>
      <c r="V21" s="427">
        <f t="shared" si="3"/>
        <v>112.74366320218444</v>
      </c>
      <c r="W21" s="426">
        <f t="shared" si="4"/>
        <v>0.42866123318206706</v>
      </c>
      <c r="X21" s="400">
        <f t="shared" si="5"/>
        <v>1.1274366320218443</v>
      </c>
      <c r="Y21" s="399">
        <f>'Comparativo YoY'!ED24</f>
        <v>-1.4713934306448806</v>
      </c>
    </row>
    <row r="22" spans="1:25" s="297" customFormat="1" ht="28.5">
      <c r="A22" s="436" t="s">
        <v>102</v>
      </c>
      <c r="B22" s="435">
        <v>69964</v>
      </c>
      <c r="C22" s="435">
        <v>5482379.04</v>
      </c>
      <c r="D22" s="434">
        <v>15796</v>
      </c>
      <c r="E22" s="434">
        <v>4546</v>
      </c>
      <c r="F22" s="435">
        <f>VLOOKUP($A$5:$A$31,'Relatórios - SICCAU e IGEO'!$A$3:$G$29,7,)</f>
        <v>74516</v>
      </c>
      <c r="G22" s="433">
        <f t="shared" si="6"/>
        <v>106.50620319021212</v>
      </c>
      <c r="H22" s="432">
        <f t="shared" si="7"/>
        <v>8.8771875483970888</v>
      </c>
      <c r="I22" s="431">
        <f>VLOOKUP($A$5:$A$31,JAN!$R$5:$W$31,6,)</f>
        <v>371881.54399999999</v>
      </c>
      <c r="J22" s="431">
        <f>VLOOKUP($A$5:$A$31,FEV!$R$5:$W$31,6,)</f>
        <v>424946.28</v>
      </c>
      <c r="K22" s="431">
        <f>VLOOKUP($A$5:$A$31,MAR!$R$5:$AM$31,22,)</f>
        <v>453234.24000000005</v>
      </c>
      <c r="L22" s="430">
        <f>VLOOKUP($A$5:$A$31,ABR!$R$5:$W$31,6,)</f>
        <v>291264.12000000005</v>
      </c>
      <c r="M22" s="430">
        <f>VLOOKUP($A$5:$A$31,MAI!$B$5:$G$31,6,)</f>
        <v>427218.72000000003</v>
      </c>
      <c r="N22" s="430">
        <f>VLOOKUP($A$5:$A$31,JUN!$B$5:$G$31,6,)</f>
        <v>492335.88</v>
      </c>
      <c r="O22" s="429">
        <f>VLOOKUP($A$5:$A$31,JUL!$B$5:$G$31,6,)</f>
        <v>559255.32000000007</v>
      </c>
      <c r="P22" s="429">
        <f>VLOOKUP($A$5:$A$31,AGO!$B$5:$G$31,6,)</f>
        <v>558785.16</v>
      </c>
      <c r="Q22" s="429">
        <f>VLOOKUP($A$5:$A$31,SET!$B$5:$G$31,6,)</f>
        <v>548911.80000000005</v>
      </c>
      <c r="R22" s="429">
        <f>VLOOKUP($A$5:$A$31,OUT!$B$5:$G$31,6,)</f>
        <v>583703.64</v>
      </c>
      <c r="S22" s="429">
        <f>VLOOKUP($A$5:$A$31,NOV!$B$5:$G$31,6,)</f>
        <v>505186.92000000004</v>
      </c>
      <c r="T22" s="429">
        <f>VLOOKUP($A$5:$A$31,DEZ!$B$5:$G$31,6,)</f>
        <v>482854.32000000007</v>
      </c>
      <c r="U22" s="428">
        <f t="shared" si="2"/>
        <v>5699577.9440000001</v>
      </c>
      <c r="V22" s="427">
        <f t="shared" si="3"/>
        <v>103.96176372365527</v>
      </c>
      <c r="W22" s="426">
        <f t="shared" si="4"/>
        <v>7.0007779465881086</v>
      </c>
      <c r="X22" s="400">
        <f t="shared" si="5"/>
        <v>1.0396176372365526</v>
      </c>
      <c r="Y22" s="399">
        <f>'Comparativo YoY'!ED25</f>
        <v>-1.5908861368139355</v>
      </c>
    </row>
    <row r="23" spans="1:25" s="297" customFormat="1" ht="31.5">
      <c r="A23" s="438" t="s">
        <v>105</v>
      </c>
      <c r="B23" s="435">
        <v>37134</v>
      </c>
      <c r="C23" s="435">
        <v>2909820.24</v>
      </c>
      <c r="D23" s="434">
        <v>11304</v>
      </c>
      <c r="E23" s="434">
        <v>2915</v>
      </c>
      <c r="F23" s="435">
        <f>VLOOKUP($A$5:$A$31,'Relatórios - SICCAU e IGEO'!$A$3:$G$29,7,)</f>
        <v>48694</v>
      </c>
      <c r="G23" s="433">
        <f t="shared" si="6"/>
        <v>131.13050035008348</v>
      </c>
      <c r="H23" s="432">
        <f t="shared" si="7"/>
        <v>5.8009792592416103</v>
      </c>
      <c r="I23" s="431">
        <f>VLOOKUP($A$5:$A$31,JAN!$R$5:$W$31,6,)</f>
        <v>344969.68</v>
      </c>
      <c r="J23" s="431">
        <f>VLOOKUP($A$5:$A$31,FEV!$R$5:$W$31,6,)</f>
        <v>335759.84</v>
      </c>
      <c r="K23" s="431">
        <f>VLOOKUP($A$5:$A$31,MAR!$R$5:$AM$31,22,)</f>
        <v>299724.44800000003</v>
      </c>
      <c r="L23" s="430">
        <f>VLOOKUP($A$5:$A$31,ABR!$R$5:$W$31,6,)</f>
        <v>123649.52800000001</v>
      </c>
      <c r="M23" s="430">
        <f>VLOOKUP($A$5:$A$31,MAI!$B$5:$G$31,6,)</f>
        <v>149824.32000000001</v>
      </c>
      <c r="N23" s="430">
        <f>VLOOKUP($A$5:$A$31,JUN!$B$5:$G$31,6,)</f>
        <v>233277.72000000003</v>
      </c>
      <c r="O23" s="429">
        <f>VLOOKUP($A$5:$A$31,JUL!$B$5:$G$31,6,)</f>
        <v>324410.40000000002</v>
      </c>
      <c r="P23" s="429">
        <f>VLOOKUP($A$5:$A$31,AGO!$B$5:$G$31,6,)</f>
        <v>371578.01600000006</v>
      </c>
      <c r="Q23" s="429">
        <f>VLOOKUP($A$5:$A$31,SET!$B$5:$G$31,6,)</f>
        <v>405748.08</v>
      </c>
      <c r="R23" s="429">
        <f>VLOOKUP($A$5:$A$31,OUT!$B$5:$G$31,6,)</f>
        <v>447513.95999999996</v>
      </c>
      <c r="S23" s="429">
        <f>VLOOKUP($A$5:$A$31,NOV!$B$5:$G$31,6,)</f>
        <v>407942.16000000003</v>
      </c>
      <c r="T23" s="429">
        <f>VLOOKUP($A$5:$A$31,DEZ!$B$5:$G$31,6,)</f>
        <v>368056.92000000004</v>
      </c>
      <c r="U23" s="428">
        <f t="shared" si="2"/>
        <v>3812455.0720000006</v>
      </c>
      <c r="V23" s="437">
        <f t="shared" si="3"/>
        <v>131.02029532930874</v>
      </c>
      <c r="W23" s="426">
        <f t="shared" si="4"/>
        <v>4.6828294397680024</v>
      </c>
      <c r="X23" s="400">
        <f t="shared" si="5"/>
        <v>1.3102029532930874</v>
      </c>
      <c r="Y23" s="399">
        <f>'Comparativo YoY'!ED26</f>
        <v>-21.689555148279567</v>
      </c>
    </row>
    <row r="24" spans="1:25" s="297" customFormat="1" ht="28.5">
      <c r="A24" s="436" t="s">
        <v>106</v>
      </c>
      <c r="B24" s="435">
        <v>7210</v>
      </c>
      <c r="C24" s="435">
        <v>564975.6</v>
      </c>
      <c r="D24" s="434">
        <v>1852</v>
      </c>
      <c r="E24" s="434">
        <v>253</v>
      </c>
      <c r="F24" s="435">
        <f>VLOOKUP($A$5:$A$31,'Relatórios - SICCAU e IGEO'!$A$3:$G$29,7,)</f>
        <v>8016</v>
      </c>
      <c r="G24" s="433">
        <f t="shared" si="6"/>
        <v>111.17891816920944</v>
      </c>
      <c r="H24" s="432">
        <f t="shared" si="7"/>
        <v>0.95495645751182379</v>
      </c>
      <c r="I24" s="431">
        <f>VLOOKUP($A$5:$A$31,JAN!$R$5:$W$31,6,)</f>
        <v>41903.984000000004</v>
      </c>
      <c r="J24" s="431">
        <f>VLOOKUP($A$5:$A$31,FEV!$R$5:$W$31,6,)</f>
        <v>44586.840000000004</v>
      </c>
      <c r="K24" s="431">
        <f>VLOOKUP($A$5:$A$31,MAR!$R$5:$AM$31,22,)</f>
        <v>49680.240000000005</v>
      </c>
      <c r="L24" s="430">
        <f>VLOOKUP($A$5:$A$31,ABR!$R$5:$W$31,6,)</f>
        <v>28758.120000000003</v>
      </c>
      <c r="M24" s="430">
        <f>VLOOKUP($A$5:$A$31,MAI!$B$5:$G$31,6,)</f>
        <v>38082.959999999999</v>
      </c>
      <c r="N24" s="430">
        <f>VLOOKUP($A$5:$A$31,JUN!$B$5:$G$31,6,)</f>
        <v>37299.360000000001</v>
      </c>
      <c r="O24" s="429">
        <f>VLOOKUP($A$5:$A$31,JUL!$B$5:$G$31,6,)</f>
        <v>59318.52</v>
      </c>
      <c r="P24" s="429">
        <f>VLOOKUP($A$5:$A$31,AGO!$B$5:$G$31,6,)</f>
        <v>65665.680000000008</v>
      </c>
      <c r="Q24" s="429">
        <f>VLOOKUP($A$5:$A$31,SET!$B$5:$G$31,6,)</f>
        <v>68486.64</v>
      </c>
      <c r="R24" s="429">
        <f>VLOOKUP($A$5:$A$31,OUT!$B$5:$G$31,6,)</f>
        <v>67389.600000000006</v>
      </c>
      <c r="S24" s="429">
        <f>VLOOKUP($A$5:$A$31,NOV!$B$5:$G$31,6,)</f>
        <v>64176.840000000004</v>
      </c>
      <c r="T24" s="429">
        <f>VLOOKUP($A$5:$A$31,DEZ!$B$5:$G$31,6,)</f>
        <v>63706.680000000008</v>
      </c>
      <c r="U24" s="428">
        <f t="shared" si="2"/>
        <v>629055.46400000004</v>
      </c>
      <c r="V24" s="427">
        <f t="shared" si="3"/>
        <v>111.34205866589637</v>
      </c>
      <c r="W24" s="426">
        <f t="shared" si="4"/>
        <v>0.77266732077731359</v>
      </c>
      <c r="X24" s="400">
        <f t="shared" si="5"/>
        <v>1.1134205866589637</v>
      </c>
      <c r="Y24" s="399">
        <f>'Comparativo YoY'!ED27</f>
        <v>0.83981483274504853</v>
      </c>
    </row>
    <row r="25" spans="1:25" s="297" customFormat="1" ht="28.5">
      <c r="A25" s="436" t="s">
        <v>108</v>
      </c>
      <c r="B25" s="435">
        <v>8598</v>
      </c>
      <c r="C25" s="435">
        <v>673739.28</v>
      </c>
      <c r="D25" s="434">
        <v>2085</v>
      </c>
      <c r="E25" s="434">
        <v>457</v>
      </c>
      <c r="F25" s="435">
        <f>VLOOKUP($A$5:$A$31,'Relatórios - SICCAU e IGEO'!$A$3:$G$29,7,)</f>
        <v>9679</v>
      </c>
      <c r="G25" s="433">
        <f t="shared" si="6"/>
        <v>112.57269132356362</v>
      </c>
      <c r="H25" s="432">
        <f t="shared" si="7"/>
        <v>1.1530718004312552</v>
      </c>
      <c r="I25" s="431">
        <f>VLOOKUP($A$5:$A$31,JAN!$R$5:$W$31,6,)</f>
        <v>52359.040000000008</v>
      </c>
      <c r="J25" s="431">
        <f>VLOOKUP($A$5:$A$31,FEV!$R$5:$W$31,6,)</f>
        <v>56105.760000000002</v>
      </c>
      <c r="K25" s="431">
        <f>VLOOKUP($A$5:$A$31,MAR!$R$5:$AM$31,22,)</f>
        <v>47486.16</v>
      </c>
      <c r="L25" s="430">
        <f>VLOOKUP($A$5:$A$31,ABR!$R$5:$W$31,6,)</f>
        <v>40355.4</v>
      </c>
      <c r="M25" s="430">
        <f>VLOOKUP($A$5:$A$31,MAI!$B$5:$G$31,6,)</f>
        <v>53519.880000000005</v>
      </c>
      <c r="N25" s="430">
        <f>VLOOKUP($A$5:$A$31,JUN!$B$5:$G$31,6,)</f>
        <v>66762.720000000001</v>
      </c>
      <c r="O25" s="429">
        <f>VLOOKUP($A$5:$A$31,JUL!$B$5:$G$31,6,)</f>
        <v>87214.680000000008</v>
      </c>
      <c r="P25" s="429">
        <f>VLOOKUP($A$5:$A$31,AGO!$B$5:$G$31,6,)</f>
        <v>76087.56</v>
      </c>
      <c r="Q25" s="429">
        <f>VLOOKUP($A$5:$A$31,SET!$B$5:$G$31,6,)</f>
        <v>71777.759999999995</v>
      </c>
      <c r="R25" s="429">
        <f>VLOOKUP($A$5:$A$31,OUT!$B$5:$G$31,6,)</f>
        <v>66370.92</v>
      </c>
      <c r="S25" s="429">
        <f>VLOOKUP($A$5:$A$31,NOV!$B$5:$G$31,6,)</f>
        <v>65665.680000000008</v>
      </c>
      <c r="T25" s="429">
        <f>VLOOKUP($A$5:$A$31,DEZ!$B$5:$G$31,6,)</f>
        <v>58064.76</v>
      </c>
      <c r="U25" s="428">
        <f t="shared" si="2"/>
        <v>741770.32000000007</v>
      </c>
      <c r="V25" s="427">
        <f t="shared" si="3"/>
        <v>110.09753208986123</v>
      </c>
      <c r="W25" s="426">
        <f t="shared" si="4"/>
        <v>0.91111470861737975</v>
      </c>
      <c r="X25" s="400">
        <f t="shared" si="5"/>
        <v>1.1009753208986124</v>
      </c>
      <c r="Y25" s="399">
        <f>'Comparativo YoY'!ED28</f>
        <v>13.179675263808008</v>
      </c>
    </row>
    <row r="26" spans="1:25" s="297" customFormat="1" ht="31.5">
      <c r="A26" s="436" t="s">
        <v>109</v>
      </c>
      <c r="B26" s="435">
        <v>1043</v>
      </c>
      <c r="C26" s="435">
        <v>81729.48</v>
      </c>
      <c r="D26" s="434">
        <v>264</v>
      </c>
      <c r="E26" s="434">
        <v>87</v>
      </c>
      <c r="F26" s="435">
        <f>VLOOKUP($A$5:$A$31,'Relatórios - SICCAU e IGEO'!$A$3:$G$29,7,)</f>
        <v>1191</v>
      </c>
      <c r="G26" s="433">
        <f t="shared" si="6"/>
        <v>114.18983700862894</v>
      </c>
      <c r="H26" s="432">
        <f t="shared" si="7"/>
        <v>0.14188537186833611</v>
      </c>
      <c r="I26" s="431">
        <f>VLOOKUP($A$5:$A$31,JAN!$R$5:$W$31,6,)</f>
        <v>8680.0960000000014</v>
      </c>
      <c r="J26" s="431">
        <f>VLOOKUP($A$5:$A$31,FEV!$R$5:$W$31,6,)</f>
        <v>7522.5600000000013</v>
      </c>
      <c r="K26" s="431">
        <f>VLOOKUP($A$5:$A$31,MAR!$R$5:$AM$31,22,)</f>
        <v>7992.72</v>
      </c>
      <c r="L26" s="430">
        <f>VLOOKUP($A$5:$A$31,ABR!$R$5:$W$31,6,)</f>
        <v>4153.0800000000008</v>
      </c>
      <c r="M26" s="430">
        <f>VLOOKUP($A$5:$A$31,MAI!$B$5:$G$31,6,)</f>
        <v>5877</v>
      </c>
      <c r="N26" s="430">
        <f>VLOOKUP($A$5:$A$31,JUN!$B$5:$G$31,6,)</f>
        <v>5641.92</v>
      </c>
      <c r="O26" s="429">
        <f>VLOOKUP($A$5:$A$31,JUL!$B$5:$G$31,6,)</f>
        <v>6503.880000000001</v>
      </c>
      <c r="P26" s="429">
        <f>VLOOKUP($A$5:$A$31,AGO!$B$5:$G$31,6,)</f>
        <v>9403.2000000000007</v>
      </c>
      <c r="Q26" s="429">
        <f>VLOOKUP($A$5:$A$31,SET!$B$5:$G$31,6,)</f>
        <v>8619.6</v>
      </c>
      <c r="R26" s="429">
        <f>VLOOKUP($A$5:$A$31,OUT!$B$5:$G$31,6,)</f>
        <v>7836</v>
      </c>
      <c r="S26" s="429">
        <f>VLOOKUP($A$5:$A$31,NOV!$B$5:$G$31,6,)</f>
        <v>11283.84</v>
      </c>
      <c r="T26" s="429">
        <f>VLOOKUP($A$5:$A$31,DEZ!$B$5:$G$31,6,)</f>
        <v>11283.84</v>
      </c>
      <c r="U26" s="428">
        <f t="shared" si="2"/>
        <v>94797.736000000004</v>
      </c>
      <c r="V26" s="437">
        <f t="shared" si="3"/>
        <v>115.98964779905612</v>
      </c>
      <c r="W26" s="426">
        <f t="shared" si="4"/>
        <v>0.11643983222896716</v>
      </c>
      <c r="X26" s="400">
        <f t="shared" si="5"/>
        <v>1.1598964779905612</v>
      </c>
      <c r="Y26" s="399">
        <f>'Comparativo YoY'!ED29</f>
        <v>-24.109190333956988</v>
      </c>
    </row>
    <row r="27" spans="1:25" s="297" customFormat="1" ht="28.5">
      <c r="A27" s="436" t="s">
        <v>107</v>
      </c>
      <c r="B27" s="435">
        <v>79226</v>
      </c>
      <c r="C27" s="435">
        <v>6208149.3599999994</v>
      </c>
      <c r="D27" s="434">
        <v>20969</v>
      </c>
      <c r="E27" s="434">
        <v>4244</v>
      </c>
      <c r="F27" s="435">
        <f>VLOOKUP($A$5:$A$31,'Relatórios - SICCAU e IGEO'!$A$3:$G$29,7,)</f>
        <v>86272</v>
      </c>
      <c r="G27" s="433">
        <f t="shared" si="6"/>
        <v>108.89354504834272</v>
      </c>
      <c r="H27" s="432">
        <f t="shared" si="7"/>
        <v>10.277695047712083</v>
      </c>
      <c r="I27" s="431">
        <f>VLOOKUP($A$5:$A$31,JAN!$R$5:$W$31,6,)</f>
        <v>544917.83200000005</v>
      </c>
      <c r="J27" s="431">
        <f>VLOOKUP($A$5:$A$31,FEV!$R$5:$W$31,6,)</f>
        <v>556669.44000000006</v>
      </c>
      <c r="K27" s="431">
        <f>VLOOKUP($A$5:$A$31,MAR!$R$5:$AM$31,22,)</f>
        <v>538725</v>
      </c>
      <c r="L27" s="430">
        <f>VLOOKUP($A$5:$A$31,ABR!$R$5:$W$31,6,)</f>
        <v>314145.24</v>
      </c>
      <c r="M27" s="430">
        <f>VLOOKUP($A$5:$A$31,MAI!$B$5:$G$31,6,)</f>
        <v>446652</v>
      </c>
      <c r="N27" s="430">
        <f>VLOOKUP($A$5:$A$31,JUN!$B$5:$G$31,6,)</f>
        <v>527206.07999999996</v>
      </c>
      <c r="O27" s="429">
        <f>VLOOKUP($A$5:$A$31,JUL!$B$5:$G$31,6,)</f>
        <v>549068.52</v>
      </c>
      <c r="P27" s="429">
        <f>VLOOKUP($A$5:$A$31,AGO!$B$5:$G$31,6,)</f>
        <v>633854.04000000015</v>
      </c>
      <c r="Q27" s="429">
        <f>VLOOKUP($A$5:$A$31,SET!$B$5:$G$31,6,)</f>
        <v>633227.16</v>
      </c>
      <c r="R27" s="429">
        <f>VLOOKUP($A$5:$A$31,OUT!$B$5:$G$31,6,)</f>
        <v>712135.68000000005</v>
      </c>
      <c r="S27" s="429">
        <f>VLOOKUP($A$5:$A$31,NOV!$B$5:$G$31,6,)</f>
        <v>628603.92000000004</v>
      </c>
      <c r="T27" s="429">
        <f>VLOOKUP($A$5:$A$31,DEZ!$B$5:$G$31,6,)</f>
        <v>630562.92000000004</v>
      </c>
      <c r="U27" s="428">
        <f t="shared" si="2"/>
        <v>6715767.8319999995</v>
      </c>
      <c r="V27" s="427">
        <f t="shared" si="3"/>
        <v>108.17664721906755</v>
      </c>
      <c r="W27" s="426">
        <f t="shared" si="4"/>
        <v>8.2489615537524479</v>
      </c>
      <c r="X27" s="400">
        <f t="shared" si="5"/>
        <v>1.0817664721906755</v>
      </c>
      <c r="Y27" s="399">
        <f>'Comparativo YoY'!ED30</f>
        <v>-15.515231486400623</v>
      </c>
    </row>
    <row r="28" spans="1:25" s="297" customFormat="1" ht="28.5">
      <c r="A28" s="436" t="s">
        <v>110</v>
      </c>
      <c r="B28" s="435">
        <v>51293</v>
      </c>
      <c r="C28" s="435">
        <v>4019319.4799999995</v>
      </c>
      <c r="D28" s="434">
        <v>12136</v>
      </c>
      <c r="E28" s="434">
        <v>2773</v>
      </c>
      <c r="F28" s="435">
        <f>VLOOKUP($A$5:$A$31,'Relatórios - SICCAU e IGEO'!$A$3:$G$29,7,)</f>
        <v>54618</v>
      </c>
      <c r="G28" s="433">
        <f t="shared" si="6"/>
        <v>106.48236601485583</v>
      </c>
      <c r="H28" s="432">
        <f t="shared" si="7"/>
        <v>6.5067130484506981</v>
      </c>
      <c r="I28" s="431">
        <f>VLOOKUP($A$5:$A$31,JAN!$R$5:$W$31,6,)</f>
        <v>244161.64800000002</v>
      </c>
      <c r="J28" s="431">
        <f>VLOOKUP($A$5:$A$31,FEV!$R$5:$W$31,6,)</f>
        <v>328328.40000000002</v>
      </c>
      <c r="K28" s="431">
        <f>VLOOKUP($A$5:$A$31,MAR!$R$5:$AM$31,22,)</f>
        <v>322294.68</v>
      </c>
      <c r="L28" s="430">
        <f>VLOOKUP($A$5:$A$31,ABR!$R$5:$W$31,6,)</f>
        <v>238998</v>
      </c>
      <c r="M28" s="430">
        <f>VLOOKUP($A$5:$A$31,MAI!$B$5:$G$31,6,)</f>
        <v>322529.76</v>
      </c>
      <c r="N28" s="430">
        <f>VLOOKUP($A$5:$A$31,JUN!$B$5:$G$31,6,)</f>
        <v>352933.44</v>
      </c>
      <c r="O28" s="429">
        <f>VLOOKUP($A$5:$A$31,JUL!$B$5:$G$31,6,)</f>
        <v>385221.76</v>
      </c>
      <c r="P28" s="429">
        <f>VLOOKUP($A$5:$A$31,AGO!$B$5:$G$31,6,)</f>
        <v>424162.68</v>
      </c>
      <c r="Q28" s="429">
        <f>VLOOKUP($A$5:$A$31,SET!$B$5:$G$31,6,)</f>
        <v>420714.84000000008</v>
      </c>
      <c r="R28" s="429">
        <f>VLOOKUP($A$5:$A$31,OUT!$B$5:$G$31,6,)</f>
        <v>459424.68</v>
      </c>
      <c r="S28" s="429">
        <f>VLOOKUP($A$5:$A$31,NOV!$B$5:$G$31,6,)</f>
        <v>398538.96</v>
      </c>
      <c r="T28" s="429">
        <f>VLOOKUP($A$5:$A$31,DEZ!$B$5:$G$31,6,)</f>
        <v>396423.24</v>
      </c>
      <c r="U28" s="428">
        <f t="shared" si="2"/>
        <v>4293732.0880000005</v>
      </c>
      <c r="V28" s="427">
        <f t="shared" si="3"/>
        <v>106.82734003518428</v>
      </c>
      <c r="W28" s="426">
        <f t="shared" si="4"/>
        <v>5.2739808465768947</v>
      </c>
      <c r="X28" s="400">
        <f t="shared" si="5"/>
        <v>1.0682734003518428</v>
      </c>
      <c r="Y28" s="399">
        <f>'Comparativo YoY'!ED31</f>
        <v>-4.3375061525471352</v>
      </c>
    </row>
    <row r="29" spans="1:25" s="297" customFormat="1" ht="28.5">
      <c r="A29" s="436" t="s">
        <v>112</v>
      </c>
      <c r="B29" s="435">
        <v>5471</v>
      </c>
      <c r="C29" s="435">
        <v>428707.56</v>
      </c>
      <c r="D29" s="434">
        <v>1766</v>
      </c>
      <c r="E29" s="434">
        <v>332</v>
      </c>
      <c r="F29" s="435">
        <f>VLOOKUP($A$5:$A$31,'Relatórios - SICCAU e IGEO'!$A$3:$G$29,7,)</f>
        <v>6810</v>
      </c>
      <c r="G29" s="433">
        <f t="shared" si="6"/>
        <v>124.47450191921038</v>
      </c>
      <c r="H29" s="432">
        <f t="shared" si="7"/>
        <v>0.81128411622449093</v>
      </c>
      <c r="I29" s="431">
        <f>VLOOKUP($A$5:$A$31,JAN!$R$5:$W$31,6,)</f>
        <v>47771.528000000006</v>
      </c>
      <c r="J29" s="431">
        <f>VLOOKUP($A$5:$A$31,FEV!$R$5:$W$31,6,)</f>
        <v>40825.56</v>
      </c>
      <c r="K29" s="431">
        <f>VLOOKUP($A$5:$A$31,MAR!$R$5:$AM$31,22,)</f>
        <v>41452.44</v>
      </c>
      <c r="L29" s="430">
        <f>VLOOKUP($A$5:$A$31,ABR!$R$5:$W$31,6,)</f>
        <v>28601.4</v>
      </c>
      <c r="M29" s="430">
        <f>VLOOKUP($A$5:$A$31,MAI!$B$5:$G$31,6,)</f>
        <v>27739.440000000002</v>
      </c>
      <c r="N29" s="430">
        <f>VLOOKUP($A$5:$A$31,JUN!$B$5:$G$31,6,)</f>
        <v>36515.760000000002</v>
      </c>
      <c r="O29" s="429">
        <f>VLOOKUP($A$5:$A$31,JUL!$B$5:$G$31,6,)</f>
        <v>44978.640000000007</v>
      </c>
      <c r="P29" s="429">
        <f>VLOOKUP($A$5:$A$31,AGO!$B$5:$G$31,6,)</f>
        <v>45292.08</v>
      </c>
      <c r="Q29" s="429">
        <f>VLOOKUP($A$5:$A$31,SET!$B$5:$G$31,6,)</f>
        <v>51560.880000000005</v>
      </c>
      <c r="R29" s="429">
        <f>VLOOKUP($A$5:$A$31,OUT!$B$5:$G$31,6,)</f>
        <v>59945.4</v>
      </c>
      <c r="S29" s="429">
        <f>VLOOKUP($A$5:$A$31,NOV!$B$5:$G$31,6,)</f>
        <v>51169.08</v>
      </c>
      <c r="T29" s="429">
        <f>VLOOKUP($A$5:$A$31,DEZ!$B$5:$G$31,6,)</f>
        <v>47407.8</v>
      </c>
      <c r="U29" s="428">
        <f t="shared" si="2"/>
        <v>523260.00800000009</v>
      </c>
      <c r="V29" s="427">
        <f t="shared" si="3"/>
        <v>122.05523224269712</v>
      </c>
      <c r="W29" s="426">
        <f t="shared" si="4"/>
        <v>0.64271901539555776</v>
      </c>
      <c r="X29" s="400">
        <f t="shared" si="5"/>
        <v>1.2205523224269712</v>
      </c>
      <c r="Y29" s="399">
        <f>'Comparativo YoY'!ED32</f>
        <v>1.9333494683320538</v>
      </c>
    </row>
    <row r="30" spans="1:25" s="297" customFormat="1" ht="28.5">
      <c r="A30" s="436" t="s">
        <v>111</v>
      </c>
      <c r="B30" s="435">
        <v>230169</v>
      </c>
      <c r="C30" s="435">
        <v>18080943.120000001</v>
      </c>
      <c r="D30" s="434">
        <v>73877</v>
      </c>
      <c r="E30" s="434">
        <v>12863</v>
      </c>
      <c r="F30" s="435">
        <f>VLOOKUP($A$5:$A$31,'Relatórios - SICCAU e IGEO'!$A$3:$G$29,7,)</f>
        <v>298424</v>
      </c>
      <c r="G30" s="433">
        <f t="shared" si="6"/>
        <v>129.65429749444974</v>
      </c>
      <c r="H30" s="432">
        <f t="shared" si="7"/>
        <v>35.551637459644276</v>
      </c>
      <c r="I30" s="431">
        <f>VLOOKUP($A$5:$A$31,JAN!$R$5:$W$31,6,)</f>
        <v>1756131.4960000003</v>
      </c>
      <c r="J30" s="431">
        <f>VLOOKUP($A$5:$A$31,FEV!$R$5:$W$31,6,)</f>
        <v>1895763.4800000002</v>
      </c>
      <c r="K30" s="431">
        <f>VLOOKUP($A$5:$A$31,MAR!$R$5:$AM$31,22,)</f>
        <v>1992773.1600000001</v>
      </c>
      <c r="L30" s="430">
        <f>VLOOKUP($A$5:$A$31,ABR!$R$5:$W$31,6,)</f>
        <v>1007239.4400000001</v>
      </c>
      <c r="M30" s="430">
        <f>VLOOKUP($A$5:$A$31,MAI!$B$5:$G$31,6,)</f>
        <v>1204236.4800000002</v>
      </c>
      <c r="N30" s="430">
        <f>VLOOKUP($A$5:$A$31,JUN!$B$5:$G$31,6,)</f>
        <v>1710833.8800000001</v>
      </c>
      <c r="O30" s="429">
        <f>VLOOKUP($A$5:$A$31,JUL!$B$5:$G$31,6,)</f>
        <v>2136798.84</v>
      </c>
      <c r="P30" s="429">
        <f>VLOOKUP($A$5:$A$31,AGO!$B$5:$G$31,6,)</f>
        <v>2246267.2000000002</v>
      </c>
      <c r="Q30" s="429">
        <f>VLOOKUP($A$5:$A$31,SET!$B$5:$G$31,6,)</f>
        <v>2268992.16</v>
      </c>
      <c r="R30" s="429">
        <f>VLOOKUP($A$5:$A$31,OUT!$B$5:$G$31,6,)</f>
        <v>2507441.64</v>
      </c>
      <c r="S30" s="429">
        <f>VLOOKUP($A$5:$A$31,NOV!$B$5:$G$31,6,)</f>
        <v>2160820.9760000003</v>
      </c>
      <c r="T30" s="429">
        <f>VLOOKUP($A$5:$A$31,DEZ!$B$5:$G$31,6,)</f>
        <v>2086570.08</v>
      </c>
      <c r="U30" s="428">
        <f t="shared" si="2"/>
        <v>22973868.832000002</v>
      </c>
      <c r="V30" s="427">
        <f t="shared" si="3"/>
        <v>127.06123059801983</v>
      </c>
      <c r="W30" s="426">
        <f t="shared" si="4"/>
        <v>28.218748098038731</v>
      </c>
      <c r="X30" s="400">
        <f t="shared" si="5"/>
        <v>1.2706123059801984</v>
      </c>
      <c r="Y30" s="399">
        <f>'Comparativo YoY'!ED33</f>
        <v>-9.9522379553286697</v>
      </c>
    </row>
    <row r="31" spans="1:25" s="297" customFormat="1" ht="28.5">
      <c r="A31" s="436" t="s">
        <v>113</v>
      </c>
      <c r="B31" s="435">
        <v>4579</v>
      </c>
      <c r="C31" s="435">
        <v>358810.44</v>
      </c>
      <c r="D31" s="434">
        <v>944</v>
      </c>
      <c r="E31" s="434">
        <v>222</v>
      </c>
      <c r="F31" s="435">
        <f>VLOOKUP($A$5:$A$31,'Relatórios - SICCAU e IGEO'!$A$3:$G$29,7,)</f>
        <v>4565</v>
      </c>
      <c r="G31" s="433">
        <f t="shared" si="6"/>
        <v>99.694256387857621</v>
      </c>
      <c r="H31" s="432">
        <f t="shared" si="7"/>
        <v>0.54383435984798845</v>
      </c>
      <c r="I31" s="431">
        <f>VLOOKUP($A$5:$A$31,JAN!$R$5:$W$31,6,)</f>
        <v>21652.128000000001</v>
      </c>
      <c r="J31" s="431">
        <f>VLOOKUP($A$5:$A$31,FEV!$R$5:$W$31,6,)</f>
        <v>26328.959999999999</v>
      </c>
      <c r="K31" s="431">
        <f>VLOOKUP($A$5:$A$31,MAR!$R$5:$AM$31,22,)</f>
        <v>27504.36</v>
      </c>
      <c r="L31" s="430">
        <f>VLOOKUP($A$5:$A$31,ABR!$R$5:$W$31,6,)</f>
        <v>14810.04</v>
      </c>
      <c r="M31" s="430">
        <f>VLOOKUP($A$5:$A$31,MAI!$B$5:$G$31,6,)</f>
        <v>26093.88</v>
      </c>
      <c r="N31" s="430">
        <f>VLOOKUP($A$5:$A$31,JUN!$B$5:$G$31,6,)</f>
        <v>28601.4</v>
      </c>
      <c r="O31" s="429">
        <f>VLOOKUP($A$5:$A$31,JUL!$B$5:$G$31,6,)</f>
        <v>37064.28</v>
      </c>
      <c r="P31" s="429">
        <f>VLOOKUP($A$5:$A$31,AGO!$B$5:$G$31,6,)</f>
        <v>38004.6</v>
      </c>
      <c r="Q31" s="429">
        <f>VLOOKUP($A$5:$A$31,SET!$B$5:$G$31,6,)</f>
        <v>31657.440000000002</v>
      </c>
      <c r="R31" s="429">
        <f>VLOOKUP($A$5:$A$31,OUT!$B$5:$G$31,6,)</f>
        <v>35653.800000000003</v>
      </c>
      <c r="S31" s="429">
        <f>VLOOKUP($A$5:$A$31,NOV!$B$5:$G$31,6,)</f>
        <v>34713.480000000003</v>
      </c>
      <c r="T31" s="429">
        <f>VLOOKUP($A$5:$A$31,DEZ!$B$5:$G$31,6,)</f>
        <v>32911.200000000004</v>
      </c>
      <c r="U31" s="428">
        <f t="shared" si="2"/>
        <v>354995.56800000003</v>
      </c>
      <c r="V31" s="427">
        <f t="shared" si="3"/>
        <v>98.936800166684122</v>
      </c>
      <c r="W31" s="426">
        <f t="shared" si="4"/>
        <v>0.43604020648707165</v>
      </c>
      <c r="X31" s="400">
        <f t="shared" si="5"/>
        <v>0.98936800166684125</v>
      </c>
      <c r="Y31" s="399">
        <f>'Comparativo YoY'!ED34</f>
        <v>1.6975999295957536</v>
      </c>
    </row>
    <row r="32" spans="1:25" s="297" customFormat="1" ht="63">
      <c r="A32" s="425" t="s">
        <v>491</v>
      </c>
      <c r="B32" s="414">
        <f>SUM(B5:B31)</f>
        <v>713260</v>
      </c>
      <c r="C32" s="413">
        <f>SUM(C5:C31)</f>
        <v>56199037.961999997</v>
      </c>
      <c r="D32" s="424">
        <f>SUM(D5:D31)</f>
        <v>198239</v>
      </c>
      <c r="E32" s="424">
        <f>SUM(E5:E31)</f>
        <v>39896</v>
      </c>
      <c r="F32" s="424">
        <f>SUM(F5:F31)</f>
        <v>839410</v>
      </c>
      <c r="G32" s="423">
        <f t="shared" si="0"/>
        <v>117.68639766704989</v>
      </c>
      <c r="H32" s="422">
        <f t="shared" si="1"/>
        <v>100</v>
      </c>
      <c r="I32" s="409">
        <f t="shared" ref="I32:T32" si="8">SUM(I5:I31)</f>
        <v>4876604.0239999993</v>
      </c>
      <c r="J32" s="409">
        <f t="shared" si="8"/>
        <v>5189375.6880000001</v>
      </c>
      <c r="K32" s="409">
        <f t="shared" si="8"/>
        <v>5259659.6560000004</v>
      </c>
      <c r="L32" s="409">
        <f t="shared" si="8"/>
        <v>3014510.3200000003</v>
      </c>
      <c r="M32" s="409">
        <f t="shared" si="8"/>
        <v>3848337.96</v>
      </c>
      <c r="N32" s="409">
        <f t="shared" si="8"/>
        <v>4988475.9600000009</v>
      </c>
      <c r="O32" s="409">
        <f t="shared" si="8"/>
        <v>6054958.8400000008</v>
      </c>
      <c r="P32" s="409">
        <f t="shared" si="8"/>
        <v>6418147.9360000007</v>
      </c>
      <c r="Q32" s="421">
        <f t="shared" si="8"/>
        <v>6331488.0000000009</v>
      </c>
      <c r="R32" s="408">
        <f t="shared" si="8"/>
        <v>7014238.6800000006</v>
      </c>
      <c r="S32" s="408">
        <f t="shared" si="8"/>
        <v>6180656.9360000007</v>
      </c>
      <c r="T32" s="408">
        <f t="shared" si="8"/>
        <v>5954341.3199999994</v>
      </c>
      <c r="U32" s="420">
        <f t="shared" si="2"/>
        <v>65130795.32</v>
      </c>
      <c r="V32" s="419">
        <f t="shared" si="3"/>
        <v>115.89307874636461</v>
      </c>
      <c r="W32" s="405">
        <f t="shared" si="4"/>
        <v>80</v>
      </c>
      <c r="X32" s="400">
        <f t="shared" si="5"/>
        <v>1.1589307874636461</v>
      </c>
      <c r="Y32" s="399">
        <f>'Comparativo YoY'!ED35</f>
        <v>-7.8649075895809659</v>
      </c>
    </row>
    <row r="33" spans="1:25" s="297" customFormat="1" ht="28.5">
      <c r="A33" s="415" t="s">
        <v>181</v>
      </c>
      <c r="B33" s="418"/>
      <c r="C33" s="413">
        <v>14028394.402500002</v>
      </c>
      <c r="D33" s="412"/>
      <c r="E33" s="412"/>
      <c r="F33" s="412"/>
      <c r="G33" s="411"/>
      <c r="H33" s="410"/>
      <c r="I33" s="417">
        <f>JAN!$W$67</f>
        <v>1219151.0060000001</v>
      </c>
      <c r="J33" s="417">
        <f>FEV!$W$67</f>
        <v>1297343.9219999998</v>
      </c>
      <c r="K33" s="417">
        <f>MAR!$AM$67</f>
        <v>1314914.9140000003</v>
      </c>
      <c r="L33" s="417">
        <f>ABR!$W$67</f>
        <v>753627.58000000007</v>
      </c>
      <c r="M33" s="417">
        <f>MAI!$G$67</f>
        <v>962084.49000000011</v>
      </c>
      <c r="N33" s="417">
        <f>JUN!$G$67</f>
        <v>1247118.99</v>
      </c>
      <c r="O33" s="417">
        <f>JUL!$G$67</f>
        <v>1513739.71</v>
      </c>
      <c r="P33" s="417">
        <f>AGO!$G$67</f>
        <v>1604536.9840000002</v>
      </c>
      <c r="Q33" s="416">
        <f>SET!$G$67</f>
        <v>1582872</v>
      </c>
      <c r="R33" s="416">
        <f>OUT!$G$67</f>
        <v>1753559.6700000002</v>
      </c>
      <c r="S33" s="416">
        <f>NOV!$G$67</f>
        <v>1545164.2340000002</v>
      </c>
      <c r="T33" s="416">
        <f>DEZ!$G$67</f>
        <v>1488585.33</v>
      </c>
      <c r="U33" s="407">
        <f t="shared" si="2"/>
        <v>16282698.83</v>
      </c>
      <c r="V33" s="406">
        <f t="shared" si="3"/>
        <v>116.06958261095268</v>
      </c>
      <c r="W33" s="405">
        <f t="shared" si="4"/>
        <v>20</v>
      </c>
      <c r="X33" s="400">
        <f t="shared" si="5"/>
        <v>1.1606958261095268</v>
      </c>
      <c r="Y33" s="399">
        <f>'Comparativo YoY'!ED36</f>
        <v>-7.8700092764649838</v>
      </c>
    </row>
    <row r="34" spans="1:25" s="297" customFormat="1" ht="28.5">
      <c r="A34" s="415" t="s">
        <v>128</v>
      </c>
      <c r="B34" s="414">
        <f>B32</f>
        <v>713260</v>
      </c>
      <c r="C34" s="413">
        <f>C32+C33</f>
        <v>70227432.364500001</v>
      </c>
      <c r="D34" s="412">
        <f>D32</f>
        <v>198239</v>
      </c>
      <c r="E34" s="412">
        <f>E32</f>
        <v>39896</v>
      </c>
      <c r="F34" s="412">
        <f>F32</f>
        <v>839410</v>
      </c>
      <c r="G34" s="411">
        <f>F34/B34*100</f>
        <v>117.68639766704989</v>
      </c>
      <c r="H34" s="410">
        <f>F34/$F$34*100</f>
        <v>100</v>
      </c>
      <c r="I34" s="409">
        <f t="shared" ref="I34:T34" si="9">SUM(I32:I33)</f>
        <v>6095755.0299999993</v>
      </c>
      <c r="J34" s="409">
        <f t="shared" si="9"/>
        <v>6486719.6099999994</v>
      </c>
      <c r="K34" s="409">
        <f t="shared" si="9"/>
        <v>6574574.5700000003</v>
      </c>
      <c r="L34" s="409">
        <f t="shared" si="9"/>
        <v>3768137.9000000004</v>
      </c>
      <c r="M34" s="409">
        <f t="shared" si="9"/>
        <v>4810422.45</v>
      </c>
      <c r="N34" s="409">
        <f t="shared" si="9"/>
        <v>6235594.9500000011</v>
      </c>
      <c r="O34" s="409">
        <f t="shared" si="9"/>
        <v>7568698.5500000007</v>
      </c>
      <c r="P34" s="409">
        <f t="shared" si="9"/>
        <v>8022684.9200000009</v>
      </c>
      <c r="Q34" s="409">
        <f t="shared" si="9"/>
        <v>7914360.0000000009</v>
      </c>
      <c r="R34" s="408">
        <f t="shared" si="9"/>
        <v>8767798.3500000015</v>
      </c>
      <c r="S34" s="408">
        <f t="shared" si="9"/>
        <v>7725821.1700000009</v>
      </c>
      <c r="T34" s="408">
        <f t="shared" si="9"/>
        <v>7442926.6499999994</v>
      </c>
      <c r="U34" s="407">
        <f t="shared" si="2"/>
        <v>81413494.150000006</v>
      </c>
      <c r="V34" s="406">
        <f t="shared" si="3"/>
        <v>115.92833656147532</v>
      </c>
      <c r="W34" s="405">
        <f t="shared" si="4"/>
        <v>100</v>
      </c>
      <c r="X34" s="400">
        <f t="shared" si="5"/>
        <v>1.1592833656147532</v>
      </c>
      <c r="Y34" s="399">
        <f>'Comparativo YoY'!ED37</f>
        <v>-7.8659279721581186</v>
      </c>
    </row>
    <row r="35" spans="1:25" ht="28.5">
      <c r="A35" s="292"/>
      <c r="B35" s="450"/>
      <c r="C35" s="450"/>
      <c r="D35" s="404">
        <v>198239</v>
      </c>
      <c r="E35" s="404">
        <v>39896</v>
      </c>
      <c r="F35" s="404">
        <f>'Relatórios - SICCAU e IGEO'!G30</f>
        <v>839410</v>
      </c>
      <c r="G35" s="404"/>
      <c r="H35" s="404"/>
      <c r="I35" s="403">
        <f>JAN!$W$102</f>
        <v>6095755.0300000012</v>
      </c>
      <c r="J35" s="403">
        <f>FEV!W102</f>
        <v>6486719.6100000013</v>
      </c>
      <c r="K35" s="403">
        <f>MAR!$AM$102</f>
        <v>6574574.5700000003</v>
      </c>
      <c r="L35" s="403">
        <f>ABR!$W$102</f>
        <v>3768137.8999999994</v>
      </c>
      <c r="M35" s="403">
        <f>MAI!$G$102</f>
        <v>4810422.45</v>
      </c>
      <c r="N35" s="403">
        <f>JUN!$G$102</f>
        <v>6235594.9500000002</v>
      </c>
      <c r="O35" s="403">
        <f>JUL!$G$102</f>
        <v>7568698.5499999989</v>
      </c>
      <c r="P35" s="403">
        <f>AGO!$G$102</f>
        <v>8022684.9199999999</v>
      </c>
      <c r="Q35" s="403">
        <f>SET!$G$102</f>
        <v>7914359.9999999991</v>
      </c>
      <c r="R35" s="403">
        <f>OUT!$G$102</f>
        <v>8767798.3499999978</v>
      </c>
      <c r="S35" s="403">
        <f>NOV!$G$102</f>
        <v>7725821.1699999999</v>
      </c>
      <c r="T35" s="403">
        <f>DEZ!$G$102</f>
        <v>7442926.6500000004</v>
      </c>
      <c r="U35" s="403">
        <f>'ARRECADAÇÃO MENSAL POR RECEITA'!$F$17</f>
        <v>81413494.150000006</v>
      </c>
      <c r="V35" s="402">
        <f>U34-U35</f>
        <v>0</v>
      </c>
      <c r="X35" s="400" t="e">
        <f t="shared" si="5"/>
        <v>#DIV/0!</v>
      </c>
      <c r="Y35" s="399">
        <f>'Comparativo YoY'!ED38</f>
        <v>0</v>
      </c>
    </row>
    <row r="36" spans="1:25" ht="28.5">
      <c r="A36" s="292"/>
      <c r="B36" s="1204"/>
      <c r="C36" s="446"/>
      <c r="D36" s="292" t="b">
        <f t="shared" ref="D36:E36" si="10">D34=D35</f>
        <v>1</v>
      </c>
      <c r="E36" s="292" t="b">
        <f t="shared" si="10"/>
        <v>1</v>
      </c>
      <c r="F36" s="292" t="b">
        <f>F34=F35</f>
        <v>1</v>
      </c>
      <c r="G36" s="401"/>
      <c r="H36" s="401"/>
      <c r="I36" s="292" t="b">
        <f t="shared" ref="I36:U36" si="11">I34=I35</f>
        <v>1</v>
      </c>
      <c r="J36" s="292" t="b">
        <f t="shared" si="11"/>
        <v>1</v>
      </c>
      <c r="K36" s="292" t="b">
        <f t="shared" si="11"/>
        <v>1</v>
      </c>
      <c r="L36" s="292" t="b">
        <f t="shared" si="11"/>
        <v>1</v>
      </c>
      <c r="M36" s="292" t="b">
        <f t="shared" si="11"/>
        <v>1</v>
      </c>
      <c r="N36" s="292" t="b">
        <f t="shared" si="11"/>
        <v>1</v>
      </c>
      <c r="O36" s="292" t="b">
        <f t="shared" si="11"/>
        <v>1</v>
      </c>
      <c r="P36" s="292" t="b">
        <f t="shared" si="11"/>
        <v>1</v>
      </c>
      <c r="Q36" s="292" t="b">
        <f t="shared" si="11"/>
        <v>1</v>
      </c>
      <c r="R36" s="292" t="b">
        <f t="shared" si="11"/>
        <v>1</v>
      </c>
      <c r="S36" s="292" t="b">
        <f t="shared" si="11"/>
        <v>1</v>
      </c>
      <c r="T36" s="292" t="b">
        <f t="shared" si="11"/>
        <v>1</v>
      </c>
      <c r="U36" s="292" t="b">
        <f t="shared" si="11"/>
        <v>1</v>
      </c>
      <c r="X36" s="400" t="e">
        <f t="shared" si="5"/>
        <v>#DIV/0!</v>
      </c>
      <c r="Y36" s="399">
        <f>'Comparativo YoY'!ED39</f>
        <v>0</v>
      </c>
    </row>
    <row r="37" spans="1:25" s="292" customFormat="1" ht="26.25">
      <c r="A37" s="321"/>
      <c r="B37" s="394"/>
      <c r="C37" s="393"/>
      <c r="D37" s="393"/>
      <c r="E37" s="393"/>
      <c r="F37" s="398"/>
      <c r="G37" s="397"/>
      <c r="H37" s="396"/>
      <c r="I37" s="396"/>
      <c r="J37" s="396"/>
      <c r="K37" s="393"/>
      <c r="L37" s="393"/>
      <c r="M37" s="393"/>
      <c r="N37" s="393"/>
      <c r="O37" s="393"/>
      <c r="P37" s="393"/>
      <c r="Q37" s="393"/>
      <c r="R37" s="393"/>
      <c r="S37" s="393"/>
      <c r="T37" s="393"/>
      <c r="U37" s="394"/>
      <c r="V37" s="393"/>
      <c r="W37" s="393"/>
    </row>
    <row r="38" spans="1:25" s="292" customFormat="1" ht="26.25">
      <c r="A38" s="321"/>
      <c r="B38" s="394"/>
      <c r="C38" s="393"/>
      <c r="D38" s="393"/>
      <c r="E38" s="393"/>
      <c r="F38" s="393"/>
      <c r="G38" s="253"/>
      <c r="H38" s="253"/>
      <c r="I38" s="253"/>
      <c r="J38" s="253"/>
      <c r="K38" s="394"/>
      <c r="L38" s="393"/>
      <c r="M38" s="393"/>
      <c r="N38" s="393"/>
      <c r="O38" s="394"/>
      <c r="P38" s="393"/>
      <c r="Q38" s="393"/>
      <c r="R38" s="393"/>
      <c r="S38" s="393"/>
      <c r="T38" s="393"/>
      <c r="U38" s="1196"/>
      <c r="V38" s="393"/>
      <c r="W38" s="393"/>
    </row>
    <row r="39" spans="1:25" s="292" customFormat="1" ht="26.25">
      <c r="A39" s="321"/>
      <c r="B39" s="394"/>
      <c r="C39" s="393"/>
      <c r="D39" s="359"/>
      <c r="E39" s="359"/>
      <c r="F39" s="359"/>
      <c r="G39" s="253"/>
      <c r="H39" s="253"/>
      <c r="I39" s="253"/>
      <c r="J39" s="253"/>
      <c r="K39" s="393"/>
      <c r="L39" s="393"/>
      <c r="M39" s="393"/>
      <c r="N39" s="393"/>
      <c r="O39" s="393"/>
      <c r="P39" s="393"/>
      <c r="Q39" s="393"/>
      <c r="R39" s="393"/>
      <c r="S39" s="393"/>
      <c r="T39" s="393"/>
      <c r="U39" s="394"/>
      <c r="V39" s="393"/>
      <c r="W39" s="393"/>
    </row>
    <row r="40" spans="1:25" s="292" customFormat="1" ht="26.25" customHeight="1">
      <c r="A40" s="395"/>
      <c r="B40" s="395"/>
      <c r="C40" s="395"/>
      <c r="D40" s="359"/>
      <c r="E40" s="359"/>
      <c r="F40" s="359"/>
      <c r="G40" s="253"/>
      <c r="H40" s="253"/>
      <c r="I40" s="253"/>
      <c r="J40" s="253"/>
      <c r="K40" s="393"/>
      <c r="L40" s="393"/>
      <c r="M40" s="393"/>
      <c r="N40" s="393"/>
      <c r="O40" s="394"/>
      <c r="P40" s="393"/>
      <c r="Q40" s="393"/>
      <c r="R40" s="393"/>
      <c r="S40" s="393"/>
      <c r="T40" s="393"/>
      <c r="U40" s="394"/>
      <c r="V40" s="393"/>
      <c r="W40" s="393"/>
    </row>
    <row r="41" spans="1:25" s="292" customFormat="1" ht="26.25" customHeight="1">
      <c r="A41" s="395"/>
      <c r="B41" s="395"/>
      <c r="C41" s="395"/>
      <c r="D41" s="359"/>
      <c r="E41" s="359"/>
      <c r="F41" s="359"/>
      <c r="G41" s="253"/>
      <c r="H41" s="253"/>
      <c r="I41" s="253"/>
      <c r="J41" s="253"/>
      <c r="K41" s="393"/>
      <c r="L41" s="393"/>
      <c r="M41" s="393"/>
      <c r="N41" s="393"/>
      <c r="O41" s="394"/>
      <c r="P41" s="393"/>
      <c r="Q41" s="393"/>
      <c r="R41" s="393"/>
      <c r="S41" s="393"/>
      <c r="T41" s="393"/>
      <c r="U41" s="394"/>
      <c r="V41" s="393"/>
      <c r="W41" s="393"/>
    </row>
    <row r="42" spans="1:25" s="292" customFormat="1" ht="26.25" customHeight="1">
      <c r="A42" s="395"/>
      <c r="B42" s="395"/>
      <c r="C42" s="395"/>
      <c r="D42" s="359"/>
      <c r="E42" s="359"/>
      <c r="F42" s="359"/>
      <c r="G42" s="253"/>
      <c r="H42" s="253"/>
      <c r="I42" s="253"/>
      <c r="J42" s="253"/>
      <c r="K42" s="393"/>
      <c r="L42" s="393"/>
      <c r="M42" s="393"/>
      <c r="N42" s="393"/>
      <c r="O42" s="393"/>
      <c r="P42" s="393"/>
      <c r="Q42" s="393"/>
      <c r="R42" s="393"/>
      <c r="S42" s="393"/>
      <c r="T42" s="393"/>
      <c r="U42" s="393"/>
      <c r="V42" s="393"/>
      <c r="W42" s="393"/>
    </row>
    <row r="43" spans="1:25" s="292" customFormat="1" ht="26.25" customHeight="1">
      <c r="A43" s="395"/>
      <c r="B43" s="395"/>
      <c r="C43" s="395"/>
      <c r="D43" s="359"/>
      <c r="E43" s="359"/>
      <c r="F43" s="359"/>
      <c r="G43" s="253"/>
      <c r="H43" s="253"/>
      <c r="I43" s="253"/>
      <c r="J43" s="253"/>
      <c r="K43" s="393"/>
      <c r="L43" s="393"/>
      <c r="M43" s="393"/>
      <c r="N43" s="393"/>
      <c r="O43" s="393"/>
      <c r="P43" s="393"/>
      <c r="Q43" s="393"/>
      <c r="R43" s="393"/>
      <c r="S43" s="393"/>
      <c r="T43" s="393"/>
      <c r="U43" s="393"/>
      <c r="V43" s="393"/>
      <c r="W43" s="393"/>
    </row>
    <row r="44" spans="1:25" s="292" customFormat="1" ht="26.25" customHeight="1">
      <c r="A44" s="395"/>
      <c r="B44" s="395"/>
      <c r="C44" s="395"/>
      <c r="D44" s="359"/>
      <c r="E44" s="359"/>
      <c r="F44" s="359"/>
      <c r="G44" s="253"/>
      <c r="H44" s="253"/>
      <c r="I44" s="253"/>
      <c r="J44" s="253"/>
      <c r="K44" s="393"/>
      <c r="L44" s="393"/>
      <c r="M44" s="393"/>
      <c r="N44" s="393"/>
      <c r="O44" s="393"/>
      <c r="P44" s="393"/>
      <c r="Q44" s="393"/>
      <c r="R44" s="393"/>
      <c r="S44" s="393"/>
      <c r="T44" s="394"/>
      <c r="U44" s="393"/>
      <c r="V44" s="393"/>
      <c r="W44" s="393"/>
    </row>
    <row r="45" spans="1:25" ht="28.5">
      <c r="A45" s="297" t="e">
        <f>IF(#REF!&lt;&gt;0,#REF!,"")</f>
        <v>#REF!</v>
      </c>
      <c r="D45" s="359"/>
      <c r="E45" s="359"/>
      <c r="F45" s="359"/>
    </row>
    <row r="46" spans="1:25" ht="26.25">
      <c r="A46" s="292"/>
      <c r="D46" s="359"/>
      <c r="E46" s="359"/>
      <c r="F46" s="359"/>
    </row>
    <row r="47" spans="1:25">
      <c r="D47" s="359"/>
      <c r="E47" s="359"/>
      <c r="F47" s="359"/>
    </row>
    <row r="48" spans="1:25">
      <c r="D48" s="359"/>
      <c r="E48" s="359"/>
      <c r="F48" s="359"/>
    </row>
    <row r="49" spans="4:6">
      <c r="D49" s="359"/>
      <c r="E49" s="359"/>
      <c r="F49" s="359"/>
    </row>
    <row r="50" spans="4:6">
      <c r="D50" s="359"/>
      <c r="E50" s="359"/>
      <c r="F50" s="359"/>
    </row>
    <row r="51" spans="4:6">
      <c r="D51" s="359"/>
      <c r="E51" s="359"/>
      <c r="F51" s="359"/>
    </row>
    <row r="52" spans="4:6">
      <c r="D52" s="359"/>
      <c r="E52" s="359"/>
      <c r="F52" s="359"/>
    </row>
    <row r="53" spans="4:6">
      <c r="D53" s="359"/>
      <c r="E53" s="359"/>
      <c r="F53" s="359"/>
    </row>
    <row r="54" spans="4:6">
      <c r="D54" s="359"/>
      <c r="E54" s="359"/>
      <c r="F54" s="359"/>
    </row>
    <row r="55" spans="4:6">
      <c r="D55" s="359"/>
      <c r="E55" s="359"/>
      <c r="F55" s="359"/>
    </row>
    <row r="56" spans="4:6">
      <c r="D56" s="359"/>
      <c r="E56" s="359"/>
      <c r="F56" s="359"/>
    </row>
    <row r="57" spans="4:6">
      <c r="D57" s="359"/>
      <c r="E57" s="359"/>
      <c r="F57" s="359"/>
    </row>
    <row r="58" spans="4:6">
      <c r="D58" s="359"/>
      <c r="E58" s="359"/>
      <c r="F58" s="359"/>
    </row>
    <row r="59" spans="4:6">
      <c r="D59" s="359"/>
      <c r="E59" s="359"/>
      <c r="F59" s="359"/>
    </row>
    <row r="60" spans="4:6">
      <c r="D60" s="359"/>
      <c r="E60" s="359"/>
      <c r="F60" s="359"/>
    </row>
    <row r="61" spans="4:6">
      <c r="D61" s="359"/>
      <c r="E61" s="359"/>
      <c r="F61" s="359"/>
    </row>
    <row r="62" spans="4:6">
      <c r="D62" s="359"/>
      <c r="E62" s="359"/>
      <c r="F62" s="359"/>
    </row>
    <row r="63" spans="4:6">
      <c r="D63" s="359"/>
      <c r="E63" s="359"/>
      <c r="F63" s="359"/>
    </row>
    <row r="64" spans="4:6">
      <c r="D64" s="359"/>
      <c r="E64" s="359"/>
      <c r="F64" s="359"/>
    </row>
    <row r="65" spans="4:6">
      <c r="D65" s="359"/>
      <c r="E65" s="359"/>
      <c r="F65" s="359"/>
    </row>
  </sheetData>
  <mergeCells count="11">
    <mergeCell ref="D3:F3"/>
    <mergeCell ref="A1:W1"/>
    <mergeCell ref="B2:W2"/>
    <mergeCell ref="A3:A4"/>
    <mergeCell ref="B3:C3"/>
    <mergeCell ref="V3:V4"/>
    <mergeCell ref="W3:W4"/>
    <mergeCell ref="U3:U4"/>
    <mergeCell ref="I3:T3"/>
    <mergeCell ref="G3:G4"/>
    <mergeCell ref="H3:H4"/>
  </mergeCells>
  <conditionalFormatting sqref="K36">
    <cfRule type="cellIs" dxfId="226" priority="6" operator="equal">
      <formula>TRUE</formula>
    </cfRule>
  </conditionalFormatting>
  <conditionalFormatting sqref="I36:J36">
    <cfRule type="cellIs" dxfId="225" priority="5" operator="equal">
      <formula>TRUE</formula>
    </cfRule>
  </conditionalFormatting>
  <conditionalFormatting sqref="C36:F36">
    <cfRule type="cellIs" dxfId="224" priority="4" operator="equal">
      <formula>TRUE</formula>
    </cfRule>
  </conditionalFormatting>
  <conditionalFormatting sqref="L36:T36">
    <cfRule type="cellIs" dxfId="223" priority="3" operator="equal">
      <formula>TRUE</formula>
    </cfRule>
  </conditionalFormatting>
  <conditionalFormatting sqref="U36">
    <cfRule type="cellIs" dxfId="222" priority="2" operator="equal">
      <formula>TRUE</formula>
    </cfRule>
  </conditionalFormatting>
  <conditionalFormatting sqref="D35:F35">
    <cfRule type="cellIs" dxfId="221" priority="1" operator="equal">
      <formula>$D$34</formula>
    </cfRule>
  </conditionalFormatting>
  <printOptions horizontalCentered="1"/>
  <pageMargins left="0.51181102362204722" right="0.51181102362204722" top="0.78740157480314965" bottom="0.78740157480314965" header="0.31496062992125984" footer="0.31496062992125984"/>
  <pageSetup paperSize="9" scale="25"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tabColor rgb="FF7030A0"/>
    <pageSetUpPr fitToPage="1"/>
  </sheetPr>
  <dimension ref="A1:S1048574"/>
  <sheetViews>
    <sheetView showGridLines="0" zoomScale="40" zoomScaleNormal="40" zoomScaleSheetLayoutView="50" workbookViewId="0">
      <pane xSplit="1" topLeftCell="B1" activePane="topRight" state="frozen"/>
      <selection sqref="A1:AC1"/>
      <selection pane="topRight" sqref="A1:AC1"/>
    </sheetView>
  </sheetViews>
  <sheetFormatPr defaultRowHeight="19.5"/>
  <cols>
    <col min="1" max="1" width="18.85546875" style="284" customWidth="1"/>
    <col min="2" max="2" width="40" style="284" customWidth="1"/>
    <col min="3" max="8" width="31.140625" style="284" customWidth="1"/>
    <col min="9" max="10" width="29.7109375" style="284" customWidth="1"/>
    <col min="11" max="11" width="34.85546875" style="284" customWidth="1"/>
    <col min="12" max="14" width="35.7109375" style="284" customWidth="1"/>
    <col min="15" max="15" width="39.42578125" style="284" customWidth="1"/>
    <col min="16" max="16" width="26.28515625" style="284" customWidth="1"/>
    <col min="17" max="17" width="32.5703125" style="284" customWidth="1"/>
    <col min="18" max="18" width="18" style="253" customWidth="1"/>
    <col min="19" max="16384" width="9.140625" style="253"/>
  </cols>
  <sheetData>
    <row r="1" spans="1:18" s="297" customFormat="1" ht="42" customHeight="1">
      <c r="A1" s="1315" t="s">
        <v>533</v>
      </c>
      <c r="B1" s="1315"/>
      <c r="C1" s="1315"/>
      <c r="D1" s="1315"/>
      <c r="E1" s="1315"/>
      <c r="F1" s="1315"/>
      <c r="G1" s="1315"/>
      <c r="H1" s="1315"/>
      <c r="I1" s="1315"/>
      <c r="J1" s="1315"/>
      <c r="K1" s="1315"/>
      <c r="L1" s="1315"/>
      <c r="M1" s="1315"/>
      <c r="N1" s="1315"/>
      <c r="O1" s="1315"/>
    </row>
    <row r="2" spans="1:18" s="451" customFormat="1" ht="57.75" customHeight="1">
      <c r="A2" s="1316" t="s">
        <v>532</v>
      </c>
      <c r="B2" s="380" t="s">
        <v>1111</v>
      </c>
      <c r="C2" s="1318" t="s">
        <v>509</v>
      </c>
      <c r="D2" s="1318"/>
      <c r="E2" s="1318"/>
      <c r="F2" s="1318"/>
      <c r="G2" s="1318"/>
      <c r="H2" s="1318"/>
      <c r="I2" s="1318"/>
      <c r="J2" s="1318"/>
      <c r="K2" s="1318"/>
      <c r="L2" s="1318"/>
      <c r="M2" s="1318"/>
      <c r="N2" s="1318"/>
      <c r="O2" s="1316" t="s">
        <v>508</v>
      </c>
      <c r="P2" s="1316" t="s">
        <v>507</v>
      </c>
      <c r="Q2" s="1316" t="s">
        <v>506</v>
      </c>
      <c r="R2" s="1317"/>
    </row>
    <row r="3" spans="1:18" s="451" customFormat="1" ht="35.25" customHeight="1">
      <c r="A3" s="1316"/>
      <c r="B3" s="380" t="s">
        <v>531</v>
      </c>
      <c r="C3" s="469" t="s">
        <v>422</v>
      </c>
      <c r="D3" s="469" t="s">
        <v>421</v>
      </c>
      <c r="E3" s="469" t="s">
        <v>496</v>
      </c>
      <c r="F3" s="469" t="s">
        <v>420</v>
      </c>
      <c r="G3" s="469" t="s">
        <v>419</v>
      </c>
      <c r="H3" s="469" t="s">
        <v>418</v>
      </c>
      <c r="I3" s="469" t="s">
        <v>417</v>
      </c>
      <c r="J3" s="469" t="s">
        <v>416</v>
      </c>
      <c r="K3" s="469" t="s">
        <v>415</v>
      </c>
      <c r="L3" s="469" t="s">
        <v>414</v>
      </c>
      <c r="M3" s="469" t="s">
        <v>413</v>
      </c>
      <c r="N3" s="469" t="s">
        <v>412</v>
      </c>
      <c r="O3" s="1316"/>
      <c r="P3" s="1316"/>
      <c r="Q3" s="1316"/>
      <c r="R3" s="1317"/>
    </row>
    <row r="4" spans="1:18" s="451" customFormat="1" ht="28.5">
      <c r="A4" s="468" t="s">
        <v>87</v>
      </c>
      <c r="B4" s="467">
        <v>23519.982000000004</v>
      </c>
      <c r="C4" s="466">
        <f>VLOOKUP($A$4:$A$30,JAN!$R$5:$AN$31,23,)</f>
        <v>1657.2000000000003</v>
      </c>
      <c r="D4" s="466">
        <f>VLOOKUP($A$4:$A$30,FEV!$R$5:$AN$31,23,)</f>
        <v>1784.0319999999999</v>
      </c>
      <c r="E4" s="466">
        <f>VLOOKUP($A$4:$A$30,MAR!$R$5:$AN$31,23,)</f>
        <v>1948.992</v>
      </c>
      <c r="F4" s="465">
        <f>VLOOKUP($A$4:$A$30,ABR!$R$5:$AO$31,24,)</f>
        <v>693.32800000000009</v>
      </c>
      <c r="G4" s="465">
        <f>VLOOKUP($A$4:$A$30,MAI!$B$5:$Y$31,24,)</f>
        <v>2495.7440000000001</v>
      </c>
      <c r="H4" s="465">
        <f>VLOOKUP($A$4:$A$30,JUN!$B$5:$Y$31,24,)</f>
        <v>2931.6960000000004</v>
      </c>
      <c r="I4" s="464">
        <f>VLOOKUP($A$4:$A$30,JUL!$B$5:$Y$31,24,)</f>
        <v>1272.9040000000002</v>
      </c>
      <c r="J4" s="464">
        <f>VLOOKUP($A$4:$A$30,AGO!$B$5:$Y$31,24,)</f>
        <v>2230.2800000000002</v>
      </c>
      <c r="K4" s="464">
        <f>VLOOKUP($A$4:$A$30,SET!$B$5:$Y$31,24,)</f>
        <v>2638.5440000000008</v>
      </c>
      <c r="L4" s="464">
        <f>VLOOKUP($A$4:$A$30,OUT!$B$5:$Y$31,24,)</f>
        <v>2950.1840000000002</v>
      </c>
      <c r="M4" s="463">
        <f>VLOOKUP($A$4:$A$30,NOV!$B$5:$Y$31,24,)</f>
        <v>1446.4240000000004</v>
      </c>
      <c r="N4" s="463">
        <f>VLOOKUP($A$4:$A$30,DEZ!$B$5:$Y$31,24,)</f>
        <v>2589.6640000000007</v>
      </c>
      <c r="O4" s="463">
        <f t="shared" ref="O4:O33" si="0">SUM(C4:N4)</f>
        <v>24638.992000000002</v>
      </c>
      <c r="P4" s="462">
        <f t="shared" ref="P4:P33" si="1">O4/B4*100</f>
        <v>104.75769921932763</v>
      </c>
      <c r="Q4" s="461">
        <f t="shared" ref="Q4:Q33" si="2">O4/$O$33*100</f>
        <v>0.32767585668675564</v>
      </c>
      <c r="R4" s="448">
        <f>IFERROR(O4/B4,)</f>
        <v>1.0475769921932763</v>
      </c>
    </row>
    <row r="5" spans="1:18" s="451" customFormat="1" ht="28.5">
      <c r="A5" s="468" t="s">
        <v>88</v>
      </c>
      <c r="B5" s="467">
        <v>76923.38</v>
      </c>
      <c r="C5" s="466">
        <f>VLOOKUP($A$4:$A$30,JAN!$R$5:$AN$31,23,)</f>
        <v>8492.5360000000001</v>
      </c>
      <c r="D5" s="466">
        <f>VLOOKUP($A$4:$A$30,FEV!$R$5:$AN$31,23,)</f>
        <v>5033.6800000000012</v>
      </c>
      <c r="E5" s="466">
        <f>VLOOKUP($A$4:$A$30,MAR!$R$5:$AN$31,23,)</f>
        <v>4618.384</v>
      </c>
      <c r="F5" s="465">
        <f>VLOOKUP($A$4:$A$30,ABR!$R$5:$AO$31,24,)</f>
        <v>3787.4720000000002</v>
      </c>
      <c r="G5" s="465">
        <f>VLOOKUP($A$4:$A$30,MAI!$B$5:$Y$31,24,)</f>
        <v>2855.6959999999999</v>
      </c>
      <c r="H5" s="465">
        <f>VLOOKUP($A$4:$A$30,JUN!$B$5:$Y$31,24,)</f>
        <v>3645.5840000000003</v>
      </c>
      <c r="I5" s="464">
        <f>VLOOKUP($A$4:$A$30,JUL!$B$5:$Y$31,24,)</f>
        <v>4303.6480000000001</v>
      </c>
      <c r="J5" s="464">
        <f>VLOOKUP($A$4:$A$30,AGO!$B$5:$Y$31,24,)</f>
        <v>5400.9439999999995</v>
      </c>
      <c r="K5" s="464">
        <f>VLOOKUP($A$4:$A$30,SET!$B$5:$Y$31,24,)</f>
        <v>7119.5039999999999</v>
      </c>
      <c r="L5" s="464">
        <f>VLOOKUP($A$4:$A$30,OUT!$B$5:$Y$31,24,)</f>
        <v>6219.424</v>
      </c>
      <c r="M5" s="463">
        <f>VLOOKUP($A$4:$A$30,NOV!$B$5:$Y$31,24,)</f>
        <v>6028.7920000000004</v>
      </c>
      <c r="N5" s="463">
        <f>VLOOKUP($A$4:$A$30,DEZ!$B$5:$Y$31,24,)</f>
        <v>7661.6080000000002</v>
      </c>
      <c r="O5" s="463">
        <f t="shared" si="0"/>
        <v>65167.272000000004</v>
      </c>
      <c r="P5" s="462">
        <f t="shared" si="1"/>
        <v>84.717119814547942</v>
      </c>
      <c r="Q5" s="461">
        <f t="shared" si="2"/>
        <v>0.86666458110538058</v>
      </c>
      <c r="R5" s="448">
        <f t="shared" ref="R5:R35" si="3">IFERROR(O5/B5,)</f>
        <v>0.84717119814547936</v>
      </c>
    </row>
    <row r="6" spans="1:18" s="451" customFormat="1" ht="28.5">
      <c r="A6" s="468" t="s">
        <v>90</v>
      </c>
      <c r="B6" s="467">
        <v>58272.800000000003</v>
      </c>
      <c r="C6" s="466">
        <f>VLOOKUP($A$4:$A$30,JAN!$R$5:$AN$31,23,)</f>
        <v>5780.9679999999998</v>
      </c>
      <c r="D6" s="466">
        <f>VLOOKUP($A$4:$A$30,FEV!$R$5:$AN$31,23,)</f>
        <v>4908.24</v>
      </c>
      <c r="E6" s="466">
        <f>VLOOKUP($A$4:$A$30,MAR!$R$5:$AN$31,23,)</f>
        <v>5436.768</v>
      </c>
      <c r="F6" s="465">
        <f>VLOOKUP($A$4:$A$30,ABR!$R$5:$AO$31,24,)</f>
        <v>2440.4080000000008</v>
      </c>
      <c r="G6" s="465">
        <f>VLOOKUP($A$4:$A$30,MAI!$B$5:$Y$31,24,)</f>
        <v>3558.9120000000007</v>
      </c>
      <c r="H6" s="465">
        <f>VLOOKUP($A$4:$A$30,JUN!$B$5:$Y$31,24,)</f>
        <v>7074.5399999999991</v>
      </c>
      <c r="I6" s="464">
        <f>VLOOKUP($A$4:$A$30,JUL!$B$5:$Y$31,24,)</f>
        <v>4988.6559999999999</v>
      </c>
      <c r="J6" s="464">
        <f>VLOOKUP($A$4:$A$30,AGO!$B$5:$Y$31,24,)</f>
        <v>7398.1819999999998</v>
      </c>
      <c r="K6" s="464">
        <f>VLOOKUP($A$4:$A$30,SET!$B$5:$Y$31,24,)</f>
        <v>7821.0080000000007</v>
      </c>
      <c r="L6" s="464">
        <f>VLOOKUP($A$4:$A$30,OUT!$B$5:$Y$31,24,)</f>
        <v>8012.9119999999994</v>
      </c>
      <c r="M6" s="463">
        <f>VLOOKUP($A$4:$A$30,NOV!$B$5:$Y$31,24,)</f>
        <v>7795.6</v>
      </c>
      <c r="N6" s="463">
        <f>VLOOKUP($A$4:$A$30,DEZ!$B$5:$Y$31,24,)</f>
        <v>10237.296000000002</v>
      </c>
      <c r="O6" s="463">
        <f t="shared" si="0"/>
        <v>75453.489999999991</v>
      </c>
      <c r="P6" s="462">
        <f t="shared" si="1"/>
        <v>129.48320657322111</v>
      </c>
      <c r="Q6" s="461">
        <f t="shared" si="2"/>
        <v>1.0034617883619403</v>
      </c>
      <c r="R6" s="448">
        <f t="shared" si="3"/>
        <v>1.294832065732211</v>
      </c>
    </row>
    <row r="7" spans="1:18" s="451" customFormat="1" ht="28.5">
      <c r="A7" s="468" t="s">
        <v>89</v>
      </c>
      <c r="B7" s="467">
        <v>23054.03</v>
      </c>
      <c r="C7" s="466">
        <f>VLOOKUP($A$4:$A$30,JAN!$R$5:$AN$31,23,)</f>
        <v>3571.6000000000004</v>
      </c>
      <c r="D7" s="466">
        <f>VLOOKUP($A$4:$A$30,FEV!$R$5:$AN$31,23,)</f>
        <v>2668.4560000000001</v>
      </c>
      <c r="E7" s="466">
        <f>VLOOKUP($A$4:$A$30,MAR!$R$5:$AN$31,23,)</f>
        <v>2375.1439999999998</v>
      </c>
      <c r="F7" s="465">
        <f>VLOOKUP($A$4:$A$30,ABR!$R$5:$AO$31,24,)</f>
        <v>2837.9839999999999</v>
      </c>
      <c r="G7" s="465">
        <f>VLOOKUP($A$4:$A$30,MAI!$B$5:$Y$31,24,)</f>
        <v>1129.0880000000002</v>
      </c>
      <c r="H7" s="465">
        <f>VLOOKUP($A$4:$A$30,JUN!$B$5:$Y$31,24,)</f>
        <v>1714.6480000000001</v>
      </c>
      <c r="I7" s="464">
        <f>VLOOKUP($A$4:$A$30,JUL!$B$5:$Y$31,24,)</f>
        <v>2666.7040000000006</v>
      </c>
      <c r="J7" s="464">
        <f>VLOOKUP($A$4:$A$30,AGO!$B$5:$Y$31,24,)</f>
        <v>2978.6320000000001</v>
      </c>
      <c r="K7" s="464">
        <f>VLOOKUP($A$4:$A$30,SET!$B$5:$Y$31,24,)</f>
        <v>3262.84</v>
      </c>
      <c r="L7" s="464">
        <f>VLOOKUP($A$4:$A$30,OUT!$B$5:$Y$31,24,)</f>
        <v>3230.12</v>
      </c>
      <c r="M7" s="463">
        <f>VLOOKUP($A$4:$A$30,NOV!$B$5:$Y$31,24,)</f>
        <v>3264.0560000000005</v>
      </c>
      <c r="N7" s="463">
        <f>VLOOKUP($A$4:$A$30,DEZ!$B$5:$Y$31,24,)</f>
        <v>2923.9840000000004</v>
      </c>
      <c r="O7" s="463">
        <f t="shared" si="0"/>
        <v>32623.256000000005</v>
      </c>
      <c r="P7" s="462">
        <f t="shared" si="1"/>
        <v>141.50782314415312</v>
      </c>
      <c r="Q7" s="461">
        <f t="shared" si="2"/>
        <v>0.43385919999127159</v>
      </c>
      <c r="R7" s="448">
        <f t="shared" si="3"/>
        <v>1.4150782314415313</v>
      </c>
    </row>
    <row r="8" spans="1:18" s="451" customFormat="1" ht="28.5">
      <c r="A8" s="468" t="s">
        <v>91</v>
      </c>
      <c r="B8" s="467">
        <v>107746.69</v>
      </c>
      <c r="C8" s="466">
        <f>VLOOKUP($A$4:$A$30,JAN!$R$5:$AN$31,23,)</f>
        <v>17829.168000000001</v>
      </c>
      <c r="D8" s="466">
        <f>VLOOKUP($A$4:$A$30,FEV!$R$5:$AN$31,23,)</f>
        <v>18188.568000000007</v>
      </c>
      <c r="E8" s="466">
        <f>VLOOKUP($A$4:$A$30,MAR!$R$5:$AN$31,23,)</f>
        <v>11901.512000000002</v>
      </c>
      <c r="F8" s="465">
        <f>VLOOKUP($A$4:$A$30,ABR!$R$5:$AO$31,24,)</f>
        <v>7733.0240000000003</v>
      </c>
      <c r="G8" s="465">
        <f>VLOOKUP($A$4:$A$30,MAI!$B$5:$Y$31,24,)</f>
        <v>6517.1679999999997</v>
      </c>
      <c r="H8" s="465">
        <f>VLOOKUP($A$4:$A$30,JUN!$B$5:$Y$31,24,)</f>
        <v>6651.72</v>
      </c>
      <c r="I8" s="464">
        <f>VLOOKUP($A$4:$A$30,JUL!$B$5:$Y$31,24,)</f>
        <v>9969.4959999999992</v>
      </c>
      <c r="J8" s="464">
        <f>VLOOKUP($A$4:$A$30,AGO!$B$5:$Y$31,24,)</f>
        <v>10353.472</v>
      </c>
      <c r="K8" s="464">
        <f>VLOOKUP($A$4:$A$30,SET!$B$5:$Y$31,24,)</f>
        <v>15934.376000000004</v>
      </c>
      <c r="L8" s="464">
        <f>VLOOKUP($A$4:$A$30,OUT!$B$5:$Y$31,24,)</f>
        <v>15001.344000000003</v>
      </c>
      <c r="M8" s="463">
        <f>VLOOKUP($A$4:$A$30,NOV!$B$5:$Y$31,24,)</f>
        <v>18513.511999999999</v>
      </c>
      <c r="N8" s="463">
        <f>VLOOKUP($A$4:$A$30,DEZ!$B$5:$Y$31,24,)</f>
        <v>16964.896000000001</v>
      </c>
      <c r="O8" s="463">
        <f t="shared" si="0"/>
        <v>155558.25599999999</v>
      </c>
      <c r="P8" s="462">
        <f t="shared" si="1"/>
        <v>144.37404620039837</v>
      </c>
      <c r="Q8" s="461">
        <f t="shared" si="2"/>
        <v>2.0687812553166802</v>
      </c>
      <c r="R8" s="448">
        <f t="shared" si="3"/>
        <v>1.4437404620039835</v>
      </c>
    </row>
    <row r="9" spans="1:18" s="451" customFormat="1" ht="28.5">
      <c r="A9" s="468" t="s">
        <v>92</v>
      </c>
      <c r="B9" s="467">
        <v>57383.770000000004</v>
      </c>
      <c r="C9" s="466">
        <f>VLOOKUP($A$4:$A$30,JAN!$R$5:$AN$31,23,)</f>
        <v>8037.68</v>
      </c>
      <c r="D9" s="466">
        <f>VLOOKUP($A$4:$A$30,FEV!$R$5:$AN$31,23,)</f>
        <v>10542.575999999999</v>
      </c>
      <c r="E9" s="466">
        <f>VLOOKUP($A$4:$A$30,MAR!$R$5:$AN$31,23,)</f>
        <v>4848.1360000000004</v>
      </c>
      <c r="F9" s="465">
        <f>VLOOKUP($A$4:$A$30,ABR!$R$5:$AO$31,24,)</f>
        <v>3931.44</v>
      </c>
      <c r="G9" s="465">
        <f>VLOOKUP($A$4:$A$30,MAI!$B$5:$Y$31,24,)</f>
        <v>4578.5120000000006</v>
      </c>
      <c r="H9" s="465">
        <f>VLOOKUP($A$4:$A$30,JUN!$B$5:$Y$31,24,)</f>
        <v>9590.1839999999993</v>
      </c>
      <c r="I9" s="464">
        <f>VLOOKUP($A$4:$A$30,JUL!$B$5:$Y$31,24,)</f>
        <v>5997.9920000000011</v>
      </c>
      <c r="J9" s="464">
        <f>VLOOKUP($A$4:$A$30,AGO!$B$5:$Y$31,24,)</f>
        <v>8096.8880000000017</v>
      </c>
      <c r="K9" s="464">
        <f>VLOOKUP($A$4:$A$30,SET!$B$5:$Y$31,24,)</f>
        <v>13045.264000000003</v>
      </c>
      <c r="L9" s="464">
        <f>VLOOKUP($A$4:$A$30,OUT!$B$5:$Y$31,24,)</f>
        <v>9985.2560000000012</v>
      </c>
      <c r="M9" s="463">
        <f>VLOOKUP($A$4:$A$30,NOV!$B$5:$Y$31,24,)</f>
        <v>9812.7599999999984</v>
      </c>
      <c r="N9" s="463">
        <f>VLOOKUP($A$4:$A$30,DEZ!$B$5:$Y$31,24,)</f>
        <v>11043.496000000001</v>
      </c>
      <c r="O9" s="463">
        <f t="shared" si="0"/>
        <v>99510.183999999979</v>
      </c>
      <c r="P9" s="462">
        <f t="shared" si="1"/>
        <v>173.41172251317747</v>
      </c>
      <c r="Q9" s="461">
        <f t="shared" si="2"/>
        <v>1.3233936189945057</v>
      </c>
      <c r="R9" s="448">
        <f t="shared" si="3"/>
        <v>1.7341172251317747</v>
      </c>
    </row>
    <row r="10" spans="1:18" s="451" customFormat="1" ht="28.5">
      <c r="A10" s="468" t="s">
        <v>93</v>
      </c>
      <c r="B10" s="467">
        <v>186218.79</v>
      </c>
      <c r="C10" s="466">
        <f>VLOOKUP($A$4:$A$30,JAN!$R$5:$AN$31,23,)</f>
        <v>22522.968000000004</v>
      </c>
      <c r="D10" s="466">
        <f>VLOOKUP($A$4:$A$30,FEV!$R$5:$AN$31,23,)</f>
        <v>16258.056000000002</v>
      </c>
      <c r="E10" s="466">
        <f>VLOOKUP($A$4:$A$30,MAR!$R$5:$AN$31,23,)</f>
        <v>16483.400000000001</v>
      </c>
      <c r="F10" s="465">
        <f>VLOOKUP($A$4:$A$30,ABR!$R$5:$AO$31,24,)</f>
        <v>10684.04</v>
      </c>
      <c r="G10" s="465">
        <f>VLOOKUP($A$4:$A$30,MAI!$B$5:$Y$31,24,)</f>
        <v>14942.055999999999</v>
      </c>
      <c r="H10" s="465">
        <f>VLOOKUP($A$4:$A$30,JUN!$B$5:$Y$31,24,)</f>
        <v>10220.784000000001</v>
      </c>
      <c r="I10" s="464">
        <f>VLOOKUP($A$4:$A$30,JUL!$B$5:$Y$31,24,)</f>
        <v>9663.52</v>
      </c>
      <c r="J10" s="464">
        <f>VLOOKUP($A$4:$A$30,AGO!$B$5:$Y$31,24,)</f>
        <v>17413.232</v>
      </c>
      <c r="K10" s="464">
        <f>VLOOKUP($A$4:$A$30,SET!$B$5:$Y$31,24,)</f>
        <v>16664.072</v>
      </c>
      <c r="L10" s="464">
        <f>VLOOKUP($A$4:$A$30,OUT!$B$5:$Y$31,24,)</f>
        <v>20630.543999999998</v>
      </c>
      <c r="M10" s="463">
        <f>VLOOKUP($A$4:$A$30,NOV!$B$5:$Y$31,24,)</f>
        <v>22226.432000000004</v>
      </c>
      <c r="N10" s="463">
        <f>VLOOKUP($A$4:$A$30,DEZ!$B$5:$Y$31,24,)</f>
        <v>15818.215999999999</v>
      </c>
      <c r="O10" s="463">
        <f t="shared" si="0"/>
        <v>193527.32</v>
      </c>
      <c r="P10" s="462">
        <f t="shared" si="1"/>
        <v>103.92470061694634</v>
      </c>
      <c r="Q10" s="461">
        <f t="shared" si="2"/>
        <v>2.5737347685851715</v>
      </c>
      <c r="R10" s="448">
        <f t="shared" si="3"/>
        <v>1.0392470061694634</v>
      </c>
    </row>
    <row r="11" spans="1:18" s="451" customFormat="1" ht="28.5">
      <c r="A11" s="468" t="s">
        <v>94</v>
      </c>
      <c r="B11" s="467">
        <v>111410.01999999999</v>
      </c>
      <c r="C11" s="466">
        <f>VLOOKUP($A$4:$A$30,JAN!$R$5:$AN$31,23,)</f>
        <v>12693.168</v>
      </c>
      <c r="D11" s="466">
        <f>VLOOKUP($A$4:$A$30,FEV!$R$5:$AN$31,23,)</f>
        <v>11108.432000000001</v>
      </c>
      <c r="E11" s="466">
        <f>VLOOKUP($A$4:$A$30,MAR!$R$5:$AN$31,23,)</f>
        <v>9799.7920000000013</v>
      </c>
      <c r="F11" s="465">
        <f>VLOOKUP($A$4:$A$30,ABR!$R$5:$AO$31,24,)</f>
        <v>6983.8159999999998</v>
      </c>
      <c r="G11" s="465">
        <f>VLOOKUP($A$4:$A$30,MAI!$B$5:$Y$31,24,)</f>
        <v>4861.9359999999997</v>
      </c>
      <c r="H11" s="465">
        <f>VLOOKUP($A$4:$A$30,JUN!$B$5:$Y$31,24,)</f>
        <v>4955.6320000000005</v>
      </c>
      <c r="I11" s="464">
        <f>VLOOKUP($A$4:$A$30,JUL!$B$5:$Y$31,24,)</f>
        <v>4963.3040000000001</v>
      </c>
      <c r="J11" s="464">
        <f>VLOOKUP($A$4:$A$30,AGO!$B$5:$Y$31,24,)</f>
        <v>6655.6</v>
      </c>
      <c r="K11" s="464">
        <f>VLOOKUP($A$4:$A$30,SET!$B$5:$Y$31,24,)</f>
        <v>7214.0720000000001</v>
      </c>
      <c r="L11" s="464">
        <f>VLOOKUP($A$4:$A$30,OUT!$B$5:$Y$31,24,)</f>
        <v>8883.7200000000012</v>
      </c>
      <c r="M11" s="463">
        <f>VLOOKUP($A$4:$A$30,NOV!$B$5:$Y$31,24,)</f>
        <v>9636.3040000000001</v>
      </c>
      <c r="N11" s="463">
        <f>VLOOKUP($A$4:$A$30,DEZ!$B$5:$Y$31,24,)</f>
        <v>15517.103999999999</v>
      </c>
      <c r="O11" s="463">
        <f t="shared" si="0"/>
        <v>103272.88</v>
      </c>
      <c r="P11" s="462">
        <f t="shared" si="1"/>
        <v>92.696222476218935</v>
      </c>
      <c r="Q11" s="461">
        <f t="shared" si="2"/>
        <v>1.3734340035707837</v>
      </c>
      <c r="R11" s="448">
        <f t="shared" si="3"/>
        <v>0.92696222476218937</v>
      </c>
    </row>
    <row r="12" spans="1:18" s="451" customFormat="1" ht="28.5">
      <c r="A12" s="468" t="s">
        <v>95</v>
      </c>
      <c r="B12" s="467">
        <v>111784</v>
      </c>
      <c r="C12" s="466">
        <f>VLOOKUP($A$4:$A$30,JAN!$R$5:$AN$31,23,)</f>
        <v>13902</v>
      </c>
      <c r="D12" s="466">
        <f>VLOOKUP($A$4:$A$30,FEV!$R$5:$AN$31,23,)</f>
        <v>13566.871999999999</v>
      </c>
      <c r="E12" s="466">
        <f>VLOOKUP($A$4:$A$30,MAR!$R$5:$AN$31,23,)</f>
        <v>12007.431999999999</v>
      </c>
      <c r="F12" s="465">
        <f>VLOOKUP($A$4:$A$30,ABR!$R$5:$AO$31,24,)</f>
        <v>10820.216000000002</v>
      </c>
      <c r="G12" s="465">
        <f>VLOOKUP($A$4:$A$30,MAI!$B$5:$Y$31,24,)</f>
        <v>6865.0559999999996</v>
      </c>
      <c r="H12" s="465">
        <f>VLOOKUP($A$4:$A$30,JUN!$B$5:$Y$31,24,)</f>
        <v>11446.232</v>
      </c>
      <c r="I12" s="464">
        <f>VLOOKUP($A$4:$A$30,JUL!$B$5:$Y$31,24,)</f>
        <v>11317.624</v>
      </c>
      <c r="J12" s="464">
        <f>VLOOKUP($A$4:$A$30,AGO!$B$5:$Y$31,24,)</f>
        <v>13906.760000000002</v>
      </c>
      <c r="K12" s="464">
        <f>VLOOKUP($A$4:$A$30,SET!$B$5:$Y$31,24,)</f>
        <v>18807.912</v>
      </c>
      <c r="L12" s="464">
        <f>VLOOKUP($A$4:$A$30,OUT!$B$5:$Y$31,24,)</f>
        <v>19051.335999999999</v>
      </c>
      <c r="M12" s="463">
        <f>VLOOKUP($A$4:$A$30,NOV!$B$5:$Y$31,24,)</f>
        <v>17154.072</v>
      </c>
      <c r="N12" s="463">
        <f>VLOOKUP($A$4:$A$30,DEZ!$B$5:$Y$31,24,)</f>
        <v>17181.68</v>
      </c>
      <c r="O12" s="463">
        <f t="shared" si="0"/>
        <v>166027.19199999998</v>
      </c>
      <c r="P12" s="462">
        <f t="shared" si="1"/>
        <v>148.52500536749446</v>
      </c>
      <c r="Q12" s="461">
        <f t="shared" si="2"/>
        <v>2.2080084433606881</v>
      </c>
      <c r="R12" s="448">
        <f t="shared" si="3"/>
        <v>1.4852500536749444</v>
      </c>
    </row>
    <row r="13" spans="1:18" s="451" customFormat="1" ht="28.5">
      <c r="A13" s="468" t="s">
        <v>96</v>
      </c>
      <c r="B13" s="467">
        <v>62690.37</v>
      </c>
      <c r="C13" s="466">
        <f>VLOOKUP($A$4:$A$30,JAN!$R$5:$AN$31,23,)</f>
        <v>5276.0319999999992</v>
      </c>
      <c r="D13" s="466">
        <f>VLOOKUP($A$4:$A$30,FEV!$R$5:$AN$31,23,)</f>
        <v>6220.6720000000005</v>
      </c>
      <c r="E13" s="466">
        <f>VLOOKUP($A$4:$A$30,MAR!$R$5:$AN$31,23,)</f>
        <v>9229.4959999999992</v>
      </c>
      <c r="F13" s="465">
        <f>VLOOKUP($A$4:$A$30,ABR!$R$5:$AO$31,24,)</f>
        <v>4121.576</v>
      </c>
      <c r="G13" s="465">
        <f>VLOOKUP($A$4:$A$30,MAI!$B$5:$Y$31,24,)</f>
        <v>2310.3680000000004</v>
      </c>
      <c r="H13" s="465">
        <f>VLOOKUP($A$4:$A$30,JUN!$B$5:$Y$31,24,)</f>
        <v>3687.5280000000007</v>
      </c>
      <c r="I13" s="464">
        <f>VLOOKUP($A$4:$A$30,JUL!$B$5:$Y$31,24,)</f>
        <v>3787.5279999999998</v>
      </c>
      <c r="J13" s="464">
        <f>VLOOKUP($A$4:$A$30,AGO!$B$5:$Y$31,24,)</f>
        <v>4394.3920000000007</v>
      </c>
      <c r="K13" s="464">
        <f>VLOOKUP($A$4:$A$30,SET!$B$5:$Y$31,24,)</f>
        <v>7201.6239999999998</v>
      </c>
      <c r="L13" s="464">
        <f>VLOOKUP($A$4:$A$30,OUT!$B$5:$Y$31,24,)</f>
        <v>6232.1200000000008</v>
      </c>
      <c r="M13" s="463">
        <f>VLOOKUP($A$4:$A$30,NOV!$B$5:$Y$31,24,)</f>
        <v>6177.0640000000003</v>
      </c>
      <c r="N13" s="463">
        <f>VLOOKUP($A$4:$A$30,DEZ!$B$5:$Y$31,24,)</f>
        <v>8216.2160000000003</v>
      </c>
      <c r="O13" s="463">
        <f t="shared" si="0"/>
        <v>66854.616000000009</v>
      </c>
      <c r="P13" s="462">
        <f t="shared" si="1"/>
        <v>106.64256089093112</v>
      </c>
      <c r="Q13" s="461">
        <f t="shared" si="2"/>
        <v>0.88910469922081559</v>
      </c>
      <c r="R13" s="448">
        <f t="shared" si="3"/>
        <v>1.0664256089093112</v>
      </c>
    </row>
    <row r="14" spans="1:18" s="451" customFormat="1" ht="28.5">
      <c r="A14" s="468" t="s">
        <v>99</v>
      </c>
      <c r="B14" s="467">
        <v>463078.48</v>
      </c>
      <c r="C14" s="466">
        <f>VLOOKUP($A$4:$A$30,JAN!$R$5:$AN$31,23,)</f>
        <v>60622.336000000003</v>
      </c>
      <c r="D14" s="466">
        <f>VLOOKUP($A$4:$A$30,FEV!$R$5:$AN$31,23,)</f>
        <v>47805.136000000006</v>
      </c>
      <c r="E14" s="466">
        <f>VLOOKUP($A$4:$A$30,MAR!$R$5:$AN$31,23,)</f>
        <v>45276.992000000006</v>
      </c>
      <c r="F14" s="465">
        <f>VLOOKUP($A$4:$A$30,ABR!$R$5:$AO$31,24,)</f>
        <v>30131.295999999998</v>
      </c>
      <c r="G14" s="465">
        <f>VLOOKUP($A$4:$A$30,MAI!$B$5:$Y$31,24,)</f>
        <v>33399.288</v>
      </c>
      <c r="H14" s="465">
        <f>VLOOKUP($A$4:$A$30,JUN!$B$5:$Y$31,24,)</f>
        <v>35544.544000000002</v>
      </c>
      <c r="I14" s="464">
        <f>VLOOKUP($A$4:$A$30,JUL!$B$5:$Y$31,24,)</f>
        <v>34341.623999999996</v>
      </c>
      <c r="J14" s="464">
        <f>VLOOKUP($A$4:$A$30,AGO!$B$5:$Y$31,24,)</f>
        <v>37508.744000000006</v>
      </c>
      <c r="K14" s="464">
        <f>VLOOKUP($A$4:$A$30,SET!$B$5:$Y$31,24,)</f>
        <v>45116.671999999999</v>
      </c>
      <c r="L14" s="464">
        <f>VLOOKUP($A$4:$A$30,OUT!$B$5:$Y$31,24,)</f>
        <v>48610.376000000004</v>
      </c>
      <c r="M14" s="463">
        <f>VLOOKUP($A$4:$A$30,NOV!$B$5:$Y$31,24,)</f>
        <v>54979.184000000001</v>
      </c>
      <c r="N14" s="463">
        <f>VLOOKUP($A$4:$A$30,DEZ!$B$5:$Y$31,24,)</f>
        <v>55572.216000000008</v>
      </c>
      <c r="O14" s="463">
        <f t="shared" si="0"/>
        <v>528908.40800000005</v>
      </c>
      <c r="P14" s="462">
        <f t="shared" si="1"/>
        <v>114.21571738768775</v>
      </c>
      <c r="Q14" s="461">
        <f t="shared" si="2"/>
        <v>7.0339937486171538</v>
      </c>
      <c r="R14" s="448">
        <f t="shared" si="3"/>
        <v>1.1421571738768774</v>
      </c>
    </row>
    <row r="15" spans="1:18" s="451" customFormat="1" ht="28.5">
      <c r="A15" s="468" t="s">
        <v>98</v>
      </c>
      <c r="B15" s="467">
        <v>117897.60000000001</v>
      </c>
      <c r="C15" s="466">
        <f>VLOOKUP($A$4:$A$30,JAN!$R$5:$AN$31,23,)</f>
        <v>10979.584000000004</v>
      </c>
      <c r="D15" s="466">
        <f>VLOOKUP($A$4:$A$30,FEV!$R$5:$AN$31,23,)</f>
        <v>8976.1439999999984</v>
      </c>
      <c r="E15" s="466">
        <f>VLOOKUP($A$4:$A$30,MAR!$R$5:$AN$31,23,)</f>
        <v>9400.9600000000009</v>
      </c>
      <c r="F15" s="465">
        <f>VLOOKUP($A$4:$A$30,ABR!$R$5:$AO$31,24,)</f>
        <v>8330.2720000000008</v>
      </c>
      <c r="G15" s="465">
        <f>VLOOKUP($A$4:$A$30,MAI!$B$5:$Y$31,24,)</f>
        <v>5320.5519999999997</v>
      </c>
      <c r="H15" s="465">
        <f>VLOOKUP($A$4:$A$30,JUN!$B$5:$Y$31,24,)</f>
        <v>6491.9439999999995</v>
      </c>
      <c r="I15" s="464">
        <f>VLOOKUP($A$4:$A$30,JUL!$B$5:$Y$31,24,)</f>
        <v>6688.52</v>
      </c>
      <c r="J15" s="464">
        <f>VLOOKUP($A$4:$A$30,AGO!$B$5:$Y$31,24,)</f>
        <v>8384.9840000000004</v>
      </c>
      <c r="K15" s="464">
        <f>VLOOKUP($A$4:$A$30,SET!$B$5:$Y$31,24,)</f>
        <v>14644.839999999998</v>
      </c>
      <c r="L15" s="464">
        <f>VLOOKUP($A$4:$A$30,OUT!$B$5:$Y$31,24,)</f>
        <v>13006.72</v>
      </c>
      <c r="M15" s="463">
        <f>VLOOKUP($A$4:$A$30,NOV!$B$5:$Y$31,24,)</f>
        <v>11097.816000000001</v>
      </c>
      <c r="N15" s="463">
        <f>VLOOKUP($A$4:$A$30,DEZ!$B$5:$Y$31,24,)</f>
        <v>9135.0879999999997</v>
      </c>
      <c r="O15" s="463">
        <f t="shared" si="0"/>
        <v>112457.42400000001</v>
      </c>
      <c r="P15" s="462">
        <f t="shared" si="1"/>
        <v>95.385677062128494</v>
      </c>
      <c r="Q15" s="461">
        <f t="shared" si="2"/>
        <v>1.4955799632544104</v>
      </c>
      <c r="R15" s="448">
        <f t="shared" si="3"/>
        <v>0.95385677062128493</v>
      </c>
    </row>
    <row r="16" spans="1:18" s="451" customFormat="1" ht="28.5">
      <c r="A16" s="468" t="s">
        <v>97</v>
      </c>
      <c r="B16" s="467">
        <v>111791.62</v>
      </c>
      <c r="C16" s="466">
        <f>VLOOKUP($A$4:$A$30,JAN!$R$5:$AN$31,23,)</f>
        <v>5504.3360000000002</v>
      </c>
      <c r="D16" s="466">
        <f>VLOOKUP($A$4:$A$30,FEV!$R$5:$AN$31,23,)</f>
        <v>6385.3919999999998</v>
      </c>
      <c r="E16" s="466">
        <f>VLOOKUP($A$4:$A$30,MAR!$R$5:$AN$31,23,)</f>
        <v>7158.5920000000006</v>
      </c>
      <c r="F16" s="465">
        <f>VLOOKUP($A$4:$A$30,ABR!$R$5:$AO$31,24,)</f>
        <v>3672.288</v>
      </c>
      <c r="G16" s="465">
        <f>VLOOKUP($A$4:$A$30,MAI!$B$5:$Y$31,24,)</f>
        <v>8091.4160000000011</v>
      </c>
      <c r="H16" s="465">
        <f>VLOOKUP($A$4:$A$30,JUN!$B$5:$Y$31,24,)</f>
        <v>13183.984</v>
      </c>
      <c r="I16" s="464">
        <f>VLOOKUP($A$4:$A$30,JUL!$B$5:$Y$31,24,)</f>
        <v>9734.0879999999997</v>
      </c>
      <c r="J16" s="464">
        <f>VLOOKUP($A$4:$A$30,AGO!$B$5:$Y$31,24,)</f>
        <v>14512.743999999999</v>
      </c>
      <c r="K16" s="464">
        <f>VLOOKUP($A$4:$A$30,SET!$B$5:$Y$31,24,)</f>
        <v>11351.584000000001</v>
      </c>
      <c r="L16" s="464">
        <f>VLOOKUP($A$4:$A$30,OUT!$B$5:$Y$31,24,)</f>
        <v>9614.0560000000005</v>
      </c>
      <c r="M16" s="463">
        <f>VLOOKUP($A$4:$A$30,NOV!$B$5:$Y$31,24,)</f>
        <v>11433.784000000001</v>
      </c>
      <c r="N16" s="463">
        <f>VLOOKUP($A$4:$A$30,DEZ!$B$5:$Y$31,24,)</f>
        <v>12366.672000000002</v>
      </c>
      <c r="O16" s="463">
        <f t="shared" si="0"/>
        <v>113008.936</v>
      </c>
      <c r="P16" s="462">
        <f t="shared" si="1"/>
        <v>101.0889152514294</v>
      </c>
      <c r="Q16" s="461">
        <f t="shared" si="2"/>
        <v>1.5029145639179855</v>
      </c>
      <c r="R16" s="448">
        <f t="shared" si="3"/>
        <v>1.010889152514294</v>
      </c>
    </row>
    <row r="17" spans="1:18" s="451" customFormat="1" ht="28.5">
      <c r="A17" s="468" t="s">
        <v>100</v>
      </c>
      <c r="B17" s="467">
        <v>76983.98</v>
      </c>
      <c r="C17" s="466">
        <f>VLOOKUP($A$4:$A$30,JAN!$R$5:$AN$31,23,)</f>
        <v>13758.328000000001</v>
      </c>
      <c r="D17" s="466">
        <f>VLOOKUP($A$4:$A$30,FEV!$R$5:$AN$31,23,)</f>
        <v>8869.112000000001</v>
      </c>
      <c r="E17" s="466">
        <f>VLOOKUP($A$4:$A$30,MAR!$R$5:$AN$31,23,)</f>
        <v>12402.455999999998</v>
      </c>
      <c r="F17" s="465">
        <f>VLOOKUP($A$4:$A$30,ABR!$R$5:$AO$31,24,)</f>
        <v>5258.56</v>
      </c>
      <c r="G17" s="465">
        <f>VLOOKUP($A$4:$A$30,MAI!$B$5:$Y$31,24,)</f>
        <v>4842.3840000000009</v>
      </c>
      <c r="H17" s="465">
        <f>VLOOKUP($A$4:$A$30,JUN!$B$5:$Y$31,24,)</f>
        <v>5226.0880000000006</v>
      </c>
      <c r="I17" s="464">
        <f>VLOOKUP($A$4:$A$30,JUL!$B$5:$Y$31,24,)</f>
        <v>7211.3680000000013</v>
      </c>
      <c r="J17" s="464">
        <f>VLOOKUP($A$4:$A$30,AGO!$B$5:$Y$31,24,)</f>
        <v>10368.808000000001</v>
      </c>
      <c r="K17" s="464">
        <f>VLOOKUP($A$4:$A$30,SET!$B$5:$Y$31,24,)</f>
        <v>9060.2480000000014</v>
      </c>
      <c r="L17" s="464">
        <f>VLOOKUP($A$4:$A$30,OUT!$B$5:$Y$31,24,)</f>
        <v>11953.336000000001</v>
      </c>
      <c r="M17" s="463">
        <f>VLOOKUP($A$4:$A$30,NOV!$B$5:$Y$31,24,)</f>
        <v>11905.6</v>
      </c>
      <c r="N17" s="463">
        <f>VLOOKUP($A$4:$A$30,DEZ!$B$5:$Y$31,24,)</f>
        <v>9030.9840000000004</v>
      </c>
      <c r="O17" s="463">
        <f t="shared" si="0"/>
        <v>109887.27200000001</v>
      </c>
      <c r="P17" s="462">
        <f t="shared" si="1"/>
        <v>142.74044028380973</v>
      </c>
      <c r="Q17" s="461">
        <f t="shared" si="2"/>
        <v>1.4613993133960406</v>
      </c>
      <c r="R17" s="448">
        <f t="shared" si="3"/>
        <v>1.4274044028380972</v>
      </c>
    </row>
    <row r="18" spans="1:18" s="451" customFormat="1" ht="28.5">
      <c r="A18" s="468" t="s">
        <v>101</v>
      </c>
      <c r="B18" s="467">
        <v>67172.36</v>
      </c>
      <c r="C18" s="466">
        <f>VLOOKUP($A$4:$A$30,JAN!$R$5:$AN$31,23,)</f>
        <v>9565.0160000000014</v>
      </c>
      <c r="D18" s="466">
        <f>VLOOKUP($A$4:$A$30,FEV!$R$5:$AN$31,23,)</f>
        <v>9103.5119999999988</v>
      </c>
      <c r="E18" s="466">
        <f>VLOOKUP($A$4:$A$30,MAR!$R$5:$AN$31,23,)</f>
        <v>7063.2400000000007</v>
      </c>
      <c r="F18" s="465">
        <f>VLOOKUP($A$4:$A$30,ABR!$R$5:$AO$31,24,)</f>
        <v>5017.9760000000006</v>
      </c>
      <c r="G18" s="465">
        <f>VLOOKUP($A$4:$A$30,MAI!$B$5:$Y$31,24,)</f>
        <v>2705.8160000000003</v>
      </c>
      <c r="H18" s="465">
        <f>VLOOKUP($A$4:$A$30,JUN!$B$5:$Y$31,24,)</f>
        <v>3374.2639999999997</v>
      </c>
      <c r="I18" s="464">
        <f>VLOOKUP($A$4:$A$30,JUL!$B$5:$Y$31,24,)</f>
        <v>4833.1680000000006</v>
      </c>
      <c r="J18" s="464">
        <f>VLOOKUP($A$4:$A$30,AGO!$B$5:$Y$31,24,)</f>
        <v>6454.7920000000004</v>
      </c>
      <c r="K18" s="464">
        <f>VLOOKUP($A$4:$A$30,SET!$B$5:$Y$31,24,)</f>
        <v>9255.76</v>
      </c>
      <c r="L18" s="464">
        <f>VLOOKUP($A$4:$A$30,OUT!$B$5:$Y$31,24,)</f>
        <v>11961.128000000002</v>
      </c>
      <c r="M18" s="463">
        <f>VLOOKUP($A$4:$A$30,NOV!$B$5:$Y$31,24,)</f>
        <v>8985.5519999999997</v>
      </c>
      <c r="N18" s="463">
        <f>VLOOKUP($A$4:$A$30,DEZ!$B$5:$Y$31,24,)</f>
        <v>12253.576000000001</v>
      </c>
      <c r="O18" s="463">
        <f t="shared" si="0"/>
        <v>90573.8</v>
      </c>
      <c r="P18" s="462">
        <f t="shared" si="1"/>
        <v>134.83790058887317</v>
      </c>
      <c r="Q18" s="461">
        <f t="shared" si="2"/>
        <v>1.2045479583083134</v>
      </c>
      <c r="R18" s="448">
        <f t="shared" si="3"/>
        <v>1.3483790058887317</v>
      </c>
    </row>
    <row r="19" spans="1:18" s="451" customFormat="1" ht="28.5">
      <c r="A19" s="468" t="s">
        <v>103</v>
      </c>
      <c r="B19" s="467">
        <v>117377.69</v>
      </c>
      <c r="C19" s="466">
        <f>VLOOKUP($A$4:$A$30,JAN!$R$5:$AN$31,23,)</f>
        <v>22886.712000000003</v>
      </c>
      <c r="D19" s="466">
        <f>VLOOKUP($A$4:$A$30,FEV!$R$5:$AN$31,23,)</f>
        <v>16196.048000000001</v>
      </c>
      <c r="E19" s="466">
        <f>VLOOKUP($A$4:$A$30,MAR!$R$5:$AN$31,23,)</f>
        <v>13074.576000000001</v>
      </c>
      <c r="F19" s="465">
        <f>VLOOKUP($A$4:$A$30,ABR!$R$5:$AO$31,24,)</f>
        <v>6821.4960000000001</v>
      </c>
      <c r="G19" s="465">
        <f>VLOOKUP($A$4:$A$30,MAI!$B$5:$Y$31,24,)</f>
        <v>6117.3360000000002</v>
      </c>
      <c r="H19" s="465">
        <f>VLOOKUP($A$4:$A$30,JUN!$B$5:$Y$31,24,)</f>
        <v>6669.2720000000008</v>
      </c>
      <c r="I19" s="464">
        <f>VLOOKUP($A$4:$A$30,JUL!$B$5:$Y$31,24,)</f>
        <v>10192.831999999999</v>
      </c>
      <c r="J19" s="464">
        <f>VLOOKUP($A$4:$A$30,AGO!$B$5:$Y$31,24,)</f>
        <v>10544.544000000004</v>
      </c>
      <c r="K19" s="464">
        <f>VLOOKUP($A$4:$A$30,SET!$B$5:$Y$31,24,)</f>
        <v>16730.688000000002</v>
      </c>
      <c r="L19" s="464">
        <f>VLOOKUP($A$4:$A$30,OUT!$B$5:$Y$31,24,)</f>
        <v>18254.448000000004</v>
      </c>
      <c r="M19" s="463">
        <f>VLOOKUP($A$4:$A$30,NOV!$B$5:$Y$31,24,)</f>
        <v>16075.903999999999</v>
      </c>
      <c r="N19" s="463">
        <f>VLOOKUP($A$4:$A$30,DEZ!$B$5:$Y$31,24,)</f>
        <v>15879.288</v>
      </c>
      <c r="O19" s="463">
        <f t="shared" si="0"/>
        <v>159443.14400000003</v>
      </c>
      <c r="P19" s="462">
        <f t="shared" si="1"/>
        <v>135.83769113193489</v>
      </c>
      <c r="Q19" s="461">
        <f t="shared" si="2"/>
        <v>2.1204466807339255</v>
      </c>
      <c r="R19" s="448">
        <f t="shared" si="3"/>
        <v>1.3583769113193489</v>
      </c>
    </row>
    <row r="20" spans="1:18" s="451" customFormat="1" ht="28.5">
      <c r="A20" s="468" t="s">
        <v>104</v>
      </c>
      <c r="B20" s="467">
        <v>31540.54</v>
      </c>
      <c r="C20" s="466">
        <f>VLOOKUP($A$4:$A$30,JAN!$R$5:$AN$31,23,)</f>
        <v>4178.4480000000003</v>
      </c>
      <c r="D20" s="466">
        <f>VLOOKUP($A$4:$A$30,FEV!$R$5:$AN$31,23,)</f>
        <v>3586.0960000000005</v>
      </c>
      <c r="E20" s="466">
        <f>VLOOKUP($A$4:$A$30,MAR!$R$5:$AN$31,23,)</f>
        <v>2315.424</v>
      </c>
      <c r="F20" s="465">
        <f>VLOOKUP($A$4:$A$30,ABR!$R$5:$AO$31,24,)</f>
        <v>2167.52</v>
      </c>
      <c r="G20" s="465">
        <f>VLOOKUP($A$4:$A$30,MAI!$B$5:$Y$31,24,)</f>
        <v>1431.3200000000002</v>
      </c>
      <c r="H20" s="465">
        <f>VLOOKUP($A$4:$A$30,JUN!$B$5:$Y$31,24,)</f>
        <v>1027.9440000000002</v>
      </c>
      <c r="I20" s="464">
        <f>VLOOKUP($A$4:$A$30,JUL!$B$5:$Y$31,24,)</f>
        <v>1362.44</v>
      </c>
      <c r="J20" s="464">
        <f>VLOOKUP($A$4:$A$30,AGO!$B$5:$Y$31,24,)</f>
        <v>5693.4080000000004</v>
      </c>
      <c r="K20" s="464">
        <f>VLOOKUP($A$4:$A$30,SET!$B$5:$Y$31,24,)</f>
        <v>3805.5280000000002</v>
      </c>
      <c r="L20" s="464">
        <f>VLOOKUP($A$4:$A$30,OUT!$B$5:$Y$31,24,)</f>
        <v>4369.6399999999994</v>
      </c>
      <c r="M20" s="463">
        <f>VLOOKUP($A$4:$A$30,NOV!$B$5:$Y$31,24,)</f>
        <v>4494.5120000000006</v>
      </c>
      <c r="N20" s="463">
        <f>VLOOKUP($A$4:$A$30,DEZ!$B$5:$Y$31,24,)</f>
        <v>8478.6080000000002</v>
      </c>
      <c r="O20" s="463">
        <f t="shared" si="0"/>
        <v>42910.888000000006</v>
      </c>
      <c r="P20" s="462">
        <f t="shared" si="1"/>
        <v>136.04994714738555</v>
      </c>
      <c r="Q20" s="461">
        <f t="shared" si="2"/>
        <v>0.57067521214298955</v>
      </c>
      <c r="R20" s="448">
        <f t="shared" si="3"/>
        <v>1.3604994714738556</v>
      </c>
    </row>
    <row r="21" spans="1:18" s="451" customFormat="1" ht="28.5">
      <c r="A21" s="468" t="s">
        <v>102</v>
      </c>
      <c r="B21" s="467">
        <v>370038.78</v>
      </c>
      <c r="C21" s="466">
        <f>VLOOKUP($A$4:$A$30,JAN!$R$5:$AN$31,23,)</f>
        <v>61992.088000000003</v>
      </c>
      <c r="D21" s="466">
        <f>VLOOKUP($A$4:$A$30,FEV!$R$5:$AN$31,23,)</f>
        <v>46965.248</v>
      </c>
      <c r="E21" s="466">
        <f>VLOOKUP($A$4:$A$30,MAR!$R$5:$AN$31,23,)</f>
        <v>46103.76</v>
      </c>
      <c r="F21" s="465">
        <f>VLOOKUP($A$4:$A$30,ABR!$R$5:$AO$31,24,)</f>
        <v>25708.336000000003</v>
      </c>
      <c r="G21" s="465">
        <f>VLOOKUP($A$4:$A$30,MAI!$B$5:$Y$31,24,)</f>
        <v>26532.560000000001</v>
      </c>
      <c r="H21" s="465">
        <f>VLOOKUP($A$4:$A$30,JUN!$B$5:$Y$31,24,)</f>
        <v>27349.384000000002</v>
      </c>
      <c r="I21" s="464">
        <f>VLOOKUP($A$4:$A$30,JUL!$B$5:$Y$31,24,)</f>
        <v>27767.824000000001</v>
      </c>
      <c r="J21" s="464">
        <f>VLOOKUP($A$4:$A$30,AGO!$B$5:$Y$31,24,)</f>
        <v>34528.207999999999</v>
      </c>
      <c r="K21" s="464">
        <f>VLOOKUP($A$4:$A$30,SET!$B$5:$Y$31,24,)</f>
        <v>44242.504000000001</v>
      </c>
      <c r="L21" s="464">
        <f>VLOOKUP($A$4:$A$30,OUT!$B$5:$Y$31,24,)</f>
        <v>37896.19200000001</v>
      </c>
      <c r="M21" s="463">
        <f>VLOOKUP($A$4:$A$30,NOV!$B$5:$Y$31,24,)</f>
        <v>44387.752000000008</v>
      </c>
      <c r="N21" s="463">
        <f>VLOOKUP($A$4:$A$30,DEZ!$B$5:$Y$31,24,)</f>
        <v>38493.807999999997</v>
      </c>
      <c r="O21" s="463">
        <f t="shared" si="0"/>
        <v>461967.66400000005</v>
      </c>
      <c r="P21" s="462">
        <f t="shared" si="1"/>
        <v>124.84304050510598</v>
      </c>
      <c r="Q21" s="461">
        <f t="shared" si="2"/>
        <v>6.1437436264754366</v>
      </c>
      <c r="R21" s="448">
        <f t="shared" si="3"/>
        <v>1.2484304050510597</v>
      </c>
    </row>
    <row r="22" spans="1:18" s="451" customFormat="1" ht="28.5">
      <c r="A22" s="468" t="s">
        <v>105</v>
      </c>
      <c r="B22" s="467">
        <v>529897.70799999963</v>
      </c>
      <c r="C22" s="466">
        <f>VLOOKUP($A$4:$A$30,JAN!$R$5:$AN$31,23,)</f>
        <v>61254.712000000014</v>
      </c>
      <c r="D22" s="466">
        <f>VLOOKUP($A$4:$A$30,FEV!$R$5:$AN$31,23,)</f>
        <v>51662.624000000003</v>
      </c>
      <c r="E22" s="466">
        <f>VLOOKUP($A$4:$A$30,MAR!$R$5:$AN$31,23,)</f>
        <v>51521.655999999995</v>
      </c>
      <c r="F22" s="465">
        <f>VLOOKUP($A$4:$A$30,ABR!$R$5:$AO$31,24,)</f>
        <v>31526.144000000004</v>
      </c>
      <c r="G22" s="465">
        <f>VLOOKUP($A$4:$A$30,MAI!$B$5:$Y$31,24,)</f>
        <v>22940.631999999994</v>
      </c>
      <c r="H22" s="465">
        <f>VLOOKUP($A$4:$A$30,JUN!$B$5:$Y$31,24,)</f>
        <v>31326.879999999997</v>
      </c>
      <c r="I22" s="464">
        <f>VLOOKUP($A$4:$A$30,JUL!$B$5:$Y$31,24,)</f>
        <v>32968.655999999995</v>
      </c>
      <c r="J22" s="464">
        <f>VLOOKUP($A$4:$A$30,AGO!$B$5:$Y$31,24,)</f>
        <v>36844.568000000007</v>
      </c>
      <c r="K22" s="464">
        <f>VLOOKUP($A$4:$A$30,SET!$B$5:$Y$31,24,)</f>
        <v>49235.631999999998</v>
      </c>
      <c r="L22" s="464">
        <f>VLOOKUP($A$4:$A$30,OUT!$B$5:$Y$31,24,)</f>
        <v>49797.240000000005</v>
      </c>
      <c r="M22" s="463">
        <f>VLOOKUP($A$4:$A$30,NOV!$B$5:$Y$31,24,)</f>
        <v>52169.176000000007</v>
      </c>
      <c r="N22" s="463">
        <f>VLOOKUP($A$4:$A$30,DEZ!$B$5:$Y$31,24,)</f>
        <v>47482.96</v>
      </c>
      <c r="O22" s="463">
        <f t="shared" si="0"/>
        <v>518730.88000000006</v>
      </c>
      <c r="P22" s="462">
        <f t="shared" si="1"/>
        <v>97.892644593208999</v>
      </c>
      <c r="Q22" s="461">
        <f t="shared" si="2"/>
        <v>6.8986420180612349</v>
      </c>
      <c r="R22" s="448">
        <f t="shared" si="3"/>
        <v>0.97892644593208999</v>
      </c>
    </row>
    <row r="23" spans="1:18" s="451" customFormat="1" ht="28.5">
      <c r="A23" s="468" t="s">
        <v>106</v>
      </c>
      <c r="B23" s="467">
        <v>92298.27</v>
      </c>
      <c r="C23" s="466">
        <f>VLOOKUP($A$4:$A$30,JAN!$R$5:$AN$31,23,)</f>
        <v>11183.976000000001</v>
      </c>
      <c r="D23" s="466">
        <f>VLOOKUP($A$4:$A$30,FEV!$R$5:$AN$31,23,)</f>
        <v>8972.84</v>
      </c>
      <c r="E23" s="466">
        <f>VLOOKUP($A$4:$A$30,MAR!$R$5:$AN$31,23,)</f>
        <v>10645.76</v>
      </c>
      <c r="F23" s="465">
        <f>VLOOKUP($A$4:$A$30,ABR!$R$5:$AO$31,24,)</f>
        <v>5703.8720000000012</v>
      </c>
      <c r="G23" s="465">
        <f>VLOOKUP($A$4:$A$30,MAI!$B$5:$Y$31,24,)</f>
        <v>3906.3119999999999</v>
      </c>
      <c r="H23" s="465">
        <f>VLOOKUP($A$4:$A$30,JUN!$B$5:$Y$31,24,)</f>
        <v>5248.7120000000004</v>
      </c>
      <c r="I23" s="464">
        <f>VLOOKUP($A$4:$A$30,JUL!$B$5:$Y$31,24,)</f>
        <v>4668.8959999999997</v>
      </c>
      <c r="J23" s="464">
        <f>VLOOKUP($A$4:$A$30,AGO!$B$5:$Y$31,24,)</f>
        <v>5809.6319999999996</v>
      </c>
      <c r="K23" s="464">
        <f>VLOOKUP($A$4:$A$30,SET!$B$5:$Y$31,24,)</f>
        <v>6459.9999999999991</v>
      </c>
      <c r="L23" s="464">
        <f>VLOOKUP($A$4:$A$30,OUT!$B$5:$Y$31,24,)</f>
        <v>7041.9199999999992</v>
      </c>
      <c r="M23" s="463">
        <f>VLOOKUP($A$4:$A$30,NOV!$B$5:$Y$31,24,)</f>
        <v>8210.0320000000011</v>
      </c>
      <c r="N23" s="463">
        <f>VLOOKUP($A$4:$A$30,DEZ!$B$5:$Y$31,24,)</f>
        <v>12275.888000000001</v>
      </c>
      <c r="O23" s="463">
        <f t="shared" si="0"/>
        <v>90127.840000000011</v>
      </c>
      <c r="P23" s="462">
        <f t="shared" si="1"/>
        <v>97.648460799969499</v>
      </c>
      <c r="Q23" s="461">
        <f t="shared" si="2"/>
        <v>1.1986171018411322</v>
      </c>
      <c r="R23" s="448">
        <f t="shared" si="3"/>
        <v>0.97648460799969494</v>
      </c>
    </row>
    <row r="24" spans="1:18" s="451" customFormat="1" ht="28.5">
      <c r="A24" s="468" t="s">
        <v>108</v>
      </c>
      <c r="B24" s="467">
        <v>27052.32</v>
      </c>
      <c r="C24" s="466">
        <f>VLOOKUP($A$4:$A$30,JAN!$R$5:$AN$31,23,)</f>
        <v>3342.6960000000004</v>
      </c>
      <c r="D24" s="466">
        <f>VLOOKUP($A$4:$A$30,FEV!$R$5:$AN$31,23,)</f>
        <v>3575.0400000000004</v>
      </c>
      <c r="E24" s="466">
        <f>VLOOKUP($A$4:$A$30,MAR!$R$5:$AN$31,23,)</f>
        <v>2399.5680000000007</v>
      </c>
      <c r="F24" s="465">
        <f>VLOOKUP($A$4:$A$30,ABR!$R$5:$AO$31,24,)</f>
        <v>2987.5360000000001</v>
      </c>
      <c r="G24" s="465">
        <f>VLOOKUP($A$4:$A$30,MAI!$B$5:$Y$31,24,)</f>
        <v>1842.8880000000001</v>
      </c>
      <c r="H24" s="465">
        <f>VLOOKUP($A$4:$A$30,JUN!$B$5:$Y$31,24,)</f>
        <v>3936.4320000000007</v>
      </c>
      <c r="I24" s="464">
        <f>VLOOKUP($A$4:$A$30,JUL!$B$5:$Y$31,24,)</f>
        <v>3056.84</v>
      </c>
      <c r="J24" s="464">
        <f>VLOOKUP($A$4:$A$30,AGO!$B$5:$Y$31,24,)</f>
        <v>2463.44</v>
      </c>
      <c r="K24" s="464">
        <f>VLOOKUP($A$4:$A$30,SET!$B$5:$Y$31,24,)</f>
        <v>3250.3520000000003</v>
      </c>
      <c r="L24" s="464">
        <f>VLOOKUP($A$4:$A$30,OUT!$B$5:$Y$31,24,)</f>
        <v>4280.72</v>
      </c>
      <c r="M24" s="463">
        <f>VLOOKUP($A$4:$A$30,NOV!$B$5:$Y$31,24,)</f>
        <v>3615.4480000000003</v>
      </c>
      <c r="N24" s="463">
        <f>VLOOKUP($A$4:$A$30,DEZ!$B$5:$Y$31,24,)</f>
        <v>4403.1359999999995</v>
      </c>
      <c r="O24" s="463">
        <f t="shared" si="0"/>
        <v>39154.096000000005</v>
      </c>
      <c r="P24" s="462">
        <f t="shared" si="1"/>
        <v>144.73470667210799</v>
      </c>
      <c r="Q24" s="461">
        <f t="shared" si="2"/>
        <v>0.52071334531848834</v>
      </c>
      <c r="R24" s="448">
        <f t="shared" si="3"/>
        <v>1.4473470667210799</v>
      </c>
    </row>
    <row r="25" spans="1:18" s="451" customFormat="1" ht="28.5">
      <c r="A25" s="468" t="s">
        <v>109</v>
      </c>
      <c r="B25" s="467">
        <v>2640.56</v>
      </c>
      <c r="C25" s="466">
        <f>VLOOKUP($A$4:$A$30,JAN!$R$5:$AN$31,23,)</f>
        <v>240.66400000000002</v>
      </c>
      <c r="D25" s="466">
        <f>VLOOKUP($A$4:$A$30,FEV!$R$5:$AN$31,23,)</f>
        <v>320.06400000000002</v>
      </c>
      <c r="E25" s="466">
        <f>VLOOKUP($A$4:$A$30,MAR!$R$5:$AN$31,23,)</f>
        <v>103.864</v>
      </c>
      <c r="F25" s="465">
        <f>VLOOKUP($A$4:$A$30,ABR!$R$5:$AO$31,24,)</f>
        <v>0</v>
      </c>
      <c r="G25" s="465">
        <f>VLOOKUP($A$4:$A$30,MAI!$B$5:$Y$31,24,)</f>
        <v>369.17600000000004</v>
      </c>
      <c r="H25" s="465">
        <f>VLOOKUP($A$4:$A$30,JUN!$B$5:$Y$31,24,)</f>
        <v>207.18400000000003</v>
      </c>
      <c r="I25" s="464">
        <f>VLOOKUP($A$4:$A$30,JUL!$B$5:$Y$31,24,)</f>
        <v>248.46400000000006</v>
      </c>
      <c r="J25" s="464">
        <f>VLOOKUP($A$4:$A$30,AGO!$B$5:$Y$31,24,)</f>
        <v>669.00800000000004</v>
      </c>
      <c r="K25" s="464">
        <f>VLOOKUP($A$4:$A$30,SET!$B$5:$Y$31,24,)</f>
        <v>700.024</v>
      </c>
      <c r="L25" s="464">
        <f>VLOOKUP($A$4:$A$30,OUT!$B$5:$Y$31,24,)</f>
        <v>538.62400000000002</v>
      </c>
      <c r="M25" s="463">
        <f>VLOOKUP($A$4:$A$30,NOV!$B$5:$Y$31,24,)</f>
        <v>762.23200000000008</v>
      </c>
      <c r="N25" s="463">
        <f>VLOOKUP($A$4:$A$30,DEZ!$B$5:$Y$31,24,)</f>
        <v>1045.04</v>
      </c>
      <c r="O25" s="463">
        <f t="shared" si="0"/>
        <v>5204.3440000000001</v>
      </c>
      <c r="P25" s="462">
        <f t="shared" si="1"/>
        <v>197.09243493804345</v>
      </c>
      <c r="Q25" s="461">
        <f t="shared" si="2"/>
        <v>6.9212972620494237E-2</v>
      </c>
      <c r="R25" s="448">
        <f t="shared" si="3"/>
        <v>1.9709243493804345</v>
      </c>
    </row>
    <row r="26" spans="1:18" s="451" customFormat="1" ht="28.5">
      <c r="A26" s="468" t="s">
        <v>107</v>
      </c>
      <c r="B26" s="467">
        <v>439312.46</v>
      </c>
      <c r="C26" s="466">
        <f>VLOOKUP($A$4:$A$30,JAN!$R$5:$AN$31,23,)</f>
        <v>47822.792000000001</v>
      </c>
      <c r="D26" s="466">
        <f>VLOOKUP($A$4:$A$30,FEV!$R$5:$AN$31,23,)</f>
        <v>33525.144</v>
      </c>
      <c r="E26" s="466">
        <f>VLOOKUP($A$4:$A$30,MAR!$R$5:$AN$31,23,)</f>
        <v>38866.096000000005</v>
      </c>
      <c r="F26" s="465">
        <f>VLOOKUP($A$4:$A$30,ABR!$R$5:$AO$31,24,)</f>
        <v>24445.903999999999</v>
      </c>
      <c r="G26" s="465">
        <f>VLOOKUP($A$4:$A$30,MAI!$B$5:$Y$31,24,)</f>
        <v>17703.04</v>
      </c>
      <c r="H26" s="465">
        <f>VLOOKUP($A$4:$A$30,JUN!$B$5:$Y$31,24,)</f>
        <v>22149.696000000004</v>
      </c>
      <c r="I26" s="464">
        <f>VLOOKUP($A$4:$A$30,JUL!$B$5:$Y$31,24,)</f>
        <v>29538.544000000002</v>
      </c>
      <c r="J26" s="464">
        <f>VLOOKUP($A$4:$A$30,AGO!$B$5:$Y$31,24,)</f>
        <v>36322.584000000003</v>
      </c>
      <c r="K26" s="464">
        <f>VLOOKUP($A$4:$A$30,SET!$B$5:$Y$31,24,)</f>
        <v>41373.880000000005</v>
      </c>
      <c r="L26" s="464">
        <f>VLOOKUP($A$4:$A$30,OUT!$B$5:$Y$31,24,)</f>
        <v>40667.632000000005</v>
      </c>
      <c r="M26" s="463">
        <f>VLOOKUP($A$4:$A$30,NOV!$B$5:$Y$31,24,)</f>
        <v>45341.112000000001</v>
      </c>
      <c r="N26" s="463">
        <f>VLOOKUP($A$4:$A$30,DEZ!$B$5:$Y$31,24,)</f>
        <v>52777.376000000004</v>
      </c>
      <c r="O26" s="463">
        <f t="shared" si="0"/>
        <v>430533.80000000005</v>
      </c>
      <c r="P26" s="462">
        <f t="shared" si="1"/>
        <v>98.001727517585095</v>
      </c>
      <c r="Q26" s="461">
        <f t="shared" si="2"/>
        <v>5.7257022425107458</v>
      </c>
      <c r="R26" s="448">
        <f t="shared" si="3"/>
        <v>0.98001727517585102</v>
      </c>
    </row>
    <row r="27" spans="1:18" s="451" customFormat="1" ht="28.5">
      <c r="A27" s="468" t="s">
        <v>110</v>
      </c>
      <c r="B27" s="467">
        <v>211496.23599999945</v>
      </c>
      <c r="C27" s="466">
        <f>VLOOKUP($A$4:$A$30,JAN!$R$5:$AN$31,23,)</f>
        <v>22701.640000000003</v>
      </c>
      <c r="D27" s="466">
        <f>VLOOKUP($A$4:$A$30,FEV!$R$5:$AN$31,23,)</f>
        <v>17646.007999999998</v>
      </c>
      <c r="E27" s="466">
        <f>VLOOKUP($A$4:$A$30,MAR!$R$5:$AN$31,23,)</f>
        <v>15142.216</v>
      </c>
      <c r="F27" s="465">
        <f>VLOOKUP($A$4:$A$30,ABR!$R$5:$AO$31,24,)</f>
        <v>9664.5759999999991</v>
      </c>
      <c r="G27" s="465">
        <f>VLOOKUP($A$4:$A$30,MAI!$B$5:$Y$31,24,)</f>
        <v>9642.4159999999993</v>
      </c>
      <c r="H27" s="465">
        <f>VLOOKUP($A$4:$A$30,JUN!$B$5:$Y$31,24,)</f>
        <v>14790.656000000003</v>
      </c>
      <c r="I27" s="464">
        <f>VLOOKUP($A$4:$A$30,JUL!$B$5:$Y$31,24,)</f>
        <v>14193.432000000001</v>
      </c>
      <c r="J27" s="464">
        <f>VLOOKUP($A$4:$A$30,AGO!$B$5:$Y$31,24,)</f>
        <v>17491.504000000001</v>
      </c>
      <c r="K27" s="464">
        <f>VLOOKUP($A$4:$A$30,SET!$B$5:$Y$31,24,)</f>
        <v>26991.728000000003</v>
      </c>
      <c r="L27" s="464">
        <f>VLOOKUP($A$4:$A$30,OUT!$B$5:$Y$31,24,)</f>
        <v>28090.088000000011</v>
      </c>
      <c r="M27" s="463">
        <f>VLOOKUP($A$4:$A$30,NOV!$B$5:$Y$31,24,)</f>
        <v>26978.432000000001</v>
      </c>
      <c r="N27" s="463">
        <f>VLOOKUP($A$4:$A$30,DEZ!$B$5:$Y$31,24,)</f>
        <v>27771.512000000002</v>
      </c>
      <c r="O27" s="463">
        <f t="shared" si="0"/>
        <v>231104.20800000004</v>
      </c>
      <c r="P27" s="462">
        <f t="shared" si="1"/>
        <v>109.27107374147343</v>
      </c>
      <c r="Q27" s="461">
        <f t="shared" si="2"/>
        <v>3.0734727029544948</v>
      </c>
      <c r="R27" s="448">
        <f t="shared" si="3"/>
        <v>1.0927107374147342</v>
      </c>
    </row>
    <row r="28" spans="1:18" s="451" customFormat="1" ht="28.5">
      <c r="A28" s="468" t="s">
        <v>112</v>
      </c>
      <c r="B28" s="467">
        <v>35429.54</v>
      </c>
      <c r="C28" s="466">
        <f>VLOOKUP($A$4:$A$30,JAN!$R$5:$AN$31,23,)</f>
        <v>4694.9279999999999</v>
      </c>
      <c r="D28" s="466">
        <f>VLOOKUP($A$4:$A$30,FEV!$R$5:$AN$31,23,)</f>
        <v>4659.9920000000002</v>
      </c>
      <c r="E28" s="466">
        <f>VLOOKUP($A$4:$A$30,MAR!$R$5:$AN$31,23,)</f>
        <v>3558.9360000000001</v>
      </c>
      <c r="F28" s="465">
        <f>VLOOKUP($A$4:$A$30,ABR!$R$5:$AO$31,24,)</f>
        <v>2073.8240000000001</v>
      </c>
      <c r="G28" s="465">
        <f>VLOOKUP($A$4:$A$30,MAI!$B$5:$Y$31,24,)</f>
        <v>1719.0239999999999</v>
      </c>
      <c r="H28" s="465">
        <f>VLOOKUP($A$4:$A$30,JUN!$B$5:$Y$31,24,)</f>
        <v>3492.4560000000001</v>
      </c>
      <c r="I28" s="464">
        <f>VLOOKUP($A$4:$A$30,JUL!$B$5:$Y$31,24,)</f>
        <v>4263.6719999999996</v>
      </c>
      <c r="J28" s="464">
        <f>VLOOKUP($A$4:$A$30,AGO!$B$5:$Y$31,24,)</f>
        <v>6630.8480000000009</v>
      </c>
      <c r="K28" s="464">
        <f>VLOOKUP($A$4:$A$30,SET!$B$5:$Y$31,24,)</f>
        <v>5975.648000000001</v>
      </c>
      <c r="L28" s="464">
        <f>VLOOKUP($A$4:$A$30,OUT!$B$5:$Y$31,24,)</f>
        <v>7528.4720000000016</v>
      </c>
      <c r="M28" s="463">
        <f>VLOOKUP($A$4:$A$30,NOV!$B$5:$Y$31,24,)</f>
        <v>7383.1200000000008</v>
      </c>
      <c r="N28" s="463">
        <f>VLOOKUP($A$4:$A$30,DEZ!$B$5:$Y$31,24,)</f>
        <v>5616.2080000000005</v>
      </c>
      <c r="O28" s="463">
        <f t="shared" si="0"/>
        <v>57597.128000000012</v>
      </c>
      <c r="P28" s="462">
        <f t="shared" si="1"/>
        <v>162.56809430774436</v>
      </c>
      <c r="Q28" s="461">
        <f t="shared" si="2"/>
        <v>0.76598865165006436</v>
      </c>
      <c r="R28" s="448">
        <f t="shared" si="3"/>
        <v>1.6256809430774435</v>
      </c>
    </row>
    <row r="29" spans="1:18" s="451" customFormat="1" ht="28.5">
      <c r="A29" s="468" t="s">
        <v>111</v>
      </c>
      <c r="B29" s="467">
        <v>1422974.2455000002</v>
      </c>
      <c r="C29" s="466">
        <f>VLOOKUP($A$4:$A$30,JAN!$R$5:$AN$31,23,)</f>
        <v>215271.36400000006</v>
      </c>
      <c r="D29" s="466">
        <f>VLOOKUP($A$4:$A$30,FEV!$R$5:$AN$31,23,)</f>
        <v>175661.73</v>
      </c>
      <c r="E29" s="466">
        <f>VLOOKUP($A$4:$A$30,MAR!$R$5:$AN$31,23,)</f>
        <v>163064.07399999999</v>
      </c>
      <c r="F29" s="465">
        <f>VLOOKUP($A$4:$A$30,ABR!$R$5:$AO$31,24,)</f>
        <v>91893.760000000009</v>
      </c>
      <c r="G29" s="465">
        <f>VLOOKUP($A$4:$A$30,MAI!$B$5:$Y$31,24,)</f>
        <v>83124.637999999992</v>
      </c>
      <c r="H29" s="465">
        <f>VLOOKUP($A$4:$A$30,JUN!$B$5:$Y$31,24,)</f>
        <v>115013.57800000001</v>
      </c>
      <c r="I29" s="464">
        <f>VLOOKUP($A$4:$A$30,JUL!$B$5:$Y$31,24,)</f>
        <v>167383.5</v>
      </c>
      <c r="J29" s="464">
        <f>VLOOKUP($A$4:$A$30,AGO!$B$5:$Y$31,24,)</f>
        <v>173812.962</v>
      </c>
      <c r="K29" s="464">
        <f>VLOOKUP($A$4:$A$30,SET!$B$5:$Y$31,24,)</f>
        <v>210014.35400000005</v>
      </c>
      <c r="L29" s="464">
        <f>VLOOKUP($A$4:$A$30,OUT!$B$5:$Y$31,24,)</f>
        <v>221841.60400000005</v>
      </c>
      <c r="M29" s="463">
        <f>VLOOKUP($A$4:$A$30,NOV!$B$5:$Y$31,24,)</f>
        <v>207006.27</v>
      </c>
      <c r="N29" s="463">
        <f>VLOOKUP($A$4:$A$30,DEZ!$B$5:$Y$31,24,)</f>
        <v>203150.78199999998</v>
      </c>
      <c r="O29" s="463">
        <f t="shared" si="0"/>
        <v>2027238.6160000002</v>
      </c>
      <c r="P29" s="462">
        <f t="shared" si="1"/>
        <v>142.46488454804575</v>
      </c>
      <c r="Q29" s="461">
        <f t="shared" si="2"/>
        <v>26.960402852773878</v>
      </c>
      <c r="R29" s="448">
        <f t="shared" si="3"/>
        <v>1.4246488454804573</v>
      </c>
    </row>
    <row r="30" spans="1:18" s="451" customFormat="1" ht="28.5">
      <c r="A30" s="468" t="s">
        <v>113</v>
      </c>
      <c r="B30" s="467">
        <v>35493.51</v>
      </c>
      <c r="C30" s="466">
        <f>VLOOKUP($A$4:$A$30,JAN!$R$5:$AN$31,23,)</f>
        <v>2259.5600000000004</v>
      </c>
      <c r="D30" s="466">
        <f>VLOOKUP($A$4:$A$30,FEV!$R$5:$AN$31,23,)</f>
        <v>2598.3679999999999</v>
      </c>
      <c r="E30" s="466">
        <f>VLOOKUP($A$4:$A$30,MAR!$R$5:$AN$31,23,)</f>
        <v>3263.1760000000004</v>
      </c>
      <c r="F30" s="465">
        <f>VLOOKUP($A$4:$A$30,ABR!$R$5:$AO$31,24,)</f>
        <v>1619.3200000000002</v>
      </c>
      <c r="G30" s="465">
        <f>VLOOKUP($A$4:$A$30,MAI!$B$5:$Y$31,24,)</f>
        <v>3903.3120000000004</v>
      </c>
      <c r="H30" s="465">
        <f>VLOOKUP($A$4:$A$30,JUN!$B$5:$Y$31,24,)</f>
        <v>3467.904</v>
      </c>
      <c r="I30" s="464">
        <f>VLOOKUP($A$4:$A$30,JUL!$B$5:$Y$31,24,)</f>
        <v>2088.6400000000003</v>
      </c>
      <c r="J30" s="464">
        <f>VLOOKUP($A$4:$A$30,AGO!$B$5:$Y$31,24,)</f>
        <v>3464.1519999999996</v>
      </c>
      <c r="K30" s="464">
        <f>VLOOKUP($A$4:$A$30,SET!$B$5:$Y$31,24,)</f>
        <v>1780.7920000000004</v>
      </c>
      <c r="L30" s="464">
        <f>VLOOKUP($A$4:$A$30,OUT!$B$5:$Y$31,24,)</f>
        <v>3636.0080000000003</v>
      </c>
      <c r="M30" s="463">
        <f>VLOOKUP($A$4:$A$30,NOV!$B$5:$Y$31,24,)</f>
        <v>3054.136</v>
      </c>
      <c r="N30" s="463">
        <f>VLOOKUP($A$4:$A$30,DEZ!$B$5:$Y$31,24,)</f>
        <v>3579.1280000000002</v>
      </c>
      <c r="O30" s="463">
        <f t="shared" si="0"/>
        <v>34714.495999999999</v>
      </c>
      <c r="P30" s="462">
        <f t="shared" si="1"/>
        <v>97.805193118403892</v>
      </c>
      <c r="Q30" s="461">
        <f t="shared" si="2"/>
        <v>0.46167076219063469</v>
      </c>
      <c r="R30" s="448">
        <f t="shared" si="3"/>
        <v>0.97805193118403888</v>
      </c>
    </row>
    <row r="31" spans="1:18" s="451" customFormat="1" ht="51" customHeight="1">
      <c r="A31" s="460" t="s">
        <v>491</v>
      </c>
      <c r="B31" s="459">
        <f t="shared" ref="B31:N31" si="4">SUM(B4:B30)</f>
        <v>4971479.7314999998</v>
      </c>
      <c r="C31" s="456">
        <f t="shared" si="4"/>
        <v>658022.50000000023</v>
      </c>
      <c r="D31" s="456">
        <f t="shared" si="4"/>
        <v>536788.08200000005</v>
      </c>
      <c r="E31" s="456">
        <f t="shared" si="4"/>
        <v>510010.402</v>
      </c>
      <c r="F31" s="456">
        <f t="shared" si="4"/>
        <v>311055.984</v>
      </c>
      <c r="G31" s="456">
        <f t="shared" si="4"/>
        <v>283706.64600000001</v>
      </c>
      <c r="H31" s="455">
        <f t="shared" si="4"/>
        <v>360419.47</v>
      </c>
      <c r="I31" s="455">
        <f t="shared" si="4"/>
        <v>419473.88400000002</v>
      </c>
      <c r="J31" s="455">
        <f t="shared" si="4"/>
        <v>490333.31200000003</v>
      </c>
      <c r="K31" s="455">
        <f t="shared" si="4"/>
        <v>599699.45000000007</v>
      </c>
      <c r="L31" s="455">
        <f t="shared" si="4"/>
        <v>619285.16400000011</v>
      </c>
      <c r="M31" s="455">
        <f t="shared" si="4"/>
        <v>619935.0780000001</v>
      </c>
      <c r="N31" s="455">
        <f t="shared" si="4"/>
        <v>627466.42999999993</v>
      </c>
      <c r="O31" s="454">
        <f t="shared" si="0"/>
        <v>6036196.4020000007</v>
      </c>
      <c r="P31" s="453">
        <f t="shared" si="1"/>
        <v>121.41649424322914</v>
      </c>
      <c r="Q31" s="452">
        <f t="shared" si="2"/>
        <v>80.275841931961423</v>
      </c>
      <c r="R31" s="448">
        <f t="shared" si="3"/>
        <v>1.2141649424322913</v>
      </c>
    </row>
    <row r="32" spans="1:18" s="451" customFormat="1" ht="28.5">
      <c r="A32" s="460" t="s">
        <v>181</v>
      </c>
      <c r="B32" s="459">
        <v>1235985.3869538163</v>
      </c>
      <c r="C32" s="457">
        <f>JAN!$AN$67</f>
        <v>163138.07000000004</v>
      </c>
      <c r="D32" s="457">
        <f>FEV!$AN$67</f>
        <v>133738.47799999997</v>
      </c>
      <c r="E32" s="457">
        <f>MAR!$AN$67</f>
        <v>125955.788</v>
      </c>
      <c r="F32" s="457">
        <f>ABR!AO67</f>
        <v>77524.896000000008</v>
      </c>
      <c r="G32" s="457">
        <f>MAI!Y67</f>
        <v>70690.393999999986</v>
      </c>
      <c r="H32" s="457">
        <f>JUN!Y67</f>
        <v>88802.46</v>
      </c>
      <c r="I32" s="458">
        <f>JUL!Y67</f>
        <v>101532.75599999999</v>
      </c>
      <c r="J32" s="458">
        <f>AGO!Y67</f>
        <v>118738.098</v>
      </c>
      <c r="K32" s="457">
        <f>SET!Y67</f>
        <v>145690.24000000002</v>
      </c>
      <c r="L32" s="457">
        <f>OUT!Y67</f>
        <v>151103.64600000001</v>
      </c>
      <c r="M32" s="457">
        <f>NOV!Y67</f>
        <v>151649.60200000004</v>
      </c>
      <c r="N32" s="457">
        <f>DEZ!Y67</f>
        <v>154557.87999999998</v>
      </c>
      <c r="O32" s="454">
        <f t="shared" si="0"/>
        <v>1483122.3079999997</v>
      </c>
      <c r="P32" s="453">
        <f t="shared" si="1"/>
        <v>119.99513292428739</v>
      </c>
      <c r="Q32" s="452">
        <f t="shared" si="2"/>
        <v>19.724158068038584</v>
      </c>
      <c r="R32" s="448">
        <f t="shared" si="3"/>
        <v>1.1999513292428738</v>
      </c>
    </row>
    <row r="33" spans="1:19" s="451" customFormat="1" ht="28.5">
      <c r="A33" s="380" t="s">
        <v>128</v>
      </c>
      <c r="B33" s="454">
        <f>B31+B32</f>
        <v>6207465.1184538156</v>
      </c>
      <c r="C33" s="455">
        <f t="shared" ref="C33:N33" si="5">SUM(C31:C32)</f>
        <v>821160.5700000003</v>
      </c>
      <c r="D33" s="455">
        <f t="shared" si="5"/>
        <v>670526.56000000006</v>
      </c>
      <c r="E33" s="456">
        <f t="shared" si="5"/>
        <v>635966.18999999994</v>
      </c>
      <c r="F33" s="456">
        <f t="shared" si="5"/>
        <v>388580.88</v>
      </c>
      <c r="G33" s="456">
        <f t="shared" si="5"/>
        <v>354397.04</v>
      </c>
      <c r="H33" s="455">
        <f t="shared" si="5"/>
        <v>449221.93</v>
      </c>
      <c r="I33" s="455">
        <f t="shared" si="5"/>
        <v>521006.64</v>
      </c>
      <c r="J33" s="455">
        <f t="shared" si="5"/>
        <v>609071.41</v>
      </c>
      <c r="K33" s="455">
        <f t="shared" si="5"/>
        <v>745389.69000000006</v>
      </c>
      <c r="L33" s="455">
        <f t="shared" si="5"/>
        <v>770388.81</v>
      </c>
      <c r="M33" s="455">
        <f t="shared" si="5"/>
        <v>771584.68000000017</v>
      </c>
      <c r="N33" s="455">
        <f t="shared" si="5"/>
        <v>782024.30999999994</v>
      </c>
      <c r="O33" s="454">
        <f t="shared" si="0"/>
        <v>7519318.71</v>
      </c>
      <c r="P33" s="453">
        <f t="shared" si="1"/>
        <v>121.13348309676763</v>
      </c>
      <c r="Q33" s="452">
        <f t="shared" si="2"/>
        <v>100</v>
      </c>
      <c r="R33" s="448">
        <f t="shared" si="3"/>
        <v>1.2113348309676764</v>
      </c>
    </row>
    <row r="34" spans="1:19" s="292" customFormat="1" ht="28.5">
      <c r="A34" s="321"/>
      <c r="B34" s="450"/>
      <c r="C34" s="449">
        <f>JAN!$AN$102</f>
        <v>821160.57</v>
      </c>
      <c r="D34" s="449">
        <f>FEV!$AN$102</f>
        <v>670526.56000000006</v>
      </c>
      <c r="E34" s="449">
        <f>MAR!$AN$102</f>
        <v>635966.19000000006</v>
      </c>
      <c r="F34" s="449">
        <f>ABR!AO102</f>
        <v>388580.88000000006</v>
      </c>
      <c r="G34" s="449">
        <f>MAI!Y102</f>
        <v>354397.04</v>
      </c>
      <c r="H34" s="449">
        <f>JUN!Y102</f>
        <v>449221.93</v>
      </c>
      <c r="I34" s="449">
        <f>JUL!Y102</f>
        <v>521006.63999999996</v>
      </c>
      <c r="J34" s="449">
        <f>AGO!Y102</f>
        <v>609071.40999999992</v>
      </c>
      <c r="K34" s="449">
        <f>SET!Y102</f>
        <v>745389.69</v>
      </c>
      <c r="L34" s="449">
        <f>OUT!Y102</f>
        <v>770388.81</v>
      </c>
      <c r="M34" s="449">
        <f>NOV!Y102</f>
        <v>771584.67999999993</v>
      </c>
      <c r="N34" s="449">
        <f>DEZ!Y102</f>
        <v>782024.31</v>
      </c>
      <c r="O34" s="449">
        <f>'ARRECADAÇÃO MENSAL POR RECEITA'!$G$32</f>
        <v>7519318.71</v>
      </c>
      <c r="Q34" s="370">
        <f>O34/$O$33*100</f>
        <v>100</v>
      </c>
      <c r="R34" s="448">
        <f t="shared" si="3"/>
        <v>0</v>
      </c>
    </row>
    <row r="35" spans="1:19" s="292" customFormat="1" ht="28.5">
      <c r="A35" s="321"/>
      <c r="C35" s="292" t="b">
        <f t="shared" ref="C35:O35" si="6">C33=C34</f>
        <v>1</v>
      </c>
      <c r="D35" s="292" t="b">
        <f t="shared" si="6"/>
        <v>1</v>
      </c>
      <c r="E35" s="292" t="b">
        <f t="shared" si="6"/>
        <v>1</v>
      </c>
      <c r="F35" s="292" t="b">
        <f t="shared" si="6"/>
        <v>1</v>
      </c>
      <c r="G35" s="292" t="b">
        <f t="shared" si="6"/>
        <v>1</v>
      </c>
      <c r="H35" s="292" t="b">
        <f t="shared" si="6"/>
        <v>1</v>
      </c>
      <c r="I35" s="292" t="b">
        <f t="shared" si="6"/>
        <v>1</v>
      </c>
      <c r="J35" s="292" t="b">
        <f t="shared" si="6"/>
        <v>1</v>
      </c>
      <c r="K35" s="292" t="b">
        <f t="shared" si="6"/>
        <v>1</v>
      </c>
      <c r="L35" s="292" t="b">
        <f t="shared" si="6"/>
        <v>1</v>
      </c>
      <c r="M35" s="292" t="b">
        <f t="shared" si="6"/>
        <v>1</v>
      </c>
      <c r="N35" s="292" t="b">
        <f t="shared" si="6"/>
        <v>1</v>
      </c>
      <c r="O35" s="292" t="b">
        <f t="shared" si="6"/>
        <v>1</v>
      </c>
      <c r="R35" s="448">
        <f t="shared" si="3"/>
        <v>0</v>
      </c>
    </row>
    <row r="36" spans="1:19" ht="26.25">
      <c r="A36" s="292"/>
      <c r="B36" s="307"/>
      <c r="C36" s="307"/>
      <c r="D36" s="292"/>
      <c r="E36" s="307"/>
      <c r="F36" s="445"/>
      <c r="G36" s="292"/>
      <c r="H36" s="292"/>
      <c r="I36" s="253"/>
      <c r="J36" s="310"/>
      <c r="K36" s="311"/>
      <c r="L36" s="310"/>
      <c r="M36" s="311"/>
      <c r="N36" s="310"/>
      <c r="O36" s="370"/>
      <c r="P36" s="292"/>
      <c r="Q36" s="18"/>
    </row>
    <row r="37" spans="1:19" ht="26.25">
      <c r="A37" s="292"/>
      <c r="B37" s="307"/>
      <c r="C37" s="307"/>
      <c r="D37" s="308"/>
      <c r="E37" s="307"/>
      <c r="F37" s="317"/>
      <c r="G37" s="447"/>
      <c r="H37" s="292"/>
      <c r="I37" s="253"/>
      <c r="J37" s="446"/>
      <c r="K37" s="306"/>
      <c r="L37" s="1272"/>
      <c r="M37" s="1272"/>
      <c r="N37" s="1272"/>
      <c r="O37" s="292"/>
      <c r="P37" s="292"/>
      <c r="Q37" s="18"/>
    </row>
    <row r="38" spans="1:19" ht="26.25">
      <c r="A38" s="292"/>
      <c r="B38" s="307"/>
      <c r="C38" s="307"/>
      <c r="D38" s="308"/>
      <c r="E38" s="307"/>
      <c r="F38" s="292"/>
      <c r="G38" s="307"/>
      <c r="H38" s="292"/>
      <c r="J38" s="446"/>
      <c r="K38" s="306"/>
      <c r="L38" s="1272"/>
      <c r="M38" s="1272"/>
      <c r="N38" s="1272"/>
      <c r="O38" s="292"/>
      <c r="P38" s="304"/>
      <c r="Q38" s="292"/>
      <c r="R38" s="292"/>
      <c r="S38" s="18"/>
    </row>
    <row r="39" spans="1:19" s="292" customFormat="1" ht="26.25">
      <c r="A39" s="1271"/>
      <c r="B39" s="1271"/>
      <c r="C39" s="1271"/>
      <c r="D39" s="1271"/>
      <c r="E39" s="1271"/>
      <c r="F39" s="445"/>
      <c r="H39" s="307"/>
      <c r="P39" s="307"/>
    </row>
    <row r="40" spans="1:19" s="292" customFormat="1" ht="26.25">
      <c r="A40" s="1271"/>
      <c r="B40" s="1271"/>
      <c r="C40" s="1271"/>
      <c r="D40" s="1271"/>
      <c r="E40" s="1271"/>
      <c r="H40" s="307"/>
      <c r="O40" s="444"/>
      <c r="P40" s="307"/>
    </row>
    <row r="41" spans="1:19" s="292" customFormat="1" ht="26.25">
      <c r="A41" s="1271"/>
      <c r="B41" s="1271"/>
      <c r="C41" s="1271"/>
      <c r="D41" s="1271"/>
      <c r="E41" s="1271"/>
    </row>
    <row r="42" spans="1:19" s="292" customFormat="1" ht="26.25">
      <c r="A42" s="1271"/>
      <c r="B42" s="1271"/>
      <c r="C42" s="1271"/>
      <c r="D42" s="1271"/>
      <c r="E42" s="1271"/>
      <c r="F42" s="445"/>
    </row>
    <row r="43" spans="1:19" s="292" customFormat="1" ht="26.25">
      <c r="A43" s="1271"/>
      <c r="B43" s="1271"/>
      <c r="C43" s="1271"/>
      <c r="D43" s="1271"/>
      <c r="E43" s="1271"/>
      <c r="G43" s="307"/>
      <c r="H43" s="307"/>
      <c r="O43" s="444"/>
    </row>
    <row r="44" spans="1:19">
      <c r="A44" s="321"/>
      <c r="B44" s="321"/>
    </row>
    <row r="45" spans="1:19" ht="28.5">
      <c r="A45" s="297"/>
      <c r="B45" s="297"/>
    </row>
    <row r="46" spans="1:19" ht="26.25">
      <c r="A46" s="292"/>
      <c r="B46" s="292"/>
    </row>
    <row r="47" spans="1:19" ht="15">
      <c r="A47" s="253"/>
      <c r="B47" s="253"/>
      <c r="C47" s="253"/>
      <c r="D47" s="253"/>
      <c r="E47" s="253"/>
      <c r="F47" s="253"/>
      <c r="G47" s="253"/>
      <c r="H47" s="253"/>
      <c r="I47" s="253"/>
      <c r="J47" s="253"/>
      <c r="K47" s="253"/>
      <c r="L47" s="253"/>
      <c r="M47" s="253"/>
      <c r="N47" s="253"/>
      <c r="O47" s="253"/>
      <c r="P47" s="253"/>
      <c r="Q47" s="253"/>
    </row>
    <row r="48" spans="1:19" ht="15">
      <c r="A48" s="253"/>
      <c r="B48" s="253"/>
      <c r="C48" s="253"/>
      <c r="D48" s="253"/>
      <c r="E48" s="253"/>
      <c r="F48" s="253"/>
      <c r="G48" s="253"/>
      <c r="H48" s="253"/>
      <c r="I48" s="253"/>
      <c r="J48" s="253"/>
      <c r="K48" s="253"/>
      <c r="L48" s="253"/>
      <c r="M48" s="253"/>
      <c r="N48" s="253"/>
      <c r="O48" s="253"/>
      <c r="P48" s="253"/>
      <c r="Q48" s="253"/>
    </row>
    <row r="49" spans="3:17">
      <c r="C49" s="253"/>
      <c r="D49" s="253"/>
      <c r="E49" s="253"/>
      <c r="F49" s="253"/>
      <c r="G49" s="253"/>
      <c r="H49" s="253"/>
      <c r="I49" s="253"/>
      <c r="J49" s="253"/>
      <c r="K49" s="253"/>
      <c r="L49" s="253"/>
      <c r="M49" s="253"/>
      <c r="N49" s="253"/>
      <c r="O49" s="253"/>
      <c r="P49" s="253"/>
      <c r="Q49" s="253"/>
    </row>
    <row r="1048574" spans="3:11" s="253" customFormat="1">
      <c r="C1048574" s="283">
        <f>SUM(C4:C1048573)</f>
        <v>3121504.2100000004</v>
      </c>
      <c r="D1048574" s="283">
        <f>SUM(D4:D1048573)</f>
        <v>2548367.7620000001</v>
      </c>
      <c r="E1048574" s="283">
        <f>SUM(C1048574:D1048576)</f>
        <v>5669871.972000001</v>
      </c>
      <c r="F1048574" s="283">
        <f>SUM(F4:F1048573)</f>
        <v>1476798.6240000001</v>
      </c>
      <c r="G1048574" s="283">
        <f>SUM(G4:G1048573)</f>
        <v>1346897.7660000001</v>
      </c>
      <c r="H1048574" s="283">
        <f>SUM(F1048574:G1048576)</f>
        <v>2823696.39</v>
      </c>
      <c r="I1048574" s="283">
        <f>SUM(I26:I1048573)</f>
        <v>1780487.7079999999</v>
      </c>
      <c r="J1048574" s="284">
        <f>SUM(J4:J1048573)</f>
        <v>2317547.5420000004</v>
      </c>
      <c r="K1048574" s="283">
        <f>SUM(K4:K1048573)</f>
        <v>2835868.52</v>
      </c>
    </row>
  </sheetData>
  <mergeCells count="10">
    <mergeCell ref="A39:E43"/>
    <mergeCell ref="A1:O1"/>
    <mergeCell ref="P2:P3"/>
    <mergeCell ref="R2:R3"/>
    <mergeCell ref="L37:N37"/>
    <mergeCell ref="L38:N38"/>
    <mergeCell ref="Q2:Q3"/>
    <mergeCell ref="C2:N2"/>
    <mergeCell ref="O2:O3"/>
    <mergeCell ref="A2:A3"/>
  </mergeCells>
  <conditionalFormatting sqref="E35">
    <cfRule type="cellIs" dxfId="220" priority="4" operator="equal">
      <formula>TRUE</formula>
    </cfRule>
  </conditionalFormatting>
  <conditionalFormatting sqref="B35:D35">
    <cfRule type="cellIs" dxfId="219" priority="3" operator="equal">
      <formula>TRUE</formula>
    </cfRule>
  </conditionalFormatting>
  <conditionalFormatting sqref="F35:N35">
    <cfRule type="cellIs" dxfId="218" priority="2" operator="equal">
      <formula>TRUE</formula>
    </cfRule>
  </conditionalFormatting>
  <conditionalFormatting sqref="O35">
    <cfRule type="cellIs" dxfId="217" priority="1" operator="equal">
      <formula>TRUE</formula>
    </cfRule>
  </conditionalFormatting>
  <printOptions horizontalCentered="1" verticalCentered="1"/>
  <pageMargins left="0.51181102362204722" right="0.51181102362204722" top="0.78740157480314965" bottom="0.78740157480314965" header="0.31496062992125984" footer="0.31496062992125984"/>
  <pageSetup paperSize="9" scale="29" orientation="landscape" r:id="rId1"/>
  <rowBreaks count="2" manualBreakCount="2">
    <brk id="44" max="16383" man="1"/>
    <brk id="68" max="16383" man="1"/>
  </rowBreaks>
  <colBreaks count="2" manualBreakCount="2">
    <brk id="16" max="1048575" man="1"/>
    <brk id="36"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7030A0"/>
    <pageSetUpPr fitToPage="1"/>
  </sheetPr>
  <dimension ref="A1:AC77"/>
  <sheetViews>
    <sheetView showGridLines="0" zoomScale="50" zoomScaleNormal="50" zoomScaleSheetLayoutView="70" workbookViewId="0">
      <pane xSplit="1" topLeftCell="B1" activePane="topRight" state="frozen"/>
      <selection sqref="A1:AC1"/>
      <selection pane="topRight" sqref="A1:AC1"/>
    </sheetView>
  </sheetViews>
  <sheetFormatPr defaultRowHeight="15"/>
  <cols>
    <col min="1" max="1" width="31.5703125" style="253" bestFit="1" customWidth="1"/>
    <col min="2" max="2" width="34.28515625" style="253" customWidth="1"/>
    <col min="3" max="5" width="28.85546875" style="253" customWidth="1"/>
    <col min="6" max="6" width="30" style="253" customWidth="1"/>
    <col min="7" max="7" width="30" style="18" customWidth="1"/>
    <col min="8" max="14" width="28.85546875" style="18" customWidth="1"/>
    <col min="15" max="17" width="28.85546875" style="253" customWidth="1"/>
    <col min="18" max="18" width="21.140625" style="253" customWidth="1"/>
    <col min="19" max="19" width="28.42578125" style="253" customWidth="1"/>
    <col min="20" max="20" width="27.28515625" style="18" bestFit="1" customWidth="1"/>
    <col min="21" max="21" width="14.85546875" style="253" customWidth="1"/>
    <col min="22" max="22" width="16.140625" style="253" customWidth="1"/>
    <col min="23" max="23" width="15.85546875" style="253" customWidth="1"/>
    <col min="24" max="24" width="14.42578125" style="253" customWidth="1"/>
    <col min="25" max="25" width="9.140625" style="253" customWidth="1"/>
    <col min="26" max="26" width="17.140625" style="253" customWidth="1"/>
    <col min="27" max="27" width="9.140625" style="253" customWidth="1"/>
    <col min="28" max="28" width="9.140625" style="253"/>
    <col min="29" max="29" width="17.140625" style="253" bestFit="1" customWidth="1"/>
    <col min="30" max="16384" width="9.140625" style="253"/>
  </cols>
  <sheetData>
    <row r="1" spans="1:29" ht="21">
      <c r="A1" s="1331" t="s">
        <v>551</v>
      </c>
      <c r="B1" s="1331"/>
      <c r="C1" s="1331"/>
      <c r="D1" s="1331"/>
      <c r="E1" s="1331"/>
      <c r="F1" s="1331"/>
      <c r="G1" s="1331"/>
      <c r="H1" s="1331"/>
      <c r="I1" s="1331"/>
      <c r="J1" s="1331"/>
      <c r="K1" s="1331"/>
      <c r="L1" s="1331"/>
      <c r="M1" s="1331"/>
      <c r="N1" s="1331"/>
      <c r="O1" s="1331"/>
      <c r="P1" s="1331"/>
      <c r="Q1" s="1331"/>
    </row>
    <row r="2" spans="1:29" s="522" customFormat="1" ht="5.25" customHeight="1">
      <c r="A2" s="525"/>
      <c r="B2" s="524"/>
      <c r="C2" s="524"/>
      <c r="D2" s="524"/>
      <c r="E2" s="524"/>
      <c r="F2" s="524"/>
      <c r="G2" s="524"/>
      <c r="H2" s="524"/>
      <c r="I2" s="524"/>
      <c r="J2" s="524"/>
      <c r="K2" s="524"/>
      <c r="L2" s="524"/>
      <c r="M2" s="524"/>
      <c r="N2" s="524"/>
      <c r="O2" s="524"/>
      <c r="P2" s="524"/>
      <c r="Q2" s="524"/>
      <c r="T2" s="523"/>
    </row>
    <row r="3" spans="1:29" ht="21">
      <c r="A3" s="521"/>
      <c r="B3" s="479"/>
      <c r="C3" s="479"/>
      <c r="D3" s="479"/>
      <c r="E3" s="479"/>
      <c r="F3" s="479"/>
      <c r="G3" s="291"/>
      <c r="H3" s="291"/>
      <c r="I3" s="291"/>
      <c r="J3" s="291"/>
      <c r="K3" s="291"/>
      <c r="L3" s="291"/>
      <c r="M3" s="291"/>
      <c r="N3" s="291"/>
      <c r="O3" s="479"/>
      <c r="P3" s="287"/>
      <c r="Q3" s="287"/>
    </row>
    <row r="4" spans="1:29" ht="21" customHeight="1">
      <c r="A4" s="1332" t="s">
        <v>182</v>
      </c>
      <c r="B4" s="1330" t="s">
        <v>550</v>
      </c>
      <c r="C4" s="1330" t="s">
        <v>549</v>
      </c>
      <c r="D4" s="1330"/>
      <c r="E4" s="1330"/>
      <c r="F4" s="1330"/>
      <c r="G4" s="1330"/>
      <c r="H4" s="1330"/>
      <c r="I4" s="1330"/>
      <c r="J4" s="1330"/>
      <c r="K4" s="1330"/>
      <c r="L4" s="520"/>
      <c r="M4" s="520"/>
      <c r="N4" s="520"/>
      <c r="O4" s="1334" t="s">
        <v>508</v>
      </c>
      <c r="P4" s="1333" t="s">
        <v>548</v>
      </c>
      <c r="Q4" s="1333" t="s">
        <v>547</v>
      </c>
      <c r="R4" s="1319"/>
    </row>
    <row r="5" spans="1:29" ht="15" customHeight="1">
      <c r="A5" s="1332"/>
      <c r="B5" s="1330"/>
      <c r="C5" s="1330" t="s">
        <v>546</v>
      </c>
      <c r="D5" s="1330" t="s">
        <v>545</v>
      </c>
      <c r="E5" s="1330" t="s">
        <v>544</v>
      </c>
      <c r="F5" s="1330" t="s">
        <v>543</v>
      </c>
      <c r="G5" s="1326" t="s">
        <v>542</v>
      </c>
      <c r="H5" s="1326" t="s">
        <v>541</v>
      </c>
      <c r="I5" s="1326" t="s">
        <v>540</v>
      </c>
      <c r="J5" s="1326" t="s">
        <v>539</v>
      </c>
      <c r="K5" s="1326" t="s">
        <v>538</v>
      </c>
      <c r="L5" s="1326" t="s">
        <v>537</v>
      </c>
      <c r="M5" s="1326" t="s">
        <v>536</v>
      </c>
      <c r="N5" s="1326" t="s">
        <v>535</v>
      </c>
      <c r="O5" s="1334"/>
      <c r="P5" s="1333"/>
      <c r="Q5" s="1333"/>
      <c r="R5" s="1319"/>
    </row>
    <row r="6" spans="1:29" ht="69.75" customHeight="1">
      <c r="A6" s="1332"/>
      <c r="B6" s="1330"/>
      <c r="C6" s="1330"/>
      <c r="D6" s="1330"/>
      <c r="E6" s="1330"/>
      <c r="F6" s="1330"/>
      <c r="G6" s="1326"/>
      <c r="H6" s="1326"/>
      <c r="I6" s="1326"/>
      <c r="J6" s="1326"/>
      <c r="K6" s="1326"/>
      <c r="L6" s="1326"/>
      <c r="M6" s="1326"/>
      <c r="N6" s="1326"/>
      <c r="O6" s="1334"/>
      <c r="P6" s="1333"/>
      <c r="Q6" s="1333"/>
    </row>
    <row r="7" spans="1:29" ht="24" thickBot="1">
      <c r="A7" s="519" t="s">
        <v>87</v>
      </c>
      <c r="B7" s="517">
        <f>'Anuid PF'!E7+'Anuid PF'!F7+'Anuid PJ'!D6+'Anuid PJ'!E6+RRT!C5+'TAXAS E MULTAS.'!B4</f>
        <v>309934.11000000004</v>
      </c>
      <c r="C7" s="518">
        <f>'Anuid PF'!O7+'Anuid PF'!P7+'Anuid PJ'!L6+'Anuid PJ'!M6+RRT!I5+'TAXAS E MULTAS.'!C4</f>
        <v>38040.895999999993</v>
      </c>
      <c r="D7" s="518">
        <f>'Anuid PF'!Q7+'Anuid PF'!R7+'Anuid PJ'!N6+'Anuid PJ'!O6+RRT!J5+'TAXAS E MULTAS.'!D4</f>
        <v>42543.351999999999</v>
      </c>
      <c r="E7" s="518">
        <f>'Anuid PF'!S7+'Anuid PF'!T7+'Anuid PJ'!P6+'Anuid PJ'!Q6+RRT!K5+'TAXAS E MULTAS.'!E4</f>
        <v>36493.768000000004</v>
      </c>
      <c r="F7" s="518">
        <f>'Anuid PF'!U7+'Anuid PF'!V7+'Anuid PJ'!R6+'Anuid PJ'!S6+RRT!L5+'TAXAS E MULTAS.'!F4</f>
        <v>16477.168000000001</v>
      </c>
      <c r="G7" s="518">
        <f>'Anuid PF'!W7+'Anuid PF'!X7+'Anuid PJ'!T6+'Anuid PJ'!U6+RRT!M5+'TAXAS E MULTAS.'!G4</f>
        <v>21502.944000000003</v>
      </c>
      <c r="H7" s="518">
        <f>'Anuid PF'!Y7+'Anuid PF'!Z7+'Anuid PJ'!V6+'Anuid PJ'!W6+RRT!N5+'TAXAS E MULTAS.'!H4</f>
        <v>29166.088</v>
      </c>
      <c r="I7" s="518">
        <f>'Anuid PF'!AA7+'Anuid PF'!AB7+'Anuid PJ'!X6+'Anuid PJ'!Y6+RRT!O5+'TAXAS E MULTAS.'!I4</f>
        <v>35923.24</v>
      </c>
      <c r="J7" s="518">
        <f>'Anuid PF'!AC7+'Anuid PF'!AD7+'Anuid PJ'!Z6+'Anuid PJ'!AA6+RRT!P5+'TAXAS E MULTAS.'!J4</f>
        <v>52825.703999999998</v>
      </c>
      <c r="K7" s="518">
        <f>'Anuid PF'!AE7+'Anuid PF'!AF7+'Anuid PJ'!AB6+'Anuid PJ'!AC6+RRT!Q5+'TAXAS E MULTAS.'!K4</f>
        <v>43272.352000000006</v>
      </c>
      <c r="L7" s="518">
        <f>'Anuid PF'!AG7+'Anuid PF'!AH7+'Anuid PJ'!AD6+'Anuid PJ'!AE6+RRT!R5+'TAXAS E MULTAS.'!L4</f>
        <v>39960.68</v>
      </c>
      <c r="M7" s="518">
        <f>'Anuid PF'!AI7+'Anuid PF'!AJ7+'Anuid PJ'!AF6+'Anuid PJ'!AG6+RRT!S5+'TAXAS E MULTAS.'!M4</f>
        <v>28482.144</v>
      </c>
      <c r="N7" s="518">
        <f>'Anuid PF'!AK7+'Anuid PF'!AL7+'Anuid PJ'!AH6+'Anuid PJ'!AI6+RRT!T5+'TAXAS E MULTAS.'!N4</f>
        <v>31032.584000000003</v>
      </c>
      <c r="O7" s="517">
        <f>SUM(C7:N7)</f>
        <v>415720.92000000004</v>
      </c>
      <c r="P7" s="516">
        <f t="shared" ref="P7:P36" si="0">O7/B7*100</f>
        <v>134.13203212773192</v>
      </c>
      <c r="Q7" s="516">
        <f t="shared" ref="Q7:Q38" si="1">O7/$O$36*100</f>
        <v>0.24537047220725039</v>
      </c>
      <c r="R7" s="492">
        <f t="shared" ref="R7:R38" si="2">O7/B7</f>
        <v>1.3413203212773193</v>
      </c>
      <c r="S7" s="491">
        <f>'Comparativo YoY'!EF8</f>
        <v>16.721784353965191</v>
      </c>
      <c r="T7" s="394"/>
      <c r="U7" s="13"/>
      <c r="V7" s="13"/>
      <c r="W7" s="13"/>
      <c r="X7" s="13"/>
      <c r="Y7" s="13"/>
      <c r="Z7" s="13"/>
      <c r="AB7" s="514"/>
      <c r="AC7" s="513">
        <v>154673.25436625778</v>
      </c>
    </row>
    <row r="8" spans="1:29" ht="24" thickBot="1">
      <c r="A8" s="519" t="s">
        <v>88</v>
      </c>
      <c r="B8" s="517">
        <f>'Anuid PF'!E8+'Anuid PF'!F8+'Anuid PJ'!D7+'Anuid PJ'!E7+RRT!C6+'TAXAS E MULTAS.'!B5</f>
        <v>1156581.5</v>
      </c>
      <c r="C8" s="518">
        <f>'Anuid PF'!O8+'Anuid PF'!P8+'Anuid PJ'!L7+'Anuid PJ'!M7+RRT!I6+'TAXAS E MULTAS.'!C5</f>
        <v>158697.68799999999</v>
      </c>
      <c r="D8" s="518">
        <f>'Anuid PF'!Q8+'Anuid PF'!R8+'Anuid PJ'!N7+'Anuid PJ'!O7+RRT!J6+'TAXAS E MULTAS.'!D5</f>
        <v>147447.34400000001</v>
      </c>
      <c r="E8" s="518">
        <f>'Anuid PF'!S8+'Anuid PF'!T8+'Anuid PJ'!P7+'Anuid PJ'!Q7+RRT!K6+'TAXAS E MULTAS.'!E5</f>
        <v>102800.06400000001</v>
      </c>
      <c r="F8" s="518">
        <f>'Anuid PF'!U8+'Anuid PF'!V8+'Anuid PJ'!R7+'Anuid PJ'!S7+RRT!L6+'TAXAS E MULTAS.'!F5</f>
        <v>63311.104000000007</v>
      </c>
      <c r="G8" s="518">
        <f>'Anuid PF'!W8+'Anuid PF'!X8+'Anuid PJ'!T7+'Anuid PJ'!U7+RRT!M6+'TAXAS E MULTAS.'!G5</f>
        <v>60405.288</v>
      </c>
      <c r="H8" s="518">
        <f>'Anuid PF'!Y8+'Anuid PF'!Z8+'Anuid PJ'!V7+'Anuid PJ'!W7+RRT!N6+'TAXAS E MULTAS.'!H5</f>
        <v>71819.208000000013</v>
      </c>
      <c r="I8" s="518">
        <f>'Anuid PF'!AA8+'Anuid PF'!AB8+'Anuid PJ'!X7+'Anuid PJ'!Y7+RRT!O6+'TAXAS E MULTAS.'!I5</f>
        <v>111365.93600000002</v>
      </c>
      <c r="J8" s="518">
        <f>'Anuid PF'!AC8+'Anuid PF'!AD8+'Anuid PJ'!Z7+'Anuid PJ'!AA7+RRT!P6+'TAXAS E MULTAS.'!J5</f>
        <v>124203.16800000003</v>
      </c>
      <c r="K8" s="518">
        <f>'Anuid PF'!AE8+'Anuid PF'!AF8+'Anuid PJ'!AB7+'Anuid PJ'!AC7+RRT!Q6+'TAXAS E MULTAS.'!K5</f>
        <v>87420.92</v>
      </c>
      <c r="L8" s="518">
        <f>'Anuid PF'!AG8+'Anuid PF'!AH8+'Anuid PJ'!AD7+'Anuid PJ'!AE7+RRT!R6+'TAXAS E MULTAS.'!L5</f>
        <v>102580.90400000001</v>
      </c>
      <c r="M8" s="518">
        <f>'Anuid PF'!AI8+'Anuid PF'!AJ8+'Anuid PJ'!AF7+'Anuid PJ'!AG7+RRT!S6+'TAXAS E MULTAS.'!M5</f>
        <v>89019.392000000007</v>
      </c>
      <c r="N8" s="518">
        <f>'Anuid PF'!AK8+'Anuid PF'!AL8+'Anuid PJ'!AH7+'Anuid PJ'!AI7+RRT!T6+'TAXAS E MULTAS.'!N5</f>
        <v>98845.288</v>
      </c>
      <c r="O8" s="517">
        <f t="shared" ref="O8:O35" si="3">SUM(C8:N8)</f>
        <v>1217916.304</v>
      </c>
      <c r="P8" s="516">
        <f t="shared" si="0"/>
        <v>105.30311128096031</v>
      </c>
      <c r="Q8" s="516">
        <f t="shared" si="1"/>
        <v>0.7188493151159896</v>
      </c>
      <c r="R8" s="492">
        <f t="shared" si="2"/>
        <v>1.053031112809603</v>
      </c>
      <c r="S8" s="491">
        <f>'Comparativo YoY'!EF9</f>
        <v>7.1652249648034001</v>
      </c>
      <c r="T8" s="991"/>
      <c r="U8" s="13"/>
      <c r="V8" s="13"/>
      <c r="W8" s="13"/>
      <c r="X8" s="13"/>
      <c r="Y8" s="13"/>
      <c r="Z8" s="13"/>
      <c r="AB8" s="514"/>
      <c r="AC8" s="513">
        <v>645784.06039618968</v>
      </c>
    </row>
    <row r="9" spans="1:29" ht="24" thickBot="1">
      <c r="A9" s="519" t="s">
        <v>90</v>
      </c>
      <c r="B9" s="517">
        <f>'Anuid PF'!E9+'Anuid PF'!F9+'Anuid PJ'!D8+'Anuid PJ'!E8+RRT!C7+'TAXAS E MULTAS.'!B6</f>
        <v>1016993.7930000001</v>
      </c>
      <c r="C9" s="518">
        <f>'Anuid PF'!O9+'Anuid PF'!P9+'Anuid PJ'!L8+'Anuid PJ'!M8+RRT!I7+'TAXAS E MULTAS.'!C6</f>
        <v>125075.16</v>
      </c>
      <c r="D9" s="518">
        <f>'Anuid PF'!Q9+'Anuid PF'!R9+'Anuid PJ'!N8+'Anuid PJ'!O8+RRT!J7+'TAXAS E MULTAS.'!D6</f>
        <v>131584.60800000001</v>
      </c>
      <c r="E9" s="518">
        <f>'Anuid PF'!S9+'Anuid PF'!T9+'Anuid PJ'!P8+'Anuid PJ'!Q8+RRT!K7+'TAXAS E MULTAS.'!E6</f>
        <v>120919.56800000001</v>
      </c>
      <c r="F9" s="518">
        <f>'Anuid PF'!U9+'Anuid PF'!V9+'Anuid PJ'!R8+'Anuid PJ'!S8+RRT!L7+'TAXAS E MULTAS.'!F6</f>
        <v>46183.064000000006</v>
      </c>
      <c r="G9" s="518">
        <f>'Anuid PF'!W9+'Anuid PF'!X9+'Anuid PJ'!T8+'Anuid PJ'!U8+RRT!M7+'TAXAS E MULTAS.'!G6</f>
        <v>56120.856000000007</v>
      </c>
      <c r="H9" s="518">
        <f>'Anuid PF'!Y9+'Anuid PF'!Z9+'Anuid PJ'!V8+'Anuid PJ'!W8+RRT!N7+'TAXAS E MULTAS.'!H6</f>
        <v>101270.51599999999</v>
      </c>
      <c r="I9" s="518">
        <f>'Anuid PF'!AA9+'Anuid PF'!AB9+'Anuid PJ'!X8+'Anuid PJ'!Y8+RRT!O7+'TAXAS E MULTAS.'!I6</f>
        <v>117505.912</v>
      </c>
      <c r="J9" s="518">
        <f>'Anuid PF'!AC9+'Anuid PF'!AD9+'Anuid PJ'!Z8+'Anuid PJ'!AA8+RRT!P7+'TAXAS E MULTAS.'!J6</f>
        <v>137822.63799999998</v>
      </c>
      <c r="K9" s="518">
        <f>'Anuid PF'!AE9+'Anuid PF'!AF9+'Anuid PJ'!AB8+'Anuid PJ'!AC8+RRT!Q7+'TAXAS E MULTAS.'!K6</f>
        <v>91574.144</v>
      </c>
      <c r="L9" s="518">
        <f>'Anuid PF'!AG9+'Anuid PF'!AH9+'Anuid PJ'!AD8+'Anuid PJ'!AE8+RRT!R7+'TAXAS E MULTAS.'!L6</f>
        <v>93030.272000000012</v>
      </c>
      <c r="M9" s="518">
        <f>'Anuid PF'!AI9+'Anuid PF'!AJ9+'Anuid PJ'!AF8+'Anuid PJ'!AG8+RRT!S7+'TAXAS E MULTAS.'!M6</f>
        <v>86541.008000000002</v>
      </c>
      <c r="N9" s="518">
        <f>'Anuid PF'!AK9+'Anuid PF'!AL9+'Anuid PJ'!AH8+'Anuid PJ'!AI8+RRT!T7+'TAXAS E MULTAS.'!N6</f>
        <v>87283.551999999996</v>
      </c>
      <c r="O9" s="517">
        <f t="shared" si="3"/>
        <v>1194911.2979999997</v>
      </c>
      <c r="P9" s="516">
        <f t="shared" si="0"/>
        <v>117.49445338060187</v>
      </c>
      <c r="Q9" s="516">
        <f t="shared" si="1"/>
        <v>0.70527109734106808</v>
      </c>
      <c r="R9" s="492">
        <f t="shared" si="2"/>
        <v>1.1749445338060187</v>
      </c>
      <c r="S9" s="491">
        <f>'Comparativo YoY'!EF10</f>
        <v>1.0316274147497353</v>
      </c>
      <c r="T9" s="394"/>
      <c r="U9" s="13"/>
      <c r="V9" s="13"/>
      <c r="W9" s="13"/>
      <c r="X9" s="13"/>
      <c r="Y9" s="13"/>
      <c r="Z9" s="13"/>
      <c r="AB9" s="514"/>
      <c r="AC9" s="513">
        <v>245537.10130974505</v>
      </c>
    </row>
    <row r="10" spans="1:29" ht="24" thickBot="1">
      <c r="A10" s="519" t="s">
        <v>89</v>
      </c>
      <c r="B10" s="517">
        <f>'Anuid PF'!E10+'Anuid PF'!F10+'Anuid PJ'!D9+'Anuid PJ'!E9+RRT!C8+'TAXAS E MULTAS.'!B7</f>
        <v>377496.17000000004</v>
      </c>
      <c r="C10" s="518">
        <f>'Anuid PF'!O10+'Anuid PF'!P10+'Anuid PJ'!L9+'Anuid PJ'!M9+RRT!I8+'TAXAS E MULTAS.'!C7</f>
        <v>55068.280000000006</v>
      </c>
      <c r="D10" s="518">
        <f>'Anuid PF'!Q10+'Anuid PF'!R10+'Anuid PJ'!N9+'Anuid PJ'!O9+RRT!J8+'TAXAS E MULTAS.'!D7</f>
        <v>58750.52</v>
      </c>
      <c r="E10" s="518">
        <f>'Anuid PF'!S10+'Anuid PF'!T10+'Anuid PJ'!P9+'Anuid PJ'!Q9+RRT!K8+'TAXAS E MULTAS.'!E7</f>
        <v>46985.33600000001</v>
      </c>
      <c r="F10" s="518">
        <f>'Anuid PF'!U10+'Anuid PF'!V10+'Anuid PJ'!R9+'Anuid PJ'!S9+RRT!L8+'TAXAS E MULTAS.'!F7</f>
        <v>30436.864000000005</v>
      </c>
      <c r="G10" s="518">
        <f>'Anuid PF'!W10+'Anuid PF'!X10+'Anuid PJ'!T9+'Anuid PJ'!U9+RRT!M8+'TAXAS E MULTAS.'!G7</f>
        <v>22692.688000000002</v>
      </c>
      <c r="H10" s="518">
        <f>'Anuid PF'!Y10+'Anuid PF'!Z10+'Anuid PJ'!V9+'Anuid PJ'!W9+RRT!N8+'TAXAS E MULTAS.'!H7</f>
        <v>34929.864000000001</v>
      </c>
      <c r="I10" s="518">
        <f>'Anuid PF'!AA10+'Anuid PF'!AB10+'Anuid PJ'!X9+'Anuid PJ'!Y9+RRT!O8+'TAXAS E MULTAS.'!I7</f>
        <v>65520.975999999995</v>
      </c>
      <c r="J10" s="518">
        <f>'Anuid PF'!AC10+'Anuid PF'!AD10+'Anuid PJ'!Z9+'Anuid PJ'!AA9+RRT!P8+'TAXAS E MULTAS.'!J7</f>
        <v>73675.271999999997</v>
      </c>
      <c r="K10" s="518">
        <f>'Anuid PF'!AE10+'Anuid PF'!AF10+'Anuid PJ'!AB9+'Anuid PJ'!AC9+RRT!Q8+'TAXAS E MULTAS.'!K7</f>
        <v>45425.767999999996</v>
      </c>
      <c r="L10" s="518">
        <f>'Anuid PF'!AG10+'Anuid PF'!AH10+'Anuid PJ'!AD9+'Anuid PJ'!AE9+RRT!R8+'TAXAS E MULTAS.'!L7</f>
        <v>43221.136000000006</v>
      </c>
      <c r="M10" s="518">
        <f>'Anuid PF'!AI10+'Anuid PF'!AJ10+'Anuid PJ'!AF9+'Anuid PJ'!AG9+RRT!S8+'TAXAS E MULTAS.'!M7</f>
        <v>29641.480000000003</v>
      </c>
      <c r="N10" s="518">
        <f>'Anuid PF'!AK10+'Anuid PF'!AL10+'Anuid PJ'!AH9+'Anuid PJ'!AI9+RRT!T8+'TAXAS E MULTAS.'!N7</f>
        <v>35660.695999999996</v>
      </c>
      <c r="O10" s="517">
        <f t="shared" si="3"/>
        <v>542008.87999999989</v>
      </c>
      <c r="P10" s="516">
        <f t="shared" si="0"/>
        <v>143.57996797689361</v>
      </c>
      <c r="Q10" s="516">
        <f t="shared" si="1"/>
        <v>0.31990926707783401</v>
      </c>
      <c r="R10" s="492">
        <f t="shared" si="2"/>
        <v>1.4357996797689361</v>
      </c>
      <c r="S10" s="491">
        <f>'Comparativo YoY'!EF11</f>
        <v>7.7714869600068965</v>
      </c>
      <c r="T10" s="394"/>
      <c r="U10" s="13"/>
      <c r="V10" s="13"/>
      <c r="W10" s="13"/>
      <c r="X10" s="13"/>
      <c r="Y10" s="13"/>
      <c r="Z10" s="13"/>
      <c r="AB10" s="514"/>
      <c r="AC10" s="513">
        <v>1096316.0792068851</v>
      </c>
    </row>
    <row r="11" spans="1:29" ht="24" thickBot="1">
      <c r="A11" s="519" t="s">
        <v>91</v>
      </c>
      <c r="B11" s="517">
        <f>'Anuid PF'!E11+'Anuid PF'!F11+'Anuid PJ'!D10+'Anuid PJ'!E10+RRT!C9+'TAXAS E MULTAS.'!B8</f>
        <v>2783176.47</v>
      </c>
      <c r="C11" s="518">
        <f>'Anuid PF'!O11+'Anuid PF'!P11+'Anuid PJ'!L10+'Anuid PJ'!M10+RRT!I9+'TAXAS E MULTAS.'!C8</f>
        <v>453031.16</v>
      </c>
      <c r="D11" s="518">
        <f>'Anuid PF'!Q11+'Anuid PF'!R11+'Anuid PJ'!N10+'Anuid PJ'!O10+RRT!J9+'TAXAS E MULTAS.'!D8</f>
        <v>462593.62400000001</v>
      </c>
      <c r="E11" s="518">
        <f>'Anuid PF'!S11+'Anuid PF'!T11+'Anuid PJ'!P10+'Anuid PJ'!Q10+RRT!K9+'TAXAS E MULTAS.'!E8</f>
        <v>326340.87200000003</v>
      </c>
      <c r="F11" s="518">
        <f>'Anuid PF'!U11+'Anuid PF'!V11+'Anuid PJ'!R10+'Anuid PJ'!S10+RRT!L9+'TAXAS E MULTAS.'!F8</f>
        <v>150592.61600000001</v>
      </c>
      <c r="G11" s="518">
        <f>'Anuid PF'!W11+'Anuid PF'!X11+'Anuid PJ'!T10+'Anuid PJ'!U10+RRT!M9+'TAXAS E MULTAS.'!G8</f>
        <v>140406.72</v>
      </c>
      <c r="H11" s="518">
        <f>'Anuid PF'!Y11+'Anuid PF'!Z11+'Anuid PJ'!V10+'Anuid PJ'!W10+RRT!N9+'TAXAS E MULTAS.'!H8</f>
        <v>207638.10400000002</v>
      </c>
      <c r="I11" s="518">
        <f>'Anuid PF'!AA11+'Anuid PF'!AB11+'Anuid PJ'!X10+'Anuid PJ'!Y10+RRT!O9+'TAXAS E MULTAS.'!I8</f>
        <v>319678.22399999999</v>
      </c>
      <c r="J11" s="518">
        <f>'Anuid PF'!AC11+'Anuid PF'!AD11+'Anuid PJ'!Z10+'Anuid PJ'!AA10+RRT!P9+'TAXAS E MULTAS.'!J8</f>
        <v>346501.03200000001</v>
      </c>
      <c r="K11" s="518">
        <f>'Anuid PF'!AE11+'Anuid PF'!AF11+'Anuid PJ'!AB10+'Anuid PJ'!AC10+RRT!Q9+'TAXAS E MULTAS.'!K8</f>
        <v>255257.44</v>
      </c>
      <c r="L11" s="518">
        <f>'Anuid PF'!AG11+'Anuid PF'!AH11+'Anuid PJ'!AD10+'Anuid PJ'!AE10+RRT!R9+'TAXAS E MULTAS.'!L8</f>
        <v>249380.79200000002</v>
      </c>
      <c r="M11" s="518">
        <f>'Anuid PF'!AI11+'Anuid PF'!AJ11+'Anuid PJ'!AF10+'Anuid PJ'!AG10+RRT!S9+'TAXAS E MULTAS.'!M8</f>
        <v>235760.83199999999</v>
      </c>
      <c r="N11" s="518">
        <f>'Anuid PF'!AK11+'Anuid PF'!AL11+'Anuid PJ'!AH10+'Anuid PJ'!AI10+RRT!T9+'TAXAS E MULTAS.'!N8</f>
        <v>242960.75200000001</v>
      </c>
      <c r="O11" s="517">
        <f t="shared" si="3"/>
        <v>3390142.1679999996</v>
      </c>
      <c r="P11" s="516">
        <f t="shared" si="0"/>
        <v>121.8083799048502</v>
      </c>
      <c r="Q11" s="516">
        <f t="shared" si="1"/>
        <v>2.0009596452636336</v>
      </c>
      <c r="R11" s="492">
        <f t="shared" si="2"/>
        <v>1.2180837990485021</v>
      </c>
      <c r="S11" s="491">
        <f>'Comparativo YoY'!EF12</f>
        <v>0.13524863295712919</v>
      </c>
      <c r="T11" s="394"/>
      <c r="U11" s="13"/>
      <c r="V11" s="13"/>
      <c r="W11" s="13"/>
      <c r="X11" s="13"/>
      <c r="Y11" s="13"/>
      <c r="Z11" s="13"/>
      <c r="AB11" s="514"/>
      <c r="AC11" s="513">
        <v>377381.20316519163</v>
      </c>
    </row>
    <row r="12" spans="1:29" ht="24" thickBot="1">
      <c r="A12" s="519" t="s">
        <v>92</v>
      </c>
      <c r="B12" s="517">
        <f>'Anuid PF'!E12+'Anuid PF'!F12+'Anuid PJ'!D11+'Anuid PJ'!E11+RRT!C10+'TAXAS E MULTAS.'!B9</f>
        <v>1984565.72</v>
      </c>
      <c r="C12" s="518">
        <f>'Anuid PF'!O12+'Anuid PF'!P12+'Anuid PJ'!L11+'Anuid PJ'!M11+RRT!I10+'TAXAS E MULTAS.'!C9</f>
        <v>314824.56800000003</v>
      </c>
      <c r="D12" s="518">
        <f>'Anuid PF'!Q12+'Anuid PF'!R12+'Anuid PJ'!N11+'Anuid PJ'!O11+RRT!J10+'TAXAS E MULTAS.'!D9</f>
        <v>231515.78400000004</v>
      </c>
      <c r="E12" s="518">
        <f>'Anuid PF'!S12+'Anuid PF'!T12+'Anuid PJ'!P11+'Anuid PJ'!Q11+RRT!K10+'TAXAS E MULTAS.'!E9</f>
        <v>161725.17600000001</v>
      </c>
      <c r="F12" s="518">
        <f>'Anuid PF'!U12+'Anuid PF'!V12+'Anuid PJ'!R11+'Anuid PJ'!S11+RRT!L10+'TAXAS E MULTAS.'!F9</f>
        <v>64267.248</v>
      </c>
      <c r="G12" s="518">
        <f>'Anuid PF'!W12+'Anuid PF'!X12+'Anuid PJ'!T11+'Anuid PJ'!U11+RRT!M10+'TAXAS E MULTAS.'!G9</f>
        <v>66036.472000000009</v>
      </c>
      <c r="H12" s="518">
        <f>'Anuid PF'!Y12+'Anuid PF'!Z12+'Anuid PJ'!V11+'Anuid PJ'!W11+RRT!N10+'TAXAS E MULTAS.'!H9</f>
        <v>141399.96000000002</v>
      </c>
      <c r="I12" s="518">
        <f>'Anuid PF'!AA12+'Anuid PF'!AB12+'Anuid PJ'!X11+'Anuid PJ'!Y11+RRT!O10+'TAXAS E MULTAS.'!I9</f>
        <v>212997.008</v>
      </c>
      <c r="J12" s="518">
        <f>'Anuid PF'!AC12+'Anuid PF'!AD12+'Anuid PJ'!Z11+'Anuid PJ'!AA11+RRT!P10+'TAXAS E MULTAS.'!J9</f>
        <v>214439.04799999998</v>
      </c>
      <c r="K12" s="518">
        <f>'Anuid PF'!AE12+'Anuid PF'!AF12+'Anuid PJ'!AB11+'Anuid PJ'!AC11+RRT!Q10+'TAXAS E MULTAS.'!K9</f>
        <v>168957.992</v>
      </c>
      <c r="L12" s="518">
        <f>'Anuid PF'!AG12+'Anuid PF'!AH12+'Anuid PJ'!AD11+'Anuid PJ'!AE11+RRT!R10+'TAXAS E MULTAS.'!L9</f>
        <v>169440.10399999999</v>
      </c>
      <c r="M12" s="518">
        <f>'Anuid PF'!AI12+'Anuid PF'!AJ12+'Anuid PJ'!AF11+'Anuid PJ'!AG11+RRT!S10+'TAXAS E MULTAS.'!M9</f>
        <v>138677.00000000003</v>
      </c>
      <c r="N12" s="518">
        <f>'Anuid PF'!AK12+'Anuid PF'!AL12+'Anuid PJ'!AH11+'Anuid PJ'!AI11+RRT!T10+'TAXAS E MULTAS.'!N9</f>
        <v>135834.76800000001</v>
      </c>
      <c r="O12" s="517">
        <f t="shared" si="3"/>
        <v>2020115.128</v>
      </c>
      <c r="P12" s="516">
        <f t="shared" si="0"/>
        <v>101.79129406709694</v>
      </c>
      <c r="Q12" s="516">
        <f t="shared" si="1"/>
        <v>1.192330188411904</v>
      </c>
      <c r="R12" s="492">
        <f t="shared" si="2"/>
        <v>1.0179129406709695</v>
      </c>
      <c r="S12" s="491">
        <f>'Comparativo YoY'!EF13</f>
        <v>6.8430336589476752</v>
      </c>
      <c r="T12" s="394"/>
      <c r="U12" s="13"/>
      <c r="V12" s="13"/>
      <c r="W12" s="13"/>
      <c r="X12" s="13"/>
      <c r="Y12" s="13"/>
      <c r="Z12" s="13"/>
      <c r="AB12" s="514"/>
      <c r="AC12" s="513">
        <v>112609.8266803484</v>
      </c>
    </row>
    <row r="13" spans="1:29" ht="24" thickBot="1">
      <c r="A13" s="519" t="s">
        <v>93</v>
      </c>
      <c r="B13" s="517">
        <f>'Anuid PF'!E13+'Anuid PF'!F13+'Anuid PJ'!D12+'Anuid PJ'!E12+RRT!C11+'TAXAS E MULTAS.'!B10</f>
        <v>3122971.23</v>
      </c>
      <c r="C13" s="518">
        <f>'Anuid PF'!O13+'Anuid PF'!P13+'Anuid PJ'!L12+'Anuid PJ'!M12+RRT!I11+'TAXAS E MULTAS.'!C10</f>
        <v>459095.43999999994</v>
      </c>
      <c r="D13" s="518">
        <f>'Anuid PF'!Q13+'Anuid PF'!R13+'Anuid PJ'!N12+'Anuid PJ'!O12+RRT!J11+'TAXAS E MULTAS.'!D10</f>
        <v>586692.24000000011</v>
      </c>
      <c r="E13" s="518">
        <f>'Anuid PF'!S13+'Anuid PF'!T13+'Anuid PJ'!P12+'Anuid PJ'!Q12+RRT!K11+'TAXAS E MULTAS.'!E10</f>
        <v>319761.19200000004</v>
      </c>
      <c r="F13" s="518">
        <f>'Anuid PF'!U13+'Anuid PF'!V13+'Anuid PJ'!R12+'Anuid PJ'!S12+RRT!L11+'TAXAS E MULTAS.'!F10</f>
        <v>176989.60800000001</v>
      </c>
      <c r="G13" s="518">
        <f>'Anuid PF'!W13+'Anuid PF'!X13+'Anuid PJ'!T12+'Anuid PJ'!U12+RRT!M11+'TAXAS E MULTAS.'!G10</f>
        <v>184127.92800000001</v>
      </c>
      <c r="H13" s="518">
        <f>'Anuid PF'!Y13+'Anuid PF'!Z13+'Anuid PJ'!V12+'Anuid PJ'!W12+RRT!N11+'TAXAS E MULTAS.'!H10</f>
        <v>232609.49600000001</v>
      </c>
      <c r="I13" s="518">
        <f>'Anuid PF'!AA13+'Anuid PF'!AB13+'Anuid PJ'!X12+'Anuid PJ'!Y12+RRT!O11+'TAXAS E MULTAS.'!I10</f>
        <v>273130.16000000003</v>
      </c>
      <c r="J13" s="518">
        <f>'Anuid PF'!AC13+'Anuid PF'!AD13+'Anuid PJ'!Z12+'Anuid PJ'!AA12+RRT!P11+'TAXAS E MULTAS.'!J10</f>
        <v>357182.00000000006</v>
      </c>
      <c r="K13" s="518">
        <f>'Anuid PF'!AE13+'Anuid PF'!AF13+'Anuid PJ'!AB12+'Anuid PJ'!AC12+RRT!Q11+'TAXAS E MULTAS.'!K10</f>
        <v>211320.87199999997</v>
      </c>
      <c r="L13" s="518">
        <f>'Anuid PF'!AG13+'Anuid PF'!AH13+'Anuid PJ'!AD12+'Anuid PJ'!AE12+RRT!R11+'TAXAS E MULTAS.'!L10</f>
        <v>248799.35200000001</v>
      </c>
      <c r="M13" s="518">
        <f>'Anuid PF'!AI13+'Anuid PF'!AJ13+'Anuid PJ'!AF12+'Anuid PJ'!AG12+RRT!S11+'TAXAS E MULTAS.'!M10</f>
        <v>217943.68800000005</v>
      </c>
      <c r="N13" s="518">
        <f>'Anuid PF'!AK13+'Anuid PF'!AL13+'Anuid PJ'!AH12+'Anuid PJ'!AI12+RRT!T11+'TAXAS E MULTAS.'!N10</f>
        <v>186172.56</v>
      </c>
      <c r="O13" s="517">
        <f t="shared" si="3"/>
        <v>3453824.5360000003</v>
      </c>
      <c r="P13" s="516">
        <f t="shared" si="0"/>
        <v>110.59418360379838</v>
      </c>
      <c r="Q13" s="516">
        <f t="shared" si="1"/>
        <v>2.038546814818238</v>
      </c>
      <c r="R13" s="492">
        <f t="shared" si="2"/>
        <v>1.1059418360379838</v>
      </c>
      <c r="S13" s="491">
        <f>'Comparativo YoY'!EF14</f>
        <v>4.8457468105605557</v>
      </c>
      <c r="T13" s="394"/>
      <c r="U13" s="13"/>
      <c r="V13" s="13"/>
      <c r="W13" s="13"/>
      <c r="X13" s="13"/>
      <c r="Y13" s="13"/>
      <c r="Z13" s="13"/>
      <c r="AB13" s="514"/>
      <c r="AC13" s="513">
        <v>633397.50707965042</v>
      </c>
    </row>
    <row r="14" spans="1:29" ht="24" thickBot="1">
      <c r="A14" s="519" t="s">
        <v>94</v>
      </c>
      <c r="B14" s="517">
        <f>'Anuid PF'!E14+'Anuid PF'!F14+'Anuid PJ'!D13+'Anuid PJ'!E13+RRT!C12+'TAXAS E MULTAS.'!B11</f>
        <v>2390950.27</v>
      </c>
      <c r="C14" s="518">
        <f>'Anuid PF'!O14+'Anuid PF'!P14+'Anuid PJ'!L13+'Anuid PJ'!M13+RRT!I12+'TAXAS E MULTAS.'!C11</f>
        <v>334897.67200000002</v>
      </c>
      <c r="D14" s="518">
        <f>'Anuid PF'!Q14+'Anuid PF'!R14+'Anuid PJ'!N13+'Anuid PJ'!O13+RRT!J12+'TAXAS E MULTAS.'!D11</f>
        <v>438612.16000000003</v>
      </c>
      <c r="E14" s="518">
        <f>'Anuid PF'!S14+'Anuid PF'!T14+'Anuid PJ'!P13+'Anuid PJ'!Q13+RRT!K12+'TAXAS E MULTAS.'!E11</f>
        <v>226875.34400000004</v>
      </c>
      <c r="F14" s="518">
        <f>'Anuid PF'!U14+'Anuid PF'!V14+'Anuid PJ'!R13+'Anuid PJ'!S13+RRT!L12+'TAXAS E MULTAS.'!F11</f>
        <v>109041.83200000001</v>
      </c>
      <c r="G14" s="518">
        <f>'Anuid PF'!W14+'Anuid PF'!X14+'Anuid PJ'!T13+'Anuid PJ'!U13+RRT!M12+'TAXAS E MULTAS.'!G11</f>
        <v>123853.512</v>
      </c>
      <c r="H14" s="518">
        <f>'Anuid PF'!Y14+'Anuid PF'!Z14+'Anuid PJ'!V13+'Anuid PJ'!W13+RRT!N12+'TAXAS E MULTAS.'!H11</f>
        <v>144716.736</v>
      </c>
      <c r="I14" s="518">
        <f>'Anuid PF'!AA14+'Anuid PF'!AB14+'Anuid PJ'!X13+'Anuid PJ'!Y13+RRT!O12+'TAXAS E MULTAS.'!I11</f>
        <v>216006.09600000002</v>
      </c>
      <c r="J14" s="518">
        <f>'Anuid PF'!AC14+'Anuid PF'!AD14+'Anuid PJ'!Z13+'Anuid PJ'!AA13+RRT!P12+'TAXAS E MULTAS.'!J11</f>
        <v>269644.79200000002</v>
      </c>
      <c r="K14" s="518">
        <f>'Anuid PF'!AE14+'Anuid PF'!AF14+'Anuid PJ'!AB13+'Anuid PJ'!AC13+RRT!Q12+'TAXAS E MULTAS.'!K11</f>
        <v>147578.88</v>
      </c>
      <c r="L14" s="518">
        <f>'Anuid PF'!AG14+'Anuid PF'!AH14+'Anuid PJ'!AD13+'Anuid PJ'!AE13+RRT!R12+'TAXAS E MULTAS.'!L11</f>
        <v>171495.44000000003</v>
      </c>
      <c r="M14" s="518">
        <f>'Anuid PF'!AI14+'Anuid PF'!AJ14+'Anuid PJ'!AF13+'Anuid PJ'!AG13+RRT!S12+'TAXAS E MULTAS.'!M11</f>
        <v>142443.16</v>
      </c>
      <c r="N14" s="518">
        <f>'Anuid PF'!AK14+'Anuid PF'!AL14+'Anuid PJ'!AH13+'Anuid PJ'!AI13+RRT!T12+'TAXAS E MULTAS.'!N11</f>
        <v>159700.848</v>
      </c>
      <c r="O14" s="517">
        <f t="shared" si="3"/>
        <v>2484866.4720000001</v>
      </c>
      <c r="P14" s="516">
        <f t="shared" si="0"/>
        <v>103.92798642357374</v>
      </c>
      <c r="Q14" s="516">
        <f t="shared" si="1"/>
        <v>1.4666398304097958</v>
      </c>
      <c r="R14" s="492">
        <f t="shared" si="2"/>
        <v>1.0392798642357375</v>
      </c>
      <c r="S14" s="491">
        <f>'Comparativo YoY'!EF15</f>
        <v>-5.9845527187491143</v>
      </c>
      <c r="T14" s="394"/>
      <c r="U14" s="13"/>
      <c r="V14" s="13"/>
      <c r="W14" s="13"/>
      <c r="X14" s="13"/>
      <c r="Y14" s="13"/>
      <c r="Z14" s="13"/>
      <c r="AB14" s="514"/>
      <c r="AC14" s="513">
        <v>948850.76735971484</v>
      </c>
    </row>
    <row r="15" spans="1:29" ht="24" thickBot="1">
      <c r="A15" s="519" t="s">
        <v>95</v>
      </c>
      <c r="B15" s="517">
        <f>'Anuid PF'!E15+'Anuid PF'!F15+'Anuid PJ'!D14+'Anuid PJ'!E14+RRT!C13+'TAXAS E MULTAS.'!B12</f>
        <v>3202806.66</v>
      </c>
      <c r="C15" s="518">
        <f>'Anuid PF'!O15+'Anuid PF'!P15+'Anuid PJ'!L14+'Anuid PJ'!M14+RRT!I13+'TAXAS E MULTAS.'!C12</f>
        <v>385729.31199999998</v>
      </c>
      <c r="D15" s="518">
        <f>'Anuid PF'!Q15+'Anuid PF'!R15+'Anuid PJ'!N14+'Anuid PJ'!O14+RRT!J13+'TAXAS E MULTAS.'!D12</f>
        <v>457815.82400000002</v>
      </c>
      <c r="E15" s="518">
        <f>'Anuid PF'!S15+'Anuid PF'!T15+'Anuid PJ'!P14+'Anuid PJ'!Q14+RRT!K13+'TAXAS E MULTAS.'!E12</f>
        <v>332298.77600000001</v>
      </c>
      <c r="F15" s="518">
        <f>'Anuid PF'!U15+'Anuid PF'!V15+'Anuid PJ'!R14+'Anuid PJ'!S14+RRT!L13+'TAXAS E MULTAS.'!F12</f>
        <v>199173.28000000003</v>
      </c>
      <c r="G15" s="518">
        <f>'Anuid PF'!W15+'Anuid PF'!X15+'Anuid PJ'!T14+'Anuid PJ'!U14+RRT!M13+'TAXAS E MULTAS.'!G12</f>
        <v>230614.33600000001</v>
      </c>
      <c r="H15" s="518">
        <f>'Anuid PF'!Y15+'Anuid PF'!Z15+'Anuid PJ'!V14+'Anuid PJ'!W14+RRT!N13+'TAXAS E MULTAS.'!H12</f>
        <v>304597.25600000005</v>
      </c>
      <c r="I15" s="518">
        <f>'Anuid PF'!AA15+'Anuid PF'!AB15+'Anuid PJ'!X14+'Anuid PJ'!Y14+RRT!O13+'TAXAS E MULTAS.'!I12</f>
        <v>409408.56800000003</v>
      </c>
      <c r="J15" s="518">
        <f>'Anuid PF'!AC15+'Anuid PF'!AD15+'Anuid PJ'!Z14+'Anuid PJ'!AA14+RRT!P13+'TAXAS E MULTAS.'!J12</f>
        <v>394651.55200000003</v>
      </c>
      <c r="K15" s="518">
        <f>'Anuid PF'!AE15+'Anuid PF'!AF15+'Anuid PJ'!AB14+'Anuid PJ'!AC14+RRT!Q13+'TAXAS E MULTAS.'!K12</f>
        <v>307270.56800000003</v>
      </c>
      <c r="L15" s="518">
        <f>'Anuid PF'!AG15+'Anuid PF'!AH15+'Anuid PJ'!AD14+'Anuid PJ'!AE14+RRT!R13+'TAXAS E MULTAS.'!L12</f>
        <v>335722.89600000001</v>
      </c>
      <c r="M15" s="518">
        <f>'Anuid PF'!AI15+'Anuid PF'!AJ15+'Anuid PJ'!AF14+'Anuid PJ'!AG14+RRT!S13+'TAXAS E MULTAS.'!M12</f>
        <v>269109.984</v>
      </c>
      <c r="N15" s="518">
        <f>'Anuid PF'!AK15+'Anuid PF'!AL15+'Anuid PJ'!AH14+'Anuid PJ'!AI14+RRT!T13+'TAXAS E MULTAS.'!N12</f>
        <v>297031.72000000003</v>
      </c>
      <c r="O15" s="517">
        <f t="shared" si="3"/>
        <v>3923424.0720000006</v>
      </c>
      <c r="P15" s="516">
        <f t="shared" si="0"/>
        <v>122.49956018263057</v>
      </c>
      <c r="Q15" s="516">
        <f t="shared" si="1"/>
        <v>2.3157179995077786</v>
      </c>
      <c r="R15" s="492">
        <f t="shared" si="2"/>
        <v>1.2249956018263057</v>
      </c>
      <c r="S15" s="491">
        <f>'Comparativo YoY'!EF16</f>
        <v>5.6792766878675849</v>
      </c>
      <c r="T15" s="394"/>
      <c r="U15" s="13"/>
      <c r="V15" s="13"/>
      <c r="W15" s="13"/>
      <c r="X15" s="13"/>
      <c r="Y15" s="13"/>
      <c r="Z15" s="13"/>
      <c r="AB15" s="514"/>
      <c r="AC15" s="513">
        <v>2419908.0302101765</v>
      </c>
    </row>
    <row r="16" spans="1:29" ht="24" thickBot="1">
      <c r="A16" s="519" t="s">
        <v>96</v>
      </c>
      <c r="B16" s="517">
        <f>'Anuid PF'!E16+'Anuid PF'!F16+'Anuid PJ'!D15+'Anuid PJ'!E15+RRT!C14+'TAXAS E MULTAS.'!B13</f>
        <v>942097.32078333327</v>
      </c>
      <c r="C16" s="518">
        <f>'Anuid PF'!O16+'Anuid PF'!P16+'Anuid PJ'!L15+'Anuid PJ'!M15+RRT!I14+'TAXAS E MULTAS.'!C13</f>
        <v>124676.51999999999</v>
      </c>
      <c r="D16" s="518">
        <f>'Anuid PF'!Q16+'Anuid PF'!R16+'Anuid PJ'!N15+'Anuid PJ'!O15+RRT!J14+'TAXAS E MULTAS.'!D13</f>
        <v>122398.56000000001</v>
      </c>
      <c r="E16" s="518">
        <f>'Anuid PF'!S16+'Anuid PF'!T16+'Anuid PJ'!P15+'Anuid PJ'!Q15+RRT!K14+'TAXAS E MULTAS.'!E13</f>
        <v>109847.928</v>
      </c>
      <c r="F16" s="518">
        <f>'Anuid PF'!U16+'Anuid PF'!V16+'Anuid PJ'!R15+'Anuid PJ'!S15+RRT!L14+'TAXAS E MULTAS.'!F13</f>
        <v>47160.384000000005</v>
      </c>
      <c r="G16" s="518">
        <f>'Anuid PF'!W16+'Anuid PF'!X16+'Anuid PJ'!T15+'Anuid PJ'!U15+RRT!M14+'TAXAS E MULTAS.'!G13</f>
        <v>35470.28</v>
      </c>
      <c r="H16" s="518">
        <f>'Anuid PF'!Y16+'Anuid PF'!Z16+'Anuid PJ'!V15+'Anuid PJ'!W15+RRT!N14+'TAXAS E MULTAS.'!H13</f>
        <v>68884.152000000002</v>
      </c>
      <c r="I16" s="518">
        <f>'Anuid PF'!AA16+'Anuid PF'!AB16+'Anuid PJ'!X15+'Anuid PJ'!Y15+RRT!O14+'TAXAS E MULTAS.'!I13</f>
        <v>107305.86400000002</v>
      </c>
      <c r="J16" s="518">
        <f>'Anuid PF'!AC16+'Anuid PF'!AD16+'Anuid PJ'!Z15+'Anuid PJ'!AA15+RRT!P14+'TAXAS E MULTAS.'!J13</f>
        <v>99164.36</v>
      </c>
      <c r="K16" s="518">
        <f>'Anuid PF'!AE16+'Anuid PF'!AF16+'Anuid PJ'!AB15+'Anuid PJ'!AC15+RRT!Q14+'TAXAS E MULTAS.'!K13</f>
        <v>84911.727999999988</v>
      </c>
      <c r="L16" s="518">
        <f>'Anuid PF'!AG16+'Anuid PF'!AH16+'Anuid PJ'!AD15+'Anuid PJ'!AE15+RRT!R14+'TAXAS E MULTAS.'!L13</f>
        <v>81518.456000000006</v>
      </c>
      <c r="M16" s="518">
        <f>'Anuid PF'!AI16+'Anuid PF'!AJ16+'Anuid PJ'!AF15+'Anuid PJ'!AG15+RRT!S14+'TAXAS E MULTAS.'!M13</f>
        <v>69195.903999999995</v>
      </c>
      <c r="N16" s="518">
        <f>'Anuid PF'!AK16+'Anuid PF'!AL16+'Anuid PJ'!AH15+'Anuid PJ'!AI15+RRT!T14+'TAXAS E MULTAS.'!N13</f>
        <v>64124.480000000003</v>
      </c>
      <c r="O16" s="517">
        <f t="shared" si="3"/>
        <v>1014658.616</v>
      </c>
      <c r="P16" s="516">
        <f t="shared" si="0"/>
        <v>107.70210185465061</v>
      </c>
      <c r="Q16" s="516">
        <f t="shared" si="1"/>
        <v>0.59888076774456078</v>
      </c>
      <c r="R16" s="492">
        <f t="shared" si="2"/>
        <v>1.0770210185465061</v>
      </c>
      <c r="S16" s="491">
        <f>'Comparativo YoY'!EF17</f>
        <v>7.4038692459155442</v>
      </c>
      <c r="T16" s="394"/>
      <c r="U16" s="13"/>
      <c r="V16" s="13"/>
      <c r="W16" s="13"/>
      <c r="X16" s="13"/>
      <c r="Y16" s="13"/>
      <c r="Z16" s="13"/>
      <c r="AB16" s="514"/>
      <c r="AC16" s="513">
        <v>1052356.5231629985</v>
      </c>
    </row>
    <row r="17" spans="1:29" ht="24" thickBot="1">
      <c r="A17" s="519" t="s">
        <v>99</v>
      </c>
      <c r="B17" s="517">
        <f>'Anuid PF'!E17+'Anuid PF'!F17+'Anuid PJ'!D16+'Anuid PJ'!E16+RRT!C15+'TAXAS E MULTAS.'!B14</f>
        <v>8991998.6100000013</v>
      </c>
      <c r="C17" s="518">
        <f>'Anuid PF'!O17+'Anuid PF'!P17+'Anuid PJ'!L16+'Anuid PJ'!M16+RRT!I15+'TAXAS E MULTAS.'!C14</f>
        <v>1512319.4319999998</v>
      </c>
      <c r="D17" s="518">
        <f>'Anuid PF'!Q17+'Anuid PF'!R17+'Anuid PJ'!N16+'Anuid PJ'!O16+RRT!J15+'TAXAS E MULTAS.'!D14</f>
        <v>1243868.344</v>
      </c>
      <c r="E17" s="518">
        <f>'Anuid PF'!S17+'Anuid PF'!T17+'Anuid PJ'!P16+'Anuid PJ'!Q16+RRT!K15+'TAXAS E MULTAS.'!E14</f>
        <v>902226.03999999992</v>
      </c>
      <c r="F17" s="518">
        <f>'Anuid PF'!U17+'Anuid PF'!V17+'Anuid PJ'!R16+'Anuid PJ'!S16+RRT!L15+'TAXAS E MULTAS.'!F14</f>
        <v>492368.55200000003</v>
      </c>
      <c r="G17" s="518">
        <f>'Anuid PF'!W17+'Anuid PF'!X17+'Anuid PJ'!T16+'Anuid PJ'!U16+RRT!M15+'TAXAS E MULTAS.'!G14</f>
        <v>530158.91999999993</v>
      </c>
      <c r="H17" s="518">
        <f>'Anuid PF'!Y17+'Anuid PF'!Z17+'Anuid PJ'!V16+'Anuid PJ'!W16+RRT!N15+'TAXAS E MULTAS.'!H14</f>
        <v>713024.48</v>
      </c>
      <c r="I17" s="518">
        <f>'Anuid PF'!AA17+'Anuid PF'!AB17+'Anuid PJ'!X16+'Anuid PJ'!Y16+RRT!O15+'TAXAS E MULTAS.'!I14</f>
        <v>957467.91199999989</v>
      </c>
      <c r="J17" s="518">
        <f>'Anuid PF'!AC17+'Anuid PF'!AD17+'Anuid PJ'!Z16+'Anuid PJ'!AA16+RRT!P15+'TAXAS E MULTAS.'!J14</f>
        <v>973081.72</v>
      </c>
      <c r="K17" s="518">
        <f>'Anuid PF'!AE17+'Anuid PF'!AF17+'Anuid PJ'!AB16+'Anuid PJ'!AC16+RRT!Q15+'TAXAS E MULTAS.'!K14</f>
        <v>692383.65600000008</v>
      </c>
      <c r="L17" s="518">
        <f>'Anuid PF'!AG17+'Anuid PF'!AH17+'Anuid PJ'!AD16+'Anuid PJ'!AE16+RRT!R15+'TAXAS E MULTAS.'!L14</f>
        <v>694033.03200000012</v>
      </c>
      <c r="M17" s="518">
        <f>'Anuid PF'!AI17+'Anuid PF'!AJ17+'Anuid PJ'!AF16+'Anuid PJ'!AG16+RRT!S15+'TAXAS E MULTAS.'!M14</f>
        <v>660210.9040000001</v>
      </c>
      <c r="N17" s="518">
        <f>'Anuid PF'!AK17+'Anuid PF'!AL17+'Anuid PJ'!AH16+'Anuid PJ'!AI16+RRT!T15+'TAXAS E MULTAS.'!N14</f>
        <v>649325.08000000007</v>
      </c>
      <c r="O17" s="517">
        <f t="shared" si="3"/>
        <v>10020468.071999999</v>
      </c>
      <c r="P17" s="516">
        <f t="shared" si="0"/>
        <v>111.43760699491476</v>
      </c>
      <c r="Q17" s="516">
        <f t="shared" si="1"/>
        <v>5.9143691459268286</v>
      </c>
      <c r="R17" s="492">
        <f t="shared" si="2"/>
        <v>1.1143760699491476</v>
      </c>
      <c r="S17" s="491">
        <f>'Comparativo YoY'!EF18</f>
        <v>2.2030457747835612</v>
      </c>
      <c r="T17" s="394"/>
      <c r="U17" s="13"/>
      <c r="V17" s="13"/>
      <c r="W17" s="13"/>
      <c r="X17" s="13"/>
      <c r="Y17" s="13"/>
      <c r="Z17" s="13"/>
      <c r="AB17" s="514"/>
      <c r="AC17" s="513">
        <v>727219.80133539904</v>
      </c>
    </row>
    <row r="18" spans="1:29" ht="24" thickBot="1">
      <c r="A18" s="519" t="s">
        <v>98</v>
      </c>
      <c r="B18" s="517">
        <f>'Anuid PF'!E18+'Anuid PF'!F18+'Anuid PJ'!D17+'Anuid PJ'!E17+RRT!C16+'TAXAS E MULTAS.'!B15</f>
        <v>2382192.9900000002</v>
      </c>
      <c r="C18" s="518">
        <f>'Anuid PF'!O18+'Anuid PF'!P18+'Anuid PJ'!L17+'Anuid PJ'!M17+RRT!I16+'TAXAS E MULTAS.'!C15</f>
        <v>300224.24000000005</v>
      </c>
      <c r="D18" s="518">
        <f>'Anuid PF'!Q18+'Anuid PF'!R18+'Anuid PJ'!N17+'Anuid PJ'!O17+RRT!J16+'TAXAS E MULTAS.'!D15</f>
        <v>279140.83199999994</v>
      </c>
      <c r="E18" s="518">
        <f>'Anuid PF'!S18+'Anuid PF'!T18+'Anuid PJ'!P17+'Anuid PJ'!Q17+RRT!K16+'TAXAS E MULTAS.'!E15</f>
        <v>239476.56000000003</v>
      </c>
      <c r="F18" s="518">
        <f>'Anuid PF'!U18+'Anuid PF'!V18+'Anuid PJ'!R17+'Anuid PJ'!S17+RRT!L16+'TAXAS E MULTAS.'!F15</f>
        <v>156190.21600000001</v>
      </c>
      <c r="G18" s="518">
        <f>'Anuid PF'!W18+'Anuid PF'!X18+'Anuid PJ'!T17+'Anuid PJ'!U17+RRT!M16+'TAXAS E MULTAS.'!G15</f>
        <v>160629.45600000001</v>
      </c>
      <c r="H18" s="518">
        <f>'Anuid PF'!Y18+'Anuid PF'!Z18+'Anuid PJ'!V17+'Anuid PJ'!W17+RRT!N16+'TAXAS E MULTAS.'!H15</f>
        <v>205651.856</v>
      </c>
      <c r="I18" s="518">
        <f>'Anuid PF'!AA18+'Anuid PF'!AB18+'Anuid PJ'!X17+'Anuid PJ'!Y17+RRT!O16+'TAXAS E MULTAS.'!I15</f>
        <v>263610.39199999999</v>
      </c>
      <c r="J18" s="518">
        <f>'Anuid PF'!AC18+'Anuid PF'!AD18+'Anuid PJ'!Z17+'Anuid PJ'!AA17+RRT!P16+'TAXAS E MULTAS.'!J15</f>
        <v>255059.81599999999</v>
      </c>
      <c r="K18" s="518">
        <f>'Anuid PF'!AE18+'Anuid PF'!AF18+'Anuid PJ'!AB17+'Anuid PJ'!AC17+RRT!Q16+'TAXAS E MULTAS.'!K15</f>
        <v>224687.69600000003</v>
      </c>
      <c r="L18" s="518">
        <f>'Anuid PF'!AG18+'Anuid PF'!AH18+'Anuid PJ'!AD17+'Anuid PJ'!AE17+RRT!R16+'TAXAS E MULTAS.'!L15</f>
        <v>215103.20800000001</v>
      </c>
      <c r="M18" s="518">
        <f>'Anuid PF'!AI18+'Anuid PF'!AJ18+'Anuid PJ'!AF17+'Anuid PJ'!AG17+RRT!S16+'TAXAS E MULTAS.'!M15</f>
        <v>202445.152</v>
      </c>
      <c r="N18" s="518">
        <f>'Anuid PF'!AK18+'Anuid PF'!AL18+'Anuid PJ'!AH17+'Anuid PJ'!AI17+RRT!T16+'TAXAS E MULTAS.'!N15</f>
        <v>167410.60800000001</v>
      </c>
      <c r="O18" s="517">
        <f t="shared" si="3"/>
        <v>2669630.0319999997</v>
      </c>
      <c r="P18" s="516">
        <f t="shared" si="0"/>
        <v>112.06606866893682</v>
      </c>
      <c r="Q18" s="516">
        <f t="shared" si="1"/>
        <v>1.5756926102503979</v>
      </c>
      <c r="R18" s="492">
        <f t="shared" si="2"/>
        <v>1.1206606866893682</v>
      </c>
      <c r="S18" s="491">
        <f>'Comparativo YoY'!EF19</f>
        <v>-1.5390704137644349</v>
      </c>
      <c r="T18" s="394"/>
      <c r="U18" s="13"/>
      <c r="V18" s="13"/>
      <c r="W18" s="13"/>
      <c r="X18" s="13"/>
      <c r="Y18" s="13"/>
      <c r="Z18" s="13"/>
      <c r="AB18" s="514"/>
      <c r="AC18" s="513">
        <v>1213999.7252162143</v>
      </c>
    </row>
    <row r="19" spans="1:29" ht="24" thickBot="1">
      <c r="A19" s="519" t="s">
        <v>97</v>
      </c>
      <c r="B19" s="517">
        <f>'Anuid PF'!E19+'Anuid PF'!F19+'Anuid PJ'!D18+'Anuid PJ'!E18+RRT!C17+'TAXAS E MULTAS.'!B16</f>
        <v>3368027.87</v>
      </c>
      <c r="C19" s="518">
        <f>'Anuid PF'!O19+'Anuid PF'!P19+'Anuid PJ'!L18+'Anuid PJ'!M18+RRT!I17+'TAXAS E MULTAS.'!C16</f>
        <v>289101.18400000001</v>
      </c>
      <c r="D19" s="518">
        <f>'Anuid PF'!Q19+'Anuid PF'!R19+'Anuid PJ'!N18+'Anuid PJ'!O18+RRT!J17+'TAXAS E MULTAS.'!D16</f>
        <v>383790.08799999999</v>
      </c>
      <c r="E19" s="518">
        <f>'Anuid PF'!S19+'Anuid PF'!T19+'Anuid PJ'!P18+'Anuid PJ'!Q18+RRT!K17+'TAXAS E MULTAS.'!E16</f>
        <v>322970.41600000003</v>
      </c>
      <c r="F19" s="518">
        <f>'Anuid PF'!U19+'Anuid PF'!V19+'Anuid PJ'!R18+'Anuid PJ'!S18+RRT!L17+'TAXAS E MULTAS.'!F16</f>
        <v>215100.92</v>
      </c>
      <c r="G19" s="518">
        <f>'Anuid PF'!W19+'Anuid PF'!X19+'Anuid PJ'!T18+'Anuid PJ'!U18+RRT!M17+'TAXAS E MULTAS.'!G16</f>
        <v>263220.55200000003</v>
      </c>
      <c r="H19" s="518">
        <f>'Anuid PF'!Y19+'Anuid PF'!Z19+'Anuid PJ'!V18+'Anuid PJ'!W18+RRT!N17+'TAXAS E MULTAS.'!H16</f>
        <v>336322.20800000004</v>
      </c>
      <c r="I19" s="518">
        <f>'Anuid PF'!AA19+'Anuid PF'!AB19+'Anuid PJ'!X18+'Anuid PJ'!Y18+RRT!O17+'TAXAS E MULTAS.'!I16</f>
        <v>347692.66399999999</v>
      </c>
      <c r="J19" s="518">
        <f>'Anuid PF'!AC19+'Anuid PF'!AD19+'Anuid PJ'!Z18+'Anuid PJ'!AA18+RRT!P17+'TAXAS E MULTAS.'!J16</f>
        <v>435303.02400000003</v>
      </c>
      <c r="K19" s="518">
        <f>'Anuid PF'!AE19+'Anuid PF'!AF19+'Anuid PJ'!AB18+'Anuid PJ'!AC18+RRT!Q17+'TAXAS E MULTAS.'!K16</f>
        <v>286563.31200000003</v>
      </c>
      <c r="L19" s="518">
        <f>'Anuid PF'!AG19+'Anuid PF'!AH19+'Anuid PJ'!AD18+'Anuid PJ'!AE18+RRT!R17+'TAXAS E MULTAS.'!L16</f>
        <v>278456.31200000003</v>
      </c>
      <c r="M19" s="518">
        <f>'Anuid PF'!AI19+'Anuid PF'!AJ19+'Anuid PJ'!AF18+'Anuid PJ'!AG18+RRT!S17+'TAXAS E MULTAS.'!M16</f>
        <v>251873.28800000003</v>
      </c>
      <c r="N19" s="518">
        <f>'Anuid PF'!AK19+'Anuid PF'!AL19+'Anuid PJ'!AH18+'Anuid PJ'!AI18+RRT!T17+'TAXAS E MULTAS.'!N16</f>
        <v>244442.40800000002</v>
      </c>
      <c r="O19" s="517">
        <f t="shared" si="3"/>
        <v>3654836.3760000002</v>
      </c>
      <c r="P19" s="516">
        <f t="shared" si="0"/>
        <v>108.51562151711053</v>
      </c>
      <c r="Q19" s="516">
        <f t="shared" si="1"/>
        <v>2.1571897979523276</v>
      </c>
      <c r="R19" s="492">
        <f t="shared" si="2"/>
        <v>1.0851562151711054</v>
      </c>
      <c r="S19" s="491">
        <f>'Comparativo YoY'!EF20</f>
        <v>17.595608923021459</v>
      </c>
      <c r="T19" s="394"/>
      <c r="U19" s="13"/>
      <c r="V19" s="13"/>
      <c r="W19" s="13"/>
      <c r="X19" s="13"/>
      <c r="Y19" s="13"/>
      <c r="Z19" s="13"/>
      <c r="AB19" s="514"/>
      <c r="AC19" s="513">
        <v>1969372.4564965589</v>
      </c>
    </row>
    <row r="20" spans="1:29" ht="24" thickBot="1">
      <c r="A20" s="519" t="s">
        <v>100</v>
      </c>
      <c r="B20" s="517">
        <f>'Anuid PF'!E20+'Anuid PF'!F20+'Anuid PJ'!D19+'Anuid PJ'!E19+RRT!C18+'TAXAS E MULTAS.'!B17</f>
        <v>1260334.0799999998</v>
      </c>
      <c r="C20" s="518">
        <f>'Anuid PF'!O20+'Anuid PF'!P20+'Anuid PJ'!L19+'Anuid PJ'!M19+RRT!I18+'TAXAS E MULTAS.'!C17</f>
        <v>182205.6</v>
      </c>
      <c r="D20" s="518">
        <f>'Anuid PF'!Q20+'Anuid PF'!R20+'Anuid PJ'!N19+'Anuid PJ'!O19+RRT!J18+'TAXAS E MULTAS.'!D17</f>
        <v>183265.568</v>
      </c>
      <c r="E20" s="518">
        <f>'Anuid PF'!S20+'Anuid PF'!T20+'Anuid PJ'!P19+'Anuid PJ'!Q19+RRT!K18+'TAXAS E MULTAS.'!E17</f>
        <v>159022.36800000002</v>
      </c>
      <c r="F20" s="518">
        <f>'Anuid PF'!U20+'Anuid PF'!V20+'Anuid PJ'!R19+'Anuid PJ'!S19+RRT!L18+'TAXAS E MULTAS.'!F17</f>
        <v>80391.184000000008</v>
      </c>
      <c r="G20" s="518">
        <f>'Anuid PF'!W20+'Anuid PF'!X20+'Anuid PJ'!T19+'Anuid PJ'!U19+RRT!M18+'TAXAS E MULTAS.'!G17</f>
        <v>60825.648000000008</v>
      </c>
      <c r="H20" s="518">
        <f>'Anuid PF'!Y20+'Anuid PF'!Z20+'Anuid PJ'!V19+'Anuid PJ'!W19+RRT!N18+'TAXAS E MULTAS.'!H17</f>
        <v>113732.60800000001</v>
      </c>
      <c r="I20" s="518">
        <f>'Anuid PF'!AA20+'Anuid PF'!AB20+'Anuid PJ'!X19+'Anuid PJ'!Y19+RRT!O18+'TAXAS E MULTAS.'!I17</f>
        <v>154591.584</v>
      </c>
      <c r="J20" s="518">
        <f>'Anuid PF'!AC20+'Anuid PF'!AD20+'Anuid PJ'!Z19+'Anuid PJ'!AA19+RRT!P18+'TAXAS E MULTAS.'!J17</f>
        <v>183553.96</v>
      </c>
      <c r="K20" s="518">
        <f>'Anuid PF'!AE20+'Anuid PF'!AF20+'Anuid PJ'!AB19+'Anuid PJ'!AC19+RRT!Q18+'TAXAS E MULTAS.'!K17</f>
        <v>119711.64000000001</v>
      </c>
      <c r="L20" s="518">
        <f>'Anuid PF'!AG20+'Anuid PF'!AH20+'Anuid PJ'!AD19+'Anuid PJ'!AE19+RRT!R18+'TAXAS E MULTAS.'!L17</f>
        <v>145388.69600000003</v>
      </c>
      <c r="M20" s="518">
        <f>'Anuid PF'!AI20+'Anuid PF'!AJ20+'Anuid PJ'!AF19+'Anuid PJ'!AG19+RRT!S18+'TAXAS E MULTAS.'!M17</f>
        <v>119641.272</v>
      </c>
      <c r="N20" s="518">
        <f>'Anuid PF'!AK20+'Anuid PF'!AL20+'Anuid PJ'!AH19+'Anuid PJ'!AI19+RRT!T18+'TAXAS E MULTAS.'!N17</f>
        <v>108168.38400000001</v>
      </c>
      <c r="O20" s="517">
        <f t="shared" si="3"/>
        <v>1610498.5120000001</v>
      </c>
      <c r="P20" s="516">
        <f t="shared" si="0"/>
        <v>127.78346135018425</v>
      </c>
      <c r="Q20" s="516">
        <f t="shared" si="1"/>
        <v>0.95056265241237825</v>
      </c>
      <c r="R20" s="492">
        <f t="shared" si="2"/>
        <v>1.2778346135018426</v>
      </c>
      <c r="S20" s="491">
        <f>'Comparativo YoY'!EF21</f>
        <v>12.903054462218023</v>
      </c>
      <c r="T20" s="394"/>
      <c r="U20" s="13"/>
      <c r="V20" s="13"/>
      <c r="W20" s="13"/>
      <c r="X20" s="13"/>
      <c r="Y20" s="13"/>
      <c r="Z20" s="13"/>
      <c r="AB20" s="514"/>
      <c r="AC20" s="513">
        <v>500725.5232661278</v>
      </c>
    </row>
    <row r="21" spans="1:29" ht="24" thickBot="1">
      <c r="A21" s="519" t="s">
        <v>101</v>
      </c>
      <c r="B21" s="517">
        <f>'Anuid PF'!E21+'Anuid PF'!F21+'Anuid PJ'!D20+'Anuid PJ'!E20+RRT!C19+'TAXAS E MULTAS.'!B18</f>
        <v>1293537.3920000002</v>
      </c>
      <c r="C21" s="518">
        <f>'Anuid PF'!O21+'Anuid PF'!P21+'Anuid PJ'!L20+'Anuid PJ'!M20+RRT!I19+'TAXAS E MULTAS.'!C18</f>
        <v>205609.31200000003</v>
      </c>
      <c r="D21" s="518">
        <f>'Anuid PF'!Q21+'Anuid PF'!R21+'Anuid PJ'!N20+'Anuid PJ'!O20+RRT!J19+'TAXAS E MULTAS.'!D18</f>
        <v>208578.04800000001</v>
      </c>
      <c r="E21" s="518">
        <f>'Anuid PF'!S21+'Anuid PF'!T21+'Anuid PJ'!P20+'Anuid PJ'!Q20+RRT!K19+'TAXAS E MULTAS.'!E18</f>
        <v>154709.23199999999</v>
      </c>
      <c r="F21" s="518">
        <f>'Anuid PF'!U21+'Anuid PF'!V21+'Anuid PJ'!R20+'Anuid PJ'!S20+RRT!L19+'TAXAS E MULTAS.'!F18</f>
        <v>78457.423999999999</v>
      </c>
      <c r="G21" s="518">
        <f>'Anuid PF'!W21+'Anuid PF'!X21+'Anuid PJ'!T20+'Anuid PJ'!U20+RRT!M19+'TAXAS E MULTAS.'!G18</f>
        <v>69401.33600000001</v>
      </c>
      <c r="H21" s="518">
        <f>'Anuid PF'!Y21+'Anuid PF'!Z21+'Anuid PJ'!V20+'Anuid PJ'!W20+RRT!N19+'TAXAS E MULTAS.'!H18</f>
        <v>93587.127999999997</v>
      </c>
      <c r="I21" s="518">
        <f>'Anuid PF'!AA21+'Anuid PF'!AB21+'Anuid PJ'!X20+'Anuid PJ'!Y20+RRT!O19+'TAXAS E MULTAS.'!I18</f>
        <v>157127.93599999999</v>
      </c>
      <c r="J21" s="518">
        <f>'Anuid PF'!AC21+'Anuid PF'!AD21+'Anuid PJ'!Z20+'Anuid PJ'!AA20+RRT!P19+'TAXAS E MULTAS.'!J18</f>
        <v>194177.98400000003</v>
      </c>
      <c r="K21" s="518">
        <f>'Anuid PF'!AE21+'Anuid PF'!AF21+'Anuid PJ'!AB20+'Anuid PJ'!AC20+RRT!Q19+'TAXAS E MULTAS.'!K18</f>
        <v>140380.136</v>
      </c>
      <c r="L21" s="518">
        <f>'Anuid PF'!AG21+'Anuid PF'!AH21+'Anuid PJ'!AD20+'Anuid PJ'!AE20+RRT!R19+'TAXAS E MULTAS.'!L18</f>
        <v>150566.10399999999</v>
      </c>
      <c r="M21" s="518">
        <f>'Anuid PF'!AI21+'Anuid PF'!AJ21+'Anuid PJ'!AF20+'Anuid PJ'!AG20+RRT!S19+'TAXAS E MULTAS.'!M18</f>
        <v>119880.75200000001</v>
      </c>
      <c r="N21" s="518">
        <f>'Anuid PF'!AK21+'Anuid PF'!AL21+'Anuid PJ'!AH20+'Anuid PJ'!AI20+RRT!T19+'TAXAS E MULTAS.'!N18</f>
        <v>137674.76800000001</v>
      </c>
      <c r="O21" s="517">
        <f t="shared" si="3"/>
        <v>1710150.1600000001</v>
      </c>
      <c r="P21" s="516">
        <f t="shared" si="0"/>
        <v>132.20724584975895</v>
      </c>
      <c r="Q21" s="516">
        <f t="shared" si="1"/>
        <v>1.0093799280163838</v>
      </c>
      <c r="R21" s="492">
        <f t="shared" si="2"/>
        <v>1.3220724584975894</v>
      </c>
      <c r="S21" s="491">
        <f>'Comparativo YoY'!EF22</f>
        <v>8.463415468116736</v>
      </c>
      <c r="T21" s="394"/>
      <c r="U21" s="13"/>
      <c r="V21" s="13"/>
      <c r="W21" s="13"/>
      <c r="X21" s="13"/>
      <c r="Y21" s="13"/>
      <c r="Z21" s="13"/>
      <c r="AB21" s="514"/>
      <c r="AC21" s="513">
        <v>1257907.2962285047</v>
      </c>
    </row>
    <row r="22" spans="1:29" ht="24" thickBot="1">
      <c r="A22" s="519" t="s">
        <v>103</v>
      </c>
      <c r="B22" s="517">
        <f>'Anuid PF'!E22+'Anuid PF'!F22+'Anuid PJ'!D21+'Anuid PJ'!E21+RRT!C20+'TAXAS E MULTAS.'!B19</f>
        <v>2808910.07</v>
      </c>
      <c r="C22" s="518">
        <f>'Anuid PF'!O22+'Anuid PF'!P22+'Anuid PJ'!L21+'Anuid PJ'!M21+RRT!I20+'TAXAS E MULTAS.'!C19</f>
        <v>424681.40000000008</v>
      </c>
      <c r="D22" s="518">
        <f>'Anuid PF'!Q22+'Anuid PF'!R22+'Anuid PJ'!N21+'Anuid PJ'!O21+RRT!J20+'TAXAS E MULTAS.'!D19</f>
        <v>417506.83199999999</v>
      </c>
      <c r="E22" s="518">
        <f>'Anuid PF'!S22+'Anuid PF'!T22+'Anuid PJ'!P21+'Anuid PJ'!Q21+RRT!K20+'TAXAS E MULTAS.'!E19</f>
        <v>267655.74400000001</v>
      </c>
      <c r="F22" s="518">
        <f>'Anuid PF'!U22+'Anuid PF'!V22+'Anuid PJ'!R21+'Anuid PJ'!S21+RRT!L20+'TAXAS E MULTAS.'!F19</f>
        <v>119253.04</v>
      </c>
      <c r="G22" s="518">
        <f>'Anuid PF'!W22+'Anuid PF'!X22+'Anuid PJ'!T21+'Anuid PJ'!U21+RRT!M20+'TAXAS E MULTAS.'!G19</f>
        <v>120720.82400000001</v>
      </c>
      <c r="H22" s="518">
        <f>'Anuid PF'!Y22+'Anuid PF'!Z22+'Anuid PJ'!V21+'Anuid PJ'!W21+RRT!N20+'TAXAS E MULTAS.'!H19</f>
        <v>151508.47200000001</v>
      </c>
      <c r="I22" s="518">
        <f>'Anuid PF'!AA22+'Anuid PF'!AB22+'Anuid PJ'!X21+'Anuid PJ'!Y21+RRT!O20+'TAXAS E MULTAS.'!I19</f>
        <v>260725.62400000001</v>
      </c>
      <c r="J22" s="518">
        <f>'Anuid PF'!AC22+'Anuid PF'!AD22+'Anuid PJ'!Z21+'Anuid PJ'!AA21+RRT!P20+'TAXAS E MULTAS.'!J19</f>
        <v>282952.19199999998</v>
      </c>
      <c r="K22" s="518">
        <f>'Anuid PF'!AE22+'Anuid PF'!AF22+'Anuid PJ'!AB21+'Anuid PJ'!AC21+RRT!Q20+'TAXAS E MULTAS.'!K19</f>
        <v>215764.89599999998</v>
      </c>
      <c r="L22" s="518">
        <f>'Anuid PF'!AG22+'Anuid PF'!AH22+'Anuid PJ'!AD21+'Anuid PJ'!AE21+RRT!R20+'TAXAS E MULTAS.'!L19</f>
        <v>245353.16800000001</v>
      </c>
      <c r="M22" s="518">
        <f>'Anuid PF'!AI22+'Anuid PF'!AJ22+'Anuid PJ'!AF21+'Anuid PJ'!AG21+RRT!S20+'TAXAS E MULTAS.'!M19</f>
        <v>206528.32800000001</v>
      </c>
      <c r="N22" s="518">
        <f>'Anuid PF'!AK22+'Anuid PF'!AL22+'Anuid PJ'!AH21+'Anuid PJ'!AI21+RRT!T20+'TAXAS E MULTAS.'!N19</f>
        <v>204312.19200000001</v>
      </c>
      <c r="O22" s="517">
        <f t="shared" si="3"/>
        <v>2916962.7120000003</v>
      </c>
      <c r="P22" s="516">
        <f t="shared" si="0"/>
        <v>103.84678182310054</v>
      </c>
      <c r="Q22" s="515">
        <f t="shared" si="1"/>
        <v>1.7216754885810936</v>
      </c>
      <c r="R22" s="492">
        <f t="shared" si="2"/>
        <v>1.0384678182310054</v>
      </c>
      <c r="S22" s="491">
        <f>'Comparativo YoY'!EF23</f>
        <v>-9.5625973116722065</v>
      </c>
      <c r="T22" s="394"/>
      <c r="U22" s="13"/>
      <c r="V22" s="13"/>
      <c r="W22" s="13"/>
      <c r="X22" s="13"/>
      <c r="Y22" s="13"/>
      <c r="Z22" s="13"/>
      <c r="AB22" s="514"/>
      <c r="AC22" s="513">
        <v>643844.80031943426</v>
      </c>
    </row>
    <row r="23" spans="1:29" ht="24" thickBot="1">
      <c r="A23" s="519" t="s">
        <v>104</v>
      </c>
      <c r="B23" s="517">
        <f>'Anuid PF'!E23+'Anuid PF'!F23+'Anuid PJ'!D22+'Anuid PJ'!E22+RRT!C21+'TAXAS E MULTAS.'!B20</f>
        <v>767080.54</v>
      </c>
      <c r="C23" s="518">
        <f>'Anuid PF'!O23+'Anuid PF'!P23+'Anuid PJ'!L22+'Anuid PJ'!M22+RRT!I21+'TAXAS E MULTAS.'!C20</f>
        <v>122749.664</v>
      </c>
      <c r="D23" s="518">
        <f>'Anuid PF'!Q23+'Anuid PF'!R23+'Anuid PJ'!N22+'Anuid PJ'!O22+RRT!J21+'TAXAS E MULTAS.'!D20</f>
        <v>88127.616000000009</v>
      </c>
      <c r="E23" s="518">
        <f>'Anuid PF'!S23+'Anuid PF'!T23+'Anuid PJ'!P22+'Anuid PJ'!Q22+RRT!K21+'TAXAS E MULTAS.'!E20</f>
        <v>63793.687999999995</v>
      </c>
      <c r="F23" s="518">
        <f>'Anuid PF'!U23+'Anuid PF'!V23+'Anuid PJ'!R22+'Anuid PJ'!S22+RRT!L21+'TAXAS E MULTAS.'!F20</f>
        <v>31619.416000000001</v>
      </c>
      <c r="G23" s="518">
        <f>'Anuid PF'!W23+'Anuid PF'!X23+'Anuid PJ'!T22+'Anuid PJ'!U22+RRT!M21+'TAXAS E MULTAS.'!G20</f>
        <v>33983.752000000008</v>
      </c>
      <c r="H23" s="518">
        <f>'Anuid PF'!Y23+'Anuid PF'!Z23+'Anuid PJ'!V22+'Anuid PJ'!W22+RRT!N21+'TAXAS E MULTAS.'!H20</f>
        <v>43536.680000000008</v>
      </c>
      <c r="I23" s="518">
        <f>'Anuid PF'!AA23+'Anuid PF'!AB23+'Anuid PJ'!X22+'Anuid PJ'!Y22+RRT!O21+'TAXAS E MULTAS.'!I20</f>
        <v>75097.616000000009</v>
      </c>
      <c r="J23" s="518">
        <f>'Anuid PF'!AC23+'Anuid PF'!AD23+'Anuid PJ'!Z22+'Anuid PJ'!AA22+RRT!P21+'TAXAS E MULTAS.'!J20</f>
        <v>97455.391999999993</v>
      </c>
      <c r="K23" s="518">
        <f>'Anuid PF'!AE23+'Anuid PF'!AF23+'Anuid PJ'!AB22+'Anuid PJ'!AC22+RRT!Q21+'TAXAS E MULTAS.'!K20</f>
        <v>64939.520000000004</v>
      </c>
      <c r="L23" s="518">
        <f>'Anuid PF'!AG23+'Anuid PF'!AH23+'Anuid PJ'!AD22+'Anuid PJ'!AE22+RRT!R21+'TAXAS E MULTAS.'!L20</f>
        <v>68443.12</v>
      </c>
      <c r="M23" s="518">
        <f>'Anuid PF'!AI23+'Anuid PF'!AJ23+'Anuid PJ'!AF22+'Anuid PJ'!AG22+RRT!S21+'TAXAS E MULTAS.'!M20</f>
        <v>57569.632000000005</v>
      </c>
      <c r="N23" s="518">
        <f>'Anuid PF'!AK23+'Anuid PF'!AL23+'Anuid PJ'!AH22+'Anuid PJ'!AI22+RRT!T21+'TAXAS E MULTAS.'!N20</f>
        <v>75580.576000000001</v>
      </c>
      <c r="O23" s="517">
        <f t="shared" si="3"/>
        <v>822896.67200000002</v>
      </c>
      <c r="P23" s="516">
        <f t="shared" si="0"/>
        <v>107.27643696970854</v>
      </c>
      <c r="Q23" s="515">
        <f t="shared" si="1"/>
        <v>0.48569733990393082</v>
      </c>
      <c r="R23" s="492">
        <f t="shared" si="2"/>
        <v>1.0727643696970854</v>
      </c>
      <c r="S23" s="491">
        <f>'Comparativo YoY'!EF24</f>
        <v>10.011539801320055</v>
      </c>
      <c r="T23" s="394"/>
      <c r="U23" s="13"/>
      <c r="V23" s="13"/>
      <c r="W23" s="13"/>
      <c r="X23" s="13"/>
      <c r="Y23" s="13"/>
      <c r="Z23" s="13"/>
      <c r="AB23" s="514"/>
      <c r="AC23" s="513">
        <v>1922925.2482682203</v>
      </c>
    </row>
    <row r="24" spans="1:29" ht="24" thickBot="1">
      <c r="A24" s="519" t="s">
        <v>102</v>
      </c>
      <c r="B24" s="517">
        <f>'Anuid PF'!E24+'Anuid PF'!F24+'Anuid PJ'!D23+'Anuid PJ'!E23+RRT!C22+'TAXAS E MULTAS.'!B21</f>
        <v>9895201.7899999991</v>
      </c>
      <c r="C24" s="518">
        <f>'Anuid PF'!O24+'Anuid PF'!P24+'Anuid PJ'!L23+'Anuid PJ'!M23+RRT!I22+'TAXAS E MULTAS.'!C21</f>
        <v>1411055.3120000002</v>
      </c>
      <c r="D24" s="518">
        <f>'Anuid PF'!Q24+'Anuid PF'!R24+'Anuid PJ'!N23+'Anuid PJ'!O23+RRT!J22+'TAXAS E MULTAS.'!D21</f>
        <v>1288201.0719999999</v>
      </c>
      <c r="E24" s="518">
        <f>'Anuid PF'!S24+'Anuid PF'!T24+'Anuid PJ'!P23+'Anuid PJ'!Q23+RRT!K22+'TAXAS E MULTAS.'!E21</f>
        <v>1062907.7920000001</v>
      </c>
      <c r="F24" s="518">
        <f>'Anuid PF'!U24+'Anuid PF'!V24+'Anuid PJ'!R23+'Anuid PJ'!S23+RRT!L22+'TAXAS E MULTAS.'!F21</f>
        <v>579043.83200000005</v>
      </c>
      <c r="G24" s="518">
        <f>'Anuid PF'!W24+'Anuid PF'!X24+'Anuid PJ'!T23+'Anuid PJ'!U23+RRT!M22+'TAXAS E MULTAS.'!G21</f>
        <v>709851.99200000009</v>
      </c>
      <c r="H24" s="518">
        <f>'Anuid PF'!Y24+'Anuid PF'!Z24+'Anuid PJ'!V23+'Anuid PJ'!W23+RRT!N22+'TAXAS E MULTAS.'!H21</f>
        <v>866569.55999999994</v>
      </c>
      <c r="I24" s="518">
        <f>'Anuid PF'!AA24+'Anuid PF'!AB24+'Anuid PJ'!X23+'Anuid PJ'!Y23+RRT!O22+'TAXAS E MULTAS.'!I21</f>
        <v>1051953.8960000002</v>
      </c>
      <c r="J24" s="518">
        <f>'Anuid PF'!AC24+'Anuid PF'!AD24+'Anuid PJ'!Z23+'Anuid PJ'!AA23+RRT!P22+'TAXAS E MULTAS.'!J21</f>
        <v>1049222.8720000002</v>
      </c>
      <c r="K24" s="518">
        <f>'Anuid PF'!AE24+'Anuid PF'!AF24+'Anuid PJ'!AB23+'Anuid PJ'!AC23+RRT!Q22+'TAXAS E MULTAS.'!K21</f>
        <v>811357.96</v>
      </c>
      <c r="L24" s="518">
        <f>'Anuid PF'!AG24+'Anuid PF'!AH24+'Anuid PJ'!AD23+'Anuid PJ'!AE23+RRT!R22+'TAXAS E MULTAS.'!L21</f>
        <v>808417.17600000009</v>
      </c>
      <c r="M24" s="518">
        <f>'Anuid PF'!AI24+'Anuid PF'!AJ24+'Anuid PJ'!AF23+'Anuid PJ'!AG23+RRT!S22+'TAXAS E MULTAS.'!M21</f>
        <v>718136.424</v>
      </c>
      <c r="N24" s="518">
        <f>'Anuid PF'!AK24+'Anuid PF'!AL24+'Anuid PJ'!AH23+'Anuid PJ'!AI23+RRT!T22+'TAXAS E MULTAS.'!N21</f>
        <v>691685.67200000002</v>
      </c>
      <c r="O24" s="517">
        <f t="shared" si="3"/>
        <v>11048403.560000002</v>
      </c>
      <c r="P24" s="516">
        <f t="shared" si="0"/>
        <v>111.65415111761962</v>
      </c>
      <c r="Q24" s="515">
        <f t="shared" si="1"/>
        <v>6.5210863062976649</v>
      </c>
      <c r="R24" s="492">
        <f t="shared" si="2"/>
        <v>1.1165415111761963</v>
      </c>
      <c r="S24" s="491">
        <f>'Comparativo YoY'!EF25</f>
        <v>5.0953773249481742</v>
      </c>
      <c r="T24" s="394"/>
      <c r="U24" s="13"/>
      <c r="V24" s="13"/>
      <c r="W24" s="13"/>
      <c r="X24" s="13"/>
      <c r="Y24" s="13"/>
      <c r="Z24" s="13"/>
      <c r="AB24" s="514"/>
      <c r="AC24" s="513">
        <v>2860125.1250495794</v>
      </c>
    </row>
    <row r="25" spans="1:29" ht="24" thickBot="1">
      <c r="A25" s="519" t="s">
        <v>105</v>
      </c>
      <c r="B25" s="517">
        <f>'Anuid PF'!E25+'Anuid PF'!F25+'Anuid PJ'!D24+'Anuid PJ'!E24+RRT!C23+'TAXAS E MULTAS.'!B22</f>
        <v>8440322</v>
      </c>
      <c r="C25" s="518">
        <f>'Anuid PF'!O25+'Anuid PF'!P25+'Anuid PJ'!L24+'Anuid PJ'!M24+RRT!I23+'TAXAS E MULTAS.'!C22</f>
        <v>1622769.432</v>
      </c>
      <c r="D25" s="518">
        <f>'Anuid PF'!Q25+'Anuid PF'!R25+'Anuid PJ'!N24+'Anuid PJ'!O24+RRT!J23+'TAXAS E MULTAS.'!D22</f>
        <v>1436548.5040000002</v>
      </c>
      <c r="E25" s="518">
        <f>'Anuid PF'!S25+'Anuid PF'!T25+'Anuid PJ'!P24+'Anuid PJ'!Q24+RRT!K23+'TAXAS E MULTAS.'!E22</f>
        <v>981644</v>
      </c>
      <c r="F25" s="518">
        <f>'Anuid PF'!U25+'Anuid PF'!V25+'Anuid PJ'!R24+'Anuid PJ'!S24+RRT!L23+'TAXAS E MULTAS.'!F22</f>
        <v>408664.65600000002</v>
      </c>
      <c r="G25" s="518">
        <f>'Anuid PF'!W25+'Anuid PF'!X25+'Anuid PJ'!T24+'Anuid PJ'!U24+RRT!M23+'TAXAS E MULTAS.'!G22</f>
        <v>381761.728</v>
      </c>
      <c r="H25" s="518">
        <f>'Anuid PF'!Y25+'Anuid PF'!Z25+'Anuid PJ'!V24+'Anuid PJ'!W24+RRT!N23+'TAXAS E MULTAS.'!H22</f>
        <v>603293.37600000005</v>
      </c>
      <c r="I25" s="518">
        <f>'Anuid PF'!AA25+'Anuid PF'!AB25+'Anuid PJ'!X24+'Anuid PJ'!Y24+RRT!O23+'TAXAS E MULTAS.'!I22</f>
        <v>848505.37599999993</v>
      </c>
      <c r="J25" s="518">
        <f>'Anuid PF'!AC25+'Anuid PF'!AD25+'Anuid PJ'!Z24+'Anuid PJ'!AA24+RRT!P23+'TAXAS E MULTAS.'!J22</f>
        <v>930665.44000000018</v>
      </c>
      <c r="K25" s="518">
        <f>'Anuid PF'!AE25+'Anuid PF'!AF25+'Anuid PJ'!AB24+'Anuid PJ'!AC24+RRT!Q23+'TAXAS E MULTAS.'!K22</f>
        <v>732795.2080000001</v>
      </c>
      <c r="L25" s="518">
        <f>'Anuid PF'!AG25+'Anuid PF'!AH25+'Anuid PJ'!AD24+'Anuid PJ'!AE24+RRT!R23+'TAXAS E MULTAS.'!L22</f>
        <v>733957.77599999995</v>
      </c>
      <c r="M25" s="518">
        <f>'Anuid PF'!AI25+'Anuid PF'!AJ25+'Anuid PJ'!AF24+'Anuid PJ'!AG24+RRT!S23+'TAXAS E MULTAS.'!M22</f>
        <v>663680.88</v>
      </c>
      <c r="N25" s="518">
        <f>'Anuid PF'!AK25+'Anuid PF'!AL25+'Anuid PJ'!AH24+'Anuid PJ'!AI24+RRT!T23+'TAXAS E MULTAS.'!N22</f>
        <v>623915.46400000004</v>
      </c>
      <c r="O25" s="517">
        <f t="shared" si="3"/>
        <v>9968201.8400000017</v>
      </c>
      <c r="P25" s="516">
        <f t="shared" si="0"/>
        <v>118.10215107907023</v>
      </c>
      <c r="Q25" s="515">
        <f t="shared" si="1"/>
        <v>5.8835201089663292</v>
      </c>
      <c r="R25" s="492">
        <f t="shared" si="2"/>
        <v>1.1810215107907023</v>
      </c>
      <c r="S25" s="491">
        <f>'Comparativo YoY'!EF26</f>
        <v>-17.699284889860749</v>
      </c>
      <c r="T25" s="394"/>
      <c r="U25" s="13"/>
      <c r="V25" s="13"/>
      <c r="W25" s="13"/>
      <c r="X25" s="13"/>
      <c r="Y25" s="13"/>
      <c r="Z25" s="13"/>
      <c r="AB25" s="514"/>
      <c r="AC25" s="513">
        <v>2462290.1941063711</v>
      </c>
    </row>
    <row r="26" spans="1:29" ht="24" thickBot="1">
      <c r="A26" s="519" t="s">
        <v>106</v>
      </c>
      <c r="B26" s="517">
        <f>'Anuid PF'!E26+'Anuid PF'!F26+'Anuid PJ'!D25+'Anuid PJ'!E25+RRT!C24+'TAXAS E MULTAS.'!B23</f>
        <v>1386597.79</v>
      </c>
      <c r="C26" s="518">
        <f>'Anuid PF'!O26+'Anuid PF'!P26+'Anuid PJ'!L25+'Anuid PJ'!M25+RRT!I24+'TAXAS E MULTAS.'!C23</f>
        <v>186379.16799999998</v>
      </c>
      <c r="D26" s="518">
        <f>'Anuid PF'!Q26+'Anuid PF'!R26+'Anuid PJ'!N25+'Anuid PJ'!O25+RRT!J24+'TAXAS E MULTAS.'!D23</f>
        <v>194304.736</v>
      </c>
      <c r="E26" s="518">
        <f>'Anuid PF'!S26+'Anuid PF'!T26+'Anuid PJ'!P25+'Anuid PJ'!Q25+RRT!K24+'TAXAS E MULTAS.'!E23</f>
        <v>173677.46400000004</v>
      </c>
      <c r="F26" s="518">
        <f>'Anuid PF'!U26+'Anuid PF'!V26+'Anuid PJ'!R25+'Anuid PJ'!S25+RRT!L24+'TAXAS E MULTAS.'!F23</f>
        <v>81030.288</v>
      </c>
      <c r="G26" s="518">
        <f>'Anuid PF'!W26+'Anuid PF'!X26+'Anuid PJ'!T25+'Anuid PJ'!U25+RRT!M24+'TAXAS E MULTAS.'!G23</f>
        <v>81456.776000000013</v>
      </c>
      <c r="H26" s="518">
        <f>'Anuid PF'!Y26+'Anuid PF'!Z26+'Anuid PJ'!V25+'Anuid PJ'!W25+RRT!N24+'TAXAS E MULTAS.'!H23</f>
        <v>92365.296000000002</v>
      </c>
      <c r="I26" s="518">
        <f>'Anuid PF'!AA26+'Anuid PF'!AB26+'Anuid PJ'!X25+'Anuid PJ'!Y25+RRT!O24+'TAXAS E MULTAS.'!I23</f>
        <v>141961.31200000003</v>
      </c>
      <c r="J26" s="518">
        <f>'Anuid PF'!AC26+'Anuid PF'!AD26+'Anuid PJ'!Z25+'Anuid PJ'!AA25+RRT!P24+'TAXAS E MULTAS.'!J23</f>
        <v>159887.31200000001</v>
      </c>
      <c r="K26" s="518">
        <f>'Anuid PF'!AE26+'Anuid PF'!AF26+'Anuid PJ'!AB25+'Anuid PJ'!AC25+RRT!Q24+'TAXAS E MULTAS.'!K23</f>
        <v>118748.09599999999</v>
      </c>
      <c r="L26" s="518">
        <f>'Anuid PF'!AG26+'Anuid PF'!AH26+'Anuid PJ'!AD25+'Anuid PJ'!AE25+RRT!R24+'TAXAS E MULTAS.'!L23</f>
        <v>112872.76</v>
      </c>
      <c r="M26" s="518">
        <f>'Anuid PF'!AI26+'Anuid PF'!AJ26+'Anuid PJ'!AF25+'Anuid PJ'!AG25+RRT!S24+'TAXAS E MULTAS.'!M23</f>
        <v>101393.74400000001</v>
      </c>
      <c r="N26" s="518">
        <f>'Anuid PF'!AK26+'Anuid PF'!AL26+'Anuid PJ'!AH25+'Anuid PJ'!AI25+RRT!T24+'TAXAS E MULTAS.'!N23</f>
        <v>114148.45600000002</v>
      </c>
      <c r="O26" s="517">
        <f t="shared" si="3"/>
        <v>1558225.4079999998</v>
      </c>
      <c r="P26" s="516">
        <f t="shared" si="0"/>
        <v>112.37760648673758</v>
      </c>
      <c r="Q26" s="515">
        <f t="shared" si="1"/>
        <v>0.91970955939935706</v>
      </c>
      <c r="R26" s="492">
        <f t="shared" si="2"/>
        <v>1.1237760648673758</v>
      </c>
      <c r="S26" s="491">
        <f>'Comparativo YoY'!EF27</f>
        <v>7.6665224042627074</v>
      </c>
      <c r="T26" s="394"/>
      <c r="U26" s="13"/>
      <c r="V26" s="13"/>
      <c r="W26" s="13"/>
      <c r="X26" s="13"/>
      <c r="Y26" s="13"/>
      <c r="Z26" s="13"/>
      <c r="AB26" s="514"/>
      <c r="AC26" s="513">
        <v>2195922.8937407597</v>
      </c>
    </row>
    <row r="27" spans="1:29" ht="24" thickBot="1">
      <c r="A27" s="519" t="s">
        <v>108</v>
      </c>
      <c r="B27" s="517">
        <f>'Anuid PF'!E27+'Anuid PF'!F27+'Anuid PJ'!D26+'Anuid PJ'!E26+RRT!C25+'TAXAS E MULTAS.'!B24</f>
        <v>1002647.76</v>
      </c>
      <c r="C27" s="518">
        <f>'Anuid PF'!O27+'Anuid PF'!P27+'Anuid PJ'!L26+'Anuid PJ'!M26+RRT!I25+'TAXAS E MULTAS.'!C24</f>
        <v>121065.12</v>
      </c>
      <c r="D27" s="518">
        <f>'Anuid PF'!Q27+'Anuid PF'!R27+'Anuid PJ'!N26+'Anuid PJ'!O26+RRT!J25+'TAXAS E MULTAS.'!D24</f>
        <v>106330.73599999999</v>
      </c>
      <c r="E27" s="518">
        <f>'Anuid PF'!S27+'Anuid PF'!T27+'Anuid PJ'!P26+'Anuid PJ'!Q26+RRT!K25+'TAXAS E MULTAS.'!E24</f>
        <v>87638.736000000004</v>
      </c>
      <c r="F27" s="518">
        <f>'Anuid PF'!U27+'Anuid PF'!V27+'Anuid PJ'!R26+'Anuid PJ'!S26+RRT!L25+'TAXAS E MULTAS.'!F24</f>
        <v>63891.432000000001</v>
      </c>
      <c r="G27" s="518">
        <f>'Anuid PF'!W27+'Anuid PF'!X27+'Anuid PJ'!T26+'Anuid PJ'!U26+RRT!M25+'TAXAS E MULTAS.'!G24</f>
        <v>75687.04800000001</v>
      </c>
      <c r="H27" s="518">
        <f>'Anuid PF'!Y27+'Anuid PF'!Z27+'Anuid PJ'!V26+'Anuid PJ'!W26+RRT!N25+'TAXAS E MULTAS.'!H24</f>
        <v>100807.88800000001</v>
      </c>
      <c r="I27" s="518">
        <f>'Anuid PF'!AA27+'Anuid PF'!AB27+'Anuid PJ'!X26+'Anuid PJ'!Y26+RRT!O25+'TAXAS E MULTAS.'!I24</f>
        <v>136968.67199999999</v>
      </c>
      <c r="J27" s="518">
        <f>'Anuid PF'!AC27+'Anuid PF'!AD27+'Anuid PJ'!Z26+'Anuid PJ'!AA26+RRT!P25+'TAXAS E MULTAS.'!J24</f>
        <v>112528.90400000001</v>
      </c>
      <c r="K27" s="518">
        <f>'Anuid PF'!AE27+'Anuid PF'!AF27+'Anuid PJ'!AB26+'Anuid PJ'!AC26+RRT!Q25+'TAXAS E MULTAS.'!K24</f>
        <v>94183</v>
      </c>
      <c r="L27" s="518">
        <f>'Anuid PF'!AG27+'Anuid PF'!AH27+'Anuid PJ'!AD26+'Anuid PJ'!AE26+RRT!R25+'TAXAS E MULTAS.'!L24</f>
        <v>87213.384000000005</v>
      </c>
      <c r="M27" s="518">
        <f>'Anuid PF'!AI27+'Anuid PF'!AJ27+'Anuid PJ'!AF26+'Anuid PJ'!AG26+RRT!S25+'TAXAS E MULTAS.'!M24</f>
        <v>82049.056000000011</v>
      </c>
      <c r="N27" s="518">
        <f>'Anuid PF'!AK27+'Anuid PF'!AL27+'Anuid PJ'!AH26+'Anuid PJ'!AI26+RRT!T25+'TAXAS E MULTAS.'!N24</f>
        <v>78258.936000000002</v>
      </c>
      <c r="O27" s="517">
        <f t="shared" si="3"/>
        <v>1146622.912</v>
      </c>
      <c r="P27" s="516">
        <f t="shared" si="0"/>
        <v>114.35949470430174</v>
      </c>
      <c r="Q27" s="515">
        <f t="shared" si="1"/>
        <v>0.67676989977096291</v>
      </c>
      <c r="R27" s="492">
        <f t="shared" si="2"/>
        <v>1.1435949470430173</v>
      </c>
      <c r="S27" s="491">
        <f>'Comparativo YoY'!EF28</f>
        <v>14.833017581226642</v>
      </c>
      <c r="T27" s="394"/>
      <c r="U27" s="13"/>
      <c r="V27" s="13"/>
      <c r="W27" s="13"/>
      <c r="X27" s="13"/>
      <c r="Y27" s="13"/>
      <c r="Z27" s="13"/>
      <c r="AB27" s="514"/>
      <c r="AC27" s="513">
        <v>1516773.8280100666</v>
      </c>
    </row>
    <row r="28" spans="1:29" ht="24" thickBot="1">
      <c r="A28" s="519" t="s">
        <v>109</v>
      </c>
      <c r="B28" s="517">
        <f>'Anuid PF'!E28+'Anuid PF'!F28+'Anuid PJ'!D27+'Anuid PJ'!E27+RRT!C26+'TAXAS E MULTAS.'!B25</f>
        <v>136313.62</v>
      </c>
      <c r="C28" s="518">
        <f>'Anuid PF'!O28+'Anuid PF'!P28+'Anuid PJ'!L27+'Anuid PJ'!M27+RRT!I26+'TAXAS E MULTAS.'!C25</f>
        <v>21424.496000000003</v>
      </c>
      <c r="D28" s="518">
        <f>'Anuid PF'!Q28+'Anuid PF'!R28+'Anuid PJ'!N27+'Anuid PJ'!O27+RRT!J26+'TAXAS E MULTAS.'!D25</f>
        <v>19903.96</v>
      </c>
      <c r="E28" s="518">
        <f>'Anuid PF'!S28+'Anuid PF'!T28+'Anuid PJ'!P27+'Anuid PJ'!Q27+RRT!K26+'TAXAS E MULTAS.'!E25</f>
        <v>14621.072000000002</v>
      </c>
      <c r="F28" s="518">
        <f>'Anuid PF'!U28+'Anuid PF'!V28+'Anuid PJ'!R27+'Anuid PJ'!S27+RRT!L26+'TAXAS E MULTAS.'!F25</f>
        <v>5509.2320000000009</v>
      </c>
      <c r="G28" s="518">
        <f>'Anuid PF'!W28+'Anuid PF'!X28+'Anuid PJ'!T27+'Anuid PJ'!U27+RRT!M26+'TAXAS E MULTAS.'!G25</f>
        <v>9172.6720000000005</v>
      </c>
      <c r="H28" s="518">
        <f>'Anuid PF'!Y28+'Anuid PF'!Z28+'Anuid PJ'!V27+'Anuid PJ'!W27+RRT!N26+'TAXAS E MULTAS.'!H25</f>
        <v>7730.5360000000001</v>
      </c>
      <c r="I28" s="518">
        <f>'Anuid PF'!AA28+'Anuid PF'!AB28+'Anuid PJ'!X27+'Anuid PJ'!Y27+RRT!O26+'TAXAS E MULTAS.'!I25</f>
        <v>12268.464</v>
      </c>
      <c r="J28" s="518">
        <f>'Anuid PF'!AC28+'Anuid PF'!AD28+'Anuid PJ'!Z27+'Anuid PJ'!AA27+RRT!P26+'TAXAS E MULTAS.'!J25</f>
        <v>13742.800000000001</v>
      </c>
      <c r="K28" s="518">
        <f>'Anuid PF'!AE28+'Anuid PF'!AF28+'Anuid PJ'!AB27+'Anuid PJ'!AC27+RRT!Q26+'TAXAS E MULTAS.'!K25</f>
        <v>14445.392000000002</v>
      </c>
      <c r="L28" s="518">
        <f>'Anuid PF'!AG28+'Anuid PF'!AH28+'Anuid PJ'!AD27+'Anuid PJ'!AE27+RRT!R26+'TAXAS E MULTAS.'!L25</f>
        <v>10586.576000000001</v>
      </c>
      <c r="M28" s="518">
        <f>'Anuid PF'!AI28+'Anuid PF'!AJ28+'Anuid PJ'!AF27+'Anuid PJ'!AG27+RRT!S26+'TAXAS E MULTAS.'!M25</f>
        <v>16111.632</v>
      </c>
      <c r="N28" s="518">
        <f>'Anuid PF'!AK28+'Anuid PF'!AL28+'Anuid PJ'!AH27+'Anuid PJ'!AI27+RRT!T26+'TAXAS E MULTAS.'!N25</f>
        <v>14211.567999999999</v>
      </c>
      <c r="O28" s="517">
        <f t="shared" si="3"/>
        <v>159728.40000000005</v>
      </c>
      <c r="P28" s="516">
        <f t="shared" si="0"/>
        <v>117.17713901222788</v>
      </c>
      <c r="Q28" s="515">
        <f t="shared" si="1"/>
        <v>9.4276306645594318E-2</v>
      </c>
      <c r="R28" s="492">
        <f t="shared" si="2"/>
        <v>1.1717713901222788</v>
      </c>
      <c r="S28" s="491">
        <f>'Comparativo YoY'!EF29</f>
        <v>-14.583765240530838</v>
      </c>
      <c r="T28" s="394"/>
      <c r="U28" s="13"/>
      <c r="V28" s="13"/>
      <c r="W28" s="13"/>
      <c r="X28" s="13"/>
      <c r="Y28" s="13"/>
      <c r="Z28" s="13"/>
      <c r="AB28" s="514"/>
      <c r="AC28" s="513">
        <v>6449859.4184539719</v>
      </c>
    </row>
    <row r="29" spans="1:29" ht="24" thickBot="1">
      <c r="A29" s="519" t="s">
        <v>107</v>
      </c>
      <c r="B29" s="517">
        <f>'Anuid PF'!E29+'Anuid PF'!F29+'Anuid PJ'!D28+'Anuid PJ'!E28+RRT!C27+'TAXAS E MULTAS.'!B26</f>
        <v>11199719.789999999</v>
      </c>
      <c r="C29" s="518">
        <f>'Anuid PF'!O29+'Anuid PF'!P29+'Anuid PJ'!L28+'Anuid PJ'!M28+RRT!I27+'TAXAS E MULTAS.'!C26</f>
        <v>1716153.3840000001</v>
      </c>
      <c r="D29" s="518">
        <f>'Anuid PF'!Q29+'Anuid PF'!R29+'Anuid PJ'!N28+'Anuid PJ'!O28+RRT!J27+'TAXAS E MULTAS.'!D26</f>
        <v>1616522.8720000002</v>
      </c>
      <c r="E29" s="518">
        <f>'Anuid PF'!S29+'Anuid PF'!T29+'Anuid PJ'!P28+'Anuid PJ'!Q28+RRT!K27+'TAXAS E MULTAS.'!E26</f>
        <v>1168573.3439999998</v>
      </c>
      <c r="F29" s="518">
        <f>'Anuid PF'!U29+'Anuid PF'!V29+'Anuid PJ'!R28+'Anuid PJ'!S28+RRT!L27+'TAXAS E MULTAS.'!F26</f>
        <v>606592.06400000001</v>
      </c>
      <c r="G29" s="518">
        <f>'Anuid PF'!W29+'Anuid PF'!X29+'Anuid PJ'!T28+'Anuid PJ'!U28+RRT!M27+'TAXAS E MULTAS.'!G26</f>
        <v>706103.04800000007</v>
      </c>
      <c r="H29" s="518">
        <f>'Anuid PF'!Y29+'Anuid PF'!Z29+'Anuid PJ'!V28+'Anuid PJ'!W28+RRT!N27+'TAXAS E MULTAS.'!H26</f>
        <v>915019.23200000008</v>
      </c>
      <c r="I29" s="518">
        <f>'Anuid PF'!AA29+'Anuid PF'!AB29+'Anuid PJ'!X28+'Anuid PJ'!Y28+RRT!O27+'TAXAS E MULTAS.'!I26</f>
        <v>1051621.6240000001</v>
      </c>
      <c r="J29" s="518">
        <f>'Anuid PF'!AC29+'Anuid PF'!AD29+'Anuid PJ'!Z28+'Anuid PJ'!AA28+RRT!P27+'TAXAS E MULTAS.'!J26</f>
        <v>1232504.0400000003</v>
      </c>
      <c r="K29" s="518">
        <f>'Anuid PF'!AE29+'Anuid PF'!AF29+'Anuid PJ'!AB28+'Anuid PJ'!AC28+RRT!Q27+'TAXAS E MULTAS.'!K26</f>
        <v>941786.37600000005</v>
      </c>
      <c r="L29" s="518">
        <f>'Anuid PF'!AG29+'Anuid PF'!AH29+'Anuid PJ'!AD28+'Anuid PJ'!AE28+RRT!R27+'TAXAS E MULTAS.'!L26</f>
        <v>977121.81599999999</v>
      </c>
      <c r="M29" s="518">
        <f>'Anuid PF'!AI29+'Anuid PF'!AJ29+'Anuid PJ'!AF28+'Anuid PJ'!AG28+RRT!S27+'TAXAS E MULTAS.'!M26</f>
        <v>894869.75199999998</v>
      </c>
      <c r="N29" s="518">
        <f>'Anuid PF'!AK29+'Anuid PF'!AL29+'Anuid PJ'!AH28+'Anuid PJ'!AI28+RRT!T27+'TAXAS E MULTAS.'!N26</f>
        <v>989287.7840000001</v>
      </c>
      <c r="O29" s="517">
        <f t="shared" si="3"/>
        <v>12816155.336000001</v>
      </c>
      <c r="P29" s="516">
        <f t="shared" si="0"/>
        <v>114.43282132329135</v>
      </c>
      <c r="Q29" s="515">
        <f t="shared" si="1"/>
        <v>7.5644643687303299</v>
      </c>
      <c r="R29" s="492">
        <f t="shared" si="2"/>
        <v>1.1443282132329136</v>
      </c>
      <c r="S29" s="491">
        <f>'Comparativo YoY'!EF30</f>
        <v>-8.8895511084207897</v>
      </c>
      <c r="T29" s="394"/>
      <c r="U29" s="13"/>
      <c r="V29" s="13"/>
      <c r="W29" s="13"/>
      <c r="X29" s="13"/>
      <c r="Y29" s="13"/>
      <c r="Z29" s="13"/>
      <c r="AB29" s="514"/>
      <c r="AC29" s="513">
        <v>8757197.5481958445</v>
      </c>
    </row>
    <row r="30" spans="1:29" ht="24" thickBot="1">
      <c r="A30" s="519" t="s">
        <v>110</v>
      </c>
      <c r="B30" s="517">
        <f>'Anuid PF'!E30+'Anuid PF'!F30+'Anuid PJ'!D29+'Anuid PJ'!E29+RRT!C28+'TAXAS E MULTAS.'!B27</f>
        <v>7428885.0013659187</v>
      </c>
      <c r="C30" s="518">
        <f>'Anuid PF'!O30+'Anuid PF'!P30+'Anuid PJ'!L29+'Anuid PJ'!M29+RRT!I28+'TAXAS E MULTAS.'!C27</f>
        <v>890344.90400000021</v>
      </c>
      <c r="D30" s="518">
        <f>'Anuid PF'!Q30+'Anuid PF'!R30+'Anuid PJ'!N29+'Anuid PJ'!O29+RRT!J28+'TAXAS E MULTAS.'!D27</f>
        <v>1088599.3359999999</v>
      </c>
      <c r="E30" s="518">
        <f>'Anuid PF'!S30+'Anuid PF'!T30+'Anuid PJ'!P29+'Anuid PJ'!Q29+RRT!K28+'TAXAS E MULTAS.'!E27</f>
        <v>703031.36800000002</v>
      </c>
      <c r="F30" s="518">
        <f>'Anuid PF'!U30+'Anuid PF'!V30+'Anuid PJ'!R29+'Anuid PJ'!S29+RRT!L28+'TAXAS E MULTAS.'!F27</f>
        <v>432339.06400000001</v>
      </c>
      <c r="G30" s="518">
        <f>'Anuid PF'!W30+'Anuid PF'!X30+'Anuid PJ'!T29+'Anuid PJ'!U29+RRT!M28+'TAXAS E MULTAS.'!G27</f>
        <v>489045.15200000006</v>
      </c>
      <c r="H30" s="518">
        <f>'Anuid PF'!Y30+'Anuid PF'!Z30+'Anuid PJ'!V29+'Anuid PJ'!W29+RRT!N28+'TAXAS E MULTAS.'!H27</f>
        <v>610890.98399999994</v>
      </c>
      <c r="I30" s="518">
        <f>'Anuid PF'!AA30+'Anuid PF'!AB30+'Anuid PJ'!X29+'Anuid PJ'!Y29+RRT!O28+'TAXAS E MULTAS.'!I27</f>
        <v>708330.37600000016</v>
      </c>
      <c r="J30" s="518">
        <f>'Anuid PF'!AC30+'Anuid PF'!AD30+'Anuid PJ'!Z29+'Anuid PJ'!AA29+RRT!P28+'TAXAS E MULTAS.'!J27</f>
        <v>823726.13599999994</v>
      </c>
      <c r="K30" s="518">
        <f>'Anuid PF'!AE30+'Anuid PF'!AF30+'Anuid PJ'!AB29+'Anuid PJ'!AC29+RRT!Q28+'TAXAS E MULTAS.'!K27</f>
        <v>594855.88800000015</v>
      </c>
      <c r="L30" s="518">
        <f>'Anuid PF'!AG30+'Anuid PF'!AH30+'Anuid PJ'!AD29+'Anuid PJ'!AE29+RRT!R28+'TAXAS E MULTAS.'!L27</f>
        <v>618645.65599999996</v>
      </c>
      <c r="M30" s="518">
        <f>'Anuid PF'!AI30+'Anuid PF'!AJ30+'Anuid PJ'!AF29+'Anuid PJ'!AG29+RRT!S28+'TAXAS E MULTAS.'!M27</f>
        <v>535825.64800000004</v>
      </c>
      <c r="N30" s="518">
        <f>'Anuid PF'!AK30+'Anuid PF'!AL30+'Anuid PJ'!AH29+'Anuid PJ'!AI29+RRT!T28+'TAXAS E MULTAS.'!N27</f>
        <v>546470.696</v>
      </c>
      <c r="O30" s="517">
        <f t="shared" si="3"/>
        <v>8042105.2080000006</v>
      </c>
      <c r="P30" s="516">
        <f t="shared" si="0"/>
        <v>108.25453895869073</v>
      </c>
      <c r="Q30" s="515">
        <f t="shared" si="1"/>
        <v>4.7466823474444046</v>
      </c>
      <c r="R30" s="492">
        <f t="shared" si="2"/>
        <v>1.0825453895869073</v>
      </c>
      <c r="S30" s="491">
        <f>'Comparativo YoY'!EF31</f>
        <v>1.7051404296512658</v>
      </c>
      <c r="T30" s="394"/>
      <c r="U30" s="13"/>
      <c r="V30" s="13"/>
      <c r="W30" s="13"/>
      <c r="X30" s="13"/>
      <c r="Y30" s="13"/>
      <c r="Z30" s="13"/>
      <c r="AB30" s="514"/>
      <c r="AC30" s="513">
        <v>28735100.161228344</v>
      </c>
    </row>
    <row r="31" spans="1:29" ht="24" thickBot="1">
      <c r="A31" s="519" t="s">
        <v>112</v>
      </c>
      <c r="B31" s="517">
        <f>'Anuid PF'!E31+'Anuid PF'!F31+'Anuid PJ'!D30+'Anuid PJ'!E30+RRT!C29+'TAXAS E MULTAS.'!B28</f>
        <v>786027</v>
      </c>
      <c r="C31" s="518">
        <f>'Anuid PF'!O31+'Anuid PF'!P31+'Anuid PJ'!L30+'Anuid PJ'!M30+RRT!I29+'TAXAS E MULTAS.'!C28</f>
        <v>124143.23200000002</v>
      </c>
      <c r="D31" s="518">
        <f>'Anuid PF'!Q31+'Anuid PF'!R31+'Anuid PJ'!N30+'Anuid PJ'!O30+RRT!J29+'TAXAS E MULTAS.'!D28</f>
        <v>113722.44</v>
      </c>
      <c r="E31" s="518">
        <f>'Anuid PF'!S31+'Anuid PF'!T31+'Anuid PJ'!P30+'Anuid PJ'!Q30+RRT!K29+'TAXAS E MULTAS.'!E28</f>
        <v>91565.712000000014</v>
      </c>
      <c r="F31" s="518">
        <f>'Anuid PF'!U31+'Anuid PF'!V31+'Anuid PJ'!R30+'Anuid PJ'!S30+RRT!L29+'TAXAS E MULTAS.'!F28</f>
        <v>53892.208000000006</v>
      </c>
      <c r="G31" s="518">
        <f>'Anuid PF'!W31+'Anuid PF'!X31+'Anuid PJ'!T30+'Anuid PJ'!U30+RRT!M29+'TAXAS E MULTAS.'!G28</f>
        <v>49110.200000000004</v>
      </c>
      <c r="H31" s="518">
        <f>'Anuid PF'!Y31+'Anuid PF'!Z31+'Anuid PJ'!V30+'Anuid PJ'!W30+RRT!N29+'TAXAS E MULTAS.'!H28</f>
        <v>76736.936000000002</v>
      </c>
      <c r="I31" s="518">
        <f>'Anuid PF'!AA31+'Anuid PF'!AB31+'Anuid PJ'!X30+'Anuid PJ'!Y30+RRT!O29+'TAXAS E MULTAS.'!I28</f>
        <v>112395.344</v>
      </c>
      <c r="J31" s="518">
        <f>'Anuid PF'!AC31+'Anuid PF'!AD31+'Anuid PJ'!Z30+'Anuid PJ'!AA30+RRT!P29+'TAXAS E MULTAS.'!J28</f>
        <v>111927.64</v>
      </c>
      <c r="K31" s="518">
        <f>'Anuid PF'!AE31+'Anuid PF'!AF31+'Anuid PJ'!AB30+'Anuid PJ'!AC30+RRT!Q29+'TAXAS E MULTAS.'!K28</f>
        <v>88554.448000000004</v>
      </c>
      <c r="L31" s="518">
        <f>'Anuid PF'!AG31+'Anuid PF'!AH31+'Anuid PJ'!AD30+'Anuid PJ'!AE30+RRT!R29+'TAXAS E MULTAS.'!L28</f>
        <v>94961.256000000023</v>
      </c>
      <c r="M31" s="518">
        <f>'Anuid PF'!AI31+'Anuid PF'!AJ31+'Anuid PJ'!AF30+'Anuid PJ'!AG30+RRT!S29+'TAXAS E MULTAS.'!M28</f>
        <v>83446.847999999998</v>
      </c>
      <c r="N31" s="518">
        <f>'Anuid PF'!AK31+'Anuid PF'!AL31+'Anuid PJ'!AH30+'Anuid PJ'!AI30+RRT!T29+'TAXAS E MULTAS.'!N28</f>
        <v>75962.536000000007</v>
      </c>
      <c r="O31" s="517">
        <f t="shared" si="3"/>
        <v>1076418.8</v>
      </c>
      <c r="P31" s="516">
        <f t="shared" si="0"/>
        <v>136.94425255112102</v>
      </c>
      <c r="Q31" s="515">
        <f t="shared" si="1"/>
        <v>0.63533340888585021</v>
      </c>
      <c r="R31" s="492">
        <f t="shared" si="2"/>
        <v>1.3694425255112102</v>
      </c>
      <c r="S31" s="491">
        <f>'Comparativo YoY'!EF32</f>
        <v>10.190066724468423</v>
      </c>
      <c r="T31" s="394"/>
      <c r="U31" s="13"/>
      <c r="V31" s="13"/>
      <c r="W31" s="13"/>
      <c r="X31" s="13"/>
      <c r="Y31" s="13"/>
      <c r="Z31" s="13"/>
      <c r="AB31" s="514"/>
      <c r="AC31" s="513">
        <v>7941870.7135968944</v>
      </c>
    </row>
    <row r="32" spans="1:29" ht="24" thickBot="1">
      <c r="A32" s="519" t="s">
        <v>111</v>
      </c>
      <c r="B32" s="517">
        <f>'Anuid PF'!E32+'Anuid PF'!F32+'Anuid PJ'!D31+'Anuid PJ'!E31+RRT!C30+'TAXAS E MULTAS.'!B29</f>
        <v>38641622.430771381</v>
      </c>
      <c r="C32" s="518">
        <f>'Anuid PF'!O32+'Anuid PF'!P32+'Anuid PJ'!L31+'Anuid PJ'!M31+RRT!I30+'TAXAS E MULTAS.'!C29</f>
        <v>6431867.6920000007</v>
      </c>
      <c r="D32" s="518">
        <f>'Anuid PF'!Q32+'Anuid PF'!R32+'Anuid PJ'!N31+'Anuid PJ'!O31+RRT!J30+'TAXAS E MULTAS.'!D29</f>
        <v>6017497.1300000018</v>
      </c>
      <c r="E32" s="518">
        <f>'Anuid PF'!S32+'Anuid PF'!T32+'Anuid PJ'!P31+'Anuid PJ'!Q31+RRT!K30+'TAXAS E MULTAS.'!E29</f>
        <v>4406608.8099999996</v>
      </c>
      <c r="F32" s="518">
        <f>'Anuid PF'!U32+'Anuid PF'!V32+'Anuid PJ'!R31+'Anuid PJ'!S31+RRT!L30+'TAXAS E MULTAS.'!F29</f>
        <v>2176807.7759999996</v>
      </c>
      <c r="G32" s="518">
        <f>'Anuid PF'!W32+'Anuid PF'!X32+'Anuid PJ'!T31+'Anuid PJ'!U31+RRT!M30+'TAXAS E MULTAS.'!G29</f>
        <v>2195252.5819999999</v>
      </c>
      <c r="H32" s="518">
        <f>'Anuid PF'!Y32+'Anuid PF'!Z32+'Anuid PJ'!V31+'Anuid PJ'!W31+RRT!N30+'TAXAS E MULTAS.'!H29</f>
        <v>3159103.2420000001</v>
      </c>
      <c r="I32" s="518">
        <f>'Anuid PF'!AA32+'Anuid PF'!AB32+'Anuid PJ'!X31+'Anuid PJ'!Y31+RRT!O30+'TAXAS E MULTAS.'!I29</f>
        <v>4114856.6919999998</v>
      </c>
      <c r="J32" s="518">
        <f>'Anuid PF'!AC32+'Anuid PF'!AD32+'Anuid PJ'!Z31+'Anuid PJ'!AA31+RRT!P30+'TAXAS E MULTAS.'!J29</f>
        <v>4208111.4660000009</v>
      </c>
      <c r="K32" s="518">
        <f>'Anuid PF'!AE32+'Anuid PF'!AF32+'Anuid PJ'!AB31+'Anuid PJ'!AC31+RRT!Q30+'TAXAS E MULTAS.'!K29</f>
        <v>3434147.6500000004</v>
      </c>
      <c r="L32" s="518">
        <f>'Anuid PF'!AG32+'Anuid PF'!AH32+'Anuid PJ'!AD31+'Anuid PJ'!AE31+RRT!R30+'TAXAS E MULTAS.'!L29</f>
        <v>3645863.7880000006</v>
      </c>
      <c r="M32" s="518">
        <f>'Anuid PF'!AI32+'Anuid PF'!AJ32+'Anuid PJ'!AF31+'Anuid PJ'!AG31+RRT!S30+'TAXAS E MULTAS.'!M29</f>
        <v>3126308.7420000001</v>
      </c>
      <c r="N32" s="518">
        <f>'Anuid PF'!AK32+'Anuid PF'!AL32+'Anuid PJ'!AH31+'Anuid PJ'!AI31+RRT!T30+'TAXAS E MULTAS.'!N29</f>
        <v>3095498.926</v>
      </c>
      <c r="O32" s="517">
        <f t="shared" si="3"/>
        <v>46011924.496000007</v>
      </c>
      <c r="P32" s="516">
        <f t="shared" si="0"/>
        <v>119.07347984270828</v>
      </c>
      <c r="Q32" s="515">
        <f t="shared" si="1"/>
        <v>27.157564360118975</v>
      </c>
      <c r="R32" s="492">
        <f t="shared" si="2"/>
        <v>1.1907347984270829</v>
      </c>
      <c r="S32" s="491">
        <f>'Comparativo YoY'!EF33</f>
        <v>-5.8779554386016031</v>
      </c>
      <c r="T32" s="394"/>
      <c r="U32" s="13"/>
      <c r="V32" s="13"/>
      <c r="W32" s="13"/>
      <c r="X32" s="13"/>
      <c r="Y32" s="13"/>
      <c r="Z32" s="13"/>
      <c r="AB32" s="514"/>
      <c r="AC32" s="513">
        <v>11086070.315186603</v>
      </c>
    </row>
    <row r="33" spans="1:29" ht="24" thickBot="1">
      <c r="A33" s="519" t="s">
        <v>113</v>
      </c>
      <c r="B33" s="517">
        <f>'Anuid PF'!E33+'Anuid PF'!F33+'Anuid PJ'!D32+'Anuid PJ'!E32+RRT!C31+'TAXAS E MULTAS.'!B30</f>
        <v>630282.93000000005</v>
      </c>
      <c r="C33" s="518">
        <f>'Anuid PF'!O33+'Anuid PF'!P33+'Anuid PJ'!L32+'Anuid PJ'!M32+RRT!I31+'TAXAS E MULTAS.'!C30</f>
        <v>50974.191999999995</v>
      </c>
      <c r="D33" s="518">
        <f>'Anuid PF'!Q33+'Anuid PF'!R33+'Anuid PJ'!N32+'Anuid PJ'!O32+RRT!J31+'TAXAS E MULTAS.'!D30</f>
        <v>67355.775999999998</v>
      </c>
      <c r="E33" s="518">
        <f>'Anuid PF'!S33+'Anuid PF'!T33+'Anuid PJ'!P32+'Anuid PJ'!Q32+RRT!K31+'TAXAS E MULTAS.'!E30</f>
        <v>66269.631999999998</v>
      </c>
      <c r="F33" s="518">
        <f>'Anuid PF'!U33+'Anuid PF'!V33+'Anuid PJ'!R32+'Anuid PJ'!S32+RRT!L31+'TAXAS E MULTAS.'!F30</f>
        <v>28902.959999999999</v>
      </c>
      <c r="G33" s="518">
        <f>'Anuid PF'!W33+'Anuid PF'!X33+'Anuid PJ'!T32+'Anuid PJ'!U32+RRT!M31+'TAXAS E MULTAS.'!G30</f>
        <v>49541.015999999996</v>
      </c>
      <c r="H33" s="518">
        <f>'Anuid PF'!Y33+'Anuid PF'!Z33+'Anuid PJ'!V32+'Anuid PJ'!W32+RRT!N31+'TAXAS E MULTAS.'!H30</f>
        <v>55919.568000000007</v>
      </c>
      <c r="I33" s="518">
        <f>'Anuid PF'!AA33+'Anuid PF'!AB33+'Anuid PJ'!X32+'Anuid PJ'!Y32+RRT!O31+'TAXAS E MULTAS.'!I30</f>
        <v>70362.599999999991</v>
      </c>
      <c r="J33" s="518">
        <f>'Anuid PF'!AC33+'Anuid PF'!AD33+'Anuid PJ'!Z32+'Anuid PJ'!AA32+RRT!P31+'TAXAS E MULTAS.'!J30</f>
        <v>83612.208000000013</v>
      </c>
      <c r="K33" s="518">
        <f>'Anuid PF'!AE33+'Anuid PF'!AF33+'Anuid PJ'!AB32+'Anuid PJ'!AC32+RRT!Q31+'TAXAS E MULTAS.'!K30</f>
        <v>45444.024000000005</v>
      </c>
      <c r="L33" s="518">
        <f>'Anuid PF'!AG33+'Anuid PF'!AH33+'Anuid PJ'!AD32+'Anuid PJ'!AE32+RRT!R31+'TAXAS E MULTAS.'!L30</f>
        <v>54251.90400000001</v>
      </c>
      <c r="M33" s="518">
        <f>'Anuid PF'!AI33+'Anuid PF'!AJ33+'Anuid PJ'!AF32+'Anuid PJ'!AG32+RRT!S31+'TAXAS E MULTAS.'!M30</f>
        <v>48323.472000000002</v>
      </c>
      <c r="N33" s="518">
        <f>'Anuid PF'!AK33+'Anuid PF'!AL33+'Anuid PJ'!AH32+'Anuid PJ'!AI32+RRT!T31+'TAXAS E MULTAS.'!N30</f>
        <v>49618.44</v>
      </c>
      <c r="O33" s="517">
        <f t="shared" si="3"/>
        <v>670575.7919999999</v>
      </c>
      <c r="P33" s="516">
        <f t="shared" si="0"/>
        <v>106.39282139530573</v>
      </c>
      <c r="Q33" s="515">
        <f t="shared" si="1"/>
        <v>0.39579316512094426</v>
      </c>
      <c r="R33" s="492">
        <f t="shared" si="2"/>
        <v>1.0639282139530573</v>
      </c>
      <c r="S33" s="491">
        <f>'Comparativo YoY'!EF34</f>
        <v>-5.9254472799014906</v>
      </c>
      <c r="T33" s="394"/>
      <c r="U33" s="13"/>
      <c r="V33" s="13"/>
      <c r="W33" s="13"/>
      <c r="X33" s="13"/>
      <c r="Y33" s="13"/>
      <c r="Z33" s="13"/>
      <c r="AB33" s="514"/>
      <c r="AC33" s="513">
        <v>5063003.326307971</v>
      </c>
    </row>
    <row r="34" spans="1:29" s="323" customFormat="1" ht="23.25">
      <c r="A34" s="512" t="s">
        <v>179</v>
      </c>
      <c r="B34" s="510">
        <f t="shared" ref="B34:N34" si="4">SUM(B7:B33)</f>
        <v>117707274.90792063</v>
      </c>
      <c r="C34" s="511">
        <f t="shared" si="4"/>
        <v>18062204.460000001</v>
      </c>
      <c r="D34" s="511">
        <f t="shared" si="4"/>
        <v>17433217.905999999</v>
      </c>
      <c r="E34" s="511">
        <f t="shared" si="4"/>
        <v>12650440.001999998</v>
      </c>
      <c r="F34" s="511">
        <f t="shared" si="4"/>
        <v>6513687.432</v>
      </c>
      <c r="G34" s="511">
        <f t="shared" si="4"/>
        <v>6927153.7260000007</v>
      </c>
      <c r="H34" s="511">
        <f t="shared" si="4"/>
        <v>9482831.4300000016</v>
      </c>
      <c r="I34" s="511">
        <f t="shared" si="4"/>
        <v>12334380.067999998</v>
      </c>
      <c r="J34" s="511">
        <f t="shared" si="4"/>
        <v>13217622.472000003</v>
      </c>
      <c r="K34" s="511">
        <f t="shared" si="4"/>
        <v>10063739.562000001</v>
      </c>
      <c r="L34" s="511">
        <f t="shared" si="4"/>
        <v>10476385.763999999</v>
      </c>
      <c r="M34" s="511">
        <f t="shared" si="4"/>
        <v>9195110.1180000007</v>
      </c>
      <c r="N34" s="511">
        <f t="shared" si="4"/>
        <v>9204619.7420000006</v>
      </c>
      <c r="O34" s="510">
        <f t="shared" si="3"/>
        <v>135561392.68200001</v>
      </c>
      <c r="P34" s="509">
        <f t="shared" si="0"/>
        <v>115.16823644761651</v>
      </c>
      <c r="Q34" s="509">
        <f t="shared" si="1"/>
        <v>80.012242192321807</v>
      </c>
      <c r="R34" s="492">
        <f t="shared" si="2"/>
        <v>1.1516823644761651</v>
      </c>
      <c r="S34" s="491">
        <f>'Comparativo YoY'!EF35</f>
        <v>-2.792624661531832</v>
      </c>
      <c r="T34" s="394"/>
      <c r="U34" s="507"/>
      <c r="AB34" s="506" t="s">
        <v>241</v>
      </c>
      <c r="AC34" s="505">
        <v>4765789.9148071306</v>
      </c>
    </row>
    <row r="35" spans="1:29" ht="23.25">
      <c r="A35" s="504" t="s">
        <v>181</v>
      </c>
      <c r="B35" s="500">
        <f>'Anuid PF'!E35+'Anuid PF'!F35+'Anuid PJ'!D34+'Anuid PJ'!E34+RRT!C33+'TAXAS E MULTAS.'!B32</f>
        <v>29100265.906971663</v>
      </c>
      <c r="C35" s="501">
        <f>'Anuid PF'!O35+'Anuid PF'!P35+'Anuid PJ'!L34+'Anuid PJ'!M34+RRT!I33+'TAXAS E MULTAS.'!C32</f>
        <v>4514183.5600000005</v>
      </c>
      <c r="D35" s="501">
        <f>'Anuid PF'!Q35+'Anuid PF'!R35+'Anuid PJ'!N34+'Anuid PJ'!O34+RRT!J33+'TAXAS E MULTAS.'!D32</f>
        <v>4357845.9340000004</v>
      </c>
      <c r="E35" s="501">
        <f>'Anuid PF'!S35+'Anuid PF'!T35+'Anuid PJ'!P34+'Anuid PJ'!Q34+RRT!K33+'TAXAS E MULTAS.'!E32</f>
        <v>3161063.1880000005</v>
      </c>
      <c r="F35" s="501">
        <f>'Anuid PF'!U35+'Anuid PF'!V35+'Anuid PJ'!R34+'Anuid PJ'!S34+RRT!L33+'TAXAS E MULTAS.'!F32</f>
        <v>1628182.7580000001</v>
      </c>
      <c r="G35" s="501">
        <f>'Anuid PF'!W35+'Anuid PF'!X35+'Anuid PJ'!T34+'Anuid PJ'!U34+RRT!M33+'TAXAS E MULTAS.'!G32</f>
        <v>1731552.1640000001</v>
      </c>
      <c r="H35" s="501">
        <f>'Anuid PF'!Y35+'Anuid PF'!Z35+'Anuid PJ'!V34+'Anuid PJ'!W34+RRT!N33+'TAXAS E MULTAS.'!H32</f>
        <v>2369405.4500000002</v>
      </c>
      <c r="I35" s="501">
        <f>'Anuid PF'!AA35+'Anuid PF'!AB35+'Anuid PJ'!X34+'Anuid PJ'!Y34+RRT!O33+'TAXAS E MULTAS.'!I32</f>
        <v>3080259.3020000001</v>
      </c>
      <c r="J35" s="501">
        <f>'Anuid PF'!AC35+'Anuid PF'!AD35+'Anuid PJ'!Z34+'Anuid PJ'!AA34+RRT!P33+'TAXAS E MULTAS.'!J32</f>
        <v>3300560.3880000003</v>
      </c>
      <c r="K35" s="501">
        <f>'Anuid PF'!AE35+'Anuid PF'!AF35+'Anuid PJ'!AB34+'Anuid PJ'!AC34+RRT!Q33+'TAXAS E MULTAS.'!K32</f>
        <v>2511700.2680000002</v>
      </c>
      <c r="L35" s="501">
        <f>'Anuid PF'!AG35+'Anuid PF'!AH35+'Anuid PJ'!AD34+'Anuid PJ'!AE34+RRT!R33+'TAXAS E MULTAS.'!L32</f>
        <v>2615378.7960000006</v>
      </c>
      <c r="M35" s="501">
        <f>'Anuid PF'!AI35+'Anuid PF'!AJ35+'Anuid PJ'!AF34+'Anuid PJ'!AG34+RRT!S33+'TAXAS E MULTAS.'!M32</f>
        <v>2295443.3620000002</v>
      </c>
      <c r="N35" s="501">
        <f>'Anuid PF'!AK35+'Anuid PF'!AL35+'Anuid PJ'!AH34+'Anuid PJ'!AI34+RRT!T33+'TAXAS E MULTAS.'!N32</f>
        <v>2298846.2080000001</v>
      </c>
      <c r="O35" s="500">
        <f t="shared" si="3"/>
        <v>33864421.377999999</v>
      </c>
      <c r="P35" s="499">
        <f t="shared" si="0"/>
        <v>116.37151868734976</v>
      </c>
      <c r="Q35" s="499">
        <f t="shared" si="1"/>
        <v>19.9877578076782</v>
      </c>
      <c r="R35" s="492">
        <f t="shared" si="2"/>
        <v>1.1637151868734976</v>
      </c>
      <c r="S35" s="491">
        <f>'Comparativo YoY'!EF36</f>
        <v>-2.8201057998447254</v>
      </c>
      <c r="T35" s="394"/>
      <c r="AB35" s="503"/>
      <c r="AC35" s="503"/>
    </row>
    <row r="36" spans="1:29" ht="23.25">
      <c r="A36" s="502" t="s">
        <v>534</v>
      </c>
      <c r="B36" s="500">
        <f t="shared" ref="B36:N36" si="5">B34+B35</f>
        <v>146807540.81489229</v>
      </c>
      <c r="C36" s="501">
        <f t="shared" si="5"/>
        <v>22576388.020000003</v>
      </c>
      <c r="D36" s="501">
        <f t="shared" si="5"/>
        <v>21791063.84</v>
      </c>
      <c r="E36" s="501">
        <f t="shared" si="5"/>
        <v>15811503.189999999</v>
      </c>
      <c r="F36" s="501">
        <f>F34+F35</f>
        <v>8141870.1900000004</v>
      </c>
      <c r="G36" s="501">
        <f t="shared" si="5"/>
        <v>8658705.8900000006</v>
      </c>
      <c r="H36" s="501">
        <f t="shared" si="5"/>
        <v>11852236.880000003</v>
      </c>
      <c r="I36" s="501">
        <f t="shared" si="5"/>
        <v>15414639.369999997</v>
      </c>
      <c r="J36" s="501">
        <f t="shared" si="5"/>
        <v>16518182.860000003</v>
      </c>
      <c r="K36" s="501">
        <f t="shared" si="5"/>
        <v>12575439.830000002</v>
      </c>
      <c r="L36" s="501">
        <f t="shared" si="5"/>
        <v>13091764.559999999</v>
      </c>
      <c r="M36" s="501">
        <f t="shared" si="5"/>
        <v>11490553.48</v>
      </c>
      <c r="N36" s="501">
        <f t="shared" si="5"/>
        <v>11503465.950000001</v>
      </c>
      <c r="O36" s="500">
        <f>SUM(O34+O35)</f>
        <v>169425814.06</v>
      </c>
      <c r="P36" s="499">
        <f t="shared" si="0"/>
        <v>115.40675166926664</v>
      </c>
      <c r="Q36" s="499">
        <f t="shared" si="1"/>
        <v>100</v>
      </c>
      <c r="R36" s="492">
        <f t="shared" si="2"/>
        <v>1.1540675166926664</v>
      </c>
      <c r="S36" s="491">
        <f>'Comparativo YoY'!EF37</f>
        <v>-2.7981187676655281</v>
      </c>
      <c r="T36" s="394"/>
    </row>
    <row r="37" spans="1:29" ht="23.25" hidden="1">
      <c r="A37" s="497"/>
      <c r="B37" s="496"/>
      <c r="C37" s="496"/>
      <c r="D37" s="496"/>
      <c r="E37" s="496"/>
      <c r="F37" s="498"/>
      <c r="G37" s="498"/>
      <c r="H37" s="496"/>
      <c r="I37" s="496"/>
      <c r="J37" s="496"/>
      <c r="K37" s="496"/>
      <c r="L37" s="496"/>
      <c r="M37" s="496"/>
      <c r="N37" s="495"/>
      <c r="O37" s="495"/>
      <c r="P37" s="494"/>
      <c r="Q37" s="493">
        <f t="shared" si="1"/>
        <v>0</v>
      </c>
      <c r="R37" s="492" t="e">
        <f t="shared" si="2"/>
        <v>#DIV/0!</v>
      </c>
      <c r="S37" s="491">
        <f>'Comparativo YoY'!EF38</f>
        <v>0</v>
      </c>
      <c r="T37" s="394"/>
    </row>
    <row r="38" spans="1:29" ht="23.25" hidden="1">
      <c r="A38" s="497"/>
      <c r="B38" s="496"/>
      <c r="C38" s="496"/>
      <c r="D38" s="496"/>
      <c r="E38" s="496"/>
      <c r="F38" s="496"/>
      <c r="G38" s="496"/>
      <c r="H38" s="496"/>
      <c r="I38" s="496"/>
      <c r="J38" s="496"/>
      <c r="K38" s="496"/>
      <c r="L38" s="496"/>
      <c r="M38" s="496"/>
      <c r="N38" s="495"/>
      <c r="O38" s="495"/>
      <c r="P38" s="494"/>
      <c r="Q38" s="493">
        <f t="shared" si="1"/>
        <v>0</v>
      </c>
      <c r="R38" s="492" t="e">
        <f t="shared" si="2"/>
        <v>#DIV/0!</v>
      </c>
      <c r="S38" s="491">
        <f>'Comparativo YoY'!EF39</f>
        <v>0</v>
      </c>
      <c r="T38" s="394"/>
    </row>
    <row r="39" spans="1:29" s="287" customFormat="1" ht="21">
      <c r="A39" s="490"/>
      <c r="C39" s="402"/>
      <c r="D39" s="402"/>
      <c r="E39" s="402"/>
      <c r="F39" s="402"/>
      <c r="G39" s="402"/>
      <c r="H39" s="489"/>
      <c r="I39" s="402"/>
      <c r="J39" s="402"/>
      <c r="K39" s="402"/>
      <c r="L39" s="402"/>
      <c r="M39" s="402"/>
      <c r="N39" s="402"/>
      <c r="O39" s="488"/>
      <c r="T39" s="487"/>
    </row>
    <row r="40" spans="1:29" ht="26.25">
      <c r="A40" s="292"/>
      <c r="B40" s="307"/>
      <c r="C40" s="449">
        <f>'ARRECADAÇÃO MENSAL POR RECEITA'!R5</f>
        <v>22576388.02</v>
      </c>
      <c r="D40" s="445">
        <f>'ARRECADAÇÃO MENSAL POR RECEITA'!R6</f>
        <v>21791063.840000004</v>
      </c>
      <c r="E40" s="449">
        <f>'ARRECADAÇÃO MENSAL POR RECEITA'!$R$7</f>
        <v>15811503.189999999</v>
      </c>
      <c r="F40" s="445">
        <f>'ARRECADAÇÃO MENSAL POR RECEITA'!R8</f>
        <v>8141870.1899999995</v>
      </c>
      <c r="G40" s="445">
        <f>'ARRECADAÇÃO MENSAL POR RECEITA'!$R9</f>
        <v>8658705.8900000006</v>
      </c>
      <c r="H40" s="445">
        <f>'ARRECADAÇÃO MENSAL POR RECEITA'!$R10</f>
        <v>11852236.879999999</v>
      </c>
      <c r="I40" s="445">
        <f>'ARRECADAÇÃO MENSAL POR RECEITA'!$R11</f>
        <v>15414639.369999999</v>
      </c>
      <c r="J40" s="445">
        <f>'ARRECADAÇÃO MENSAL POR RECEITA'!$R12</f>
        <v>16518182.859999998</v>
      </c>
      <c r="K40" s="445">
        <f>'ARRECADAÇÃO MENSAL POR RECEITA'!$R13</f>
        <v>12575439.83</v>
      </c>
      <c r="L40" s="445">
        <f>'ARRECADAÇÃO MENSAL POR RECEITA'!$R14</f>
        <v>13091764.560000001</v>
      </c>
      <c r="M40" s="445">
        <f>'ARRECADAÇÃO MENSAL POR RECEITA'!$R15</f>
        <v>11490553.479999999</v>
      </c>
      <c r="N40" s="445">
        <f>'ARRECADAÇÃO MENSAL POR RECEITA'!$R16</f>
        <v>11503465.950000001</v>
      </c>
      <c r="O40" s="449">
        <f>'ARRECADAÇÃO MENSAL POR RECEITA'!$R$17</f>
        <v>169425814.05999997</v>
      </c>
      <c r="P40" s="292"/>
      <c r="Q40" s="18"/>
      <c r="T40" s="253"/>
    </row>
    <row r="41" spans="1:29" ht="26.25">
      <c r="A41" s="292"/>
      <c r="B41" s="307"/>
      <c r="C41" s="485" t="b">
        <f>C36=C40</f>
        <v>1</v>
      </c>
      <c r="D41" s="485" t="b">
        <f t="shared" ref="D41:O41" si="6">D36=D40</f>
        <v>1</v>
      </c>
      <c r="E41" s="485" t="b">
        <f t="shared" si="6"/>
        <v>1</v>
      </c>
      <c r="F41" s="485" t="b">
        <f>F36=F40</f>
        <v>1</v>
      </c>
      <c r="G41" s="485" t="b">
        <f t="shared" si="6"/>
        <v>1</v>
      </c>
      <c r="H41" s="485" t="b">
        <f t="shared" si="6"/>
        <v>1</v>
      </c>
      <c r="I41" s="485" t="b">
        <f t="shared" si="6"/>
        <v>1</v>
      </c>
      <c r="J41" s="485" t="b">
        <f t="shared" si="6"/>
        <v>1</v>
      </c>
      <c r="K41" s="485" t="b">
        <f t="shared" si="6"/>
        <v>1</v>
      </c>
      <c r="L41" s="485" t="b">
        <f t="shared" si="6"/>
        <v>1</v>
      </c>
      <c r="M41" s="485" t="b">
        <f t="shared" si="6"/>
        <v>1</v>
      </c>
      <c r="N41" s="485" t="b">
        <f t="shared" si="6"/>
        <v>1</v>
      </c>
      <c r="O41" s="485" t="b">
        <f t="shared" si="6"/>
        <v>1</v>
      </c>
      <c r="P41" s="292"/>
      <c r="Q41" s="18"/>
      <c r="T41" s="253"/>
    </row>
    <row r="42" spans="1:29" ht="26.25">
      <c r="A42" s="292"/>
      <c r="B42" s="307"/>
      <c r="C42" s="485"/>
      <c r="D42" s="308"/>
      <c r="E42" s="485"/>
      <c r="F42" s="445"/>
      <c r="G42" s="485"/>
      <c r="H42" s="292"/>
      <c r="I42" s="484"/>
      <c r="J42" s="370"/>
      <c r="K42" s="483"/>
      <c r="L42" s="1320"/>
      <c r="M42" s="1320"/>
      <c r="N42" s="1320"/>
      <c r="O42" s="370"/>
      <c r="P42" s="304"/>
      <c r="Q42" s="292"/>
      <c r="R42" s="292"/>
      <c r="S42" s="18"/>
      <c r="T42" s="253"/>
    </row>
    <row r="43" spans="1:29" s="287" customFormat="1" ht="21">
      <c r="A43" s="321"/>
      <c r="B43" s="291"/>
      <c r="G43" s="291"/>
      <c r="H43" s="291"/>
      <c r="I43" s="291"/>
      <c r="J43" s="291"/>
      <c r="K43" s="291"/>
      <c r="L43" s="291"/>
      <c r="M43" s="291"/>
      <c r="N43" s="291"/>
      <c r="T43" s="291"/>
    </row>
    <row r="44" spans="1:29" s="287" customFormat="1" ht="21">
      <c r="A44" s="321"/>
      <c r="B44" s="291"/>
      <c r="F44" s="990"/>
      <c r="G44" s="291"/>
      <c r="J44" s="482"/>
      <c r="K44" s="291"/>
      <c r="L44" s="291"/>
      <c r="M44" s="291"/>
      <c r="N44" s="291"/>
      <c r="O44" s="291"/>
      <c r="T44" s="291"/>
    </row>
    <row r="45" spans="1:29" s="287" customFormat="1" ht="21">
      <c r="A45" s="321"/>
      <c r="B45" s="291"/>
      <c r="D45" s="291"/>
      <c r="F45" s="990"/>
      <c r="G45" s="291"/>
      <c r="T45" s="291"/>
    </row>
    <row r="46" spans="1:29" s="287" customFormat="1" ht="21.75" thickBot="1">
      <c r="A46" s="321"/>
      <c r="B46" s="291"/>
      <c r="D46" s="291"/>
      <c r="G46" s="291"/>
      <c r="S46" s="291"/>
      <c r="T46" s="291"/>
    </row>
    <row r="47" spans="1:29" s="287" customFormat="1" ht="21.75" thickBot="1">
      <c r="A47" s="321"/>
      <c r="C47" s="481"/>
      <c r="D47" s="1327"/>
      <c r="E47" s="1329"/>
      <c r="G47" s="291"/>
      <c r="H47" s="291"/>
      <c r="I47" s="291"/>
      <c r="J47" s="291"/>
      <c r="K47" s="291"/>
      <c r="L47" s="291"/>
      <c r="M47" s="291"/>
      <c r="N47" s="291"/>
      <c r="T47" s="291"/>
    </row>
    <row r="48" spans="1:29" s="287" customFormat="1" ht="21.75" thickBot="1">
      <c r="A48" s="321"/>
      <c r="C48" s="481"/>
      <c r="D48" s="1328"/>
      <c r="E48" s="1329"/>
      <c r="F48" s="480"/>
      <c r="G48" s="480"/>
      <c r="H48" s="480"/>
      <c r="I48" s="480"/>
      <c r="J48" s="476"/>
      <c r="K48" s="480"/>
      <c r="L48" s="476"/>
      <c r="M48" s="476"/>
      <c r="N48" s="476"/>
      <c r="O48" s="479"/>
      <c r="Q48" s="479"/>
      <c r="T48" s="478"/>
    </row>
    <row r="49" spans="1:20" s="287" customFormat="1" ht="21.75" thickBot="1">
      <c r="B49" s="291"/>
      <c r="C49" s="1322"/>
      <c r="D49" s="473"/>
      <c r="E49" s="472"/>
      <c r="F49" s="477"/>
      <c r="G49" s="477"/>
      <c r="H49" s="476"/>
      <c r="I49" s="476"/>
      <c r="J49" s="476"/>
      <c r="K49" s="476"/>
      <c r="L49" s="476"/>
      <c r="M49" s="476"/>
      <c r="N49" s="476"/>
      <c r="T49" s="291"/>
    </row>
    <row r="50" spans="1:20" s="287" customFormat="1" ht="21.75" thickBot="1">
      <c r="A50" s="287" t="e">
        <f>IF(#REF!&lt;&gt;0,#REF!,"")</f>
        <v>#REF!</v>
      </c>
      <c r="C50" s="1322"/>
      <c r="D50" s="473"/>
      <c r="E50" s="472"/>
      <c r="G50" s="291"/>
      <c r="H50" s="291"/>
      <c r="I50" s="291"/>
      <c r="J50" s="291"/>
      <c r="K50" s="291"/>
      <c r="L50" s="291"/>
      <c r="M50" s="291"/>
      <c r="N50" s="291"/>
      <c r="T50" s="291"/>
    </row>
    <row r="51" spans="1:20" ht="21.75" thickBot="1">
      <c r="A51" s="287"/>
      <c r="C51" s="1322"/>
      <c r="D51" s="473"/>
      <c r="E51" s="472"/>
    </row>
    <row r="52" spans="1:20" ht="15.75" thickBot="1">
      <c r="C52" s="1322"/>
      <c r="D52" s="473"/>
      <c r="E52" s="472"/>
    </row>
    <row r="53" spans="1:20" ht="15.75" thickBot="1">
      <c r="C53" s="1322"/>
      <c r="D53" s="473"/>
      <c r="E53" s="472"/>
    </row>
    <row r="54" spans="1:20" ht="15.75" thickBot="1">
      <c r="C54" s="1322"/>
      <c r="D54" s="473"/>
      <c r="E54" s="472"/>
    </row>
    <row r="55" spans="1:20" ht="15.75" thickBot="1">
      <c r="C55" s="1322"/>
      <c r="D55" s="473"/>
      <c r="E55" s="472"/>
    </row>
    <row r="56" spans="1:20" ht="15.75" thickBot="1">
      <c r="C56" s="1322"/>
      <c r="D56" s="475"/>
      <c r="E56" s="474"/>
    </row>
    <row r="57" spans="1:20" ht="15.75" thickBot="1">
      <c r="C57" s="1322"/>
      <c r="D57" s="473"/>
      <c r="E57" s="472"/>
    </row>
    <row r="58" spans="1:20" ht="15.75" thickBot="1">
      <c r="C58" s="1322"/>
      <c r="D58" s="473"/>
      <c r="E58" s="472"/>
    </row>
    <row r="59" spans="1:20" ht="15.75" thickBot="1">
      <c r="C59" s="1322"/>
      <c r="D59" s="473"/>
      <c r="E59" s="472"/>
    </row>
    <row r="60" spans="1:20" ht="15.75" thickBot="1">
      <c r="C60" s="1322"/>
      <c r="D60" s="473"/>
      <c r="E60" s="472"/>
    </row>
    <row r="61" spans="1:20" ht="15.75" thickBot="1">
      <c r="C61" s="1322"/>
      <c r="D61" s="473"/>
      <c r="E61" s="472"/>
    </row>
    <row r="62" spans="1:20" ht="15.75" thickBot="1">
      <c r="C62" s="1322"/>
      <c r="D62" s="473"/>
      <c r="E62" s="472"/>
    </row>
    <row r="63" spans="1:20" ht="15.75" thickBot="1">
      <c r="C63" s="1322"/>
      <c r="D63" s="473"/>
      <c r="E63" s="472"/>
    </row>
    <row r="64" spans="1:20" ht="15.75" thickBot="1">
      <c r="C64" s="1322"/>
      <c r="D64" s="473"/>
      <c r="E64" s="472"/>
    </row>
    <row r="65" spans="3:5" s="253" customFormat="1" ht="15.75" thickBot="1">
      <c r="C65" s="1322"/>
      <c r="D65" s="473"/>
      <c r="E65" s="472"/>
    </row>
    <row r="66" spans="3:5" s="253" customFormat="1" ht="15.75" thickBot="1">
      <c r="C66" s="1322"/>
      <c r="D66" s="473"/>
      <c r="E66" s="472"/>
    </row>
    <row r="67" spans="3:5" s="253" customFormat="1" ht="15.75" thickBot="1">
      <c r="C67" s="1322"/>
      <c r="D67" s="473"/>
      <c r="E67" s="472"/>
    </row>
    <row r="68" spans="3:5" s="253" customFormat="1" ht="15.75" thickBot="1">
      <c r="C68" s="1322"/>
      <c r="D68" s="473"/>
      <c r="E68" s="472"/>
    </row>
    <row r="69" spans="3:5" s="253" customFormat="1" ht="15.75" thickBot="1">
      <c r="C69" s="1322"/>
      <c r="D69" s="473"/>
      <c r="E69" s="472"/>
    </row>
    <row r="70" spans="3:5" s="253" customFormat="1" ht="15.75" thickBot="1">
      <c r="C70" s="1322"/>
      <c r="D70" s="473"/>
      <c r="E70" s="472"/>
    </row>
    <row r="71" spans="3:5" s="253" customFormat="1" ht="15.75" thickBot="1">
      <c r="C71" s="1322"/>
      <c r="D71" s="473"/>
      <c r="E71" s="472"/>
    </row>
    <row r="72" spans="3:5" s="253" customFormat="1" ht="15.75" thickBot="1">
      <c r="C72" s="1323"/>
      <c r="D72" s="473"/>
      <c r="E72" s="472"/>
    </row>
    <row r="73" spans="3:5" s="253" customFormat="1" ht="15.75" thickBot="1">
      <c r="C73" s="1324"/>
      <c r="D73" s="473"/>
      <c r="E73" s="472"/>
    </row>
    <row r="74" spans="3:5" s="253" customFormat="1" ht="15.75" thickBot="1">
      <c r="C74" s="1324"/>
      <c r="D74" s="473"/>
      <c r="E74" s="472"/>
    </row>
    <row r="75" spans="3:5" s="253" customFormat="1" ht="15.75" thickBot="1">
      <c r="C75" s="1325"/>
      <c r="D75" s="473"/>
      <c r="E75" s="472"/>
    </row>
    <row r="76" spans="3:5" s="253" customFormat="1">
      <c r="C76" s="1321"/>
      <c r="D76" s="1321"/>
      <c r="E76" s="471"/>
    </row>
    <row r="77" spans="3:5" s="253" customFormat="1">
      <c r="C77" s="12"/>
      <c r="D77" s="12"/>
      <c r="E77" s="470"/>
    </row>
  </sheetData>
  <mergeCells count="29">
    <mergeCell ref="N5:N6"/>
    <mergeCell ref="A1:Q1"/>
    <mergeCell ref="A4:A6"/>
    <mergeCell ref="B4:B6"/>
    <mergeCell ref="P4:P6"/>
    <mergeCell ref="Q4:Q6"/>
    <mergeCell ref="C5:C6"/>
    <mergeCell ref="D5:D6"/>
    <mergeCell ref="O4:O6"/>
    <mergeCell ref="E5:E6"/>
    <mergeCell ref="F5:F6"/>
    <mergeCell ref="J5:J6"/>
    <mergeCell ref="M5:M6"/>
    <mergeCell ref="R4:R5"/>
    <mergeCell ref="L42:N42"/>
    <mergeCell ref="C76:D76"/>
    <mergeCell ref="C69:C71"/>
    <mergeCell ref="C72:C75"/>
    <mergeCell ref="C49:C55"/>
    <mergeCell ref="C56:C64"/>
    <mergeCell ref="C65:C68"/>
    <mergeCell ref="I5:I6"/>
    <mergeCell ref="D47:D48"/>
    <mergeCell ref="E47:E48"/>
    <mergeCell ref="C4:K4"/>
    <mergeCell ref="L5:L6"/>
    <mergeCell ref="K5:K6"/>
    <mergeCell ref="G5:G6"/>
    <mergeCell ref="H5:H6"/>
  </mergeCells>
  <printOptions horizontalCentered="1" verticalCentered="1"/>
  <pageMargins left="0.51181102362204722" right="0.51181102362204722" top="0.78740157480314965" bottom="0.78740157480314965" header="0.31496062992125984" footer="0.31496062992125984"/>
  <pageSetup paperSize="9" scale="45"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F92CB14-2AAD-4270-9CD9-D19458E046AA}">
            <xm:f>NOT(ISERROR(SEARCH(FALSE,C41)))</xm:f>
            <xm:f>FALSE</xm:f>
            <x14:dxf>
              <font>
                <color auto="1"/>
              </font>
              <fill>
                <patternFill>
                  <bgColor rgb="FFFFC7CE"/>
                </patternFill>
              </fill>
            </x14:dxf>
          </x14:cfRule>
          <x14:cfRule type="containsText" priority="2" operator="containsText" id="{3DE46009-72FB-4F4D-AD56-35775ABEB9FA}">
            <xm:f>NOT(ISERROR(SEARCH(TRUE,C41)))</xm:f>
            <xm:f>TRUE</xm:f>
            <x14:dxf>
              <font>
                <color auto="1"/>
              </font>
              <fill>
                <patternFill>
                  <bgColor theme="6" tint="0.39994506668294322"/>
                </patternFill>
              </fill>
            </x14:dxf>
          </x14:cfRule>
          <xm:sqref>C41:O41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7030A0"/>
  </sheetPr>
  <dimension ref="A1:EM77"/>
  <sheetViews>
    <sheetView showGridLines="0" topLeftCell="A6" zoomScale="80" zoomScaleNormal="80" zoomScaleSheetLayoutView="85" workbookViewId="0">
      <selection sqref="A1:AC1"/>
    </sheetView>
  </sheetViews>
  <sheetFormatPr defaultColWidth="9.140625" defaultRowHeight="15" outlineLevelCol="1"/>
  <cols>
    <col min="1" max="1" width="15.28515625" style="253" customWidth="1"/>
    <col min="2" max="5" width="16.7109375" style="253" hidden="1" customWidth="1" outlineLevel="1"/>
    <col min="6" max="6" width="16.7109375" style="253" hidden="1" customWidth="1" collapsed="1"/>
    <col min="7" max="10" width="16.7109375" style="253" hidden="1" customWidth="1" outlineLevel="1"/>
    <col min="11" max="11" width="16.7109375" style="253" hidden="1" customWidth="1" collapsed="1"/>
    <col min="12" max="12" width="17.140625" style="253" hidden="1" customWidth="1"/>
    <col min="13" max="14" width="13.85546875" style="253" hidden="1" customWidth="1"/>
    <col min="15" max="15" width="14.85546875" style="253" hidden="1" customWidth="1"/>
    <col min="16" max="16" width="15" style="253" hidden="1" customWidth="1"/>
    <col min="17" max="17" width="16.5703125" style="253" hidden="1" customWidth="1"/>
    <col min="18" max="18" width="14.42578125" style="253" hidden="1" customWidth="1"/>
    <col min="19" max="19" width="13.85546875" style="253" hidden="1" customWidth="1"/>
    <col min="20" max="20" width="13" style="253" hidden="1" customWidth="1"/>
    <col min="21" max="21" width="15.85546875" style="253" hidden="1" customWidth="1"/>
    <col min="22" max="22" width="17.85546875" style="253" hidden="1" customWidth="1"/>
    <col min="23" max="24" width="13.85546875" style="253" hidden="1" customWidth="1"/>
    <col min="25" max="25" width="14.85546875" style="253" hidden="1" customWidth="1"/>
    <col min="26" max="26" width="15" style="253" hidden="1" customWidth="1"/>
    <col min="27" max="27" width="17.140625" style="253" hidden="1" customWidth="1"/>
    <col min="28" max="28" width="15.85546875" style="253" hidden="1" customWidth="1"/>
    <col min="29" max="29" width="15.140625" style="253" hidden="1" customWidth="1"/>
    <col min="30" max="31" width="15" style="253" hidden="1" customWidth="1"/>
    <col min="32" max="32" width="18.140625" style="253" hidden="1" customWidth="1"/>
    <col min="33" max="34" width="13.85546875" style="253" hidden="1" customWidth="1"/>
    <col min="35" max="35" width="14.85546875" style="253" hidden="1" customWidth="1"/>
    <col min="36" max="36" width="15" style="253" hidden="1" customWidth="1"/>
    <col min="37" max="37" width="13.85546875" style="253" hidden="1" customWidth="1"/>
    <col min="38" max="38" width="14.42578125" style="253" hidden="1" customWidth="1"/>
    <col min="39" max="39" width="13.85546875" style="253" hidden="1" customWidth="1"/>
    <col min="40" max="40" width="13" style="253" hidden="1" customWidth="1"/>
    <col min="41" max="41" width="15" style="253" hidden="1" customWidth="1"/>
    <col min="42" max="42" width="18.140625" style="253" hidden="1" customWidth="1"/>
    <col min="43" max="44" width="13.85546875" style="253" hidden="1" customWidth="1"/>
    <col min="45" max="45" width="14.85546875" style="253" hidden="1" customWidth="1"/>
    <col min="46" max="46" width="15" style="253" hidden="1" customWidth="1"/>
    <col min="47" max="47" width="13.85546875" style="253" hidden="1" customWidth="1"/>
    <col min="48" max="48" width="14.42578125" style="253" hidden="1" customWidth="1"/>
    <col min="49" max="49" width="13.85546875" style="253" hidden="1" customWidth="1"/>
    <col min="50" max="50" width="13" style="253" hidden="1" customWidth="1"/>
    <col min="51" max="51" width="16.42578125" style="253" hidden="1" customWidth="1"/>
    <col min="52" max="52" width="18.42578125" style="253" hidden="1" customWidth="1"/>
    <col min="53" max="54" width="13.85546875" style="253" hidden="1" customWidth="1"/>
    <col min="55" max="55" width="14.85546875" style="253" hidden="1" customWidth="1"/>
    <col min="56" max="56" width="15" style="253" hidden="1" customWidth="1"/>
    <col min="57" max="57" width="13.85546875" style="253" hidden="1" customWidth="1"/>
    <col min="58" max="58" width="14.42578125" style="253" hidden="1" customWidth="1"/>
    <col min="59" max="59" width="13.85546875" style="253" hidden="1" customWidth="1"/>
    <col min="60" max="60" width="13" style="253" hidden="1" customWidth="1"/>
    <col min="61" max="61" width="15.85546875" style="253" hidden="1" customWidth="1"/>
    <col min="62" max="62" width="15" style="253" hidden="1" customWidth="1"/>
    <col min="63" max="64" width="13.85546875" style="253" hidden="1" customWidth="1"/>
    <col min="65" max="65" width="14.85546875" style="253" hidden="1" customWidth="1"/>
    <col min="66" max="66" width="15" style="253" hidden="1" customWidth="1"/>
    <col min="67" max="67" width="16.5703125" style="253" hidden="1" customWidth="1"/>
    <col min="68" max="68" width="15.7109375" style="253" hidden="1" customWidth="1"/>
    <col min="69" max="69" width="15.42578125" style="253" hidden="1" customWidth="1"/>
    <col min="70" max="70" width="14.140625" style="253" hidden="1" customWidth="1"/>
    <col min="71" max="71" width="15.42578125" style="253" hidden="1" customWidth="1"/>
    <col min="72" max="72" width="15" style="253" hidden="1" customWidth="1"/>
    <col min="73" max="73" width="13.85546875" style="253" hidden="1" customWidth="1"/>
    <col min="74" max="74" width="15.42578125" style="253" hidden="1" customWidth="1"/>
    <col min="75" max="75" width="14.85546875" style="253" hidden="1" customWidth="1"/>
    <col min="76" max="77" width="16.5703125" style="253" hidden="1" customWidth="1"/>
    <col min="78" max="78" width="15.7109375" style="253" hidden="1" customWidth="1"/>
    <col min="79" max="79" width="15.42578125" style="253" hidden="1" customWidth="1"/>
    <col min="80" max="80" width="20.5703125" style="253" hidden="1" customWidth="1"/>
    <col min="81" max="81" width="15.42578125" style="253" hidden="1" customWidth="1"/>
    <col min="82" max="82" width="20" style="253" hidden="1" customWidth="1"/>
    <col min="83" max="83" width="13.85546875" style="253" hidden="1" customWidth="1"/>
    <col min="84" max="84" width="15.28515625" style="253" hidden="1" customWidth="1"/>
    <col min="85" max="85" width="14.85546875" style="253" hidden="1" customWidth="1"/>
    <col min="86" max="86" width="15.85546875" style="253" hidden="1" customWidth="1"/>
    <col min="87" max="87" width="16.5703125" style="253" hidden="1" customWidth="1"/>
    <col min="88" max="88" width="15.7109375" style="253" hidden="1" customWidth="1"/>
    <col min="89" max="89" width="15.28515625" style="253" hidden="1" customWidth="1"/>
    <col min="90" max="90" width="14.140625" style="253" hidden="1" customWidth="1"/>
    <col min="91" max="91" width="15.42578125" style="253" hidden="1" customWidth="1"/>
    <col min="92" max="92" width="15" style="253" hidden="1" customWidth="1"/>
    <col min="93" max="93" width="13.85546875" style="253" hidden="1" customWidth="1"/>
    <col min="94" max="94" width="15.42578125" style="253" hidden="1" customWidth="1"/>
    <col min="95" max="95" width="14.85546875" style="253" hidden="1" customWidth="1"/>
    <col min="96" max="96" width="15.85546875" style="253" hidden="1" customWidth="1"/>
    <col min="97" max="97" width="16.5703125" style="253" hidden="1" customWidth="1"/>
    <col min="98" max="98" width="15.7109375" style="253" hidden="1" customWidth="1"/>
    <col min="99" max="99" width="15.42578125" style="253" hidden="1" customWidth="1"/>
    <col min="100" max="100" width="14.140625" style="253" hidden="1" customWidth="1"/>
    <col min="101" max="101" width="15.42578125" style="253" hidden="1" customWidth="1"/>
    <col min="102" max="102" width="15" style="253" hidden="1" customWidth="1"/>
    <col min="103" max="103" width="13.85546875" style="253" hidden="1" customWidth="1"/>
    <col min="104" max="104" width="16.140625" style="253" hidden="1" customWidth="1"/>
    <col min="105" max="105" width="14.85546875" style="253" hidden="1" customWidth="1"/>
    <col min="106" max="106" width="16.85546875" style="253" hidden="1" customWidth="1"/>
    <col min="107" max="107" width="16.5703125" style="253" hidden="1" customWidth="1"/>
    <col min="108" max="108" width="15.7109375" style="253" hidden="1" customWidth="1"/>
    <col min="109" max="109" width="16.28515625" style="253" hidden="1" customWidth="1"/>
    <col min="110" max="110" width="14.140625" style="253" hidden="1" customWidth="1"/>
    <col min="111" max="111" width="15.42578125" style="253" hidden="1" customWidth="1"/>
    <col min="112" max="112" width="15" style="253" hidden="1" customWidth="1"/>
    <col min="113" max="113" width="13.85546875" style="253" hidden="1" customWidth="1"/>
    <col min="114" max="114" width="15.85546875" style="253" hidden="1" customWidth="1"/>
    <col min="115" max="115" width="14.85546875" style="253" hidden="1" customWidth="1"/>
    <col min="116" max="116" width="15.85546875" style="253" hidden="1" customWidth="1"/>
    <col min="117" max="117" width="16.5703125" style="253" hidden="1" customWidth="1"/>
    <col min="118" max="118" width="15.7109375" style="253" hidden="1" customWidth="1"/>
    <col min="119" max="119" width="15.42578125" style="253" hidden="1" customWidth="1"/>
    <col min="120" max="120" width="14.140625" style="253" hidden="1" customWidth="1"/>
    <col min="121" max="121" width="16.140625" style="253" hidden="1" customWidth="1"/>
    <col min="122" max="122" width="17.42578125" style="253" customWidth="1"/>
    <col min="123" max="123" width="15.42578125" style="253" customWidth="1"/>
    <col min="124" max="124" width="17.140625" style="253" customWidth="1"/>
    <col min="125" max="125" width="15.85546875" style="253" customWidth="1"/>
    <col min="126" max="126" width="18.28515625" style="253" customWidth="1"/>
    <col min="127" max="127" width="17" style="253" customWidth="1"/>
    <col min="128" max="128" width="15.28515625" style="253" customWidth="1"/>
    <col min="129" max="129" width="17.140625" style="253" customWidth="1"/>
    <col min="130" max="130" width="16.28515625" style="253" customWidth="1"/>
    <col min="131" max="131" width="18.5703125" style="253" customWidth="1"/>
    <col min="132" max="132" width="12.7109375" style="253" customWidth="1"/>
    <col min="133" max="133" width="12.85546875" style="253" customWidth="1"/>
    <col min="134" max="134" width="12.28515625" style="253" customWidth="1"/>
    <col min="135" max="135" width="14.140625" style="253" customWidth="1"/>
    <col min="136" max="136" width="15.7109375" style="253" customWidth="1"/>
    <col min="137" max="137" width="9.140625" style="253" hidden="1" customWidth="1"/>
    <col min="138" max="138" width="9.140625" style="253" customWidth="1"/>
    <col min="139" max="16384" width="9.140625" style="253"/>
  </cols>
  <sheetData>
    <row r="1" spans="1:143" ht="26.25" hidden="1">
      <c r="A1" s="1346" t="s">
        <v>559</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c r="BU1" s="1346"/>
      <c r="BV1" s="1346"/>
      <c r="BW1" s="1346"/>
      <c r="BX1" s="1346"/>
      <c r="BY1" s="1346"/>
      <c r="BZ1" s="1346"/>
      <c r="CA1" s="1346"/>
      <c r="CB1" s="1346"/>
      <c r="CC1" s="1346"/>
      <c r="CD1" s="1346"/>
      <c r="CE1" s="1346"/>
      <c r="CF1" s="1346"/>
      <c r="CG1" s="1346"/>
      <c r="CH1" s="1346"/>
      <c r="CI1" s="1346"/>
      <c r="CJ1" s="1346"/>
      <c r="CK1" s="1346"/>
      <c r="CL1" s="1346"/>
      <c r="CM1" s="1346"/>
      <c r="CN1" s="1346"/>
      <c r="CO1" s="1346"/>
      <c r="CP1" s="1346"/>
      <c r="CQ1" s="1346"/>
      <c r="CR1" s="1346"/>
      <c r="CS1" s="1346"/>
      <c r="CT1" s="1346"/>
      <c r="CU1" s="1346"/>
      <c r="CV1" s="1346"/>
      <c r="CW1" s="1346"/>
      <c r="CX1" s="1346"/>
      <c r="CY1" s="1346"/>
      <c r="CZ1" s="1346"/>
      <c r="DA1" s="1346"/>
      <c r="DB1" s="1346"/>
      <c r="DC1" s="1346"/>
      <c r="DD1" s="1346"/>
      <c r="DE1" s="1346"/>
      <c r="DF1" s="1346"/>
      <c r="DG1" s="1346"/>
      <c r="DH1" s="1346"/>
      <c r="DI1" s="1346"/>
      <c r="DJ1" s="1346"/>
      <c r="DK1" s="1346"/>
      <c r="DL1" s="1346"/>
      <c r="DM1" s="1346"/>
      <c r="DN1" s="1346"/>
      <c r="DO1" s="1346"/>
      <c r="DP1" s="1346"/>
      <c r="DQ1" s="1346"/>
      <c r="DR1" s="1346"/>
      <c r="DS1" s="1346"/>
      <c r="DT1" s="1346"/>
      <c r="DU1" s="1346"/>
      <c r="DV1" s="1346"/>
      <c r="DW1" s="1346"/>
      <c r="DX1" s="1346"/>
      <c r="DY1" s="1346"/>
      <c r="DZ1" s="1346"/>
      <c r="EA1" s="1346"/>
      <c r="EB1" s="1346"/>
      <c r="EC1" s="1346"/>
      <c r="ED1" s="1346"/>
      <c r="EE1" s="1346"/>
      <c r="EF1" s="1346"/>
    </row>
    <row r="2" spans="1:143" ht="26.25" hidden="1">
      <c r="A2" s="1346" t="s">
        <v>558</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c r="AL2" s="1346"/>
      <c r="AM2" s="1346"/>
      <c r="AN2" s="1346"/>
      <c r="AO2" s="1346"/>
      <c r="AP2" s="1346"/>
      <c r="AQ2" s="1346"/>
      <c r="AR2" s="1346"/>
      <c r="AS2" s="1346"/>
      <c r="AT2" s="1346"/>
      <c r="AU2" s="1346"/>
      <c r="AV2" s="1346"/>
      <c r="AW2" s="1346"/>
      <c r="AX2" s="1346"/>
      <c r="AY2" s="1346"/>
      <c r="AZ2" s="1346"/>
      <c r="BA2" s="1346"/>
      <c r="BB2" s="1346"/>
      <c r="BC2" s="1346"/>
      <c r="BD2" s="1346"/>
      <c r="BE2" s="1346"/>
      <c r="BF2" s="1346"/>
      <c r="BG2" s="1346"/>
      <c r="BH2" s="1346"/>
      <c r="BI2" s="1346"/>
      <c r="BJ2" s="1346"/>
      <c r="BK2" s="1346"/>
      <c r="BL2" s="1346"/>
      <c r="BM2" s="1346"/>
      <c r="BN2" s="1346"/>
      <c r="BO2" s="1346"/>
      <c r="BP2" s="1346"/>
      <c r="BQ2" s="1346"/>
      <c r="BR2" s="1346"/>
      <c r="BS2" s="1346"/>
      <c r="BT2" s="1346"/>
      <c r="BU2" s="1346"/>
      <c r="BV2" s="1346"/>
      <c r="BW2" s="1346"/>
      <c r="BX2" s="1346"/>
      <c r="BY2" s="1346"/>
      <c r="BZ2" s="1346"/>
      <c r="CA2" s="1346"/>
      <c r="CB2" s="1346"/>
      <c r="CC2" s="1346"/>
      <c r="CD2" s="1346"/>
      <c r="CE2" s="1346"/>
      <c r="CF2" s="1346"/>
      <c r="CG2" s="1346"/>
      <c r="CH2" s="1346"/>
      <c r="CI2" s="1346"/>
      <c r="CJ2" s="1346"/>
      <c r="CK2" s="1346"/>
      <c r="CL2" s="1346"/>
      <c r="CM2" s="1346"/>
      <c r="CN2" s="1346"/>
      <c r="CO2" s="1346"/>
      <c r="CP2" s="1346"/>
      <c r="CQ2" s="1346"/>
      <c r="CR2" s="1346"/>
      <c r="CS2" s="1346"/>
      <c r="CT2" s="1346"/>
      <c r="CU2" s="1346"/>
      <c r="CV2" s="1346"/>
      <c r="CW2" s="1346"/>
      <c r="CX2" s="1346"/>
      <c r="CY2" s="1346"/>
      <c r="CZ2" s="1346"/>
      <c r="DA2" s="1346"/>
      <c r="DB2" s="1346"/>
      <c r="DC2" s="1346"/>
      <c r="DD2" s="1346"/>
      <c r="DE2" s="1346"/>
      <c r="DF2" s="1346"/>
      <c r="DG2" s="1346"/>
      <c r="DH2" s="1346"/>
      <c r="DI2" s="1346"/>
      <c r="DJ2" s="1346"/>
      <c r="DK2" s="1346"/>
      <c r="DL2" s="1346"/>
      <c r="DM2" s="1346"/>
      <c r="DN2" s="1346"/>
      <c r="DO2" s="1346"/>
      <c r="DP2" s="1346"/>
      <c r="DQ2" s="1346"/>
      <c r="DR2" s="1346"/>
      <c r="DS2" s="1346"/>
      <c r="DT2" s="1346"/>
      <c r="DU2" s="1346"/>
      <c r="DV2" s="1346"/>
      <c r="DW2" s="1346"/>
      <c r="DX2" s="1346"/>
      <c r="DY2" s="1346"/>
      <c r="DZ2" s="1346"/>
      <c r="EA2" s="1346"/>
      <c r="EB2" s="1346"/>
      <c r="EC2" s="1346"/>
      <c r="ED2" s="1346"/>
      <c r="EE2" s="1346"/>
      <c r="EF2" s="1346"/>
    </row>
    <row r="3" spans="1:143" ht="26.25" hidden="1">
      <c r="A3" s="1346" t="s">
        <v>557</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c r="AT3" s="1346"/>
      <c r="AU3" s="1346"/>
      <c r="AV3" s="1346"/>
      <c r="AW3" s="1346"/>
      <c r="AX3" s="1346"/>
      <c r="AY3" s="1346"/>
      <c r="AZ3" s="1346"/>
      <c r="BA3" s="1346"/>
      <c r="BB3" s="1346"/>
      <c r="BC3" s="1346"/>
      <c r="BD3" s="1346"/>
      <c r="BE3" s="1346"/>
      <c r="BF3" s="1346"/>
      <c r="BG3" s="1346"/>
      <c r="BH3" s="1346"/>
      <c r="BI3" s="1346"/>
      <c r="BJ3" s="1346"/>
      <c r="BK3" s="1346"/>
      <c r="BL3" s="1346"/>
      <c r="BM3" s="1346"/>
      <c r="BN3" s="1346"/>
      <c r="BO3" s="1346"/>
      <c r="BP3" s="1346"/>
      <c r="BQ3" s="1346"/>
      <c r="BR3" s="1346"/>
      <c r="BS3" s="1346"/>
      <c r="BT3" s="1346"/>
      <c r="BU3" s="1346"/>
      <c r="BV3" s="1346"/>
      <c r="BW3" s="1346"/>
      <c r="BX3" s="1346"/>
      <c r="BY3" s="1346"/>
      <c r="BZ3" s="1346"/>
      <c r="CA3" s="1346"/>
      <c r="CB3" s="1346"/>
      <c r="CC3" s="1346"/>
      <c r="CD3" s="1346"/>
      <c r="CE3" s="1346"/>
      <c r="CF3" s="1346"/>
      <c r="CG3" s="1346"/>
      <c r="CH3" s="1346"/>
      <c r="CI3" s="1346"/>
      <c r="CJ3" s="1346"/>
      <c r="CK3" s="1346"/>
      <c r="CL3" s="1346"/>
      <c r="CM3" s="1346"/>
      <c r="CN3" s="1346"/>
      <c r="CO3" s="1346"/>
      <c r="CP3" s="1346"/>
      <c r="CQ3" s="1346"/>
      <c r="CR3" s="1346"/>
      <c r="CS3" s="1346"/>
      <c r="CT3" s="1346"/>
      <c r="CU3" s="1346"/>
      <c r="CV3" s="1346"/>
      <c r="CW3" s="1346"/>
      <c r="CX3" s="1346"/>
      <c r="CY3" s="1346"/>
      <c r="CZ3" s="1346"/>
      <c r="DA3" s="1346"/>
      <c r="DB3" s="1346"/>
      <c r="DC3" s="1346"/>
      <c r="DD3" s="1346"/>
      <c r="DE3" s="1346"/>
      <c r="DF3" s="1346"/>
      <c r="DG3" s="1346"/>
      <c r="DH3" s="1346"/>
      <c r="DI3" s="1346"/>
      <c r="DJ3" s="1346"/>
      <c r="DK3" s="1346"/>
      <c r="DL3" s="1346"/>
      <c r="DM3" s="1346"/>
      <c r="DN3" s="1346"/>
      <c r="DO3" s="1346"/>
      <c r="DP3" s="1346"/>
      <c r="DQ3" s="1346"/>
      <c r="DR3" s="1346"/>
      <c r="DS3" s="1346"/>
      <c r="DT3" s="1346"/>
      <c r="DU3" s="1346"/>
      <c r="DV3" s="1346"/>
      <c r="DW3" s="1346"/>
      <c r="DX3" s="1346"/>
      <c r="DY3" s="1346"/>
      <c r="DZ3" s="1346"/>
      <c r="EA3" s="1346"/>
      <c r="EB3" s="1346"/>
      <c r="EC3" s="1346"/>
      <c r="ED3" s="1346"/>
      <c r="EE3" s="1346"/>
      <c r="EF3" s="1346"/>
    </row>
    <row r="4" spans="1:143" ht="15" hidden="1" customHeight="1">
      <c r="A4" s="1347"/>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c r="BN4" s="1347"/>
      <c r="BO4" s="1347"/>
      <c r="BP4" s="1347"/>
      <c r="BQ4" s="1347"/>
      <c r="BR4" s="1347"/>
      <c r="BS4" s="1347"/>
      <c r="BT4" s="1347"/>
      <c r="BU4" s="1347"/>
      <c r="BV4" s="1347"/>
      <c r="BW4" s="1347"/>
      <c r="BX4" s="1347"/>
      <c r="BY4" s="1347"/>
      <c r="BZ4" s="1347"/>
      <c r="CA4" s="1347"/>
      <c r="CB4" s="1347"/>
      <c r="CC4" s="1347"/>
      <c r="CD4" s="1347"/>
      <c r="CE4" s="1347"/>
      <c r="CF4" s="1347"/>
      <c r="CG4" s="1347"/>
      <c r="CH4" s="1347"/>
      <c r="CI4" s="1347"/>
      <c r="CJ4" s="1347"/>
      <c r="CK4" s="1347"/>
      <c r="CL4" s="1347"/>
      <c r="CM4" s="1347"/>
      <c r="CN4" s="1347"/>
      <c r="CO4" s="1347"/>
      <c r="CP4" s="1347"/>
      <c r="CQ4" s="1347"/>
      <c r="CR4" s="1347"/>
      <c r="CS4" s="1347"/>
      <c r="CT4" s="1347"/>
      <c r="CU4" s="1347"/>
      <c r="CV4" s="1347"/>
      <c r="CW4" s="1347"/>
      <c r="CX4" s="1347"/>
      <c r="CY4" s="1347"/>
      <c r="CZ4" s="1347"/>
      <c r="DA4" s="1347"/>
      <c r="DB4" s="1347"/>
      <c r="DC4" s="1347"/>
      <c r="DD4" s="1347"/>
      <c r="DE4" s="1347"/>
      <c r="DF4" s="1347"/>
      <c r="DG4" s="1347"/>
      <c r="DH4" s="1347"/>
      <c r="DI4" s="1347"/>
      <c r="DJ4" s="1347"/>
      <c r="DK4" s="1347"/>
      <c r="DL4" s="1347"/>
      <c r="DM4" s="1347"/>
      <c r="DN4" s="1347"/>
      <c r="DO4" s="1347"/>
      <c r="DP4" s="1347"/>
      <c r="DQ4" s="1347"/>
      <c r="DR4" s="1347"/>
      <c r="DS4" s="1347"/>
      <c r="DT4" s="1347"/>
      <c r="DU4" s="1347"/>
      <c r="DV4" s="1347"/>
      <c r="DW4" s="1347"/>
      <c r="DX4" s="1347"/>
      <c r="DY4" s="1347"/>
      <c r="DZ4" s="1347"/>
      <c r="EA4" s="1347"/>
      <c r="EB4" s="1347"/>
      <c r="EC4" s="1347"/>
      <c r="ED4" s="1347"/>
      <c r="EE4" s="1347"/>
      <c r="EF4" s="1347"/>
    </row>
    <row r="5" spans="1:143" ht="15" hidden="1" customHeight="1" thickBot="1">
      <c r="A5" s="521"/>
    </row>
    <row r="6" spans="1:143" ht="30" customHeight="1">
      <c r="A6" s="1337" t="s">
        <v>182</v>
      </c>
      <c r="B6" s="1335">
        <v>43831</v>
      </c>
      <c r="C6" s="1335"/>
      <c r="D6" s="1335"/>
      <c r="E6" s="1335"/>
      <c r="F6" s="1335"/>
      <c r="G6" s="1336">
        <v>43466</v>
      </c>
      <c r="H6" s="1336"/>
      <c r="I6" s="1336"/>
      <c r="J6" s="1336"/>
      <c r="K6" s="1336"/>
      <c r="L6" s="1335">
        <v>43862</v>
      </c>
      <c r="M6" s="1335"/>
      <c r="N6" s="1335"/>
      <c r="O6" s="1335"/>
      <c r="P6" s="1335"/>
      <c r="Q6" s="1336">
        <v>43497</v>
      </c>
      <c r="R6" s="1336"/>
      <c r="S6" s="1336"/>
      <c r="T6" s="1336"/>
      <c r="U6" s="1336"/>
      <c r="V6" s="1335">
        <v>43891</v>
      </c>
      <c r="W6" s="1335"/>
      <c r="X6" s="1335"/>
      <c r="Y6" s="1335"/>
      <c r="Z6" s="1335"/>
      <c r="AA6" s="1336">
        <v>43525</v>
      </c>
      <c r="AB6" s="1336"/>
      <c r="AC6" s="1336"/>
      <c r="AD6" s="1336"/>
      <c r="AE6" s="1336"/>
      <c r="AF6" s="1335">
        <v>43922</v>
      </c>
      <c r="AG6" s="1335"/>
      <c r="AH6" s="1335"/>
      <c r="AI6" s="1335"/>
      <c r="AJ6" s="1335"/>
      <c r="AK6" s="1336">
        <v>43556</v>
      </c>
      <c r="AL6" s="1336"/>
      <c r="AM6" s="1336"/>
      <c r="AN6" s="1336"/>
      <c r="AO6" s="1336"/>
      <c r="AP6" s="1335">
        <v>43952</v>
      </c>
      <c r="AQ6" s="1335"/>
      <c r="AR6" s="1335"/>
      <c r="AS6" s="1335"/>
      <c r="AT6" s="1335"/>
      <c r="AU6" s="1336">
        <v>43586</v>
      </c>
      <c r="AV6" s="1336"/>
      <c r="AW6" s="1336"/>
      <c r="AX6" s="1336"/>
      <c r="AY6" s="1336"/>
      <c r="AZ6" s="1335">
        <v>43983</v>
      </c>
      <c r="BA6" s="1335"/>
      <c r="BB6" s="1335"/>
      <c r="BC6" s="1335"/>
      <c r="BD6" s="1335"/>
      <c r="BE6" s="1336">
        <v>43617</v>
      </c>
      <c r="BF6" s="1336"/>
      <c r="BG6" s="1336"/>
      <c r="BH6" s="1336"/>
      <c r="BI6" s="1336"/>
      <c r="BJ6" s="1335">
        <v>44013</v>
      </c>
      <c r="BK6" s="1335"/>
      <c r="BL6" s="1335"/>
      <c r="BM6" s="1335"/>
      <c r="BN6" s="1335"/>
      <c r="BO6" s="1336">
        <v>43647</v>
      </c>
      <c r="BP6" s="1336"/>
      <c r="BQ6" s="1336"/>
      <c r="BR6" s="1336"/>
      <c r="BS6" s="1336"/>
      <c r="BT6" s="1335">
        <v>44044</v>
      </c>
      <c r="BU6" s="1335"/>
      <c r="BV6" s="1335"/>
      <c r="BW6" s="1335"/>
      <c r="BX6" s="1335"/>
      <c r="BY6" s="1336">
        <v>43678</v>
      </c>
      <c r="BZ6" s="1336"/>
      <c r="CA6" s="1336"/>
      <c r="CB6" s="1336"/>
      <c r="CC6" s="1336"/>
      <c r="CD6" s="1335">
        <v>44075</v>
      </c>
      <c r="CE6" s="1335"/>
      <c r="CF6" s="1335"/>
      <c r="CG6" s="1335"/>
      <c r="CH6" s="1335"/>
      <c r="CI6" s="1336">
        <v>43709</v>
      </c>
      <c r="CJ6" s="1336"/>
      <c r="CK6" s="1336"/>
      <c r="CL6" s="1336"/>
      <c r="CM6" s="1336"/>
      <c r="CN6" s="1335">
        <v>44105</v>
      </c>
      <c r="CO6" s="1335"/>
      <c r="CP6" s="1335"/>
      <c r="CQ6" s="1335"/>
      <c r="CR6" s="1335"/>
      <c r="CS6" s="1336">
        <v>43739</v>
      </c>
      <c r="CT6" s="1336"/>
      <c r="CU6" s="1336"/>
      <c r="CV6" s="1336"/>
      <c r="CW6" s="1336"/>
      <c r="CX6" s="1335">
        <v>44136</v>
      </c>
      <c r="CY6" s="1335"/>
      <c r="CZ6" s="1335"/>
      <c r="DA6" s="1335"/>
      <c r="DB6" s="1335"/>
      <c r="DC6" s="1336">
        <v>43770</v>
      </c>
      <c r="DD6" s="1336"/>
      <c r="DE6" s="1336"/>
      <c r="DF6" s="1336"/>
      <c r="DG6" s="1336"/>
      <c r="DH6" s="1335">
        <v>44166</v>
      </c>
      <c r="DI6" s="1335"/>
      <c r="DJ6" s="1335"/>
      <c r="DK6" s="1335"/>
      <c r="DL6" s="1335"/>
      <c r="DM6" s="1336">
        <v>43800</v>
      </c>
      <c r="DN6" s="1336"/>
      <c r="DO6" s="1336"/>
      <c r="DP6" s="1336"/>
      <c r="DQ6" s="1345"/>
      <c r="DR6" s="1339" t="s">
        <v>1150</v>
      </c>
      <c r="DS6" s="1340"/>
      <c r="DT6" s="1340"/>
      <c r="DU6" s="1340"/>
      <c r="DV6" s="1341"/>
      <c r="DW6" s="1342" t="s">
        <v>1151</v>
      </c>
      <c r="DX6" s="1343"/>
      <c r="DY6" s="1343"/>
      <c r="DZ6" s="1343"/>
      <c r="EA6" s="1344"/>
      <c r="EB6" s="1342" t="s">
        <v>556</v>
      </c>
      <c r="EC6" s="1343"/>
      <c r="ED6" s="1343"/>
      <c r="EE6" s="1343"/>
      <c r="EF6" s="1344"/>
    </row>
    <row r="7" spans="1:143" ht="30">
      <c r="A7" s="1338"/>
      <c r="B7" s="568" t="s">
        <v>183</v>
      </c>
      <c r="C7" s="568" t="s">
        <v>184</v>
      </c>
      <c r="D7" s="568" t="s">
        <v>28</v>
      </c>
      <c r="E7" s="568" t="s">
        <v>142</v>
      </c>
      <c r="F7" s="568" t="s">
        <v>128</v>
      </c>
      <c r="G7" s="568" t="s">
        <v>183</v>
      </c>
      <c r="H7" s="568" t="s">
        <v>184</v>
      </c>
      <c r="I7" s="568" t="s">
        <v>28</v>
      </c>
      <c r="J7" s="568" t="s">
        <v>142</v>
      </c>
      <c r="K7" s="568" t="s">
        <v>128</v>
      </c>
      <c r="L7" s="568" t="s">
        <v>183</v>
      </c>
      <c r="M7" s="568" t="s">
        <v>184</v>
      </c>
      <c r="N7" s="568" t="s">
        <v>28</v>
      </c>
      <c r="O7" s="568" t="s">
        <v>142</v>
      </c>
      <c r="P7" s="568" t="s">
        <v>128</v>
      </c>
      <c r="Q7" s="568" t="s">
        <v>183</v>
      </c>
      <c r="R7" s="568" t="s">
        <v>184</v>
      </c>
      <c r="S7" s="568" t="s">
        <v>28</v>
      </c>
      <c r="T7" s="568" t="s">
        <v>142</v>
      </c>
      <c r="U7" s="568" t="s">
        <v>128</v>
      </c>
      <c r="V7" s="568" t="s">
        <v>183</v>
      </c>
      <c r="W7" s="568" t="s">
        <v>184</v>
      </c>
      <c r="X7" s="568" t="s">
        <v>28</v>
      </c>
      <c r="Y7" s="568" t="s">
        <v>142</v>
      </c>
      <c r="Z7" s="568" t="s">
        <v>128</v>
      </c>
      <c r="AA7" s="568" t="s">
        <v>183</v>
      </c>
      <c r="AB7" s="568" t="s">
        <v>184</v>
      </c>
      <c r="AC7" s="568" t="s">
        <v>28</v>
      </c>
      <c r="AD7" s="568" t="s">
        <v>142</v>
      </c>
      <c r="AE7" s="568" t="s">
        <v>128</v>
      </c>
      <c r="AF7" s="568" t="s">
        <v>183</v>
      </c>
      <c r="AG7" s="568" t="s">
        <v>184</v>
      </c>
      <c r="AH7" s="568" t="s">
        <v>28</v>
      </c>
      <c r="AI7" s="568" t="s">
        <v>142</v>
      </c>
      <c r="AJ7" s="568" t="s">
        <v>128</v>
      </c>
      <c r="AK7" s="568" t="s">
        <v>183</v>
      </c>
      <c r="AL7" s="568" t="s">
        <v>184</v>
      </c>
      <c r="AM7" s="568" t="s">
        <v>28</v>
      </c>
      <c r="AN7" s="568" t="s">
        <v>142</v>
      </c>
      <c r="AO7" s="568" t="s">
        <v>128</v>
      </c>
      <c r="AP7" s="568" t="s">
        <v>183</v>
      </c>
      <c r="AQ7" s="568" t="s">
        <v>184</v>
      </c>
      <c r="AR7" s="568" t="s">
        <v>28</v>
      </c>
      <c r="AS7" s="568" t="s">
        <v>142</v>
      </c>
      <c r="AT7" s="568" t="s">
        <v>128</v>
      </c>
      <c r="AU7" s="568" t="s">
        <v>183</v>
      </c>
      <c r="AV7" s="568" t="s">
        <v>184</v>
      </c>
      <c r="AW7" s="568" t="s">
        <v>28</v>
      </c>
      <c r="AX7" s="568" t="s">
        <v>142</v>
      </c>
      <c r="AY7" s="568" t="s">
        <v>128</v>
      </c>
      <c r="AZ7" s="568" t="s">
        <v>183</v>
      </c>
      <c r="BA7" s="568" t="s">
        <v>184</v>
      </c>
      <c r="BB7" s="568" t="s">
        <v>28</v>
      </c>
      <c r="BC7" s="568" t="s">
        <v>142</v>
      </c>
      <c r="BD7" s="568" t="s">
        <v>128</v>
      </c>
      <c r="BE7" s="568" t="s">
        <v>183</v>
      </c>
      <c r="BF7" s="568" t="s">
        <v>184</v>
      </c>
      <c r="BG7" s="568" t="s">
        <v>28</v>
      </c>
      <c r="BH7" s="568" t="s">
        <v>142</v>
      </c>
      <c r="BI7" s="568" t="s">
        <v>128</v>
      </c>
      <c r="BJ7" s="568" t="s">
        <v>183</v>
      </c>
      <c r="BK7" s="568" t="s">
        <v>184</v>
      </c>
      <c r="BL7" s="568" t="s">
        <v>28</v>
      </c>
      <c r="BM7" s="568" t="s">
        <v>142</v>
      </c>
      <c r="BN7" s="568" t="s">
        <v>128</v>
      </c>
      <c r="BO7" s="568" t="s">
        <v>183</v>
      </c>
      <c r="BP7" s="568" t="s">
        <v>184</v>
      </c>
      <c r="BQ7" s="568" t="s">
        <v>28</v>
      </c>
      <c r="BR7" s="568" t="s">
        <v>142</v>
      </c>
      <c r="BS7" s="568" t="s">
        <v>128</v>
      </c>
      <c r="BT7" s="568" t="s">
        <v>183</v>
      </c>
      <c r="BU7" s="568" t="s">
        <v>184</v>
      </c>
      <c r="BV7" s="568" t="s">
        <v>28</v>
      </c>
      <c r="BW7" s="568" t="s">
        <v>142</v>
      </c>
      <c r="BX7" s="568" t="s">
        <v>128</v>
      </c>
      <c r="BY7" s="568" t="s">
        <v>183</v>
      </c>
      <c r="BZ7" s="568" t="s">
        <v>184</v>
      </c>
      <c r="CA7" s="568" t="s">
        <v>28</v>
      </c>
      <c r="CB7" s="568" t="s">
        <v>142</v>
      </c>
      <c r="CC7" s="568" t="s">
        <v>128</v>
      </c>
      <c r="CD7" s="568" t="s">
        <v>183</v>
      </c>
      <c r="CE7" s="568" t="s">
        <v>184</v>
      </c>
      <c r="CF7" s="568" t="s">
        <v>28</v>
      </c>
      <c r="CG7" s="568" t="s">
        <v>142</v>
      </c>
      <c r="CH7" s="568" t="s">
        <v>128</v>
      </c>
      <c r="CI7" s="568" t="s">
        <v>183</v>
      </c>
      <c r="CJ7" s="568" t="s">
        <v>184</v>
      </c>
      <c r="CK7" s="568" t="s">
        <v>28</v>
      </c>
      <c r="CL7" s="568" t="s">
        <v>142</v>
      </c>
      <c r="CM7" s="568" t="s">
        <v>128</v>
      </c>
      <c r="CN7" s="568" t="s">
        <v>183</v>
      </c>
      <c r="CO7" s="568" t="s">
        <v>184</v>
      </c>
      <c r="CP7" s="568" t="s">
        <v>28</v>
      </c>
      <c r="CQ7" s="568" t="s">
        <v>142</v>
      </c>
      <c r="CR7" s="568" t="s">
        <v>128</v>
      </c>
      <c r="CS7" s="568" t="s">
        <v>183</v>
      </c>
      <c r="CT7" s="568" t="s">
        <v>184</v>
      </c>
      <c r="CU7" s="568" t="s">
        <v>28</v>
      </c>
      <c r="CV7" s="568" t="s">
        <v>142</v>
      </c>
      <c r="CW7" s="568" t="s">
        <v>128</v>
      </c>
      <c r="CX7" s="568" t="s">
        <v>183</v>
      </c>
      <c r="CY7" s="568" t="s">
        <v>184</v>
      </c>
      <c r="CZ7" s="568" t="s">
        <v>28</v>
      </c>
      <c r="DA7" s="568" t="s">
        <v>142</v>
      </c>
      <c r="DB7" s="568" t="s">
        <v>128</v>
      </c>
      <c r="DC7" s="568" t="s">
        <v>183</v>
      </c>
      <c r="DD7" s="568" t="s">
        <v>184</v>
      </c>
      <c r="DE7" s="568" t="s">
        <v>28</v>
      </c>
      <c r="DF7" s="568" t="s">
        <v>142</v>
      </c>
      <c r="DG7" s="568" t="s">
        <v>128</v>
      </c>
      <c r="DH7" s="568" t="s">
        <v>183</v>
      </c>
      <c r="DI7" s="568" t="s">
        <v>184</v>
      </c>
      <c r="DJ7" s="568" t="s">
        <v>28</v>
      </c>
      <c r="DK7" s="568" t="s">
        <v>142</v>
      </c>
      <c r="DL7" s="568" t="s">
        <v>128</v>
      </c>
      <c r="DM7" s="568" t="s">
        <v>183</v>
      </c>
      <c r="DN7" s="568" t="s">
        <v>184</v>
      </c>
      <c r="DO7" s="568" t="s">
        <v>28</v>
      </c>
      <c r="DP7" s="568" t="s">
        <v>142</v>
      </c>
      <c r="DQ7" s="567" t="s">
        <v>128</v>
      </c>
      <c r="DR7" s="569" t="s">
        <v>183</v>
      </c>
      <c r="DS7" s="568" t="s">
        <v>184</v>
      </c>
      <c r="DT7" s="568" t="s">
        <v>28</v>
      </c>
      <c r="DU7" s="568" t="s">
        <v>142</v>
      </c>
      <c r="DV7" s="568" t="s">
        <v>128</v>
      </c>
      <c r="DW7" s="568" t="s">
        <v>183</v>
      </c>
      <c r="DX7" s="568" t="s">
        <v>184</v>
      </c>
      <c r="DY7" s="568" t="s">
        <v>28</v>
      </c>
      <c r="DZ7" s="568" t="s">
        <v>142</v>
      </c>
      <c r="EA7" s="567" t="s">
        <v>128</v>
      </c>
      <c r="EB7" s="566" t="s">
        <v>183</v>
      </c>
      <c r="EC7" s="565" t="s">
        <v>184</v>
      </c>
      <c r="ED7" s="565" t="s">
        <v>28</v>
      </c>
      <c r="EE7" s="565" t="s">
        <v>142</v>
      </c>
      <c r="EF7" s="564" t="s">
        <v>128</v>
      </c>
    </row>
    <row r="8" spans="1:143">
      <c r="A8" s="556" t="s">
        <v>87</v>
      </c>
      <c r="B8" s="553">
        <f>'Anuid PF'!O7+'Anuid PF'!P7</f>
        <v>18410.887999999999</v>
      </c>
      <c r="C8" s="553">
        <f>'Anuid PJ'!L6+'Anuid PJ'!M6</f>
        <v>3117.5840000000007</v>
      </c>
      <c r="D8" s="553">
        <f>RRT!I5</f>
        <v>14855.224</v>
      </c>
      <c r="E8" s="553">
        <f>'TAXAS E MULTAS.'!C4</f>
        <v>1657.2000000000003</v>
      </c>
      <c r="F8" s="554">
        <f t="shared" ref="F8:F37" si="0">SUM(B8:E8)</f>
        <v>38040.896000000001</v>
      </c>
      <c r="G8" s="553">
        <v>21927.704000000002</v>
      </c>
      <c r="H8" s="553">
        <v>2836.0000000000005</v>
      </c>
      <c r="I8" s="553">
        <v>7413.5360000000001</v>
      </c>
      <c r="J8" s="553">
        <v>1675.2640000000004</v>
      </c>
      <c r="K8" s="554">
        <f t="shared" ref="K8:K34" si="1">SUM(G8:J8)</f>
        <v>33852.504000000001</v>
      </c>
      <c r="L8" s="553">
        <f>'Anuid PF'!Q7+'Anuid PF'!R7</f>
        <v>22655.975999999999</v>
      </c>
      <c r="M8" s="553">
        <f>'Anuid PJ'!N6+'Anuid PJ'!O6</f>
        <v>3998.5439999999999</v>
      </c>
      <c r="N8" s="553">
        <f>RRT!J5</f>
        <v>14104.800000000001</v>
      </c>
      <c r="O8" s="553">
        <f>'TAXAS E MULTAS.'!D4</f>
        <v>1784.0319999999999</v>
      </c>
      <c r="P8" s="554">
        <f t="shared" ref="P8:P34" si="2">SUM(L8:O8)</f>
        <v>42543.351999999999</v>
      </c>
      <c r="Q8" s="553">
        <v>19023.496000000003</v>
      </c>
      <c r="R8" s="562">
        <v>2623.6400000000003</v>
      </c>
      <c r="S8" s="553">
        <v>11143.776</v>
      </c>
      <c r="T8" s="553">
        <v>857.92000000000007</v>
      </c>
      <c r="U8" s="554">
        <f t="shared" ref="U8:U34" si="3">SUM(Q8:T8)</f>
        <v>33648.832000000002</v>
      </c>
      <c r="V8" s="553">
        <f>'Anuid PF'!S7+'Anuid PF'!T7</f>
        <v>17828.216</v>
      </c>
      <c r="W8" s="553">
        <f>'Anuid PJ'!P6+'Anuid PJ'!Q6</f>
        <v>2551.1120000000001</v>
      </c>
      <c r="X8" s="553">
        <f>RRT!K5</f>
        <v>14165.448000000002</v>
      </c>
      <c r="Y8" s="553">
        <f>'TAXAS E MULTAS.'!E4</f>
        <v>1948.992</v>
      </c>
      <c r="Z8" s="554">
        <f t="shared" ref="Z8:Z34" si="4">SUM(V8:Y8)</f>
        <v>36493.768000000004</v>
      </c>
      <c r="AA8" s="553">
        <v>11885.008</v>
      </c>
      <c r="AB8" s="562">
        <v>2038.8400000000001</v>
      </c>
      <c r="AC8" s="553">
        <v>10840.544000000002</v>
      </c>
      <c r="AD8" s="553">
        <v>1662.992</v>
      </c>
      <c r="AE8" s="554">
        <f t="shared" ref="AE8:AE34" si="5">SUM(AA8:AD8)</f>
        <v>26427.383999999998</v>
      </c>
      <c r="AF8" s="553">
        <f>'Anuid PF'!U7+'Anuid PF'!V7</f>
        <v>7252.8000000000011</v>
      </c>
      <c r="AG8" s="553">
        <f>'Anuid PJ'!R6+'Anuid PJ'!S6</f>
        <v>695.04000000000008</v>
      </c>
      <c r="AH8" s="553">
        <f>RRT!L5</f>
        <v>7836</v>
      </c>
      <c r="AI8" s="553">
        <f>'TAXAS E MULTAS.'!F4</f>
        <v>693.32800000000009</v>
      </c>
      <c r="AJ8" s="554">
        <f t="shared" ref="AJ8:AJ34" si="6">SUM(AF8:AI8)</f>
        <v>16477.168000000001</v>
      </c>
      <c r="AK8" s="553">
        <f>AF47</f>
        <v>15899.120000000003</v>
      </c>
      <c r="AL8" s="553">
        <f t="shared" ref="AL8:AN8" si="7">AG47</f>
        <v>2130.8719999999998</v>
      </c>
      <c r="AM8" s="553">
        <f t="shared" si="7"/>
        <v>15009.984</v>
      </c>
      <c r="AN8" s="553">
        <f t="shared" si="7"/>
        <v>1283.3040000000001</v>
      </c>
      <c r="AO8" s="554">
        <f t="shared" ref="AO8:AO34" si="8">SUM(AK8:AN8)</f>
        <v>34323.279999999999</v>
      </c>
      <c r="AP8" s="553">
        <f>'Anuid PF'!W7+'Anuid PF'!X7</f>
        <v>6399.2800000000007</v>
      </c>
      <c r="AQ8" s="553">
        <f>'Anuid PJ'!T6+'Anuid PJ'!U6</f>
        <v>1559.16</v>
      </c>
      <c r="AR8" s="553">
        <f>RRT!M5</f>
        <v>11048.760000000002</v>
      </c>
      <c r="AS8" s="553">
        <f>'TAXAS E MULTAS.'!G4</f>
        <v>2495.7440000000001</v>
      </c>
      <c r="AT8" s="554">
        <f t="shared" ref="AT8:AT34" si="9">SUM(AP8:AS8)</f>
        <v>21502.944000000003</v>
      </c>
      <c r="AU8" s="553">
        <f>AP47</f>
        <v>19563.495999999999</v>
      </c>
      <c r="AV8" s="553">
        <f t="shared" ref="AV8:AX8" si="10">AQ47</f>
        <v>3285.8720000000003</v>
      </c>
      <c r="AW8" s="553">
        <f t="shared" si="10"/>
        <v>17435.84</v>
      </c>
      <c r="AX8" s="553">
        <f t="shared" si="10"/>
        <v>1981.92</v>
      </c>
      <c r="AY8" s="554">
        <f t="shared" ref="AY8:AY34" si="11">SUM(AU8:AX8)</f>
        <v>42267.127999999997</v>
      </c>
      <c r="AZ8" s="553">
        <f>'Anuid PF'!Y7+'Anuid PF'!Z7</f>
        <v>11235.424000000003</v>
      </c>
      <c r="BA8" s="553">
        <f>'Anuid PJ'!V6+'Anuid PJ'!W6</f>
        <v>1834.4880000000003</v>
      </c>
      <c r="BB8" s="553">
        <f>RRT!N5</f>
        <v>13164.48</v>
      </c>
      <c r="BC8" s="553">
        <f>'TAXAS E MULTAS.'!H4</f>
        <v>2931.6960000000004</v>
      </c>
      <c r="BD8" s="554">
        <f t="shared" ref="BD8:BD34" si="12">SUM(AZ8:BC8)</f>
        <v>29166.088000000003</v>
      </c>
      <c r="BE8" s="553">
        <f>AZ47</f>
        <v>16698.912</v>
      </c>
      <c r="BF8" s="553">
        <f t="shared" ref="BF8:BH8" si="13">BA47</f>
        <v>3409.6559999999999</v>
      </c>
      <c r="BG8" s="553">
        <f t="shared" si="13"/>
        <v>12811.552000000001</v>
      </c>
      <c r="BH8" s="553">
        <f t="shared" si="13"/>
        <v>1539.9680000000001</v>
      </c>
      <c r="BI8" s="554">
        <f t="shared" ref="BI8:BI34" si="14">SUM(BE8:BH8)</f>
        <v>34460.088000000003</v>
      </c>
      <c r="BJ8" s="553">
        <f>'Anuid PF'!AA7+'Anuid PF'!AB7</f>
        <v>15267.008</v>
      </c>
      <c r="BK8" s="553">
        <f>'Anuid PJ'!X6+'Anuid PJ'!Y6</f>
        <v>1752.328</v>
      </c>
      <c r="BL8" s="553">
        <f>RRT!O5</f>
        <v>17631</v>
      </c>
      <c r="BM8" s="553">
        <f>'TAXAS E MULTAS.'!I4</f>
        <v>1272.9040000000002</v>
      </c>
      <c r="BN8" s="554">
        <f t="shared" ref="BN8:BN34" si="15">SUM(BJ8:BM8)</f>
        <v>35923.24</v>
      </c>
      <c r="BO8" s="553">
        <f>BJ47</f>
        <v>7390.4719999999998</v>
      </c>
      <c r="BP8" s="553">
        <f t="shared" ref="BP8:BR23" si="16">BK47</f>
        <v>1316.5520000000001</v>
      </c>
      <c r="BQ8" s="553">
        <f t="shared" si="16"/>
        <v>16677.760000000002</v>
      </c>
      <c r="BR8" s="553">
        <f t="shared" si="16"/>
        <v>1601.0080000000003</v>
      </c>
      <c r="BS8" s="554">
        <f t="shared" ref="BS8:BS34" si="17">SUM(BO8:BR8)</f>
        <v>26985.792000000001</v>
      </c>
      <c r="BT8" s="553">
        <f>'Anuid PF'!AC7+'Anuid PF'!AD7</f>
        <v>24039.88</v>
      </c>
      <c r="BU8" s="553">
        <f>'Anuid PJ'!Z6+'Anuid PJ'!AA6</f>
        <v>3047.5439999999999</v>
      </c>
      <c r="BV8" s="553">
        <f>RRT!P5</f>
        <v>23508</v>
      </c>
      <c r="BW8" s="553">
        <f>'TAXAS E MULTAS.'!J4</f>
        <v>2230.2800000000002</v>
      </c>
      <c r="BX8" s="554">
        <f t="shared" ref="BX8:BX34" si="18">SUM(BT8:BW8)</f>
        <v>52825.703999999998</v>
      </c>
      <c r="BY8" s="553">
        <f>BT47</f>
        <v>4787.0880000000006</v>
      </c>
      <c r="BZ8" s="553">
        <f t="shared" ref="BZ8:CB8" si="19">BU47</f>
        <v>1432.5920000000001</v>
      </c>
      <c r="CA8" s="553">
        <f t="shared" si="19"/>
        <v>16147.104000000001</v>
      </c>
      <c r="CB8" s="553">
        <f t="shared" si="19"/>
        <v>1148.68</v>
      </c>
      <c r="CC8" s="554">
        <f t="shared" ref="CC8:CC34" si="20">SUM(BY8:CB8)</f>
        <v>23515.464</v>
      </c>
      <c r="CD8" s="553">
        <f>'Anuid PF'!AE7+'Anuid PF'!AF7</f>
        <v>10586.112000000001</v>
      </c>
      <c r="CE8" s="553">
        <f>'Anuid PJ'!AB6+'Anuid PJ'!AC6</f>
        <v>1838.096</v>
      </c>
      <c r="CF8" s="553">
        <f>RRT!Q5</f>
        <v>28209.600000000002</v>
      </c>
      <c r="CG8" s="553">
        <f>'TAXAS E MULTAS.'!K4</f>
        <v>2638.5440000000008</v>
      </c>
      <c r="CH8" s="554">
        <f t="shared" ref="CH8:CH34" si="21">SUM(CD8:CG8)</f>
        <v>43272.352000000006</v>
      </c>
      <c r="CI8" s="553">
        <f>CD47</f>
        <v>3558.5040000000004</v>
      </c>
      <c r="CJ8" s="553">
        <f t="shared" ref="CJ8:CL8" si="22">CE47</f>
        <v>621.98400000000004</v>
      </c>
      <c r="CK8" s="553">
        <f t="shared" si="22"/>
        <v>16905.184000000001</v>
      </c>
      <c r="CL8" s="553">
        <f t="shared" si="22"/>
        <v>1516.52</v>
      </c>
      <c r="CM8" s="554">
        <f t="shared" ref="CM8:CM34" si="23">SUM(CI8:CL8)</f>
        <v>22602.192000000003</v>
      </c>
      <c r="CN8" s="553">
        <f>'Anuid PF'!AG7+'Anuid PF'!AH7</f>
        <v>10803.655999999999</v>
      </c>
      <c r="CO8" s="553">
        <f>'Anuid PJ'!AD6+'Anuid PJ'!AE6</f>
        <v>2150.3200000000002</v>
      </c>
      <c r="CP8" s="553">
        <f>RRT!R5</f>
        <v>24056.520000000004</v>
      </c>
      <c r="CQ8" s="553">
        <f>'TAXAS E MULTAS.'!L4</f>
        <v>2950.1840000000002</v>
      </c>
      <c r="CR8" s="554">
        <f t="shared" ref="CR8:CR34" si="24">SUM(CN8:CQ8)</f>
        <v>39960.68</v>
      </c>
      <c r="CS8" s="553">
        <f>CN47</f>
        <v>3618.92</v>
      </c>
      <c r="CT8" s="553">
        <f t="shared" ref="CT8:CV8" si="25">CO47</f>
        <v>807.53600000000006</v>
      </c>
      <c r="CU8" s="553">
        <f t="shared" si="25"/>
        <v>21605.279999999999</v>
      </c>
      <c r="CV8" s="553">
        <f t="shared" si="25"/>
        <v>2651.4880000000003</v>
      </c>
      <c r="CW8" s="554">
        <f t="shared" ref="CW8:CW34" si="26">SUM(CS8:CV8)</f>
        <v>28683.223999999998</v>
      </c>
      <c r="CX8" s="553">
        <f>'Anuid PF'!AI7+'Anuid PF'!AJ7</f>
        <v>4942.9120000000003</v>
      </c>
      <c r="CY8" s="553">
        <f>'Anuid PJ'!AF6+'Anuid PJ'!AG6</f>
        <v>1327.4079999999999</v>
      </c>
      <c r="CZ8" s="553">
        <f>RRT!S5</f>
        <v>20765.400000000001</v>
      </c>
      <c r="DA8" s="553">
        <f>'TAXAS E MULTAS.'!M4</f>
        <v>1446.4240000000004</v>
      </c>
      <c r="DB8" s="554">
        <f t="shared" ref="DB8:DB34" si="27">SUM(CX8:DA8)</f>
        <v>28482.144</v>
      </c>
      <c r="DC8" s="553">
        <f>CX47</f>
        <v>4652.5200000000004</v>
      </c>
      <c r="DD8" s="553">
        <f t="shared" ref="DD8:DF8" si="28">CY47</f>
        <v>1339.64</v>
      </c>
      <c r="DE8" s="553">
        <f t="shared" si="28"/>
        <v>15919.68</v>
      </c>
      <c r="DF8" s="553">
        <f t="shared" si="28"/>
        <v>4552.9920000000002</v>
      </c>
      <c r="DG8" s="554">
        <f t="shared" ref="DG8:DG34" si="29">SUM(DC8:DF8)</f>
        <v>26464.832000000002</v>
      </c>
      <c r="DH8" s="553">
        <f>'Anuid PF'!AK7+'Anuid PF'!AL7</f>
        <v>8293.503999999999</v>
      </c>
      <c r="DI8" s="553">
        <f>'Anuid PJ'!AH6+'Anuid PJ'!AI6</f>
        <v>167.61600000000001</v>
      </c>
      <c r="DJ8" s="553">
        <f>RRT!T5</f>
        <v>19981.800000000003</v>
      </c>
      <c r="DK8" s="553">
        <f>'TAXAS E MULTAS.'!N4</f>
        <v>2589.6640000000007</v>
      </c>
      <c r="DL8" s="554">
        <f t="shared" ref="DL8:DL34" si="30">SUM(DH8:DK8)</f>
        <v>31032.584000000003</v>
      </c>
      <c r="DM8" s="553">
        <f>DH47</f>
        <v>3439.752</v>
      </c>
      <c r="DN8" s="553">
        <f t="shared" ref="DN8:DP8" si="31">DI47</f>
        <v>1017.1120000000001</v>
      </c>
      <c r="DO8" s="553">
        <f t="shared" si="31"/>
        <v>16374.528</v>
      </c>
      <c r="DP8" s="553">
        <f t="shared" si="31"/>
        <v>2101.8399999999997</v>
      </c>
      <c r="DQ8" s="552">
        <f t="shared" ref="DQ8:DQ34" si="32">SUM(DM8:DP8)</f>
        <v>22933.232</v>
      </c>
      <c r="DR8" s="555">
        <f t="shared" ref="DR8:DR34" si="33">B8+L8+V8+AF8+AP8+AZ8+BJ8+BT8+CD8+CN8+CX8+DH8</f>
        <v>157715.65599999999</v>
      </c>
      <c r="DS8" s="553">
        <f t="shared" ref="DS8:DS34" si="34">C8+M8+W8+AG8+AQ8+BA8+BK8+BU8+CE8+CO8+CY8+DI8</f>
        <v>24039.240000000005</v>
      </c>
      <c r="DT8" s="553">
        <f t="shared" ref="DT8:DT34" si="35">D8+N8+X8+AH8+AR8+BB8+BL8+BV8+CF8+CP8+CZ8+DJ8</f>
        <v>209327.03200000001</v>
      </c>
      <c r="DU8" s="553">
        <f t="shared" ref="DU8:DU34" si="36">E8+O8+Y8+AI8+AS8+BC8+BM8+BW8+CG8+CQ8+DA8+DK8</f>
        <v>24638.992000000002</v>
      </c>
      <c r="DV8" s="554">
        <f t="shared" ref="DV8:DV34" si="37">SUM(DR8:DU8)</f>
        <v>415720.92000000004</v>
      </c>
      <c r="DW8" s="553">
        <f>G8+Q8+AA8+AK8+AU8+BE8+BO8+BY8+CI8+CS8+DC8+DM8</f>
        <v>132444.992</v>
      </c>
      <c r="DX8" s="553">
        <f t="shared" ref="DX8:DX34" si="38">H8+R8+AB8+AL8+AV8+BF8+BP8+BZ8+CJ889+CJ8+CT8+DD8+DN8</f>
        <v>22860.296000000002</v>
      </c>
      <c r="DY8" s="553">
        <f t="shared" ref="DY8:DY34" si="39">I8+S8+AC8+AM8+AW8+BG8+BQ8+CA8+CK889+CK8+CU8+DE8+DO8</f>
        <v>178284.76799999998</v>
      </c>
      <c r="DZ8" s="553">
        <f t="shared" ref="DZ8:DZ34" si="40">J8+T8+AD8+AN8+AX8+BH8+BR8+CB8+CL889+CL8+CV8+DF8+DP8</f>
        <v>22573.896000000004</v>
      </c>
      <c r="EA8" s="552">
        <f t="shared" ref="EA8:EA36" si="41">SUM(DW8:DZ8)</f>
        <v>356163.95199999999</v>
      </c>
      <c r="EB8" s="551">
        <f t="shared" ref="EB8:EB37" si="42">DR8/DW8*100-100</f>
        <v>19.080120447287257</v>
      </c>
      <c r="EC8" s="551">
        <f t="shared" ref="EC8:EC37" si="43">DS8/DX8*100-100</f>
        <v>5.1571685685959778</v>
      </c>
      <c r="ED8" s="551">
        <f t="shared" ref="ED8:ED37" si="44">DT8/DY8*100-100</f>
        <v>17.411618697565928</v>
      </c>
      <c r="EE8" s="551">
        <f t="shared" ref="EE8:EE37" si="45">DU8/DZ8*100-100</f>
        <v>9.1481594493037335</v>
      </c>
      <c r="EF8" s="550">
        <f t="shared" ref="EF8:EF37" si="46">DV8/EA8*100-100</f>
        <v>16.721784353965191</v>
      </c>
      <c r="EG8" s="561" t="str">
        <f>IF(EF8&lt;0,"menor","MAIOR")</f>
        <v>MAIOR</v>
      </c>
      <c r="EH8" s="563">
        <f>COUNTIF(EG8:EG34,"MAIOR")</f>
        <v>19</v>
      </c>
      <c r="EI8" s="522" t="s">
        <v>555</v>
      </c>
      <c r="EJ8" s="522"/>
      <c r="EK8" s="522"/>
      <c r="EL8" s="522"/>
      <c r="EM8" s="522"/>
    </row>
    <row r="9" spans="1:143">
      <c r="A9" s="556" t="s">
        <v>88</v>
      </c>
      <c r="B9" s="553">
        <f>'Anuid PF'!O8+'Anuid PF'!P8</f>
        <v>107745.45600000001</v>
      </c>
      <c r="C9" s="553">
        <f>'Anuid PJ'!L7+'Anuid PJ'!M7</f>
        <v>4926.0079999999998</v>
      </c>
      <c r="D9" s="553">
        <f>RRT!I6</f>
        <v>37533.688000000002</v>
      </c>
      <c r="E9" s="553">
        <f>'TAXAS E MULTAS.'!C5</f>
        <v>8492.5360000000001</v>
      </c>
      <c r="F9" s="554">
        <f t="shared" si="0"/>
        <v>158697.68799999999</v>
      </c>
      <c r="G9" s="553">
        <v>87066.751999999993</v>
      </c>
      <c r="H9" s="553">
        <v>4239.2640000000001</v>
      </c>
      <c r="I9" s="553">
        <v>30571.664000000004</v>
      </c>
      <c r="J9" s="553">
        <v>3987.1280000000002</v>
      </c>
      <c r="K9" s="554">
        <f t="shared" si="1"/>
        <v>125864.80799999999</v>
      </c>
      <c r="L9" s="553">
        <f>'Anuid PF'!Q8+'Anuid PF'!R8</f>
        <v>93402.33600000001</v>
      </c>
      <c r="M9" s="553">
        <f>'Anuid PJ'!N7+'Anuid PJ'!O7</f>
        <v>9047.728000000001</v>
      </c>
      <c r="N9" s="553">
        <f>RRT!J6</f>
        <v>39963.600000000006</v>
      </c>
      <c r="O9" s="553">
        <f>'TAXAS E MULTAS.'!D5</f>
        <v>5033.6800000000012</v>
      </c>
      <c r="P9" s="554">
        <f t="shared" si="2"/>
        <v>147447.34400000001</v>
      </c>
      <c r="Q9" s="553">
        <v>107810.152</v>
      </c>
      <c r="R9" s="562">
        <v>6932.6639999999998</v>
      </c>
      <c r="S9" s="553">
        <v>40178.240000000005</v>
      </c>
      <c r="T9" s="553">
        <v>5340.9120000000003</v>
      </c>
      <c r="U9" s="554">
        <f t="shared" si="3"/>
        <v>160261.96800000002</v>
      </c>
      <c r="V9" s="553">
        <f>'Anuid PF'!S8+'Anuid PF'!T8</f>
        <v>55543.256000000001</v>
      </c>
      <c r="W9" s="553">
        <f>'Anuid PJ'!P7+'Anuid PJ'!Q7</f>
        <v>1734.5039999999999</v>
      </c>
      <c r="X9" s="553">
        <f>RRT!K6</f>
        <v>40903.920000000006</v>
      </c>
      <c r="Y9" s="553">
        <f>'TAXAS E MULTAS.'!E5</f>
        <v>4618.384</v>
      </c>
      <c r="Z9" s="554">
        <f t="shared" si="4"/>
        <v>102800.06400000001</v>
      </c>
      <c r="AA9" s="553">
        <v>41235.416000000005</v>
      </c>
      <c r="AB9" s="562">
        <v>1111.104</v>
      </c>
      <c r="AC9" s="553">
        <v>34871.68</v>
      </c>
      <c r="AD9" s="553">
        <v>3228.6640000000002</v>
      </c>
      <c r="AE9" s="554">
        <f t="shared" si="5"/>
        <v>80446.864000000016</v>
      </c>
      <c r="AF9" s="553">
        <f>'Anuid PF'!U8+'Anuid PF'!V8</f>
        <v>27788.424000000003</v>
      </c>
      <c r="AG9" s="553">
        <f>'Anuid PJ'!R7+'Anuid PJ'!S7</f>
        <v>1253.1680000000001</v>
      </c>
      <c r="AH9" s="553">
        <f>RRT!L6</f>
        <v>30482.040000000005</v>
      </c>
      <c r="AI9" s="553">
        <f>'TAXAS E MULTAS.'!F5</f>
        <v>3787.4720000000002</v>
      </c>
      <c r="AJ9" s="554">
        <f t="shared" si="6"/>
        <v>63311.104000000014</v>
      </c>
      <c r="AK9" s="553">
        <f t="shared" ref="AK9:AK34" si="47">AF48</f>
        <v>45975.272000000012</v>
      </c>
      <c r="AL9" s="553">
        <f t="shared" ref="AL9:AL34" si="48">AG48</f>
        <v>1014.5839999999999</v>
      </c>
      <c r="AM9" s="553">
        <f t="shared" ref="AM9:AM34" si="49">AH48</f>
        <v>51473.632000000005</v>
      </c>
      <c r="AN9" s="553">
        <f t="shared" ref="AN9:AN34" si="50">AI48</f>
        <v>4215.68</v>
      </c>
      <c r="AO9" s="554">
        <f t="shared" si="8"/>
        <v>102679.16800000001</v>
      </c>
      <c r="AP9" s="553">
        <f>'Anuid PF'!W8+'Anuid PF'!X8</f>
        <v>25952.136000000006</v>
      </c>
      <c r="AQ9" s="553">
        <f>'Anuid PJ'!T7+'Anuid PJ'!U7</f>
        <v>1193.7760000000001</v>
      </c>
      <c r="AR9" s="553">
        <f>RRT!M6</f>
        <v>30403.68</v>
      </c>
      <c r="AS9" s="553">
        <f>'TAXAS E MULTAS.'!G5</f>
        <v>2855.6959999999999</v>
      </c>
      <c r="AT9" s="554">
        <f t="shared" si="9"/>
        <v>60405.288</v>
      </c>
      <c r="AU9" s="553">
        <f t="shared" ref="AU9:AU34" si="51">AP48</f>
        <v>50548.743999999999</v>
      </c>
      <c r="AV9" s="553">
        <f t="shared" ref="AV9:AV34" si="52">AQ48</f>
        <v>2307.904</v>
      </c>
      <c r="AW9" s="553">
        <f t="shared" ref="AW9:AW34" si="53">AR48</f>
        <v>51625.248</v>
      </c>
      <c r="AX9" s="553">
        <f t="shared" ref="AX9:AX34" si="54">AS48</f>
        <v>5075.3680000000004</v>
      </c>
      <c r="AY9" s="554">
        <f t="shared" si="11"/>
        <v>109557.26400000001</v>
      </c>
      <c r="AZ9" s="553">
        <f>'Anuid PF'!Y8+'Anuid PF'!Z8</f>
        <v>33293.296000000002</v>
      </c>
      <c r="BA9" s="553">
        <f>'Anuid PJ'!V7+'Anuid PJ'!W7</f>
        <v>480.28800000000001</v>
      </c>
      <c r="BB9" s="553">
        <f>RRT!N6</f>
        <v>34400.04</v>
      </c>
      <c r="BC9" s="553">
        <f>'TAXAS E MULTAS.'!H5</f>
        <v>3645.5840000000003</v>
      </c>
      <c r="BD9" s="554">
        <f t="shared" si="12"/>
        <v>71819.208000000013</v>
      </c>
      <c r="BE9" s="553">
        <f t="shared" ref="BE9:BE36" si="55">AZ48</f>
        <v>47030.848000000005</v>
      </c>
      <c r="BF9" s="553">
        <f t="shared" ref="BF9:BF34" si="56">BA48</f>
        <v>2491.384</v>
      </c>
      <c r="BG9" s="553">
        <f t="shared" ref="BG9:BG34" si="57">BB48</f>
        <v>40254.048000000003</v>
      </c>
      <c r="BH9" s="553">
        <f t="shared" ref="BH9:BH34" si="58">BC48</f>
        <v>4528.5120000000006</v>
      </c>
      <c r="BI9" s="554">
        <f t="shared" si="14"/>
        <v>94304.792000000001</v>
      </c>
      <c r="BJ9" s="553">
        <f>'Anuid PF'!AA8+'Anuid PF'!AB8</f>
        <v>60926.040000000008</v>
      </c>
      <c r="BK9" s="553">
        <f>'Anuid PJ'!X7+'Anuid PJ'!Y7</f>
        <v>2646.4479999999999</v>
      </c>
      <c r="BL9" s="553">
        <f>RRT!O6</f>
        <v>43489.8</v>
      </c>
      <c r="BM9" s="553">
        <f>'TAXAS E MULTAS.'!I5</f>
        <v>4303.6480000000001</v>
      </c>
      <c r="BN9" s="554">
        <f t="shared" si="15"/>
        <v>111365.936</v>
      </c>
      <c r="BO9" s="553">
        <f t="shared" ref="BO9:BO34" si="59">BJ48</f>
        <v>23675.08</v>
      </c>
      <c r="BP9" s="553">
        <f t="shared" si="16"/>
        <v>3212.7200000000003</v>
      </c>
      <c r="BQ9" s="553">
        <f t="shared" si="16"/>
        <v>50336.512000000002</v>
      </c>
      <c r="BR9" s="553">
        <f t="shared" si="16"/>
        <v>8022.4479999999994</v>
      </c>
      <c r="BS9" s="554">
        <f t="shared" si="17"/>
        <v>85246.760000000009</v>
      </c>
      <c r="BT9" s="553">
        <f>'Anuid PF'!AC8+'Anuid PF'!AD8</f>
        <v>66100.216000000015</v>
      </c>
      <c r="BU9" s="553">
        <f>'Anuid PJ'!Z7+'Anuid PJ'!AA7</f>
        <v>2238.1680000000001</v>
      </c>
      <c r="BV9" s="553">
        <f>RRT!P6</f>
        <v>50463.840000000011</v>
      </c>
      <c r="BW9" s="553">
        <f>'TAXAS E MULTAS.'!J5</f>
        <v>5400.9439999999995</v>
      </c>
      <c r="BX9" s="554">
        <f t="shared" si="18"/>
        <v>124203.16800000003</v>
      </c>
      <c r="BY9" s="553">
        <f t="shared" ref="BY9:BY34" si="60">BT48</f>
        <v>19563.408000000003</v>
      </c>
      <c r="BZ9" s="553">
        <f t="shared" ref="BZ9:BZ34" si="61">BU48</f>
        <v>1951.2880000000002</v>
      </c>
      <c r="CA9" s="553">
        <f t="shared" ref="CA9:CA34" si="62">BV48</f>
        <v>46621.920000000006</v>
      </c>
      <c r="CB9" s="553">
        <f t="shared" ref="CB9:CB34" si="63">BW48</f>
        <v>6177.6720000000005</v>
      </c>
      <c r="CC9" s="554">
        <f t="shared" si="20"/>
        <v>74314.288000000015</v>
      </c>
      <c r="CD9" s="553">
        <f>'Anuid PF'!AE8+'Anuid PF'!AF8</f>
        <v>32140.184000000001</v>
      </c>
      <c r="CE9" s="553">
        <f>'Anuid PJ'!AB7+'Anuid PJ'!AC7</f>
        <v>2712.4320000000002</v>
      </c>
      <c r="CF9" s="553">
        <f>RRT!Q6</f>
        <v>45448.800000000003</v>
      </c>
      <c r="CG9" s="553">
        <f>'TAXAS E MULTAS.'!K5</f>
        <v>7119.5039999999999</v>
      </c>
      <c r="CH9" s="554">
        <f t="shared" si="21"/>
        <v>87420.92</v>
      </c>
      <c r="CI9" s="553">
        <f t="shared" ref="CI9:CI34" si="64">CD48</f>
        <v>18698.632000000001</v>
      </c>
      <c r="CJ9" s="553">
        <f t="shared" ref="CJ9:CJ34" si="65">CE48</f>
        <v>1999.3520000000003</v>
      </c>
      <c r="CK9" s="553">
        <f t="shared" ref="CK9:CK34" si="66">CF48</f>
        <v>41163.744000000006</v>
      </c>
      <c r="CL9" s="553">
        <f t="shared" ref="CL9:CL34" si="67">CG48</f>
        <v>5646.1040000000003</v>
      </c>
      <c r="CM9" s="554">
        <f t="shared" si="23"/>
        <v>67507.832000000009</v>
      </c>
      <c r="CN9" s="553">
        <f>'Anuid PF'!AG8+'Anuid PF'!AH8</f>
        <v>33632.728000000003</v>
      </c>
      <c r="CO9" s="553">
        <f>'Anuid PJ'!AD7+'Anuid PJ'!AE7</f>
        <v>589.27200000000005</v>
      </c>
      <c r="CP9" s="553">
        <f>RRT!R6</f>
        <v>62139.48000000001</v>
      </c>
      <c r="CQ9" s="553">
        <f>'TAXAS E MULTAS.'!L5</f>
        <v>6219.424</v>
      </c>
      <c r="CR9" s="554">
        <f t="shared" si="24"/>
        <v>102580.90400000001</v>
      </c>
      <c r="CS9" s="553">
        <f t="shared" ref="CS9:CS34" si="68">CN48</f>
        <v>21399.167999999998</v>
      </c>
      <c r="CT9" s="553">
        <f t="shared" ref="CT9:CT34" si="69">CO48</f>
        <v>2140.232</v>
      </c>
      <c r="CU9" s="553">
        <f t="shared" ref="CU9:CU34" si="70">CP48</f>
        <v>47607.423999999999</v>
      </c>
      <c r="CV9" s="553">
        <f t="shared" ref="CV9:CV34" si="71">CQ48</f>
        <v>8404.232</v>
      </c>
      <c r="CW9" s="554">
        <f t="shared" si="26"/>
        <v>79551.055999999997</v>
      </c>
      <c r="CX9" s="553">
        <f>'Anuid PF'!AI8+'Anuid PF'!AJ8</f>
        <v>25338.272000000004</v>
      </c>
      <c r="CY9" s="553">
        <f>'Anuid PJ'!AF7+'Anuid PJ'!AG7</f>
        <v>2016.7280000000001</v>
      </c>
      <c r="CZ9" s="553">
        <f>RRT!S6</f>
        <v>55635.600000000006</v>
      </c>
      <c r="DA9" s="553">
        <f>'TAXAS E MULTAS.'!M5</f>
        <v>6028.7920000000004</v>
      </c>
      <c r="DB9" s="554">
        <f t="shared" si="27"/>
        <v>89019.392000000007</v>
      </c>
      <c r="DC9" s="553">
        <f t="shared" ref="DC9:DC34" si="72">CX48</f>
        <v>18264.496000000003</v>
      </c>
      <c r="DD9" s="553">
        <f t="shared" ref="DD9:DD34" si="73">CY48</f>
        <v>2037.3440000000003</v>
      </c>
      <c r="DE9" s="553">
        <f t="shared" ref="DE9:DE34" si="74">CZ48</f>
        <v>45105.760000000002</v>
      </c>
      <c r="DF9" s="553">
        <f t="shared" ref="DF9:DF34" si="75">DA48</f>
        <v>10924.272000000001</v>
      </c>
      <c r="DG9" s="554">
        <f t="shared" si="29"/>
        <v>76331.872000000003</v>
      </c>
      <c r="DH9" s="553">
        <f>'Anuid PF'!AK8+'Anuid PF'!AL8</f>
        <v>38433.304000000004</v>
      </c>
      <c r="DI9" s="553">
        <f>'Anuid PJ'!AH7+'Anuid PJ'!AI7</f>
        <v>2208.1759999999999</v>
      </c>
      <c r="DJ9" s="553">
        <f>RRT!T6</f>
        <v>50542.200000000004</v>
      </c>
      <c r="DK9" s="553">
        <f>'TAXAS E MULTAS.'!N5</f>
        <v>7661.6080000000002</v>
      </c>
      <c r="DL9" s="554">
        <f t="shared" si="30"/>
        <v>98845.288</v>
      </c>
      <c r="DM9" s="553">
        <f t="shared" ref="DM9:DM34" si="76">DH48</f>
        <v>27007.383999999998</v>
      </c>
      <c r="DN9" s="553">
        <f t="shared" ref="DN9:DN34" si="77">DI48</f>
        <v>1343.44</v>
      </c>
      <c r="DO9" s="553">
        <f t="shared" ref="DO9:DO34" si="78">DJ48</f>
        <v>41239.552000000003</v>
      </c>
      <c r="DP9" s="553">
        <f t="shared" ref="DP9:DP34" si="79">DK48</f>
        <v>10827.576000000003</v>
      </c>
      <c r="DQ9" s="552">
        <f t="shared" si="32"/>
        <v>80417.952000000005</v>
      </c>
      <c r="DR9" s="555">
        <f t="shared" si="33"/>
        <v>600295.64800000004</v>
      </c>
      <c r="DS9" s="553">
        <f t="shared" si="34"/>
        <v>31046.696000000007</v>
      </c>
      <c r="DT9" s="553">
        <f t="shared" si="35"/>
        <v>521406.68800000002</v>
      </c>
      <c r="DU9" s="553">
        <f t="shared" si="36"/>
        <v>65167.272000000004</v>
      </c>
      <c r="DV9" s="554">
        <f t="shared" si="37"/>
        <v>1217916.3040000002</v>
      </c>
      <c r="DW9" s="553">
        <f t="shared" ref="DW9:DW34" si="80">G9+Q9+AA9+AK9+AU9+BE9+BO9+BY9+CI890+CI9+CS9+DC9+DM9</f>
        <v>508275.35200000001</v>
      </c>
      <c r="DX9" s="553">
        <f t="shared" si="38"/>
        <v>30781.280000000002</v>
      </c>
      <c r="DY9" s="553">
        <f t="shared" si="39"/>
        <v>521049.42400000006</v>
      </c>
      <c r="DZ9" s="553">
        <f t="shared" si="40"/>
        <v>76378.567999999999</v>
      </c>
      <c r="EA9" s="552">
        <f t="shared" si="41"/>
        <v>1136484.6240000001</v>
      </c>
      <c r="EB9" s="551">
        <f t="shared" si="42"/>
        <v>18.104418331109628</v>
      </c>
      <c r="EC9" s="551">
        <f t="shared" si="43"/>
        <v>0.86226433728553786</v>
      </c>
      <c r="ED9" s="551">
        <f t="shared" si="44"/>
        <v>6.8566240272829759E-2</v>
      </c>
      <c r="EE9" s="551">
        <f t="shared" si="45"/>
        <v>-14.678588894203926</v>
      </c>
      <c r="EF9" s="550">
        <f t="shared" si="46"/>
        <v>7.1652249648034001</v>
      </c>
      <c r="EG9" s="561" t="str">
        <f t="shared" ref="EG9:EG34" si="81">IF(EF9&lt;0,"menor","MAIOR")</f>
        <v>MAIOR</v>
      </c>
    </row>
    <row r="10" spans="1:143">
      <c r="A10" s="556" t="s">
        <v>90</v>
      </c>
      <c r="B10" s="553">
        <f>'Anuid PF'!O9+'Anuid PF'!P9</f>
        <v>76834.551999999996</v>
      </c>
      <c r="C10" s="553">
        <f>'Anuid PJ'!L8+'Anuid PJ'!M8</f>
        <v>8579.0000000000018</v>
      </c>
      <c r="D10" s="553">
        <f>RRT!I7</f>
        <v>33880.640000000007</v>
      </c>
      <c r="E10" s="553">
        <f>'TAXAS E MULTAS.'!C6</f>
        <v>5780.9679999999998</v>
      </c>
      <c r="F10" s="554">
        <f t="shared" si="0"/>
        <v>125075.16</v>
      </c>
      <c r="G10" s="553">
        <v>65460.752000000008</v>
      </c>
      <c r="H10" s="553">
        <v>6892.5439999999999</v>
      </c>
      <c r="I10" s="553">
        <v>27050.592000000001</v>
      </c>
      <c r="J10" s="553">
        <v>5460.3520000000008</v>
      </c>
      <c r="K10" s="554">
        <f t="shared" si="1"/>
        <v>104864.24</v>
      </c>
      <c r="L10" s="553">
        <f>'Anuid PF'!Q9+'Anuid PF'!R9</f>
        <v>79169.600000000006</v>
      </c>
      <c r="M10" s="553">
        <f>'Anuid PJ'!N8+'Anuid PJ'!O8</f>
        <v>10207.407999999999</v>
      </c>
      <c r="N10" s="553">
        <f>RRT!J7</f>
        <v>37299.360000000001</v>
      </c>
      <c r="O10" s="553">
        <f>'TAXAS E MULTAS.'!D6</f>
        <v>4908.24</v>
      </c>
      <c r="P10" s="554">
        <f t="shared" si="2"/>
        <v>131584.60800000001</v>
      </c>
      <c r="Q10" s="553">
        <v>82232.152000000016</v>
      </c>
      <c r="R10" s="562">
        <v>8750.16</v>
      </c>
      <c r="S10" s="553">
        <v>34113.599999999999</v>
      </c>
      <c r="T10" s="553">
        <v>7028.8320000000003</v>
      </c>
      <c r="U10" s="554">
        <f t="shared" si="3"/>
        <v>132124.74400000001</v>
      </c>
      <c r="V10" s="553">
        <f>'Anuid PF'!S9+'Anuid PF'!T9</f>
        <v>61817.352000000006</v>
      </c>
      <c r="W10" s="553">
        <f>'Anuid PJ'!P8+'Anuid PJ'!Q8</f>
        <v>9705.4880000000012</v>
      </c>
      <c r="X10" s="553">
        <f>RRT!K7</f>
        <v>43959.96</v>
      </c>
      <c r="Y10" s="553">
        <f>'TAXAS E MULTAS.'!E6</f>
        <v>5436.768</v>
      </c>
      <c r="Z10" s="554">
        <f t="shared" si="4"/>
        <v>120919.56800000001</v>
      </c>
      <c r="AA10" s="553">
        <v>61594.912000000011</v>
      </c>
      <c r="AB10" s="562">
        <v>6288.9760000000006</v>
      </c>
      <c r="AC10" s="553">
        <v>34795.871999999996</v>
      </c>
      <c r="AD10" s="553">
        <v>5498.1080000000002</v>
      </c>
      <c r="AE10" s="554">
        <f t="shared" si="5"/>
        <v>108177.86800000002</v>
      </c>
      <c r="AF10" s="553">
        <f>'Anuid PF'!U9+'Anuid PF'!V9</f>
        <v>25094.704000000002</v>
      </c>
      <c r="AG10" s="553">
        <f>'Anuid PJ'!R8+'Anuid PJ'!S8</f>
        <v>2035.6320000000001</v>
      </c>
      <c r="AH10" s="553">
        <f>RRT!L7</f>
        <v>16612.320000000003</v>
      </c>
      <c r="AI10" s="553">
        <f>'TAXAS E MULTAS.'!F6</f>
        <v>2440.4080000000008</v>
      </c>
      <c r="AJ10" s="554">
        <f t="shared" si="6"/>
        <v>46183.064000000006</v>
      </c>
      <c r="AK10" s="553">
        <f t="shared" si="47"/>
        <v>65962.624000000011</v>
      </c>
      <c r="AL10" s="553">
        <f t="shared" si="48"/>
        <v>6765.7039999999997</v>
      </c>
      <c r="AM10" s="553">
        <f t="shared" si="49"/>
        <v>37524.959999999999</v>
      </c>
      <c r="AN10" s="553">
        <f t="shared" si="50"/>
        <v>5975.46</v>
      </c>
      <c r="AO10" s="554">
        <f t="shared" si="8"/>
        <v>116228.74800000001</v>
      </c>
      <c r="AP10" s="553">
        <f>'Anuid PF'!W9+'Anuid PF'!X9</f>
        <v>30577.24</v>
      </c>
      <c r="AQ10" s="553">
        <f>'Anuid PJ'!T8+'Anuid PJ'!U8</f>
        <v>984.22400000000016</v>
      </c>
      <c r="AR10" s="553">
        <f>RRT!M7</f>
        <v>21000.48</v>
      </c>
      <c r="AS10" s="553">
        <f>'TAXAS E MULTAS.'!G6</f>
        <v>3558.9120000000007</v>
      </c>
      <c r="AT10" s="554">
        <f t="shared" si="9"/>
        <v>56120.856000000007</v>
      </c>
      <c r="AU10" s="553">
        <f t="shared" si="51"/>
        <v>85492.407999999996</v>
      </c>
      <c r="AV10" s="553">
        <f t="shared" si="52"/>
        <v>7705.8</v>
      </c>
      <c r="AW10" s="553">
        <f t="shared" si="53"/>
        <v>42907.328000000009</v>
      </c>
      <c r="AX10" s="553">
        <f t="shared" si="54"/>
        <v>6246.4720000000007</v>
      </c>
      <c r="AY10" s="554">
        <f t="shared" si="11"/>
        <v>142352.00800000003</v>
      </c>
      <c r="AZ10" s="553">
        <f>'Anuid PF'!Y9+'Anuid PF'!Z9</f>
        <v>54356.287999999986</v>
      </c>
      <c r="BA10" s="553">
        <f>'Anuid PJ'!V8+'Anuid PJ'!W8</f>
        <v>2697.0480000000002</v>
      </c>
      <c r="BB10" s="553">
        <f>RRT!N7</f>
        <v>37142.640000000007</v>
      </c>
      <c r="BC10" s="553">
        <f>'TAXAS E MULTAS.'!H6</f>
        <v>7074.5399999999991</v>
      </c>
      <c r="BD10" s="554">
        <f t="shared" si="12"/>
        <v>101270.51599999999</v>
      </c>
      <c r="BE10" s="553">
        <f t="shared" si="55"/>
        <v>70834.216000000015</v>
      </c>
      <c r="BF10" s="553">
        <f t="shared" si="56"/>
        <v>5884.2400000000007</v>
      </c>
      <c r="BG10" s="553">
        <f t="shared" si="57"/>
        <v>35781.376000000004</v>
      </c>
      <c r="BH10" s="553">
        <f t="shared" si="58"/>
        <v>4048.2160000000003</v>
      </c>
      <c r="BI10" s="554">
        <f t="shared" si="14"/>
        <v>116548.04800000002</v>
      </c>
      <c r="BJ10" s="553">
        <f>'Anuid PF'!AA9+'Anuid PF'!AB9</f>
        <v>57479.024000000005</v>
      </c>
      <c r="BK10" s="553">
        <f>'Anuid PJ'!X8+'Anuid PJ'!Y8</f>
        <v>4887.8320000000003</v>
      </c>
      <c r="BL10" s="553">
        <f>RRT!O7</f>
        <v>50150.400000000001</v>
      </c>
      <c r="BM10" s="553">
        <f>'TAXAS E MULTAS.'!I6</f>
        <v>4988.6559999999999</v>
      </c>
      <c r="BN10" s="554">
        <f t="shared" si="15"/>
        <v>117505.91200000001</v>
      </c>
      <c r="BO10" s="553">
        <f t="shared" si="59"/>
        <v>35000.800000000003</v>
      </c>
      <c r="BP10" s="553">
        <f t="shared" si="16"/>
        <v>3857.6880000000001</v>
      </c>
      <c r="BQ10" s="553">
        <f t="shared" si="16"/>
        <v>41694.400000000001</v>
      </c>
      <c r="BR10" s="553">
        <f t="shared" si="16"/>
        <v>6422.304000000001</v>
      </c>
      <c r="BS10" s="554">
        <f t="shared" si="17"/>
        <v>86975.19200000001</v>
      </c>
      <c r="BT10" s="553">
        <f>'Anuid PF'!AC9+'Anuid PF'!AD9</f>
        <v>69166.031999999992</v>
      </c>
      <c r="BU10" s="553">
        <f>'Anuid PJ'!Z8+'Anuid PJ'!AA8</f>
        <v>5701.1840000000002</v>
      </c>
      <c r="BV10" s="553">
        <f>RRT!P7</f>
        <v>55557.240000000005</v>
      </c>
      <c r="BW10" s="553">
        <f>'TAXAS E MULTAS.'!J6</f>
        <v>7398.1819999999998</v>
      </c>
      <c r="BX10" s="554">
        <f t="shared" si="18"/>
        <v>137822.63799999998</v>
      </c>
      <c r="BY10" s="553">
        <f t="shared" si="60"/>
        <v>30510.048000000003</v>
      </c>
      <c r="BZ10" s="553">
        <f t="shared" si="61"/>
        <v>3238.6800000000003</v>
      </c>
      <c r="CA10" s="553">
        <f t="shared" si="62"/>
        <v>45333.184000000008</v>
      </c>
      <c r="CB10" s="553">
        <f t="shared" si="63"/>
        <v>7187.232</v>
      </c>
      <c r="CC10" s="554">
        <f t="shared" si="20"/>
        <v>86269.144000000015</v>
      </c>
      <c r="CD10" s="553">
        <f>'Anuid PF'!AE9+'Anuid PF'!AF9</f>
        <v>34469.96</v>
      </c>
      <c r="CE10" s="553">
        <f>'Anuid PJ'!AB8+'Anuid PJ'!AC8</f>
        <v>2423.8960000000002</v>
      </c>
      <c r="CF10" s="553">
        <f>RRT!Q7</f>
        <v>46859.28</v>
      </c>
      <c r="CG10" s="553">
        <f>'TAXAS E MULTAS.'!K6</f>
        <v>7821.0080000000007</v>
      </c>
      <c r="CH10" s="554">
        <f t="shared" si="21"/>
        <v>91574.144</v>
      </c>
      <c r="CI10" s="553">
        <f t="shared" si="64"/>
        <v>23696.704000000002</v>
      </c>
      <c r="CJ10" s="553">
        <f t="shared" si="65"/>
        <v>2019.92</v>
      </c>
      <c r="CK10" s="553">
        <f t="shared" si="66"/>
        <v>41997.632000000005</v>
      </c>
      <c r="CL10" s="553">
        <f t="shared" si="67"/>
        <v>5542.4639999999999</v>
      </c>
      <c r="CM10" s="554">
        <f t="shared" si="23"/>
        <v>73256.72</v>
      </c>
      <c r="CN10" s="553">
        <f>'Anuid PF'!AG9+'Anuid PF'!AH9</f>
        <v>28767.040000000005</v>
      </c>
      <c r="CO10" s="553">
        <f>'Anuid PJ'!AD8+'Anuid PJ'!AE8</f>
        <v>2260.2799999999997</v>
      </c>
      <c r="CP10" s="553">
        <f>RRT!R7</f>
        <v>53990.040000000008</v>
      </c>
      <c r="CQ10" s="553">
        <f>'TAXAS E MULTAS.'!L6</f>
        <v>8012.9119999999994</v>
      </c>
      <c r="CR10" s="554">
        <f t="shared" si="24"/>
        <v>93030.272000000012</v>
      </c>
      <c r="CS10" s="553">
        <f t="shared" si="68"/>
        <v>28796.344000000005</v>
      </c>
      <c r="CT10" s="553">
        <f t="shared" si="69"/>
        <v>2317.9119999999998</v>
      </c>
      <c r="CU10" s="553">
        <f t="shared" si="70"/>
        <v>41163.744000000006</v>
      </c>
      <c r="CV10" s="553">
        <f t="shared" si="71"/>
        <v>7617.7520000000004</v>
      </c>
      <c r="CW10" s="554">
        <f t="shared" si="26"/>
        <v>79895.752000000008</v>
      </c>
      <c r="CX10" s="553">
        <f>'Anuid PF'!AI9+'Anuid PF'!AJ9</f>
        <v>24538.264000000003</v>
      </c>
      <c r="CY10" s="553">
        <f>'Anuid PJ'!AF8+'Anuid PJ'!AG8</f>
        <v>3273.1440000000002</v>
      </c>
      <c r="CZ10" s="553">
        <f>RRT!S7</f>
        <v>50934</v>
      </c>
      <c r="DA10" s="553">
        <f>'TAXAS E MULTAS.'!M6</f>
        <v>7795.6</v>
      </c>
      <c r="DB10" s="554">
        <f t="shared" si="27"/>
        <v>86541.008000000002</v>
      </c>
      <c r="DC10" s="553">
        <f t="shared" si="72"/>
        <v>20378.792000000001</v>
      </c>
      <c r="DD10" s="553">
        <f t="shared" si="73"/>
        <v>1145.0880000000002</v>
      </c>
      <c r="DE10" s="553">
        <f t="shared" si="74"/>
        <v>40784.703999999998</v>
      </c>
      <c r="DF10" s="553">
        <f t="shared" si="75"/>
        <v>6391.2560000000012</v>
      </c>
      <c r="DG10" s="554">
        <f t="shared" si="29"/>
        <v>68699.839999999997</v>
      </c>
      <c r="DH10" s="553">
        <f>'Anuid PF'!AK9+'Anuid PF'!AL9</f>
        <v>32403.392</v>
      </c>
      <c r="DI10" s="553">
        <f>'Anuid PJ'!AH8+'Anuid PJ'!AI8</f>
        <v>3425.5040000000004</v>
      </c>
      <c r="DJ10" s="553">
        <f>RRT!T7</f>
        <v>41217.360000000001</v>
      </c>
      <c r="DK10" s="553">
        <f>'TAXAS E MULTAS.'!N6</f>
        <v>10237.296000000002</v>
      </c>
      <c r="DL10" s="554">
        <f t="shared" si="30"/>
        <v>87283.551999999996</v>
      </c>
      <c r="DM10" s="553">
        <f t="shared" si="76"/>
        <v>24414.512000000002</v>
      </c>
      <c r="DN10" s="553">
        <f t="shared" si="77"/>
        <v>1943.752</v>
      </c>
      <c r="DO10" s="553">
        <f t="shared" si="78"/>
        <v>33431.328000000001</v>
      </c>
      <c r="DP10" s="553">
        <f t="shared" si="79"/>
        <v>7528.24</v>
      </c>
      <c r="DQ10" s="552">
        <f t="shared" si="32"/>
        <v>67317.832000000009</v>
      </c>
      <c r="DR10" s="555">
        <f t="shared" si="33"/>
        <v>574673.44799999997</v>
      </c>
      <c r="DS10" s="553">
        <f t="shared" si="34"/>
        <v>56180.640000000014</v>
      </c>
      <c r="DT10" s="553">
        <f t="shared" si="35"/>
        <v>488603.72000000009</v>
      </c>
      <c r="DU10" s="553">
        <f t="shared" si="36"/>
        <v>75453.489999999991</v>
      </c>
      <c r="DV10" s="554">
        <f t="shared" si="37"/>
        <v>1194911.2980000002</v>
      </c>
      <c r="DW10" s="553">
        <f t="shared" si="80"/>
        <v>594374.26400000008</v>
      </c>
      <c r="DX10" s="553">
        <f t="shared" si="38"/>
        <v>56810.464</v>
      </c>
      <c r="DY10" s="553">
        <f t="shared" si="39"/>
        <v>456578.72</v>
      </c>
      <c r="DZ10" s="553">
        <f t="shared" si="40"/>
        <v>74946.688000000009</v>
      </c>
      <c r="EA10" s="552">
        <f t="shared" si="41"/>
        <v>1182710.1360000002</v>
      </c>
      <c r="EB10" s="551">
        <f t="shared" si="42"/>
        <v>-3.3145472799273392</v>
      </c>
      <c r="EC10" s="551">
        <f t="shared" si="43"/>
        <v>-1.1086408306751139</v>
      </c>
      <c r="ED10" s="551">
        <f t="shared" si="44"/>
        <v>7.0141245303767334</v>
      </c>
      <c r="EE10" s="551">
        <f t="shared" si="45"/>
        <v>0.67621667284348064</v>
      </c>
      <c r="EF10" s="550">
        <f t="shared" si="46"/>
        <v>1.0316274147497353</v>
      </c>
      <c r="EG10" s="561" t="str">
        <f t="shared" si="81"/>
        <v>MAIOR</v>
      </c>
    </row>
    <row r="11" spans="1:143">
      <c r="A11" s="556" t="s">
        <v>89</v>
      </c>
      <c r="B11" s="553">
        <f>'Anuid PF'!O10+'Anuid PF'!P10</f>
        <v>23413.32</v>
      </c>
      <c r="C11" s="553">
        <f>'Anuid PJ'!L9+'Anuid PJ'!M9</f>
        <v>5432.9680000000008</v>
      </c>
      <c r="D11" s="553">
        <f>RRT!I8</f>
        <v>22650.392000000003</v>
      </c>
      <c r="E11" s="553">
        <f>'TAXAS E MULTAS.'!C7</f>
        <v>3571.6000000000004</v>
      </c>
      <c r="F11" s="554">
        <f t="shared" si="0"/>
        <v>55068.280000000006</v>
      </c>
      <c r="G11" s="553">
        <v>23885.120000000003</v>
      </c>
      <c r="H11" s="553">
        <v>3474.3679999999999</v>
      </c>
      <c r="I11" s="553">
        <v>15049.279999999999</v>
      </c>
      <c r="J11" s="553">
        <v>3712.2640000000001</v>
      </c>
      <c r="K11" s="554">
        <f t="shared" si="1"/>
        <v>46121.031999999999</v>
      </c>
      <c r="L11" s="553">
        <f>'Anuid PF'!Q10+'Anuid PF'!R10</f>
        <v>28077.368000000002</v>
      </c>
      <c r="M11" s="553">
        <f>'Anuid PJ'!N9+'Anuid PJ'!O9</f>
        <v>4496.6960000000008</v>
      </c>
      <c r="N11" s="553">
        <f>RRT!J8</f>
        <v>23508</v>
      </c>
      <c r="O11" s="553">
        <f>'TAXAS E MULTAS.'!D7</f>
        <v>2668.4560000000001</v>
      </c>
      <c r="P11" s="554">
        <f t="shared" si="2"/>
        <v>58750.52</v>
      </c>
      <c r="Q11" s="553">
        <v>24287.040000000001</v>
      </c>
      <c r="R11" s="562">
        <v>1431.4479999999999</v>
      </c>
      <c r="S11" s="553">
        <v>17739.072</v>
      </c>
      <c r="T11" s="553">
        <v>4610.1280000000006</v>
      </c>
      <c r="U11" s="554">
        <f t="shared" si="3"/>
        <v>48067.687999999995</v>
      </c>
      <c r="V11" s="553">
        <f>'Anuid PF'!S10+'Anuid PF'!T10</f>
        <v>18559.976000000002</v>
      </c>
      <c r="W11" s="553">
        <f>'Anuid PJ'!P9+'Anuid PJ'!Q9</f>
        <v>4031.056</v>
      </c>
      <c r="X11" s="553">
        <f>RRT!K8</f>
        <v>22019.160000000003</v>
      </c>
      <c r="Y11" s="553">
        <f>'TAXAS E MULTAS.'!E7</f>
        <v>2375.1439999999998</v>
      </c>
      <c r="Z11" s="554">
        <f t="shared" si="4"/>
        <v>46985.33600000001</v>
      </c>
      <c r="AA11" s="553">
        <v>16811.815999999999</v>
      </c>
      <c r="AB11" s="562">
        <v>2558.1600000000003</v>
      </c>
      <c r="AC11" s="553">
        <v>17587.456000000002</v>
      </c>
      <c r="AD11" s="553">
        <v>2925.056</v>
      </c>
      <c r="AE11" s="554">
        <f t="shared" si="5"/>
        <v>39882.487999999998</v>
      </c>
      <c r="AF11" s="553">
        <f>'Anuid PF'!U10+'Anuid PF'!V10</f>
        <v>11417.264000000001</v>
      </c>
      <c r="AG11" s="553">
        <f>'Anuid PJ'!R9+'Anuid PJ'!S9</f>
        <v>2700.0240000000003</v>
      </c>
      <c r="AH11" s="553">
        <f>RRT!L8</f>
        <v>13481.592000000002</v>
      </c>
      <c r="AI11" s="553">
        <f>'TAXAS E MULTAS.'!F7</f>
        <v>2837.9839999999999</v>
      </c>
      <c r="AJ11" s="554">
        <f t="shared" si="6"/>
        <v>30436.864000000005</v>
      </c>
      <c r="AK11" s="553">
        <f t="shared" si="47"/>
        <v>17502.184000000001</v>
      </c>
      <c r="AL11" s="553">
        <f t="shared" si="48"/>
        <v>2594.08</v>
      </c>
      <c r="AM11" s="553">
        <f t="shared" si="49"/>
        <v>17135.48</v>
      </c>
      <c r="AN11" s="553">
        <f t="shared" si="50"/>
        <v>2189.1040000000003</v>
      </c>
      <c r="AO11" s="554">
        <f t="shared" si="8"/>
        <v>39420.848000000005</v>
      </c>
      <c r="AP11" s="553">
        <f>'Anuid PF'!W10+'Anuid PF'!X10</f>
        <v>7225.5599999999995</v>
      </c>
      <c r="AQ11" s="553">
        <f>'Anuid PJ'!T9+'Anuid PJ'!U9</f>
        <v>860.12</v>
      </c>
      <c r="AR11" s="553">
        <f>RRT!M8</f>
        <v>13477.920000000002</v>
      </c>
      <c r="AS11" s="553">
        <f>'TAXAS E MULTAS.'!G7</f>
        <v>1129.0880000000002</v>
      </c>
      <c r="AT11" s="554">
        <f t="shared" si="9"/>
        <v>22692.688000000002</v>
      </c>
      <c r="AU11" s="553">
        <f t="shared" si="51"/>
        <v>22594.080000000002</v>
      </c>
      <c r="AV11" s="553">
        <f t="shared" si="52"/>
        <v>5411.7440000000006</v>
      </c>
      <c r="AW11" s="553">
        <f t="shared" si="53"/>
        <v>18042.304</v>
      </c>
      <c r="AX11" s="553">
        <f t="shared" si="54"/>
        <v>3769.7280000000001</v>
      </c>
      <c r="AY11" s="554">
        <f t="shared" si="11"/>
        <v>49817.856</v>
      </c>
      <c r="AZ11" s="553">
        <f>'Anuid PF'!Y10+'Anuid PF'!Z10</f>
        <v>15054.359999999999</v>
      </c>
      <c r="BA11" s="553">
        <f>'Anuid PJ'!V9+'Anuid PJ'!W9</f>
        <v>3272.4560000000001</v>
      </c>
      <c r="BB11" s="553">
        <f>RRT!N8</f>
        <v>14888.400000000001</v>
      </c>
      <c r="BC11" s="553">
        <f>'TAXAS E MULTAS.'!H7</f>
        <v>1714.6480000000001</v>
      </c>
      <c r="BD11" s="554">
        <f t="shared" si="12"/>
        <v>34929.864000000001</v>
      </c>
      <c r="BE11" s="553">
        <f t="shared" si="55"/>
        <v>19234.216</v>
      </c>
      <c r="BF11" s="553">
        <f t="shared" si="56"/>
        <v>3788.1360000000004</v>
      </c>
      <c r="BG11" s="553">
        <f t="shared" si="57"/>
        <v>19179.423999999999</v>
      </c>
      <c r="BH11" s="553">
        <f t="shared" si="58"/>
        <v>2708.2400000000002</v>
      </c>
      <c r="BI11" s="554">
        <f t="shared" si="14"/>
        <v>44910.015999999996</v>
      </c>
      <c r="BJ11" s="553">
        <f>'Anuid PF'!AA10+'Anuid PF'!AB10</f>
        <v>30735.688000000002</v>
      </c>
      <c r="BK11" s="553">
        <f>'Anuid PJ'!X9+'Anuid PJ'!Y9</f>
        <v>5241.1040000000003</v>
      </c>
      <c r="BL11" s="553">
        <f>RRT!O8</f>
        <v>26877.48</v>
      </c>
      <c r="BM11" s="553">
        <f>'TAXAS E MULTAS.'!I7</f>
        <v>2666.7040000000006</v>
      </c>
      <c r="BN11" s="554">
        <f t="shared" si="15"/>
        <v>65520.975999999995</v>
      </c>
      <c r="BO11" s="553">
        <f t="shared" si="59"/>
        <v>10245.896000000001</v>
      </c>
      <c r="BP11" s="553">
        <f t="shared" si="16"/>
        <v>5251.4080000000004</v>
      </c>
      <c r="BQ11" s="553">
        <f t="shared" si="16"/>
        <v>27745.728000000003</v>
      </c>
      <c r="BR11" s="553">
        <f t="shared" si="16"/>
        <v>3565.9360000000001</v>
      </c>
      <c r="BS11" s="554">
        <f t="shared" si="17"/>
        <v>46808.968000000008</v>
      </c>
      <c r="BT11" s="553">
        <f>'Anuid PF'!AC10+'Anuid PF'!AD10</f>
        <v>31832.200000000004</v>
      </c>
      <c r="BU11" s="553">
        <f>'Anuid PJ'!Z9+'Anuid PJ'!AA9</f>
        <v>6266.68</v>
      </c>
      <c r="BV11" s="553">
        <f>RRT!P8</f>
        <v>32597.759999999998</v>
      </c>
      <c r="BW11" s="553">
        <f>'TAXAS E MULTAS.'!J7</f>
        <v>2978.6320000000001</v>
      </c>
      <c r="BX11" s="554">
        <f t="shared" si="18"/>
        <v>73675.271999999997</v>
      </c>
      <c r="BY11" s="553">
        <f t="shared" si="60"/>
        <v>10761.016</v>
      </c>
      <c r="BZ11" s="553">
        <f t="shared" si="61"/>
        <v>1563.28</v>
      </c>
      <c r="CA11" s="553">
        <f t="shared" si="62"/>
        <v>25016.639999999999</v>
      </c>
      <c r="CB11" s="553">
        <f t="shared" si="63"/>
        <v>3392.9520000000002</v>
      </c>
      <c r="CC11" s="554">
        <f t="shared" si="20"/>
        <v>40733.887999999999</v>
      </c>
      <c r="CD11" s="553">
        <f>'Anuid PF'!AE10+'Anuid PF'!AF10</f>
        <v>12150.832000000002</v>
      </c>
      <c r="CE11" s="553">
        <f>'Anuid PJ'!AB9+'Anuid PJ'!AC9</f>
        <v>1959.2160000000001</v>
      </c>
      <c r="CF11" s="553">
        <f>RRT!Q8</f>
        <v>28052.880000000001</v>
      </c>
      <c r="CG11" s="553">
        <f>'TAXAS E MULTAS.'!K7</f>
        <v>3262.84</v>
      </c>
      <c r="CH11" s="554">
        <f t="shared" si="21"/>
        <v>45425.767999999996</v>
      </c>
      <c r="CI11" s="553">
        <f t="shared" si="64"/>
        <v>7756.76</v>
      </c>
      <c r="CJ11" s="553">
        <f t="shared" si="65"/>
        <v>2406.6880000000006</v>
      </c>
      <c r="CK11" s="553">
        <f t="shared" si="66"/>
        <v>24713.407999999999</v>
      </c>
      <c r="CL11" s="553">
        <f t="shared" si="67"/>
        <v>3314.6639999999998</v>
      </c>
      <c r="CM11" s="554">
        <f t="shared" si="23"/>
        <v>38191.519999999997</v>
      </c>
      <c r="CN11" s="553">
        <f>'Anuid PF'!AG10+'Anuid PF'!AH10</f>
        <v>12408.575999999999</v>
      </c>
      <c r="CO11" s="553">
        <f>'Anuid PJ'!AD9+'Anuid PJ'!AE9</f>
        <v>1488.56</v>
      </c>
      <c r="CP11" s="553">
        <f>RRT!R8</f>
        <v>26093.88</v>
      </c>
      <c r="CQ11" s="553">
        <f>'TAXAS E MULTAS.'!L7</f>
        <v>3230.12</v>
      </c>
      <c r="CR11" s="554">
        <f t="shared" si="24"/>
        <v>43221.136000000006</v>
      </c>
      <c r="CS11" s="553">
        <f t="shared" si="68"/>
        <v>5349.5680000000002</v>
      </c>
      <c r="CT11" s="553">
        <f t="shared" si="69"/>
        <v>1708.4079999999999</v>
      </c>
      <c r="CU11" s="553">
        <f t="shared" si="70"/>
        <v>27442.496000000003</v>
      </c>
      <c r="CV11" s="553">
        <f t="shared" si="71"/>
        <v>3035.6240000000003</v>
      </c>
      <c r="CW11" s="554">
        <f t="shared" si="26"/>
        <v>37536.096000000005</v>
      </c>
      <c r="CX11" s="553">
        <f>'Anuid PF'!AI10+'Anuid PF'!AJ10</f>
        <v>9167.1040000000012</v>
      </c>
      <c r="CY11" s="553">
        <f>'Anuid PJ'!AF9+'Anuid PJ'!AG9</f>
        <v>2321.92</v>
      </c>
      <c r="CZ11" s="553">
        <f>RRT!S8</f>
        <v>14888.400000000001</v>
      </c>
      <c r="DA11" s="553">
        <f>'TAXAS E MULTAS.'!M7</f>
        <v>3264.0560000000005</v>
      </c>
      <c r="DB11" s="554">
        <f t="shared" si="27"/>
        <v>29641.480000000003</v>
      </c>
      <c r="DC11" s="553">
        <f t="shared" si="72"/>
        <v>4713.9359999999997</v>
      </c>
      <c r="DD11" s="553">
        <f t="shared" si="73"/>
        <v>1706.6320000000003</v>
      </c>
      <c r="DE11" s="553">
        <f t="shared" si="74"/>
        <v>26541.728000000003</v>
      </c>
      <c r="DF11" s="553">
        <f t="shared" si="75"/>
        <v>3435.904</v>
      </c>
      <c r="DG11" s="554">
        <f t="shared" si="29"/>
        <v>36398.200000000004</v>
      </c>
      <c r="DH11" s="553">
        <f>'Anuid PF'!AK10+'Anuid PF'!AL10</f>
        <v>8871.3359999999993</v>
      </c>
      <c r="DI11" s="553">
        <f>'Anuid PJ'!AH9+'Anuid PJ'!AI9</f>
        <v>2394.7360000000003</v>
      </c>
      <c r="DJ11" s="553">
        <f>RRT!T8</f>
        <v>21470.639999999999</v>
      </c>
      <c r="DK11" s="553">
        <f>'TAXAS E MULTAS.'!N7</f>
        <v>2923.9840000000004</v>
      </c>
      <c r="DL11" s="554">
        <f t="shared" si="30"/>
        <v>35660.695999999996</v>
      </c>
      <c r="DM11" s="553">
        <f t="shared" si="76"/>
        <v>6868.2960000000003</v>
      </c>
      <c r="DN11" s="553">
        <f t="shared" si="77"/>
        <v>2297.3200000000002</v>
      </c>
      <c r="DO11" s="553">
        <f t="shared" si="78"/>
        <v>22514.976000000002</v>
      </c>
      <c r="DP11" s="553">
        <f t="shared" si="79"/>
        <v>3355</v>
      </c>
      <c r="DQ11" s="552">
        <f t="shared" si="32"/>
        <v>35035.592000000004</v>
      </c>
      <c r="DR11" s="555">
        <f t="shared" si="33"/>
        <v>208913.584</v>
      </c>
      <c r="DS11" s="553">
        <f t="shared" si="34"/>
        <v>40465.535999999993</v>
      </c>
      <c r="DT11" s="553">
        <f t="shared" si="35"/>
        <v>260006.50400000002</v>
      </c>
      <c r="DU11" s="553">
        <f t="shared" si="36"/>
        <v>32623.256000000005</v>
      </c>
      <c r="DV11" s="554">
        <f t="shared" si="37"/>
        <v>542008.88</v>
      </c>
      <c r="DW11" s="553">
        <f t="shared" si="80"/>
        <v>170009.92800000001</v>
      </c>
      <c r="DX11" s="553">
        <f t="shared" si="38"/>
        <v>34191.672000000006</v>
      </c>
      <c r="DY11" s="553">
        <f t="shared" si="39"/>
        <v>258707.99200000003</v>
      </c>
      <c r="DZ11" s="553">
        <f t="shared" si="40"/>
        <v>40014.600000000006</v>
      </c>
      <c r="EA11" s="552">
        <f t="shared" si="41"/>
        <v>502924.19200000004</v>
      </c>
      <c r="EB11" s="551">
        <f t="shared" si="42"/>
        <v>22.883167152450042</v>
      </c>
      <c r="EC11" s="551">
        <f t="shared" si="43"/>
        <v>18.349099745692413</v>
      </c>
      <c r="ED11" s="551">
        <f t="shared" si="44"/>
        <v>0.50192187336833172</v>
      </c>
      <c r="EE11" s="551">
        <f t="shared" si="45"/>
        <v>-18.471617859481299</v>
      </c>
      <c r="EF11" s="550">
        <f t="shared" si="46"/>
        <v>7.7714869600068965</v>
      </c>
      <c r="EG11" s="561" t="str">
        <f t="shared" si="81"/>
        <v>MAIOR</v>
      </c>
    </row>
    <row r="12" spans="1:143">
      <c r="A12" s="556" t="s">
        <v>91</v>
      </c>
      <c r="B12" s="553">
        <f>'Anuid PF'!O11+'Anuid PF'!P11</f>
        <v>297102.96799999999</v>
      </c>
      <c r="C12" s="553">
        <f>'Anuid PJ'!L10+'Anuid PJ'!M10</f>
        <v>34447.360000000001</v>
      </c>
      <c r="D12" s="553">
        <f>RRT!I9</f>
        <v>103651.664</v>
      </c>
      <c r="E12" s="553">
        <f>'TAXAS E MULTAS.'!C8</f>
        <v>17829.168000000001</v>
      </c>
      <c r="F12" s="554">
        <f t="shared" si="0"/>
        <v>453031.16</v>
      </c>
      <c r="G12" s="553">
        <v>226443.64</v>
      </c>
      <c r="H12" s="553">
        <v>23807.103999999999</v>
      </c>
      <c r="I12" s="553">
        <v>97196.816000000006</v>
      </c>
      <c r="J12" s="553">
        <v>14116.712000000001</v>
      </c>
      <c r="K12" s="554">
        <f t="shared" si="1"/>
        <v>361564.272</v>
      </c>
      <c r="L12" s="553">
        <f>'Anuid PF'!Q11+'Anuid PF'!R11</f>
        <v>285345.96799999999</v>
      </c>
      <c r="M12" s="553">
        <f>'Anuid PJ'!N10+'Anuid PJ'!O10</f>
        <v>38776.487999999998</v>
      </c>
      <c r="N12" s="553">
        <f>RRT!J9</f>
        <v>120282.6</v>
      </c>
      <c r="O12" s="553">
        <f>'TAXAS E MULTAS.'!D8</f>
        <v>18188.568000000007</v>
      </c>
      <c r="P12" s="554">
        <f t="shared" si="2"/>
        <v>462593.62400000001</v>
      </c>
      <c r="Q12" s="553">
        <v>327462.36800000002</v>
      </c>
      <c r="R12" s="562">
        <v>55909.032000000007</v>
      </c>
      <c r="S12" s="553">
        <v>127888.09600000001</v>
      </c>
      <c r="T12" s="553">
        <v>15229.104000000001</v>
      </c>
      <c r="U12" s="554">
        <f t="shared" si="3"/>
        <v>526488.60000000009</v>
      </c>
      <c r="V12" s="553">
        <f>'Anuid PF'!S11+'Anuid PF'!T11</f>
        <v>184702.11200000002</v>
      </c>
      <c r="W12" s="553">
        <f>'Anuid PJ'!P10+'Anuid PJ'!Q10</f>
        <v>19719.808000000001</v>
      </c>
      <c r="X12" s="553">
        <f>RRT!K9</f>
        <v>110017.44</v>
      </c>
      <c r="Y12" s="553">
        <f>'TAXAS E MULTAS.'!E8</f>
        <v>11901.512000000002</v>
      </c>
      <c r="Z12" s="554">
        <f t="shared" si="4"/>
        <v>326340.87199999997</v>
      </c>
      <c r="AA12" s="553">
        <v>119211.76800000001</v>
      </c>
      <c r="AB12" s="562">
        <v>20997.088000000003</v>
      </c>
      <c r="AC12" s="553">
        <v>102871.45600000001</v>
      </c>
      <c r="AD12" s="553">
        <v>11786.376000000002</v>
      </c>
      <c r="AE12" s="554">
        <f t="shared" si="5"/>
        <v>254866.68800000002</v>
      </c>
      <c r="AF12" s="553">
        <f>'Anuid PF'!U11+'Anuid PF'!V11</f>
        <v>73248.24000000002</v>
      </c>
      <c r="AG12" s="553">
        <f>'Anuid PJ'!R10+'Anuid PJ'!S10</f>
        <v>10214.472</v>
      </c>
      <c r="AH12" s="553">
        <f>RRT!L9</f>
        <v>59396.880000000005</v>
      </c>
      <c r="AI12" s="553">
        <f>'TAXAS E MULTAS.'!F8</f>
        <v>7733.0240000000003</v>
      </c>
      <c r="AJ12" s="554">
        <f t="shared" si="6"/>
        <v>150592.61600000001</v>
      </c>
      <c r="AK12" s="553">
        <f t="shared" si="47"/>
        <v>133915.25599999999</v>
      </c>
      <c r="AL12" s="553">
        <f t="shared" si="48"/>
        <v>20282.344000000005</v>
      </c>
      <c r="AM12" s="553">
        <f t="shared" si="49"/>
        <v>122960.576</v>
      </c>
      <c r="AN12" s="553">
        <f t="shared" si="50"/>
        <v>9564.224000000002</v>
      </c>
      <c r="AO12" s="554">
        <f t="shared" si="8"/>
        <v>286722.39999999997</v>
      </c>
      <c r="AP12" s="553">
        <f>'Anuid PF'!W11+'Anuid PF'!X11</f>
        <v>64592.336000000003</v>
      </c>
      <c r="AQ12" s="553">
        <f>'Anuid PJ'!T10+'Anuid PJ'!U10</f>
        <v>6452.4960000000001</v>
      </c>
      <c r="AR12" s="553">
        <f>RRT!M9</f>
        <v>62844.72</v>
      </c>
      <c r="AS12" s="553">
        <f>'TAXAS E MULTAS.'!G8</f>
        <v>6517.1679999999997</v>
      </c>
      <c r="AT12" s="554">
        <f t="shared" si="9"/>
        <v>140406.72000000003</v>
      </c>
      <c r="AU12" s="553">
        <f t="shared" si="51"/>
        <v>159255.432</v>
      </c>
      <c r="AV12" s="553">
        <f t="shared" si="52"/>
        <v>21330.368000000002</v>
      </c>
      <c r="AW12" s="553">
        <f t="shared" si="53"/>
        <v>140775.45600000001</v>
      </c>
      <c r="AX12" s="553">
        <f t="shared" si="54"/>
        <v>10519.720000000001</v>
      </c>
      <c r="AY12" s="554">
        <f t="shared" si="11"/>
        <v>331880.97600000002</v>
      </c>
      <c r="AZ12" s="553">
        <f>'Anuid PF'!Y11+'Anuid PF'!Z11</f>
        <v>97615.152000000002</v>
      </c>
      <c r="BA12" s="553">
        <f>'Anuid PJ'!V10+'Anuid PJ'!W10</f>
        <v>12551.992</v>
      </c>
      <c r="BB12" s="553">
        <f>RRT!N9</f>
        <v>90819.24</v>
      </c>
      <c r="BC12" s="553">
        <f>'TAXAS E MULTAS.'!H8</f>
        <v>6651.72</v>
      </c>
      <c r="BD12" s="554">
        <f t="shared" si="12"/>
        <v>207638.10400000002</v>
      </c>
      <c r="BE12" s="553">
        <f t="shared" si="55"/>
        <v>161749.27200000003</v>
      </c>
      <c r="BF12" s="553">
        <f t="shared" si="56"/>
        <v>21440.631999999998</v>
      </c>
      <c r="BG12" s="553">
        <f t="shared" si="57"/>
        <v>107192.51200000002</v>
      </c>
      <c r="BH12" s="553">
        <f t="shared" si="58"/>
        <v>11018.456</v>
      </c>
      <c r="BI12" s="554">
        <f t="shared" si="14"/>
        <v>301400.87200000009</v>
      </c>
      <c r="BJ12" s="553">
        <f>'Anuid PF'!AA11+'Anuid PF'!AB11</f>
        <v>170707.24</v>
      </c>
      <c r="BK12" s="553">
        <f>'Anuid PJ'!X10+'Anuid PJ'!Y10</f>
        <v>19659.207999999999</v>
      </c>
      <c r="BL12" s="553">
        <f>RRT!O9</f>
        <v>119342.28000000001</v>
      </c>
      <c r="BM12" s="553">
        <f>'TAXAS E MULTAS.'!I8</f>
        <v>9969.4959999999992</v>
      </c>
      <c r="BN12" s="554">
        <f t="shared" si="15"/>
        <v>319678.22399999999</v>
      </c>
      <c r="BO12" s="553">
        <f t="shared" si="59"/>
        <v>66928.216</v>
      </c>
      <c r="BP12" s="553">
        <f t="shared" si="16"/>
        <v>15534.824000000001</v>
      </c>
      <c r="BQ12" s="553">
        <f t="shared" si="16"/>
        <v>135620.51200000002</v>
      </c>
      <c r="BR12" s="553">
        <f t="shared" si="16"/>
        <v>14245.096</v>
      </c>
      <c r="BS12" s="554">
        <f t="shared" si="17"/>
        <v>232328.64800000002</v>
      </c>
      <c r="BT12" s="553">
        <f>'Anuid PF'!AC11+'Anuid PF'!AD11</f>
        <v>184472.144</v>
      </c>
      <c r="BU12" s="553">
        <f>'Anuid PJ'!Z10+'Anuid PJ'!AA10</f>
        <v>23400.095999999998</v>
      </c>
      <c r="BV12" s="553">
        <f>RRT!P9</f>
        <v>128275.32000000002</v>
      </c>
      <c r="BW12" s="553">
        <f>'TAXAS E MULTAS.'!J8</f>
        <v>10353.472</v>
      </c>
      <c r="BX12" s="554">
        <f t="shared" si="18"/>
        <v>346501.03200000001</v>
      </c>
      <c r="BY12" s="553">
        <f t="shared" si="60"/>
        <v>56446.360000000008</v>
      </c>
      <c r="BZ12" s="553">
        <f t="shared" si="61"/>
        <v>8502.3920000000016</v>
      </c>
      <c r="CA12" s="553">
        <f t="shared" si="62"/>
        <v>139335.10400000002</v>
      </c>
      <c r="CB12" s="553">
        <f t="shared" si="63"/>
        <v>12906.400000000001</v>
      </c>
      <c r="CC12" s="554">
        <f t="shared" si="20"/>
        <v>217190.25600000002</v>
      </c>
      <c r="CD12" s="553">
        <f>'Anuid PF'!AE11+'Anuid PF'!AF11</f>
        <v>95411.28</v>
      </c>
      <c r="CE12" s="553">
        <f>'Anuid PJ'!AB10+'Anuid PJ'!AC10</f>
        <v>8113.9039999999995</v>
      </c>
      <c r="CF12" s="553">
        <f>RRT!Q9</f>
        <v>135797.88</v>
      </c>
      <c r="CG12" s="553">
        <f>'TAXAS E MULTAS.'!K8</f>
        <v>15934.376000000004</v>
      </c>
      <c r="CH12" s="554">
        <f t="shared" si="21"/>
        <v>255257.44</v>
      </c>
      <c r="CI12" s="553">
        <f t="shared" si="64"/>
        <v>49483.608000000007</v>
      </c>
      <c r="CJ12" s="553">
        <f t="shared" si="65"/>
        <v>8787.5120000000006</v>
      </c>
      <c r="CK12" s="553">
        <f t="shared" si="66"/>
        <v>138652.83200000002</v>
      </c>
      <c r="CL12" s="553">
        <f t="shared" si="67"/>
        <v>12097.712000000003</v>
      </c>
      <c r="CM12" s="554">
        <f t="shared" si="23"/>
        <v>209021.66400000005</v>
      </c>
      <c r="CN12" s="553">
        <f>'Anuid PF'!AG11+'Anuid PF'!AH11</f>
        <v>76545.288</v>
      </c>
      <c r="CO12" s="553">
        <f>'Anuid PJ'!AD10+'Anuid PJ'!AE10</f>
        <v>6050.84</v>
      </c>
      <c r="CP12" s="553">
        <f>RRT!R9</f>
        <v>151783.32</v>
      </c>
      <c r="CQ12" s="553">
        <f>'TAXAS E MULTAS.'!L8</f>
        <v>15001.344000000003</v>
      </c>
      <c r="CR12" s="554">
        <f t="shared" si="24"/>
        <v>249380.79200000002</v>
      </c>
      <c r="CS12" s="553">
        <f t="shared" si="68"/>
        <v>51081.8</v>
      </c>
      <c r="CT12" s="553">
        <f t="shared" si="69"/>
        <v>6182.5920000000006</v>
      </c>
      <c r="CU12" s="553">
        <f t="shared" si="70"/>
        <v>144035.20000000001</v>
      </c>
      <c r="CV12" s="553">
        <f t="shared" si="71"/>
        <v>14944.968000000004</v>
      </c>
      <c r="CW12" s="554">
        <f t="shared" si="26"/>
        <v>216244.56</v>
      </c>
      <c r="CX12" s="553">
        <f>'Anuid PF'!AI11+'Anuid PF'!AJ11</f>
        <v>61322.312000000005</v>
      </c>
      <c r="CY12" s="553">
        <f>'Anuid PJ'!AF10+'Anuid PJ'!AG10</f>
        <v>9235.0879999999997</v>
      </c>
      <c r="CZ12" s="553">
        <f>RRT!S9</f>
        <v>146689.92000000001</v>
      </c>
      <c r="DA12" s="553">
        <f>'TAXAS E MULTAS.'!M8</f>
        <v>18513.511999999999</v>
      </c>
      <c r="DB12" s="554">
        <f t="shared" si="27"/>
        <v>235760.83199999999</v>
      </c>
      <c r="DC12" s="553">
        <f t="shared" si="72"/>
        <v>68689.360000000015</v>
      </c>
      <c r="DD12" s="553">
        <f t="shared" si="73"/>
        <v>8575.8240000000005</v>
      </c>
      <c r="DE12" s="553">
        <f t="shared" si="74"/>
        <v>131981.728</v>
      </c>
      <c r="DF12" s="553">
        <f t="shared" si="75"/>
        <v>21397.52</v>
      </c>
      <c r="DG12" s="554">
        <f t="shared" si="29"/>
        <v>230644.432</v>
      </c>
      <c r="DH12" s="553">
        <f>'Anuid PF'!AK11+'Anuid PF'!AL11</f>
        <v>64244.903999999995</v>
      </c>
      <c r="DI12" s="553">
        <f>'Anuid PJ'!AH10+'Anuid PJ'!AI10</f>
        <v>8008.6320000000014</v>
      </c>
      <c r="DJ12" s="553">
        <f>RRT!T9</f>
        <v>153742.32</v>
      </c>
      <c r="DK12" s="553">
        <f>'TAXAS E MULTAS.'!N8</f>
        <v>16964.896000000001</v>
      </c>
      <c r="DL12" s="554">
        <f t="shared" si="30"/>
        <v>242960.75200000001</v>
      </c>
      <c r="DM12" s="553">
        <f t="shared" si="76"/>
        <v>63357.912000000004</v>
      </c>
      <c r="DN12" s="553">
        <f t="shared" si="77"/>
        <v>5707.9760000000006</v>
      </c>
      <c r="DO12" s="553">
        <f t="shared" si="78"/>
        <v>127054.20800000001</v>
      </c>
      <c r="DP12" s="553">
        <f t="shared" si="79"/>
        <v>21089.776000000002</v>
      </c>
      <c r="DQ12" s="552">
        <f t="shared" si="32"/>
        <v>217209.87200000003</v>
      </c>
      <c r="DR12" s="555">
        <f t="shared" si="33"/>
        <v>1655309.9439999999</v>
      </c>
      <c r="DS12" s="553">
        <f t="shared" si="34"/>
        <v>196630.38399999999</v>
      </c>
      <c r="DT12" s="553">
        <f t="shared" si="35"/>
        <v>1382643.584</v>
      </c>
      <c r="DU12" s="553">
        <f t="shared" si="36"/>
        <v>155558.25599999999</v>
      </c>
      <c r="DV12" s="554">
        <f t="shared" si="37"/>
        <v>3390142.1680000001</v>
      </c>
      <c r="DW12" s="553">
        <f t="shared" si="80"/>
        <v>1484024.9920000006</v>
      </c>
      <c r="DX12" s="553">
        <f t="shared" si="38"/>
        <v>217057.68799999994</v>
      </c>
      <c r="DY12" s="553">
        <f t="shared" si="39"/>
        <v>1515564.4960000003</v>
      </c>
      <c r="DZ12" s="553">
        <f t="shared" si="40"/>
        <v>168916.06400000004</v>
      </c>
      <c r="EA12" s="552">
        <f t="shared" si="41"/>
        <v>3385563.2400000012</v>
      </c>
      <c r="EB12" s="551">
        <f t="shared" si="42"/>
        <v>11.541918291359849</v>
      </c>
      <c r="EC12" s="551">
        <f t="shared" si="43"/>
        <v>-9.4110022953897641</v>
      </c>
      <c r="ED12" s="551">
        <f t="shared" si="44"/>
        <v>-8.7703896700414816</v>
      </c>
      <c r="EE12" s="551">
        <f t="shared" si="45"/>
        <v>-7.9079559893131517</v>
      </c>
      <c r="EF12" s="550">
        <f t="shared" si="46"/>
        <v>0.13524863295712919</v>
      </c>
      <c r="EG12" s="561" t="str">
        <f t="shared" si="81"/>
        <v>MAIOR</v>
      </c>
    </row>
    <row r="13" spans="1:143">
      <c r="A13" s="556" t="s">
        <v>92</v>
      </c>
      <c r="B13" s="553">
        <f>'Anuid PF'!O12+'Anuid PF'!P12</f>
        <v>210876.144</v>
      </c>
      <c r="C13" s="553">
        <f>'Anuid PJ'!L11+'Anuid PJ'!M11</f>
        <v>20764.256000000001</v>
      </c>
      <c r="D13" s="553">
        <f>RRT!I10</f>
        <v>75146.487999999998</v>
      </c>
      <c r="E13" s="553">
        <f>'TAXAS E MULTAS.'!C9</f>
        <v>8037.68</v>
      </c>
      <c r="F13" s="554">
        <f t="shared" si="0"/>
        <v>314824.56799999997</v>
      </c>
      <c r="G13" s="553">
        <v>147321.50400000002</v>
      </c>
      <c r="H13" s="553">
        <v>12505.944000000001</v>
      </c>
      <c r="I13" s="553">
        <v>55199.008000000002</v>
      </c>
      <c r="J13" s="553">
        <v>7626.3600000000006</v>
      </c>
      <c r="K13" s="554">
        <f t="shared" si="1"/>
        <v>222652.81599999999</v>
      </c>
      <c r="L13" s="553">
        <f>'Anuid PF'!Q12+'Anuid PF'!R12</f>
        <v>137027.03200000001</v>
      </c>
      <c r="M13" s="553">
        <f>'Anuid PJ'!N11+'Anuid PJ'!O11</f>
        <v>14832.656000000003</v>
      </c>
      <c r="N13" s="553">
        <f>RRT!J10</f>
        <v>69113.52</v>
      </c>
      <c r="O13" s="553">
        <f>'TAXAS E MULTAS.'!D9</f>
        <v>10542.575999999999</v>
      </c>
      <c r="P13" s="554">
        <f t="shared" si="2"/>
        <v>231515.78400000004</v>
      </c>
      <c r="Q13" s="553">
        <v>157618.68799999999</v>
      </c>
      <c r="R13" s="562">
        <v>19178.928</v>
      </c>
      <c r="S13" s="553">
        <v>58827.008000000002</v>
      </c>
      <c r="T13" s="553">
        <v>9555.1999999999989</v>
      </c>
      <c r="U13" s="554">
        <f t="shared" si="3"/>
        <v>245179.82399999999</v>
      </c>
      <c r="V13" s="553">
        <f>'Anuid PF'!S12+'Anuid PF'!T12</f>
        <v>90946.304000000004</v>
      </c>
      <c r="W13" s="553">
        <f>'Anuid PJ'!P11+'Anuid PJ'!Q11</f>
        <v>8571.2160000000003</v>
      </c>
      <c r="X13" s="553">
        <f>RRT!K10</f>
        <v>57359.519999999997</v>
      </c>
      <c r="Y13" s="553">
        <f>'TAXAS E MULTAS.'!E9</f>
        <v>4848.1360000000004</v>
      </c>
      <c r="Z13" s="554">
        <f t="shared" si="4"/>
        <v>161725.17600000001</v>
      </c>
      <c r="AA13" s="553">
        <v>74482.456000000006</v>
      </c>
      <c r="AB13" s="562">
        <v>6565.16</v>
      </c>
      <c r="AC13" s="553">
        <v>50412.320000000007</v>
      </c>
      <c r="AD13" s="553">
        <v>4253.7920000000004</v>
      </c>
      <c r="AE13" s="554">
        <f t="shared" si="5"/>
        <v>135713.728</v>
      </c>
      <c r="AF13" s="553">
        <f>'Anuid PF'!U12+'Anuid PF'!V12</f>
        <v>32152.328000000001</v>
      </c>
      <c r="AG13" s="553">
        <f>'Anuid PJ'!R11+'Anuid PJ'!S11</f>
        <v>1541.0800000000002</v>
      </c>
      <c r="AH13" s="553">
        <f>RRT!L10</f>
        <v>26642.400000000001</v>
      </c>
      <c r="AI13" s="553">
        <f>'TAXAS E MULTAS.'!F9</f>
        <v>3931.44</v>
      </c>
      <c r="AJ13" s="554">
        <f t="shared" si="6"/>
        <v>64267.248000000007</v>
      </c>
      <c r="AK13" s="553">
        <f t="shared" si="47"/>
        <v>75863.12</v>
      </c>
      <c r="AL13" s="553">
        <f t="shared" si="48"/>
        <v>7977.4160000000002</v>
      </c>
      <c r="AM13" s="553">
        <f t="shared" si="49"/>
        <v>74519.26400000001</v>
      </c>
      <c r="AN13" s="553">
        <f t="shared" si="50"/>
        <v>4800.2000000000007</v>
      </c>
      <c r="AO13" s="554">
        <f t="shared" si="8"/>
        <v>163160</v>
      </c>
      <c r="AP13" s="553">
        <f>'Anuid PF'!W12+'Anuid PF'!X12</f>
        <v>29309.848000000002</v>
      </c>
      <c r="AQ13" s="553">
        <f>'Anuid PJ'!T11+'Anuid PJ'!U11</f>
        <v>4565.3919999999998</v>
      </c>
      <c r="AR13" s="553">
        <f>RRT!M10</f>
        <v>27582.720000000001</v>
      </c>
      <c r="AS13" s="553">
        <f>'TAXAS E MULTAS.'!G9</f>
        <v>4578.5120000000006</v>
      </c>
      <c r="AT13" s="554">
        <f t="shared" si="9"/>
        <v>66036.472000000009</v>
      </c>
      <c r="AU13" s="553">
        <f t="shared" si="51"/>
        <v>90148.984000000011</v>
      </c>
      <c r="AV13" s="553">
        <f t="shared" si="52"/>
        <v>8431.4640000000018</v>
      </c>
      <c r="AW13" s="553">
        <f t="shared" si="53"/>
        <v>76490.271999999997</v>
      </c>
      <c r="AX13" s="553">
        <f t="shared" si="54"/>
        <v>7282.9280000000008</v>
      </c>
      <c r="AY13" s="554">
        <f t="shared" si="11"/>
        <v>182353.64800000004</v>
      </c>
      <c r="AZ13" s="553">
        <f>'Anuid PF'!Y12+'Anuid PF'!Z12</f>
        <v>59839.168000000012</v>
      </c>
      <c r="BA13" s="553">
        <f>'Anuid PJ'!V11+'Anuid PJ'!W11</f>
        <v>3954.1280000000002</v>
      </c>
      <c r="BB13" s="553">
        <f>RRT!N10</f>
        <v>68016.48000000001</v>
      </c>
      <c r="BC13" s="553">
        <f>'TAXAS E MULTAS.'!H9</f>
        <v>9590.1839999999993</v>
      </c>
      <c r="BD13" s="554">
        <f t="shared" si="12"/>
        <v>141399.96000000002</v>
      </c>
      <c r="BE13" s="553">
        <f t="shared" si="55"/>
        <v>87201.008000000002</v>
      </c>
      <c r="BF13" s="553">
        <f t="shared" si="56"/>
        <v>10995.400000000001</v>
      </c>
      <c r="BG13" s="553">
        <f t="shared" si="57"/>
        <v>73230.528000000006</v>
      </c>
      <c r="BH13" s="553">
        <f t="shared" si="58"/>
        <v>5141.5839999999998</v>
      </c>
      <c r="BI13" s="554">
        <f t="shared" si="14"/>
        <v>176568.52</v>
      </c>
      <c r="BJ13" s="553">
        <f>'Anuid PF'!AA12+'Anuid PF'!AB12</f>
        <v>114172.992</v>
      </c>
      <c r="BK13" s="553">
        <f>'Anuid PJ'!X11+'Anuid PJ'!Y11</f>
        <v>7805.4240000000009</v>
      </c>
      <c r="BL13" s="553">
        <f>RRT!O10</f>
        <v>85020.6</v>
      </c>
      <c r="BM13" s="553">
        <f>'TAXAS E MULTAS.'!I9</f>
        <v>5997.9920000000011</v>
      </c>
      <c r="BN13" s="554">
        <f t="shared" si="15"/>
        <v>212997.008</v>
      </c>
      <c r="BO13" s="553">
        <f t="shared" si="59"/>
        <v>42316.160000000003</v>
      </c>
      <c r="BP13" s="553">
        <f t="shared" si="16"/>
        <v>2932.9760000000001</v>
      </c>
      <c r="BQ13" s="553">
        <f t="shared" si="16"/>
        <v>82858.144</v>
      </c>
      <c r="BR13" s="553">
        <f t="shared" si="16"/>
        <v>6069.0960000000005</v>
      </c>
      <c r="BS13" s="554">
        <f t="shared" si="17"/>
        <v>134176.37599999999</v>
      </c>
      <c r="BT13" s="553">
        <f>'Anuid PF'!AC12+'Anuid PF'!AD12</f>
        <v>105884.87999999998</v>
      </c>
      <c r="BU13" s="553">
        <f>'Anuid PJ'!Z11+'Anuid PJ'!AA11</f>
        <v>9716.4</v>
      </c>
      <c r="BV13" s="553">
        <f>RRT!P10</f>
        <v>90740.88</v>
      </c>
      <c r="BW13" s="553">
        <f>'TAXAS E MULTAS.'!J9</f>
        <v>8096.8880000000017</v>
      </c>
      <c r="BX13" s="554">
        <f t="shared" si="18"/>
        <v>214439.04799999998</v>
      </c>
      <c r="BY13" s="553">
        <f t="shared" si="60"/>
        <v>32872.199999999997</v>
      </c>
      <c r="BZ13" s="553">
        <f t="shared" si="61"/>
        <v>4314.1760000000004</v>
      </c>
      <c r="CA13" s="553">
        <f t="shared" si="62"/>
        <v>84525.92</v>
      </c>
      <c r="CB13" s="553">
        <f t="shared" si="63"/>
        <v>7040.7439999999997</v>
      </c>
      <c r="CC13" s="554">
        <f t="shared" si="20"/>
        <v>128753.04000000001</v>
      </c>
      <c r="CD13" s="553">
        <f>'Anuid PF'!AE12+'Anuid PF'!AF12</f>
        <v>61582.208000000013</v>
      </c>
      <c r="CE13" s="553">
        <f>'Anuid PJ'!AB11+'Anuid PJ'!AC11</f>
        <v>5470.2800000000007</v>
      </c>
      <c r="CF13" s="553">
        <f>RRT!Q10</f>
        <v>88860.24</v>
      </c>
      <c r="CG13" s="553">
        <f>'TAXAS E MULTAS.'!K9</f>
        <v>13045.264000000003</v>
      </c>
      <c r="CH13" s="554">
        <f t="shared" si="21"/>
        <v>168957.992</v>
      </c>
      <c r="CI13" s="553">
        <f t="shared" si="64"/>
        <v>27704.36</v>
      </c>
      <c r="CJ13" s="553">
        <f t="shared" si="65"/>
        <v>4603.88</v>
      </c>
      <c r="CK13" s="553">
        <f t="shared" si="66"/>
        <v>85056.576000000001</v>
      </c>
      <c r="CL13" s="553">
        <f t="shared" si="67"/>
        <v>7683.1200000000008</v>
      </c>
      <c r="CM13" s="554">
        <f t="shared" si="23"/>
        <v>125047.936</v>
      </c>
      <c r="CN13" s="553">
        <f>'Anuid PF'!AG12+'Anuid PF'!AH12</f>
        <v>51341.808000000005</v>
      </c>
      <c r="CO13" s="553">
        <f>'Anuid PJ'!AD11+'Anuid PJ'!AE11</f>
        <v>1778.52</v>
      </c>
      <c r="CP13" s="553">
        <f>RRT!R10</f>
        <v>106334.52</v>
      </c>
      <c r="CQ13" s="553">
        <f>'TAXAS E MULTAS.'!L9</f>
        <v>9985.2560000000012</v>
      </c>
      <c r="CR13" s="554">
        <f t="shared" si="24"/>
        <v>169440.10399999999</v>
      </c>
      <c r="CS13" s="553">
        <f t="shared" si="68"/>
        <v>39724.384000000005</v>
      </c>
      <c r="CT13" s="553">
        <f t="shared" si="69"/>
        <v>5060.0720000000001</v>
      </c>
      <c r="CU13" s="553">
        <f t="shared" si="70"/>
        <v>101506.91200000001</v>
      </c>
      <c r="CV13" s="553">
        <f t="shared" si="71"/>
        <v>12744.400000000001</v>
      </c>
      <c r="CW13" s="554">
        <f t="shared" si="26"/>
        <v>159035.76800000001</v>
      </c>
      <c r="CX13" s="553">
        <f>'Anuid PF'!AI12+'Anuid PF'!AJ12</f>
        <v>32771.90400000001</v>
      </c>
      <c r="CY13" s="553">
        <f>'Anuid PJ'!AF11+'Anuid PJ'!AG11</f>
        <v>1825.2560000000003</v>
      </c>
      <c r="CZ13" s="553">
        <f>RRT!S10</f>
        <v>94267.080000000016</v>
      </c>
      <c r="DA13" s="553">
        <f>'TAXAS E MULTAS.'!M9</f>
        <v>9812.7599999999984</v>
      </c>
      <c r="DB13" s="554">
        <f t="shared" si="27"/>
        <v>138677.00000000003</v>
      </c>
      <c r="DC13" s="553">
        <f t="shared" si="72"/>
        <v>23759.624000000003</v>
      </c>
      <c r="DD13" s="553">
        <f t="shared" si="73"/>
        <v>3957.6320000000001</v>
      </c>
      <c r="DE13" s="553">
        <f t="shared" si="74"/>
        <v>79067.744000000006</v>
      </c>
      <c r="DF13" s="553">
        <f t="shared" si="75"/>
        <v>8131.2800000000007</v>
      </c>
      <c r="DG13" s="554">
        <f t="shared" si="29"/>
        <v>114916.28000000001</v>
      </c>
      <c r="DH13" s="553">
        <f>'Anuid PF'!AK12+'Anuid PF'!AL12</f>
        <v>32003.703999999998</v>
      </c>
      <c r="DI13" s="553">
        <f>'Anuid PJ'!AH11+'Anuid PJ'!AI11</f>
        <v>2751.9279999999999</v>
      </c>
      <c r="DJ13" s="553">
        <f>RRT!T10</f>
        <v>90035.640000000014</v>
      </c>
      <c r="DK13" s="553">
        <f>'TAXAS E MULTAS.'!N9</f>
        <v>11043.496000000001</v>
      </c>
      <c r="DL13" s="554">
        <f t="shared" si="30"/>
        <v>135834.76800000001</v>
      </c>
      <c r="DM13" s="553">
        <f t="shared" si="76"/>
        <v>23230.336000000003</v>
      </c>
      <c r="DN13" s="553">
        <f t="shared" si="77"/>
        <v>3756.1680000000006</v>
      </c>
      <c r="DO13" s="553">
        <f t="shared" si="78"/>
        <v>69440.128000000012</v>
      </c>
      <c r="DP13" s="553">
        <f t="shared" si="79"/>
        <v>6747.152000000001</v>
      </c>
      <c r="DQ13" s="552">
        <f t="shared" si="32"/>
        <v>103173.78400000001</v>
      </c>
      <c r="DR13" s="555">
        <f t="shared" si="33"/>
        <v>957908.32</v>
      </c>
      <c r="DS13" s="553">
        <f t="shared" si="34"/>
        <v>83576.535999999993</v>
      </c>
      <c r="DT13" s="553">
        <f t="shared" si="35"/>
        <v>879120.08800000011</v>
      </c>
      <c r="DU13" s="553">
        <f t="shared" si="36"/>
        <v>99510.183999999979</v>
      </c>
      <c r="DV13" s="554">
        <f t="shared" si="37"/>
        <v>2020115.128</v>
      </c>
      <c r="DW13" s="553">
        <f t="shared" si="80"/>
        <v>822242.82400000002</v>
      </c>
      <c r="DX13" s="553">
        <f t="shared" si="38"/>
        <v>90279.216000000015</v>
      </c>
      <c r="DY13" s="553">
        <f t="shared" si="39"/>
        <v>891133.82400000002</v>
      </c>
      <c r="DZ13" s="553">
        <f t="shared" si="40"/>
        <v>87075.856</v>
      </c>
      <c r="EA13" s="552">
        <f t="shared" si="41"/>
        <v>1890731.72</v>
      </c>
      <c r="EB13" s="551">
        <f t="shared" si="42"/>
        <v>16.49944420798009</v>
      </c>
      <c r="EC13" s="551">
        <f t="shared" si="43"/>
        <v>-7.4243887984140429</v>
      </c>
      <c r="ED13" s="551">
        <f t="shared" si="44"/>
        <v>-1.3481405010612519</v>
      </c>
      <c r="EE13" s="551">
        <f t="shared" si="45"/>
        <v>14.279880291960595</v>
      </c>
      <c r="EF13" s="550">
        <f t="shared" si="46"/>
        <v>6.8430336589476752</v>
      </c>
      <c r="EG13" s="561" t="str">
        <f t="shared" si="81"/>
        <v>MAIOR</v>
      </c>
    </row>
    <row r="14" spans="1:143">
      <c r="A14" s="556" t="s">
        <v>93</v>
      </c>
      <c r="B14" s="553">
        <f>'Anuid PF'!O13+'Anuid PF'!P13</f>
        <v>315692.22399999999</v>
      </c>
      <c r="C14" s="553">
        <f>'Anuid PJ'!L12+'Anuid PJ'!M12</f>
        <v>24767.208000000002</v>
      </c>
      <c r="D14" s="553">
        <f>RRT!I11</f>
        <v>96113.040000000008</v>
      </c>
      <c r="E14" s="553">
        <f>'TAXAS E MULTAS.'!C10</f>
        <v>22522.968000000004</v>
      </c>
      <c r="F14" s="554">
        <f t="shared" si="0"/>
        <v>459095.43999999994</v>
      </c>
      <c r="G14" s="553">
        <v>265421.20800000004</v>
      </c>
      <c r="H14" s="553">
        <v>17881.448</v>
      </c>
      <c r="I14" s="553">
        <v>76592.688000000009</v>
      </c>
      <c r="J14" s="553">
        <v>15095.766</v>
      </c>
      <c r="K14" s="554">
        <f t="shared" si="1"/>
        <v>374991.11000000004</v>
      </c>
      <c r="L14" s="553">
        <f>'Anuid PF'!Q13+'Anuid PF'!R13</f>
        <v>437737.50400000002</v>
      </c>
      <c r="M14" s="553">
        <f>'Anuid PJ'!N12+'Anuid PJ'!O12</f>
        <v>38037.800000000003</v>
      </c>
      <c r="N14" s="553">
        <f>RRT!J11</f>
        <v>94658.880000000005</v>
      </c>
      <c r="O14" s="553">
        <f>'TAXAS E MULTAS.'!D10</f>
        <v>16258.056000000002</v>
      </c>
      <c r="P14" s="554">
        <f t="shared" si="2"/>
        <v>586692.24</v>
      </c>
      <c r="Q14" s="553">
        <v>356014.72000000003</v>
      </c>
      <c r="R14" s="562">
        <v>37851.567999999999</v>
      </c>
      <c r="S14" s="553">
        <v>80659.712</v>
      </c>
      <c r="T14" s="553">
        <v>16223.255999999999</v>
      </c>
      <c r="U14" s="554">
        <f t="shared" si="3"/>
        <v>490749.25600000005</v>
      </c>
      <c r="V14" s="553">
        <f>'Anuid PF'!S13+'Anuid PF'!T13</f>
        <v>198782.856</v>
      </c>
      <c r="W14" s="553">
        <f>'Anuid PJ'!P12+'Anuid PJ'!Q12</f>
        <v>11481.616000000002</v>
      </c>
      <c r="X14" s="553">
        <f>RRT!K11</f>
        <v>93013.32</v>
      </c>
      <c r="Y14" s="553">
        <f>'TAXAS E MULTAS.'!E10</f>
        <v>16483.400000000001</v>
      </c>
      <c r="Z14" s="554">
        <f t="shared" si="4"/>
        <v>319761.19200000004</v>
      </c>
      <c r="AA14" s="553">
        <v>149392.16600000003</v>
      </c>
      <c r="AB14" s="562">
        <v>18774.024000000001</v>
      </c>
      <c r="AC14" s="553">
        <v>85587.232000000004</v>
      </c>
      <c r="AD14" s="553">
        <v>11402.296</v>
      </c>
      <c r="AE14" s="554">
        <f t="shared" si="5"/>
        <v>265155.71799999999</v>
      </c>
      <c r="AF14" s="553">
        <f>'Anuid PF'!U13+'Anuid PF'!V13</f>
        <v>105892.60800000001</v>
      </c>
      <c r="AG14" s="553">
        <f>'Anuid PJ'!R12+'Anuid PJ'!S12</f>
        <v>8460.2800000000007</v>
      </c>
      <c r="AH14" s="553">
        <f>RRT!L11</f>
        <v>51952.68</v>
      </c>
      <c r="AI14" s="553">
        <f>'TAXAS E MULTAS.'!F10</f>
        <v>10684.04</v>
      </c>
      <c r="AJ14" s="554">
        <f t="shared" si="6"/>
        <v>176989.60800000001</v>
      </c>
      <c r="AK14" s="553">
        <f t="shared" si="47"/>
        <v>149879.68200000003</v>
      </c>
      <c r="AL14" s="553">
        <f t="shared" si="48"/>
        <v>20631.864000000001</v>
      </c>
      <c r="AM14" s="553">
        <f t="shared" si="49"/>
        <v>108557.05600000001</v>
      </c>
      <c r="AN14" s="553">
        <f t="shared" si="50"/>
        <v>12336.094000000001</v>
      </c>
      <c r="AO14" s="554">
        <f t="shared" si="8"/>
        <v>291404.69600000005</v>
      </c>
      <c r="AP14" s="553">
        <f>'Anuid PF'!W13+'Anuid PF'!X13</f>
        <v>89979.736000000004</v>
      </c>
      <c r="AQ14" s="553">
        <f>'Anuid PJ'!T12+'Anuid PJ'!U12</f>
        <v>5391.0159999999996</v>
      </c>
      <c r="AR14" s="553">
        <f>RRT!M11</f>
        <v>73815.12</v>
      </c>
      <c r="AS14" s="553">
        <f>'TAXAS E MULTAS.'!G10</f>
        <v>14942.055999999999</v>
      </c>
      <c r="AT14" s="554">
        <f t="shared" si="9"/>
        <v>184127.92800000001</v>
      </c>
      <c r="AU14" s="553">
        <f t="shared" si="51"/>
        <v>172483.56800000003</v>
      </c>
      <c r="AV14" s="553">
        <f t="shared" si="52"/>
        <v>19539.248000000003</v>
      </c>
      <c r="AW14" s="553">
        <f t="shared" si="53"/>
        <v>121444.416</v>
      </c>
      <c r="AX14" s="553">
        <f t="shared" si="54"/>
        <v>13655.744000000002</v>
      </c>
      <c r="AY14" s="554">
        <f t="shared" si="11"/>
        <v>327122.97600000002</v>
      </c>
      <c r="AZ14" s="553">
        <f>'Anuid PF'!Y13+'Anuid PF'!Z13</f>
        <v>111086.16800000001</v>
      </c>
      <c r="BA14" s="553">
        <f>'Anuid PJ'!V12+'Anuid PJ'!W12</f>
        <v>12255.504000000001</v>
      </c>
      <c r="BB14" s="553">
        <f>RRT!N11</f>
        <v>99047.040000000008</v>
      </c>
      <c r="BC14" s="553">
        <f>'TAXAS E MULTAS.'!H10</f>
        <v>10220.784000000001</v>
      </c>
      <c r="BD14" s="554">
        <f t="shared" si="12"/>
        <v>232609.49600000001</v>
      </c>
      <c r="BE14" s="553">
        <f t="shared" si="55"/>
        <v>181574.872</v>
      </c>
      <c r="BF14" s="553">
        <f t="shared" si="56"/>
        <v>26182.36</v>
      </c>
      <c r="BG14" s="553">
        <f t="shared" si="57"/>
        <v>99005.248000000007</v>
      </c>
      <c r="BH14" s="553">
        <f t="shared" si="58"/>
        <v>16153.032000000001</v>
      </c>
      <c r="BI14" s="554">
        <f t="shared" si="14"/>
        <v>322915.51200000005</v>
      </c>
      <c r="BJ14" s="553">
        <f>'Anuid PF'!AA13+'Anuid PF'!AB13</f>
        <v>137918.07200000001</v>
      </c>
      <c r="BK14" s="553">
        <f>'Anuid PJ'!X12+'Anuid PJ'!Y12</f>
        <v>9183.9679999999989</v>
      </c>
      <c r="BL14" s="553">
        <f>RRT!O11</f>
        <v>116364.6</v>
      </c>
      <c r="BM14" s="553">
        <f>'TAXAS E MULTAS.'!I10</f>
        <v>9663.52</v>
      </c>
      <c r="BN14" s="554">
        <f t="shared" si="15"/>
        <v>273130.16000000003</v>
      </c>
      <c r="BO14" s="553">
        <f t="shared" si="59"/>
        <v>76029.272000000012</v>
      </c>
      <c r="BP14" s="553">
        <f t="shared" si="16"/>
        <v>14565.272000000001</v>
      </c>
      <c r="BQ14" s="553">
        <f t="shared" si="16"/>
        <v>116062.04800000001</v>
      </c>
      <c r="BR14" s="553">
        <f t="shared" si="16"/>
        <v>22560.887999999999</v>
      </c>
      <c r="BS14" s="554">
        <f t="shared" si="17"/>
        <v>229217.48</v>
      </c>
      <c r="BT14" s="553">
        <f>'Anuid PF'!AC13+'Anuid PF'!AD13</f>
        <v>183438.67200000002</v>
      </c>
      <c r="BU14" s="553">
        <f>'Anuid PJ'!Z12+'Anuid PJ'!AA12</f>
        <v>22177.776000000002</v>
      </c>
      <c r="BV14" s="553">
        <f>RRT!P11</f>
        <v>134152.32000000001</v>
      </c>
      <c r="BW14" s="553">
        <f>'TAXAS E MULTAS.'!J10</f>
        <v>17413.232</v>
      </c>
      <c r="BX14" s="554">
        <f t="shared" si="18"/>
        <v>357182.00000000006</v>
      </c>
      <c r="BY14" s="553">
        <f t="shared" si="60"/>
        <v>75932.495999999999</v>
      </c>
      <c r="BZ14" s="553">
        <f t="shared" si="61"/>
        <v>6929.2800000000007</v>
      </c>
      <c r="CA14" s="553">
        <f t="shared" si="62"/>
        <v>108632.864</v>
      </c>
      <c r="CB14" s="553">
        <f t="shared" si="63"/>
        <v>19361.696</v>
      </c>
      <c r="CC14" s="554">
        <f t="shared" si="20"/>
        <v>210856.33600000001</v>
      </c>
      <c r="CD14" s="553">
        <f>'Anuid PF'!AE13+'Anuid PF'!AF13</f>
        <v>75119.831999999995</v>
      </c>
      <c r="CE14" s="553">
        <f>'Anuid PJ'!AB12+'Anuid PJ'!AC12</f>
        <v>4817.9279999999999</v>
      </c>
      <c r="CF14" s="553">
        <f>RRT!Q11</f>
        <v>114719.03999999999</v>
      </c>
      <c r="CG14" s="553">
        <f>'TAXAS E MULTAS.'!K10</f>
        <v>16664.072</v>
      </c>
      <c r="CH14" s="554">
        <f t="shared" si="21"/>
        <v>211320.87199999997</v>
      </c>
      <c r="CI14" s="553">
        <f t="shared" si="64"/>
        <v>65102.696000000011</v>
      </c>
      <c r="CJ14" s="553">
        <f t="shared" si="65"/>
        <v>7523.4639999999999</v>
      </c>
      <c r="CK14" s="553">
        <f t="shared" si="66"/>
        <v>102492.41600000001</v>
      </c>
      <c r="CL14" s="553">
        <f t="shared" si="67"/>
        <v>19168.440000000002</v>
      </c>
      <c r="CM14" s="554">
        <f t="shared" si="23"/>
        <v>194287.016</v>
      </c>
      <c r="CN14" s="553">
        <f>'Anuid PF'!AG13+'Anuid PF'!AH13</f>
        <v>91923.568000000014</v>
      </c>
      <c r="CO14" s="553">
        <f>'Anuid PJ'!AD12+'Anuid PJ'!AE12</f>
        <v>5070.6000000000004</v>
      </c>
      <c r="CP14" s="553">
        <f>RRT!R11</f>
        <v>131174.63999999998</v>
      </c>
      <c r="CQ14" s="553">
        <f>'TAXAS E MULTAS.'!L10</f>
        <v>20630.543999999998</v>
      </c>
      <c r="CR14" s="554">
        <f t="shared" si="24"/>
        <v>248799.35200000001</v>
      </c>
      <c r="CS14" s="553">
        <f t="shared" si="68"/>
        <v>71558.008000000002</v>
      </c>
      <c r="CT14" s="553">
        <f t="shared" si="69"/>
        <v>6143.0560000000005</v>
      </c>
      <c r="CU14" s="553">
        <f t="shared" si="70"/>
        <v>118033.05600000001</v>
      </c>
      <c r="CV14" s="553">
        <f t="shared" si="71"/>
        <v>20638.696</v>
      </c>
      <c r="CW14" s="554">
        <f t="shared" si="26"/>
        <v>216372.81599999999</v>
      </c>
      <c r="CX14" s="553">
        <f>'Anuid PF'!AI13+'Anuid PF'!AJ13</f>
        <v>63964.296000000009</v>
      </c>
      <c r="CY14" s="553">
        <f>'Anuid PJ'!AF12+'Anuid PJ'!AG12</f>
        <v>5515.0000000000009</v>
      </c>
      <c r="CZ14" s="553">
        <f>RRT!S11</f>
        <v>126237.96000000002</v>
      </c>
      <c r="DA14" s="553">
        <f>'TAXAS E MULTAS.'!M10</f>
        <v>22226.432000000004</v>
      </c>
      <c r="DB14" s="554">
        <f t="shared" si="27"/>
        <v>217943.68800000005</v>
      </c>
      <c r="DC14" s="553">
        <f t="shared" si="72"/>
        <v>62569.216000000008</v>
      </c>
      <c r="DD14" s="553">
        <f t="shared" si="73"/>
        <v>7454.3360000000002</v>
      </c>
      <c r="DE14" s="553">
        <f t="shared" si="74"/>
        <v>99232.672000000006</v>
      </c>
      <c r="DF14" s="553">
        <f t="shared" si="75"/>
        <v>18729.064000000002</v>
      </c>
      <c r="DG14" s="554">
        <f t="shared" si="29"/>
        <v>187985.28800000003</v>
      </c>
      <c r="DH14" s="553">
        <f>'Anuid PF'!AK13+'Anuid PF'!AL13</f>
        <v>56770.40800000001</v>
      </c>
      <c r="DI14" s="553">
        <f>'Anuid PJ'!AH12+'Anuid PJ'!AI12</f>
        <v>7249.4160000000011</v>
      </c>
      <c r="DJ14" s="553">
        <f>RRT!T11</f>
        <v>106334.52</v>
      </c>
      <c r="DK14" s="553">
        <f>'TAXAS E MULTAS.'!N10</f>
        <v>15818.215999999999</v>
      </c>
      <c r="DL14" s="554">
        <f t="shared" si="30"/>
        <v>186172.56</v>
      </c>
      <c r="DM14" s="553">
        <f t="shared" si="76"/>
        <v>61385.640000000007</v>
      </c>
      <c r="DN14" s="553">
        <f t="shared" si="77"/>
        <v>8822.8559999999998</v>
      </c>
      <c r="DO14" s="553">
        <f t="shared" si="78"/>
        <v>91197.024000000005</v>
      </c>
      <c r="DP14" s="553">
        <f t="shared" si="79"/>
        <v>21732.407999999999</v>
      </c>
      <c r="DQ14" s="552">
        <f t="shared" si="32"/>
        <v>183137.92800000001</v>
      </c>
      <c r="DR14" s="555">
        <f t="shared" si="33"/>
        <v>1868305.9440000001</v>
      </c>
      <c r="DS14" s="553">
        <f t="shared" si="34"/>
        <v>154408.11200000002</v>
      </c>
      <c r="DT14" s="553">
        <f t="shared" si="35"/>
        <v>1237583.1600000001</v>
      </c>
      <c r="DU14" s="553">
        <f t="shared" si="36"/>
        <v>193527.32</v>
      </c>
      <c r="DV14" s="554">
        <f t="shared" si="37"/>
        <v>3453824.5359999998</v>
      </c>
      <c r="DW14" s="553">
        <f t="shared" si="80"/>
        <v>1687343.544</v>
      </c>
      <c r="DX14" s="553">
        <f t="shared" si="38"/>
        <v>192298.77600000004</v>
      </c>
      <c r="DY14" s="553">
        <f t="shared" si="39"/>
        <v>1207496.432</v>
      </c>
      <c r="DZ14" s="553">
        <f t="shared" si="40"/>
        <v>207057.38</v>
      </c>
      <c r="EA14" s="552">
        <f t="shared" si="41"/>
        <v>3294196.1320000002</v>
      </c>
      <c r="EB14" s="551">
        <f t="shared" si="42"/>
        <v>10.724692114032237</v>
      </c>
      <c r="EC14" s="551">
        <f t="shared" si="43"/>
        <v>-19.704058854747998</v>
      </c>
      <c r="ED14" s="551">
        <f t="shared" si="44"/>
        <v>2.4916618552790908</v>
      </c>
      <c r="EE14" s="551">
        <f t="shared" si="45"/>
        <v>-6.5344495327816787</v>
      </c>
      <c r="EF14" s="550">
        <f t="shared" si="46"/>
        <v>4.8457468105605557</v>
      </c>
      <c r="EG14" s="561" t="str">
        <f t="shared" si="81"/>
        <v>MAIOR</v>
      </c>
    </row>
    <row r="15" spans="1:143">
      <c r="A15" s="556" t="s">
        <v>94</v>
      </c>
      <c r="B15" s="553">
        <f>'Anuid PF'!O14+'Anuid PF'!P14</f>
        <v>222386.18400000001</v>
      </c>
      <c r="C15" s="553">
        <f>'Anuid PJ'!L13+'Anuid PJ'!M13</f>
        <v>20218.824000000001</v>
      </c>
      <c r="D15" s="553">
        <f>RRT!I12</f>
        <v>79599.495999999999</v>
      </c>
      <c r="E15" s="553">
        <f>'TAXAS E MULTAS.'!C11</f>
        <v>12693.168</v>
      </c>
      <c r="F15" s="554">
        <f t="shared" si="0"/>
        <v>334897.67200000002</v>
      </c>
      <c r="G15" s="553">
        <v>178211.64800000002</v>
      </c>
      <c r="H15" s="553">
        <v>17561.64</v>
      </c>
      <c r="I15" s="553">
        <v>71301.775999999998</v>
      </c>
      <c r="J15" s="553">
        <v>11762.76</v>
      </c>
      <c r="K15" s="554">
        <f t="shared" si="1"/>
        <v>278837.82400000002</v>
      </c>
      <c r="L15" s="553">
        <f>'Anuid PF'!Q14+'Anuid PF'!R14</f>
        <v>300011.984</v>
      </c>
      <c r="M15" s="553">
        <f>'Anuid PJ'!N13+'Anuid PJ'!O13</f>
        <v>48583.224000000002</v>
      </c>
      <c r="N15" s="553">
        <f>RRT!J12</f>
        <v>78908.52</v>
      </c>
      <c r="O15" s="553">
        <f>'TAXAS E MULTAS.'!D11</f>
        <v>11108.432000000001</v>
      </c>
      <c r="P15" s="554">
        <f t="shared" si="2"/>
        <v>438612.16000000003</v>
      </c>
      <c r="Q15" s="553">
        <v>284648.16000000003</v>
      </c>
      <c r="R15" s="562">
        <v>35028.04</v>
      </c>
      <c r="S15" s="553">
        <v>92558.96</v>
      </c>
      <c r="T15" s="553">
        <v>10784.656000000001</v>
      </c>
      <c r="U15" s="554">
        <f t="shared" si="3"/>
        <v>423019.81600000005</v>
      </c>
      <c r="V15" s="553">
        <f>'Anuid PF'!S14+'Anuid PF'!T14</f>
        <v>119993.08800000002</v>
      </c>
      <c r="W15" s="553">
        <f>'Anuid PJ'!P13+'Anuid PJ'!Q13</f>
        <v>15979.864000000001</v>
      </c>
      <c r="X15" s="553">
        <f>RRT!K12</f>
        <v>81102.600000000006</v>
      </c>
      <c r="Y15" s="553">
        <f>'TAXAS E MULTAS.'!E11</f>
        <v>9799.7920000000013</v>
      </c>
      <c r="Z15" s="554">
        <f t="shared" si="4"/>
        <v>226875.34400000004</v>
      </c>
      <c r="AA15" s="553">
        <v>108404.136</v>
      </c>
      <c r="AB15" s="562">
        <v>13065.791999999999</v>
      </c>
      <c r="AC15" s="553">
        <v>70956.288</v>
      </c>
      <c r="AD15" s="553">
        <v>9751.56</v>
      </c>
      <c r="AE15" s="554">
        <f t="shared" si="5"/>
        <v>202177.77600000001</v>
      </c>
      <c r="AF15" s="553">
        <f>'Anuid PF'!U14+'Anuid PF'!V14</f>
        <v>52873.472000000009</v>
      </c>
      <c r="AG15" s="553">
        <f>'Anuid PJ'!R13+'Anuid PJ'!S13</f>
        <v>4832.7839999999997</v>
      </c>
      <c r="AH15" s="553">
        <f>RRT!L12</f>
        <v>44351.76</v>
      </c>
      <c r="AI15" s="553">
        <f>'TAXAS E MULTAS.'!F11</f>
        <v>6983.8159999999998</v>
      </c>
      <c r="AJ15" s="554">
        <f t="shared" si="6"/>
        <v>109041.83200000001</v>
      </c>
      <c r="AK15" s="553">
        <f t="shared" si="47"/>
        <v>98665.640000000014</v>
      </c>
      <c r="AL15" s="553">
        <f t="shared" si="48"/>
        <v>11587.088000000002</v>
      </c>
      <c r="AM15" s="553">
        <f t="shared" si="49"/>
        <v>93243.840000000011</v>
      </c>
      <c r="AN15" s="553">
        <f t="shared" si="50"/>
        <v>9873.2159999999985</v>
      </c>
      <c r="AO15" s="554">
        <f t="shared" si="8"/>
        <v>213369.78400000001</v>
      </c>
      <c r="AP15" s="553">
        <f>'Anuid PF'!W14+'Anuid PF'!X14</f>
        <v>47952.856</v>
      </c>
      <c r="AQ15" s="553">
        <f>'Anuid PJ'!T13+'Anuid PJ'!U13</f>
        <v>5216.32</v>
      </c>
      <c r="AR15" s="553">
        <f>RRT!M12</f>
        <v>65822.400000000009</v>
      </c>
      <c r="AS15" s="553">
        <f>'TAXAS E MULTAS.'!G11</f>
        <v>4861.9359999999997</v>
      </c>
      <c r="AT15" s="554">
        <f t="shared" si="9"/>
        <v>123853.512</v>
      </c>
      <c r="AU15" s="553">
        <f t="shared" si="51"/>
        <v>122557.81600000001</v>
      </c>
      <c r="AV15" s="553">
        <f t="shared" si="52"/>
        <v>15977.44</v>
      </c>
      <c r="AW15" s="553">
        <f t="shared" si="53"/>
        <v>92940.608000000007</v>
      </c>
      <c r="AX15" s="553">
        <f t="shared" si="54"/>
        <v>7561.688000000001</v>
      </c>
      <c r="AY15" s="554">
        <f t="shared" si="11"/>
        <v>239037.552</v>
      </c>
      <c r="AZ15" s="553">
        <f>'Anuid PF'!Y14+'Anuid PF'!Z14</f>
        <v>59566.488000000005</v>
      </c>
      <c r="BA15" s="553">
        <f>'Anuid PJ'!V13+'Anuid PJ'!W13</f>
        <v>4733.9359999999997</v>
      </c>
      <c r="BB15" s="553">
        <f>RRT!N12</f>
        <v>75460.680000000008</v>
      </c>
      <c r="BC15" s="553">
        <f>'TAXAS E MULTAS.'!H11</f>
        <v>4955.6320000000005</v>
      </c>
      <c r="BD15" s="554">
        <f t="shared" si="12"/>
        <v>144716.73600000003</v>
      </c>
      <c r="BE15" s="553">
        <f t="shared" si="55"/>
        <v>117376.89600000001</v>
      </c>
      <c r="BF15" s="553">
        <f t="shared" si="56"/>
        <v>13562.936000000002</v>
      </c>
      <c r="BG15" s="553">
        <f t="shared" si="57"/>
        <v>85966.271999999997</v>
      </c>
      <c r="BH15" s="553">
        <f t="shared" si="58"/>
        <v>8649.224000000002</v>
      </c>
      <c r="BI15" s="554">
        <f t="shared" si="14"/>
        <v>225555.32799999998</v>
      </c>
      <c r="BJ15" s="553">
        <f>'Anuid PF'!AA14+'Anuid PF'!AB14</f>
        <v>104288.41600000001</v>
      </c>
      <c r="BK15" s="553">
        <f>'Anuid PJ'!X13+'Anuid PJ'!Y13</f>
        <v>9744.6959999999999</v>
      </c>
      <c r="BL15" s="553">
        <f>RRT!O12</f>
        <v>97009.680000000008</v>
      </c>
      <c r="BM15" s="553">
        <f>'TAXAS E MULTAS.'!I11</f>
        <v>4963.3040000000001</v>
      </c>
      <c r="BN15" s="554">
        <f t="shared" si="15"/>
        <v>216006.09600000002</v>
      </c>
      <c r="BO15" s="553">
        <f t="shared" si="59"/>
        <v>55918.544000000002</v>
      </c>
      <c r="BP15" s="553">
        <f t="shared" si="16"/>
        <v>11516.064</v>
      </c>
      <c r="BQ15" s="553">
        <f t="shared" si="16"/>
        <v>109087.71200000001</v>
      </c>
      <c r="BR15" s="553">
        <f t="shared" si="16"/>
        <v>12463.784000000001</v>
      </c>
      <c r="BS15" s="554">
        <f t="shared" si="17"/>
        <v>188986.10400000002</v>
      </c>
      <c r="BT15" s="553">
        <f>'Anuid PF'!AC14+'Anuid PF'!AD14</f>
        <v>137172.45600000001</v>
      </c>
      <c r="BU15" s="553">
        <f>'Anuid PJ'!Z13+'Anuid PJ'!AA13</f>
        <v>14858.976000000002</v>
      </c>
      <c r="BV15" s="553">
        <f>RRT!P12</f>
        <v>110957.76000000004</v>
      </c>
      <c r="BW15" s="553">
        <f>'TAXAS E MULTAS.'!J11</f>
        <v>6655.6</v>
      </c>
      <c r="BX15" s="554">
        <f t="shared" si="18"/>
        <v>269644.79200000002</v>
      </c>
      <c r="BY15" s="553">
        <f t="shared" si="60"/>
        <v>50544.527999999998</v>
      </c>
      <c r="BZ15" s="553">
        <f t="shared" si="61"/>
        <v>10658.984</v>
      </c>
      <c r="CA15" s="553">
        <f t="shared" si="62"/>
        <v>114318.46399999999</v>
      </c>
      <c r="CB15" s="553">
        <f t="shared" si="63"/>
        <v>13513.76</v>
      </c>
      <c r="CC15" s="554">
        <f t="shared" si="20"/>
        <v>189035.736</v>
      </c>
      <c r="CD15" s="553">
        <f>'Anuid PF'!AE14+'Anuid PF'!AF14</f>
        <v>36993.696000000004</v>
      </c>
      <c r="CE15" s="553">
        <f>'Anuid PJ'!AB13+'Anuid PJ'!AC13</f>
        <v>6047.9920000000011</v>
      </c>
      <c r="CF15" s="553">
        <f>RRT!Q12</f>
        <v>97323.12</v>
      </c>
      <c r="CG15" s="553">
        <f>'TAXAS E MULTAS.'!K11</f>
        <v>7214.0720000000001</v>
      </c>
      <c r="CH15" s="554">
        <f t="shared" si="21"/>
        <v>147578.88</v>
      </c>
      <c r="CI15" s="553">
        <f t="shared" si="64"/>
        <v>48429.456000000006</v>
      </c>
      <c r="CJ15" s="553">
        <f t="shared" si="65"/>
        <v>7861.3680000000004</v>
      </c>
      <c r="CK15" s="553">
        <f t="shared" si="66"/>
        <v>99990.752000000008</v>
      </c>
      <c r="CL15" s="553">
        <f t="shared" si="67"/>
        <v>12759.784000000001</v>
      </c>
      <c r="CM15" s="554">
        <f t="shared" si="23"/>
        <v>169041.36000000002</v>
      </c>
      <c r="CN15" s="553">
        <f>'Anuid PF'!AG14+'Anuid PF'!AH14</f>
        <v>34616.512000000002</v>
      </c>
      <c r="CO15" s="553">
        <f>'Anuid PJ'!AD13+'Anuid PJ'!AE13</f>
        <v>5283.4480000000003</v>
      </c>
      <c r="CP15" s="553">
        <f>RRT!R12</f>
        <v>122711.76000000001</v>
      </c>
      <c r="CQ15" s="553">
        <f>'TAXAS E MULTAS.'!L11</f>
        <v>8883.7200000000012</v>
      </c>
      <c r="CR15" s="554">
        <f t="shared" si="24"/>
        <v>171495.44000000003</v>
      </c>
      <c r="CS15" s="553">
        <f t="shared" si="68"/>
        <v>50429.4</v>
      </c>
      <c r="CT15" s="553">
        <f t="shared" si="69"/>
        <v>10504.744000000001</v>
      </c>
      <c r="CU15" s="553">
        <f t="shared" si="70"/>
        <v>120004.064</v>
      </c>
      <c r="CV15" s="553">
        <f t="shared" si="71"/>
        <v>19185.920000000002</v>
      </c>
      <c r="CW15" s="554">
        <f t="shared" si="26"/>
        <v>200124.128</v>
      </c>
      <c r="CX15" s="553">
        <f>'Anuid PF'!AI14+'Anuid PF'!AJ14</f>
        <v>25171.239999999998</v>
      </c>
      <c r="CY15" s="553">
        <f>'Anuid PJ'!AF13+'Anuid PJ'!AG13</f>
        <v>5062.3760000000002</v>
      </c>
      <c r="CZ15" s="553">
        <f>RRT!S12</f>
        <v>102573.24</v>
      </c>
      <c r="DA15" s="553">
        <f>'TAXAS E MULTAS.'!M11</f>
        <v>9636.3040000000001</v>
      </c>
      <c r="DB15" s="554">
        <f t="shared" si="27"/>
        <v>142443.16</v>
      </c>
      <c r="DC15" s="553">
        <f t="shared" si="72"/>
        <v>36865.848000000005</v>
      </c>
      <c r="DD15" s="553">
        <f t="shared" si="73"/>
        <v>5425.4319999999998</v>
      </c>
      <c r="DE15" s="553">
        <f t="shared" si="74"/>
        <v>95745.504000000015</v>
      </c>
      <c r="DF15" s="553">
        <f t="shared" si="75"/>
        <v>19400.431999999997</v>
      </c>
      <c r="DG15" s="554">
        <f t="shared" si="29"/>
        <v>157437.21600000001</v>
      </c>
      <c r="DH15" s="553">
        <f>'Anuid PF'!AK14+'Anuid PF'!AL14</f>
        <v>40053.383999999998</v>
      </c>
      <c r="DI15" s="553">
        <f>'Anuid PJ'!AH13+'Anuid PJ'!AI13</f>
        <v>5945.28</v>
      </c>
      <c r="DJ15" s="553">
        <f>RRT!T12</f>
        <v>98185.080000000016</v>
      </c>
      <c r="DK15" s="553">
        <f>'TAXAS E MULTAS.'!N11</f>
        <v>15517.103999999999</v>
      </c>
      <c r="DL15" s="554">
        <f t="shared" si="30"/>
        <v>159700.848</v>
      </c>
      <c r="DM15" s="553">
        <f t="shared" si="76"/>
        <v>42138.008000000002</v>
      </c>
      <c r="DN15" s="553">
        <f t="shared" si="77"/>
        <v>5518.9520000000011</v>
      </c>
      <c r="DO15" s="553">
        <f t="shared" si="78"/>
        <v>89984.096000000005</v>
      </c>
      <c r="DP15" s="553">
        <f t="shared" si="79"/>
        <v>18776.952000000005</v>
      </c>
      <c r="DQ15" s="552">
        <f t="shared" si="32"/>
        <v>156418.00800000003</v>
      </c>
      <c r="DR15" s="555">
        <f t="shared" si="33"/>
        <v>1181079.7760000003</v>
      </c>
      <c r="DS15" s="553">
        <f t="shared" si="34"/>
        <v>146507.72</v>
      </c>
      <c r="DT15" s="553">
        <f t="shared" si="35"/>
        <v>1054006.0960000001</v>
      </c>
      <c r="DU15" s="553">
        <f t="shared" si="36"/>
        <v>103272.88</v>
      </c>
      <c r="DV15" s="554">
        <f t="shared" si="37"/>
        <v>2484866.4720000001</v>
      </c>
      <c r="DW15" s="553">
        <f t="shared" si="80"/>
        <v>1194190.0799999998</v>
      </c>
      <c r="DX15" s="553">
        <f t="shared" si="38"/>
        <v>158268.47999999998</v>
      </c>
      <c r="DY15" s="553">
        <f t="shared" si="39"/>
        <v>1136098.3359999999</v>
      </c>
      <c r="DZ15" s="553">
        <f t="shared" si="40"/>
        <v>154483.73599999998</v>
      </c>
      <c r="EA15" s="552">
        <f t="shared" si="41"/>
        <v>2643040.6319999998</v>
      </c>
      <c r="EB15" s="551">
        <f t="shared" si="42"/>
        <v>-1.0978406385689965</v>
      </c>
      <c r="EC15" s="551">
        <f t="shared" si="43"/>
        <v>-7.4308921144627078</v>
      </c>
      <c r="ED15" s="551">
        <f t="shared" si="44"/>
        <v>-7.2258040874377087</v>
      </c>
      <c r="EE15" s="551">
        <f t="shared" si="45"/>
        <v>-33.149674733397163</v>
      </c>
      <c r="EF15" s="550">
        <f t="shared" si="46"/>
        <v>-5.9845527187491143</v>
      </c>
      <c r="EG15" s="561" t="str">
        <f t="shared" si="81"/>
        <v>menor</v>
      </c>
    </row>
    <row r="16" spans="1:143">
      <c r="A16" s="556" t="s">
        <v>95</v>
      </c>
      <c r="B16" s="553">
        <f>'Anuid PF'!O15+'Anuid PF'!P15</f>
        <v>196732.08</v>
      </c>
      <c r="C16" s="553">
        <f>'Anuid PJ'!L14+'Anuid PJ'!M14</f>
        <v>18903.792000000001</v>
      </c>
      <c r="D16" s="553">
        <f>RRT!I13</f>
        <v>156191.44</v>
      </c>
      <c r="E16" s="553">
        <f>'TAXAS E MULTAS.'!C12</f>
        <v>13902</v>
      </c>
      <c r="F16" s="554">
        <f t="shared" si="0"/>
        <v>385729.31199999998</v>
      </c>
      <c r="G16" s="553">
        <v>171363.09600000002</v>
      </c>
      <c r="H16" s="553">
        <v>16211.032000000001</v>
      </c>
      <c r="I16" s="553">
        <v>120937.93600000002</v>
      </c>
      <c r="J16" s="553">
        <v>12952.28</v>
      </c>
      <c r="K16" s="554">
        <f t="shared" si="1"/>
        <v>321464.34400000004</v>
      </c>
      <c r="L16" s="553">
        <f>'Anuid PF'!Q15+'Anuid PF'!R15</f>
        <v>244967.74400000001</v>
      </c>
      <c r="M16" s="553">
        <f>'Anuid PJ'!N14+'Anuid PJ'!O14</f>
        <v>37232.728000000003</v>
      </c>
      <c r="N16" s="553">
        <f>RRT!J13</f>
        <v>162048.48000000001</v>
      </c>
      <c r="O16" s="553">
        <f>'TAXAS E MULTAS.'!D12</f>
        <v>13566.871999999999</v>
      </c>
      <c r="P16" s="554">
        <f t="shared" si="2"/>
        <v>457815.82400000002</v>
      </c>
      <c r="Q16" s="553">
        <v>228617.11200000002</v>
      </c>
      <c r="R16" s="562">
        <v>35977.599999999999</v>
      </c>
      <c r="S16" s="553">
        <v>150782.11200000002</v>
      </c>
      <c r="T16" s="553">
        <v>17616.072000000004</v>
      </c>
      <c r="U16" s="554">
        <f t="shared" si="3"/>
        <v>432992.89600000001</v>
      </c>
      <c r="V16" s="553">
        <f>'Anuid PF'!S15+'Anuid PF'!T15</f>
        <v>142554.62400000001</v>
      </c>
      <c r="W16" s="553">
        <f>'Anuid PJ'!P14+'Anuid PJ'!Q14</f>
        <v>17098.72</v>
      </c>
      <c r="X16" s="553">
        <f>RRT!K13</f>
        <v>160638</v>
      </c>
      <c r="Y16" s="553">
        <f>'TAXAS E MULTAS.'!E12</f>
        <v>12007.431999999999</v>
      </c>
      <c r="Z16" s="554">
        <f t="shared" si="4"/>
        <v>332298.77600000001</v>
      </c>
      <c r="AA16" s="553">
        <v>111429.32800000001</v>
      </c>
      <c r="AB16" s="562">
        <v>11519.376</v>
      </c>
      <c r="AC16" s="553">
        <v>165034.016</v>
      </c>
      <c r="AD16" s="553">
        <v>23278.063999999998</v>
      </c>
      <c r="AE16" s="554">
        <f t="shared" si="5"/>
        <v>311260.78400000004</v>
      </c>
      <c r="AF16" s="553">
        <f>'Anuid PF'!U15+'Anuid PF'!V15</f>
        <v>67473.576000000001</v>
      </c>
      <c r="AG16" s="553">
        <f>'Anuid PJ'!R14+'Anuid PJ'!S14</f>
        <v>10470.248000000001</v>
      </c>
      <c r="AH16" s="553">
        <f>RRT!L13</f>
        <v>110409.23999999999</v>
      </c>
      <c r="AI16" s="553">
        <f>'TAXAS E MULTAS.'!F12</f>
        <v>10820.216000000002</v>
      </c>
      <c r="AJ16" s="554">
        <f t="shared" si="6"/>
        <v>199173.28000000003</v>
      </c>
      <c r="AK16" s="553">
        <f t="shared" si="47"/>
        <v>121485.31200000001</v>
      </c>
      <c r="AL16" s="553">
        <f t="shared" si="48"/>
        <v>13707.184000000003</v>
      </c>
      <c r="AM16" s="553">
        <f t="shared" si="49"/>
        <v>220677.08799999999</v>
      </c>
      <c r="AN16" s="553">
        <f t="shared" si="50"/>
        <v>18938.328000000005</v>
      </c>
      <c r="AO16" s="554">
        <f t="shared" si="8"/>
        <v>374807.91200000001</v>
      </c>
      <c r="AP16" s="553">
        <f>'Anuid PF'!W15+'Anuid PF'!X15</f>
        <v>64430.495999999999</v>
      </c>
      <c r="AQ16" s="553">
        <f>'Anuid PJ'!T14+'Anuid PJ'!U14</f>
        <v>10121.344000000001</v>
      </c>
      <c r="AR16" s="553">
        <f>RRT!M13</f>
        <v>149197.44</v>
      </c>
      <c r="AS16" s="553">
        <f>'TAXAS E MULTAS.'!G12</f>
        <v>6865.0559999999996</v>
      </c>
      <c r="AT16" s="554">
        <f t="shared" si="9"/>
        <v>230614.33600000001</v>
      </c>
      <c r="AU16" s="553">
        <f t="shared" si="51"/>
        <v>153636.17600000001</v>
      </c>
      <c r="AV16" s="553">
        <f t="shared" si="52"/>
        <v>19612.984</v>
      </c>
      <c r="AW16" s="553">
        <f t="shared" si="53"/>
        <v>212400.51200000002</v>
      </c>
      <c r="AX16" s="553">
        <f t="shared" si="54"/>
        <v>13440.656000000001</v>
      </c>
      <c r="AY16" s="554">
        <f t="shared" si="11"/>
        <v>399090.32800000004</v>
      </c>
      <c r="AZ16" s="553">
        <f>'Anuid PF'!Y15+'Anuid PF'!Z15</f>
        <v>94695.64</v>
      </c>
      <c r="BA16" s="553">
        <f>'Anuid PJ'!V14+'Anuid PJ'!W14</f>
        <v>10626.464</v>
      </c>
      <c r="BB16" s="553">
        <f>RRT!N13</f>
        <v>187828.92</v>
      </c>
      <c r="BC16" s="553">
        <f>'TAXAS E MULTAS.'!H12</f>
        <v>11446.232</v>
      </c>
      <c r="BD16" s="554">
        <f t="shared" si="12"/>
        <v>304597.25599999999</v>
      </c>
      <c r="BE16" s="553">
        <f t="shared" si="55"/>
        <v>134771.38399999999</v>
      </c>
      <c r="BF16" s="553">
        <f t="shared" si="56"/>
        <v>25468.175999999999</v>
      </c>
      <c r="BG16" s="553">
        <f t="shared" si="57"/>
        <v>159651.64800000002</v>
      </c>
      <c r="BH16" s="553">
        <f t="shared" si="58"/>
        <v>11441.560000000003</v>
      </c>
      <c r="BI16" s="554">
        <f t="shared" si="14"/>
        <v>331332.76799999998</v>
      </c>
      <c r="BJ16" s="553">
        <f>'Anuid PF'!AA15+'Anuid PF'!AB15</f>
        <v>130388.728</v>
      </c>
      <c r="BK16" s="553">
        <f>'Anuid PJ'!X14+'Anuid PJ'!Y14</f>
        <v>16244.976000000002</v>
      </c>
      <c r="BL16" s="553">
        <f>RRT!O13</f>
        <v>251457.24</v>
      </c>
      <c r="BM16" s="553">
        <f>'TAXAS E MULTAS.'!I12</f>
        <v>11317.624</v>
      </c>
      <c r="BN16" s="554">
        <f t="shared" si="15"/>
        <v>409408.56800000003</v>
      </c>
      <c r="BO16" s="553">
        <f t="shared" si="59"/>
        <v>54348.712</v>
      </c>
      <c r="BP16" s="553">
        <f t="shared" si="16"/>
        <v>8939.8960000000006</v>
      </c>
      <c r="BQ16" s="553">
        <f t="shared" si="16"/>
        <v>191111.96799999999</v>
      </c>
      <c r="BR16" s="553">
        <f t="shared" si="16"/>
        <v>18822.584000000003</v>
      </c>
      <c r="BS16" s="554">
        <f t="shared" si="17"/>
        <v>273223.16000000003</v>
      </c>
      <c r="BT16" s="553">
        <f>'Anuid PF'!AC15+'Anuid PF'!AD15</f>
        <v>152936.52000000002</v>
      </c>
      <c r="BU16" s="553">
        <f>'Anuid PJ'!Z14+'Anuid PJ'!AA14</f>
        <v>20546.072000000004</v>
      </c>
      <c r="BV16" s="553">
        <f>RRT!P13</f>
        <v>207262.20000000004</v>
      </c>
      <c r="BW16" s="553">
        <f>'TAXAS E MULTAS.'!J12</f>
        <v>13906.760000000002</v>
      </c>
      <c r="BX16" s="554">
        <f t="shared" si="18"/>
        <v>394651.55200000008</v>
      </c>
      <c r="BY16" s="553">
        <f t="shared" si="60"/>
        <v>47445.191999999995</v>
      </c>
      <c r="BZ16" s="553">
        <f t="shared" si="61"/>
        <v>5025.5760000000009</v>
      </c>
      <c r="CA16" s="553">
        <f t="shared" si="62"/>
        <v>204757.40800000002</v>
      </c>
      <c r="CB16" s="553">
        <f t="shared" si="63"/>
        <v>19347.632000000005</v>
      </c>
      <c r="CC16" s="554">
        <f t="shared" si="20"/>
        <v>276575.80800000002</v>
      </c>
      <c r="CD16" s="553">
        <f>'Anuid PF'!AE15+'Anuid PF'!AF15</f>
        <v>81421.752000000008</v>
      </c>
      <c r="CE16" s="553">
        <f>'Anuid PJ'!AB14+'Anuid PJ'!AC14</f>
        <v>8398.3040000000001</v>
      </c>
      <c r="CF16" s="553">
        <f>RRT!Q13</f>
        <v>198642.6</v>
      </c>
      <c r="CG16" s="553">
        <f>'TAXAS E MULTAS.'!K12</f>
        <v>18807.912</v>
      </c>
      <c r="CH16" s="554">
        <f t="shared" si="21"/>
        <v>307270.56800000003</v>
      </c>
      <c r="CI16" s="553">
        <f t="shared" si="64"/>
        <v>47929.975999999995</v>
      </c>
      <c r="CJ16" s="553">
        <f t="shared" si="65"/>
        <v>6838.7759999999998</v>
      </c>
      <c r="CK16" s="553">
        <f t="shared" si="66"/>
        <v>186108.64</v>
      </c>
      <c r="CL16" s="553">
        <f t="shared" si="67"/>
        <v>18088.727999999999</v>
      </c>
      <c r="CM16" s="554">
        <f t="shared" si="23"/>
        <v>258966.12</v>
      </c>
      <c r="CN16" s="553">
        <f>'Anuid PF'!AG15+'Anuid PF'!AH15</f>
        <v>72959.407999999996</v>
      </c>
      <c r="CO16" s="553">
        <f>'Anuid PJ'!AD14+'Anuid PJ'!AE14</f>
        <v>5184.3120000000008</v>
      </c>
      <c r="CP16" s="553">
        <f>RRT!R13</f>
        <v>238527.84</v>
      </c>
      <c r="CQ16" s="553">
        <f>'TAXAS E MULTAS.'!L12</f>
        <v>19051.335999999999</v>
      </c>
      <c r="CR16" s="554">
        <f t="shared" si="24"/>
        <v>335722.89600000001</v>
      </c>
      <c r="CS16" s="553">
        <f t="shared" si="68"/>
        <v>53999.264000000003</v>
      </c>
      <c r="CT16" s="553">
        <f t="shared" si="69"/>
        <v>6545.3119999999999</v>
      </c>
      <c r="CU16" s="553">
        <f t="shared" si="70"/>
        <v>198465.34400000001</v>
      </c>
      <c r="CV16" s="553">
        <f t="shared" si="71"/>
        <v>19894.608000000004</v>
      </c>
      <c r="CW16" s="554">
        <f t="shared" si="26"/>
        <v>278904.52799999999</v>
      </c>
      <c r="CX16" s="553">
        <f>'Anuid PF'!AI15+'Anuid PF'!AJ15</f>
        <v>58748.28</v>
      </c>
      <c r="CY16" s="553">
        <f>'Anuid PJ'!AF14+'Anuid PJ'!AG14</f>
        <v>7651.152000000001</v>
      </c>
      <c r="CZ16" s="553">
        <f>RRT!S13</f>
        <v>185556.48000000001</v>
      </c>
      <c r="DA16" s="553">
        <f>'TAXAS E MULTAS.'!M12</f>
        <v>17154.072</v>
      </c>
      <c r="DB16" s="554">
        <f t="shared" si="27"/>
        <v>269109.984</v>
      </c>
      <c r="DC16" s="553">
        <f t="shared" si="72"/>
        <v>32029.920000000006</v>
      </c>
      <c r="DD16" s="553">
        <f t="shared" si="73"/>
        <v>5248.9440000000004</v>
      </c>
      <c r="DE16" s="553">
        <f t="shared" si="74"/>
        <v>166322.75200000001</v>
      </c>
      <c r="DF16" s="553">
        <f t="shared" si="75"/>
        <v>13727.048000000001</v>
      </c>
      <c r="DG16" s="554">
        <f t="shared" si="29"/>
        <v>217328.66400000002</v>
      </c>
      <c r="DH16" s="553">
        <f>'Anuid PF'!AK15+'Anuid PF'!AL15</f>
        <v>67751.223999999987</v>
      </c>
      <c r="DI16" s="553">
        <f>'Anuid PJ'!AH14+'Anuid PJ'!AI14</f>
        <v>4758.2560000000003</v>
      </c>
      <c r="DJ16" s="553">
        <f>RRT!T13</f>
        <v>207340.56000000003</v>
      </c>
      <c r="DK16" s="553">
        <f>'TAXAS E MULTAS.'!N12</f>
        <v>17181.68</v>
      </c>
      <c r="DL16" s="554">
        <f t="shared" si="30"/>
        <v>297031.72000000003</v>
      </c>
      <c r="DM16" s="553">
        <f t="shared" si="76"/>
        <v>43553.728000000003</v>
      </c>
      <c r="DN16" s="553">
        <f t="shared" si="77"/>
        <v>3853.616</v>
      </c>
      <c r="DO16" s="553">
        <f t="shared" si="78"/>
        <v>171477.696</v>
      </c>
      <c r="DP16" s="553">
        <f t="shared" si="79"/>
        <v>17744.224000000002</v>
      </c>
      <c r="DQ16" s="552">
        <f t="shared" si="32"/>
        <v>236629.26400000002</v>
      </c>
      <c r="DR16" s="555">
        <f t="shared" si="33"/>
        <v>1375060.0720000004</v>
      </c>
      <c r="DS16" s="553">
        <f t="shared" si="34"/>
        <v>167236.36800000002</v>
      </c>
      <c r="DT16" s="553">
        <f t="shared" si="35"/>
        <v>2215100.4400000004</v>
      </c>
      <c r="DU16" s="553">
        <f t="shared" si="36"/>
        <v>166027.19199999998</v>
      </c>
      <c r="DV16" s="554">
        <f t="shared" si="37"/>
        <v>3923424.0720000006</v>
      </c>
      <c r="DW16" s="553">
        <f t="shared" si="80"/>
        <v>1200609.2000000002</v>
      </c>
      <c r="DX16" s="553">
        <f t="shared" si="38"/>
        <v>158948.47200000004</v>
      </c>
      <c r="DY16" s="553">
        <f t="shared" si="39"/>
        <v>2147727.12</v>
      </c>
      <c r="DZ16" s="553">
        <f t="shared" si="40"/>
        <v>205291.78400000004</v>
      </c>
      <c r="EA16" s="552">
        <f t="shared" si="41"/>
        <v>3712576.5760000004</v>
      </c>
      <c r="EB16" s="551">
        <f t="shared" si="42"/>
        <v>14.530196170410846</v>
      </c>
      <c r="EC16" s="551">
        <f t="shared" si="43"/>
        <v>5.2142030028448261</v>
      </c>
      <c r="ED16" s="551">
        <f t="shared" si="44"/>
        <v>3.1369590378874648</v>
      </c>
      <c r="EE16" s="551">
        <f t="shared" si="45"/>
        <v>-19.126236440129546</v>
      </c>
      <c r="EF16" s="550">
        <f t="shared" si="46"/>
        <v>5.6792766878675849</v>
      </c>
      <c r="EG16" s="561" t="str">
        <f t="shared" si="81"/>
        <v>MAIOR</v>
      </c>
    </row>
    <row r="17" spans="1:137">
      <c r="A17" s="556" t="s">
        <v>96</v>
      </c>
      <c r="B17" s="553">
        <f>'Anuid PF'!O16+'Anuid PF'!P16</f>
        <v>84162.288</v>
      </c>
      <c r="C17" s="553">
        <f>'Anuid PJ'!L15+'Anuid PJ'!M15</f>
        <v>6667.4240000000009</v>
      </c>
      <c r="D17" s="553">
        <f>RRT!I14</f>
        <v>28570.776000000002</v>
      </c>
      <c r="E17" s="553">
        <f>'TAXAS E MULTAS.'!C13</f>
        <v>5276.0319999999992</v>
      </c>
      <c r="F17" s="554">
        <f t="shared" si="0"/>
        <v>124676.51999999999</v>
      </c>
      <c r="G17" s="553">
        <v>59284.560000000005</v>
      </c>
      <c r="H17" s="553">
        <v>5774.7520000000004</v>
      </c>
      <c r="I17" s="553">
        <v>23900.560000000001</v>
      </c>
      <c r="J17" s="553">
        <v>5616.768</v>
      </c>
      <c r="K17" s="554">
        <f t="shared" si="1"/>
        <v>94576.639999999999</v>
      </c>
      <c r="L17" s="553">
        <f>'Anuid PF'!Q16+'Anuid PF'!R16</f>
        <v>78789.928000000014</v>
      </c>
      <c r="M17" s="553">
        <f>'Anuid PJ'!N15+'Anuid PJ'!O15</f>
        <v>7454.4400000000014</v>
      </c>
      <c r="N17" s="553">
        <f>RRT!J14</f>
        <v>29933.520000000004</v>
      </c>
      <c r="O17" s="553">
        <f>'TAXAS E MULTAS.'!D13</f>
        <v>6220.6720000000005</v>
      </c>
      <c r="P17" s="554">
        <f t="shared" si="2"/>
        <v>122398.56000000003</v>
      </c>
      <c r="Q17" s="553">
        <v>71096.448000000004</v>
      </c>
      <c r="R17" s="562">
        <v>9809.9759999999987</v>
      </c>
      <c r="S17" s="553">
        <v>28655.423999999999</v>
      </c>
      <c r="T17" s="553">
        <v>4034.3119999999994</v>
      </c>
      <c r="U17" s="554">
        <f t="shared" si="3"/>
        <v>113596.16</v>
      </c>
      <c r="V17" s="553">
        <f>'Anuid PF'!S16+'Anuid PF'!T16</f>
        <v>70283.512000000002</v>
      </c>
      <c r="W17" s="553">
        <f>'Anuid PJ'!P15+'Anuid PJ'!Q15</f>
        <v>3065.64</v>
      </c>
      <c r="X17" s="553">
        <f>RRT!K14</f>
        <v>27269.279999999999</v>
      </c>
      <c r="Y17" s="553">
        <f>'TAXAS E MULTAS.'!E13</f>
        <v>9229.4959999999992</v>
      </c>
      <c r="Z17" s="554">
        <f t="shared" si="4"/>
        <v>109847.928</v>
      </c>
      <c r="AA17" s="553">
        <v>39794.896000000008</v>
      </c>
      <c r="AB17" s="562">
        <v>5360.0320000000002</v>
      </c>
      <c r="AC17" s="553">
        <v>24258.560000000001</v>
      </c>
      <c r="AD17" s="553">
        <v>7233.4480000000003</v>
      </c>
      <c r="AE17" s="554">
        <f t="shared" si="5"/>
        <v>76646.936000000016</v>
      </c>
      <c r="AF17" s="553">
        <f>'Anuid PF'!U16+'Anuid PF'!V16</f>
        <v>27876.48</v>
      </c>
      <c r="AG17" s="553">
        <f>'Anuid PJ'!R15+'Anuid PJ'!S15</f>
        <v>509.00800000000004</v>
      </c>
      <c r="AH17" s="553">
        <f>RRT!L14</f>
        <v>14653.320000000002</v>
      </c>
      <c r="AI17" s="553">
        <f>'TAXAS E MULTAS.'!F13</f>
        <v>4121.576</v>
      </c>
      <c r="AJ17" s="554">
        <f t="shared" si="6"/>
        <v>47160.384000000005</v>
      </c>
      <c r="AK17" s="553">
        <f t="shared" si="47"/>
        <v>42035.32</v>
      </c>
      <c r="AL17" s="553">
        <f t="shared" si="48"/>
        <v>4780.5600000000004</v>
      </c>
      <c r="AM17" s="553">
        <f t="shared" si="49"/>
        <v>30853.856</v>
      </c>
      <c r="AN17" s="553">
        <f t="shared" si="50"/>
        <v>3727.3200000000006</v>
      </c>
      <c r="AO17" s="554">
        <f t="shared" si="8"/>
        <v>81397.056000000011</v>
      </c>
      <c r="AP17" s="553">
        <f>'Anuid PF'!W16+'Anuid PF'!X16</f>
        <v>19292.304</v>
      </c>
      <c r="AQ17" s="553">
        <f>'Anuid PJ'!T15+'Anuid PJ'!U15</f>
        <v>1330.0080000000003</v>
      </c>
      <c r="AR17" s="553">
        <f>RRT!M14</f>
        <v>12537.6</v>
      </c>
      <c r="AS17" s="553">
        <f>'TAXAS E MULTAS.'!G13</f>
        <v>2310.3680000000004</v>
      </c>
      <c r="AT17" s="554">
        <f t="shared" si="9"/>
        <v>35470.280000000006</v>
      </c>
      <c r="AU17" s="553">
        <f t="shared" si="51"/>
        <v>47106.095999999998</v>
      </c>
      <c r="AV17" s="553">
        <f t="shared" si="52"/>
        <v>4486.28</v>
      </c>
      <c r="AW17" s="553">
        <f t="shared" si="53"/>
        <v>33431.328000000001</v>
      </c>
      <c r="AX17" s="553">
        <f t="shared" si="54"/>
        <v>4660.0800000000008</v>
      </c>
      <c r="AY17" s="554">
        <f t="shared" si="11"/>
        <v>89683.784</v>
      </c>
      <c r="AZ17" s="553">
        <f>'Anuid PF'!Y16+'Anuid PF'!Z16</f>
        <v>35810.104000000007</v>
      </c>
      <c r="BA17" s="553">
        <f>'Anuid PJ'!V15+'Anuid PJ'!W15</f>
        <v>2273.96</v>
      </c>
      <c r="BB17" s="553">
        <f>RRT!N14</f>
        <v>27112.559999999998</v>
      </c>
      <c r="BC17" s="553">
        <f>'TAXAS E MULTAS.'!H13</f>
        <v>3687.5280000000007</v>
      </c>
      <c r="BD17" s="554">
        <f t="shared" si="12"/>
        <v>68884.152000000002</v>
      </c>
      <c r="BE17" s="553">
        <f t="shared" si="55"/>
        <v>45429.551999999996</v>
      </c>
      <c r="BF17" s="553">
        <f t="shared" si="56"/>
        <v>4986.8240000000005</v>
      </c>
      <c r="BG17" s="553">
        <f t="shared" si="57"/>
        <v>30323.200000000001</v>
      </c>
      <c r="BH17" s="553">
        <f t="shared" si="58"/>
        <v>6151.0960000000005</v>
      </c>
      <c r="BI17" s="554">
        <f t="shared" si="14"/>
        <v>86890.672000000006</v>
      </c>
      <c r="BJ17" s="553">
        <f>'Anuid PF'!AA16+'Anuid PF'!AB16</f>
        <v>58489.808000000012</v>
      </c>
      <c r="BK17" s="553">
        <f>'Anuid PJ'!X15+'Anuid PJ'!Y15</f>
        <v>4908.2080000000005</v>
      </c>
      <c r="BL17" s="553">
        <f>RRT!O14</f>
        <v>40120.320000000007</v>
      </c>
      <c r="BM17" s="553">
        <f>'TAXAS E MULTAS.'!I13</f>
        <v>3787.5279999999998</v>
      </c>
      <c r="BN17" s="554">
        <f t="shared" si="15"/>
        <v>107305.86400000002</v>
      </c>
      <c r="BO17" s="553">
        <f t="shared" si="59"/>
        <v>32042.824000000001</v>
      </c>
      <c r="BP17" s="553">
        <f t="shared" si="16"/>
        <v>2130.6240000000003</v>
      </c>
      <c r="BQ17" s="553">
        <f t="shared" si="16"/>
        <v>34568.447999999997</v>
      </c>
      <c r="BR17" s="553">
        <f t="shared" si="16"/>
        <v>6925.616</v>
      </c>
      <c r="BS17" s="554">
        <f t="shared" si="17"/>
        <v>75667.512000000002</v>
      </c>
      <c r="BT17" s="553">
        <f>'Anuid PF'!AC16+'Anuid PF'!AD16</f>
        <v>50590.048000000003</v>
      </c>
      <c r="BU17" s="553">
        <f>'Anuid PJ'!Z15+'Anuid PJ'!AA15</f>
        <v>4999.92</v>
      </c>
      <c r="BV17" s="553">
        <f>RRT!P14</f>
        <v>39180</v>
      </c>
      <c r="BW17" s="553">
        <f>'TAXAS E MULTAS.'!J13</f>
        <v>4394.3920000000007</v>
      </c>
      <c r="BX17" s="554">
        <f t="shared" si="18"/>
        <v>99164.36</v>
      </c>
      <c r="BY17" s="553">
        <f t="shared" si="60"/>
        <v>23495.688000000002</v>
      </c>
      <c r="BZ17" s="553">
        <f t="shared" si="61"/>
        <v>3092.6880000000001</v>
      </c>
      <c r="CA17" s="553">
        <f t="shared" si="62"/>
        <v>38434.656000000003</v>
      </c>
      <c r="CB17" s="553">
        <f t="shared" si="63"/>
        <v>5477.0960000000005</v>
      </c>
      <c r="CC17" s="554">
        <f t="shared" si="20"/>
        <v>70500.128000000012</v>
      </c>
      <c r="CD17" s="553">
        <f>'Anuid PF'!AE16+'Anuid PF'!AF16</f>
        <v>32201.568000000007</v>
      </c>
      <c r="CE17" s="553">
        <f>'Anuid PJ'!AB15+'Anuid PJ'!AC15</f>
        <v>2723.9760000000001</v>
      </c>
      <c r="CF17" s="553">
        <f>RRT!Q14</f>
        <v>42784.56</v>
      </c>
      <c r="CG17" s="553">
        <f>'TAXAS E MULTAS.'!K13</f>
        <v>7201.6239999999998</v>
      </c>
      <c r="CH17" s="554">
        <f t="shared" si="21"/>
        <v>84911.728000000003</v>
      </c>
      <c r="CI17" s="553">
        <f t="shared" si="64"/>
        <v>24076.224000000002</v>
      </c>
      <c r="CJ17" s="553">
        <f t="shared" si="65"/>
        <v>2108.8879999999999</v>
      </c>
      <c r="CK17" s="553">
        <f t="shared" si="66"/>
        <v>36312.031999999999</v>
      </c>
      <c r="CL17" s="553">
        <f t="shared" si="67"/>
        <v>7440.6959999999999</v>
      </c>
      <c r="CM17" s="554">
        <f t="shared" si="23"/>
        <v>69937.84</v>
      </c>
      <c r="CN17" s="553">
        <f>'Anuid PF'!AG16+'Anuid PF'!AH16</f>
        <v>27013.759999999998</v>
      </c>
      <c r="CO17" s="553">
        <f>'Anuid PJ'!AD15+'Anuid PJ'!AE15</f>
        <v>1648.3759999999997</v>
      </c>
      <c r="CP17" s="553">
        <f>RRT!R14</f>
        <v>46624.200000000004</v>
      </c>
      <c r="CQ17" s="553">
        <f>'TAXAS E MULTAS.'!L13</f>
        <v>6232.1200000000008</v>
      </c>
      <c r="CR17" s="554">
        <f t="shared" si="24"/>
        <v>81518.456000000006</v>
      </c>
      <c r="CS17" s="553">
        <f t="shared" si="68"/>
        <v>24007.392</v>
      </c>
      <c r="CT17" s="553">
        <f t="shared" si="69"/>
        <v>2131.232</v>
      </c>
      <c r="CU17" s="553">
        <f t="shared" si="70"/>
        <v>38510.464</v>
      </c>
      <c r="CV17" s="553">
        <f t="shared" si="71"/>
        <v>8375.32</v>
      </c>
      <c r="CW17" s="554">
        <f t="shared" si="26"/>
        <v>73024.407999999996</v>
      </c>
      <c r="CX17" s="553">
        <f>'Anuid PF'!AI16+'Anuid PF'!AJ16</f>
        <v>19781.063999999998</v>
      </c>
      <c r="CY17" s="553">
        <f>'Anuid PJ'!AF15+'Anuid PJ'!AG15</f>
        <v>2412.2159999999999</v>
      </c>
      <c r="CZ17" s="553">
        <f>RRT!S14</f>
        <v>40825.56</v>
      </c>
      <c r="DA17" s="553">
        <f>'TAXAS E MULTAS.'!M13</f>
        <v>6177.0640000000003</v>
      </c>
      <c r="DB17" s="554">
        <f t="shared" si="27"/>
        <v>69195.903999999995</v>
      </c>
      <c r="DC17" s="553">
        <f t="shared" si="72"/>
        <v>15800.536</v>
      </c>
      <c r="DD17" s="553">
        <f t="shared" si="73"/>
        <v>1515.9839999999999</v>
      </c>
      <c r="DE17" s="553">
        <f t="shared" si="74"/>
        <v>32370.016</v>
      </c>
      <c r="DF17" s="553">
        <f t="shared" si="75"/>
        <v>6624.1440000000002</v>
      </c>
      <c r="DG17" s="554">
        <f t="shared" si="29"/>
        <v>56310.68</v>
      </c>
      <c r="DH17" s="553">
        <f>'Anuid PF'!AK16+'Anuid PF'!AL16</f>
        <v>18067.560000000001</v>
      </c>
      <c r="DI17" s="553">
        <f>'Anuid PJ'!AH15+'Anuid PJ'!AI15</f>
        <v>2500.3440000000001</v>
      </c>
      <c r="DJ17" s="553">
        <f>RRT!T14</f>
        <v>35340.36</v>
      </c>
      <c r="DK17" s="553">
        <f>'TAXAS E MULTAS.'!N13</f>
        <v>8216.2160000000003</v>
      </c>
      <c r="DL17" s="554">
        <f t="shared" si="30"/>
        <v>64124.480000000003</v>
      </c>
      <c r="DM17" s="553">
        <f t="shared" si="76"/>
        <v>20834.184000000001</v>
      </c>
      <c r="DN17" s="553">
        <f t="shared" si="77"/>
        <v>2176.424</v>
      </c>
      <c r="DO17" s="553">
        <f t="shared" si="78"/>
        <v>26381.184000000005</v>
      </c>
      <c r="DP17" s="553">
        <f t="shared" si="79"/>
        <v>7089.6720000000014</v>
      </c>
      <c r="DQ17" s="552">
        <f t="shared" si="32"/>
        <v>56481.464</v>
      </c>
      <c r="DR17" s="555">
        <f t="shared" si="33"/>
        <v>522358.42400000006</v>
      </c>
      <c r="DS17" s="553">
        <f t="shared" si="34"/>
        <v>40493.519999999997</v>
      </c>
      <c r="DT17" s="553">
        <f t="shared" si="35"/>
        <v>384952.05599999998</v>
      </c>
      <c r="DU17" s="553">
        <f t="shared" si="36"/>
        <v>66854.616000000009</v>
      </c>
      <c r="DV17" s="554">
        <f t="shared" si="37"/>
        <v>1014658.616</v>
      </c>
      <c r="DW17" s="553">
        <f t="shared" si="80"/>
        <v>445003.72000000003</v>
      </c>
      <c r="DX17" s="553">
        <f t="shared" si="38"/>
        <v>48354.263999999996</v>
      </c>
      <c r="DY17" s="553">
        <f t="shared" si="39"/>
        <v>377999.728</v>
      </c>
      <c r="DZ17" s="553">
        <f t="shared" si="40"/>
        <v>73355.568000000014</v>
      </c>
      <c r="EA17" s="552">
        <f t="shared" si="41"/>
        <v>944713.28</v>
      </c>
      <c r="EB17" s="551">
        <f t="shared" si="42"/>
        <v>17.38293423704414</v>
      </c>
      <c r="EC17" s="551">
        <f t="shared" si="43"/>
        <v>-16.256568396946335</v>
      </c>
      <c r="ED17" s="551">
        <f t="shared" si="44"/>
        <v>1.8392415351155904</v>
      </c>
      <c r="EE17" s="551">
        <f t="shared" si="45"/>
        <v>-8.8622475120089206</v>
      </c>
      <c r="EF17" s="550">
        <f t="shared" si="46"/>
        <v>7.4038692459155442</v>
      </c>
      <c r="EG17" s="561" t="str">
        <f t="shared" si="81"/>
        <v>MAIOR</v>
      </c>
    </row>
    <row r="18" spans="1:137">
      <c r="A18" s="556" t="s">
        <v>99</v>
      </c>
      <c r="B18" s="553">
        <f>'Anuid PF'!O17+'Anuid PF'!P17</f>
        <v>1014777.032</v>
      </c>
      <c r="C18" s="553">
        <f>'Anuid PJ'!L16+'Anuid PJ'!M16</f>
        <v>111736.728</v>
      </c>
      <c r="D18" s="553">
        <f>RRT!I15</f>
        <v>325183.33600000001</v>
      </c>
      <c r="E18" s="553">
        <f>'TAXAS E MULTAS.'!C14</f>
        <v>60622.336000000003</v>
      </c>
      <c r="F18" s="554">
        <f t="shared" si="0"/>
        <v>1512319.4319999998</v>
      </c>
      <c r="G18" s="553">
        <v>885448.62199999997</v>
      </c>
      <c r="H18" s="553">
        <v>86630.272000000012</v>
      </c>
      <c r="I18" s="553">
        <v>269370.17599999998</v>
      </c>
      <c r="J18" s="553">
        <v>55195.556000000004</v>
      </c>
      <c r="K18" s="554">
        <f t="shared" si="1"/>
        <v>1296644.6259999999</v>
      </c>
      <c r="L18" s="553">
        <f>'Anuid PF'!Q17+'Anuid PF'!R17</f>
        <v>798461.58400000003</v>
      </c>
      <c r="M18" s="553">
        <f>'Anuid PJ'!N16+'Anuid PJ'!O16</f>
        <v>114095.144</v>
      </c>
      <c r="N18" s="553">
        <f>RRT!J15</f>
        <v>283506.48</v>
      </c>
      <c r="O18" s="553">
        <f>'TAXAS E MULTAS.'!D14</f>
        <v>47805.136000000006</v>
      </c>
      <c r="P18" s="554">
        <f t="shared" si="2"/>
        <v>1243868.344</v>
      </c>
      <c r="Q18" s="553">
        <v>773683.94800000009</v>
      </c>
      <c r="R18" s="562">
        <v>114673.432</v>
      </c>
      <c r="S18" s="553">
        <v>309827.29600000003</v>
      </c>
      <c r="T18" s="553">
        <v>45851.232000000004</v>
      </c>
      <c r="U18" s="554">
        <f t="shared" si="3"/>
        <v>1244035.9080000003</v>
      </c>
      <c r="V18" s="553">
        <f>'Anuid PF'!S17+'Anuid PF'!T17</f>
        <v>501403.12800000003</v>
      </c>
      <c r="W18" s="553">
        <f>'Anuid PJ'!P16+'Anuid PJ'!Q16</f>
        <v>63341.48</v>
      </c>
      <c r="X18" s="553">
        <f>RRT!K15</f>
        <v>292204.44</v>
      </c>
      <c r="Y18" s="553">
        <f>'TAXAS E MULTAS.'!E14</f>
        <v>45276.992000000006</v>
      </c>
      <c r="Z18" s="554">
        <f t="shared" si="4"/>
        <v>902226.03999999992</v>
      </c>
      <c r="AA18" s="553">
        <v>331692.48800000001</v>
      </c>
      <c r="AB18" s="562">
        <v>51991.504000000008</v>
      </c>
      <c r="AC18" s="553">
        <v>298759.32799999998</v>
      </c>
      <c r="AD18" s="553">
        <v>32885.495999999999</v>
      </c>
      <c r="AE18" s="554">
        <f t="shared" si="5"/>
        <v>715328.81600000011</v>
      </c>
      <c r="AF18" s="553">
        <f>'Anuid PF'!U17+'Anuid PF'!V17</f>
        <v>244404.75200000001</v>
      </c>
      <c r="AG18" s="553">
        <f>'Anuid PJ'!R16+'Anuid PJ'!S16</f>
        <v>24048.224000000002</v>
      </c>
      <c r="AH18" s="553">
        <f>RRT!L15</f>
        <v>193784.28000000003</v>
      </c>
      <c r="AI18" s="553">
        <f>'TAXAS E MULTAS.'!F14</f>
        <v>30131.295999999998</v>
      </c>
      <c r="AJ18" s="554">
        <f t="shared" si="6"/>
        <v>492368.55200000003</v>
      </c>
      <c r="AK18" s="553">
        <f t="shared" si="47"/>
        <v>385746.38200000004</v>
      </c>
      <c r="AL18" s="553">
        <f t="shared" si="48"/>
        <v>48501.175999999999</v>
      </c>
      <c r="AM18" s="553">
        <f t="shared" si="49"/>
        <v>357813.76000000001</v>
      </c>
      <c r="AN18" s="553">
        <f t="shared" si="50"/>
        <v>39120.473999999995</v>
      </c>
      <c r="AO18" s="554">
        <f t="shared" si="8"/>
        <v>831181.79200000002</v>
      </c>
      <c r="AP18" s="553">
        <f>'Anuid PF'!W17+'Anuid PF'!X17</f>
        <v>217845.288</v>
      </c>
      <c r="AQ18" s="553">
        <f>'Anuid PJ'!T16+'Anuid PJ'!U16</f>
        <v>27457.103999999999</v>
      </c>
      <c r="AR18" s="553">
        <f>RRT!M15</f>
        <v>251457.24</v>
      </c>
      <c r="AS18" s="553">
        <f>'TAXAS E MULTAS.'!G14</f>
        <v>33399.288</v>
      </c>
      <c r="AT18" s="554">
        <f t="shared" si="9"/>
        <v>530158.91999999993</v>
      </c>
      <c r="AU18" s="553">
        <f t="shared" si="51"/>
        <v>499387.31200000003</v>
      </c>
      <c r="AV18" s="553">
        <f t="shared" si="52"/>
        <v>73410.592000000004</v>
      </c>
      <c r="AW18" s="553">
        <f t="shared" si="53"/>
        <v>386999.84</v>
      </c>
      <c r="AX18" s="553">
        <f t="shared" si="54"/>
        <v>37939.800000000003</v>
      </c>
      <c r="AY18" s="554">
        <f t="shared" si="11"/>
        <v>997737.54400000023</v>
      </c>
      <c r="AZ18" s="553">
        <f>'Anuid PF'!Y17+'Anuid PF'!Z17</f>
        <v>322342.152</v>
      </c>
      <c r="BA18" s="553">
        <f>'Anuid PJ'!V16+'Anuid PJ'!W16</f>
        <v>37623.064000000006</v>
      </c>
      <c r="BB18" s="553">
        <f>RRT!N15</f>
        <v>317514.72000000003</v>
      </c>
      <c r="BC18" s="553">
        <f>'TAXAS E MULTAS.'!H14</f>
        <v>35544.544000000002</v>
      </c>
      <c r="BD18" s="554">
        <f t="shared" si="12"/>
        <v>713024.48</v>
      </c>
      <c r="BE18" s="553">
        <f t="shared" si="55"/>
        <v>390448.32800000004</v>
      </c>
      <c r="BF18" s="553">
        <f t="shared" si="56"/>
        <v>56095.16</v>
      </c>
      <c r="BG18" s="553">
        <f t="shared" si="57"/>
        <v>320137.18400000001</v>
      </c>
      <c r="BH18" s="553">
        <f t="shared" si="58"/>
        <v>32938.128000000004</v>
      </c>
      <c r="BI18" s="554">
        <f t="shared" si="14"/>
        <v>799618.8</v>
      </c>
      <c r="BJ18" s="553">
        <f>'Anuid PF'!AA17+'Anuid PF'!AB17</f>
        <v>497045.62399999995</v>
      </c>
      <c r="BK18" s="553">
        <f>'Anuid PJ'!X16+'Anuid PJ'!Y16</f>
        <v>51284.784</v>
      </c>
      <c r="BL18" s="553">
        <f>RRT!O15</f>
        <v>374795.88</v>
      </c>
      <c r="BM18" s="553">
        <f>'TAXAS E MULTAS.'!I14</f>
        <v>34341.623999999996</v>
      </c>
      <c r="BN18" s="554">
        <f t="shared" si="15"/>
        <v>957467.91199999989</v>
      </c>
      <c r="BO18" s="553">
        <f t="shared" si="59"/>
        <v>209907.304</v>
      </c>
      <c r="BP18" s="553">
        <f t="shared" si="16"/>
        <v>27956.936000000002</v>
      </c>
      <c r="BQ18" s="553">
        <f t="shared" si="16"/>
        <v>393216.09600000002</v>
      </c>
      <c r="BR18" s="553">
        <f t="shared" si="16"/>
        <v>43273.184000000008</v>
      </c>
      <c r="BS18" s="554">
        <f t="shared" si="17"/>
        <v>674353.52</v>
      </c>
      <c r="BT18" s="553">
        <f>'Anuid PF'!AC17+'Anuid PF'!AD17</f>
        <v>491029.24</v>
      </c>
      <c r="BU18" s="553">
        <f>'Anuid PJ'!Z16+'Anuid PJ'!AA16</f>
        <v>54468.216000000008</v>
      </c>
      <c r="BV18" s="553">
        <f>RRT!P15</f>
        <v>390075.52</v>
      </c>
      <c r="BW18" s="553">
        <f>'TAXAS E MULTAS.'!J14</f>
        <v>37508.744000000006</v>
      </c>
      <c r="BX18" s="554">
        <f t="shared" si="18"/>
        <v>973081.72</v>
      </c>
      <c r="BY18" s="553">
        <f t="shared" si="60"/>
        <v>152206.51199999999</v>
      </c>
      <c r="BZ18" s="553">
        <f t="shared" si="61"/>
        <v>20066.936000000002</v>
      </c>
      <c r="CA18" s="553">
        <f t="shared" si="62"/>
        <v>392230.592</v>
      </c>
      <c r="CB18" s="553">
        <f t="shared" si="63"/>
        <v>32455.184000000005</v>
      </c>
      <c r="CC18" s="554">
        <f t="shared" si="20"/>
        <v>596959.22400000005</v>
      </c>
      <c r="CD18" s="553">
        <f>'Anuid PF'!AE17+'Anuid PF'!AF17</f>
        <v>255322.21599999999</v>
      </c>
      <c r="CE18" s="553">
        <f>'Anuid PJ'!AB16+'Anuid PJ'!AC16</f>
        <v>21537.048000000003</v>
      </c>
      <c r="CF18" s="553">
        <f>RRT!Q15</f>
        <v>370407.72000000003</v>
      </c>
      <c r="CG18" s="553">
        <f>'TAXAS E MULTAS.'!K14</f>
        <v>45116.671999999999</v>
      </c>
      <c r="CH18" s="554">
        <f t="shared" si="21"/>
        <v>692383.65599999996</v>
      </c>
      <c r="CI18" s="553">
        <f t="shared" si="64"/>
        <v>183821.90400000004</v>
      </c>
      <c r="CJ18" s="553">
        <f t="shared" si="65"/>
        <v>24386.320000000003</v>
      </c>
      <c r="CK18" s="553">
        <f t="shared" si="66"/>
        <v>355539.52</v>
      </c>
      <c r="CL18" s="553">
        <f t="shared" si="67"/>
        <v>46069.760000000002</v>
      </c>
      <c r="CM18" s="554">
        <f t="shared" si="23"/>
        <v>609817.50400000007</v>
      </c>
      <c r="CN18" s="553">
        <f>'Anuid PF'!AG17+'Anuid PF'!AH17</f>
        <v>239177.10400000005</v>
      </c>
      <c r="CO18" s="553">
        <f>'Anuid PJ'!AD16+'Anuid PJ'!AE16</f>
        <v>19460.591999999997</v>
      </c>
      <c r="CP18" s="553">
        <f>RRT!R15</f>
        <v>386784.96</v>
      </c>
      <c r="CQ18" s="553">
        <f>'TAXAS E MULTAS.'!L14</f>
        <v>48610.376000000004</v>
      </c>
      <c r="CR18" s="554">
        <f t="shared" si="24"/>
        <v>694033.03200000012</v>
      </c>
      <c r="CS18" s="553">
        <f t="shared" si="68"/>
        <v>209715.21600000001</v>
      </c>
      <c r="CT18" s="553">
        <f t="shared" si="69"/>
        <v>38320.472000000002</v>
      </c>
      <c r="CU18" s="553">
        <f t="shared" si="70"/>
        <v>405421.18400000001</v>
      </c>
      <c r="CV18" s="553">
        <f t="shared" si="71"/>
        <v>64607.256000000008</v>
      </c>
      <c r="CW18" s="554">
        <f t="shared" si="26"/>
        <v>718064.12800000003</v>
      </c>
      <c r="CX18" s="553">
        <f>'Anuid PF'!AI17+'Anuid PF'!AJ17</f>
        <v>218500.14400000003</v>
      </c>
      <c r="CY18" s="553">
        <f>'Anuid PJ'!AF16+'Anuid PJ'!AG16</f>
        <v>18236.536</v>
      </c>
      <c r="CZ18" s="553">
        <f>RRT!S15</f>
        <v>368495.04000000004</v>
      </c>
      <c r="DA18" s="553">
        <f>'TAXAS E MULTAS.'!M14</f>
        <v>54979.184000000001</v>
      </c>
      <c r="DB18" s="554">
        <f t="shared" si="27"/>
        <v>660210.9040000001</v>
      </c>
      <c r="DC18" s="553">
        <f t="shared" si="72"/>
        <v>181955.36800000002</v>
      </c>
      <c r="DD18" s="553">
        <f t="shared" si="73"/>
        <v>38917.544000000002</v>
      </c>
      <c r="DE18" s="553">
        <f t="shared" si="74"/>
        <v>352431.39199999999</v>
      </c>
      <c r="DF18" s="553">
        <f t="shared" si="75"/>
        <v>63495.344000000005</v>
      </c>
      <c r="DG18" s="554">
        <f t="shared" si="29"/>
        <v>636799.64800000004</v>
      </c>
      <c r="DH18" s="553">
        <f>'Anuid PF'!AK17+'Anuid PF'!AL17</f>
        <v>211076.83200000005</v>
      </c>
      <c r="DI18" s="553">
        <f>'Anuid PJ'!AH16+'Anuid PJ'!AI16</f>
        <v>26999.991999999998</v>
      </c>
      <c r="DJ18" s="553">
        <f>RRT!T15</f>
        <v>355676.04000000004</v>
      </c>
      <c r="DK18" s="553">
        <f>'TAXAS E MULTAS.'!N14</f>
        <v>55572.216000000008</v>
      </c>
      <c r="DL18" s="554">
        <f t="shared" si="30"/>
        <v>649325.08000000007</v>
      </c>
      <c r="DM18" s="553">
        <f t="shared" si="76"/>
        <v>231248.25599999999</v>
      </c>
      <c r="DN18" s="553">
        <f t="shared" si="77"/>
        <v>41587.656000000003</v>
      </c>
      <c r="DO18" s="553">
        <f t="shared" si="78"/>
        <v>335905.24800000002</v>
      </c>
      <c r="DP18" s="553">
        <f t="shared" si="79"/>
        <v>75188.416000000012</v>
      </c>
      <c r="DQ18" s="552">
        <f t="shared" si="32"/>
        <v>683929.576</v>
      </c>
      <c r="DR18" s="555">
        <f t="shared" si="33"/>
        <v>5011385.0960000008</v>
      </c>
      <c r="DS18" s="553">
        <f t="shared" si="34"/>
        <v>570288.91199999989</v>
      </c>
      <c r="DT18" s="553">
        <f t="shared" si="35"/>
        <v>3909885.6560000004</v>
      </c>
      <c r="DU18" s="553">
        <f t="shared" si="36"/>
        <v>528908.40800000005</v>
      </c>
      <c r="DV18" s="554">
        <f t="shared" si="37"/>
        <v>10020468.072000001</v>
      </c>
      <c r="DW18" s="553">
        <f t="shared" si="80"/>
        <v>4435261.6400000006</v>
      </c>
      <c r="DX18" s="553">
        <f t="shared" si="38"/>
        <v>622538</v>
      </c>
      <c r="DY18" s="553">
        <f t="shared" si="39"/>
        <v>4177651.6160000004</v>
      </c>
      <c r="DZ18" s="553">
        <f t="shared" si="40"/>
        <v>569019.82999999996</v>
      </c>
      <c r="EA18" s="552">
        <f t="shared" si="41"/>
        <v>9804471.0860000011</v>
      </c>
      <c r="EB18" s="551">
        <f t="shared" si="42"/>
        <v>12.989616008312879</v>
      </c>
      <c r="EC18" s="551">
        <f t="shared" si="43"/>
        <v>-8.3929154525507101</v>
      </c>
      <c r="ED18" s="551">
        <f t="shared" si="44"/>
        <v>-6.4094851512864892</v>
      </c>
      <c r="EE18" s="551">
        <f t="shared" si="45"/>
        <v>-7.0492133815441775</v>
      </c>
      <c r="EF18" s="550">
        <f t="shared" si="46"/>
        <v>2.2030457747835612</v>
      </c>
      <c r="EG18" s="561" t="str">
        <f t="shared" si="81"/>
        <v>MAIOR</v>
      </c>
    </row>
    <row r="19" spans="1:137">
      <c r="A19" s="556" t="s">
        <v>98</v>
      </c>
      <c r="B19" s="553">
        <f>'Anuid PF'!O18+'Anuid PF'!P18</f>
        <v>166592.36799999999</v>
      </c>
      <c r="C19" s="553">
        <f>'Anuid PJ'!L17+'Anuid PJ'!M17</f>
        <v>25766.904000000002</v>
      </c>
      <c r="D19" s="553">
        <f>RRT!I16</f>
        <v>96885.384000000005</v>
      </c>
      <c r="E19" s="553">
        <f>'TAXAS E MULTAS.'!C15</f>
        <v>10979.584000000004</v>
      </c>
      <c r="F19" s="554">
        <f t="shared" si="0"/>
        <v>300224.24000000005</v>
      </c>
      <c r="G19" s="553">
        <v>155819.03200000001</v>
      </c>
      <c r="H19" s="553">
        <v>22279.488000000001</v>
      </c>
      <c r="I19" s="553">
        <v>99039.504000000015</v>
      </c>
      <c r="J19" s="553">
        <v>6872.7919999999995</v>
      </c>
      <c r="K19" s="554">
        <f t="shared" si="1"/>
        <v>284010.81600000005</v>
      </c>
      <c r="L19" s="553">
        <f>'Anuid PF'!Q18+'Anuid PF'!R18</f>
        <v>132447.856</v>
      </c>
      <c r="M19" s="553">
        <f>'Anuid PJ'!N17+'Anuid PJ'!O17</f>
        <v>19236.512000000002</v>
      </c>
      <c r="N19" s="553">
        <f>RRT!J16</f>
        <v>118480.32000000001</v>
      </c>
      <c r="O19" s="553">
        <f>'TAXAS E MULTAS.'!D15</f>
        <v>8976.1439999999984</v>
      </c>
      <c r="P19" s="554">
        <f t="shared" si="2"/>
        <v>279140.83199999999</v>
      </c>
      <c r="Q19" s="553">
        <v>144005.848</v>
      </c>
      <c r="R19" s="562">
        <v>23482.832000000002</v>
      </c>
      <c r="S19" s="553">
        <v>136378.592</v>
      </c>
      <c r="T19" s="553">
        <v>9599.7840000000033</v>
      </c>
      <c r="U19" s="554">
        <f t="shared" si="3"/>
        <v>313467.05599999998</v>
      </c>
      <c r="V19" s="553">
        <f>'Anuid PF'!S18+'Anuid PF'!T18</f>
        <v>91889.936000000016</v>
      </c>
      <c r="W19" s="553">
        <f>'Anuid PJ'!P17+'Anuid PJ'!Q17</f>
        <v>15003.743999999999</v>
      </c>
      <c r="X19" s="553">
        <f>RRT!K16</f>
        <v>123181.92</v>
      </c>
      <c r="Y19" s="553">
        <f>'TAXAS E MULTAS.'!E15</f>
        <v>9400.9600000000009</v>
      </c>
      <c r="Z19" s="554">
        <f t="shared" si="4"/>
        <v>239476.56000000003</v>
      </c>
      <c r="AA19" s="553">
        <v>59304.608000000007</v>
      </c>
      <c r="AB19" s="562">
        <v>8297.7040000000015</v>
      </c>
      <c r="AC19" s="553">
        <v>137060.864</v>
      </c>
      <c r="AD19" s="553">
        <v>8237.2800000000007</v>
      </c>
      <c r="AE19" s="554">
        <f t="shared" si="5"/>
        <v>212900.45600000001</v>
      </c>
      <c r="AF19" s="553">
        <f>'Anuid PF'!U18+'Anuid PF'!V18</f>
        <v>47217.288000000008</v>
      </c>
      <c r="AG19" s="553">
        <f>'Anuid PJ'!R17+'Anuid PJ'!S17</f>
        <v>7550.9759999999997</v>
      </c>
      <c r="AH19" s="553">
        <f>RRT!L16</f>
        <v>93091.680000000008</v>
      </c>
      <c r="AI19" s="553">
        <f>'TAXAS E MULTAS.'!F15</f>
        <v>8330.2720000000008</v>
      </c>
      <c r="AJ19" s="554">
        <f t="shared" si="6"/>
        <v>156190.21600000001</v>
      </c>
      <c r="AK19" s="553">
        <f t="shared" si="47"/>
        <v>74929.399999999994</v>
      </c>
      <c r="AL19" s="553">
        <f t="shared" si="48"/>
        <v>14596.136</v>
      </c>
      <c r="AM19" s="553">
        <f t="shared" si="49"/>
        <v>173524.51200000002</v>
      </c>
      <c r="AN19" s="553">
        <f t="shared" si="50"/>
        <v>9163.5040000000008</v>
      </c>
      <c r="AO19" s="554">
        <f t="shared" si="8"/>
        <v>272213.55200000003</v>
      </c>
      <c r="AP19" s="553">
        <f>'Anuid PF'!W18+'Anuid PF'!X18</f>
        <v>42331.552000000003</v>
      </c>
      <c r="AQ19" s="553">
        <f>'Anuid PJ'!T17+'Anuid PJ'!U17</f>
        <v>8680.1920000000009</v>
      </c>
      <c r="AR19" s="553">
        <f>RRT!M16</f>
        <v>104297.16</v>
      </c>
      <c r="AS19" s="553">
        <f>'TAXAS E MULTAS.'!G15</f>
        <v>5320.5519999999997</v>
      </c>
      <c r="AT19" s="554">
        <f t="shared" si="9"/>
        <v>160629.45600000001</v>
      </c>
      <c r="AU19" s="553">
        <f t="shared" si="51"/>
        <v>98870.992000000013</v>
      </c>
      <c r="AV19" s="553">
        <f t="shared" si="52"/>
        <v>22296.608000000004</v>
      </c>
      <c r="AW19" s="553">
        <f t="shared" si="53"/>
        <v>193765.24800000002</v>
      </c>
      <c r="AX19" s="553">
        <f t="shared" si="54"/>
        <v>10941.439999999999</v>
      </c>
      <c r="AY19" s="554">
        <f t="shared" si="11"/>
        <v>325874.28800000006</v>
      </c>
      <c r="AZ19" s="553">
        <f>'Anuid PF'!Y18+'Anuid PF'!Z18</f>
        <v>58217.983999999997</v>
      </c>
      <c r="BA19" s="553">
        <f>'Anuid PJ'!V17+'Anuid PJ'!W17</f>
        <v>6946.3280000000013</v>
      </c>
      <c r="BB19" s="553">
        <f>RRT!N16</f>
        <v>133995.6</v>
      </c>
      <c r="BC19" s="553">
        <f>'TAXAS E MULTAS.'!H15</f>
        <v>6491.9439999999995</v>
      </c>
      <c r="BD19" s="554">
        <f t="shared" si="12"/>
        <v>205651.856</v>
      </c>
      <c r="BE19" s="553">
        <f t="shared" si="55"/>
        <v>65108.991999999998</v>
      </c>
      <c r="BF19" s="553">
        <f t="shared" si="56"/>
        <v>13735.344000000001</v>
      </c>
      <c r="BG19" s="553">
        <f t="shared" si="57"/>
        <v>123794.46399999999</v>
      </c>
      <c r="BH19" s="553">
        <f t="shared" si="58"/>
        <v>7015.7440000000006</v>
      </c>
      <c r="BI19" s="554">
        <f t="shared" si="14"/>
        <v>209654.54399999999</v>
      </c>
      <c r="BJ19" s="553">
        <f>'Anuid PF'!AA18+'Anuid PF'!AB18</f>
        <v>86201.767999999996</v>
      </c>
      <c r="BK19" s="553">
        <f>'Anuid PJ'!X17+'Anuid PJ'!Y17</f>
        <v>15176.224</v>
      </c>
      <c r="BL19" s="553">
        <f>RRT!O16</f>
        <v>155543.88</v>
      </c>
      <c r="BM19" s="553">
        <f>'TAXAS E MULTAS.'!I15</f>
        <v>6688.52</v>
      </c>
      <c r="BN19" s="554">
        <f t="shared" si="15"/>
        <v>263610.39199999999</v>
      </c>
      <c r="BO19" s="553">
        <f t="shared" si="59"/>
        <v>36588.631999999998</v>
      </c>
      <c r="BP19" s="553">
        <f t="shared" si="16"/>
        <v>9176.0960000000014</v>
      </c>
      <c r="BQ19" s="553">
        <f t="shared" si="16"/>
        <v>153738.62400000001</v>
      </c>
      <c r="BR19" s="553">
        <f t="shared" si="16"/>
        <v>9312.2799999999988</v>
      </c>
      <c r="BS19" s="554">
        <f t="shared" si="17"/>
        <v>208815.63200000001</v>
      </c>
      <c r="BT19" s="553">
        <f>'Anuid PF'!AC18+'Anuid PF'!AD18</f>
        <v>81730.495999999999</v>
      </c>
      <c r="BU19" s="553">
        <f>'Anuid PJ'!Z17+'Anuid PJ'!AA17</f>
        <v>12220.696000000002</v>
      </c>
      <c r="BV19" s="553">
        <f>RRT!P16</f>
        <v>152723.63999999998</v>
      </c>
      <c r="BW19" s="553">
        <f>'TAXAS E MULTAS.'!J15</f>
        <v>8384.9840000000004</v>
      </c>
      <c r="BX19" s="554">
        <f t="shared" si="18"/>
        <v>255059.81599999999</v>
      </c>
      <c r="BY19" s="553">
        <f t="shared" si="60"/>
        <v>29263.296000000002</v>
      </c>
      <c r="BZ19" s="553">
        <f t="shared" si="61"/>
        <v>5635.5440000000008</v>
      </c>
      <c r="CA19" s="553">
        <f t="shared" si="62"/>
        <v>146764.288</v>
      </c>
      <c r="CB19" s="553">
        <f t="shared" si="63"/>
        <v>8428.5839999999989</v>
      </c>
      <c r="CC19" s="554">
        <f t="shared" si="20"/>
        <v>190091.712</v>
      </c>
      <c r="CD19" s="553">
        <f>'Anuid PF'!AE18+'Anuid PF'!AF18</f>
        <v>59897.736000000019</v>
      </c>
      <c r="CE19" s="553">
        <f>'Anuid PJ'!AB17+'Anuid PJ'!AC17</f>
        <v>12544.960000000001</v>
      </c>
      <c r="CF19" s="553">
        <f>RRT!Q16</f>
        <v>137600.16</v>
      </c>
      <c r="CG19" s="553">
        <f>'TAXAS E MULTAS.'!K15</f>
        <v>14644.839999999998</v>
      </c>
      <c r="CH19" s="554">
        <f t="shared" si="21"/>
        <v>224687.69600000003</v>
      </c>
      <c r="CI19" s="553">
        <f t="shared" si="64"/>
        <v>21516.864000000001</v>
      </c>
      <c r="CJ19" s="553">
        <f t="shared" si="65"/>
        <v>5255.4639999999999</v>
      </c>
      <c r="CK19" s="553">
        <f t="shared" si="66"/>
        <v>131072.03200000001</v>
      </c>
      <c r="CL19" s="553">
        <f t="shared" si="67"/>
        <v>17948.576000000005</v>
      </c>
      <c r="CM19" s="554">
        <f t="shared" si="23"/>
        <v>175792.93600000002</v>
      </c>
      <c r="CN19" s="553">
        <f>'Anuid PF'!AG18+'Anuid PF'!AH18</f>
        <v>42977.064000000006</v>
      </c>
      <c r="CO19" s="553">
        <f>'Anuid PJ'!AD17+'Anuid PJ'!AE17</f>
        <v>6317.4240000000009</v>
      </c>
      <c r="CP19" s="553">
        <f>RRT!R16</f>
        <v>152802</v>
      </c>
      <c r="CQ19" s="553">
        <f>'TAXAS E MULTAS.'!L15</f>
        <v>13006.72</v>
      </c>
      <c r="CR19" s="554">
        <f t="shared" si="24"/>
        <v>215103.20800000001</v>
      </c>
      <c r="CS19" s="553">
        <f t="shared" si="68"/>
        <v>29508.072000000004</v>
      </c>
      <c r="CT19" s="553">
        <f t="shared" si="69"/>
        <v>7641.3279999999995</v>
      </c>
      <c r="CU19" s="553">
        <f t="shared" si="70"/>
        <v>140623.84</v>
      </c>
      <c r="CV19" s="553">
        <f t="shared" si="71"/>
        <v>10621.368</v>
      </c>
      <c r="CW19" s="554">
        <f t="shared" si="26"/>
        <v>188394.60799999998</v>
      </c>
      <c r="CX19" s="553">
        <f>'Anuid PF'!AI18+'Anuid PF'!AJ18</f>
        <v>40133.192000000003</v>
      </c>
      <c r="CY19" s="553">
        <f>'Anuid PJ'!AF17+'Anuid PJ'!AG17</f>
        <v>5307.8239999999996</v>
      </c>
      <c r="CZ19" s="553">
        <f>RRT!S16</f>
        <v>145906.32</v>
      </c>
      <c r="DA19" s="553">
        <f>'TAXAS E MULTAS.'!M15</f>
        <v>11097.816000000001</v>
      </c>
      <c r="DB19" s="554">
        <f t="shared" si="27"/>
        <v>202445.152</v>
      </c>
      <c r="DC19" s="553">
        <f t="shared" si="72"/>
        <v>19764.832000000002</v>
      </c>
      <c r="DD19" s="553">
        <f t="shared" si="73"/>
        <v>5841.384</v>
      </c>
      <c r="DE19" s="553">
        <f t="shared" si="74"/>
        <v>134180.16</v>
      </c>
      <c r="DF19" s="553">
        <f t="shared" si="75"/>
        <v>10413.32</v>
      </c>
      <c r="DG19" s="554">
        <f t="shared" si="29"/>
        <v>170199.696</v>
      </c>
      <c r="DH19" s="553">
        <f>'Anuid PF'!AK18+'Anuid PF'!AL18</f>
        <v>36932.968000000001</v>
      </c>
      <c r="DI19" s="553">
        <f>'Anuid PJ'!AH17+'Anuid PJ'!AI17</f>
        <v>5369.7520000000004</v>
      </c>
      <c r="DJ19" s="553">
        <f>RRT!T16</f>
        <v>115972.8</v>
      </c>
      <c r="DK19" s="553">
        <f>'TAXAS E MULTAS.'!N15</f>
        <v>9135.0879999999997</v>
      </c>
      <c r="DL19" s="554">
        <f t="shared" si="30"/>
        <v>167410.60800000001</v>
      </c>
      <c r="DM19" s="553">
        <f t="shared" si="76"/>
        <v>26157.904000000002</v>
      </c>
      <c r="DN19" s="553">
        <f t="shared" si="77"/>
        <v>5545.3360000000002</v>
      </c>
      <c r="DO19" s="553">
        <f t="shared" si="78"/>
        <v>107571.55200000001</v>
      </c>
      <c r="DP19" s="553">
        <f t="shared" si="79"/>
        <v>20669.680000000004</v>
      </c>
      <c r="DQ19" s="552">
        <f t="shared" si="32"/>
        <v>159944.47200000001</v>
      </c>
      <c r="DR19" s="555">
        <f t="shared" si="33"/>
        <v>886570.20800000022</v>
      </c>
      <c r="DS19" s="553">
        <f t="shared" si="34"/>
        <v>140121.53599999999</v>
      </c>
      <c r="DT19" s="553">
        <f t="shared" si="35"/>
        <v>1530480.8640000001</v>
      </c>
      <c r="DU19" s="553">
        <f t="shared" si="36"/>
        <v>112457.42400000001</v>
      </c>
      <c r="DV19" s="554">
        <f t="shared" si="37"/>
        <v>2669630.0320000001</v>
      </c>
      <c r="DW19" s="553">
        <f t="shared" si="80"/>
        <v>760838.47199999995</v>
      </c>
      <c r="DX19" s="553">
        <f t="shared" si="38"/>
        <v>143783.26400000002</v>
      </c>
      <c r="DY19" s="553">
        <f t="shared" si="39"/>
        <v>1677513.68</v>
      </c>
      <c r="DZ19" s="553">
        <f t="shared" si="40"/>
        <v>129224.352</v>
      </c>
      <c r="EA19" s="552">
        <f t="shared" si="41"/>
        <v>2711359.7680000002</v>
      </c>
      <c r="EB19" s="551">
        <f t="shared" si="42"/>
        <v>16.525417763049205</v>
      </c>
      <c r="EC19" s="551">
        <f t="shared" si="43"/>
        <v>-2.546699732731085</v>
      </c>
      <c r="ED19" s="551">
        <f t="shared" si="44"/>
        <v>-8.7649250049632883</v>
      </c>
      <c r="EE19" s="551">
        <f t="shared" si="45"/>
        <v>-12.975052875482774</v>
      </c>
      <c r="EF19" s="550">
        <f t="shared" si="46"/>
        <v>-1.5390704137644349</v>
      </c>
      <c r="EG19" s="561" t="str">
        <f t="shared" si="81"/>
        <v>menor</v>
      </c>
    </row>
    <row r="20" spans="1:137">
      <c r="A20" s="556" t="s">
        <v>97</v>
      </c>
      <c r="B20" s="553">
        <f>'Anuid PF'!O19+'Anuid PF'!P19</f>
        <v>127419.16000000002</v>
      </c>
      <c r="C20" s="553">
        <f>'Anuid PJ'!L18+'Anuid PJ'!M18</f>
        <v>19345.52</v>
      </c>
      <c r="D20" s="553">
        <f>RRT!I17</f>
        <v>136832.16800000001</v>
      </c>
      <c r="E20" s="553">
        <f>'TAXAS E MULTAS.'!C16</f>
        <v>5504.3360000000002</v>
      </c>
      <c r="F20" s="554">
        <f t="shared" si="0"/>
        <v>289101.18400000001</v>
      </c>
      <c r="G20" s="553">
        <v>109884.912</v>
      </c>
      <c r="H20" s="553">
        <v>11729.984</v>
      </c>
      <c r="I20" s="553">
        <v>120801.792</v>
      </c>
      <c r="J20" s="553">
        <v>5264.3600000000006</v>
      </c>
      <c r="K20" s="554">
        <f t="shared" si="1"/>
        <v>247681.04800000001</v>
      </c>
      <c r="L20" s="553">
        <f>'Anuid PF'!Q19+'Anuid PF'!R19</f>
        <v>176476.07200000001</v>
      </c>
      <c r="M20" s="553">
        <f>'Anuid PJ'!N18+'Anuid PJ'!O18</f>
        <v>29792.935999999998</v>
      </c>
      <c r="N20" s="553">
        <f>RRT!J17</f>
        <v>171135.68799999999</v>
      </c>
      <c r="O20" s="553">
        <f>'TAXAS E MULTAS.'!D16</f>
        <v>6385.3919999999998</v>
      </c>
      <c r="P20" s="554">
        <f t="shared" si="2"/>
        <v>383790.08799999999</v>
      </c>
      <c r="Q20" s="553">
        <v>147639.08800000002</v>
      </c>
      <c r="R20" s="562">
        <v>17812.495999999999</v>
      </c>
      <c r="S20" s="553">
        <v>164654.97600000002</v>
      </c>
      <c r="T20" s="553">
        <v>10593.856000000002</v>
      </c>
      <c r="U20" s="554">
        <f t="shared" si="3"/>
        <v>340700.41600000008</v>
      </c>
      <c r="V20" s="553">
        <f>'Anuid PF'!S19+'Anuid PF'!T19</f>
        <v>113591.592</v>
      </c>
      <c r="W20" s="553">
        <f>'Anuid PJ'!P18+'Anuid PJ'!Q18</f>
        <v>10238.232</v>
      </c>
      <c r="X20" s="553">
        <f>RRT!K17</f>
        <v>191982</v>
      </c>
      <c r="Y20" s="553">
        <f>'TAXAS E MULTAS.'!E16</f>
        <v>7158.5920000000006</v>
      </c>
      <c r="Z20" s="554">
        <f t="shared" si="4"/>
        <v>322970.41600000003</v>
      </c>
      <c r="AA20" s="553">
        <v>84733.762000000002</v>
      </c>
      <c r="AB20" s="562">
        <v>7646.88</v>
      </c>
      <c r="AC20" s="553">
        <v>167535.68000000002</v>
      </c>
      <c r="AD20" s="553">
        <v>6709.652000000001</v>
      </c>
      <c r="AE20" s="554">
        <f t="shared" si="5"/>
        <v>266625.97400000005</v>
      </c>
      <c r="AF20" s="553">
        <f>'Anuid PF'!U19+'Anuid PF'!V19</f>
        <v>56750.432000000001</v>
      </c>
      <c r="AG20" s="553">
        <f>'Anuid PJ'!R18+'Anuid PJ'!S18</f>
        <v>7361.4</v>
      </c>
      <c r="AH20" s="553">
        <f>RRT!L17</f>
        <v>147316.80000000002</v>
      </c>
      <c r="AI20" s="553">
        <f>'TAXAS E MULTAS.'!F16</f>
        <v>3672.288</v>
      </c>
      <c r="AJ20" s="554">
        <f t="shared" si="6"/>
        <v>215100.92</v>
      </c>
      <c r="AK20" s="553">
        <f t="shared" si="47"/>
        <v>85918.992000000013</v>
      </c>
      <c r="AL20" s="553">
        <f t="shared" si="48"/>
        <v>9743.2400000000016</v>
      </c>
      <c r="AM20" s="553">
        <f t="shared" si="49"/>
        <v>196266.91200000001</v>
      </c>
      <c r="AN20" s="553">
        <f t="shared" si="50"/>
        <v>5051.6880000000001</v>
      </c>
      <c r="AO20" s="554">
        <f t="shared" si="8"/>
        <v>296980.83200000005</v>
      </c>
      <c r="AP20" s="553">
        <f>'Anuid PF'!W19+'Anuid PF'!X19</f>
        <v>51852.648000000001</v>
      </c>
      <c r="AQ20" s="553">
        <f>'Anuid PJ'!T18+'Anuid PJ'!U18</f>
        <v>6201.0879999999997</v>
      </c>
      <c r="AR20" s="553">
        <f>RRT!M17</f>
        <v>197075.40000000002</v>
      </c>
      <c r="AS20" s="553">
        <f>'TAXAS E MULTAS.'!G16</f>
        <v>8091.4160000000011</v>
      </c>
      <c r="AT20" s="554">
        <f t="shared" si="9"/>
        <v>263220.55200000003</v>
      </c>
      <c r="AU20" s="553">
        <f t="shared" si="51"/>
        <v>107652.52</v>
      </c>
      <c r="AV20" s="553">
        <f t="shared" si="52"/>
        <v>8898.6080000000002</v>
      </c>
      <c r="AW20" s="553">
        <f t="shared" si="53"/>
        <v>199450.848</v>
      </c>
      <c r="AX20" s="553">
        <f t="shared" si="54"/>
        <v>5049.5600000000004</v>
      </c>
      <c r="AY20" s="554">
        <f t="shared" si="11"/>
        <v>321051.53600000002</v>
      </c>
      <c r="AZ20" s="553">
        <f>'Anuid PF'!Y19+'Anuid PF'!Z19</f>
        <v>92700.423999999999</v>
      </c>
      <c r="BA20" s="553">
        <f>'Anuid PJ'!V18+'Anuid PJ'!W18</f>
        <v>9149.16</v>
      </c>
      <c r="BB20" s="553">
        <f>RRT!N17</f>
        <v>221288.64</v>
      </c>
      <c r="BC20" s="553">
        <f>'TAXAS E MULTAS.'!H16</f>
        <v>13183.984</v>
      </c>
      <c r="BD20" s="554">
        <f t="shared" si="12"/>
        <v>336322.20800000004</v>
      </c>
      <c r="BE20" s="553">
        <f t="shared" si="55"/>
        <v>89713.384000000005</v>
      </c>
      <c r="BF20" s="553">
        <f t="shared" si="56"/>
        <v>9179.3280000000013</v>
      </c>
      <c r="BG20" s="553">
        <f t="shared" si="57"/>
        <v>177163.296</v>
      </c>
      <c r="BH20" s="553">
        <f t="shared" si="58"/>
        <v>5009.1760000000004</v>
      </c>
      <c r="BI20" s="554">
        <f t="shared" si="14"/>
        <v>281065.18400000001</v>
      </c>
      <c r="BJ20" s="553">
        <f>'Anuid PF'!AA19+'Anuid PF'!AB19</f>
        <v>108075.05600000001</v>
      </c>
      <c r="BK20" s="553">
        <f>'Anuid PJ'!X18+'Anuid PJ'!Y18</f>
        <v>7106.0400000000018</v>
      </c>
      <c r="BL20" s="553">
        <f>RRT!O17</f>
        <v>222777.47999999998</v>
      </c>
      <c r="BM20" s="553">
        <f>'TAXAS E MULTAS.'!I16</f>
        <v>9734.0879999999997</v>
      </c>
      <c r="BN20" s="554">
        <f t="shared" si="15"/>
        <v>347692.66399999999</v>
      </c>
      <c r="BO20" s="553">
        <f t="shared" si="59"/>
        <v>35191.016000000003</v>
      </c>
      <c r="BP20" s="553">
        <f t="shared" si="16"/>
        <v>4934.5599999999995</v>
      </c>
      <c r="BQ20" s="553">
        <f t="shared" si="16"/>
        <v>216356.03200000001</v>
      </c>
      <c r="BR20" s="553">
        <f t="shared" si="16"/>
        <v>5677.7280000000001</v>
      </c>
      <c r="BS20" s="554">
        <f t="shared" si="17"/>
        <v>262159.33600000001</v>
      </c>
      <c r="BT20" s="553">
        <f>'Anuid PF'!AC19+'Anuid PF'!AD19</f>
        <v>162134.424</v>
      </c>
      <c r="BU20" s="553">
        <f>'Anuid PJ'!Z18+'Anuid PJ'!AA18</f>
        <v>22635.536000000004</v>
      </c>
      <c r="BV20" s="553">
        <f>RRT!P17</f>
        <v>236020.32000000004</v>
      </c>
      <c r="BW20" s="553">
        <f>'TAXAS E MULTAS.'!J16</f>
        <v>14512.743999999999</v>
      </c>
      <c r="BX20" s="554">
        <f t="shared" si="18"/>
        <v>435303.02400000003</v>
      </c>
      <c r="BY20" s="553">
        <f t="shared" si="60"/>
        <v>28675.568000000003</v>
      </c>
      <c r="BZ20" s="553">
        <f t="shared" si="61"/>
        <v>4654.7520000000004</v>
      </c>
      <c r="CA20" s="553">
        <f t="shared" si="62"/>
        <v>195660.448</v>
      </c>
      <c r="CB20" s="553">
        <f t="shared" si="63"/>
        <v>5344.5119999999997</v>
      </c>
      <c r="CC20" s="554">
        <f t="shared" si="20"/>
        <v>234335.28</v>
      </c>
      <c r="CD20" s="553">
        <f>'Anuid PF'!AE19+'Anuid PF'!AF19</f>
        <v>57156.584000000017</v>
      </c>
      <c r="CE20" s="553">
        <f>'Anuid PJ'!AB18+'Anuid PJ'!AC18</f>
        <v>7110.0240000000013</v>
      </c>
      <c r="CF20" s="553">
        <f>RRT!Q17</f>
        <v>210945.12000000002</v>
      </c>
      <c r="CG20" s="553">
        <f>'TAXAS E MULTAS.'!K16</f>
        <v>11351.584000000001</v>
      </c>
      <c r="CH20" s="554">
        <f t="shared" si="21"/>
        <v>286563.31200000003</v>
      </c>
      <c r="CI20" s="553">
        <f t="shared" si="64"/>
        <v>26217.168000000005</v>
      </c>
      <c r="CJ20" s="553">
        <f t="shared" si="65"/>
        <v>3830.8560000000007</v>
      </c>
      <c r="CK20" s="553">
        <f t="shared" si="66"/>
        <v>178452.03200000001</v>
      </c>
      <c r="CL20" s="553">
        <f t="shared" si="67"/>
        <v>6178.0000000000009</v>
      </c>
      <c r="CM20" s="554">
        <f t="shared" si="23"/>
        <v>214678.05600000001</v>
      </c>
      <c r="CN20" s="553">
        <f>'Anuid PF'!AG19+'Anuid PF'!AH19</f>
        <v>40097.368000000002</v>
      </c>
      <c r="CO20" s="553">
        <f>'Anuid PJ'!AD18+'Anuid PJ'!AE18</f>
        <v>5340.5280000000012</v>
      </c>
      <c r="CP20" s="553">
        <f>RRT!R17</f>
        <v>223404.36000000002</v>
      </c>
      <c r="CQ20" s="553">
        <f>'TAXAS E MULTAS.'!L16</f>
        <v>9614.0560000000005</v>
      </c>
      <c r="CR20" s="554">
        <f t="shared" si="24"/>
        <v>278456.31199999998</v>
      </c>
      <c r="CS20" s="553">
        <f t="shared" si="68"/>
        <v>29416.376</v>
      </c>
      <c r="CT20" s="553">
        <f t="shared" si="69"/>
        <v>6929.6639999999998</v>
      </c>
      <c r="CU20" s="553">
        <f t="shared" si="70"/>
        <v>199683.024</v>
      </c>
      <c r="CV20" s="553">
        <f t="shared" si="71"/>
        <v>8975.7520000000004</v>
      </c>
      <c r="CW20" s="554">
        <f t="shared" si="26"/>
        <v>245004.81600000002</v>
      </c>
      <c r="CX20" s="553">
        <f>'Anuid PF'!AI19+'Anuid PF'!AJ19</f>
        <v>38999.168000000005</v>
      </c>
      <c r="CY20" s="553">
        <f>'Anuid PJ'!AF18+'Anuid PJ'!AG18</f>
        <v>3816.4160000000002</v>
      </c>
      <c r="CZ20" s="553">
        <f>RRT!S17</f>
        <v>197623.92</v>
      </c>
      <c r="DA20" s="553">
        <f>'TAXAS E MULTAS.'!M16</f>
        <v>11433.784000000001</v>
      </c>
      <c r="DB20" s="554">
        <f t="shared" si="27"/>
        <v>251873.28800000003</v>
      </c>
      <c r="DC20" s="553">
        <f t="shared" si="72"/>
        <v>24850.752</v>
      </c>
      <c r="DD20" s="553">
        <f t="shared" si="73"/>
        <v>3625.8719999999998</v>
      </c>
      <c r="DE20" s="553">
        <f t="shared" si="74"/>
        <v>166474.36800000002</v>
      </c>
      <c r="DF20" s="553">
        <f t="shared" si="75"/>
        <v>7122.5119999999997</v>
      </c>
      <c r="DG20" s="554">
        <f t="shared" si="29"/>
        <v>202073.50400000002</v>
      </c>
      <c r="DH20" s="553">
        <f>'Anuid PF'!AK19+'Anuid PF'!AL19</f>
        <v>44394.560000000012</v>
      </c>
      <c r="DI20" s="553">
        <f>'Anuid PJ'!AH18+'Anuid PJ'!AI18</f>
        <v>6669.5760000000009</v>
      </c>
      <c r="DJ20" s="553">
        <f>RRT!T17</f>
        <v>181011.6</v>
      </c>
      <c r="DK20" s="553">
        <f>'TAXAS E MULTAS.'!N16</f>
        <v>12366.672000000002</v>
      </c>
      <c r="DL20" s="554">
        <f t="shared" si="30"/>
        <v>244442.40800000002</v>
      </c>
      <c r="DM20" s="553">
        <f t="shared" si="76"/>
        <v>26920.680000000004</v>
      </c>
      <c r="DN20" s="553">
        <f t="shared" si="77"/>
        <v>4066.2080000000005</v>
      </c>
      <c r="DO20" s="553">
        <f t="shared" si="78"/>
        <v>155861.24799999999</v>
      </c>
      <c r="DP20" s="553">
        <f t="shared" si="79"/>
        <v>8765.9920000000002</v>
      </c>
      <c r="DQ20" s="552">
        <f t="shared" si="32"/>
        <v>195614.128</v>
      </c>
      <c r="DR20" s="555">
        <f t="shared" si="33"/>
        <v>1069647.4880000001</v>
      </c>
      <c r="DS20" s="553">
        <f t="shared" si="34"/>
        <v>134766.45600000001</v>
      </c>
      <c r="DT20" s="553">
        <f t="shared" si="35"/>
        <v>2337413.4960000003</v>
      </c>
      <c r="DU20" s="553">
        <f t="shared" si="36"/>
        <v>113008.936</v>
      </c>
      <c r="DV20" s="554">
        <f t="shared" si="37"/>
        <v>3654836.3760000006</v>
      </c>
      <c r="DW20" s="553">
        <f t="shared" si="80"/>
        <v>796814.21799999999</v>
      </c>
      <c r="DX20" s="553">
        <f t="shared" si="38"/>
        <v>93052.448000000004</v>
      </c>
      <c r="DY20" s="553">
        <f t="shared" si="39"/>
        <v>2138360.6560000004</v>
      </c>
      <c r="DZ20" s="553">
        <f t="shared" si="40"/>
        <v>79742.788000000015</v>
      </c>
      <c r="EA20" s="552">
        <f t="shared" si="41"/>
        <v>3107970.1100000008</v>
      </c>
      <c r="EB20" s="551">
        <f t="shared" si="42"/>
        <v>34.240512259534029</v>
      </c>
      <c r="EC20" s="551">
        <f t="shared" si="43"/>
        <v>44.828490702361734</v>
      </c>
      <c r="ED20" s="551">
        <f t="shared" si="44"/>
        <v>9.3086654695726736</v>
      </c>
      <c r="EE20" s="551">
        <f t="shared" si="45"/>
        <v>41.716810804257278</v>
      </c>
      <c r="EF20" s="550">
        <f t="shared" si="46"/>
        <v>17.595608923021459</v>
      </c>
      <c r="EG20" s="561" t="str">
        <f t="shared" si="81"/>
        <v>MAIOR</v>
      </c>
    </row>
    <row r="21" spans="1:137">
      <c r="A21" s="556" t="s">
        <v>100</v>
      </c>
      <c r="B21" s="553">
        <f>'Anuid PF'!O20+'Anuid PF'!P20</f>
        <v>117759.88</v>
      </c>
      <c r="C21" s="553">
        <f>'Anuid PJ'!L19+'Anuid PJ'!M19</f>
        <v>8268.0640000000003</v>
      </c>
      <c r="D21" s="553">
        <f>RRT!I18</f>
        <v>42419.328000000009</v>
      </c>
      <c r="E21" s="553">
        <f>'TAXAS E MULTAS.'!C17</f>
        <v>13758.328000000001</v>
      </c>
      <c r="F21" s="554">
        <f t="shared" si="0"/>
        <v>182205.6</v>
      </c>
      <c r="G21" s="553">
        <v>100298.40800000001</v>
      </c>
      <c r="H21" s="553">
        <v>9537.6640000000007</v>
      </c>
      <c r="I21" s="553">
        <v>34166.112000000001</v>
      </c>
      <c r="J21" s="553">
        <v>7292.88</v>
      </c>
      <c r="K21" s="554">
        <f t="shared" si="1"/>
        <v>151295.06400000001</v>
      </c>
      <c r="L21" s="553">
        <f>'Anuid PF'!Q20+'Anuid PF'!R20</f>
        <v>119868.59200000002</v>
      </c>
      <c r="M21" s="553">
        <f>'Anuid PJ'!N19+'Anuid PJ'!O19</f>
        <v>11351.504000000001</v>
      </c>
      <c r="N21" s="553">
        <f>RRT!J18</f>
        <v>43176.36</v>
      </c>
      <c r="O21" s="553">
        <f>'TAXAS E MULTAS.'!D17</f>
        <v>8869.112000000001</v>
      </c>
      <c r="P21" s="554">
        <f t="shared" si="2"/>
        <v>183265.568</v>
      </c>
      <c r="Q21" s="553">
        <v>120544.63200000001</v>
      </c>
      <c r="R21" s="562">
        <v>10105.456</v>
      </c>
      <c r="S21" s="553">
        <v>47000.959999999999</v>
      </c>
      <c r="T21" s="553">
        <v>9363.0879999999997</v>
      </c>
      <c r="U21" s="554">
        <f t="shared" si="3"/>
        <v>187014.136</v>
      </c>
      <c r="V21" s="553">
        <f>'Anuid PF'!S20+'Anuid PF'!T20</f>
        <v>92480.280000000013</v>
      </c>
      <c r="W21" s="553">
        <f>'Anuid PJ'!P19+'Anuid PJ'!Q19</f>
        <v>10414.752</v>
      </c>
      <c r="X21" s="553">
        <f>RRT!K18</f>
        <v>43724.880000000005</v>
      </c>
      <c r="Y21" s="553">
        <f>'TAXAS E MULTAS.'!E17</f>
        <v>12402.455999999998</v>
      </c>
      <c r="Z21" s="554">
        <f t="shared" si="4"/>
        <v>159022.36800000002</v>
      </c>
      <c r="AA21" s="553">
        <v>63083.944000000003</v>
      </c>
      <c r="AB21" s="562">
        <v>7204.64</v>
      </c>
      <c r="AC21" s="553">
        <v>45939.648000000001</v>
      </c>
      <c r="AD21" s="553">
        <v>6786.6640000000007</v>
      </c>
      <c r="AE21" s="554">
        <f t="shared" si="5"/>
        <v>123014.89600000001</v>
      </c>
      <c r="AF21" s="553">
        <f>'Anuid PF'!U20+'Anuid PF'!V20</f>
        <v>44384.744000000006</v>
      </c>
      <c r="AG21" s="553">
        <f>'Anuid PJ'!R19+'Anuid PJ'!S19</f>
        <v>1676.32</v>
      </c>
      <c r="AH21" s="553">
        <f>RRT!L18</f>
        <v>29071.559999999998</v>
      </c>
      <c r="AI21" s="553">
        <f>'TAXAS E MULTAS.'!F17</f>
        <v>5258.56</v>
      </c>
      <c r="AJ21" s="554">
        <f t="shared" si="6"/>
        <v>80391.184000000008</v>
      </c>
      <c r="AK21" s="553">
        <f t="shared" si="47"/>
        <v>66990.687999999995</v>
      </c>
      <c r="AL21" s="553">
        <f t="shared" si="48"/>
        <v>8513.9120000000003</v>
      </c>
      <c r="AM21" s="553">
        <f t="shared" si="49"/>
        <v>46925.152000000002</v>
      </c>
      <c r="AN21" s="553">
        <f t="shared" si="50"/>
        <v>8022.2960000000003</v>
      </c>
      <c r="AO21" s="554">
        <f t="shared" si="8"/>
        <v>130452.048</v>
      </c>
      <c r="AP21" s="553">
        <f>'Anuid PF'!W20+'Anuid PF'!X20</f>
        <v>33267.656000000003</v>
      </c>
      <c r="AQ21" s="553">
        <f>'Anuid PJ'!T19+'Anuid PJ'!U19</f>
        <v>2028.5680000000002</v>
      </c>
      <c r="AR21" s="553">
        <f>RRT!M18</f>
        <v>20687.04</v>
      </c>
      <c r="AS21" s="553">
        <f>'TAXAS E MULTAS.'!G17</f>
        <v>4842.3840000000009</v>
      </c>
      <c r="AT21" s="554">
        <f t="shared" si="9"/>
        <v>60825.648000000001</v>
      </c>
      <c r="AU21" s="553">
        <f t="shared" si="51"/>
        <v>81450.952000000005</v>
      </c>
      <c r="AV21" s="553">
        <f t="shared" si="52"/>
        <v>6420.4160000000002</v>
      </c>
      <c r="AW21" s="553">
        <f t="shared" si="53"/>
        <v>55567.264000000003</v>
      </c>
      <c r="AX21" s="553">
        <f t="shared" si="54"/>
        <v>5960.4960000000001</v>
      </c>
      <c r="AY21" s="554">
        <f t="shared" si="11"/>
        <v>149399.12800000003</v>
      </c>
      <c r="AZ21" s="553">
        <f>'Anuid PF'!Y20+'Anuid PF'!Z20</f>
        <v>58116.928</v>
      </c>
      <c r="BA21" s="553">
        <f>'Anuid PJ'!V19+'Anuid PJ'!W19</f>
        <v>5567.6720000000005</v>
      </c>
      <c r="BB21" s="553">
        <f>RRT!N18</f>
        <v>44821.920000000006</v>
      </c>
      <c r="BC21" s="553">
        <f>'TAXAS E MULTAS.'!H17</f>
        <v>5226.0880000000006</v>
      </c>
      <c r="BD21" s="554">
        <f t="shared" si="12"/>
        <v>113732.60800000001</v>
      </c>
      <c r="BE21" s="553">
        <f t="shared" si="55"/>
        <v>64812.135999999999</v>
      </c>
      <c r="BF21" s="553">
        <f t="shared" si="56"/>
        <v>6350.456000000001</v>
      </c>
      <c r="BG21" s="553">
        <f t="shared" si="57"/>
        <v>49957.472000000002</v>
      </c>
      <c r="BH21" s="553">
        <f t="shared" si="58"/>
        <v>6863.8480000000009</v>
      </c>
      <c r="BI21" s="554">
        <f t="shared" si="14"/>
        <v>127983.91200000001</v>
      </c>
      <c r="BJ21" s="553">
        <f>'Anuid PF'!AA20+'Anuid PF'!AB20</f>
        <v>81527.536000000007</v>
      </c>
      <c r="BK21" s="553">
        <f>'Anuid PJ'!X19+'Anuid PJ'!Y19</f>
        <v>7787.92</v>
      </c>
      <c r="BL21" s="553">
        <f>RRT!O18</f>
        <v>58064.76</v>
      </c>
      <c r="BM21" s="553">
        <f>'TAXAS E MULTAS.'!I17</f>
        <v>7211.3680000000013</v>
      </c>
      <c r="BN21" s="554">
        <f t="shared" si="15"/>
        <v>154591.584</v>
      </c>
      <c r="BO21" s="553">
        <f t="shared" si="59"/>
        <v>30481.976000000002</v>
      </c>
      <c r="BP21" s="553">
        <f t="shared" si="16"/>
        <v>3623.9760000000001</v>
      </c>
      <c r="BQ21" s="553">
        <f t="shared" si="16"/>
        <v>54657.568000000007</v>
      </c>
      <c r="BR21" s="553">
        <f t="shared" si="16"/>
        <v>7718.4639999999999</v>
      </c>
      <c r="BS21" s="554">
        <f t="shared" si="17"/>
        <v>96481.984000000026</v>
      </c>
      <c r="BT21" s="553">
        <f>'Anuid PF'!AC20+'Anuid PF'!AD20</f>
        <v>90518.399999999994</v>
      </c>
      <c r="BU21" s="553">
        <f>'Anuid PJ'!Z19+'Anuid PJ'!AA19</f>
        <v>11437.512000000001</v>
      </c>
      <c r="BV21" s="553">
        <f>RRT!P18</f>
        <v>71229.24000000002</v>
      </c>
      <c r="BW21" s="553">
        <f>'TAXAS E MULTAS.'!J17</f>
        <v>10368.808000000001</v>
      </c>
      <c r="BX21" s="554">
        <f t="shared" si="18"/>
        <v>183553.96</v>
      </c>
      <c r="BY21" s="553">
        <f t="shared" si="60"/>
        <v>23867.616000000002</v>
      </c>
      <c r="BZ21" s="553">
        <f t="shared" si="61"/>
        <v>1123.848</v>
      </c>
      <c r="CA21" s="553">
        <f t="shared" si="62"/>
        <v>53823.680000000008</v>
      </c>
      <c r="CB21" s="553">
        <f t="shared" si="63"/>
        <v>6793.8960000000006</v>
      </c>
      <c r="CC21" s="554">
        <f t="shared" si="20"/>
        <v>85609.040000000008</v>
      </c>
      <c r="CD21" s="553">
        <f>'Anuid PF'!AE20+'Anuid PF'!AF20</f>
        <v>48274.216</v>
      </c>
      <c r="CE21" s="553">
        <f>'Anuid PJ'!AB19+'Anuid PJ'!AC19</f>
        <v>2901.9360000000001</v>
      </c>
      <c r="CF21" s="553">
        <f>RRT!Q18</f>
        <v>59475.240000000005</v>
      </c>
      <c r="CG21" s="553">
        <f>'TAXAS E MULTAS.'!K17</f>
        <v>9060.2480000000014</v>
      </c>
      <c r="CH21" s="554">
        <f t="shared" si="21"/>
        <v>119711.64000000001</v>
      </c>
      <c r="CI21" s="553">
        <f t="shared" si="64"/>
        <v>23887.912</v>
      </c>
      <c r="CJ21" s="553">
        <f t="shared" si="65"/>
        <v>1392.88</v>
      </c>
      <c r="CK21" s="553">
        <f t="shared" si="66"/>
        <v>57386.65600000001</v>
      </c>
      <c r="CL21" s="553">
        <f t="shared" si="67"/>
        <v>6619.8640000000005</v>
      </c>
      <c r="CM21" s="554">
        <f t="shared" si="23"/>
        <v>89287.312000000005</v>
      </c>
      <c r="CN21" s="553">
        <f>'Anuid PF'!AG20+'Anuid PF'!AH20</f>
        <v>57090.776000000005</v>
      </c>
      <c r="CO21" s="553">
        <f>'Anuid PJ'!AD19+'Anuid PJ'!AE19</f>
        <v>1589.1440000000002</v>
      </c>
      <c r="CP21" s="553">
        <f>RRT!R18</f>
        <v>74755.44</v>
      </c>
      <c r="CQ21" s="553">
        <f>'TAXAS E MULTAS.'!L17</f>
        <v>11953.336000000001</v>
      </c>
      <c r="CR21" s="554">
        <f t="shared" si="24"/>
        <v>145388.69600000003</v>
      </c>
      <c r="CS21" s="553">
        <f t="shared" si="68"/>
        <v>27667.440000000002</v>
      </c>
      <c r="CT21" s="553">
        <f t="shared" si="69"/>
        <v>3958.4400000000005</v>
      </c>
      <c r="CU21" s="553">
        <f t="shared" si="70"/>
        <v>56780.19200000001</v>
      </c>
      <c r="CV21" s="553">
        <f t="shared" si="71"/>
        <v>10377.000000000002</v>
      </c>
      <c r="CW21" s="554">
        <f t="shared" si="26"/>
        <v>98783.072000000015</v>
      </c>
      <c r="CX21" s="553">
        <f>'Anuid PF'!AI20+'Anuid PF'!AJ20</f>
        <v>40645.008000000002</v>
      </c>
      <c r="CY21" s="553">
        <f>'Anuid PJ'!AF19+'Anuid PJ'!AG19</f>
        <v>3148.9040000000005</v>
      </c>
      <c r="CZ21" s="553">
        <f>RRT!S18</f>
        <v>63941.760000000002</v>
      </c>
      <c r="DA21" s="553">
        <f>'TAXAS E MULTAS.'!M17</f>
        <v>11905.6</v>
      </c>
      <c r="DB21" s="554">
        <f t="shared" si="27"/>
        <v>119641.27200000001</v>
      </c>
      <c r="DC21" s="553">
        <f t="shared" si="72"/>
        <v>27140.168000000001</v>
      </c>
      <c r="DD21" s="553">
        <f t="shared" si="73"/>
        <v>1187.384</v>
      </c>
      <c r="DE21" s="553">
        <f t="shared" si="74"/>
        <v>52989.792000000009</v>
      </c>
      <c r="DF21" s="553">
        <f t="shared" si="75"/>
        <v>9976.32</v>
      </c>
      <c r="DG21" s="554">
        <f t="shared" si="29"/>
        <v>91293.664000000019</v>
      </c>
      <c r="DH21" s="553">
        <f>'Anuid PF'!AK20+'Anuid PF'!AL20</f>
        <v>34863.184000000001</v>
      </c>
      <c r="DI21" s="553">
        <f>'Anuid PJ'!AH19+'Anuid PJ'!AI19</f>
        <v>880.97600000000011</v>
      </c>
      <c r="DJ21" s="553">
        <f>RRT!T18</f>
        <v>63393.240000000005</v>
      </c>
      <c r="DK21" s="553">
        <f>'TAXAS E MULTAS.'!N17</f>
        <v>9030.9840000000004</v>
      </c>
      <c r="DL21" s="554">
        <f t="shared" si="30"/>
        <v>108168.38400000001</v>
      </c>
      <c r="DM21" s="553">
        <f t="shared" si="76"/>
        <v>34153.952000000005</v>
      </c>
      <c r="DN21" s="553">
        <f t="shared" si="77"/>
        <v>3159.4080000000004</v>
      </c>
      <c r="DO21" s="553">
        <f t="shared" si="78"/>
        <v>45029.952000000005</v>
      </c>
      <c r="DP21" s="553">
        <f t="shared" si="79"/>
        <v>13486.136000000002</v>
      </c>
      <c r="DQ21" s="552">
        <f t="shared" si="32"/>
        <v>95829.448000000004</v>
      </c>
      <c r="DR21" s="555">
        <f t="shared" si="33"/>
        <v>818797.20000000007</v>
      </c>
      <c r="DS21" s="553">
        <f t="shared" si="34"/>
        <v>67053.271999999997</v>
      </c>
      <c r="DT21" s="553">
        <f t="shared" si="35"/>
        <v>614760.76800000004</v>
      </c>
      <c r="DU21" s="553">
        <f t="shared" si="36"/>
        <v>109887.27200000001</v>
      </c>
      <c r="DV21" s="554">
        <f t="shared" si="37"/>
        <v>1610498.5120000003</v>
      </c>
      <c r="DW21" s="553">
        <f t="shared" si="80"/>
        <v>664379.82400000014</v>
      </c>
      <c r="DX21" s="553">
        <f t="shared" si="38"/>
        <v>62578.48</v>
      </c>
      <c r="DY21" s="553">
        <f t="shared" si="39"/>
        <v>600224.44800000009</v>
      </c>
      <c r="DZ21" s="553">
        <f t="shared" si="40"/>
        <v>99260.95199999999</v>
      </c>
      <c r="EA21" s="552">
        <f t="shared" si="41"/>
        <v>1426443.7040000004</v>
      </c>
      <c r="EB21" s="551">
        <f t="shared" si="42"/>
        <v>23.242333740706727</v>
      </c>
      <c r="EC21" s="551">
        <f t="shared" si="43"/>
        <v>7.1506882238111018</v>
      </c>
      <c r="ED21" s="551">
        <f t="shared" si="44"/>
        <v>2.4218140478009929</v>
      </c>
      <c r="EE21" s="551">
        <f t="shared" si="45"/>
        <v>10.705438327853244</v>
      </c>
      <c r="EF21" s="550">
        <f t="shared" si="46"/>
        <v>12.903054462218023</v>
      </c>
      <c r="EG21" s="561" t="str">
        <f t="shared" si="81"/>
        <v>MAIOR</v>
      </c>
    </row>
    <row r="22" spans="1:137">
      <c r="A22" s="556" t="s">
        <v>101</v>
      </c>
      <c r="B22" s="553">
        <f>'Anuid PF'!O21+'Anuid PF'!P21</f>
        <v>128603.51200000002</v>
      </c>
      <c r="C22" s="553">
        <f>'Anuid PJ'!L20+'Anuid PJ'!M20</f>
        <v>9422.7119999999995</v>
      </c>
      <c r="D22" s="553">
        <f>RRT!I19</f>
        <v>58018.072</v>
      </c>
      <c r="E22" s="553">
        <f>'TAXAS E MULTAS.'!C18</f>
        <v>9565.0160000000014</v>
      </c>
      <c r="F22" s="554">
        <f t="shared" si="0"/>
        <v>205609.31200000003</v>
      </c>
      <c r="G22" s="553">
        <v>108039.09600000001</v>
      </c>
      <c r="H22" s="553">
        <v>7887.7440000000006</v>
      </c>
      <c r="I22" s="553">
        <v>45495.584000000003</v>
      </c>
      <c r="J22" s="553">
        <v>7921.0959999999995</v>
      </c>
      <c r="K22" s="554">
        <f t="shared" si="1"/>
        <v>169343.52</v>
      </c>
      <c r="L22" s="553">
        <f>'Anuid PF'!Q21+'Anuid PF'!R21</f>
        <v>125922.11200000001</v>
      </c>
      <c r="M22" s="553">
        <f>'Anuid PJ'!N20+'Anuid PJ'!O20</f>
        <v>15252.584000000001</v>
      </c>
      <c r="N22" s="553">
        <f>RRT!J19</f>
        <v>58299.840000000004</v>
      </c>
      <c r="O22" s="553">
        <f>'TAXAS E MULTAS.'!D18</f>
        <v>9103.5119999999988</v>
      </c>
      <c r="P22" s="554">
        <f t="shared" si="2"/>
        <v>208578.04799999998</v>
      </c>
      <c r="Q22" s="553">
        <v>121601.72800000002</v>
      </c>
      <c r="R22" s="562">
        <v>14937.592000000001</v>
      </c>
      <c r="S22" s="553">
        <v>62235.76</v>
      </c>
      <c r="T22" s="553">
        <v>6206.6480000000001</v>
      </c>
      <c r="U22" s="554">
        <f t="shared" si="3"/>
        <v>204981.728</v>
      </c>
      <c r="V22" s="553">
        <f>'Anuid PF'!S21+'Anuid PF'!T21</f>
        <v>79213.144</v>
      </c>
      <c r="W22" s="553">
        <f>'Anuid PJ'!P20+'Anuid PJ'!Q20</f>
        <v>8800.8880000000008</v>
      </c>
      <c r="X22" s="553">
        <f>RRT!K19</f>
        <v>59631.96</v>
      </c>
      <c r="Y22" s="553">
        <f>'TAXAS E MULTAS.'!E18</f>
        <v>7063.2400000000007</v>
      </c>
      <c r="Z22" s="554">
        <f t="shared" si="4"/>
        <v>154709.23199999999</v>
      </c>
      <c r="AA22" s="553">
        <v>55828.296000000009</v>
      </c>
      <c r="AB22" s="562">
        <v>8004.0400000000009</v>
      </c>
      <c r="AC22" s="553">
        <v>51397.824000000001</v>
      </c>
      <c r="AD22" s="553">
        <v>6825.76</v>
      </c>
      <c r="AE22" s="554">
        <f t="shared" si="5"/>
        <v>122055.92</v>
      </c>
      <c r="AF22" s="553">
        <f>'Anuid PF'!U21+'Anuid PF'!V21</f>
        <v>42549.4</v>
      </c>
      <c r="AG22" s="553">
        <f>'Anuid PJ'!R20+'Anuid PJ'!S20</f>
        <v>2680.4479999999999</v>
      </c>
      <c r="AH22" s="553">
        <f>RRT!L19</f>
        <v>28209.600000000002</v>
      </c>
      <c r="AI22" s="553">
        <f>'TAXAS E MULTAS.'!F18</f>
        <v>5017.9760000000006</v>
      </c>
      <c r="AJ22" s="554">
        <f t="shared" si="6"/>
        <v>78457.423999999999</v>
      </c>
      <c r="AK22" s="553">
        <f t="shared" si="47"/>
        <v>60172.768000000011</v>
      </c>
      <c r="AL22" s="553">
        <f t="shared" si="48"/>
        <v>7089.4160000000002</v>
      </c>
      <c r="AM22" s="553">
        <f t="shared" si="49"/>
        <v>65422.304000000004</v>
      </c>
      <c r="AN22" s="553">
        <f t="shared" si="50"/>
        <v>3802.5680000000002</v>
      </c>
      <c r="AO22" s="554">
        <f t="shared" si="8"/>
        <v>136487.05600000001</v>
      </c>
      <c r="AP22" s="553">
        <f>'Anuid PF'!W21+'Anuid PF'!X21</f>
        <v>27754.432000000001</v>
      </c>
      <c r="AQ22" s="553">
        <f>'Anuid PJ'!T20+'Anuid PJ'!U20</f>
        <v>2817.1280000000002</v>
      </c>
      <c r="AR22" s="553">
        <f>RRT!M19</f>
        <v>36123.96</v>
      </c>
      <c r="AS22" s="553">
        <f>'TAXAS E MULTAS.'!G18</f>
        <v>2705.8160000000003</v>
      </c>
      <c r="AT22" s="554">
        <f t="shared" si="9"/>
        <v>69401.33600000001</v>
      </c>
      <c r="AU22" s="553">
        <f t="shared" si="51"/>
        <v>70316.856</v>
      </c>
      <c r="AV22" s="553">
        <f t="shared" si="52"/>
        <v>15278.488000000001</v>
      </c>
      <c r="AW22" s="553">
        <f t="shared" si="53"/>
        <v>69591.743999999992</v>
      </c>
      <c r="AX22" s="553">
        <f t="shared" si="54"/>
        <v>6936.0400000000009</v>
      </c>
      <c r="AY22" s="554">
        <f t="shared" si="11"/>
        <v>162123.128</v>
      </c>
      <c r="AZ22" s="553">
        <f>'Anuid PF'!Y21+'Anuid PF'!Z21</f>
        <v>46632.135999999999</v>
      </c>
      <c r="BA22" s="553">
        <f>'Anuid PJ'!V20+'Anuid PJ'!W20</f>
        <v>3617.1279999999997</v>
      </c>
      <c r="BB22" s="553">
        <f>RRT!N19</f>
        <v>39963.600000000006</v>
      </c>
      <c r="BC22" s="553">
        <f>'TAXAS E MULTAS.'!H18</f>
        <v>3374.2639999999997</v>
      </c>
      <c r="BD22" s="554">
        <f t="shared" si="12"/>
        <v>93587.127999999997</v>
      </c>
      <c r="BE22" s="553">
        <f t="shared" si="55"/>
        <v>66358.768000000011</v>
      </c>
      <c r="BF22" s="553">
        <f t="shared" si="56"/>
        <v>11126.936000000002</v>
      </c>
      <c r="BG22" s="553">
        <f t="shared" si="57"/>
        <v>57159.231999999996</v>
      </c>
      <c r="BH22" s="553">
        <f t="shared" si="58"/>
        <v>4358.9040000000005</v>
      </c>
      <c r="BI22" s="554">
        <f t="shared" si="14"/>
        <v>139003.84000000003</v>
      </c>
      <c r="BJ22" s="553">
        <f>'Anuid PF'!AA21+'Anuid PF'!AB21</f>
        <v>82274.728000000003</v>
      </c>
      <c r="BK22" s="553">
        <f>'Anuid PJ'!X20+'Anuid PJ'!Y20</f>
        <v>5059.6000000000004</v>
      </c>
      <c r="BL22" s="553">
        <f>RRT!O19</f>
        <v>64960.44</v>
      </c>
      <c r="BM22" s="553">
        <f>'TAXAS E MULTAS.'!I18</f>
        <v>4833.1680000000006</v>
      </c>
      <c r="BN22" s="554">
        <f t="shared" si="15"/>
        <v>157127.93600000002</v>
      </c>
      <c r="BO22" s="553">
        <f t="shared" si="59"/>
        <v>26877.832000000002</v>
      </c>
      <c r="BP22" s="553">
        <f t="shared" si="16"/>
        <v>5463.2160000000003</v>
      </c>
      <c r="BQ22" s="553">
        <f t="shared" si="16"/>
        <v>63148.064000000006</v>
      </c>
      <c r="BR22" s="553">
        <f t="shared" si="16"/>
        <v>5956.6319999999996</v>
      </c>
      <c r="BS22" s="554">
        <f t="shared" si="17"/>
        <v>101445.74400000001</v>
      </c>
      <c r="BT22" s="553">
        <f>'Anuid PF'!AC21+'Anuid PF'!AD21</f>
        <v>104211.53600000002</v>
      </c>
      <c r="BU22" s="553">
        <f>'Anuid PJ'!Z20+'Anuid PJ'!AA20</f>
        <v>7267.3760000000002</v>
      </c>
      <c r="BV22" s="553">
        <f>RRT!P19</f>
        <v>76244.280000000013</v>
      </c>
      <c r="BW22" s="553">
        <f>'TAXAS E MULTAS.'!J18</f>
        <v>6454.7920000000004</v>
      </c>
      <c r="BX22" s="554">
        <f t="shared" si="18"/>
        <v>194177.98400000003</v>
      </c>
      <c r="BY22" s="553">
        <f t="shared" si="60"/>
        <v>25264.264000000003</v>
      </c>
      <c r="BZ22" s="553">
        <f t="shared" si="61"/>
        <v>5037.3519999999999</v>
      </c>
      <c r="CA22" s="553">
        <f t="shared" si="62"/>
        <v>65498.112000000001</v>
      </c>
      <c r="CB22" s="553">
        <f t="shared" si="63"/>
        <v>6118.5439999999999</v>
      </c>
      <c r="CC22" s="554">
        <f t="shared" si="20"/>
        <v>101918.272</v>
      </c>
      <c r="CD22" s="553">
        <f>'Anuid PF'!AE21+'Anuid PF'!AF21</f>
        <v>52315.456000000006</v>
      </c>
      <c r="CE22" s="553">
        <f>'Anuid PJ'!AB20+'Anuid PJ'!AC20</f>
        <v>2486.2799999999997</v>
      </c>
      <c r="CF22" s="553">
        <f>RRT!Q19</f>
        <v>76322.64</v>
      </c>
      <c r="CG22" s="553">
        <f>'TAXAS E MULTAS.'!K18</f>
        <v>9255.76</v>
      </c>
      <c r="CH22" s="554">
        <f t="shared" si="21"/>
        <v>140380.136</v>
      </c>
      <c r="CI22" s="553">
        <f t="shared" si="64"/>
        <v>27490.959999999999</v>
      </c>
      <c r="CJ22" s="553">
        <f t="shared" si="65"/>
        <v>5591.616</v>
      </c>
      <c r="CK22" s="553">
        <f t="shared" si="66"/>
        <v>74291.840000000011</v>
      </c>
      <c r="CL22" s="553">
        <f t="shared" si="67"/>
        <v>6048.9600000000009</v>
      </c>
      <c r="CM22" s="554">
        <f t="shared" si="23"/>
        <v>113423.37600000002</v>
      </c>
      <c r="CN22" s="553">
        <f>'Anuid PF'!AG21+'Anuid PF'!AH21</f>
        <v>49606.472000000002</v>
      </c>
      <c r="CO22" s="553">
        <f>'Anuid PJ'!AD20+'Anuid PJ'!AE20</f>
        <v>4212.9840000000004</v>
      </c>
      <c r="CP22" s="553">
        <f>RRT!R19</f>
        <v>84785.52</v>
      </c>
      <c r="CQ22" s="553">
        <f>'TAXAS E MULTAS.'!L18</f>
        <v>11961.128000000002</v>
      </c>
      <c r="CR22" s="554">
        <f t="shared" si="24"/>
        <v>150566.10400000002</v>
      </c>
      <c r="CS22" s="553">
        <f t="shared" si="68"/>
        <v>25192.784</v>
      </c>
      <c r="CT22" s="553">
        <f t="shared" si="69"/>
        <v>5726.5040000000008</v>
      </c>
      <c r="CU22" s="553">
        <f t="shared" si="70"/>
        <v>76490.271999999997</v>
      </c>
      <c r="CV22" s="553">
        <f t="shared" si="71"/>
        <v>8153.8080000000009</v>
      </c>
      <c r="CW22" s="554">
        <f t="shared" si="26"/>
        <v>115563.368</v>
      </c>
      <c r="CX22" s="553">
        <f>'Anuid PF'!AI21+'Anuid PF'!AJ21</f>
        <v>32659.648000000005</v>
      </c>
      <c r="CY22" s="553">
        <f>'Anuid PJ'!AF20+'Anuid PJ'!AG20</f>
        <v>4263.7119999999995</v>
      </c>
      <c r="CZ22" s="553">
        <f>RRT!S19</f>
        <v>73971.840000000011</v>
      </c>
      <c r="DA22" s="553">
        <f>'TAXAS E MULTAS.'!M18</f>
        <v>8985.5519999999997</v>
      </c>
      <c r="DB22" s="554">
        <f t="shared" si="27"/>
        <v>119880.75200000001</v>
      </c>
      <c r="DC22" s="553">
        <f t="shared" si="72"/>
        <v>32807.296000000002</v>
      </c>
      <c r="DD22" s="553">
        <f t="shared" si="73"/>
        <v>3743.8320000000003</v>
      </c>
      <c r="DE22" s="553">
        <f t="shared" si="74"/>
        <v>62238.368000000009</v>
      </c>
      <c r="DF22" s="553">
        <f t="shared" si="75"/>
        <v>10207.776</v>
      </c>
      <c r="DG22" s="554">
        <f t="shared" si="29"/>
        <v>108997.27200000001</v>
      </c>
      <c r="DH22" s="553">
        <f>'Anuid PF'!AK21+'Anuid PF'!AL21</f>
        <v>44074.168000000005</v>
      </c>
      <c r="DI22" s="553">
        <f>'Anuid PJ'!AH20+'Anuid PJ'!AI20</f>
        <v>5181.1040000000003</v>
      </c>
      <c r="DJ22" s="553">
        <f>RRT!T19</f>
        <v>76165.919999999998</v>
      </c>
      <c r="DK22" s="553">
        <f>'TAXAS E MULTAS.'!N18</f>
        <v>12253.576000000001</v>
      </c>
      <c r="DL22" s="554">
        <f t="shared" si="30"/>
        <v>137674.76800000001</v>
      </c>
      <c r="DM22" s="553">
        <f t="shared" si="76"/>
        <v>27708.488000000005</v>
      </c>
      <c r="DN22" s="553">
        <f t="shared" si="77"/>
        <v>3010.0240000000003</v>
      </c>
      <c r="DO22" s="553">
        <f t="shared" si="78"/>
        <v>62086.752000000008</v>
      </c>
      <c r="DP22" s="553">
        <f t="shared" si="79"/>
        <v>8558.4159999999993</v>
      </c>
      <c r="DQ22" s="552">
        <f t="shared" si="32"/>
        <v>101363.68000000001</v>
      </c>
      <c r="DR22" s="555">
        <f t="shared" si="33"/>
        <v>815816.74400000018</v>
      </c>
      <c r="DS22" s="553">
        <f t="shared" si="34"/>
        <v>71061.943999999989</v>
      </c>
      <c r="DT22" s="553">
        <f t="shared" si="35"/>
        <v>732697.67200000002</v>
      </c>
      <c r="DU22" s="553">
        <f t="shared" si="36"/>
        <v>90573.8</v>
      </c>
      <c r="DV22" s="554">
        <f t="shared" si="37"/>
        <v>1710150.1600000004</v>
      </c>
      <c r="DW22" s="553">
        <f t="shared" si="80"/>
        <v>647659.13600000006</v>
      </c>
      <c r="DX22" s="553">
        <f t="shared" si="38"/>
        <v>92896.76</v>
      </c>
      <c r="DY22" s="553">
        <f t="shared" si="39"/>
        <v>755055.85600000003</v>
      </c>
      <c r="DZ22" s="553">
        <f t="shared" si="40"/>
        <v>81095.152000000002</v>
      </c>
      <c r="EA22" s="552">
        <f t="shared" si="41"/>
        <v>1576706.9040000001</v>
      </c>
      <c r="EB22" s="551">
        <f t="shared" si="42"/>
        <v>25.963905803684995</v>
      </c>
      <c r="EC22" s="551">
        <f t="shared" si="43"/>
        <v>-23.504389173529844</v>
      </c>
      <c r="ED22" s="551">
        <f t="shared" si="44"/>
        <v>-2.961129805474954</v>
      </c>
      <c r="EE22" s="551">
        <f t="shared" si="45"/>
        <v>11.688304129450302</v>
      </c>
      <c r="EF22" s="550">
        <f t="shared" si="46"/>
        <v>8.463415468116736</v>
      </c>
      <c r="EG22" s="561" t="str">
        <f t="shared" si="81"/>
        <v>MAIOR</v>
      </c>
    </row>
    <row r="23" spans="1:137">
      <c r="A23" s="556" t="s">
        <v>103</v>
      </c>
      <c r="B23" s="553">
        <f>'Anuid PF'!O22+'Anuid PF'!P22</f>
        <v>270236.56000000006</v>
      </c>
      <c r="C23" s="553">
        <f>'Anuid PJ'!L21+'Anuid PJ'!M21</f>
        <v>27447.264000000003</v>
      </c>
      <c r="D23" s="553">
        <f>RRT!I20</f>
        <v>104110.864</v>
      </c>
      <c r="E23" s="553">
        <f>'TAXAS E MULTAS.'!C19</f>
        <v>22886.712000000003</v>
      </c>
      <c r="F23" s="554">
        <f t="shared" si="0"/>
        <v>424681.40000000008</v>
      </c>
      <c r="G23" s="553">
        <v>213294.92800000001</v>
      </c>
      <c r="H23" s="553">
        <v>28042.880000000005</v>
      </c>
      <c r="I23" s="553">
        <v>87982.32</v>
      </c>
      <c r="J23" s="553">
        <v>14924.672</v>
      </c>
      <c r="K23" s="554">
        <f t="shared" si="1"/>
        <v>344244.80000000005</v>
      </c>
      <c r="L23" s="553">
        <f>'Anuid PF'!Q22+'Anuid PF'!R22</f>
        <v>263934.56799999997</v>
      </c>
      <c r="M23" s="553">
        <f>'Anuid PJ'!N21+'Anuid PJ'!O21</f>
        <v>34097.736000000004</v>
      </c>
      <c r="N23" s="553">
        <f>RRT!J20</f>
        <v>103278.48000000001</v>
      </c>
      <c r="O23" s="553">
        <f>'TAXAS E MULTAS.'!D19</f>
        <v>16196.048000000001</v>
      </c>
      <c r="P23" s="554">
        <f t="shared" si="2"/>
        <v>417506.83199999999</v>
      </c>
      <c r="Q23" s="553">
        <v>279076.91200000001</v>
      </c>
      <c r="R23" s="562">
        <v>35049.536</v>
      </c>
      <c r="S23" s="553">
        <v>116365.28000000001</v>
      </c>
      <c r="T23" s="553">
        <v>19052.232</v>
      </c>
      <c r="U23" s="554">
        <f t="shared" si="3"/>
        <v>449543.96000000008</v>
      </c>
      <c r="V23" s="553">
        <f>'Anuid PF'!S22+'Anuid PF'!T22</f>
        <v>147064.03200000001</v>
      </c>
      <c r="W23" s="553">
        <f>'Anuid PJ'!P21+'Anuid PJ'!Q21</f>
        <v>13406.776000000002</v>
      </c>
      <c r="X23" s="553">
        <f>RRT!K20</f>
        <v>94110.36</v>
      </c>
      <c r="Y23" s="553">
        <f>'TAXAS E MULTAS.'!E19</f>
        <v>13074.576000000001</v>
      </c>
      <c r="Z23" s="554">
        <f t="shared" si="4"/>
        <v>267655.74400000001</v>
      </c>
      <c r="AA23" s="553">
        <v>143440.52800000002</v>
      </c>
      <c r="AB23" s="562">
        <v>14606.04</v>
      </c>
      <c r="AC23" s="553">
        <v>100521.408</v>
      </c>
      <c r="AD23" s="553">
        <v>13019.848</v>
      </c>
      <c r="AE23" s="554">
        <f t="shared" si="5"/>
        <v>271587.82400000002</v>
      </c>
      <c r="AF23" s="553">
        <f>'Anuid PF'!U22+'Anuid PF'!V22</f>
        <v>63743.664000000004</v>
      </c>
      <c r="AG23" s="553">
        <f>'Anuid PJ'!R21+'Anuid PJ'!S21</f>
        <v>6216.76</v>
      </c>
      <c r="AH23" s="553">
        <f>RRT!L20</f>
        <v>42471.12</v>
      </c>
      <c r="AI23" s="553">
        <f>'TAXAS E MULTAS.'!F19</f>
        <v>6821.4960000000001</v>
      </c>
      <c r="AJ23" s="554">
        <f t="shared" si="6"/>
        <v>119253.04</v>
      </c>
      <c r="AK23" s="553">
        <f t="shared" si="47"/>
        <v>145595.20800000001</v>
      </c>
      <c r="AL23" s="553">
        <f t="shared" si="48"/>
        <v>18342.992000000002</v>
      </c>
      <c r="AM23" s="553">
        <f t="shared" si="49"/>
        <v>115986.23999999999</v>
      </c>
      <c r="AN23" s="553">
        <f t="shared" si="50"/>
        <v>14884.776000000002</v>
      </c>
      <c r="AO23" s="554">
        <f t="shared" si="8"/>
        <v>294809.21600000001</v>
      </c>
      <c r="AP23" s="553">
        <f>'Anuid PF'!W22+'Anuid PF'!X22</f>
        <v>53653.65600000001</v>
      </c>
      <c r="AQ23" s="553">
        <f>'Anuid PJ'!T21+'Anuid PJ'!U21</f>
        <v>5235.8720000000012</v>
      </c>
      <c r="AR23" s="553">
        <f>RRT!M20</f>
        <v>55713.96</v>
      </c>
      <c r="AS23" s="553">
        <f>'TAXAS E MULTAS.'!G19</f>
        <v>6117.3360000000002</v>
      </c>
      <c r="AT23" s="554">
        <f t="shared" si="9"/>
        <v>120720.82400000001</v>
      </c>
      <c r="AU23" s="553">
        <f t="shared" si="51"/>
        <v>172200.848</v>
      </c>
      <c r="AV23" s="553">
        <f t="shared" si="52"/>
        <v>23869.887999999999</v>
      </c>
      <c r="AW23" s="553">
        <f t="shared" si="53"/>
        <v>142291.61600000001</v>
      </c>
      <c r="AX23" s="553">
        <f t="shared" si="54"/>
        <v>19044.376</v>
      </c>
      <c r="AY23" s="554">
        <f t="shared" si="11"/>
        <v>357406.728</v>
      </c>
      <c r="AZ23" s="553">
        <f>'Anuid PF'!Y22+'Anuid PF'!Z22</f>
        <v>69440.056000000011</v>
      </c>
      <c r="BA23" s="553">
        <f>'Anuid PJ'!V21+'Anuid PJ'!W21</f>
        <v>6677.4240000000009</v>
      </c>
      <c r="BB23" s="553">
        <f>RRT!N20</f>
        <v>68721.72</v>
      </c>
      <c r="BC23" s="553">
        <f>'TAXAS E MULTAS.'!H19</f>
        <v>6669.2720000000008</v>
      </c>
      <c r="BD23" s="554">
        <f t="shared" si="12"/>
        <v>151508.47200000001</v>
      </c>
      <c r="BE23" s="553">
        <f t="shared" si="55"/>
        <v>143818.08000000002</v>
      </c>
      <c r="BF23" s="553">
        <f t="shared" si="56"/>
        <v>20975.592000000001</v>
      </c>
      <c r="BG23" s="553">
        <f t="shared" si="57"/>
        <v>108178.016</v>
      </c>
      <c r="BH23" s="553">
        <f t="shared" si="58"/>
        <v>12251.335999999998</v>
      </c>
      <c r="BI23" s="554">
        <f t="shared" si="14"/>
        <v>285223.02400000003</v>
      </c>
      <c r="BJ23" s="553">
        <f>'Anuid PF'!AA22+'Anuid PF'!AB22</f>
        <v>133573.76000000001</v>
      </c>
      <c r="BK23" s="553">
        <f>'Anuid PJ'!X21+'Anuid PJ'!Y21</f>
        <v>9370.7520000000004</v>
      </c>
      <c r="BL23" s="553">
        <f>RRT!O20</f>
        <v>107588.28000000001</v>
      </c>
      <c r="BM23" s="553">
        <f>'TAXAS E MULTAS.'!I19</f>
        <v>10192.831999999999</v>
      </c>
      <c r="BN23" s="554">
        <f t="shared" si="15"/>
        <v>260725.62400000001</v>
      </c>
      <c r="BO23" s="553">
        <f t="shared" si="59"/>
        <v>73682.751999999993</v>
      </c>
      <c r="BP23" s="553">
        <f t="shared" si="16"/>
        <v>10008.744000000002</v>
      </c>
      <c r="BQ23" s="553">
        <f t="shared" si="16"/>
        <v>123415.424</v>
      </c>
      <c r="BR23" s="553">
        <f t="shared" si="16"/>
        <v>30752.223999999998</v>
      </c>
      <c r="BS23" s="554">
        <f t="shared" si="17"/>
        <v>237859.14399999997</v>
      </c>
      <c r="BT23" s="553">
        <f>'Anuid PF'!AC22+'Anuid PF'!AD22</f>
        <v>144051.696</v>
      </c>
      <c r="BU23" s="553">
        <f>'Anuid PJ'!Z21+'Anuid PJ'!AA21</f>
        <v>15987.712</v>
      </c>
      <c r="BV23" s="553">
        <f>RRT!P20</f>
        <v>112368.23999999999</v>
      </c>
      <c r="BW23" s="553">
        <f>'TAXAS E MULTAS.'!J19</f>
        <v>10544.544000000004</v>
      </c>
      <c r="BX23" s="554">
        <f t="shared" si="18"/>
        <v>282952.19199999998</v>
      </c>
      <c r="BY23" s="553">
        <f t="shared" si="60"/>
        <v>62992.832000000002</v>
      </c>
      <c r="BZ23" s="553">
        <f t="shared" si="61"/>
        <v>11789.696</v>
      </c>
      <c r="CA23" s="553">
        <f t="shared" si="62"/>
        <v>128342.944</v>
      </c>
      <c r="CB23" s="553">
        <f t="shared" si="63"/>
        <v>16912.248</v>
      </c>
      <c r="CC23" s="554">
        <f t="shared" si="20"/>
        <v>220037.72</v>
      </c>
      <c r="CD23" s="553">
        <f>'Anuid PF'!AE22+'Anuid PF'!AF22</f>
        <v>83150.584000000003</v>
      </c>
      <c r="CE23" s="553">
        <f>'Anuid PJ'!AB21+'Anuid PJ'!AC21</f>
        <v>8608.7839999999997</v>
      </c>
      <c r="CF23" s="553">
        <f>RRT!Q20</f>
        <v>107274.84</v>
      </c>
      <c r="CG23" s="553">
        <f>'TAXAS E MULTAS.'!K19</f>
        <v>16730.688000000002</v>
      </c>
      <c r="CH23" s="554">
        <f t="shared" si="21"/>
        <v>215764.89599999998</v>
      </c>
      <c r="CI23" s="553">
        <f t="shared" si="64"/>
        <v>55763.960000000006</v>
      </c>
      <c r="CJ23" s="553">
        <f t="shared" si="65"/>
        <v>6242.92</v>
      </c>
      <c r="CK23" s="553">
        <f t="shared" si="66"/>
        <v>128949.40800000001</v>
      </c>
      <c r="CL23" s="553">
        <f t="shared" si="67"/>
        <v>13949.528</v>
      </c>
      <c r="CM23" s="554">
        <f t="shared" si="23"/>
        <v>204905.81599999999</v>
      </c>
      <c r="CN23" s="553">
        <f>'Anuid PF'!AG22+'Anuid PF'!AH22</f>
        <v>84381.744000000006</v>
      </c>
      <c r="CO23" s="553">
        <f>'Anuid PJ'!AD21+'Anuid PJ'!AE21</f>
        <v>6370.5760000000009</v>
      </c>
      <c r="CP23" s="553">
        <f>RRT!R20</f>
        <v>136346.4</v>
      </c>
      <c r="CQ23" s="553">
        <f>'TAXAS E MULTAS.'!L19</f>
        <v>18254.448000000004</v>
      </c>
      <c r="CR23" s="554">
        <f t="shared" si="24"/>
        <v>245353.16800000001</v>
      </c>
      <c r="CS23" s="553">
        <f t="shared" si="68"/>
        <v>45831.407999999996</v>
      </c>
      <c r="CT23" s="553">
        <f t="shared" si="69"/>
        <v>7798.7920000000004</v>
      </c>
      <c r="CU23" s="553">
        <f t="shared" si="70"/>
        <v>137818.94399999999</v>
      </c>
      <c r="CV23" s="553">
        <f t="shared" si="71"/>
        <v>15485.975999999999</v>
      </c>
      <c r="CW23" s="554">
        <f t="shared" si="26"/>
        <v>206935.11999999997</v>
      </c>
      <c r="CX23" s="553">
        <f>'Anuid PF'!AI22+'Anuid PF'!AJ22</f>
        <v>58527.960000000006</v>
      </c>
      <c r="CY23" s="553">
        <f>'Anuid PJ'!AF21+'Anuid PJ'!AG21</f>
        <v>4902.9039999999995</v>
      </c>
      <c r="CZ23" s="553">
        <f>RRT!S20</f>
        <v>127021.56000000001</v>
      </c>
      <c r="DA23" s="553">
        <f>'TAXAS E MULTAS.'!M19</f>
        <v>16075.903999999999</v>
      </c>
      <c r="DB23" s="554">
        <f t="shared" si="27"/>
        <v>206528.32800000004</v>
      </c>
      <c r="DC23" s="553">
        <f t="shared" si="72"/>
        <v>40292.631999999998</v>
      </c>
      <c r="DD23" s="553">
        <f t="shared" si="73"/>
        <v>6086.4960000000001</v>
      </c>
      <c r="DE23" s="553">
        <f t="shared" si="74"/>
        <v>122960.576</v>
      </c>
      <c r="DF23" s="553">
        <f t="shared" si="75"/>
        <v>14356.592000000002</v>
      </c>
      <c r="DG23" s="554">
        <f t="shared" si="29"/>
        <v>183696.296</v>
      </c>
      <c r="DH23" s="553">
        <f>'Anuid PF'!AK22+'Anuid PF'!AL22</f>
        <v>56761.664000000004</v>
      </c>
      <c r="DI23" s="553">
        <f>'Anuid PJ'!AH21+'Anuid PJ'!AI21</f>
        <v>6138.52</v>
      </c>
      <c r="DJ23" s="553">
        <f>RRT!T20</f>
        <v>125532.72</v>
      </c>
      <c r="DK23" s="553">
        <f>'TAXAS E MULTAS.'!N19</f>
        <v>15879.288</v>
      </c>
      <c r="DL23" s="554">
        <f t="shared" si="30"/>
        <v>204312.19200000001</v>
      </c>
      <c r="DM23" s="553">
        <f t="shared" si="76"/>
        <v>41975.56</v>
      </c>
      <c r="DN23" s="553">
        <f t="shared" si="77"/>
        <v>5696.2800000000007</v>
      </c>
      <c r="DO23" s="553">
        <f t="shared" si="78"/>
        <v>106965.08799999999</v>
      </c>
      <c r="DP23" s="553">
        <f t="shared" si="79"/>
        <v>14507.592000000002</v>
      </c>
      <c r="DQ23" s="552">
        <f t="shared" si="32"/>
        <v>169144.52</v>
      </c>
      <c r="DR23" s="555">
        <f t="shared" si="33"/>
        <v>1428519.9440000001</v>
      </c>
      <c r="DS23" s="553">
        <f t="shared" si="34"/>
        <v>144461.08000000002</v>
      </c>
      <c r="DT23" s="553">
        <f t="shared" si="35"/>
        <v>1184538.544</v>
      </c>
      <c r="DU23" s="553">
        <f t="shared" si="36"/>
        <v>159443.14400000003</v>
      </c>
      <c r="DV23" s="554">
        <f t="shared" si="37"/>
        <v>2916962.7119999998</v>
      </c>
      <c r="DW23" s="553">
        <f t="shared" si="80"/>
        <v>1417965.648</v>
      </c>
      <c r="DX23" s="553">
        <f t="shared" si="38"/>
        <v>188509.85600000003</v>
      </c>
      <c r="DY23" s="553">
        <f t="shared" si="39"/>
        <v>1419777.264</v>
      </c>
      <c r="DZ23" s="553">
        <f t="shared" si="40"/>
        <v>199141.4</v>
      </c>
      <c r="EA23" s="552">
        <f t="shared" si="41"/>
        <v>3225394.1680000001</v>
      </c>
      <c r="EB23" s="551">
        <f t="shared" si="42"/>
        <v>0.74432663547855782</v>
      </c>
      <c r="EC23" s="551">
        <f t="shared" si="43"/>
        <v>-23.36682915931992</v>
      </c>
      <c r="ED23" s="551">
        <f t="shared" si="44"/>
        <v>-16.568705948794516</v>
      </c>
      <c r="EE23" s="551">
        <f t="shared" si="45"/>
        <v>-19.93470770015675</v>
      </c>
      <c r="EF23" s="550">
        <f t="shared" si="46"/>
        <v>-9.5625973116722065</v>
      </c>
      <c r="EG23" s="561" t="str">
        <f t="shared" si="81"/>
        <v>menor</v>
      </c>
    </row>
    <row r="24" spans="1:137">
      <c r="A24" s="556" t="s">
        <v>104</v>
      </c>
      <c r="B24" s="553">
        <f>'Anuid PF'!O23+'Anuid PF'!P23</f>
        <v>76339.968000000008</v>
      </c>
      <c r="C24" s="553">
        <f>'Anuid PJ'!L22+'Anuid PJ'!M22</f>
        <v>11698.2</v>
      </c>
      <c r="D24" s="553">
        <f>RRT!I21</f>
        <v>30533.047999999999</v>
      </c>
      <c r="E24" s="553">
        <f>'TAXAS E MULTAS.'!C20</f>
        <v>4178.4480000000003</v>
      </c>
      <c r="F24" s="554">
        <f t="shared" si="0"/>
        <v>122749.664</v>
      </c>
      <c r="G24" s="553">
        <v>53067.088000000003</v>
      </c>
      <c r="H24" s="553">
        <v>5727.0160000000005</v>
      </c>
      <c r="I24" s="553">
        <v>24356.168000000001</v>
      </c>
      <c r="J24" s="553">
        <v>3190.6000000000004</v>
      </c>
      <c r="K24" s="554">
        <f t="shared" si="1"/>
        <v>86340.872000000018</v>
      </c>
      <c r="L24" s="553">
        <f>'Anuid PF'!Q23+'Anuid PF'!R23</f>
        <v>50551.024000000005</v>
      </c>
      <c r="M24" s="553">
        <f>'Anuid PJ'!N22+'Anuid PJ'!O22</f>
        <v>9150.3760000000002</v>
      </c>
      <c r="N24" s="553">
        <f>RRT!J21</f>
        <v>24840.120000000003</v>
      </c>
      <c r="O24" s="553">
        <f>'TAXAS E MULTAS.'!D20</f>
        <v>3586.0960000000005</v>
      </c>
      <c r="P24" s="554">
        <f t="shared" si="2"/>
        <v>88127.616000000024</v>
      </c>
      <c r="Q24" s="553">
        <v>61457.103999999999</v>
      </c>
      <c r="R24" s="562">
        <v>7949.7920000000004</v>
      </c>
      <c r="S24" s="553">
        <v>23734.864000000001</v>
      </c>
      <c r="T24" s="553">
        <v>3914.8960000000006</v>
      </c>
      <c r="U24" s="554">
        <f t="shared" si="3"/>
        <v>97056.655999999988</v>
      </c>
      <c r="V24" s="553">
        <f>'Anuid PF'!S23+'Anuid PF'!T23</f>
        <v>33830.351999999999</v>
      </c>
      <c r="W24" s="553">
        <f>'Anuid PJ'!P22+'Anuid PJ'!Q22</f>
        <v>4139.9120000000003</v>
      </c>
      <c r="X24" s="553">
        <f>RRT!K21</f>
        <v>23508</v>
      </c>
      <c r="Y24" s="553">
        <f>'TAXAS E MULTAS.'!E20</f>
        <v>2315.424</v>
      </c>
      <c r="Z24" s="554">
        <f t="shared" si="4"/>
        <v>63793.687999999995</v>
      </c>
      <c r="AA24" s="553">
        <v>23290.440000000002</v>
      </c>
      <c r="AB24" s="562">
        <v>2750.424</v>
      </c>
      <c r="AC24" s="553">
        <v>27828.632000000001</v>
      </c>
      <c r="AD24" s="553">
        <v>3052.1060000000002</v>
      </c>
      <c r="AE24" s="554">
        <f t="shared" si="5"/>
        <v>56921.601999999999</v>
      </c>
      <c r="AF24" s="553">
        <f>'Anuid PF'!U23+'Anuid PF'!V23</f>
        <v>15548.208000000001</v>
      </c>
      <c r="AG24" s="553">
        <f>'Anuid PJ'!R22+'Anuid PJ'!S22</f>
        <v>1131.008</v>
      </c>
      <c r="AH24" s="553">
        <f>RRT!L21</f>
        <v>12772.68</v>
      </c>
      <c r="AI24" s="553">
        <f>'TAXAS E MULTAS.'!F20</f>
        <v>2167.52</v>
      </c>
      <c r="AJ24" s="554">
        <f t="shared" si="6"/>
        <v>31619.416000000001</v>
      </c>
      <c r="AK24" s="553">
        <f t="shared" si="47"/>
        <v>27436.272000000001</v>
      </c>
      <c r="AL24" s="553">
        <f t="shared" si="48"/>
        <v>6223.8879999999999</v>
      </c>
      <c r="AM24" s="553">
        <f t="shared" si="49"/>
        <v>24729.407999999999</v>
      </c>
      <c r="AN24" s="553">
        <f t="shared" si="50"/>
        <v>8402.9440000000013</v>
      </c>
      <c r="AO24" s="554">
        <f t="shared" si="8"/>
        <v>66792.512000000002</v>
      </c>
      <c r="AP24" s="553">
        <f>'Anuid PF'!W23+'Anuid PF'!X23</f>
        <v>17770.952000000001</v>
      </c>
      <c r="AQ24" s="553">
        <f>'Anuid PJ'!T22+'Anuid PJ'!U22</f>
        <v>1303.56</v>
      </c>
      <c r="AR24" s="553">
        <f>RRT!M21</f>
        <v>13477.920000000002</v>
      </c>
      <c r="AS24" s="553">
        <f>'TAXAS E MULTAS.'!G20</f>
        <v>1431.3200000000002</v>
      </c>
      <c r="AT24" s="554">
        <f t="shared" si="9"/>
        <v>33983.752000000008</v>
      </c>
      <c r="AU24" s="553">
        <f t="shared" si="51"/>
        <v>33305.207999999999</v>
      </c>
      <c r="AV24" s="553">
        <f t="shared" si="52"/>
        <v>5250.3040000000001</v>
      </c>
      <c r="AW24" s="553">
        <f t="shared" si="53"/>
        <v>30791.176000000003</v>
      </c>
      <c r="AX24" s="553">
        <f t="shared" si="54"/>
        <v>4474.3180000000002</v>
      </c>
      <c r="AY24" s="554">
        <f t="shared" si="11"/>
        <v>73821.006000000008</v>
      </c>
      <c r="AZ24" s="553">
        <f>'Anuid PF'!Y23+'Anuid PF'!Z23</f>
        <v>16781.520000000004</v>
      </c>
      <c r="BA24" s="553">
        <f>'Anuid PJ'!V22+'Anuid PJ'!W22</f>
        <v>2846.096</v>
      </c>
      <c r="BB24" s="553">
        <f>RRT!N21</f>
        <v>22881.120000000003</v>
      </c>
      <c r="BC24" s="553">
        <f>'TAXAS E MULTAS.'!H20</f>
        <v>1027.9440000000002</v>
      </c>
      <c r="BD24" s="554">
        <f t="shared" si="12"/>
        <v>43536.680000000008</v>
      </c>
      <c r="BE24" s="553">
        <f t="shared" si="55"/>
        <v>32050.519999999997</v>
      </c>
      <c r="BF24" s="553">
        <f t="shared" si="56"/>
        <v>7880.8959999999997</v>
      </c>
      <c r="BG24" s="553">
        <f t="shared" si="57"/>
        <v>27841.304</v>
      </c>
      <c r="BH24" s="553">
        <f t="shared" si="58"/>
        <v>2509.0000000000005</v>
      </c>
      <c r="BI24" s="554">
        <f t="shared" si="14"/>
        <v>70281.72</v>
      </c>
      <c r="BJ24" s="553">
        <f>'Anuid PF'!AA23+'Anuid PF'!AB23</f>
        <v>32540.320000000003</v>
      </c>
      <c r="BK24" s="553">
        <f>'Anuid PJ'!X22+'Anuid PJ'!Y22</f>
        <v>7264.9759999999997</v>
      </c>
      <c r="BL24" s="553">
        <f>RRT!O21</f>
        <v>33929.879999999997</v>
      </c>
      <c r="BM24" s="553">
        <f>'TAXAS E MULTAS.'!I20</f>
        <v>1362.44</v>
      </c>
      <c r="BN24" s="554">
        <f t="shared" si="15"/>
        <v>75097.616000000009</v>
      </c>
      <c r="BO24" s="553">
        <f t="shared" si="59"/>
        <v>13628.024000000001</v>
      </c>
      <c r="BP24" s="553">
        <f t="shared" ref="BP24:BP34" si="82">BK63</f>
        <v>2926.2400000000002</v>
      </c>
      <c r="BQ24" s="553">
        <f t="shared" ref="BQ24:BQ34" si="83">BL63</f>
        <v>33978.76</v>
      </c>
      <c r="BR24" s="553">
        <f t="shared" ref="BR24:BR34" si="84">BM63</f>
        <v>4177.5840000000007</v>
      </c>
      <c r="BS24" s="554">
        <f t="shared" si="17"/>
        <v>54710.608000000007</v>
      </c>
      <c r="BT24" s="553">
        <f>'Anuid PF'!AC23+'Anuid PF'!AD23</f>
        <v>48153.936000000002</v>
      </c>
      <c r="BU24" s="553">
        <f>'Anuid PJ'!Z22+'Anuid PJ'!AA22</f>
        <v>5916.8879999999999</v>
      </c>
      <c r="BV24" s="553">
        <f>RRT!P21</f>
        <v>37691.160000000003</v>
      </c>
      <c r="BW24" s="553">
        <f>'TAXAS E MULTAS.'!J20</f>
        <v>5693.4080000000004</v>
      </c>
      <c r="BX24" s="554">
        <f t="shared" si="18"/>
        <v>97455.391999999993</v>
      </c>
      <c r="BY24" s="553">
        <f t="shared" si="60"/>
        <v>11209.088</v>
      </c>
      <c r="BZ24" s="553">
        <f t="shared" si="61"/>
        <v>3740.8320000000003</v>
      </c>
      <c r="CA24" s="553">
        <f t="shared" si="62"/>
        <v>33512.864000000001</v>
      </c>
      <c r="CB24" s="553">
        <f t="shared" si="63"/>
        <v>3814.62</v>
      </c>
      <c r="CC24" s="554">
        <f t="shared" si="20"/>
        <v>52277.404000000002</v>
      </c>
      <c r="CD24" s="553">
        <f>'Anuid PF'!AE23+'Anuid PF'!AF23</f>
        <v>25808.656000000003</v>
      </c>
      <c r="CE24" s="553">
        <f>'Anuid PJ'!AB22+'Anuid PJ'!AC22</f>
        <v>2257.4160000000002</v>
      </c>
      <c r="CF24" s="553">
        <f>RRT!Q21</f>
        <v>33067.920000000006</v>
      </c>
      <c r="CG24" s="553">
        <f>'TAXAS E MULTAS.'!K20</f>
        <v>3805.5280000000002</v>
      </c>
      <c r="CH24" s="554">
        <f t="shared" si="21"/>
        <v>64939.520000000011</v>
      </c>
      <c r="CI24" s="553">
        <f t="shared" si="64"/>
        <v>11558.992000000002</v>
      </c>
      <c r="CJ24" s="553">
        <f t="shared" si="65"/>
        <v>1784.64</v>
      </c>
      <c r="CK24" s="553">
        <f t="shared" si="66"/>
        <v>31015.271999999997</v>
      </c>
      <c r="CL24" s="553">
        <f t="shared" si="67"/>
        <v>2730.32</v>
      </c>
      <c r="CM24" s="554">
        <f t="shared" si="23"/>
        <v>47089.223999999995</v>
      </c>
      <c r="CN24" s="553">
        <f>'Anuid PF'!AG23+'Anuid PF'!AH23</f>
        <v>17453.632000000001</v>
      </c>
      <c r="CO24" s="553">
        <f>'Anuid PJ'!AD22+'Anuid PJ'!AE22</f>
        <v>2111.3680000000004</v>
      </c>
      <c r="CP24" s="553">
        <f>RRT!R21</f>
        <v>44508.480000000003</v>
      </c>
      <c r="CQ24" s="553">
        <f>'TAXAS E MULTAS.'!L20</f>
        <v>4369.6399999999994</v>
      </c>
      <c r="CR24" s="554">
        <f t="shared" si="24"/>
        <v>68443.12</v>
      </c>
      <c r="CS24" s="553">
        <f t="shared" si="68"/>
        <v>10256.416000000001</v>
      </c>
      <c r="CT24" s="553">
        <f t="shared" si="69"/>
        <v>2684.5839999999998</v>
      </c>
      <c r="CU24" s="553">
        <f t="shared" si="70"/>
        <v>40800.536</v>
      </c>
      <c r="CV24" s="553">
        <f t="shared" si="71"/>
        <v>3533.6320000000001</v>
      </c>
      <c r="CW24" s="554">
        <f t="shared" si="26"/>
        <v>57275.167999999998</v>
      </c>
      <c r="CX24" s="553">
        <f>'Anuid PF'!AI23+'Anuid PF'!AJ23</f>
        <v>13674.224000000002</v>
      </c>
      <c r="CY24" s="553">
        <f>'Anuid PJ'!AF22+'Anuid PJ'!AG22</f>
        <v>2179.8960000000002</v>
      </c>
      <c r="CZ24" s="553">
        <f>RRT!S21</f>
        <v>37221</v>
      </c>
      <c r="DA24" s="553">
        <f>'TAXAS E MULTAS.'!M20</f>
        <v>4494.5120000000006</v>
      </c>
      <c r="DB24" s="554">
        <f t="shared" si="27"/>
        <v>57569.632000000005</v>
      </c>
      <c r="DC24" s="553">
        <f t="shared" si="72"/>
        <v>9065.8719999999994</v>
      </c>
      <c r="DD24" s="553">
        <f t="shared" si="73"/>
        <v>2301.3760000000002</v>
      </c>
      <c r="DE24" s="553">
        <f t="shared" si="74"/>
        <v>31636.847999999998</v>
      </c>
      <c r="DF24" s="553">
        <f t="shared" si="75"/>
        <v>5756.7039999999997</v>
      </c>
      <c r="DG24" s="554">
        <f t="shared" si="29"/>
        <v>48760.799999999996</v>
      </c>
      <c r="DH24" s="553">
        <f>'Anuid PF'!AK23+'Anuid PF'!AL23</f>
        <v>28385.703999999998</v>
      </c>
      <c r="DI24" s="553">
        <f>'Anuid PJ'!AH22+'Anuid PJ'!AI22</f>
        <v>4159.5040000000008</v>
      </c>
      <c r="DJ24" s="553">
        <f>RRT!T21</f>
        <v>34556.76</v>
      </c>
      <c r="DK24" s="553">
        <f>'TAXAS E MULTAS.'!N20</f>
        <v>8478.6080000000002</v>
      </c>
      <c r="DL24" s="554">
        <f t="shared" si="30"/>
        <v>75580.576000000001</v>
      </c>
      <c r="DM24" s="553">
        <f t="shared" si="76"/>
        <v>8354.4560000000019</v>
      </c>
      <c r="DN24" s="553">
        <f t="shared" si="77"/>
        <v>1075.9680000000001</v>
      </c>
      <c r="DO24" s="553">
        <f t="shared" si="78"/>
        <v>23973.928</v>
      </c>
      <c r="DP24" s="553">
        <f t="shared" si="79"/>
        <v>3277.4880000000003</v>
      </c>
      <c r="DQ24" s="552">
        <f t="shared" si="32"/>
        <v>36681.839999999997</v>
      </c>
      <c r="DR24" s="555">
        <f t="shared" si="33"/>
        <v>376838.49600000004</v>
      </c>
      <c r="DS24" s="553">
        <f t="shared" si="34"/>
        <v>54159.200000000004</v>
      </c>
      <c r="DT24" s="553">
        <f t="shared" si="35"/>
        <v>348988.08800000005</v>
      </c>
      <c r="DU24" s="553">
        <f t="shared" si="36"/>
        <v>42910.888000000006</v>
      </c>
      <c r="DV24" s="554">
        <f t="shared" si="37"/>
        <v>822896.67200000014</v>
      </c>
      <c r="DW24" s="553">
        <f t="shared" si="80"/>
        <v>294679.48000000004</v>
      </c>
      <c r="DX24" s="553">
        <f t="shared" si="38"/>
        <v>50295.96</v>
      </c>
      <c r="DY24" s="553">
        <f t="shared" si="39"/>
        <v>354199.76</v>
      </c>
      <c r="DZ24" s="553">
        <f t="shared" si="40"/>
        <v>48834.212</v>
      </c>
      <c r="EA24" s="552">
        <f t="shared" si="41"/>
        <v>748009.41200000001</v>
      </c>
      <c r="EB24" s="551">
        <f t="shared" si="42"/>
        <v>27.880806630987664</v>
      </c>
      <c r="EC24" s="551">
        <f t="shared" si="43"/>
        <v>7.681014538742275</v>
      </c>
      <c r="ED24" s="551">
        <f t="shared" si="44"/>
        <v>-1.4713934306448806</v>
      </c>
      <c r="EE24" s="551">
        <f t="shared" si="45"/>
        <v>-12.129455472732914</v>
      </c>
      <c r="EF24" s="550">
        <f t="shared" si="46"/>
        <v>10.011539801320055</v>
      </c>
      <c r="EG24" s="561" t="str">
        <f t="shared" si="81"/>
        <v>MAIOR</v>
      </c>
    </row>
    <row r="25" spans="1:137">
      <c r="A25" s="556" t="s">
        <v>102</v>
      </c>
      <c r="B25" s="553">
        <f>'Anuid PF'!O24+'Anuid PF'!P24</f>
        <v>826251.21600000013</v>
      </c>
      <c r="C25" s="553">
        <f>'Anuid PJ'!L23+'Anuid PJ'!M23</f>
        <v>150930.46400000004</v>
      </c>
      <c r="D25" s="553">
        <f>RRT!I22</f>
        <v>371881.54399999999</v>
      </c>
      <c r="E25" s="553">
        <f>'TAXAS E MULTAS.'!C21</f>
        <v>61992.088000000003</v>
      </c>
      <c r="F25" s="554">
        <f t="shared" si="0"/>
        <v>1411055.3120000002</v>
      </c>
      <c r="G25" s="553">
        <v>707556.82400000002</v>
      </c>
      <c r="H25" s="553">
        <v>107899.16800000002</v>
      </c>
      <c r="I25" s="553">
        <v>370893.08799999999</v>
      </c>
      <c r="J25" s="553">
        <v>30751.839999999997</v>
      </c>
      <c r="K25" s="554">
        <f t="shared" si="1"/>
        <v>1217100.9200000002</v>
      </c>
      <c r="L25" s="553">
        <f>'Anuid PF'!Q24+'Anuid PF'!R24</f>
        <v>679278.74400000006</v>
      </c>
      <c r="M25" s="553">
        <f>'Anuid PJ'!N23+'Anuid PJ'!O23</f>
        <v>137010.79999999999</v>
      </c>
      <c r="N25" s="553">
        <f>RRT!J22</f>
        <v>424946.28</v>
      </c>
      <c r="O25" s="553">
        <f>'TAXAS E MULTAS.'!D21</f>
        <v>46965.248</v>
      </c>
      <c r="P25" s="554">
        <f t="shared" si="2"/>
        <v>1288201.0719999999</v>
      </c>
      <c r="Q25" s="553">
        <v>658893.52</v>
      </c>
      <c r="R25" s="562">
        <v>126652.24800000001</v>
      </c>
      <c r="S25" s="553">
        <v>469933.79200000002</v>
      </c>
      <c r="T25" s="553">
        <v>27493.536</v>
      </c>
      <c r="U25" s="554">
        <f t="shared" si="3"/>
        <v>1282973.0960000001</v>
      </c>
      <c r="V25" s="553">
        <f>'Anuid PF'!S24+'Anuid PF'!T24</f>
        <v>452804.98400000005</v>
      </c>
      <c r="W25" s="553">
        <f>'Anuid PJ'!P23+'Anuid PJ'!Q23</f>
        <v>110764.80800000002</v>
      </c>
      <c r="X25" s="553">
        <f>RRT!K22</f>
        <v>453234.24000000005</v>
      </c>
      <c r="Y25" s="553">
        <f>'TAXAS E MULTAS.'!E21</f>
        <v>46103.76</v>
      </c>
      <c r="Z25" s="554">
        <f t="shared" si="4"/>
        <v>1062907.7920000001</v>
      </c>
      <c r="AA25" s="553">
        <v>294907.40000000002</v>
      </c>
      <c r="AB25" s="562">
        <v>56314.640000000007</v>
      </c>
      <c r="AC25" s="553">
        <v>454848</v>
      </c>
      <c r="AD25" s="553">
        <v>20474.168000000001</v>
      </c>
      <c r="AE25" s="554">
        <f t="shared" si="5"/>
        <v>826544.20799999998</v>
      </c>
      <c r="AF25" s="553">
        <f>'Anuid PF'!U24+'Anuid PF'!V24</f>
        <v>211859.36000000002</v>
      </c>
      <c r="AG25" s="553">
        <f>'Anuid PJ'!R23+'Anuid PJ'!S23</f>
        <v>50212.016000000003</v>
      </c>
      <c r="AH25" s="553">
        <f>RRT!L22</f>
        <v>291264.12000000005</v>
      </c>
      <c r="AI25" s="553">
        <f>'TAXAS E MULTAS.'!F21</f>
        <v>25708.336000000003</v>
      </c>
      <c r="AJ25" s="554">
        <f t="shared" si="6"/>
        <v>579043.83200000005</v>
      </c>
      <c r="AK25" s="553">
        <f t="shared" si="47"/>
        <v>341106.90399999998</v>
      </c>
      <c r="AL25" s="553">
        <f t="shared" si="48"/>
        <v>73679.208000000013</v>
      </c>
      <c r="AM25" s="553">
        <f t="shared" si="49"/>
        <v>532096.35199999996</v>
      </c>
      <c r="AN25" s="553">
        <f t="shared" si="50"/>
        <v>25562.016000000003</v>
      </c>
      <c r="AO25" s="554">
        <f t="shared" si="8"/>
        <v>972444.48</v>
      </c>
      <c r="AP25" s="553">
        <f>'Anuid PF'!W24+'Anuid PF'!X24</f>
        <v>213860.59200000003</v>
      </c>
      <c r="AQ25" s="553">
        <f>'Anuid PJ'!T23+'Anuid PJ'!U23</f>
        <v>42240.12</v>
      </c>
      <c r="AR25" s="553">
        <f>RRT!M22</f>
        <v>427218.72000000003</v>
      </c>
      <c r="AS25" s="553">
        <f>'TAXAS E MULTAS.'!G21</f>
        <v>26532.560000000001</v>
      </c>
      <c r="AT25" s="554">
        <f t="shared" si="9"/>
        <v>709851.99200000009</v>
      </c>
      <c r="AU25" s="553">
        <f t="shared" si="51"/>
        <v>414692.98400000005</v>
      </c>
      <c r="AV25" s="553">
        <f t="shared" si="52"/>
        <v>90451.888000000006</v>
      </c>
      <c r="AW25" s="553">
        <f t="shared" si="53"/>
        <v>552261.28</v>
      </c>
      <c r="AX25" s="553">
        <f t="shared" si="54"/>
        <v>25451.991999999998</v>
      </c>
      <c r="AY25" s="554">
        <f t="shared" si="11"/>
        <v>1082858.1440000003</v>
      </c>
      <c r="AZ25" s="553">
        <f>'Anuid PF'!Y24+'Anuid PF'!Z24</f>
        <v>281862.46400000004</v>
      </c>
      <c r="BA25" s="553">
        <f>'Anuid PJ'!V23+'Anuid PJ'!W23</f>
        <v>65021.832000000009</v>
      </c>
      <c r="BB25" s="553">
        <f>RRT!N22</f>
        <v>492335.88</v>
      </c>
      <c r="BC25" s="553">
        <f>'TAXAS E MULTAS.'!H21</f>
        <v>27349.384000000002</v>
      </c>
      <c r="BD25" s="554">
        <f t="shared" si="12"/>
        <v>866569.55999999994</v>
      </c>
      <c r="BE25" s="553">
        <f t="shared" si="55"/>
        <v>315618.58400000003</v>
      </c>
      <c r="BF25" s="553">
        <f t="shared" si="56"/>
        <v>75136.800000000003</v>
      </c>
      <c r="BG25" s="553">
        <f t="shared" si="57"/>
        <v>367766.44</v>
      </c>
      <c r="BH25" s="553">
        <f t="shared" si="58"/>
        <v>21240.128000000001</v>
      </c>
      <c r="BI25" s="554">
        <f t="shared" si="14"/>
        <v>779761.95200000005</v>
      </c>
      <c r="BJ25" s="553">
        <f>'Anuid PF'!AA24+'Anuid PF'!AB24</f>
        <v>392453.75200000004</v>
      </c>
      <c r="BK25" s="553">
        <f>'Anuid PJ'!X23+'Anuid PJ'!Y23</f>
        <v>72477</v>
      </c>
      <c r="BL25" s="553">
        <f>RRT!O22</f>
        <v>559255.32000000007</v>
      </c>
      <c r="BM25" s="553">
        <f>'TAXAS E MULTAS.'!I21</f>
        <v>27767.824000000001</v>
      </c>
      <c r="BN25" s="554">
        <f t="shared" si="15"/>
        <v>1051953.8960000002</v>
      </c>
      <c r="BO25" s="553">
        <f t="shared" si="59"/>
        <v>130715.31200000001</v>
      </c>
      <c r="BP25" s="553">
        <f t="shared" si="82"/>
        <v>36180.800000000003</v>
      </c>
      <c r="BQ25" s="553">
        <f t="shared" si="83"/>
        <v>555900.06400000001</v>
      </c>
      <c r="BR25" s="553">
        <f t="shared" si="84"/>
        <v>29769.352000000006</v>
      </c>
      <c r="BS25" s="554">
        <f t="shared" si="17"/>
        <v>752565.52799999993</v>
      </c>
      <c r="BT25" s="553">
        <f>'Anuid PF'!AC24+'Anuid PF'!AD24</f>
        <v>384524.94400000008</v>
      </c>
      <c r="BU25" s="553">
        <f>'Anuid PJ'!Z23+'Anuid PJ'!AA23</f>
        <v>71384.56</v>
      </c>
      <c r="BV25" s="553">
        <f>RRT!P22</f>
        <v>558785.16</v>
      </c>
      <c r="BW25" s="553">
        <f>'TAXAS E MULTAS.'!J21</f>
        <v>34528.207999999999</v>
      </c>
      <c r="BX25" s="554">
        <f t="shared" si="18"/>
        <v>1049222.8720000002</v>
      </c>
      <c r="BY25" s="553">
        <f t="shared" si="60"/>
        <v>105459.05600000001</v>
      </c>
      <c r="BZ25" s="553">
        <f t="shared" si="61"/>
        <v>27615.08</v>
      </c>
      <c r="CA25" s="553">
        <f t="shared" si="62"/>
        <v>516100.864</v>
      </c>
      <c r="CB25" s="553">
        <f t="shared" si="63"/>
        <v>27653.920000000002</v>
      </c>
      <c r="CC25" s="554">
        <f t="shared" si="20"/>
        <v>676828.92</v>
      </c>
      <c r="CD25" s="553">
        <f>'Anuid PF'!AE24+'Anuid PF'!AF24</f>
        <v>179567.152</v>
      </c>
      <c r="CE25" s="553">
        <f>'Anuid PJ'!AB23+'Anuid PJ'!AC23</f>
        <v>38636.504000000001</v>
      </c>
      <c r="CF25" s="553">
        <f>RRT!Q22</f>
        <v>548911.80000000005</v>
      </c>
      <c r="CG25" s="553">
        <f>'TAXAS E MULTAS.'!K21</f>
        <v>44242.504000000001</v>
      </c>
      <c r="CH25" s="554">
        <f t="shared" si="21"/>
        <v>811357.96</v>
      </c>
      <c r="CI25" s="553">
        <f t="shared" si="64"/>
        <v>96213.376000000004</v>
      </c>
      <c r="CJ25" s="553">
        <f t="shared" si="65"/>
        <v>29469.992000000002</v>
      </c>
      <c r="CK25" s="553">
        <f t="shared" si="66"/>
        <v>501394.11200000002</v>
      </c>
      <c r="CL25" s="553">
        <f t="shared" si="67"/>
        <v>26762.448000000004</v>
      </c>
      <c r="CM25" s="554">
        <f t="shared" si="23"/>
        <v>653839.92799999996</v>
      </c>
      <c r="CN25" s="553">
        <f>'Anuid PF'!AG24+'Anuid PF'!AH24</f>
        <v>159970.05600000001</v>
      </c>
      <c r="CO25" s="553">
        <f>'Anuid PJ'!AD23+'Anuid PJ'!AE23</f>
        <v>26847.288</v>
      </c>
      <c r="CP25" s="553">
        <f>RRT!R22</f>
        <v>583703.64</v>
      </c>
      <c r="CQ25" s="553">
        <f>'TAXAS E MULTAS.'!L21</f>
        <v>37896.19200000001</v>
      </c>
      <c r="CR25" s="554">
        <f t="shared" si="24"/>
        <v>808417.17600000009</v>
      </c>
      <c r="CS25" s="553">
        <f t="shared" si="68"/>
        <v>132703.21600000001</v>
      </c>
      <c r="CT25" s="553">
        <f t="shared" si="69"/>
        <v>37295.936000000002</v>
      </c>
      <c r="CU25" s="553">
        <f t="shared" si="70"/>
        <v>555445.21600000001</v>
      </c>
      <c r="CV25" s="553">
        <f t="shared" si="71"/>
        <v>48861.416000000005</v>
      </c>
      <c r="CW25" s="554">
        <f t="shared" si="26"/>
        <v>774305.78399999999</v>
      </c>
      <c r="CX25" s="553">
        <f>'Anuid PF'!AI24+'Anuid PF'!AJ24</f>
        <v>142359.28</v>
      </c>
      <c r="CY25" s="553">
        <f>'Anuid PJ'!AF23+'Anuid PJ'!AG23</f>
        <v>26202.471999999998</v>
      </c>
      <c r="CZ25" s="553">
        <f>RRT!S22</f>
        <v>505186.92000000004</v>
      </c>
      <c r="DA25" s="553">
        <f>'TAXAS E MULTAS.'!M21</f>
        <v>44387.752000000008</v>
      </c>
      <c r="DB25" s="554">
        <f t="shared" si="27"/>
        <v>718136.424</v>
      </c>
      <c r="DC25" s="553">
        <f t="shared" si="72"/>
        <v>122871.61600000001</v>
      </c>
      <c r="DD25" s="553">
        <f t="shared" si="73"/>
        <v>23967.296000000002</v>
      </c>
      <c r="DE25" s="553">
        <f t="shared" si="74"/>
        <v>484488.92800000007</v>
      </c>
      <c r="DF25" s="553">
        <f t="shared" si="75"/>
        <v>55186.736000000004</v>
      </c>
      <c r="DG25" s="554">
        <f t="shared" si="29"/>
        <v>686514.57600000012</v>
      </c>
      <c r="DH25" s="553">
        <f>'Anuid PF'!AK24+'Anuid PF'!AL24</f>
        <v>147353.68800000002</v>
      </c>
      <c r="DI25" s="553">
        <f>'Anuid PJ'!AH23+'Anuid PJ'!AI23</f>
        <v>22983.856</v>
      </c>
      <c r="DJ25" s="553">
        <f>RRT!T22</f>
        <v>482854.32000000007</v>
      </c>
      <c r="DK25" s="553">
        <f>'TAXAS E MULTAS.'!N21</f>
        <v>38493.807999999997</v>
      </c>
      <c r="DL25" s="554">
        <f t="shared" si="30"/>
        <v>691685.67200000002</v>
      </c>
      <c r="DM25" s="553">
        <f t="shared" si="76"/>
        <v>233574.712</v>
      </c>
      <c r="DN25" s="553">
        <f t="shared" si="77"/>
        <v>54082.872000000003</v>
      </c>
      <c r="DO25" s="553">
        <f t="shared" si="78"/>
        <v>430589.44000000006</v>
      </c>
      <c r="DP25" s="553">
        <f t="shared" si="79"/>
        <v>88755.24</v>
      </c>
      <c r="DQ25" s="552">
        <f t="shared" si="32"/>
        <v>807002.26400000008</v>
      </c>
      <c r="DR25" s="555">
        <f t="shared" si="33"/>
        <v>4072146.2320000003</v>
      </c>
      <c r="DS25" s="553">
        <f t="shared" si="34"/>
        <v>814711.72</v>
      </c>
      <c r="DT25" s="553">
        <f t="shared" si="35"/>
        <v>5699577.9440000001</v>
      </c>
      <c r="DU25" s="553">
        <f t="shared" si="36"/>
        <v>461967.66400000005</v>
      </c>
      <c r="DV25" s="554">
        <f t="shared" si="37"/>
        <v>11048403.560000002</v>
      </c>
      <c r="DW25" s="553">
        <f t="shared" si="80"/>
        <v>3554313.5039999997</v>
      </c>
      <c r="DX25" s="553">
        <f t="shared" si="38"/>
        <v>738745.92800000007</v>
      </c>
      <c r="DY25" s="553">
        <f t="shared" si="39"/>
        <v>5791717.5760000004</v>
      </c>
      <c r="DZ25" s="553">
        <f t="shared" si="40"/>
        <v>427962.79200000002</v>
      </c>
      <c r="EA25" s="552">
        <f t="shared" si="41"/>
        <v>10512739.800000001</v>
      </c>
      <c r="EB25" s="551">
        <f t="shared" si="42"/>
        <v>14.569134867175777</v>
      </c>
      <c r="EC25" s="551">
        <f t="shared" si="43"/>
        <v>10.283074210055048</v>
      </c>
      <c r="ED25" s="551">
        <f t="shared" si="44"/>
        <v>-1.5908861368139355</v>
      </c>
      <c r="EE25" s="551">
        <f t="shared" si="45"/>
        <v>7.945754312211335</v>
      </c>
      <c r="EF25" s="550">
        <f t="shared" si="46"/>
        <v>5.0953773249481742</v>
      </c>
      <c r="EG25" s="561" t="str">
        <f t="shared" si="81"/>
        <v>MAIOR</v>
      </c>
    </row>
    <row r="26" spans="1:137">
      <c r="A26" s="556" t="s">
        <v>105</v>
      </c>
      <c r="B26" s="553">
        <f>'Anuid PF'!O25+'Anuid PF'!P25</f>
        <v>1072128.128</v>
      </c>
      <c r="C26" s="553">
        <f>'Anuid PJ'!L24+'Anuid PJ'!M24</f>
        <v>144416.91200000001</v>
      </c>
      <c r="D26" s="553">
        <f>RRT!I23</f>
        <v>344969.68</v>
      </c>
      <c r="E26" s="553">
        <f>'TAXAS E MULTAS.'!C22</f>
        <v>61254.712000000014</v>
      </c>
      <c r="F26" s="554">
        <f t="shared" si="0"/>
        <v>1622769.432</v>
      </c>
      <c r="G26" s="553">
        <v>1073167.6259999999</v>
      </c>
      <c r="H26" s="553">
        <v>134278.89800000002</v>
      </c>
      <c r="I26" s="553">
        <v>340951.53600000002</v>
      </c>
      <c r="J26" s="553">
        <v>55558.090000000004</v>
      </c>
      <c r="K26" s="554">
        <f t="shared" si="1"/>
        <v>1603956.1500000001</v>
      </c>
      <c r="L26" s="553">
        <f>'Anuid PF'!Q25+'Anuid PF'!R25</f>
        <v>889064.9040000001</v>
      </c>
      <c r="M26" s="553">
        <f>'Anuid PJ'!N24+'Anuid PJ'!O24</f>
        <v>160061.136</v>
      </c>
      <c r="N26" s="553">
        <f>RRT!J23</f>
        <v>335759.84</v>
      </c>
      <c r="O26" s="553">
        <f>'TAXAS E MULTAS.'!D22</f>
        <v>51662.624000000003</v>
      </c>
      <c r="P26" s="554">
        <f t="shared" si="2"/>
        <v>1436548.5040000002</v>
      </c>
      <c r="Q26" s="553">
        <v>988777.14200000011</v>
      </c>
      <c r="R26" s="562">
        <v>164209.36000000004</v>
      </c>
      <c r="S26" s="553">
        <v>370837.08799999999</v>
      </c>
      <c r="T26" s="553">
        <v>53682.76400000001</v>
      </c>
      <c r="U26" s="554">
        <f t="shared" si="3"/>
        <v>1577506.3540000001</v>
      </c>
      <c r="V26" s="553">
        <f>'Anuid PF'!S25+'Anuid PF'!T25</f>
        <v>539281.58400000003</v>
      </c>
      <c r="W26" s="553">
        <f>'Anuid PJ'!P24+'Anuid PJ'!Q24</f>
        <v>91116.312000000005</v>
      </c>
      <c r="X26" s="553">
        <f>RRT!K23</f>
        <v>299724.44800000003</v>
      </c>
      <c r="Y26" s="553">
        <f>'TAXAS E MULTAS.'!E22</f>
        <v>51521.655999999995</v>
      </c>
      <c r="Z26" s="554">
        <f t="shared" si="4"/>
        <v>981644</v>
      </c>
      <c r="AA26" s="553">
        <v>372572.73</v>
      </c>
      <c r="AB26" s="562">
        <v>53766.648000000001</v>
      </c>
      <c r="AC26" s="553">
        <v>340756.96</v>
      </c>
      <c r="AD26" s="553">
        <v>41941.353999999999</v>
      </c>
      <c r="AE26" s="554">
        <f t="shared" si="5"/>
        <v>809037.69200000004</v>
      </c>
      <c r="AF26" s="553">
        <f>'Anuid PF'!U25+'Anuid PF'!V25</f>
        <v>221967.33600000001</v>
      </c>
      <c r="AG26" s="553">
        <f>'Anuid PJ'!R24+'Anuid PJ'!S24</f>
        <v>31521.648000000001</v>
      </c>
      <c r="AH26" s="553">
        <f>RRT!L23</f>
        <v>123649.52800000001</v>
      </c>
      <c r="AI26" s="553">
        <f>'TAXAS E MULTAS.'!F22</f>
        <v>31526.144000000004</v>
      </c>
      <c r="AJ26" s="554">
        <f t="shared" si="6"/>
        <v>408664.65600000002</v>
      </c>
      <c r="AK26" s="553">
        <f t="shared" si="47"/>
        <v>418887.4</v>
      </c>
      <c r="AL26" s="553">
        <f t="shared" si="48"/>
        <v>67375</v>
      </c>
      <c r="AM26" s="553">
        <f t="shared" si="49"/>
        <v>365849.40800000005</v>
      </c>
      <c r="AN26" s="553">
        <f t="shared" si="50"/>
        <v>40191.423999999999</v>
      </c>
      <c r="AO26" s="554">
        <f t="shared" si="8"/>
        <v>892303.23200000008</v>
      </c>
      <c r="AP26" s="553">
        <f>'Anuid PF'!W25+'Anuid PF'!X25</f>
        <v>185903.856</v>
      </c>
      <c r="AQ26" s="553">
        <f>'Anuid PJ'!T24+'Anuid PJ'!U24</f>
        <v>23092.92</v>
      </c>
      <c r="AR26" s="553">
        <f>RRT!M23</f>
        <v>149824.32000000001</v>
      </c>
      <c r="AS26" s="553">
        <f>'TAXAS E MULTAS.'!G22</f>
        <v>22940.631999999994</v>
      </c>
      <c r="AT26" s="554">
        <f t="shared" si="9"/>
        <v>381761.728</v>
      </c>
      <c r="AU26" s="553">
        <f t="shared" si="51"/>
        <v>523988.64</v>
      </c>
      <c r="AV26" s="553">
        <f t="shared" si="52"/>
        <v>72035.888000000006</v>
      </c>
      <c r="AW26" s="553">
        <f t="shared" si="53"/>
        <v>443848.01600000006</v>
      </c>
      <c r="AX26" s="553">
        <f t="shared" si="54"/>
        <v>36765.592000000004</v>
      </c>
      <c r="AY26" s="554">
        <f t="shared" si="11"/>
        <v>1076638.1360000002</v>
      </c>
      <c r="AZ26" s="553">
        <f>'Anuid PF'!Y25+'Anuid PF'!Z25</f>
        <v>297449.40000000002</v>
      </c>
      <c r="BA26" s="553">
        <f>'Anuid PJ'!V24+'Anuid PJ'!W24</f>
        <v>41239.376000000004</v>
      </c>
      <c r="BB26" s="553">
        <f>RRT!N23</f>
        <v>233277.72000000003</v>
      </c>
      <c r="BC26" s="553">
        <f>'TAXAS E MULTAS.'!H22</f>
        <v>31326.879999999997</v>
      </c>
      <c r="BD26" s="554">
        <f t="shared" si="12"/>
        <v>603293.37600000005</v>
      </c>
      <c r="BE26" s="553">
        <f t="shared" si="55"/>
        <v>428903.81600000005</v>
      </c>
      <c r="BF26" s="553">
        <f t="shared" si="56"/>
        <v>85065.407999999996</v>
      </c>
      <c r="BG26" s="553">
        <f t="shared" si="57"/>
        <v>439668.80000000005</v>
      </c>
      <c r="BH26" s="553">
        <f t="shared" si="58"/>
        <v>36787.304000000011</v>
      </c>
      <c r="BI26" s="554">
        <f t="shared" si="14"/>
        <v>990425.3280000001</v>
      </c>
      <c r="BJ26" s="553">
        <f>'Anuid PF'!AA25+'Anuid PF'!AB25</f>
        <v>442854.56799999997</v>
      </c>
      <c r="BK26" s="553">
        <f>'Anuid PJ'!X24+'Anuid PJ'!Y24</f>
        <v>48271.752000000008</v>
      </c>
      <c r="BL26" s="553">
        <f>RRT!O23</f>
        <v>324410.40000000002</v>
      </c>
      <c r="BM26" s="553">
        <f>'TAXAS E MULTAS.'!I22</f>
        <v>32968.655999999995</v>
      </c>
      <c r="BN26" s="554">
        <f t="shared" si="15"/>
        <v>848505.37599999993</v>
      </c>
      <c r="BO26" s="553">
        <f t="shared" si="59"/>
        <v>430808.08</v>
      </c>
      <c r="BP26" s="553">
        <f t="shared" si="82"/>
        <v>129168.48800000001</v>
      </c>
      <c r="BQ26" s="553">
        <f t="shared" si="83"/>
        <v>466820.44800000009</v>
      </c>
      <c r="BR26" s="553">
        <f t="shared" si="84"/>
        <v>98086.944000000018</v>
      </c>
      <c r="BS26" s="554">
        <f t="shared" si="17"/>
        <v>1124883.96</v>
      </c>
      <c r="BT26" s="553">
        <f>'Anuid PF'!AC25+'Anuid PF'!AD25</f>
        <v>459227.36800000007</v>
      </c>
      <c r="BU26" s="553">
        <f>'Anuid PJ'!Z24+'Anuid PJ'!AA24</f>
        <v>63015.487999999998</v>
      </c>
      <c r="BV26" s="553">
        <f>RRT!P23</f>
        <v>371578.01600000006</v>
      </c>
      <c r="BW26" s="553">
        <f>'TAXAS E MULTAS.'!J22</f>
        <v>36844.568000000007</v>
      </c>
      <c r="BX26" s="554">
        <f t="shared" si="18"/>
        <v>930665.44000000018</v>
      </c>
      <c r="BY26" s="553">
        <f t="shared" si="60"/>
        <v>340435.99200000003</v>
      </c>
      <c r="BZ26" s="553">
        <f t="shared" si="61"/>
        <v>89414.52</v>
      </c>
      <c r="CA26" s="553">
        <f t="shared" si="62"/>
        <v>457880.32000000007</v>
      </c>
      <c r="CB26" s="553">
        <f t="shared" si="63"/>
        <v>96360.256000000008</v>
      </c>
      <c r="CC26" s="554">
        <f t="shared" si="20"/>
        <v>984091.08800000022</v>
      </c>
      <c r="CD26" s="553">
        <f>'Anuid PF'!AE25+'Anuid PF'!AF25</f>
        <v>255942.89600000001</v>
      </c>
      <c r="CE26" s="553">
        <f>'Anuid PJ'!AB24+'Anuid PJ'!AC24</f>
        <v>21868.600000000002</v>
      </c>
      <c r="CF26" s="553">
        <f>RRT!Q23</f>
        <v>405748.08</v>
      </c>
      <c r="CG26" s="553">
        <f>'TAXAS E MULTAS.'!K22</f>
        <v>49235.631999999998</v>
      </c>
      <c r="CH26" s="554">
        <f t="shared" si="21"/>
        <v>732795.20799999998</v>
      </c>
      <c r="CI26" s="553">
        <f t="shared" si="64"/>
        <v>261262.73600000003</v>
      </c>
      <c r="CJ26" s="553">
        <f t="shared" si="65"/>
        <v>53901.032000000007</v>
      </c>
      <c r="CK26" s="553">
        <f t="shared" si="66"/>
        <v>433545.95199999999</v>
      </c>
      <c r="CL26" s="553">
        <f t="shared" si="67"/>
        <v>73948.063999999998</v>
      </c>
      <c r="CM26" s="554">
        <f t="shared" si="23"/>
        <v>822657.78399999999</v>
      </c>
      <c r="CN26" s="553">
        <f>'Anuid PF'!AG25+'Anuid PF'!AH25</f>
        <v>214154.91200000001</v>
      </c>
      <c r="CO26" s="553">
        <f>'Anuid PJ'!AD24+'Anuid PJ'!AE24</f>
        <v>22491.664000000004</v>
      </c>
      <c r="CP26" s="553">
        <f>RRT!R23</f>
        <v>447513.95999999996</v>
      </c>
      <c r="CQ26" s="553">
        <f>'TAXAS E MULTAS.'!L22</f>
        <v>49797.240000000005</v>
      </c>
      <c r="CR26" s="554">
        <f t="shared" si="24"/>
        <v>733957.77599999995</v>
      </c>
      <c r="CS26" s="553">
        <f t="shared" si="68"/>
        <v>247256.872</v>
      </c>
      <c r="CT26" s="553">
        <f t="shared" si="69"/>
        <v>57112.776000000005</v>
      </c>
      <c r="CU26" s="553">
        <f t="shared" si="70"/>
        <v>458790.01600000006</v>
      </c>
      <c r="CV26" s="553">
        <f t="shared" si="71"/>
        <v>90935.640000000029</v>
      </c>
      <c r="CW26" s="554">
        <f t="shared" si="26"/>
        <v>854095.30400000012</v>
      </c>
      <c r="CX26" s="553">
        <f>'Anuid PF'!AI25+'Anuid PF'!AJ25</f>
        <v>183238.24</v>
      </c>
      <c r="CY26" s="553">
        <f>'Anuid PJ'!AF24+'Anuid PJ'!AG24</f>
        <v>20331.304000000004</v>
      </c>
      <c r="CZ26" s="553">
        <f>RRT!S23</f>
        <v>407942.16000000003</v>
      </c>
      <c r="DA26" s="553">
        <f>'TAXAS E MULTAS.'!M22</f>
        <v>52169.176000000007</v>
      </c>
      <c r="DB26" s="554">
        <f t="shared" si="27"/>
        <v>663680.88</v>
      </c>
      <c r="DC26" s="553">
        <f t="shared" si="72"/>
        <v>170170.872</v>
      </c>
      <c r="DD26" s="553">
        <f t="shared" si="73"/>
        <v>36526.688000000002</v>
      </c>
      <c r="DE26" s="553">
        <f t="shared" si="74"/>
        <v>391093.47200000007</v>
      </c>
      <c r="DF26" s="553">
        <f t="shared" si="75"/>
        <v>70946.52</v>
      </c>
      <c r="DG26" s="554">
        <f t="shared" si="29"/>
        <v>668737.55200000014</v>
      </c>
      <c r="DH26" s="553">
        <f>'Anuid PF'!AK25+'Anuid PF'!AL25</f>
        <v>182780.16</v>
      </c>
      <c r="DI26" s="553">
        <f>'Anuid PJ'!AH24+'Anuid PJ'!AI24</f>
        <v>25595.423999999999</v>
      </c>
      <c r="DJ26" s="553">
        <f>RRT!T23</f>
        <v>368056.92000000004</v>
      </c>
      <c r="DK26" s="553">
        <f>'TAXAS E MULTAS.'!N22</f>
        <v>47482.96</v>
      </c>
      <c r="DL26" s="554">
        <f t="shared" si="30"/>
        <v>623915.46400000004</v>
      </c>
      <c r="DM26" s="553">
        <f t="shared" si="76"/>
        <v>230636.49600000001</v>
      </c>
      <c r="DN26" s="553">
        <f t="shared" si="77"/>
        <v>35072.936000000002</v>
      </c>
      <c r="DO26" s="553">
        <f t="shared" si="78"/>
        <v>358344.41600000003</v>
      </c>
      <c r="DP26" s="553">
        <f t="shared" si="79"/>
        <v>83539.728000000003</v>
      </c>
      <c r="DQ26" s="552">
        <f t="shared" si="32"/>
        <v>707593.576</v>
      </c>
      <c r="DR26" s="555">
        <f t="shared" si="33"/>
        <v>4943993.3520000018</v>
      </c>
      <c r="DS26" s="553">
        <f t="shared" si="34"/>
        <v>693022.53599999996</v>
      </c>
      <c r="DT26" s="553">
        <f t="shared" si="35"/>
        <v>3812455.0720000006</v>
      </c>
      <c r="DU26" s="553">
        <f t="shared" si="36"/>
        <v>518730.88000000006</v>
      </c>
      <c r="DV26" s="554">
        <f t="shared" si="37"/>
        <v>9968201.8400000036</v>
      </c>
      <c r="DW26" s="553">
        <f t="shared" si="80"/>
        <v>5486868.4020000016</v>
      </c>
      <c r="DX26" s="553">
        <f t="shared" si="38"/>
        <v>977927.64199999999</v>
      </c>
      <c r="DY26" s="553">
        <f t="shared" si="39"/>
        <v>4868386.432000001</v>
      </c>
      <c r="DZ26" s="553">
        <f t="shared" si="40"/>
        <v>778743.68</v>
      </c>
      <c r="EA26" s="552">
        <f t="shared" si="41"/>
        <v>12111926.156000003</v>
      </c>
      <c r="EB26" s="551">
        <f t="shared" si="42"/>
        <v>-9.8940781922547671</v>
      </c>
      <c r="EC26" s="551">
        <f t="shared" si="43"/>
        <v>-29.13355689765848</v>
      </c>
      <c r="ED26" s="551">
        <f t="shared" si="44"/>
        <v>-21.689555148279567</v>
      </c>
      <c r="EE26" s="551">
        <f t="shared" si="45"/>
        <v>-33.388752509683286</v>
      </c>
      <c r="EF26" s="550">
        <f t="shared" si="46"/>
        <v>-17.699284889860749</v>
      </c>
      <c r="EG26" s="561" t="str">
        <f t="shared" si="81"/>
        <v>menor</v>
      </c>
    </row>
    <row r="27" spans="1:137">
      <c r="A27" s="556" t="s">
        <v>106</v>
      </c>
      <c r="B27" s="553">
        <f>'Anuid PF'!O26+'Anuid PF'!P26</f>
        <v>127032.984</v>
      </c>
      <c r="C27" s="553">
        <f>'Anuid PJ'!L25+'Anuid PJ'!M25</f>
        <v>6258.2240000000002</v>
      </c>
      <c r="D27" s="553">
        <f>RRT!I24</f>
        <v>41903.984000000004</v>
      </c>
      <c r="E27" s="553">
        <f>'TAXAS E MULTAS.'!C23</f>
        <v>11183.976000000001</v>
      </c>
      <c r="F27" s="554">
        <f t="shared" si="0"/>
        <v>186379.16799999998</v>
      </c>
      <c r="G27" s="553">
        <v>92245.313999999998</v>
      </c>
      <c r="H27" s="553">
        <v>4489.2560000000003</v>
      </c>
      <c r="I27" s="553">
        <v>44264.4</v>
      </c>
      <c r="J27" s="553">
        <v>5887.6179999999995</v>
      </c>
      <c r="K27" s="554">
        <f t="shared" si="1"/>
        <v>146886.58799999999</v>
      </c>
      <c r="L27" s="553">
        <f>'Anuid PF'!Q26+'Anuid PF'!R26</f>
        <v>129431.224</v>
      </c>
      <c r="M27" s="553">
        <f>'Anuid PJ'!N25+'Anuid PJ'!O25</f>
        <v>11313.832</v>
      </c>
      <c r="N27" s="553">
        <f>RRT!J24</f>
        <v>44586.840000000004</v>
      </c>
      <c r="O27" s="553">
        <f>'TAXAS E MULTAS.'!D23</f>
        <v>8972.84</v>
      </c>
      <c r="P27" s="554">
        <f t="shared" si="2"/>
        <v>194304.736</v>
      </c>
      <c r="Q27" s="553">
        <v>137362.41399999999</v>
      </c>
      <c r="R27" s="562">
        <v>12879.128000000001</v>
      </c>
      <c r="S27" s="553">
        <v>43968.640000000007</v>
      </c>
      <c r="T27" s="553">
        <v>9725.5480000000007</v>
      </c>
      <c r="U27" s="554">
        <f t="shared" si="3"/>
        <v>203935.73</v>
      </c>
      <c r="V27" s="553">
        <f>'Anuid PF'!S26+'Anuid PF'!T26</f>
        <v>105508.08800000002</v>
      </c>
      <c r="W27" s="553">
        <f>'Anuid PJ'!P25+'Anuid PJ'!Q25</f>
        <v>7843.3760000000002</v>
      </c>
      <c r="X27" s="553">
        <f>RRT!K24</f>
        <v>49680.240000000005</v>
      </c>
      <c r="Y27" s="553">
        <f>'TAXAS E MULTAS.'!E23</f>
        <v>10645.76</v>
      </c>
      <c r="Z27" s="554">
        <f t="shared" si="4"/>
        <v>173677.46400000004</v>
      </c>
      <c r="AA27" s="553">
        <v>58380.67</v>
      </c>
      <c r="AB27" s="562">
        <v>5634.0960000000014</v>
      </c>
      <c r="AC27" s="553">
        <v>41770.208000000006</v>
      </c>
      <c r="AD27" s="553">
        <v>5524.4279999999999</v>
      </c>
      <c r="AE27" s="554">
        <f t="shared" si="5"/>
        <v>111309.40200000002</v>
      </c>
      <c r="AF27" s="553">
        <f>'Anuid PF'!U26+'Anuid PF'!V26</f>
        <v>44295.176000000007</v>
      </c>
      <c r="AG27" s="553">
        <f>'Anuid PJ'!R25+'Anuid PJ'!S25</f>
        <v>2273.12</v>
      </c>
      <c r="AH27" s="553">
        <f>RRT!L24</f>
        <v>28758.120000000003</v>
      </c>
      <c r="AI27" s="553">
        <f>'TAXAS E MULTAS.'!F23</f>
        <v>5703.8720000000012</v>
      </c>
      <c r="AJ27" s="554">
        <f t="shared" si="6"/>
        <v>81030.288000000015</v>
      </c>
      <c r="AK27" s="553">
        <f t="shared" si="47"/>
        <v>67039.64</v>
      </c>
      <c r="AL27" s="553">
        <f t="shared" si="48"/>
        <v>5685.0640000000003</v>
      </c>
      <c r="AM27" s="553">
        <f t="shared" si="49"/>
        <v>55870.495999999999</v>
      </c>
      <c r="AN27" s="553">
        <f t="shared" si="50"/>
        <v>6997.1679999999997</v>
      </c>
      <c r="AO27" s="554">
        <f t="shared" si="8"/>
        <v>135592.36799999999</v>
      </c>
      <c r="AP27" s="553">
        <f>'Anuid PF'!W26+'Anuid PF'!X26</f>
        <v>35811.055999999997</v>
      </c>
      <c r="AQ27" s="553">
        <f>'Anuid PJ'!T25+'Anuid PJ'!U25</f>
        <v>3656.4480000000003</v>
      </c>
      <c r="AR27" s="553">
        <f>RRT!M24</f>
        <v>38082.959999999999</v>
      </c>
      <c r="AS27" s="553">
        <f>'TAXAS E MULTAS.'!G23</f>
        <v>3906.3119999999999</v>
      </c>
      <c r="AT27" s="554">
        <f t="shared" si="9"/>
        <v>81456.776000000013</v>
      </c>
      <c r="AU27" s="553">
        <f t="shared" si="51"/>
        <v>78046.97600000001</v>
      </c>
      <c r="AV27" s="553">
        <f t="shared" si="52"/>
        <v>8062.5920000000006</v>
      </c>
      <c r="AW27" s="553">
        <f t="shared" si="53"/>
        <v>56173.728000000003</v>
      </c>
      <c r="AX27" s="553">
        <f t="shared" si="54"/>
        <v>7080.3680000000013</v>
      </c>
      <c r="AY27" s="554">
        <f t="shared" si="11"/>
        <v>149363.66400000002</v>
      </c>
      <c r="AZ27" s="553">
        <f>'Anuid PF'!Y26+'Anuid PF'!Z26</f>
        <v>46752.127999999997</v>
      </c>
      <c r="BA27" s="553">
        <f>'Anuid PJ'!V25+'Anuid PJ'!W25</f>
        <v>3065.096</v>
      </c>
      <c r="BB27" s="553">
        <f>RRT!N24</f>
        <v>37299.360000000001</v>
      </c>
      <c r="BC27" s="553">
        <f>'TAXAS E MULTAS.'!H23</f>
        <v>5248.7120000000004</v>
      </c>
      <c r="BD27" s="554">
        <f t="shared" si="12"/>
        <v>92365.296000000002</v>
      </c>
      <c r="BE27" s="553">
        <f t="shared" si="55"/>
        <v>73130.312000000005</v>
      </c>
      <c r="BF27" s="553">
        <f t="shared" si="56"/>
        <v>9241.4000000000015</v>
      </c>
      <c r="BG27" s="553">
        <f t="shared" si="57"/>
        <v>47380</v>
      </c>
      <c r="BH27" s="553">
        <f t="shared" si="58"/>
        <v>5707.1680000000006</v>
      </c>
      <c r="BI27" s="554">
        <f t="shared" si="14"/>
        <v>135458.88</v>
      </c>
      <c r="BJ27" s="553">
        <f>'Anuid PF'!AA26+'Anuid PF'!AB26</f>
        <v>75035.296000000017</v>
      </c>
      <c r="BK27" s="553">
        <f>'Anuid PJ'!X25+'Anuid PJ'!Y25</f>
        <v>2938.6</v>
      </c>
      <c r="BL27" s="553">
        <f>RRT!O24</f>
        <v>59318.52</v>
      </c>
      <c r="BM27" s="553">
        <f>'TAXAS E MULTAS.'!I23</f>
        <v>4668.8959999999997</v>
      </c>
      <c r="BN27" s="554">
        <f t="shared" si="15"/>
        <v>141961.31200000003</v>
      </c>
      <c r="BO27" s="553">
        <f t="shared" si="59"/>
        <v>27394.408000000003</v>
      </c>
      <c r="BP27" s="553">
        <f t="shared" si="82"/>
        <v>2039.7520000000002</v>
      </c>
      <c r="BQ27" s="553">
        <f t="shared" si="83"/>
        <v>62314.176000000007</v>
      </c>
      <c r="BR27" s="553">
        <f t="shared" si="84"/>
        <v>6458.7280000000001</v>
      </c>
      <c r="BS27" s="554">
        <f t="shared" si="17"/>
        <v>98207.064000000013</v>
      </c>
      <c r="BT27" s="553">
        <f>'Anuid PF'!AC26+'Anuid PF'!AD26</f>
        <v>79942.375999999989</v>
      </c>
      <c r="BU27" s="553">
        <f>'Anuid PJ'!Z25+'Anuid PJ'!AA25</f>
        <v>8469.6239999999998</v>
      </c>
      <c r="BV27" s="553">
        <f>RRT!P24</f>
        <v>65665.680000000008</v>
      </c>
      <c r="BW27" s="553">
        <f>'TAXAS E MULTAS.'!J23</f>
        <v>5809.6319999999996</v>
      </c>
      <c r="BX27" s="554">
        <f t="shared" si="18"/>
        <v>159887.31200000001</v>
      </c>
      <c r="BY27" s="553">
        <f t="shared" si="60"/>
        <v>22882.896000000001</v>
      </c>
      <c r="BZ27" s="553">
        <f t="shared" si="61"/>
        <v>1872.9520000000002</v>
      </c>
      <c r="CA27" s="553">
        <f t="shared" si="62"/>
        <v>56173.728000000003</v>
      </c>
      <c r="CB27" s="553">
        <f t="shared" si="63"/>
        <v>5740.1120000000001</v>
      </c>
      <c r="CC27" s="554">
        <f t="shared" si="20"/>
        <v>86669.687999999995</v>
      </c>
      <c r="CD27" s="553">
        <f>'Anuid PF'!AE26+'Anuid PF'!AF26</f>
        <v>41898.44</v>
      </c>
      <c r="CE27" s="553">
        <f>'Anuid PJ'!AB25+'Anuid PJ'!AC25</f>
        <v>1903.0160000000001</v>
      </c>
      <c r="CF27" s="553">
        <f>RRT!Q24</f>
        <v>68486.64</v>
      </c>
      <c r="CG27" s="553">
        <f>'TAXAS E MULTAS.'!K23</f>
        <v>6459.9999999999991</v>
      </c>
      <c r="CH27" s="554">
        <f t="shared" si="21"/>
        <v>118748.09600000001</v>
      </c>
      <c r="CI27" s="553">
        <f t="shared" si="64"/>
        <v>22656.560000000001</v>
      </c>
      <c r="CJ27" s="553">
        <f t="shared" si="65"/>
        <v>3623.616</v>
      </c>
      <c r="CK27" s="553">
        <f t="shared" si="66"/>
        <v>59509.280000000006</v>
      </c>
      <c r="CL27" s="553">
        <f t="shared" si="67"/>
        <v>5618.52</v>
      </c>
      <c r="CM27" s="554">
        <f t="shared" si="23"/>
        <v>91407.97600000001</v>
      </c>
      <c r="CN27" s="553">
        <f>'Anuid PF'!AG26+'Anuid PF'!AH26</f>
        <v>36991.152000000002</v>
      </c>
      <c r="CO27" s="553">
        <f>'Anuid PJ'!AD25+'Anuid PJ'!AE25</f>
        <v>1450.088</v>
      </c>
      <c r="CP27" s="553">
        <f>RRT!R24</f>
        <v>67389.600000000006</v>
      </c>
      <c r="CQ27" s="553">
        <f>'TAXAS E MULTAS.'!L23</f>
        <v>7041.9199999999992</v>
      </c>
      <c r="CR27" s="554">
        <f t="shared" si="24"/>
        <v>112872.76000000001</v>
      </c>
      <c r="CS27" s="553">
        <f t="shared" si="68"/>
        <v>31670.720000000001</v>
      </c>
      <c r="CT27" s="553">
        <f t="shared" si="69"/>
        <v>2842.6560000000004</v>
      </c>
      <c r="CU27" s="553">
        <f t="shared" si="70"/>
        <v>57235.040000000008</v>
      </c>
      <c r="CV27" s="553">
        <f t="shared" si="71"/>
        <v>10522.856000000002</v>
      </c>
      <c r="CW27" s="554">
        <f t="shared" si="26"/>
        <v>102271.27200000001</v>
      </c>
      <c r="CX27" s="553">
        <f>'Anuid PF'!AI26+'Anuid PF'!AJ26</f>
        <v>28272.959999999999</v>
      </c>
      <c r="CY27" s="553">
        <f>'Anuid PJ'!AF25+'Anuid PJ'!AG25</f>
        <v>733.91200000000003</v>
      </c>
      <c r="CZ27" s="553">
        <f>RRT!S24</f>
        <v>64176.840000000004</v>
      </c>
      <c r="DA27" s="553">
        <f>'TAXAS E MULTAS.'!M23</f>
        <v>8210.0320000000011</v>
      </c>
      <c r="DB27" s="554">
        <f t="shared" si="27"/>
        <v>101393.74400000001</v>
      </c>
      <c r="DC27" s="553">
        <f t="shared" si="72"/>
        <v>26659.64</v>
      </c>
      <c r="DD27" s="553">
        <f t="shared" si="73"/>
        <v>1602.76</v>
      </c>
      <c r="DE27" s="553">
        <f t="shared" si="74"/>
        <v>52004.288</v>
      </c>
      <c r="DF27" s="553">
        <f t="shared" si="75"/>
        <v>12277.576000000001</v>
      </c>
      <c r="DG27" s="554">
        <f t="shared" si="29"/>
        <v>92544.263999999996</v>
      </c>
      <c r="DH27" s="553">
        <f>'Anuid PF'!AK26+'Anuid PF'!AL26</f>
        <v>36790.176000000007</v>
      </c>
      <c r="DI27" s="553">
        <f>'Anuid PJ'!AH25+'Anuid PJ'!AI25</f>
        <v>1375.7120000000002</v>
      </c>
      <c r="DJ27" s="553">
        <f>RRT!T24</f>
        <v>63706.680000000008</v>
      </c>
      <c r="DK27" s="553">
        <f>'TAXAS E MULTAS.'!N23</f>
        <v>12275.888000000001</v>
      </c>
      <c r="DL27" s="554">
        <f t="shared" si="30"/>
        <v>114148.45600000002</v>
      </c>
      <c r="DM27" s="553">
        <f t="shared" si="76"/>
        <v>32338.392</v>
      </c>
      <c r="DN27" s="553">
        <f t="shared" si="77"/>
        <v>3210.4320000000002</v>
      </c>
      <c r="DO27" s="553">
        <f t="shared" si="78"/>
        <v>47152.576000000001</v>
      </c>
      <c r="DP27" s="553">
        <f t="shared" si="79"/>
        <v>10921.824000000001</v>
      </c>
      <c r="DQ27" s="552">
        <f t="shared" si="32"/>
        <v>93623.223999999987</v>
      </c>
      <c r="DR27" s="555">
        <f t="shared" si="33"/>
        <v>787761.05599999987</v>
      </c>
      <c r="DS27" s="553">
        <f t="shared" si="34"/>
        <v>51281.047999999995</v>
      </c>
      <c r="DT27" s="553">
        <f t="shared" si="35"/>
        <v>629055.46400000004</v>
      </c>
      <c r="DU27" s="553">
        <f t="shared" si="36"/>
        <v>90127.840000000011</v>
      </c>
      <c r="DV27" s="554">
        <f t="shared" si="37"/>
        <v>1558225.4080000001</v>
      </c>
      <c r="DW27" s="553">
        <f t="shared" si="80"/>
        <v>669807.94200000004</v>
      </c>
      <c r="DX27" s="553">
        <f t="shared" si="38"/>
        <v>61183.704000000005</v>
      </c>
      <c r="DY27" s="553">
        <f t="shared" si="39"/>
        <v>623816.56000000017</v>
      </c>
      <c r="DZ27" s="553">
        <f t="shared" si="40"/>
        <v>92461.914000000019</v>
      </c>
      <c r="EA27" s="552">
        <f t="shared" si="41"/>
        <v>1447270.1200000003</v>
      </c>
      <c r="EB27" s="551">
        <f t="shared" si="42"/>
        <v>17.609990357504572</v>
      </c>
      <c r="EC27" s="551">
        <f t="shared" si="43"/>
        <v>-16.185120142448412</v>
      </c>
      <c r="ED27" s="551">
        <f t="shared" si="44"/>
        <v>0.83981483274504853</v>
      </c>
      <c r="EE27" s="551">
        <f t="shared" si="45"/>
        <v>-2.5243626256752663</v>
      </c>
      <c r="EF27" s="550">
        <f t="shared" si="46"/>
        <v>7.6665224042627074</v>
      </c>
      <c r="EG27" s="561" t="str">
        <f t="shared" si="81"/>
        <v>MAIOR</v>
      </c>
    </row>
    <row r="28" spans="1:137">
      <c r="A28" s="556" t="s">
        <v>108</v>
      </c>
      <c r="B28" s="553">
        <f>'Anuid PF'!O27+'Anuid PF'!P27</f>
        <v>57697.207999999999</v>
      </c>
      <c r="C28" s="553">
        <f>'Anuid PJ'!L26+'Anuid PJ'!M26</f>
        <v>7666.1760000000004</v>
      </c>
      <c r="D28" s="553">
        <f>RRT!I25</f>
        <v>52359.040000000008</v>
      </c>
      <c r="E28" s="553">
        <f>'TAXAS E MULTAS.'!C24</f>
        <v>3342.6960000000004</v>
      </c>
      <c r="F28" s="554">
        <f t="shared" si="0"/>
        <v>121065.12</v>
      </c>
      <c r="G28" s="553">
        <v>36563.703999999998</v>
      </c>
      <c r="H28" s="553">
        <v>4896.9920000000002</v>
      </c>
      <c r="I28" s="553">
        <v>34448.480000000003</v>
      </c>
      <c r="J28" s="553">
        <v>1973.4880000000001</v>
      </c>
      <c r="K28" s="554">
        <f t="shared" si="1"/>
        <v>77882.664000000004</v>
      </c>
      <c r="L28" s="553">
        <f>'Anuid PF'!Q27+'Anuid PF'!R27</f>
        <v>41831.983999999997</v>
      </c>
      <c r="M28" s="553">
        <f>'Anuid PJ'!N26+'Anuid PJ'!O26</f>
        <v>4817.9520000000002</v>
      </c>
      <c r="N28" s="553">
        <f>RRT!J25</f>
        <v>56105.760000000002</v>
      </c>
      <c r="O28" s="553">
        <f>'TAXAS E MULTAS.'!D24</f>
        <v>3575.0400000000004</v>
      </c>
      <c r="P28" s="554">
        <f t="shared" si="2"/>
        <v>106330.73599999999</v>
      </c>
      <c r="Q28" s="553">
        <v>43082.175999999999</v>
      </c>
      <c r="R28" s="562">
        <v>6705.9360000000006</v>
      </c>
      <c r="S28" s="553">
        <v>43892.832000000002</v>
      </c>
      <c r="T28" s="553">
        <v>2066.9360000000001</v>
      </c>
      <c r="U28" s="554">
        <f t="shared" si="3"/>
        <v>95747.88</v>
      </c>
      <c r="V28" s="553">
        <f>'Anuid PF'!S27+'Anuid PF'!T27</f>
        <v>31861.584000000003</v>
      </c>
      <c r="W28" s="553">
        <f>'Anuid PJ'!P26+'Anuid PJ'!Q26</f>
        <v>5891.4240000000009</v>
      </c>
      <c r="X28" s="553">
        <f>RRT!K25</f>
        <v>47486.16</v>
      </c>
      <c r="Y28" s="553">
        <f>'TAXAS E MULTAS.'!E24</f>
        <v>2399.5680000000007</v>
      </c>
      <c r="Z28" s="554">
        <f t="shared" si="4"/>
        <v>87638.736000000004</v>
      </c>
      <c r="AA28" s="553">
        <v>24205.912</v>
      </c>
      <c r="AB28" s="562">
        <v>3175.384</v>
      </c>
      <c r="AC28" s="553">
        <v>47076.768000000004</v>
      </c>
      <c r="AD28" s="553">
        <v>1832.2640000000001</v>
      </c>
      <c r="AE28" s="554">
        <f t="shared" si="5"/>
        <v>76290.328000000009</v>
      </c>
      <c r="AF28" s="553">
        <f>'Anuid PF'!U27+'Anuid PF'!V27</f>
        <v>17663.423999999999</v>
      </c>
      <c r="AG28" s="553">
        <f>'Anuid PJ'!R26+'Anuid PJ'!S26</f>
        <v>2885.0720000000001</v>
      </c>
      <c r="AH28" s="553">
        <f>RRT!L25</f>
        <v>40355.4</v>
      </c>
      <c r="AI28" s="553">
        <f>'TAXAS E MULTAS.'!F24</f>
        <v>2987.5360000000001</v>
      </c>
      <c r="AJ28" s="554">
        <f t="shared" si="6"/>
        <v>63891.432000000001</v>
      </c>
      <c r="AK28" s="553">
        <f t="shared" si="47"/>
        <v>26425.439999999999</v>
      </c>
      <c r="AL28" s="553">
        <f t="shared" si="48"/>
        <v>5018.5680000000002</v>
      </c>
      <c r="AM28" s="553">
        <f t="shared" si="49"/>
        <v>56856</v>
      </c>
      <c r="AN28" s="553">
        <f t="shared" si="50"/>
        <v>1530.2960000000003</v>
      </c>
      <c r="AO28" s="554">
        <f t="shared" si="8"/>
        <v>89830.304000000004</v>
      </c>
      <c r="AP28" s="553">
        <f>'Anuid PF'!W27+'Anuid PF'!X27</f>
        <v>17917.952000000001</v>
      </c>
      <c r="AQ28" s="553">
        <f>'Anuid PJ'!T26+'Anuid PJ'!U26</f>
        <v>2406.328</v>
      </c>
      <c r="AR28" s="553">
        <f>RRT!M25</f>
        <v>53519.880000000005</v>
      </c>
      <c r="AS28" s="553">
        <f>'TAXAS E MULTAS.'!G24</f>
        <v>1842.8880000000001</v>
      </c>
      <c r="AT28" s="554">
        <f t="shared" si="9"/>
        <v>75687.04800000001</v>
      </c>
      <c r="AU28" s="553">
        <f t="shared" si="51"/>
        <v>33552.464000000007</v>
      </c>
      <c r="AV28" s="553">
        <f t="shared" si="52"/>
        <v>1898.5280000000002</v>
      </c>
      <c r="AW28" s="553">
        <f t="shared" si="53"/>
        <v>59964.128000000004</v>
      </c>
      <c r="AX28" s="553">
        <f t="shared" si="54"/>
        <v>1783.088</v>
      </c>
      <c r="AY28" s="554">
        <f t="shared" si="11"/>
        <v>97198.208000000013</v>
      </c>
      <c r="AZ28" s="553">
        <f>'Anuid PF'!Y27+'Anuid PF'!Z27</f>
        <v>26390.728000000003</v>
      </c>
      <c r="BA28" s="553">
        <f>'Anuid PJ'!V26+'Anuid PJ'!W26</f>
        <v>3718.0080000000007</v>
      </c>
      <c r="BB28" s="553">
        <f>RRT!N25</f>
        <v>66762.720000000001</v>
      </c>
      <c r="BC28" s="553">
        <f>'TAXAS E MULTAS.'!H24</f>
        <v>3936.4320000000007</v>
      </c>
      <c r="BD28" s="554">
        <f t="shared" si="12"/>
        <v>100807.88800000001</v>
      </c>
      <c r="BE28" s="553">
        <f t="shared" si="55"/>
        <v>43106.016000000003</v>
      </c>
      <c r="BF28" s="553">
        <f t="shared" si="56"/>
        <v>5446.728000000001</v>
      </c>
      <c r="BG28" s="553">
        <f t="shared" si="57"/>
        <v>53065.600000000006</v>
      </c>
      <c r="BH28" s="553">
        <f t="shared" si="58"/>
        <v>2795.7840000000001</v>
      </c>
      <c r="BI28" s="554">
        <f t="shared" si="14"/>
        <v>104414.12800000001</v>
      </c>
      <c r="BJ28" s="553">
        <f>'Anuid PF'!AA27+'Anuid PF'!AB27</f>
        <v>43847.343999999997</v>
      </c>
      <c r="BK28" s="553">
        <f>'Anuid PJ'!X26+'Anuid PJ'!Y26</f>
        <v>2849.8080000000004</v>
      </c>
      <c r="BL28" s="553">
        <f>RRT!O25</f>
        <v>87214.680000000008</v>
      </c>
      <c r="BM28" s="553">
        <f>'TAXAS E MULTAS.'!I24</f>
        <v>3056.84</v>
      </c>
      <c r="BN28" s="554">
        <f t="shared" si="15"/>
        <v>136968.67199999999</v>
      </c>
      <c r="BO28" s="553">
        <f t="shared" si="59"/>
        <v>10911.248</v>
      </c>
      <c r="BP28" s="553">
        <f t="shared" si="82"/>
        <v>2844.808</v>
      </c>
      <c r="BQ28" s="553">
        <f t="shared" si="83"/>
        <v>66332</v>
      </c>
      <c r="BR28" s="553">
        <f t="shared" si="84"/>
        <v>2502.3200000000002</v>
      </c>
      <c r="BS28" s="554">
        <f t="shared" si="17"/>
        <v>82590.376000000004</v>
      </c>
      <c r="BT28" s="553">
        <f>'Anuid PF'!AC27+'Anuid PF'!AD27</f>
        <v>29876.384000000005</v>
      </c>
      <c r="BU28" s="553">
        <f>'Anuid PJ'!Z26+'Anuid PJ'!AA26</f>
        <v>4101.5200000000004</v>
      </c>
      <c r="BV28" s="553">
        <f>RRT!P25</f>
        <v>76087.56</v>
      </c>
      <c r="BW28" s="553">
        <f>'TAXAS E MULTAS.'!J24</f>
        <v>2463.44</v>
      </c>
      <c r="BX28" s="554">
        <f t="shared" si="18"/>
        <v>112528.90400000001</v>
      </c>
      <c r="BY28" s="553">
        <f t="shared" si="60"/>
        <v>8861.3760000000002</v>
      </c>
      <c r="BZ28" s="553">
        <f t="shared" si="61"/>
        <v>1520.096</v>
      </c>
      <c r="CA28" s="553">
        <f t="shared" si="62"/>
        <v>66559.423999999999</v>
      </c>
      <c r="CB28" s="553">
        <f t="shared" si="63"/>
        <v>1659.096</v>
      </c>
      <c r="CC28" s="554">
        <f t="shared" si="20"/>
        <v>78599.991999999998</v>
      </c>
      <c r="CD28" s="553">
        <f>'Anuid PF'!AE27+'Anuid PF'!AF27</f>
        <v>16895.256000000001</v>
      </c>
      <c r="CE28" s="553">
        <f>'Anuid PJ'!AB26+'Anuid PJ'!AC26</f>
        <v>2259.6320000000001</v>
      </c>
      <c r="CF28" s="553">
        <f>RRT!Q25</f>
        <v>71777.759999999995</v>
      </c>
      <c r="CG28" s="553">
        <f>'TAXAS E MULTAS.'!K24</f>
        <v>3250.3520000000003</v>
      </c>
      <c r="CH28" s="554">
        <f t="shared" si="21"/>
        <v>94183</v>
      </c>
      <c r="CI28" s="553">
        <f t="shared" si="64"/>
        <v>8745.1040000000012</v>
      </c>
      <c r="CJ28" s="553">
        <f t="shared" si="65"/>
        <v>2700.5119999999997</v>
      </c>
      <c r="CK28" s="553">
        <f t="shared" si="66"/>
        <v>60039.936000000002</v>
      </c>
      <c r="CL28" s="553">
        <f t="shared" si="67"/>
        <v>2512.6480000000001</v>
      </c>
      <c r="CM28" s="554">
        <f t="shared" si="23"/>
        <v>73998.2</v>
      </c>
      <c r="CN28" s="553">
        <f>'Anuid PF'!AG27+'Anuid PF'!AH27</f>
        <v>14058.728000000001</v>
      </c>
      <c r="CO28" s="553">
        <f>'Anuid PJ'!AD26+'Anuid PJ'!AE26</f>
        <v>2503.0160000000001</v>
      </c>
      <c r="CP28" s="553">
        <f>RRT!R25</f>
        <v>66370.92</v>
      </c>
      <c r="CQ28" s="553">
        <f>'TAXAS E MULTAS.'!L24</f>
        <v>4280.72</v>
      </c>
      <c r="CR28" s="554">
        <f t="shared" si="24"/>
        <v>87213.384000000005</v>
      </c>
      <c r="CS28" s="553">
        <f t="shared" si="68"/>
        <v>16729.560000000001</v>
      </c>
      <c r="CT28" s="553">
        <f t="shared" si="69"/>
        <v>1514.1120000000001</v>
      </c>
      <c r="CU28" s="553">
        <f t="shared" si="70"/>
        <v>60418.976000000002</v>
      </c>
      <c r="CV28" s="553">
        <f t="shared" si="71"/>
        <v>7151.04</v>
      </c>
      <c r="CW28" s="554">
        <f t="shared" si="26"/>
        <v>85813.687999999995</v>
      </c>
      <c r="CX28" s="553">
        <f>'Anuid PF'!AI27+'Anuid PF'!AJ27</f>
        <v>11618.624000000002</v>
      </c>
      <c r="CY28" s="553">
        <f>'Anuid PJ'!AF26+'Anuid PJ'!AG26</f>
        <v>1149.3040000000001</v>
      </c>
      <c r="CZ28" s="553">
        <f>RRT!S25</f>
        <v>65665.680000000008</v>
      </c>
      <c r="DA28" s="553">
        <f>'TAXAS E MULTAS.'!M24</f>
        <v>3615.4480000000003</v>
      </c>
      <c r="DB28" s="554">
        <f t="shared" si="27"/>
        <v>82049.056000000011</v>
      </c>
      <c r="DC28" s="553">
        <f t="shared" si="72"/>
        <v>7959.0560000000005</v>
      </c>
      <c r="DD28" s="553">
        <f t="shared" si="73"/>
        <v>1315.7040000000002</v>
      </c>
      <c r="DE28" s="553">
        <f t="shared" si="74"/>
        <v>55794.688000000002</v>
      </c>
      <c r="DF28" s="553">
        <f t="shared" si="75"/>
        <v>2825.5200000000004</v>
      </c>
      <c r="DG28" s="554">
        <f t="shared" si="29"/>
        <v>67894.968000000008</v>
      </c>
      <c r="DH28" s="553">
        <f>'Anuid PF'!AK27+'Anuid PF'!AL27</f>
        <v>14164.008000000002</v>
      </c>
      <c r="DI28" s="553">
        <f>'Anuid PJ'!AH26+'Anuid PJ'!AI26</f>
        <v>1627.0320000000002</v>
      </c>
      <c r="DJ28" s="553">
        <f>RRT!T25</f>
        <v>58064.76</v>
      </c>
      <c r="DK28" s="553">
        <f>'TAXAS E MULTAS.'!N24</f>
        <v>4403.1359999999995</v>
      </c>
      <c r="DL28" s="554">
        <f t="shared" si="30"/>
        <v>78258.936000000002</v>
      </c>
      <c r="DM28" s="553">
        <f t="shared" si="76"/>
        <v>12724.096000000001</v>
      </c>
      <c r="DN28" s="553">
        <f t="shared" si="77"/>
        <v>690.91200000000003</v>
      </c>
      <c r="DO28" s="553">
        <f t="shared" si="78"/>
        <v>50942.976000000002</v>
      </c>
      <c r="DP28" s="553">
        <f t="shared" si="79"/>
        <v>3894.5440000000008</v>
      </c>
      <c r="DQ28" s="552">
        <f t="shared" si="32"/>
        <v>68252.528000000006</v>
      </c>
      <c r="DR28" s="555">
        <f t="shared" si="33"/>
        <v>323823.22400000005</v>
      </c>
      <c r="DS28" s="553">
        <f t="shared" si="34"/>
        <v>41875.272000000004</v>
      </c>
      <c r="DT28" s="553">
        <f t="shared" si="35"/>
        <v>741770.32000000007</v>
      </c>
      <c r="DU28" s="553">
        <f t="shared" si="36"/>
        <v>39154.096000000005</v>
      </c>
      <c r="DV28" s="554">
        <f t="shared" si="37"/>
        <v>1146622.912</v>
      </c>
      <c r="DW28" s="553">
        <f t="shared" si="80"/>
        <v>272866.152</v>
      </c>
      <c r="DX28" s="553">
        <f t="shared" si="38"/>
        <v>37728.280000000006</v>
      </c>
      <c r="DY28" s="553">
        <f t="shared" si="39"/>
        <v>655391.80799999996</v>
      </c>
      <c r="DZ28" s="553">
        <f t="shared" si="40"/>
        <v>32527.024000000001</v>
      </c>
      <c r="EA28" s="552">
        <f t="shared" si="41"/>
        <v>998513.26399999997</v>
      </c>
      <c r="EB28" s="551">
        <f t="shared" si="42"/>
        <v>18.674750102387222</v>
      </c>
      <c r="EC28" s="551">
        <f t="shared" si="43"/>
        <v>10.991733521909808</v>
      </c>
      <c r="ED28" s="551">
        <f t="shared" si="44"/>
        <v>13.179675263808008</v>
      </c>
      <c r="EE28" s="551">
        <f t="shared" si="45"/>
        <v>20.374049590273003</v>
      </c>
      <c r="EF28" s="550">
        <f t="shared" si="46"/>
        <v>14.833017581226642</v>
      </c>
      <c r="EG28" s="561" t="str">
        <f t="shared" si="81"/>
        <v>MAIOR</v>
      </c>
    </row>
    <row r="29" spans="1:137">
      <c r="A29" s="556" t="s">
        <v>109</v>
      </c>
      <c r="B29" s="553">
        <f>'Anuid PF'!O28+'Anuid PF'!P28</f>
        <v>9943.8159999999989</v>
      </c>
      <c r="C29" s="553">
        <f>'Anuid PJ'!L27+'Anuid PJ'!M27</f>
        <v>2559.92</v>
      </c>
      <c r="D29" s="553">
        <f>RRT!I26</f>
        <v>8680.0960000000014</v>
      </c>
      <c r="E29" s="553">
        <f>'TAXAS E MULTAS.'!C25</f>
        <v>240.66400000000002</v>
      </c>
      <c r="F29" s="554">
        <f t="shared" si="0"/>
        <v>21424.496000000003</v>
      </c>
      <c r="G29" s="553">
        <v>12775.456000000002</v>
      </c>
      <c r="H29" s="553">
        <v>884.44799999999998</v>
      </c>
      <c r="I29" s="553">
        <v>6728.6559999999999</v>
      </c>
      <c r="J29" s="553">
        <v>513.22400000000005</v>
      </c>
      <c r="K29" s="554">
        <f t="shared" si="1"/>
        <v>20901.784</v>
      </c>
      <c r="L29" s="553">
        <f>'Anuid PF'!Q28+'Anuid PF'!R28</f>
        <v>10687.128000000001</v>
      </c>
      <c r="M29" s="553">
        <f>'Anuid PJ'!N27+'Anuid PJ'!O27</f>
        <v>1374.2080000000001</v>
      </c>
      <c r="N29" s="553">
        <f>RRT!J26</f>
        <v>7522.5600000000013</v>
      </c>
      <c r="O29" s="553">
        <f>'TAXAS E MULTAS.'!D25</f>
        <v>320.06400000000002</v>
      </c>
      <c r="P29" s="554">
        <f t="shared" si="2"/>
        <v>19903.96</v>
      </c>
      <c r="Q29" s="553">
        <v>9101.2800000000007</v>
      </c>
      <c r="R29" s="562">
        <v>838.976</v>
      </c>
      <c r="S29" s="553">
        <v>8642.1119999999992</v>
      </c>
      <c r="T29" s="553">
        <v>312.85599999999999</v>
      </c>
      <c r="U29" s="554">
        <f t="shared" si="3"/>
        <v>18895.224000000002</v>
      </c>
      <c r="V29" s="553">
        <f>'Anuid PF'!S28+'Anuid PF'!T28</f>
        <v>4846.6720000000005</v>
      </c>
      <c r="W29" s="553">
        <f>'Anuid PJ'!P27+'Anuid PJ'!Q27</f>
        <v>1677.8160000000003</v>
      </c>
      <c r="X29" s="553">
        <f>RRT!K26</f>
        <v>7992.72</v>
      </c>
      <c r="Y29" s="553">
        <f>'TAXAS E MULTAS.'!E25</f>
        <v>103.864</v>
      </c>
      <c r="Z29" s="554">
        <f t="shared" si="4"/>
        <v>14621.072000000002</v>
      </c>
      <c r="AA29" s="553">
        <v>2759.4960000000001</v>
      </c>
      <c r="AB29" s="562">
        <v>434.86400000000003</v>
      </c>
      <c r="AC29" s="553">
        <v>7808.2240000000011</v>
      </c>
      <c r="AD29" s="553">
        <v>83.088000000000008</v>
      </c>
      <c r="AE29" s="554">
        <f t="shared" si="5"/>
        <v>11085.672</v>
      </c>
      <c r="AF29" s="553">
        <f>'Anuid PF'!U28+'Anuid PF'!V28</f>
        <v>1356.152</v>
      </c>
      <c r="AG29" s="553">
        <f>'Anuid PJ'!R27+'Anuid PJ'!S27</f>
        <v>0</v>
      </c>
      <c r="AH29" s="553">
        <f>RRT!L26</f>
        <v>4153.0800000000008</v>
      </c>
      <c r="AI29" s="553">
        <f>'TAXAS E MULTAS.'!F25</f>
        <v>0</v>
      </c>
      <c r="AJ29" s="554">
        <f t="shared" si="6"/>
        <v>5509.2320000000009</v>
      </c>
      <c r="AK29" s="553">
        <f t="shared" si="47"/>
        <v>4374.5200000000004</v>
      </c>
      <c r="AL29" s="553">
        <f t="shared" si="48"/>
        <v>494.88800000000003</v>
      </c>
      <c r="AM29" s="553">
        <f t="shared" si="49"/>
        <v>14479.328000000001</v>
      </c>
      <c r="AN29" s="553">
        <f t="shared" si="50"/>
        <v>305.49600000000004</v>
      </c>
      <c r="AO29" s="554">
        <f t="shared" si="8"/>
        <v>19654.232</v>
      </c>
      <c r="AP29" s="553">
        <f>'Anuid PF'!W28+'Anuid PF'!X28</f>
        <v>2926.4960000000005</v>
      </c>
      <c r="AQ29" s="553">
        <f>'Anuid PJ'!T27+'Anuid PJ'!U27</f>
        <v>0</v>
      </c>
      <c r="AR29" s="553">
        <f>RRT!M26</f>
        <v>5877</v>
      </c>
      <c r="AS29" s="553">
        <f>'TAXAS E MULTAS.'!G25</f>
        <v>369.17600000000004</v>
      </c>
      <c r="AT29" s="554">
        <f t="shared" si="9"/>
        <v>9172.6720000000005</v>
      </c>
      <c r="AU29" s="553">
        <f t="shared" si="51"/>
        <v>5117.9120000000003</v>
      </c>
      <c r="AV29" s="553">
        <f t="shared" si="52"/>
        <v>299.73600000000005</v>
      </c>
      <c r="AW29" s="553">
        <f t="shared" si="53"/>
        <v>9930.848</v>
      </c>
      <c r="AX29" s="553">
        <f t="shared" si="54"/>
        <v>0</v>
      </c>
      <c r="AY29" s="554">
        <f t="shared" si="11"/>
        <v>15348.495999999999</v>
      </c>
      <c r="AZ29" s="553">
        <f>'Anuid PF'!Y28+'Anuid PF'!Z28</f>
        <v>1524.6559999999999</v>
      </c>
      <c r="BA29" s="553">
        <f>'Anuid PJ'!V27+'Anuid PJ'!W27</f>
        <v>356.77600000000007</v>
      </c>
      <c r="BB29" s="553">
        <f>RRT!N26</f>
        <v>5641.92</v>
      </c>
      <c r="BC29" s="553">
        <f>'TAXAS E MULTAS.'!H25</f>
        <v>207.18400000000003</v>
      </c>
      <c r="BD29" s="554">
        <f t="shared" si="12"/>
        <v>7730.5360000000001</v>
      </c>
      <c r="BE29" s="553">
        <f t="shared" si="55"/>
        <v>4172.04</v>
      </c>
      <c r="BF29" s="553">
        <f t="shared" si="56"/>
        <v>176.89600000000002</v>
      </c>
      <c r="BG29" s="553">
        <f t="shared" si="57"/>
        <v>7959.84</v>
      </c>
      <c r="BH29" s="553">
        <f t="shared" si="58"/>
        <v>1492.0240000000001</v>
      </c>
      <c r="BI29" s="554">
        <f t="shared" si="14"/>
        <v>13800.8</v>
      </c>
      <c r="BJ29" s="553">
        <f>'Anuid PF'!AA28+'Anuid PF'!AB28</f>
        <v>4967.5680000000002</v>
      </c>
      <c r="BK29" s="553">
        <f>'Anuid PJ'!X27+'Anuid PJ'!Y27</f>
        <v>548.55200000000002</v>
      </c>
      <c r="BL29" s="553">
        <f>RRT!O26</f>
        <v>6503.880000000001</v>
      </c>
      <c r="BM29" s="553">
        <f>'TAXAS E MULTAS.'!I25</f>
        <v>248.46400000000006</v>
      </c>
      <c r="BN29" s="554">
        <f t="shared" si="15"/>
        <v>12268.464</v>
      </c>
      <c r="BO29" s="553">
        <f t="shared" si="59"/>
        <v>3926.9520000000002</v>
      </c>
      <c r="BP29" s="553">
        <f t="shared" si="82"/>
        <v>737.048</v>
      </c>
      <c r="BQ29" s="553">
        <f t="shared" si="83"/>
        <v>22742.400000000001</v>
      </c>
      <c r="BR29" s="553">
        <f t="shared" si="84"/>
        <v>1149.1599999999999</v>
      </c>
      <c r="BS29" s="554">
        <f t="shared" si="17"/>
        <v>28555.56</v>
      </c>
      <c r="BT29" s="553">
        <f>'Anuid PF'!AC28+'Anuid PF'!AD28</f>
        <v>3414.0320000000002</v>
      </c>
      <c r="BU29" s="553">
        <f>'Anuid PJ'!Z27+'Anuid PJ'!AA27</f>
        <v>256.56</v>
      </c>
      <c r="BV29" s="553">
        <f>RRT!P26</f>
        <v>9403.2000000000007</v>
      </c>
      <c r="BW29" s="553">
        <f>'TAXAS E MULTAS.'!J25</f>
        <v>669.00800000000004</v>
      </c>
      <c r="BX29" s="554">
        <f t="shared" si="18"/>
        <v>13742.800000000001</v>
      </c>
      <c r="BY29" s="553">
        <f t="shared" si="60"/>
        <v>2507.6800000000003</v>
      </c>
      <c r="BZ29" s="553">
        <f t="shared" si="61"/>
        <v>184.26400000000001</v>
      </c>
      <c r="CA29" s="553">
        <f t="shared" si="62"/>
        <v>8945.344000000001</v>
      </c>
      <c r="CB29" s="553">
        <f t="shared" si="63"/>
        <v>265.52800000000002</v>
      </c>
      <c r="CC29" s="554">
        <f t="shared" si="20"/>
        <v>11902.816000000001</v>
      </c>
      <c r="CD29" s="553">
        <f>'Anuid PF'!AE28+'Anuid PF'!AF28</f>
        <v>3790.2800000000007</v>
      </c>
      <c r="CE29" s="553">
        <f>'Anuid PJ'!AB27+'Anuid PJ'!AC27</f>
        <v>1335.4879999999998</v>
      </c>
      <c r="CF29" s="553">
        <f>RRT!Q26</f>
        <v>8619.6</v>
      </c>
      <c r="CG29" s="553">
        <f>'TAXAS E MULTAS.'!K25</f>
        <v>700.024</v>
      </c>
      <c r="CH29" s="554">
        <f t="shared" si="21"/>
        <v>14445.392</v>
      </c>
      <c r="CI29" s="553">
        <f t="shared" si="64"/>
        <v>1303.0640000000001</v>
      </c>
      <c r="CJ29" s="553">
        <f t="shared" si="65"/>
        <v>832.85599999999999</v>
      </c>
      <c r="CK29" s="553">
        <f t="shared" si="66"/>
        <v>9930.848</v>
      </c>
      <c r="CL29" s="553">
        <f t="shared" si="67"/>
        <v>171.696</v>
      </c>
      <c r="CM29" s="554">
        <f t="shared" si="23"/>
        <v>12238.464</v>
      </c>
      <c r="CN29" s="553">
        <f>'Anuid PF'!AG28+'Anuid PF'!AH28</f>
        <v>2005.6720000000003</v>
      </c>
      <c r="CO29" s="553">
        <f>'Anuid PJ'!AD27+'Anuid PJ'!AE27</f>
        <v>206.28000000000003</v>
      </c>
      <c r="CP29" s="553">
        <f>RRT!R26</f>
        <v>7836</v>
      </c>
      <c r="CQ29" s="553">
        <f>'TAXAS E MULTAS.'!L25</f>
        <v>538.62400000000002</v>
      </c>
      <c r="CR29" s="554">
        <f t="shared" si="24"/>
        <v>10586.576000000001</v>
      </c>
      <c r="CS29" s="553">
        <f t="shared" si="68"/>
        <v>1516.2080000000001</v>
      </c>
      <c r="CT29" s="553">
        <f t="shared" si="69"/>
        <v>0</v>
      </c>
      <c r="CU29" s="553">
        <f t="shared" si="70"/>
        <v>9324.384</v>
      </c>
      <c r="CV29" s="553">
        <f t="shared" si="71"/>
        <v>309.78399999999999</v>
      </c>
      <c r="CW29" s="554">
        <f t="shared" si="26"/>
        <v>11150.376</v>
      </c>
      <c r="CX29" s="553">
        <f>'Anuid PF'!AI28+'Anuid PF'!AJ28</f>
        <v>3836.9919999999997</v>
      </c>
      <c r="CY29" s="553">
        <f>'Anuid PJ'!AF27+'Anuid PJ'!AG27</f>
        <v>228.56799999999998</v>
      </c>
      <c r="CZ29" s="553">
        <f>RRT!S26</f>
        <v>11283.84</v>
      </c>
      <c r="DA29" s="553">
        <f>'TAXAS E MULTAS.'!M25</f>
        <v>762.23200000000008</v>
      </c>
      <c r="DB29" s="554">
        <f t="shared" si="27"/>
        <v>16111.632</v>
      </c>
      <c r="DC29" s="553">
        <f t="shared" si="72"/>
        <v>1620.848</v>
      </c>
      <c r="DD29" s="553">
        <f t="shared" si="73"/>
        <v>221.11199999999999</v>
      </c>
      <c r="DE29" s="553">
        <f t="shared" si="74"/>
        <v>10234.080000000002</v>
      </c>
      <c r="DF29" s="553">
        <f t="shared" si="75"/>
        <v>302.03200000000004</v>
      </c>
      <c r="DG29" s="554">
        <f t="shared" si="29"/>
        <v>12378.072</v>
      </c>
      <c r="DH29" s="553">
        <f>'Anuid PF'!AK28+'Anuid PF'!AL28</f>
        <v>1663.2639999999999</v>
      </c>
      <c r="DI29" s="553">
        <f>'Anuid PJ'!AH27+'Anuid PJ'!AI27</f>
        <v>219.42399999999998</v>
      </c>
      <c r="DJ29" s="553">
        <f>RRT!T26</f>
        <v>11283.84</v>
      </c>
      <c r="DK29" s="553">
        <f>'TAXAS E MULTAS.'!N25</f>
        <v>1045.04</v>
      </c>
      <c r="DL29" s="554">
        <f t="shared" si="30"/>
        <v>14211.567999999999</v>
      </c>
      <c r="DM29" s="553">
        <f t="shared" si="76"/>
        <v>1972.896</v>
      </c>
      <c r="DN29" s="553">
        <f t="shared" si="77"/>
        <v>331.67200000000003</v>
      </c>
      <c r="DO29" s="553">
        <f t="shared" si="78"/>
        <v>8187.2640000000001</v>
      </c>
      <c r="DP29" s="553">
        <f t="shared" si="79"/>
        <v>596.72</v>
      </c>
      <c r="DQ29" s="552">
        <f t="shared" si="32"/>
        <v>11088.552</v>
      </c>
      <c r="DR29" s="555">
        <f t="shared" si="33"/>
        <v>50962.728000000003</v>
      </c>
      <c r="DS29" s="553">
        <f t="shared" si="34"/>
        <v>8763.5920000000006</v>
      </c>
      <c r="DT29" s="553">
        <f t="shared" si="35"/>
        <v>94797.736000000004</v>
      </c>
      <c r="DU29" s="553">
        <f t="shared" si="36"/>
        <v>5204.3440000000001</v>
      </c>
      <c r="DV29" s="554">
        <f t="shared" si="37"/>
        <v>159728.40000000002</v>
      </c>
      <c r="DW29" s="553">
        <f t="shared" si="80"/>
        <v>51148.351999999999</v>
      </c>
      <c r="DX29" s="553">
        <f t="shared" si="38"/>
        <v>5436.76</v>
      </c>
      <c r="DY29" s="553">
        <f t="shared" si="39"/>
        <v>124913.32799999999</v>
      </c>
      <c r="DZ29" s="553">
        <f t="shared" si="40"/>
        <v>5501.6080000000002</v>
      </c>
      <c r="EA29" s="552">
        <f t="shared" si="41"/>
        <v>187000.04800000001</v>
      </c>
      <c r="EB29" s="551">
        <f t="shared" si="42"/>
        <v>-0.36291296345187618</v>
      </c>
      <c r="EC29" s="551">
        <f t="shared" si="43"/>
        <v>61.191444904685881</v>
      </c>
      <c r="ED29" s="551">
        <f t="shared" si="44"/>
        <v>-24.109190333956988</v>
      </c>
      <c r="EE29" s="551">
        <f t="shared" si="45"/>
        <v>-5.4032202948665145</v>
      </c>
      <c r="EF29" s="550">
        <f t="shared" si="46"/>
        <v>-14.583765240530838</v>
      </c>
      <c r="EG29" s="561" t="str">
        <f t="shared" si="81"/>
        <v>menor</v>
      </c>
    </row>
    <row r="30" spans="1:137">
      <c r="A30" s="556" t="s">
        <v>107</v>
      </c>
      <c r="B30" s="553">
        <f>'Anuid PF'!O29+'Anuid PF'!P29</f>
        <v>993114.74400000006</v>
      </c>
      <c r="C30" s="553">
        <f>'Anuid PJ'!L28+'Anuid PJ'!M28</f>
        <v>130298.01600000002</v>
      </c>
      <c r="D30" s="553">
        <f>RRT!I27</f>
        <v>544917.83200000005</v>
      </c>
      <c r="E30" s="553">
        <f>'TAXAS E MULTAS.'!C26</f>
        <v>47822.792000000001</v>
      </c>
      <c r="F30" s="554">
        <f t="shared" si="0"/>
        <v>1716153.3840000001</v>
      </c>
      <c r="G30" s="553">
        <v>943700.46799999999</v>
      </c>
      <c r="H30" s="553">
        <v>109201.9</v>
      </c>
      <c r="I30" s="553">
        <v>494659.03200000006</v>
      </c>
      <c r="J30" s="553">
        <v>50768.705999999998</v>
      </c>
      <c r="K30" s="554">
        <f t="shared" si="1"/>
        <v>1598330.1060000001</v>
      </c>
      <c r="L30" s="553">
        <f>'Anuid PF'!Q29+'Anuid PF'!R29</f>
        <v>886869.89600000018</v>
      </c>
      <c r="M30" s="553">
        <f>'Anuid PJ'!N28+'Anuid PJ'!O28</f>
        <v>139458.39199999999</v>
      </c>
      <c r="N30" s="553">
        <f>RRT!J27</f>
        <v>556669.44000000006</v>
      </c>
      <c r="O30" s="553">
        <f>'TAXAS E MULTAS.'!D26</f>
        <v>33525.144</v>
      </c>
      <c r="P30" s="554">
        <f t="shared" si="2"/>
        <v>1616522.8720000002</v>
      </c>
      <c r="Q30" s="553">
        <v>992178.1120000002</v>
      </c>
      <c r="R30" s="562">
        <v>146972.53600000002</v>
      </c>
      <c r="S30" s="553">
        <v>592060.48</v>
      </c>
      <c r="T30" s="553">
        <v>45717.659999999996</v>
      </c>
      <c r="U30" s="554">
        <f t="shared" si="3"/>
        <v>1776928.7880000002</v>
      </c>
      <c r="V30" s="553">
        <f>'Anuid PF'!S29+'Anuid PF'!T29</f>
        <v>500738.79200000002</v>
      </c>
      <c r="W30" s="553">
        <f>'Anuid PJ'!P28+'Anuid PJ'!Q28</f>
        <v>90243.456000000006</v>
      </c>
      <c r="X30" s="553">
        <f>RRT!K27</f>
        <v>538725</v>
      </c>
      <c r="Y30" s="553">
        <f>'TAXAS E MULTAS.'!E26</f>
        <v>38866.096000000005</v>
      </c>
      <c r="Z30" s="554">
        <f t="shared" si="4"/>
        <v>1168573.344</v>
      </c>
      <c r="AA30" s="553">
        <v>393052.98000000004</v>
      </c>
      <c r="AB30" s="562">
        <v>59018.842000000011</v>
      </c>
      <c r="AC30" s="553">
        <v>593500.83200000005</v>
      </c>
      <c r="AD30" s="553">
        <v>31397.219999999998</v>
      </c>
      <c r="AE30" s="554">
        <f t="shared" si="5"/>
        <v>1076969.8740000001</v>
      </c>
      <c r="AF30" s="553">
        <f>'Anuid PF'!U29+'Anuid PF'!V29</f>
        <v>228775.91200000001</v>
      </c>
      <c r="AG30" s="553">
        <f>'Anuid PJ'!R28+'Anuid PJ'!S28</f>
        <v>39225.008000000002</v>
      </c>
      <c r="AH30" s="553">
        <f>RRT!L27</f>
        <v>314145.24</v>
      </c>
      <c r="AI30" s="553">
        <f>'TAXAS E MULTAS.'!F26</f>
        <v>24445.903999999999</v>
      </c>
      <c r="AJ30" s="554">
        <f t="shared" si="6"/>
        <v>606592.06400000001</v>
      </c>
      <c r="AK30" s="553">
        <f t="shared" si="47"/>
        <v>476371.92600000004</v>
      </c>
      <c r="AL30" s="553">
        <f t="shared" si="48"/>
        <v>87413</v>
      </c>
      <c r="AM30" s="553">
        <f t="shared" si="49"/>
        <v>669005.60000000009</v>
      </c>
      <c r="AN30" s="553">
        <f t="shared" si="50"/>
        <v>43909.323999999993</v>
      </c>
      <c r="AO30" s="554">
        <f t="shared" si="8"/>
        <v>1276699.8500000001</v>
      </c>
      <c r="AP30" s="553">
        <f>'Anuid PF'!W29+'Anuid PF'!X29</f>
        <v>208080.90400000001</v>
      </c>
      <c r="AQ30" s="553">
        <f>'Anuid PJ'!T28+'Anuid PJ'!U28</f>
        <v>33667.104000000007</v>
      </c>
      <c r="AR30" s="553">
        <f>RRT!M27</f>
        <v>446652</v>
      </c>
      <c r="AS30" s="553">
        <f>'TAXAS E MULTAS.'!G26</f>
        <v>17703.04</v>
      </c>
      <c r="AT30" s="554">
        <f t="shared" si="9"/>
        <v>706103.04800000007</v>
      </c>
      <c r="AU30" s="553">
        <f t="shared" si="51"/>
        <v>556637.71200000006</v>
      </c>
      <c r="AV30" s="553">
        <f t="shared" si="52"/>
        <v>76737.343999999997</v>
      </c>
      <c r="AW30" s="553">
        <f t="shared" si="53"/>
        <v>720934.08000000007</v>
      </c>
      <c r="AX30" s="553">
        <f t="shared" si="54"/>
        <v>38819.968000000008</v>
      </c>
      <c r="AY30" s="554">
        <f t="shared" si="11"/>
        <v>1393129.1040000003</v>
      </c>
      <c r="AZ30" s="553">
        <f>'Anuid PF'!Y29+'Anuid PF'!Z29</f>
        <v>315731.58400000003</v>
      </c>
      <c r="BA30" s="553">
        <f>'Anuid PJ'!V28+'Anuid PJ'!W28</f>
        <v>49931.871999999996</v>
      </c>
      <c r="BB30" s="553">
        <f>RRT!N27</f>
        <v>527206.07999999996</v>
      </c>
      <c r="BC30" s="553">
        <f>'TAXAS E MULTAS.'!H26</f>
        <v>22149.696000000004</v>
      </c>
      <c r="BD30" s="554">
        <f t="shared" si="12"/>
        <v>915019.23199999996</v>
      </c>
      <c r="BE30" s="553">
        <f t="shared" si="55"/>
        <v>489172.56000000006</v>
      </c>
      <c r="BF30" s="553">
        <f t="shared" si="56"/>
        <v>80891.104000000007</v>
      </c>
      <c r="BG30" s="553">
        <f t="shared" si="57"/>
        <v>591454.01600000006</v>
      </c>
      <c r="BH30" s="553">
        <f t="shared" si="58"/>
        <v>33245.088000000003</v>
      </c>
      <c r="BI30" s="554">
        <f t="shared" si="14"/>
        <v>1194762.7680000002</v>
      </c>
      <c r="BJ30" s="553">
        <f>'Anuid PF'!AA29+'Anuid PF'!AB29</f>
        <v>415912.53600000002</v>
      </c>
      <c r="BK30" s="553">
        <f>'Anuid PJ'!X28+'Anuid PJ'!Y28</f>
        <v>57102.024000000005</v>
      </c>
      <c r="BL30" s="553">
        <f>RRT!O27</f>
        <v>549068.52</v>
      </c>
      <c r="BM30" s="553">
        <f>'TAXAS E MULTAS.'!I26</f>
        <v>29538.544000000002</v>
      </c>
      <c r="BN30" s="554">
        <f t="shared" si="15"/>
        <v>1051621.6240000001</v>
      </c>
      <c r="BO30" s="553">
        <f t="shared" si="59"/>
        <v>199661.19199999998</v>
      </c>
      <c r="BP30" s="553">
        <f t="shared" si="82"/>
        <v>35893.032000000007</v>
      </c>
      <c r="BQ30" s="553">
        <f t="shared" si="83"/>
        <v>735868.25600000005</v>
      </c>
      <c r="BR30" s="553">
        <f t="shared" si="84"/>
        <v>49792.032000000007</v>
      </c>
      <c r="BS30" s="554">
        <f t="shared" si="17"/>
        <v>1021214.512</v>
      </c>
      <c r="BT30" s="553">
        <f>'Anuid PF'!AC29+'Anuid PF'!AD29</f>
        <v>482879.46400000009</v>
      </c>
      <c r="BU30" s="553">
        <f>'Anuid PJ'!Z28+'Anuid PJ'!AA28</f>
        <v>79447.952000000019</v>
      </c>
      <c r="BV30" s="553">
        <f>RRT!P27</f>
        <v>633854.04000000015</v>
      </c>
      <c r="BW30" s="553">
        <f>'TAXAS E MULTAS.'!J26</f>
        <v>36322.584000000003</v>
      </c>
      <c r="BX30" s="554">
        <f t="shared" si="18"/>
        <v>1232504.0400000003</v>
      </c>
      <c r="BY30" s="553">
        <f t="shared" si="60"/>
        <v>154037.61599999998</v>
      </c>
      <c r="BZ30" s="553">
        <f t="shared" si="61"/>
        <v>33934.448000000004</v>
      </c>
      <c r="CA30" s="553">
        <f t="shared" si="62"/>
        <v>716916.25600000005</v>
      </c>
      <c r="CB30" s="553">
        <f t="shared" si="63"/>
        <v>40041.807999999997</v>
      </c>
      <c r="CC30" s="554">
        <f t="shared" si="20"/>
        <v>944930.12800000003</v>
      </c>
      <c r="CD30" s="553">
        <f>'Anuid PF'!AE29+'Anuid PF'!AF29</f>
        <v>235661.408</v>
      </c>
      <c r="CE30" s="553">
        <f>'Anuid PJ'!AB28+'Anuid PJ'!AC28</f>
        <v>31523.928000000004</v>
      </c>
      <c r="CF30" s="553">
        <f>RRT!Q27</f>
        <v>633227.16</v>
      </c>
      <c r="CG30" s="553">
        <f>'TAXAS E MULTAS.'!K26</f>
        <v>41373.880000000005</v>
      </c>
      <c r="CH30" s="554">
        <f t="shared" si="21"/>
        <v>941786.37600000005</v>
      </c>
      <c r="CI30" s="553">
        <f t="shared" si="64"/>
        <v>141081.40000000002</v>
      </c>
      <c r="CJ30" s="553">
        <f t="shared" si="65"/>
        <v>32085.048000000003</v>
      </c>
      <c r="CK30" s="553">
        <f t="shared" si="66"/>
        <v>703195.00800000003</v>
      </c>
      <c r="CL30" s="553">
        <f t="shared" si="67"/>
        <v>34539.552000000003</v>
      </c>
      <c r="CM30" s="554">
        <f t="shared" si="23"/>
        <v>910901.00800000003</v>
      </c>
      <c r="CN30" s="553">
        <f>'Anuid PF'!AG29+'Anuid PF'!AH29</f>
        <v>202786.31199999998</v>
      </c>
      <c r="CO30" s="553">
        <f>'Anuid PJ'!AD28+'Anuid PJ'!AE28</f>
        <v>21532.192000000003</v>
      </c>
      <c r="CP30" s="553">
        <f>RRT!R27</f>
        <v>712135.68000000005</v>
      </c>
      <c r="CQ30" s="553">
        <f>'TAXAS E MULTAS.'!L26</f>
        <v>40667.632000000005</v>
      </c>
      <c r="CR30" s="554">
        <f t="shared" si="24"/>
        <v>977121.81599999999</v>
      </c>
      <c r="CS30" s="553">
        <f t="shared" si="68"/>
        <v>155975.09600000002</v>
      </c>
      <c r="CT30" s="553">
        <f t="shared" si="69"/>
        <v>44132.456000000006</v>
      </c>
      <c r="CU30" s="553">
        <f t="shared" si="70"/>
        <v>784688.60800000001</v>
      </c>
      <c r="CV30" s="553">
        <f t="shared" si="71"/>
        <v>55299.271999999997</v>
      </c>
      <c r="CW30" s="554">
        <f t="shared" si="26"/>
        <v>1040095.432</v>
      </c>
      <c r="CX30" s="553">
        <f>'Anuid PF'!AI29+'Anuid PF'!AJ29</f>
        <v>190287.76</v>
      </c>
      <c r="CY30" s="553">
        <f>'Anuid PJ'!AF28+'Anuid PJ'!AG28</f>
        <v>30636.959999999999</v>
      </c>
      <c r="CZ30" s="553">
        <f>RRT!S27</f>
        <v>628603.92000000004</v>
      </c>
      <c r="DA30" s="553">
        <f>'TAXAS E MULTAS.'!M26</f>
        <v>45341.112000000001</v>
      </c>
      <c r="DB30" s="554">
        <f t="shared" si="27"/>
        <v>894869.75199999998</v>
      </c>
      <c r="DC30" s="553">
        <f t="shared" si="72"/>
        <v>124359.33600000001</v>
      </c>
      <c r="DD30" s="553">
        <f t="shared" si="73"/>
        <v>34328.560000000005</v>
      </c>
      <c r="DE30" s="553">
        <f t="shared" si="74"/>
        <v>683030.08000000007</v>
      </c>
      <c r="DF30" s="553">
        <f t="shared" si="75"/>
        <v>49290.6</v>
      </c>
      <c r="DG30" s="554">
        <f t="shared" si="29"/>
        <v>891008.576</v>
      </c>
      <c r="DH30" s="553">
        <f>'Anuid PF'!AK29+'Anuid PF'!AL29</f>
        <v>276587.79200000002</v>
      </c>
      <c r="DI30" s="553">
        <f>'Anuid PJ'!AH28+'Anuid PJ'!AI28</f>
        <v>29359.696000000004</v>
      </c>
      <c r="DJ30" s="553">
        <f>RRT!T27</f>
        <v>630562.92000000004</v>
      </c>
      <c r="DK30" s="553">
        <f>'TAXAS E MULTAS.'!N26</f>
        <v>52777.376000000004</v>
      </c>
      <c r="DL30" s="554">
        <f t="shared" si="30"/>
        <v>989287.7840000001</v>
      </c>
      <c r="DM30" s="553">
        <f t="shared" si="76"/>
        <v>168548.00800000003</v>
      </c>
      <c r="DN30" s="553">
        <f t="shared" si="77"/>
        <v>44841.976000000002</v>
      </c>
      <c r="DO30" s="553">
        <f t="shared" si="78"/>
        <v>663774.84800000011</v>
      </c>
      <c r="DP30" s="553">
        <f t="shared" si="79"/>
        <v>64479.216000000008</v>
      </c>
      <c r="DQ30" s="552">
        <f t="shared" si="32"/>
        <v>941644.04800000018</v>
      </c>
      <c r="DR30" s="555">
        <f t="shared" si="33"/>
        <v>4937427.1040000003</v>
      </c>
      <c r="DS30" s="553">
        <f t="shared" si="34"/>
        <v>732426.6</v>
      </c>
      <c r="DT30" s="553">
        <f t="shared" si="35"/>
        <v>6715767.8319999995</v>
      </c>
      <c r="DU30" s="553">
        <f t="shared" si="36"/>
        <v>430533.80000000005</v>
      </c>
      <c r="DV30" s="554">
        <f t="shared" si="37"/>
        <v>12816155.335999999</v>
      </c>
      <c r="DW30" s="553">
        <f t="shared" si="80"/>
        <v>4794776.4060000004</v>
      </c>
      <c r="DX30" s="553">
        <f t="shared" si="38"/>
        <v>785450.24600000004</v>
      </c>
      <c r="DY30" s="553">
        <f t="shared" si="39"/>
        <v>7949087.0960000008</v>
      </c>
      <c r="DZ30" s="553">
        <f t="shared" si="40"/>
        <v>537300.446</v>
      </c>
      <c r="EA30" s="552">
        <f t="shared" si="41"/>
        <v>14066614.194000002</v>
      </c>
      <c r="EB30" s="551">
        <f t="shared" si="42"/>
        <v>2.9751272201450831</v>
      </c>
      <c r="EC30" s="551">
        <f t="shared" si="43"/>
        <v>-6.7507326237440708</v>
      </c>
      <c r="ED30" s="551">
        <f t="shared" si="44"/>
        <v>-15.515231486400623</v>
      </c>
      <c r="EE30" s="551">
        <f t="shared" si="45"/>
        <v>-19.870939396167913</v>
      </c>
      <c r="EF30" s="550">
        <f t="shared" si="46"/>
        <v>-8.8895511084207897</v>
      </c>
      <c r="EG30" s="561" t="str">
        <f t="shared" si="81"/>
        <v>menor</v>
      </c>
    </row>
    <row r="31" spans="1:137">
      <c r="A31" s="556" t="s">
        <v>110</v>
      </c>
      <c r="B31" s="553">
        <f>'Anuid PF'!O30+'Anuid PF'!P30</f>
        <v>555976.26400000008</v>
      </c>
      <c r="C31" s="553">
        <f>'Anuid PJ'!L29+'Anuid PJ'!M29</f>
        <v>67505.352000000014</v>
      </c>
      <c r="D31" s="553">
        <f>RRT!I28</f>
        <v>244161.64800000002</v>
      </c>
      <c r="E31" s="553">
        <f>'TAXAS E MULTAS.'!C27</f>
        <v>22701.640000000003</v>
      </c>
      <c r="F31" s="554">
        <f t="shared" si="0"/>
        <v>890344.90400000021</v>
      </c>
      <c r="G31" s="553">
        <v>510582.57600000006</v>
      </c>
      <c r="H31" s="553">
        <v>53775.328000000009</v>
      </c>
      <c r="I31" s="553">
        <v>226567.52000000002</v>
      </c>
      <c r="J31" s="553">
        <v>21853.216</v>
      </c>
      <c r="K31" s="554">
        <f t="shared" si="1"/>
        <v>812778.64000000013</v>
      </c>
      <c r="L31" s="553">
        <f>'Anuid PF'!Q30+'Anuid PF'!R30</f>
        <v>642876.35199999996</v>
      </c>
      <c r="M31" s="553">
        <f>'Anuid PJ'!N29+'Anuid PJ'!O29</f>
        <v>99748.576000000001</v>
      </c>
      <c r="N31" s="553">
        <f>RRT!J28</f>
        <v>328328.40000000002</v>
      </c>
      <c r="O31" s="553">
        <f>'TAXAS E MULTAS.'!D27</f>
        <v>17646.007999999998</v>
      </c>
      <c r="P31" s="554">
        <f t="shared" si="2"/>
        <v>1088599.3359999999</v>
      </c>
      <c r="Q31" s="553">
        <v>653163.95200000005</v>
      </c>
      <c r="R31" s="562">
        <v>94472.088000000003</v>
      </c>
      <c r="S31" s="553">
        <v>336284.288</v>
      </c>
      <c r="T31" s="553">
        <v>17930.16</v>
      </c>
      <c r="U31" s="554">
        <f t="shared" si="3"/>
        <v>1101850.4879999999</v>
      </c>
      <c r="V31" s="553">
        <f>'Anuid PF'!S30+'Anuid PF'!T30</f>
        <v>318345.84000000003</v>
      </c>
      <c r="W31" s="553">
        <f>'Anuid PJ'!P29+'Anuid PJ'!Q29</f>
        <v>47248.632000000005</v>
      </c>
      <c r="X31" s="553">
        <f>RRT!K28</f>
        <v>322294.68</v>
      </c>
      <c r="Y31" s="553">
        <f>'TAXAS E MULTAS.'!E27</f>
        <v>15142.216</v>
      </c>
      <c r="Z31" s="554">
        <f t="shared" si="4"/>
        <v>703031.36800000002</v>
      </c>
      <c r="AA31" s="553">
        <v>272297.43200000003</v>
      </c>
      <c r="AB31" s="562">
        <v>39750.456000000006</v>
      </c>
      <c r="AC31" s="553">
        <v>369488.19200000004</v>
      </c>
      <c r="AD31" s="553">
        <v>15609.272000000001</v>
      </c>
      <c r="AE31" s="554">
        <f t="shared" si="5"/>
        <v>697145.35200000007</v>
      </c>
      <c r="AF31" s="553">
        <f>'Anuid PF'!U30+'Anuid PF'!V30</f>
        <v>158252.33600000001</v>
      </c>
      <c r="AG31" s="553">
        <f>'Anuid PJ'!R29+'Anuid PJ'!S29</f>
        <v>25424.152000000002</v>
      </c>
      <c r="AH31" s="553">
        <f>RRT!L28</f>
        <v>238998</v>
      </c>
      <c r="AI31" s="553">
        <f>'TAXAS E MULTAS.'!F27</f>
        <v>9664.5759999999991</v>
      </c>
      <c r="AJ31" s="554">
        <f t="shared" si="6"/>
        <v>432339.06400000001</v>
      </c>
      <c r="AK31" s="553">
        <f t="shared" si="47"/>
        <v>277453.52</v>
      </c>
      <c r="AL31" s="553">
        <f t="shared" si="48"/>
        <v>39824.616000000009</v>
      </c>
      <c r="AM31" s="553">
        <f t="shared" si="49"/>
        <v>393822.56000000006</v>
      </c>
      <c r="AN31" s="553">
        <f t="shared" si="50"/>
        <v>12963.072</v>
      </c>
      <c r="AO31" s="554">
        <f t="shared" si="8"/>
        <v>724063.76800000016</v>
      </c>
      <c r="AP31" s="553">
        <f>'Anuid PF'!W30+'Anuid PF'!X30</f>
        <v>139011.80800000002</v>
      </c>
      <c r="AQ31" s="553">
        <f>'Anuid PJ'!T29+'Anuid PJ'!U29</f>
        <v>17861.168000000001</v>
      </c>
      <c r="AR31" s="553">
        <f>RRT!M28</f>
        <v>322529.76</v>
      </c>
      <c r="AS31" s="553">
        <f>'TAXAS E MULTAS.'!G27</f>
        <v>9642.4159999999993</v>
      </c>
      <c r="AT31" s="554">
        <f t="shared" si="9"/>
        <v>489045.15200000006</v>
      </c>
      <c r="AU31" s="553">
        <f t="shared" si="51"/>
        <v>342645.20799999998</v>
      </c>
      <c r="AV31" s="553">
        <f t="shared" si="52"/>
        <v>47436.351999999999</v>
      </c>
      <c r="AW31" s="553">
        <f t="shared" si="53"/>
        <v>413608.44800000003</v>
      </c>
      <c r="AX31" s="553">
        <f t="shared" si="54"/>
        <v>15234.776</v>
      </c>
      <c r="AY31" s="554">
        <f t="shared" si="11"/>
        <v>818924.78399999999</v>
      </c>
      <c r="AZ31" s="553">
        <f>'Anuid PF'!Y30+'Anuid PF'!Z30</f>
        <v>209614.88</v>
      </c>
      <c r="BA31" s="553">
        <f>'Anuid PJ'!V29+'Anuid PJ'!W29</f>
        <v>33552.008000000002</v>
      </c>
      <c r="BB31" s="553">
        <f>RRT!N28</f>
        <v>352933.44</v>
      </c>
      <c r="BC31" s="553">
        <f>'TAXAS E MULTAS.'!H27</f>
        <v>14790.656000000003</v>
      </c>
      <c r="BD31" s="554">
        <f t="shared" si="12"/>
        <v>610890.98399999994</v>
      </c>
      <c r="BE31" s="553">
        <f t="shared" si="55"/>
        <v>311830.96000000002</v>
      </c>
      <c r="BF31" s="553">
        <f t="shared" si="56"/>
        <v>44569.64</v>
      </c>
      <c r="BG31" s="553">
        <f t="shared" si="57"/>
        <v>346821.60000000003</v>
      </c>
      <c r="BH31" s="553">
        <f t="shared" si="58"/>
        <v>15471.264000000003</v>
      </c>
      <c r="BI31" s="554">
        <f t="shared" si="14"/>
        <v>718693.46400000004</v>
      </c>
      <c r="BJ31" s="553">
        <f>'Anuid PF'!AA30+'Anuid PF'!AB30</f>
        <v>278712.22400000005</v>
      </c>
      <c r="BK31" s="553">
        <f>'Anuid PJ'!X29+'Anuid PJ'!Y29</f>
        <v>30202.959999999999</v>
      </c>
      <c r="BL31" s="553">
        <f>RRT!O28</f>
        <v>385221.76</v>
      </c>
      <c r="BM31" s="553">
        <f>'TAXAS E MULTAS.'!I27</f>
        <v>14193.432000000001</v>
      </c>
      <c r="BN31" s="554">
        <f t="shared" si="15"/>
        <v>708330.37600000016</v>
      </c>
      <c r="BO31" s="553">
        <f t="shared" si="59"/>
        <v>94839.256000000008</v>
      </c>
      <c r="BP31" s="553">
        <f t="shared" si="82"/>
        <v>14894.16</v>
      </c>
      <c r="BQ31" s="553">
        <f t="shared" si="83"/>
        <v>409363.20000000001</v>
      </c>
      <c r="BR31" s="553">
        <f t="shared" si="84"/>
        <v>15805.152000000002</v>
      </c>
      <c r="BS31" s="554">
        <f t="shared" si="17"/>
        <v>534901.76800000004</v>
      </c>
      <c r="BT31" s="553">
        <f>'Anuid PF'!AC30+'Anuid PF'!AD30</f>
        <v>334331.712</v>
      </c>
      <c r="BU31" s="553">
        <f>'Anuid PJ'!Z29+'Anuid PJ'!AA29</f>
        <v>47740.240000000005</v>
      </c>
      <c r="BV31" s="553">
        <f>RRT!P28</f>
        <v>424162.68</v>
      </c>
      <c r="BW31" s="553">
        <f>'TAXAS E MULTAS.'!J27</f>
        <v>17491.504000000001</v>
      </c>
      <c r="BX31" s="554">
        <f t="shared" si="18"/>
        <v>823726.13599999994</v>
      </c>
      <c r="BY31" s="553">
        <f t="shared" si="60"/>
        <v>80948.84</v>
      </c>
      <c r="BZ31" s="553">
        <f t="shared" si="61"/>
        <v>16702.240000000002</v>
      </c>
      <c r="CA31" s="553">
        <f t="shared" si="62"/>
        <v>404663.10400000005</v>
      </c>
      <c r="CB31" s="553">
        <f t="shared" si="63"/>
        <v>19369.936000000002</v>
      </c>
      <c r="CC31" s="554">
        <f t="shared" si="20"/>
        <v>521684.12000000005</v>
      </c>
      <c r="CD31" s="553">
        <f>'Anuid PF'!AE30+'Anuid PF'!AF30</f>
        <v>133847.984</v>
      </c>
      <c r="CE31" s="553">
        <f>'Anuid PJ'!AB29+'Anuid PJ'!AC29</f>
        <v>13301.335999999999</v>
      </c>
      <c r="CF31" s="553">
        <f>RRT!Q28</f>
        <v>420714.84000000008</v>
      </c>
      <c r="CG31" s="553">
        <f>'TAXAS E MULTAS.'!K27</f>
        <v>26991.728000000003</v>
      </c>
      <c r="CH31" s="554">
        <f t="shared" si="21"/>
        <v>594855.88800000015</v>
      </c>
      <c r="CI31" s="553">
        <f t="shared" si="64"/>
        <v>67726.384000000005</v>
      </c>
      <c r="CJ31" s="553">
        <f t="shared" si="65"/>
        <v>15571.495999999999</v>
      </c>
      <c r="CK31" s="553">
        <f t="shared" si="66"/>
        <v>408605.12000000005</v>
      </c>
      <c r="CL31" s="553">
        <f t="shared" si="67"/>
        <v>14885.28</v>
      </c>
      <c r="CM31" s="554">
        <f t="shared" si="23"/>
        <v>506788.28000000009</v>
      </c>
      <c r="CN31" s="553">
        <f>'Anuid PF'!AG30+'Anuid PF'!AH30</f>
        <v>120291.272</v>
      </c>
      <c r="CO31" s="553">
        <f>'Anuid PJ'!AD29+'Anuid PJ'!AE29</f>
        <v>10839.616000000002</v>
      </c>
      <c r="CP31" s="553">
        <f>RRT!R28</f>
        <v>459424.68</v>
      </c>
      <c r="CQ31" s="553">
        <f>'TAXAS E MULTAS.'!L27</f>
        <v>28090.088000000011</v>
      </c>
      <c r="CR31" s="554">
        <f t="shared" si="24"/>
        <v>618645.65599999996</v>
      </c>
      <c r="CS31" s="553">
        <f t="shared" si="68"/>
        <v>81013.032000000007</v>
      </c>
      <c r="CT31" s="553">
        <f t="shared" si="69"/>
        <v>14771.736000000001</v>
      </c>
      <c r="CU31" s="553">
        <f t="shared" si="70"/>
        <v>428694.24000000005</v>
      </c>
      <c r="CV31" s="553">
        <f t="shared" si="71"/>
        <v>22070.896000000001</v>
      </c>
      <c r="CW31" s="554">
        <f t="shared" si="26"/>
        <v>546549.90399999998</v>
      </c>
      <c r="CX31" s="553">
        <f>'Anuid PF'!AI30+'Anuid PF'!AJ30</f>
        <v>100665.18400000001</v>
      </c>
      <c r="CY31" s="553">
        <f>'Anuid PJ'!AF29+'Anuid PJ'!AG29</f>
        <v>9643.0720000000001</v>
      </c>
      <c r="CZ31" s="553">
        <f>RRT!S28</f>
        <v>398538.96</v>
      </c>
      <c r="DA31" s="553">
        <f>'TAXAS E MULTAS.'!M27</f>
        <v>26978.432000000001</v>
      </c>
      <c r="DB31" s="554">
        <f t="shared" si="27"/>
        <v>535825.64800000004</v>
      </c>
      <c r="DC31" s="553">
        <f t="shared" si="72"/>
        <v>47662.544000000002</v>
      </c>
      <c r="DD31" s="553">
        <f t="shared" si="73"/>
        <v>9878.44</v>
      </c>
      <c r="DE31" s="553">
        <f t="shared" si="74"/>
        <v>385786.91200000001</v>
      </c>
      <c r="DF31" s="553">
        <f t="shared" si="75"/>
        <v>15659.528</v>
      </c>
      <c r="DG31" s="554">
        <f t="shared" si="29"/>
        <v>458987.424</v>
      </c>
      <c r="DH31" s="553">
        <f>'Anuid PF'!AK30+'Anuid PF'!AL30</f>
        <v>106741.40800000002</v>
      </c>
      <c r="DI31" s="553">
        <f>'Anuid PJ'!AH29+'Anuid PJ'!AI29</f>
        <v>15534.536000000002</v>
      </c>
      <c r="DJ31" s="553">
        <f>RRT!T28</f>
        <v>396423.24</v>
      </c>
      <c r="DK31" s="553">
        <f>'TAXAS E MULTAS.'!N27</f>
        <v>27771.512000000002</v>
      </c>
      <c r="DL31" s="554">
        <f t="shared" si="30"/>
        <v>546470.696</v>
      </c>
      <c r="DM31" s="553">
        <f t="shared" si="76"/>
        <v>64456.736000000004</v>
      </c>
      <c r="DN31" s="553">
        <f t="shared" si="77"/>
        <v>12913.184000000001</v>
      </c>
      <c r="DO31" s="553">
        <f t="shared" si="78"/>
        <v>364712.288</v>
      </c>
      <c r="DP31" s="553">
        <f t="shared" si="79"/>
        <v>22824.864000000005</v>
      </c>
      <c r="DQ31" s="552">
        <f t="shared" si="32"/>
        <v>464907.07199999999</v>
      </c>
      <c r="DR31" s="555">
        <f t="shared" si="33"/>
        <v>3098667.2639999995</v>
      </c>
      <c r="DS31" s="553">
        <f t="shared" si="34"/>
        <v>418601.64800000004</v>
      </c>
      <c r="DT31" s="553">
        <f t="shared" si="35"/>
        <v>4293732.0880000005</v>
      </c>
      <c r="DU31" s="553">
        <f t="shared" si="36"/>
        <v>231104.20800000004</v>
      </c>
      <c r="DV31" s="554">
        <f t="shared" si="37"/>
        <v>8042105.2079999996</v>
      </c>
      <c r="DW31" s="553">
        <f t="shared" si="80"/>
        <v>2804620.4400000004</v>
      </c>
      <c r="DX31" s="553">
        <f t="shared" si="38"/>
        <v>404559.73599999998</v>
      </c>
      <c r="DY31" s="553">
        <f t="shared" si="39"/>
        <v>4488417.472000001</v>
      </c>
      <c r="DZ31" s="553">
        <f t="shared" si="40"/>
        <v>209677.416</v>
      </c>
      <c r="EA31" s="552">
        <f t="shared" si="41"/>
        <v>7907275.0640000021</v>
      </c>
      <c r="EB31" s="551">
        <f t="shared" si="42"/>
        <v>10.4843714253184</v>
      </c>
      <c r="EC31" s="551">
        <f t="shared" si="43"/>
        <v>3.470911895196636</v>
      </c>
      <c r="ED31" s="551">
        <f t="shared" si="44"/>
        <v>-4.3375061525471352</v>
      </c>
      <c r="EE31" s="551">
        <f t="shared" si="45"/>
        <v>10.218931732733694</v>
      </c>
      <c r="EF31" s="550">
        <f t="shared" si="46"/>
        <v>1.7051404296512658</v>
      </c>
      <c r="EG31" s="561" t="str">
        <f t="shared" si="81"/>
        <v>MAIOR</v>
      </c>
    </row>
    <row r="32" spans="1:137">
      <c r="A32" s="556" t="s">
        <v>112</v>
      </c>
      <c r="B32" s="553">
        <f>'Anuid PF'!O31+'Anuid PF'!P31</f>
        <v>64055.720000000008</v>
      </c>
      <c r="C32" s="553">
        <f>'Anuid PJ'!L30+'Anuid PJ'!M30</f>
        <v>7621.0560000000005</v>
      </c>
      <c r="D32" s="553">
        <f>RRT!I29</f>
        <v>47771.528000000006</v>
      </c>
      <c r="E32" s="553">
        <f>'TAXAS E MULTAS.'!C28</f>
        <v>4694.9279999999999</v>
      </c>
      <c r="F32" s="554">
        <f t="shared" si="0"/>
        <v>124143.23200000002</v>
      </c>
      <c r="G32" s="553">
        <v>51984.864000000001</v>
      </c>
      <c r="H32" s="553">
        <v>8344.0480000000007</v>
      </c>
      <c r="I32" s="553">
        <v>35138.576000000001</v>
      </c>
      <c r="J32" s="553">
        <v>3455.4320000000007</v>
      </c>
      <c r="K32" s="554">
        <f t="shared" si="1"/>
        <v>98922.920000000013</v>
      </c>
      <c r="L32" s="553">
        <f>'Anuid PF'!Q31+'Anuid PF'!R31</f>
        <v>61769.504000000001</v>
      </c>
      <c r="M32" s="553">
        <f>'Anuid PJ'!N30+'Anuid PJ'!O30</f>
        <v>6467.3840000000009</v>
      </c>
      <c r="N32" s="553">
        <f>RRT!J29</f>
        <v>40825.56</v>
      </c>
      <c r="O32" s="553">
        <f>'TAXAS E MULTAS.'!D28</f>
        <v>4659.9920000000002</v>
      </c>
      <c r="P32" s="554">
        <f t="shared" si="2"/>
        <v>113722.44</v>
      </c>
      <c r="Q32" s="553">
        <v>82033.416000000012</v>
      </c>
      <c r="R32" s="562">
        <v>8289.7520000000004</v>
      </c>
      <c r="S32" s="553">
        <v>44120.256000000001</v>
      </c>
      <c r="T32" s="553">
        <v>4697.2960000000003</v>
      </c>
      <c r="U32" s="554">
        <f t="shared" si="3"/>
        <v>139140.72</v>
      </c>
      <c r="V32" s="553">
        <f>'Anuid PF'!S31+'Anuid PF'!T31</f>
        <v>40872.128000000004</v>
      </c>
      <c r="W32" s="553">
        <f>'Anuid PJ'!P30+'Anuid PJ'!Q30</f>
        <v>5682.2080000000005</v>
      </c>
      <c r="X32" s="553">
        <f>RRT!K29</f>
        <v>41452.44</v>
      </c>
      <c r="Y32" s="553">
        <f>'TAXAS E MULTAS.'!E28</f>
        <v>3558.9360000000001</v>
      </c>
      <c r="Z32" s="554">
        <f t="shared" si="4"/>
        <v>91565.712000000014</v>
      </c>
      <c r="AA32" s="553">
        <v>38759.648000000001</v>
      </c>
      <c r="AB32" s="562">
        <v>2219.4639999999999</v>
      </c>
      <c r="AC32" s="553">
        <v>35553.952000000005</v>
      </c>
      <c r="AD32" s="553">
        <v>4276.0560000000005</v>
      </c>
      <c r="AE32" s="554">
        <f t="shared" si="5"/>
        <v>80809.12000000001</v>
      </c>
      <c r="AF32" s="553">
        <f>'Anuid PF'!U31+'Anuid PF'!V31</f>
        <v>22138.84</v>
      </c>
      <c r="AG32" s="553">
        <f>'Anuid PJ'!R30+'Anuid PJ'!S30</f>
        <v>1078.144</v>
      </c>
      <c r="AH32" s="553">
        <f>RRT!L29</f>
        <v>28601.4</v>
      </c>
      <c r="AI32" s="553">
        <f>'TAXAS E MULTAS.'!F28</f>
        <v>2073.8240000000001</v>
      </c>
      <c r="AJ32" s="554">
        <f t="shared" si="6"/>
        <v>53892.208000000006</v>
      </c>
      <c r="AK32" s="553">
        <f t="shared" si="47"/>
        <v>39160.896000000001</v>
      </c>
      <c r="AL32" s="553">
        <f t="shared" si="48"/>
        <v>3703.1440000000002</v>
      </c>
      <c r="AM32" s="553">
        <f t="shared" si="49"/>
        <v>42376.671999999999</v>
      </c>
      <c r="AN32" s="553">
        <f t="shared" si="50"/>
        <v>4167.6480000000001</v>
      </c>
      <c r="AO32" s="554">
        <f t="shared" si="8"/>
        <v>89408.36</v>
      </c>
      <c r="AP32" s="553">
        <f>'Anuid PF'!W31+'Anuid PF'!X31</f>
        <v>18006.88</v>
      </c>
      <c r="AQ32" s="553">
        <f>'Anuid PJ'!T30+'Anuid PJ'!U30</f>
        <v>1644.8560000000002</v>
      </c>
      <c r="AR32" s="553">
        <f>RRT!M29</f>
        <v>27739.440000000002</v>
      </c>
      <c r="AS32" s="553">
        <f>'TAXAS E MULTAS.'!G28</f>
        <v>1719.0239999999999</v>
      </c>
      <c r="AT32" s="554">
        <f t="shared" si="9"/>
        <v>49110.200000000004</v>
      </c>
      <c r="AU32" s="553">
        <f t="shared" si="51"/>
        <v>44922.296000000002</v>
      </c>
      <c r="AV32" s="553">
        <f t="shared" si="52"/>
        <v>2305.576</v>
      </c>
      <c r="AW32" s="553">
        <f t="shared" si="53"/>
        <v>52534.943999999996</v>
      </c>
      <c r="AX32" s="553">
        <f t="shared" si="54"/>
        <v>3257.6080000000006</v>
      </c>
      <c r="AY32" s="554">
        <f t="shared" si="11"/>
        <v>103020.424</v>
      </c>
      <c r="AZ32" s="553">
        <f>'Anuid PF'!Y31+'Anuid PF'!Z31</f>
        <v>34282.536</v>
      </c>
      <c r="BA32" s="553">
        <f>'Anuid PJ'!V30+'Anuid PJ'!W30</f>
        <v>2446.1840000000002</v>
      </c>
      <c r="BB32" s="553">
        <f>RRT!N29</f>
        <v>36515.760000000002</v>
      </c>
      <c r="BC32" s="553">
        <f>'TAXAS E MULTAS.'!H28</f>
        <v>3492.4560000000001</v>
      </c>
      <c r="BD32" s="554">
        <f t="shared" si="12"/>
        <v>76736.936000000016</v>
      </c>
      <c r="BE32" s="553">
        <f t="shared" si="55"/>
        <v>44955.928</v>
      </c>
      <c r="BF32" s="553">
        <f t="shared" si="56"/>
        <v>5422.3200000000006</v>
      </c>
      <c r="BG32" s="553">
        <f t="shared" si="57"/>
        <v>40254.048000000003</v>
      </c>
      <c r="BH32" s="553">
        <f t="shared" si="58"/>
        <v>3608.2080000000001</v>
      </c>
      <c r="BI32" s="554">
        <f t="shared" si="14"/>
        <v>94240.504000000001</v>
      </c>
      <c r="BJ32" s="553">
        <f>'Anuid PF'!AA31+'Anuid PF'!AB31</f>
        <v>60432.463999999993</v>
      </c>
      <c r="BK32" s="553">
        <f>'Anuid PJ'!X30+'Anuid PJ'!Y30</f>
        <v>2720.5679999999998</v>
      </c>
      <c r="BL32" s="553">
        <f>RRT!O29</f>
        <v>44978.640000000007</v>
      </c>
      <c r="BM32" s="553">
        <f>'TAXAS E MULTAS.'!I28</f>
        <v>4263.6719999999996</v>
      </c>
      <c r="BN32" s="554">
        <f t="shared" si="15"/>
        <v>112395.344</v>
      </c>
      <c r="BO32" s="553">
        <f t="shared" si="59"/>
        <v>18295.32</v>
      </c>
      <c r="BP32" s="553">
        <f t="shared" si="82"/>
        <v>2314.7919999999999</v>
      </c>
      <c r="BQ32" s="553">
        <f t="shared" si="83"/>
        <v>44120.256000000001</v>
      </c>
      <c r="BR32" s="553">
        <f t="shared" si="84"/>
        <v>3954.3120000000008</v>
      </c>
      <c r="BS32" s="554">
        <f t="shared" si="17"/>
        <v>68684.680000000008</v>
      </c>
      <c r="BT32" s="553">
        <f>'Anuid PF'!AC31+'Anuid PF'!AD31</f>
        <v>56919.472000000002</v>
      </c>
      <c r="BU32" s="553">
        <f>'Anuid PJ'!Z30+'Anuid PJ'!AA30</f>
        <v>3085.24</v>
      </c>
      <c r="BV32" s="553">
        <f>RRT!P29</f>
        <v>45292.08</v>
      </c>
      <c r="BW32" s="553">
        <f>'TAXAS E MULTAS.'!J28</f>
        <v>6630.8480000000009</v>
      </c>
      <c r="BX32" s="554">
        <f t="shared" si="18"/>
        <v>111927.64</v>
      </c>
      <c r="BY32" s="553">
        <f t="shared" si="60"/>
        <v>12089.328000000001</v>
      </c>
      <c r="BZ32" s="553">
        <f t="shared" si="61"/>
        <v>1679.28</v>
      </c>
      <c r="CA32" s="553">
        <f t="shared" si="62"/>
        <v>48289.696000000004</v>
      </c>
      <c r="CB32" s="553">
        <f t="shared" si="63"/>
        <v>2840.6480000000001</v>
      </c>
      <c r="CC32" s="554">
        <f t="shared" si="20"/>
        <v>64898.952000000005</v>
      </c>
      <c r="CD32" s="553">
        <f>'Anuid PF'!AE31+'Anuid PF'!AF31</f>
        <v>29207.879999999997</v>
      </c>
      <c r="CE32" s="553">
        <f>'Anuid PJ'!AB30+'Anuid PJ'!AC30</f>
        <v>1810.04</v>
      </c>
      <c r="CF32" s="553">
        <f>RRT!Q29</f>
        <v>51560.880000000005</v>
      </c>
      <c r="CG32" s="553">
        <f>'TAXAS E MULTAS.'!K28</f>
        <v>5975.648000000001</v>
      </c>
      <c r="CH32" s="554">
        <f t="shared" si="21"/>
        <v>88554.448000000004</v>
      </c>
      <c r="CI32" s="553">
        <f t="shared" si="64"/>
        <v>13100.560000000001</v>
      </c>
      <c r="CJ32" s="553">
        <f t="shared" si="65"/>
        <v>1149.5280000000002</v>
      </c>
      <c r="CK32" s="553">
        <f t="shared" si="66"/>
        <v>46470.304000000004</v>
      </c>
      <c r="CL32" s="553">
        <f t="shared" si="67"/>
        <v>2385.808</v>
      </c>
      <c r="CM32" s="554">
        <f t="shared" si="23"/>
        <v>63106.200000000004</v>
      </c>
      <c r="CN32" s="553">
        <f>'Anuid PF'!AG31+'Anuid PF'!AH31</f>
        <v>25870.080000000005</v>
      </c>
      <c r="CO32" s="553">
        <f>'Anuid PJ'!AD30+'Anuid PJ'!AE30</f>
        <v>1617.3040000000001</v>
      </c>
      <c r="CP32" s="553">
        <f>RRT!R29</f>
        <v>59945.4</v>
      </c>
      <c r="CQ32" s="553">
        <f>'TAXAS E MULTAS.'!L28</f>
        <v>7528.4720000000016</v>
      </c>
      <c r="CR32" s="554">
        <f t="shared" si="24"/>
        <v>94961.256000000023</v>
      </c>
      <c r="CS32" s="553">
        <f t="shared" si="68"/>
        <v>12590.400000000001</v>
      </c>
      <c r="CT32" s="553">
        <f t="shared" si="69"/>
        <v>1401.9839999999999</v>
      </c>
      <c r="CU32" s="553">
        <f t="shared" si="70"/>
        <v>44726.720000000001</v>
      </c>
      <c r="CV32" s="553">
        <f t="shared" si="71"/>
        <v>4246.2480000000005</v>
      </c>
      <c r="CW32" s="554">
        <f t="shared" si="26"/>
        <v>62965.352000000006</v>
      </c>
      <c r="CX32" s="553">
        <f>'Anuid PF'!AI31+'Anuid PF'!AJ31</f>
        <v>23796.640000000007</v>
      </c>
      <c r="CY32" s="553">
        <f>'Anuid PJ'!AF30+'Anuid PJ'!AG30</f>
        <v>1098.008</v>
      </c>
      <c r="CZ32" s="553">
        <f>RRT!S29</f>
        <v>51169.08</v>
      </c>
      <c r="DA32" s="553">
        <f>'TAXAS E MULTAS.'!M28</f>
        <v>7383.1200000000008</v>
      </c>
      <c r="DB32" s="554">
        <f t="shared" si="27"/>
        <v>83446.847999999998</v>
      </c>
      <c r="DC32" s="553">
        <f t="shared" si="72"/>
        <v>9776.0879999999997</v>
      </c>
      <c r="DD32" s="553">
        <f t="shared" si="73"/>
        <v>1690.3280000000002</v>
      </c>
      <c r="DE32" s="553">
        <f t="shared" si="74"/>
        <v>39420.160000000003</v>
      </c>
      <c r="DF32" s="553">
        <f t="shared" si="75"/>
        <v>3459.5600000000004</v>
      </c>
      <c r="DG32" s="554">
        <f t="shared" si="29"/>
        <v>54346.135999999999</v>
      </c>
      <c r="DH32" s="553">
        <f>'Anuid PF'!AK31+'Anuid PF'!AL31</f>
        <v>21338.800000000003</v>
      </c>
      <c r="DI32" s="553">
        <f>'Anuid PJ'!AH30+'Anuid PJ'!AI30</f>
        <v>1599.7280000000001</v>
      </c>
      <c r="DJ32" s="553">
        <f>RRT!T29</f>
        <v>47407.8</v>
      </c>
      <c r="DK32" s="553">
        <f>'TAXAS E MULTAS.'!N28</f>
        <v>5616.2080000000005</v>
      </c>
      <c r="DL32" s="554">
        <f t="shared" si="30"/>
        <v>75962.536000000007</v>
      </c>
      <c r="DM32" s="553">
        <f t="shared" si="76"/>
        <v>12702.112000000001</v>
      </c>
      <c r="DN32" s="553">
        <f t="shared" si="77"/>
        <v>681.50400000000002</v>
      </c>
      <c r="DO32" s="553">
        <f t="shared" si="78"/>
        <v>40329.856</v>
      </c>
      <c r="DP32" s="553">
        <f t="shared" si="79"/>
        <v>3617.7840000000001</v>
      </c>
      <c r="DQ32" s="552">
        <f t="shared" si="32"/>
        <v>57331.256000000001</v>
      </c>
      <c r="DR32" s="555">
        <f t="shared" si="33"/>
        <v>458690.94400000002</v>
      </c>
      <c r="DS32" s="553">
        <f t="shared" si="34"/>
        <v>36870.720000000001</v>
      </c>
      <c r="DT32" s="553">
        <f t="shared" si="35"/>
        <v>523260.00800000009</v>
      </c>
      <c r="DU32" s="553">
        <f t="shared" si="36"/>
        <v>57597.128000000012</v>
      </c>
      <c r="DV32" s="554">
        <f t="shared" si="37"/>
        <v>1076418.8</v>
      </c>
      <c r="DW32" s="553">
        <f t="shared" si="80"/>
        <v>380370.85600000003</v>
      </c>
      <c r="DX32" s="553">
        <f t="shared" si="38"/>
        <v>39201.72</v>
      </c>
      <c r="DY32" s="553">
        <f t="shared" si="39"/>
        <v>513335.44000000006</v>
      </c>
      <c r="DZ32" s="553">
        <f t="shared" si="40"/>
        <v>43966.608</v>
      </c>
      <c r="EA32" s="552">
        <f t="shared" si="41"/>
        <v>976874.62400000007</v>
      </c>
      <c r="EB32" s="551">
        <f t="shared" si="42"/>
        <v>20.590454490551195</v>
      </c>
      <c r="EC32" s="551">
        <f t="shared" si="43"/>
        <v>-5.9461676681533362</v>
      </c>
      <c r="ED32" s="551">
        <f t="shared" si="44"/>
        <v>1.9333494683320538</v>
      </c>
      <c r="EE32" s="551">
        <f t="shared" si="45"/>
        <v>31.00198223160632</v>
      </c>
      <c r="EF32" s="550">
        <f t="shared" si="46"/>
        <v>10.190066724468423</v>
      </c>
      <c r="EG32" s="561" t="str">
        <f t="shared" si="81"/>
        <v>MAIOR</v>
      </c>
    </row>
    <row r="33" spans="1:137">
      <c r="A33" s="556" t="s">
        <v>111</v>
      </c>
      <c r="B33" s="553">
        <f>'Anuid PF'!O32+'Anuid PF'!P32</f>
        <v>4004366.4400000004</v>
      </c>
      <c r="C33" s="553">
        <f>'Anuid PJ'!L31+'Anuid PJ'!M31</f>
        <v>456098.39200000005</v>
      </c>
      <c r="D33" s="553">
        <f>RRT!I30</f>
        <v>1756131.4960000003</v>
      </c>
      <c r="E33" s="553">
        <f>'TAXAS E MULTAS.'!C29</f>
        <v>215271.36400000006</v>
      </c>
      <c r="F33" s="554">
        <f t="shared" si="0"/>
        <v>6431867.6920000007</v>
      </c>
      <c r="G33" s="553">
        <v>3435041.852</v>
      </c>
      <c r="H33" s="553">
        <v>345179.19800000003</v>
      </c>
      <c r="I33" s="553">
        <v>1587301.6320000002</v>
      </c>
      <c r="J33" s="553">
        <v>162710.04800000001</v>
      </c>
      <c r="K33" s="554">
        <f t="shared" si="1"/>
        <v>5530232.7300000004</v>
      </c>
      <c r="L33" s="553">
        <f>'Anuid PF'!Q32+'Anuid PF'!R32</f>
        <v>3423086.4880000008</v>
      </c>
      <c r="M33" s="553">
        <f>'Anuid PJ'!N31+'Anuid PJ'!O31</f>
        <v>522985.43200000003</v>
      </c>
      <c r="N33" s="553">
        <f>RRT!J30</f>
        <v>1895763.4800000002</v>
      </c>
      <c r="O33" s="553">
        <f>'TAXAS E MULTAS.'!D29</f>
        <v>175661.73</v>
      </c>
      <c r="P33" s="554">
        <f t="shared" si="2"/>
        <v>6017497.1300000018</v>
      </c>
      <c r="Q33" s="553">
        <v>3268748.0960000004</v>
      </c>
      <c r="R33" s="562">
        <v>489062.82400000002</v>
      </c>
      <c r="S33" s="553">
        <v>1947431.7120000003</v>
      </c>
      <c r="T33" s="553">
        <v>143333.80199999997</v>
      </c>
      <c r="U33" s="554">
        <f t="shared" si="3"/>
        <v>5848576.4340000013</v>
      </c>
      <c r="V33" s="553">
        <f>'Anuid PF'!S32+'Anuid PF'!T32</f>
        <v>1977502.8640000001</v>
      </c>
      <c r="W33" s="553">
        <f>'Anuid PJ'!P31+'Anuid PJ'!Q31</f>
        <v>273268.712</v>
      </c>
      <c r="X33" s="553">
        <f>RRT!K30</f>
        <v>1992773.1600000001</v>
      </c>
      <c r="Y33" s="553">
        <f>'TAXAS E MULTAS.'!E29</f>
        <v>163064.07399999999</v>
      </c>
      <c r="Z33" s="554">
        <f t="shared" si="4"/>
        <v>4406608.8099999996</v>
      </c>
      <c r="AA33" s="553">
        <v>1393845.216</v>
      </c>
      <c r="AB33" s="562">
        <v>175153.96800000002</v>
      </c>
      <c r="AC33" s="553">
        <v>1963954.64</v>
      </c>
      <c r="AD33" s="553">
        <v>107251.92800000001</v>
      </c>
      <c r="AE33" s="554">
        <f t="shared" si="5"/>
        <v>3640205.7519999999</v>
      </c>
      <c r="AF33" s="553">
        <f>'Anuid PF'!U32+'Anuid PF'!V32</f>
        <v>957099.91200000001</v>
      </c>
      <c r="AG33" s="553">
        <f>'Anuid PJ'!R31+'Anuid PJ'!S31</f>
        <v>120574.66400000002</v>
      </c>
      <c r="AH33" s="553">
        <f>RRT!L30</f>
        <v>1007239.4400000001</v>
      </c>
      <c r="AI33" s="553">
        <f>'TAXAS E MULTAS.'!F29</f>
        <v>91893.760000000009</v>
      </c>
      <c r="AJ33" s="554">
        <f t="shared" si="6"/>
        <v>2176807.7760000005</v>
      </c>
      <c r="AK33" s="553">
        <f t="shared" si="47"/>
        <v>1563323.672</v>
      </c>
      <c r="AL33" s="553">
        <f t="shared" si="48"/>
        <v>181619.74400000001</v>
      </c>
      <c r="AM33" s="553">
        <f t="shared" si="49"/>
        <v>2277499.7440000004</v>
      </c>
      <c r="AN33" s="553">
        <f t="shared" si="50"/>
        <v>124562.41240000002</v>
      </c>
      <c r="AO33" s="554">
        <f t="shared" si="8"/>
        <v>4147005.5723999999</v>
      </c>
      <c r="AP33" s="553">
        <f>'Anuid PF'!W32+'Anuid PF'!X32</f>
        <v>809345.52</v>
      </c>
      <c r="AQ33" s="553">
        <f>'Anuid PJ'!T31+'Anuid PJ'!U31</f>
        <v>98545.944000000003</v>
      </c>
      <c r="AR33" s="553">
        <f>RRT!M30</f>
        <v>1204236.4800000002</v>
      </c>
      <c r="AS33" s="553">
        <f>'TAXAS E MULTAS.'!G29</f>
        <v>83124.637999999992</v>
      </c>
      <c r="AT33" s="554">
        <f t="shared" si="9"/>
        <v>2195252.5819999999</v>
      </c>
      <c r="AU33" s="553">
        <f t="shared" si="51"/>
        <v>1908792.6320000002</v>
      </c>
      <c r="AV33" s="553">
        <f t="shared" si="52"/>
        <v>207353.592</v>
      </c>
      <c r="AW33" s="553">
        <f t="shared" si="53"/>
        <v>2480130.4960000003</v>
      </c>
      <c r="AX33" s="553">
        <f t="shared" si="54"/>
        <v>131946.22000000003</v>
      </c>
      <c r="AY33" s="554">
        <f t="shared" si="11"/>
        <v>4728222.9400000004</v>
      </c>
      <c r="AZ33" s="553">
        <f>'Anuid PF'!Y32+'Anuid PF'!Z32</f>
        <v>1187961.7920000001</v>
      </c>
      <c r="BA33" s="553">
        <f>'Anuid PJ'!V31+'Anuid PJ'!W31</f>
        <v>145293.99200000003</v>
      </c>
      <c r="BB33" s="553">
        <f>RRT!N30</f>
        <v>1710833.8800000001</v>
      </c>
      <c r="BC33" s="553">
        <f>'TAXAS E MULTAS.'!H29</f>
        <v>115013.57800000001</v>
      </c>
      <c r="BD33" s="554">
        <f t="shared" si="12"/>
        <v>3159103.2420000006</v>
      </c>
      <c r="BE33" s="553">
        <f t="shared" si="55"/>
        <v>1482304.1520000002</v>
      </c>
      <c r="BF33" s="553">
        <f t="shared" si="56"/>
        <v>180189.52000000002</v>
      </c>
      <c r="BG33" s="553">
        <f t="shared" si="57"/>
        <v>2000042.4640000002</v>
      </c>
      <c r="BH33" s="553">
        <f t="shared" si="58"/>
        <v>117204.36599999998</v>
      </c>
      <c r="BI33" s="554">
        <f t="shared" si="14"/>
        <v>3779740.5020000003</v>
      </c>
      <c r="BJ33" s="553">
        <f>'Anuid PF'!AA32+'Anuid PF'!AB32</f>
        <v>1651054.4079999998</v>
      </c>
      <c r="BK33" s="553">
        <f>'Anuid PJ'!X31+'Anuid PJ'!Y31</f>
        <v>159619.94400000002</v>
      </c>
      <c r="BL33" s="553">
        <f>RRT!O30</f>
        <v>2136798.84</v>
      </c>
      <c r="BM33" s="553">
        <f>'TAXAS E MULTAS.'!I29</f>
        <v>167383.5</v>
      </c>
      <c r="BN33" s="554">
        <f t="shared" si="15"/>
        <v>4114856.6919999998</v>
      </c>
      <c r="BO33" s="553">
        <f t="shared" si="59"/>
        <v>1148824.672</v>
      </c>
      <c r="BP33" s="553">
        <f t="shared" si="82"/>
        <v>163279.592</v>
      </c>
      <c r="BQ33" s="553">
        <f t="shared" si="83"/>
        <v>2327836.2560000001</v>
      </c>
      <c r="BR33" s="553">
        <f t="shared" si="84"/>
        <v>292292.90000000002</v>
      </c>
      <c r="BS33" s="554">
        <f t="shared" si="17"/>
        <v>3932233.42</v>
      </c>
      <c r="BT33" s="553">
        <f>'Anuid PF'!AC32+'Anuid PF'!AD32</f>
        <v>1596054.9840000002</v>
      </c>
      <c r="BU33" s="553">
        <f>'Anuid PJ'!Z31+'Anuid PJ'!AA31</f>
        <v>191976.32000000001</v>
      </c>
      <c r="BV33" s="553">
        <f>RRT!P30</f>
        <v>2246267.2000000002</v>
      </c>
      <c r="BW33" s="553">
        <f>'TAXAS E MULTAS.'!J29</f>
        <v>173812.962</v>
      </c>
      <c r="BX33" s="554">
        <f t="shared" si="18"/>
        <v>4208111.4660000009</v>
      </c>
      <c r="BY33" s="553">
        <f t="shared" si="60"/>
        <v>1032362.704</v>
      </c>
      <c r="BZ33" s="553">
        <f t="shared" si="61"/>
        <v>176234.85599999997</v>
      </c>
      <c r="CA33" s="553">
        <f t="shared" si="62"/>
        <v>2392197.2480000001</v>
      </c>
      <c r="CB33" s="553">
        <f t="shared" si="63"/>
        <v>287944.652</v>
      </c>
      <c r="CC33" s="554">
        <f t="shared" si="20"/>
        <v>3888739.46</v>
      </c>
      <c r="CD33" s="553">
        <f>'Anuid PF'!AE32+'Anuid PF'!AF32</f>
        <v>860750.4879999999</v>
      </c>
      <c r="CE33" s="553">
        <f>'Anuid PJ'!AB31+'Anuid PJ'!AC31</f>
        <v>94390.648000000001</v>
      </c>
      <c r="CF33" s="553">
        <f>RRT!Q30</f>
        <v>2268992.16</v>
      </c>
      <c r="CG33" s="553">
        <f>'TAXAS E MULTAS.'!K29</f>
        <v>210014.35400000005</v>
      </c>
      <c r="CH33" s="554">
        <f t="shared" si="21"/>
        <v>3434147.6500000004</v>
      </c>
      <c r="CI33" s="553">
        <f t="shared" si="64"/>
        <v>837569.80799999996</v>
      </c>
      <c r="CJ33" s="553">
        <f t="shared" si="65"/>
        <v>137997.272</v>
      </c>
      <c r="CK33" s="553">
        <f t="shared" si="66"/>
        <v>2278409.44</v>
      </c>
      <c r="CL33" s="553">
        <f t="shared" si="67"/>
        <v>243094.64800000004</v>
      </c>
      <c r="CM33" s="554">
        <f t="shared" si="23"/>
        <v>3497071.1680000001</v>
      </c>
      <c r="CN33" s="553">
        <f>'Anuid PF'!AG32+'Anuid PF'!AH32</f>
        <v>829089.28000000003</v>
      </c>
      <c r="CO33" s="553">
        <f>'Anuid PJ'!AD31+'Anuid PJ'!AE31</f>
        <v>87491.263999999996</v>
      </c>
      <c r="CP33" s="553">
        <f>RRT!R30</f>
        <v>2507441.64</v>
      </c>
      <c r="CQ33" s="553">
        <f>'TAXAS E MULTAS.'!L29</f>
        <v>221841.60400000005</v>
      </c>
      <c r="CR33" s="554">
        <f t="shared" si="24"/>
        <v>3645863.7880000006</v>
      </c>
      <c r="CS33" s="553">
        <f t="shared" si="68"/>
        <v>812434.18400000012</v>
      </c>
      <c r="CT33" s="553">
        <f t="shared" si="69"/>
        <v>126494.77600000001</v>
      </c>
      <c r="CU33" s="553">
        <f t="shared" si="70"/>
        <v>2411300.8640000001</v>
      </c>
      <c r="CV33" s="553">
        <f t="shared" si="71"/>
        <v>271763.88199999998</v>
      </c>
      <c r="CW33" s="554">
        <f t="shared" si="26"/>
        <v>3621993.7060000002</v>
      </c>
      <c r="CX33" s="553">
        <f>'Anuid PF'!AI32+'Anuid PF'!AJ32</f>
        <v>679071.18400000001</v>
      </c>
      <c r="CY33" s="553">
        <f>'Anuid PJ'!AF31+'Anuid PJ'!AG31</f>
        <v>79410.312000000005</v>
      </c>
      <c r="CZ33" s="553">
        <f>RRT!S30</f>
        <v>2160820.9760000003</v>
      </c>
      <c r="DA33" s="553">
        <f>'TAXAS E MULTAS.'!M29</f>
        <v>207006.27</v>
      </c>
      <c r="DB33" s="554">
        <f t="shared" si="27"/>
        <v>3126308.7420000001</v>
      </c>
      <c r="DC33" s="553">
        <f t="shared" si="72"/>
        <v>722146.76800000004</v>
      </c>
      <c r="DD33" s="553">
        <f t="shared" si="73"/>
        <v>120155.152</v>
      </c>
      <c r="DE33" s="553">
        <f t="shared" si="74"/>
        <v>1986851.872</v>
      </c>
      <c r="DF33" s="553">
        <f t="shared" si="75"/>
        <v>239727.50400000002</v>
      </c>
      <c r="DG33" s="554">
        <f t="shared" si="29"/>
        <v>3068881.2960000001</v>
      </c>
      <c r="DH33" s="553">
        <f>'Anuid PF'!AK32+'Anuid PF'!AL32</f>
        <v>709770.59199999995</v>
      </c>
      <c r="DI33" s="553">
        <f>'Anuid PJ'!AH31+'Anuid PJ'!AI31</f>
        <v>96007.472000000009</v>
      </c>
      <c r="DJ33" s="553">
        <f>RRT!T30</f>
        <v>2086570.08</v>
      </c>
      <c r="DK33" s="553">
        <f>'TAXAS E MULTAS.'!N29</f>
        <v>203150.78199999998</v>
      </c>
      <c r="DL33" s="554">
        <f t="shared" si="30"/>
        <v>3095498.9260000004</v>
      </c>
      <c r="DM33" s="553">
        <f t="shared" si="76"/>
        <v>902822.10400000005</v>
      </c>
      <c r="DN33" s="553">
        <f t="shared" si="77"/>
        <v>133409.704</v>
      </c>
      <c r="DO33" s="553">
        <f t="shared" si="78"/>
        <v>1860025.088</v>
      </c>
      <c r="DP33" s="553">
        <f t="shared" si="79"/>
        <v>306225.80600000004</v>
      </c>
      <c r="DQ33" s="552">
        <f t="shared" si="32"/>
        <v>3202482.702</v>
      </c>
      <c r="DR33" s="555">
        <f t="shared" si="33"/>
        <v>18685153.952</v>
      </c>
      <c r="DS33" s="553">
        <f t="shared" si="34"/>
        <v>2325663.0960000004</v>
      </c>
      <c r="DT33" s="553">
        <f t="shared" si="35"/>
        <v>22973868.832000002</v>
      </c>
      <c r="DU33" s="553">
        <f t="shared" si="36"/>
        <v>2027238.6160000002</v>
      </c>
      <c r="DV33" s="554">
        <f t="shared" si="37"/>
        <v>46011924.495999999</v>
      </c>
      <c r="DW33" s="553">
        <f t="shared" si="80"/>
        <v>18508215.859999999</v>
      </c>
      <c r="DX33" s="553">
        <f t="shared" si="38"/>
        <v>2436130.1979999999</v>
      </c>
      <c r="DY33" s="553">
        <f t="shared" si="39"/>
        <v>25512981.456</v>
      </c>
      <c r="DZ33" s="553">
        <f t="shared" si="40"/>
        <v>2428058.1683999998</v>
      </c>
      <c r="EA33" s="552">
        <f t="shared" si="41"/>
        <v>48885385.682399996</v>
      </c>
      <c r="EB33" s="551">
        <f t="shared" si="42"/>
        <v>0.95599755988583013</v>
      </c>
      <c r="EC33" s="551">
        <f t="shared" si="43"/>
        <v>-4.5345319429433601</v>
      </c>
      <c r="ED33" s="551">
        <f t="shared" si="44"/>
        <v>-9.9522379553286697</v>
      </c>
      <c r="EE33" s="551">
        <f t="shared" si="45"/>
        <v>-16.507823313974583</v>
      </c>
      <c r="EF33" s="550">
        <f t="shared" si="46"/>
        <v>-5.8779554386016031</v>
      </c>
      <c r="EG33" s="561" t="str">
        <f t="shared" si="81"/>
        <v>menor</v>
      </c>
    </row>
    <row r="34" spans="1:137">
      <c r="A34" s="556" t="s">
        <v>113</v>
      </c>
      <c r="B34" s="553">
        <f>'Anuid PF'!O33+'Anuid PF'!P33</f>
        <v>22944.192000000003</v>
      </c>
      <c r="C34" s="553">
        <f>'Anuid PJ'!L32+'Anuid PJ'!M32</f>
        <v>4118.3119999999999</v>
      </c>
      <c r="D34" s="553">
        <f>RRT!I31</f>
        <v>21652.128000000001</v>
      </c>
      <c r="E34" s="553">
        <f>'TAXAS E MULTAS.'!C30</f>
        <v>2259.5600000000004</v>
      </c>
      <c r="F34" s="554">
        <f t="shared" si="0"/>
        <v>50974.191999999995</v>
      </c>
      <c r="G34" s="553">
        <v>25121.664000000001</v>
      </c>
      <c r="H34" s="553">
        <v>5634.6640000000007</v>
      </c>
      <c r="I34" s="553">
        <v>16575.871999999999</v>
      </c>
      <c r="J34" s="553">
        <v>3795.2560000000003</v>
      </c>
      <c r="K34" s="554">
        <f t="shared" si="1"/>
        <v>51127.455999999998</v>
      </c>
      <c r="L34" s="553">
        <f>'Anuid PF'!Q33+'Anuid PF'!R33</f>
        <v>33311.872000000003</v>
      </c>
      <c r="M34" s="553">
        <f>'Anuid PJ'!N32+'Anuid PJ'!O32</f>
        <v>5116.5760000000009</v>
      </c>
      <c r="N34" s="553">
        <f>RRT!J31</f>
        <v>26328.959999999999</v>
      </c>
      <c r="O34" s="553">
        <f>'TAXAS E MULTAS.'!D30</f>
        <v>2598.3679999999999</v>
      </c>
      <c r="P34" s="554">
        <f t="shared" si="2"/>
        <v>67355.775999999998</v>
      </c>
      <c r="Q34" s="553">
        <v>34164.063999999998</v>
      </c>
      <c r="R34" s="562">
        <v>4026.192</v>
      </c>
      <c r="S34" s="553">
        <v>27669.920000000002</v>
      </c>
      <c r="T34" s="553">
        <v>3528.3280000000004</v>
      </c>
      <c r="U34" s="554">
        <f t="shared" si="3"/>
        <v>69388.504000000001</v>
      </c>
      <c r="V34" s="553">
        <f>'Anuid PF'!S33+'Anuid PF'!T33</f>
        <v>30363.408000000003</v>
      </c>
      <c r="W34" s="553">
        <f>'Anuid PJ'!P32+'Anuid PJ'!Q32</f>
        <v>5138.6880000000001</v>
      </c>
      <c r="X34" s="553">
        <f>RRT!K31</f>
        <v>27504.36</v>
      </c>
      <c r="Y34" s="553">
        <f>'TAXAS E MULTAS.'!E30</f>
        <v>3263.1760000000004</v>
      </c>
      <c r="Z34" s="554">
        <f t="shared" si="4"/>
        <v>66269.632000000012</v>
      </c>
      <c r="AA34" s="553">
        <v>18755.240000000002</v>
      </c>
      <c r="AB34" s="562">
        <v>4734.2160000000003</v>
      </c>
      <c r="AC34" s="553">
        <v>28048.959999999999</v>
      </c>
      <c r="AD34" s="553">
        <v>2755.5600000000004</v>
      </c>
      <c r="AE34" s="554">
        <f t="shared" si="5"/>
        <v>54293.975999999995</v>
      </c>
      <c r="AF34" s="553">
        <f>'Anuid PF'!U33+'Anuid PF'!V33</f>
        <v>10758.768</v>
      </c>
      <c r="AG34" s="553">
        <f>'Anuid PJ'!R32+'Anuid PJ'!S32</f>
        <v>1714.8320000000001</v>
      </c>
      <c r="AH34" s="553">
        <f>RRT!L31</f>
        <v>14810.04</v>
      </c>
      <c r="AI34" s="553">
        <f>'TAXAS E MULTAS.'!F30</f>
        <v>1619.3200000000002</v>
      </c>
      <c r="AJ34" s="554">
        <f t="shared" si="6"/>
        <v>28902.959999999999</v>
      </c>
      <c r="AK34" s="553">
        <f t="shared" si="47"/>
        <v>23770.608</v>
      </c>
      <c r="AL34" s="553">
        <f t="shared" si="48"/>
        <v>3811.0240000000003</v>
      </c>
      <c r="AM34" s="553">
        <f t="shared" si="49"/>
        <v>26229.567999999999</v>
      </c>
      <c r="AN34" s="553">
        <f t="shared" si="50"/>
        <v>2593.2080000000001</v>
      </c>
      <c r="AO34" s="554">
        <f t="shared" si="8"/>
        <v>56404.407999999996</v>
      </c>
      <c r="AP34" s="553">
        <f>'Anuid PF'!W33+'Anuid PF'!X33</f>
        <v>17317.592000000001</v>
      </c>
      <c r="AQ34" s="553">
        <f>'Anuid PJ'!T32+'Anuid PJ'!U32</f>
        <v>2226.232</v>
      </c>
      <c r="AR34" s="553">
        <f>RRT!M31</f>
        <v>26093.88</v>
      </c>
      <c r="AS34" s="553">
        <f>'TAXAS E MULTAS.'!G30</f>
        <v>3903.3120000000004</v>
      </c>
      <c r="AT34" s="554">
        <f t="shared" si="9"/>
        <v>49541.015999999996</v>
      </c>
      <c r="AU34" s="553">
        <f t="shared" si="51"/>
        <v>31542.216</v>
      </c>
      <c r="AV34" s="553">
        <f t="shared" si="52"/>
        <v>3240.2080000000001</v>
      </c>
      <c r="AW34" s="553">
        <f t="shared" si="53"/>
        <v>36387.840000000004</v>
      </c>
      <c r="AX34" s="553">
        <f t="shared" si="54"/>
        <v>3385.2160000000003</v>
      </c>
      <c r="AY34" s="554">
        <f t="shared" si="11"/>
        <v>74555.48</v>
      </c>
      <c r="AZ34" s="553">
        <f>'Anuid PF'!Y33+'Anuid PF'!Z33</f>
        <v>20147.688000000002</v>
      </c>
      <c r="BA34" s="553">
        <f>'Anuid PJ'!V32+'Anuid PJ'!W32</f>
        <v>3702.576</v>
      </c>
      <c r="BB34" s="553">
        <f>RRT!N31</f>
        <v>28601.4</v>
      </c>
      <c r="BC34" s="553">
        <f>'TAXAS E MULTAS.'!H30</f>
        <v>3467.904</v>
      </c>
      <c r="BD34" s="554">
        <f t="shared" si="12"/>
        <v>55919.568000000007</v>
      </c>
      <c r="BE34" s="553">
        <f t="shared" si="55"/>
        <v>29682.528000000006</v>
      </c>
      <c r="BF34" s="553">
        <f t="shared" si="56"/>
        <v>9757.1039999999994</v>
      </c>
      <c r="BG34" s="553">
        <f t="shared" si="57"/>
        <v>30019.968000000001</v>
      </c>
      <c r="BH34" s="553">
        <f t="shared" si="58"/>
        <v>4318.2880000000005</v>
      </c>
      <c r="BI34" s="554">
        <f t="shared" si="14"/>
        <v>73777.888000000006</v>
      </c>
      <c r="BJ34" s="553">
        <f>'Anuid PF'!AA33+'Anuid PF'!AB33</f>
        <v>28089.248</v>
      </c>
      <c r="BK34" s="553">
        <f>'Anuid PJ'!X32+'Anuid PJ'!Y32</f>
        <v>3120.4319999999998</v>
      </c>
      <c r="BL34" s="553">
        <f>RRT!O31</f>
        <v>37064.28</v>
      </c>
      <c r="BM34" s="553">
        <f>'TAXAS E MULTAS.'!I30</f>
        <v>2088.6400000000003</v>
      </c>
      <c r="BN34" s="554">
        <f t="shared" si="15"/>
        <v>70362.599999999991</v>
      </c>
      <c r="BO34" s="553">
        <f t="shared" si="59"/>
        <v>16197.952000000001</v>
      </c>
      <c r="BP34" s="553">
        <f t="shared" si="82"/>
        <v>5412.2560000000003</v>
      </c>
      <c r="BQ34" s="553">
        <f t="shared" si="83"/>
        <v>32976.480000000003</v>
      </c>
      <c r="BR34" s="553">
        <f t="shared" si="84"/>
        <v>6270.688000000001</v>
      </c>
      <c r="BS34" s="554">
        <f t="shared" si="17"/>
        <v>60857.376000000011</v>
      </c>
      <c r="BT34" s="553">
        <f>'Anuid PF'!AC33+'Anuid PF'!AD33</f>
        <v>37591.600000000006</v>
      </c>
      <c r="BU34" s="553">
        <f>'Anuid PJ'!Z32+'Anuid PJ'!AA32</f>
        <v>4551.8560000000007</v>
      </c>
      <c r="BV34" s="553">
        <f>RRT!P31</f>
        <v>38004.6</v>
      </c>
      <c r="BW34" s="553">
        <f>'TAXAS E MULTAS.'!J30</f>
        <v>3464.1519999999996</v>
      </c>
      <c r="BX34" s="554">
        <f t="shared" si="18"/>
        <v>83612.208000000013</v>
      </c>
      <c r="BY34" s="553">
        <f t="shared" si="60"/>
        <v>32548.384000000002</v>
      </c>
      <c r="BZ34" s="553">
        <f t="shared" si="61"/>
        <v>5538.5439999999999</v>
      </c>
      <c r="CA34" s="553">
        <f t="shared" si="62"/>
        <v>33582.944000000003</v>
      </c>
      <c r="CB34" s="553">
        <f t="shared" si="63"/>
        <v>13513.263999999999</v>
      </c>
      <c r="CC34" s="554">
        <f t="shared" si="20"/>
        <v>85183.135999999999</v>
      </c>
      <c r="CD34" s="553">
        <f>'Anuid PF'!AE33+'Anuid PF'!AF33</f>
        <v>10699.760000000002</v>
      </c>
      <c r="CE34" s="553">
        <f>'Anuid PJ'!AB32+'Anuid PJ'!AC32</f>
        <v>1306.0320000000002</v>
      </c>
      <c r="CF34" s="553">
        <f>RRT!Q31</f>
        <v>31657.440000000002</v>
      </c>
      <c r="CG34" s="553">
        <f>'TAXAS E MULTAS.'!K30</f>
        <v>1780.7920000000004</v>
      </c>
      <c r="CH34" s="554">
        <f t="shared" si="21"/>
        <v>45444.024000000005</v>
      </c>
      <c r="CI34" s="553">
        <f t="shared" si="64"/>
        <v>10922.008000000002</v>
      </c>
      <c r="CJ34" s="553">
        <f t="shared" si="65"/>
        <v>3399.4080000000004</v>
      </c>
      <c r="CK34" s="553">
        <f t="shared" si="66"/>
        <v>31384.512000000002</v>
      </c>
      <c r="CL34" s="553">
        <f t="shared" si="67"/>
        <v>3592.4160000000002</v>
      </c>
      <c r="CM34" s="554">
        <f t="shared" si="23"/>
        <v>49298.343999999997</v>
      </c>
      <c r="CN34" s="553">
        <f>'Anuid PF'!AG33+'Anuid PF'!AH33</f>
        <v>12922.576000000001</v>
      </c>
      <c r="CO34" s="553">
        <f>'Anuid PJ'!AD32+'Anuid PJ'!AE32</f>
        <v>2039.52</v>
      </c>
      <c r="CP34" s="553">
        <f>RRT!R31</f>
        <v>35653.800000000003</v>
      </c>
      <c r="CQ34" s="553">
        <f>'TAXAS E MULTAS.'!L30</f>
        <v>3636.0080000000003</v>
      </c>
      <c r="CR34" s="554">
        <f t="shared" si="24"/>
        <v>54251.90400000001</v>
      </c>
      <c r="CS34" s="553">
        <f t="shared" si="68"/>
        <v>13533.088000000002</v>
      </c>
      <c r="CT34" s="553">
        <f t="shared" si="69"/>
        <v>3700.3919999999998</v>
      </c>
      <c r="CU34" s="553">
        <f t="shared" si="70"/>
        <v>34113.599999999999</v>
      </c>
      <c r="CV34" s="553">
        <f t="shared" si="71"/>
        <v>6383.3440000000001</v>
      </c>
      <c r="CW34" s="554">
        <f t="shared" si="26"/>
        <v>57730.423999999999</v>
      </c>
      <c r="CX34" s="553">
        <f>'Anuid PF'!AI33+'Anuid PF'!AJ33</f>
        <v>7462.6640000000007</v>
      </c>
      <c r="CY34" s="553">
        <f>'Anuid PJ'!AF32+'Anuid PJ'!AG32</f>
        <v>3093.192</v>
      </c>
      <c r="CZ34" s="553">
        <f>RRT!S31</f>
        <v>34713.480000000003</v>
      </c>
      <c r="DA34" s="553">
        <f>'TAXAS E MULTAS.'!M30</f>
        <v>3054.136</v>
      </c>
      <c r="DB34" s="554">
        <f t="shared" si="27"/>
        <v>48323.472000000002</v>
      </c>
      <c r="DC34" s="553">
        <f t="shared" si="72"/>
        <v>8372.9279999999999</v>
      </c>
      <c r="DD34" s="553">
        <f t="shared" si="73"/>
        <v>1772.6080000000002</v>
      </c>
      <c r="DE34" s="553">
        <f t="shared" si="74"/>
        <v>29944.16</v>
      </c>
      <c r="DF34" s="553">
        <f t="shared" si="75"/>
        <v>3480.5120000000002</v>
      </c>
      <c r="DG34" s="554">
        <f t="shared" si="29"/>
        <v>43570.207999999999</v>
      </c>
      <c r="DH34" s="553">
        <f>'Anuid PF'!AK33+'Anuid PF'!AL33</f>
        <v>10680.912</v>
      </c>
      <c r="DI34" s="553">
        <f>'Anuid PJ'!AH32+'Anuid PJ'!AI32</f>
        <v>2447.1999999999998</v>
      </c>
      <c r="DJ34" s="553">
        <f>RRT!T31</f>
        <v>32911.200000000004</v>
      </c>
      <c r="DK34" s="553">
        <f>'TAXAS E MULTAS.'!N30</f>
        <v>3579.1280000000002</v>
      </c>
      <c r="DL34" s="554">
        <f t="shared" si="30"/>
        <v>49618.44</v>
      </c>
      <c r="DM34" s="553">
        <f t="shared" si="76"/>
        <v>7150.9680000000008</v>
      </c>
      <c r="DN34" s="553">
        <f t="shared" si="77"/>
        <v>2411.7359999999999</v>
      </c>
      <c r="DO34" s="553">
        <f t="shared" si="78"/>
        <v>22135.936000000002</v>
      </c>
      <c r="DP34" s="553">
        <f t="shared" si="79"/>
        <v>4927.3200000000006</v>
      </c>
      <c r="DQ34" s="552">
        <f t="shared" si="32"/>
        <v>36625.960000000006</v>
      </c>
      <c r="DR34" s="555">
        <f t="shared" si="33"/>
        <v>242290.28000000003</v>
      </c>
      <c r="DS34" s="553">
        <f t="shared" si="34"/>
        <v>38575.447999999997</v>
      </c>
      <c r="DT34" s="553">
        <f t="shared" si="35"/>
        <v>354995.56800000003</v>
      </c>
      <c r="DU34" s="553">
        <f t="shared" si="36"/>
        <v>34714.495999999999</v>
      </c>
      <c r="DV34" s="554">
        <f t="shared" si="37"/>
        <v>670575.79200000013</v>
      </c>
      <c r="DW34" s="553">
        <f t="shared" si="80"/>
        <v>251761.64799999999</v>
      </c>
      <c r="DX34" s="553">
        <f t="shared" si="38"/>
        <v>53438.351999999999</v>
      </c>
      <c r="DY34" s="553">
        <f t="shared" si="39"/>
        <v>349069.75999999995</v>
      </c>
      <c r="DZ34" s="553">
        <f t="shared" si="40"/>
        <v>58543.4</v>
      </c>
      <c r="EA34" s="552">
        <f t="shared" si="41"/>
        <v>712813.16</v>
      </c>
      <c r="EB34" s="551">
        <f t="shared" si="42"/>
        <v>-3.7620376555526605</v>
      </c>
      <c r="EC34" s="551">
        <f t="shared" si="43"/>
        <v>-27.813178071060278</v>
      </c>
      <c r="ED34" s="551">
        <f t="shared" si="44"/>
        <v>1.6975999295957536</v>
      </c>
      <c r="EE34" s="551">
        <f t="shared" si="45"/>
        <v>-40.702972495618639</v>
      </c>
      <c r="EF34" s="550">
        <f t="shared" si="46"/>
        <v>-5.9254472799014906</v>
      </c>
      <c r="EG34" s="561" t="str">
        <f t="shared" si="81"/>
        <v>menor</v>
      </c>
    </row>
    <row r="35" spans="1:137">
      <c r="A35" s="549" t="s">
        <v>554</v>
      </c>
      <c r="B35" s="547">
        <f>SUM(B8:B34)</f>
        <v>11188595.295999998</v>
      </c>
      <c r="C35" s="547">
        <f>SUM(C8:C34)</f>
        <v>1338982.6400000001</v>
      </c>
      <c r="D35" s="547">
        <f>SUM(D8:D34)</f>
        <v>4876604.0239999993</v>
      </c>
      <c r="E35" s="547">
        <f>SUM(E8:E34)</f>
        <v>658022.50000000023</v>
      </c>
      <c r="F35" s="547">
        <f t="shared" si="0"/>
        <v>18062204.459999997</v>
      </c>
      <c r="G35" s="547">
        <f t="shared" ref="G35:AL35" si="85">SUM(G8:G34)</f>
        <v>9760978.4180000015</v>
      </c>
      <c r="H35" s="547">
        <f t="shared" si="85"/>
        <v>1057603.0440000002</v>
      </c>
      <c r="I35" s="547">
        <f t="shared" si="85"/>
        <v>4363954.3040000005</v>
      </c>
      <c r="J35" s="547">
        <f t="shared" si="85"/>
        <v>519934.52800000005</v>
      </c>
      <c r="K35" s="547">
        <f t="shared" si="85"/>
        <v>15702470.294000002</v>
      </c>
      <c r="L35" s="547">
        <f t="shared" si="85"/>
        <v>10173055.344000002</v>
      </c>
      <c r="M35" s="547">
        <f t="shared" si="85"/>
        <v>1533998.7919999999</v>
      </c>
      <c r="N35" s="547">
        <f t="shared" si="85"/>
        <v>5189375.6880000001</v>
      </c>
      <c r="O35" s="547">
        <f t="shared" si="85"/>
        <v>536788.08200000005</v>
      </c>
      <c r="P35" s="547">
        <f t="shared" si="85"/>
        <v>17433217.906000003</v>
      </c>
      <c r="Q35" s="547">
        <f t="shared" si="85"/>
        <v>10174323.767999999</v>
      </c>
      <c r="R35" s="547">
        <f t="shared" si="85"/>
        <v>1491613.2320000001</v>
      </c>
      <c r="S35" s="547">
        <f t="shared" si="85"/>
        <v>5387584.8480000012</v>
      </c>
      <c r="T35" s="547">
        <f t="shared" si="85"/>
        <v>504351.01399999991</v>
      </c>
      <c r="U35" s="547">
        <f t="shared" si="85"/>
        <v>17557872.862000003</v>
      </c>
      <c r="V35" s="547">
        <f t="shared" si="85"/>
        <v>6022609.7039999999</v>
      </c>
      <c r="W35" s="547">
        <f t="shared" si="85"/>
        <v>858160.23999999987</v>
      </c>
      <c r="X35" s="547">
        <f t="shared" si="85"/>
        <v>5259659.6560000004</v>
      </c>
      <c r="Y35" s="547">
        <f t="shared" si="85"/>
        <v>510010.402</v>
      </c>
      <c r="Z35" s="547">
        <f t="shared" si="85"/>
        <v>12650440.002</v>
      </c>
      <c r="AA35" s="547">
        <f t="shared" si="85"/>
        <v>4365152.6919999998</v>
      </c>
      <c r="AB35" s="547">
        <f t="shared" si="85"/>
        <v>588982.3620000002</v>
      </c>
      <c r="AC35" s="547">
        <f t="shared" si="85"/>
        <v>5309065.5440000007</v>
      </c>
      <c r="AD35" s="547">
        <f t="shared" si="85"/>
        <v>389682.5</v>
      </c>
      <c r="AE35" s="547">
        <f t="shared" si="85"/>
        <v>10652883.097999999</v>
      </c>
      <c r="AF35" s="547">
        <f t="shared" si="85"/>
        <v>2819835.6000000006</v>
      </c>
      <c r="AG35" s="547">
        <f t="shared" si="85"/>
        <v>368285.52799999999</v>
      </c>
      <c r="AH35" s="547">
        <f t="shared" si="85"/>
        <v>3014510.3200000003</v>
      </c>
      <c r="AI35" s="547">
        <f t="shared" si="85"/>
        <v>311055.984</v>
      </c>
      <c r="AJ35" s="547">
        <f t="shared" si="85"/>
        <v>6513687.432000001</v>
      </c>
      <c r="AK35" s="547">
        <f t="shared" si="85"/>
        <v>4851887.7660000008</v>
      </c>
      <c r="AL35" s="547">
        <f t="shared" si="85"/>
        <v>673106.71200000006</v>
      </c>
      <c r="AM35" s="547">
        <f t="shared" ref="AM35:BR35" si="86">SUM(AM8:AM34)</f>
        <v>6186709.7520000003</v>
      </c>
      <c r="AN35" s="547">
        <f t="shared" si="86"/>
        <v>424133.24439999997</v>
      </c>
      <c r="AO35" s="547">
        <f t="shared" si="86"/>
        <v>12135837.474400001</v>
      </c>
      <c r="AP35" s="547">
        <f t="shared" si="86"/>
        <v>2478370.6320000002</v>
      </c>
      <c r="AQ35" s="547">
        <f t="shared" si="86"/>
        <v>316738.48800000001</v>
      </c>
      <c r="AR35" s="547">
        <f t="shared" si="86"/>
        <v>3848337.96</v>
      </c>
      <c r="AS35" s="547">
        <f t="shared" si="86"/>
        <v>283706.64600000001</v>
      </c>
      <c r="AT35" s="547">
        <f t="shared" si="86"/>
        <v>6927153.7260000007</v>
      </c>
      <c r="AU35" s="547">
        <f t="shared" si="86"/>
        <v>5926510.5280000009</v>
      </c>
      <c r="AV35" s="547">
        <f t="shared" si="86"/>
        <v>773335.71199999994</v>
      </c>
      <c r="AW35" s="547">
        <f t="shared" si="86"/>
        <v>6711724.8559999997</v>
      </c>
      <c r="AX35" s="547">
        <f t="shared" si="86"/>
        <v>428265.16200000007</v>
      </c>
      <c r="AY35" s="547">
        <f t="shared" si="86"/>
        <v>13839836.258000001</v>
      </c>
      <c r="AZ35" s="547">
        <f t="shared" si="86"/>
        <v>3658501.1440000003</v>
      </c>
      <c r="BA35" s="547">
        <f t="shared" si="86"/>
        <v>475434.85600000009</v>
      </c>
      <c r="BB35" s="547">
        <f t="shared" si="86"/>
        <v>4988475.9600000009</v>
      </c>
      <c r="BC35" s="547">
        <f t="shared" si="86"/>
        <v>360419.47</v>
      </c>
      <c r="BD35" s="547">
        <f t="shared" si="86"/>
        <v>9482831.4300000016</v>
      </c>
      <c r="BE35" s="547">
        <f t="shared" si="86"/>
        <v>4957088.28</v>
      </c>
      <c r="BF35" s="547">
        <f t="shared" si="86"/>
        <v>739450.37600000005</v>
      </c>
      <c r="BG35" s="547">
        <f t="shared" si="86"/>
        <v>5452059.5520000011</v>
      </c>
      <c r="BH35" s="547">
        <f t="shared" si="86"/>
        <v>384195.64600000001</v>
      </c>
      <c r="BI35" s="547">
        <f t="shared" si="86"/>
        <v>11532793.853999998</v>
      </c>
      <c r="BJ35" s="547">
        <f t="shared" si="86"/>
        <v>5294971.216</v>
      </c>
      <c r="BK35" s="547">
        <f t="shared" si="86"/>
        <v>564976.12800000014</v>
      </c>
      <c r="BL35" s="547">
        <f t="shared" si="86"/>
        <v>6054958.8400000008</v>
      </c>
      <c r="BM35" s="547">
        <f t="shared" si="86"/>
        <v>419473.88400000002</v>
      </c>
      <c r="BN35" s="547">
        <f t="shared" si="86"/>
        <v>12334380.067999998</v>
      </c>
      <c r="BO35" s="547">
        <f t="shared" si="86"/>
        <v>2911827.9040000006</v>
      </c>
      <c r="BP35" s="547">
        <f t="shared" si="86"/>
        <v>526112.52</v>
      </c>
      <c r="BQ35" s="547">
        <f t="shared" si="86"/>
        <v>6568547.3360000001</v>
      </c>
      <c r="BR35" s="547">
        <f t="shared" si="86"/>
        <v>713648.44400000002</v>
      </c>
      <c r="BS35" s="547">
        <f t="shared" ref="BS35:CX35" si="87">SUM(BS8:BS34)</f>
        <v>10720136.204000002</v>
      </c>
      <c r="BT35" s="547">
        <f t="shared" si="87"/>
        <v>5592225.1120000007</v>
      </c>
      <c r="BU35" s="547">
        <f t="shared" si="87"/>
        <v>716916.11200000008</v>
      </c>
      <c r="BV35" s="547">
        <f t="shared" si="87"/>
        <v>6418147.9360000007</v>
      </c>
      <c r="BW35" s="547">
        <f t="shared" si="87"/>
        <v>490333.31200000003</v>
      </c>
      <c r="BX35" s="547">
        <f t="shared" si="87"/>
        <v>13217622.472000003</v>
      </c>
      <c r="BY35" s="547">
        <f t="shared" si="87"/>
        <v>2477971.0719999997</v>
      </c>
      <c r="BZ35" s="547">
        <f t="shared" si="87"/>
        <v>453454.17599999998</v>
      </c>
      <c r="CA35" s="547">
        <f t="shared" si="87"/>
        <v>6540265.120000001</v>
      </c>
      <c r="CB35" s="547">
        <f t="shared" si="87"/>
        <v>670810.67200000002</v>
      </c>
      <c r="CC35" s="547">
        <f t="shared" si="87"/>
        <v>10142501.039999999</v>
      </c>
      <c r="CD35" s="547">
        <f t="shared" si="87"/>
        <v>2822264.4159999997</v>
      </c>
      <c r="CE35" s="547">
        <f t="shared" si="87"/>
        <v>310287.69600000011</v>
      </c>
      <c r="CF35" s="547">
        <f t="shared" si="87"/>
        <v>6331488.0000000009</v>
      </c>
      <c r="CG35" s="547">
        <f t="shared" si="87"/>
        <v>599699.45000000007</v>
      </c>
      <c r="CH35" s="547">
        <f t="shared" si="87"/>
        <v>10063739.562000001</v>
      </c>
      <c r="CI35" s="547">
        <f t="shared" si="87"/>
        <v>2127275.6800000002</v>
      </c>
      <c r="CJ35" s="547">
        <f t="shared" si="87"/>
        <v>373987.288</v>
      </c>
      <c r="CK35" s="547">
        <f t="shared" si="87"/>
        <v>6262584.4880000008</v>
      </c>
      <c r="CL35" s="547">
        <f t="shared" si="87"/>
        <v>600314.32000000007</v>
      </c>
      <c r="CM35" s="547">
        <f t="shared" si="87"/>
        <v>9364161.7760000024</v>
      </c>
      <c r="CN35" s="547">
        <f t="shared" si="87"/>
        <v>2588936.5440000002</v>
      </c>
      <c r="CO35" s="547">
        <f t="shared" si="87"/>
        <v>253925.37600000002</v>
      </c>
      <c r="CP35" s="547">
        <f t="shared" si="87"/>
        <v>7014238.6800000006</v>
      </c>
      <c r="CQ35" s="547">
        <f t="shared" si="87"/>
        <v>619285.16400000011</v>
      </c>
      <c r="CR35" s="547">
        <f t="shared" si="87"/>
        <v>10476385.763999999</v>
      </c>
      <c r="CS35" s="547">
        <f t="shared" si="87"/>
        <v>2232974.3360000006</v>
      </c>
      <c r="CT35" s="547">
        <f t="shared" si="87"/>
        <v>405867.70399999997</v>
      </c>
      <c r="CU35" s="547">
        <f t="shared" si="87"/>
        <v>6760729.6399999997</v>
      </c>
      <c r="CV35" s="547">
        <f t="shared" si="87"/>
        <v>756792.17800000007</v>
      </c>
      <c r="CW35" s="547">
        <f t="shared" si="87"/>
        <v>10156363.858000001</v>
      </c>
      <c r="CX35" s="547">
        <f t="shared" si="87"/>
        <v>2139494.5200000005</v>
      </c>
      <c r="CY35" s="547">
        <f t="shared" ref="CY35:DZ35" si="88">SUM(CY8:CY34)</f>
        <v>255023.584</v>
      </c>
      <c r="CZ35" s="547">
        <f t="shared" si="88"/>
        <v>6180656.9360000007</v>
      </c>
      <c r="DA35" s="547">
        <f t="shared" si="88"/>
        <v>619935.0780000001</v>
      </c>
      <c r="DB35" s="547">
        <f t="shared" si="88"/>
        <v>9195110.1180000007</v>
      </c>
      <c r="DC35" s="547">
        <f t="shared" si="88"/>
        <v>1865200.8639999998</v>
      </c>
      <c r="DD35" s="547">
        <f t="shared" si="88"/>
        <v>331569.39199999999</v>
      </c>
      <c r="DE35" s="547">
        <f t="shared" si="88"/>
        <v>5774632.432</v>
      </c>
      <c r="DF35" s="547">
        <f t="shared" si="88"/>
        <v>687798.56800000009</v>
      </c>
      <c r="DG35" s="547">
        <f t="shared" si="88"/>
        <v>8659201.256000001</v>
      </c>
      <c r="DH35" s="547">
        <f t="shared" si="88"/>
        <v>2331252.6</v>
      </c>
      <c r="DI35" s="547">
        <f t="shared" si="88"/>
        <v>291559.39200000005</v>
      </c>
      <c r="DJ35" s="547">
        <f t="shared" si="88"/>
        <v>5954341.3199999994</v>
      </c>
      <c r="DK35" s="547">
        <f t="shared" si="88"/>
        <v>627466.42999999993</v>
      </c>
      <c r="DL35" s="547">
        <f t="shared" si="88"/>
        <v>9204619.7420000006</v>
      </c>
      <c r="DM35" s="547">
        <f t="shared" si="88"/>
        <v>2379675.568</v>
      </c>
      <c r="DN35" s="547">
        <f t="shared" si="88"/>
        <v>388225.42399999994</v>
      </c>
      <c r="DO35" s="547">
        <f t="shared" si="88"/>
        <v>5372683.176</v>
      </c>
      <c r="DP35" s="547">
        <f t="shared" si="88"/>
        <v>851229.60600000003</v>
      </c>
      <c r="DQ35" s="545">
        <f t="shared" si="88"/>
        <v>8991813.7740000021</v>
      </c>
      <c r="DR35" s="560">
        <f t="shared" si="88"/>
        <v>57110112.127999999</v>
      </c>
      <c r="DS35" s="547">
        <f t="shared" si="88"/>
        <v>7284288.8319999995</v>
      </c>
      <c r="DT35" s="547">
        <f t="shared" si="88"/>
        <v>65130795.320000008</v>
      </c>
      <c r="DU35" s="547">
        <f t="shared" si="88"/>
        <v>6036196.4020000007</v>
      </c>
      <c r="DV35" s="547">
        <f t="shared" si="88"/>
        <v>135561392.68200001</v>
      </c>
      <c r="DW35" s="547">
        <f t="shared" si="88"/>
        <v>54030866.876000009</v>
      </c>
      <c r="DX35" s="547">
        <f t="shared" si="88"/>
        <v>7803307.9419999989</v>
      </c>
      <c r="DY35" s="547">
        <f t="shared" si="88"/>
        <v>70690541.048000008</v>
      </c>
      <c r="DZ35" s="547">
        <f t="shared" si="88"/>
        <v>6931155.8823999995</v>
      </c>
      <c r="EA35" s="559">
        <f t="shared" si="41"/>
        <v>139455871.74840003</v>
      </c>
      <c r="EB35" s="558">
        <f t="shared" si="42"/>
        <v>5.6990483959230289</v>
      </c>
      <c r="EC35" s="558">
        <f t="shared" si="43"/>
        <v>-6.6512703824805612</v>
      </c>
      <c r="ED35" s="558">
        <f t="shared" si="44"/>
        <v>-7.8649075895809659</v>
      </c>
      <c r="EE35" s="558">
        <f t="shared" si="45"/>
        <v>-12.912124551585009</v>
      </c>
      <c r="EF35" s="557">
        <f t="shared" si="46"/>
        <v>-2.792624661531832</v>
      </c>
    </row>
    <row r="36" spans="1:137">
      <c r="A36" s="556" t="s">
        <v>181</v>
      </c>
      <c r="B36" s="553">
        <f>'Anuid PF'!O35+'Anuid PF'!P35</f>
        <v>2797148.824</v>
      </c>
      <c r="C36" s="553">
        <f>'Anuid PJ'!L34+'Anuid PJ'!M34</f>
        <v>334745.66000000003</v>
      </c>
      <c r="D36" s="553">
        <f>RRT!I33</f>
        <v>1219151.0060000001</v>
      </c>
      <c r="E36" s="553">
        <f>'TAXAS E MULTAS.'!C32</f>
        <v>163138.07000000004</v>
      </c>
      <c r="F36" s="554">
        <f t="shared" si="0"/>
        <v>4514183.5600000005</v>
      </c>
      <c r="G36" s="553">
        <v>2439922.1420000005</v>
      </c>
      <c r="H36" s="553">
        <v>264274.05599999998</v>
      </c>
      <c r="I36" s="553">
        <v>1091967.1960000005</v>
      </c>
      <c r="J36" s="553">
        <v>128757.78200000002</v>
      </c>
      <c r="K36" s="554">
        <f>SUM(G36:J36)</f>
        <v>3924921.1760000009</v>
      </c>
      <c r="L36" s="553">
        <f>'Anuid PF'!Q35+'Anuid PF'!R35</f>
        <v>2543263.8360000001</v>
      </c>
      <c r="M36" s="553">
        <f>'Anuid PJ'!N34+'Anuid PJ'!O34</f>
        <v>383499.69799999997</v>
      </c>
      <c r="N36" s="553">
        <f>RRT!J33</f>
        <v>1297343.9219999998</v>
      </c>
      <c r="O36" s="553">
        <f>'TAXAS E MULTAS.'!D32</f>
        <v>133738.47799999997</v>
      </c>
      <c r="P36" s="554">
        <f>SUM(L36:O36)</f>
        <v>4357845.9340000004</v>
      </c>
      <c r="Q36" s="553">
        <v>2542820.5019999994</v>
      </c>
      <c r="R36" s="553">
        <v>372797.61800000013</v>
      </c>
      <c r="S36" s="553">
        <v>1346896.2120000001</v>
      </c>
      <c r="T36" s="553">
        <v>124589.53599999999</v>
      </c>
      <c r="U36" s="554">
        <f>SUM(Q36:T36)</f>
        <v>4387103.8679999998</v>
      </c>
      <c r="V36" s="553">
        <f>'Anuid PF'!S35+'Anuid PF'!T35</f>
        <v>1505652.4260000002</v>
      </c>
      <c r="W36" s="553">
        <f>'Anuid PJ'!P34+'Anuid PJ'!Q34</f>
        <v>214540.06000000003</v>
      </c>
      <c r="X36" s="553">
        <f>RRT!K33</f>
        <v>1314914.9140000003</v>
      </c>
      <c r="Y36" s="553">
        <f>'TAXAS E MULTAS.'!E32</f>
        <v>125955.788</v>
      </c>
      <c r="Z36" s="554">
        <f>SUM(V36:Y36)</f>
        <v>3161063.1880000005</v>
      </c>
      <c r="AA36" s="553">
        <v>1090870.088</v>
      </c>
      <c r="AB36" s="553">
        <v>147203.56800000006</v>
      </c>
      <c r="AC36" s="553">
        <v>1327266.3859999999</v>
      </c>
      <c r="AD36" s="553">
        <v>96150.58</v>
      </c>
      <c r="AE36" s="554">
        <f>SUM(AA36:AD36)</f>
        <v>2661490.622</v>
      </c>
      <c r="AF36" s="553">
        <f>'Anuid PF'!U35+'Anuid PF'!V35</f>
        <v>704958.9</v>
      </c>
      <c r="AG36" s="553">
        <f>'Anuid PJ'!R34+'Anuid PJ'!S34</f>
        <v>92071.381999999998</v>
      </c>
      <c r="AH36" s="553">
        <f>RRT!L33</f>
        <v>753627.58000000007</v>
      </c>
      <c r="AI36" s="553">
        <f>'TAXAS E MULTAS.'!F32</f>
        <v>77524.896000000008</v>
      </c>
      <c r="AJ36" s="554">
        <f>SUM(AF36:AI36)</f>
        <v>1628182.7580000001</v>
      </c>
      <c r="AK36" s="553">
        <f>AF75</f>
        <v>1212898.4040000001</v>
      </c>
      <c r="AL36" s="553">
        <f t="shared" ref="AL36:AN36" si="89">AG75</f>
        <v>168276.67800000001</v>
      </c>
      <c r="AM36" s="553">
        <f t="shared" si="89"/>
        <v>1546677.4380000001</v>
      </c>
      <c r="AN36" s="553">
        <f t="shared" si="89"/>
        <v>104649.0186</v>
      </c>
      <c r="AO36" s="554">
        <f>SUM(AK36:AN36)</f>
        <v>3032501.5386000006</v>
      </c>
      <c r="AP36" s="553">
        <f>'Anuid PF'!W35+'Anuid PF'!X35</f>
        <v>619592.65800000005</v>
      </c>
      <c r="AQ36" s="553">
        <f>'Anuid PJ'!T34+'Anuid PJ'!U34</f>
        <v>79184.622000000003</v>
      </c>
      <c r="AR36" s="553">
        <f>RRT!M33</f>
        <v>962084.49000000011</v>
      </c>
      <c r="AS36" s="553">
        <f>'TAXAS E MULTAS.'!G32</f>
        <v>70690.393999999986</v>
      </c>
      <c r="AT36" s="554">
        <f>SUM(AP36:AS36)</f>
        <v>1731552.1640000001</v>
      </c>
      <c r="AU36" s="553">
        <f>AP75</f>
        <v>1481627.632</v>
      </c>
      <c r="AV36" s="553">
        <f t="shared" ref="AV36:AX36" si="90">AQ75</f>
        <v>193333.92800000001</v>
      </c>
      <c r="AW36" s="553">
        <f t="shared" si="90"/>
        <v>1677931.2140000002</v>
      </c>
      <c r="AX36" s="553">
        <f t="shared" si="90"/>
        <v>105560.91800000001</v>
      </c>
      <c r="AY36" s="554">
        <f>SUM(AU36:AX36)</f>
        <v>3458453.6920000003</v>
      </c>
      <c r="AZ36" s="553">
        <f>'Anuid PF'!Y35+'Anuid PF'!Z35</f>
        <v>914625.28600000008</v>
      </c>
      <c r="BA36" s="553">
        <f>'Anuid PJ'!V34+'Anuid PJ'!W34</f>
        <v>118858.71400000001</v>
      </c>
      <c r="BB36" s="553">
        <f>RRT!N33</f>
        <v>1247118.99</v>
      </c>
      <c r="BC36" s="553">
        <f>'TAXAS E MULTAS.'!H32</f>
        <v>88802.46</v>
      </c>
      <c r="BD36" s="554">
        <f>SUM(AZ36:BC36)</f>
        <v>2369405.4500000002</v>
      </c>
      <c r="BE36" s="553">
        <f t="shared" si="55"/>
        <v>1239272.07</v>
      </c>
      <c r="BF36" s="553">
        <f t="shared" ref="BF36" si="91">BA75</f>
        <v>184862.59400000001</v>
      </c>
      <c r="BG36" s="553">
        <f t="shared" ref="BG36" si="92">BB75</f>
        <v>1363014.8880000003</v>
      </c>
      <c r="BH36" s="553">
        <f t="shared" ref="BH36" si="93">BC75</f>
        <v>94979.003999999986</v>
      </c>
      <c r="BI36" s="554">
        <f>SUM(BE36:BH36)</f>
        <v>2882128.5560000003</v>
      </c>
      <c r="BJ36" s="553">
        <f>'Anuid PF'!AA35+'Anuid PF'!AB35</f>
        <v>1323742.804</v>
      </c>
      <c r="BK36" s="553">
        <f>'Anuid PJ'!X34+'Anuid PJ'!Y34</f>
        <v>141244.03200000001</v>
      </c>
      <c r="BL36" s="553">
        <f>RRT!O33</f>
        <v>1513739.71</v>
      </c>
      <c r="BM36" s="553">
        <f>'TAXAS E MULTAS.'!I32</f>
        <v>101532.75599999999</v>
      </c>
      <c r="BN36" s="554">
        <f>SUM(BJ36:BM36)</f>
        <v>3080259.3020000001</v>
      </c>
      <c r="BO36" s="553">
        <f t="shared" ref="BO36" si="94">BJ75</f>
        <v>727956.97600000002</v>
      </c>
      <c r="BP36" s="553">
        <f t="shared" ref="BP36" si="95">BK75</f>
        <v>131528.13</v>
      </c>
      <c r="BQ36" s="553">
        <f t="shared" ref="BQ36" si="96">BL75</f>
        <v>1642136.834</v>
      </c>
      <c r="BR36" s="553">
        <f t="shared" ref="BR36" si="97">BM75</f>
        <v>177262.69600000003</v>
      </c>
      <c r="BS36" s="554">
        <f>SUM(BO36:BR36)</f>
        <v>2678884.6359999999</v>
      </c>
      <c r="BT36" s="553">
        <f>'Anuid PF'!AC35+'Anuid PF'!AD35</f>
        <v>1398056.2780000002</v>
      </c>
      <c r="BU36" s="553">
        <f>'Anuid PJ'!Z34+'Anuid PJ'!AA34</f>
        <v>179229.02800000002</v>
      </c>
      <c r="BV36" s="553">
        <f>RRT!P33</f>
        <v>1604536.9840000002</v>
      </c>
      <c r="BW36" s="553">
        <f>'TAXAS E MULTAS.'!J32</f>
        <v>118738.098</v>
      </c>
      <c r="BX36" s="554">
        <f>SUM(BT36:BW36)</f>
        <v>3300560.3880000003</v>
      </c>
      <c r="BY36" s="553">
        <f t="shared" ref="BY36" si="98">BT75</f>
        <v>619492.76799999992</v>
      </c>
      <c r="BZ36" s="553">
        <f t="shared" ref="BZ36" si="99">BU75</f>
        <v>113363.54399999999</v>
      </c>
      <c r="CA36" s="553">
        <f t="shared" ref="CA36" si="100">BV75</f>
        <v>1635066.2800000003</v>
      </c>
      <c r="CB36" s="553">
        <f t="shared" ref="CB36" si="101">BW75</f>
        <v>166760.098</v>
      </c>
      <c r="CC36" s="554">
        <f>SUM(BY36:CB36)</f>
        <v>2534682.6900000004</v>
      </c>
      <c r="CD36" s="553">
        <f>'Anuid PF'!AE35+'Anuid PF'!AF35</f>
        <v>705566.10400000005</v>
      </c>
      <c r="CE36" s="553">
        <f>'Anuid PJ'!AB34+'Anuid PJ'!AC34</f>
        <v>77571.923999999999</v>
      </c>
      <c r="CF36" s="553">
        <f>RRT!Q33</f>
        <v>1582872</v>
      </c>
      <c r="CG36" s="553">
        <f>'TAXAS E MULTAS.'!K32</f>
        <v>145690.24000000002</v>
      </c>
      <c r="CH36" s="554">
        <f>SUM(CD36:CG36)</f>
        <v>2511700.2680000002</v>
      </c>
      <c r="CI36" s="553">
        <f>CD75</f>
        <v>531818.92000000004</v>
      </c>
      <c r="CJ36" s="553">
        <f t="shared" ref="CJ36:CL36" si="102">CE75</f>
        <v>93496.822000000015</v>
      </c>
      <c r="CK36" s="553">
        <f t="shared" si="102"/>
        <v>1565646.122</v>
      </c>
      <c r="CL36" s="553">
        <f t="shared" si="102"/>
        <v>148748.85000000003</v>
      </c>
      <c r="CM36" s="554">
        <f>SUM(CI36:CL36)</f>
        <v>2339710.7140000002</v>
      </c>
      <c r="CN36" s="553">
        <f>'Anuid PF'!AG35+'Anuid PF'!AH35</f>
        <v>647234.13600000006</v>
      </c>
      <c r="CO36" s="553">
        <f>'Anuid PJ'!AD34+'Anuid PJ'!AE34</f>
        <v>63481.343999999997</v>
      </c>
      <c r="CP36" s="553">
        <f>RRT!R33</f>
        <v>1753559.6700000002</v>
      </c>
      <c r="CQ36" s="553">
        <f>'TAXAS E MULTAS.'!L32</f>
        <v>151103.64600000001</v>
      </c>
      <c r="CR36" s="554">
        <f>SUM(CN36:CQ36)</f>
        <v>2615378.7960000006</v>
      </c>
      <c r="CS36" s="553">
        <f t="shared" ref="CS36" si="103">CN75</f>
        <v>558243.58400000003</v>
      </c>
      <c r="CT36" s="553">
        <f t="shared" ref="CT36" si="104">CO75</f>
        <v>101466.92600000001</v>
      </c>
      <c r="CU36" s="553">
        <f t="shared" ref="CU36" si="105">CP75</f>
        <v>1690182.41</v>
      </c>
      <c r="CV36" s="553">
        <f t="shared" ref="CV36" si="106">CQ75</f>
        <v>187696.22199999998</v>
      </c>
      <c r="CW36" s="554">
        <f>SUM(CS36:CV36)</f>
        <v>2537589.142</v>
      </c>
      <c r="CX36" s="553">
        <f>'Anuid PF'!AI35+'Anuid PF'!AJ35</f>
        <v>534873.62999999989</v>
      </c>
      <c r="CY36" s="553">
        <f>'Anuid PJ'!AF34+'Anuid PJ'!AG34</f>
        <v>63755.896000000008</v>
      </c>
      <c r="CZ36" s="553">
        <f>RRT!S33</f>
        <v>1545164.2340000002</v>
      </c>
      <c r="DA36" s="553">
        <f>'TAXAS E MULTAS.'!M32</f>
        <v>151649.60200000004</v>
      </c>
      <c r="DB36" s="554">
        <f>SUM(CX36:DA36)</f>
        <v>2295443.3619999997</v>
      </c>
      <c r="DC36" s="553">
        <f>CX75</f>
        <v>466300.21600000001</v>
      </c>
      <c r="DD36" s="553">
        <f t="shared" ref="DD36:DF36" si="107">CY75</f>
        <v>82892.347999999998</v>
      </c>
      <c r="DE36" s="553">
        <f t="shared" si="107"/>
        <v>1443658.108</v>
      </c>
      <c r="DF36" s="553">
        <f t="shared" si="107"/>
        <v>170415.28200000001</v>
      </c>
      <c r="DG36" s="554">
        <f>SUM(DC36:DF36)</f>
        <v>2163265.9539999999</v>
      </c>
      <c r="DH36" s="553">
        <f>'Anuid PF'!AK35+'Anuid PF'!AL35</f>
        <v>582813.15000000014</v>
      </c>
      <c r="DI36" s="553">
        <f>'Anuid PJ'!AH34+'Anuid PJ'!AI34</f>
        <v>72889.847999999998</v>
      </c>
      <c r="DJ36" s="553">
        <f>RRT!T33</f>
        <v>1488585.33</v>
      </c>
      <c r="DK36" s="553">
        <f>'TAXAS E MULTAS.'!N32</f>
        <v>154557.87999999998</v>
      </c>
      <c r="DL36" s="554">
        <f>SUM(DH36:DK36)</f>
        <v>2298846.2080000001</v>
      </c>
      <c r="DM36" s="553">
        <f>DH75</f>
        <v>594918.89199999999</v>
      </c>
      <c r="DN36" s="553">
        <f t="shared" ref="DN36:DP36" si="108">DI75</f>
        <v>97056.356</v>
      </c>
      <c r="DO36" s="553">
        <f t="shared" si="108"/>
        <v>1343170.794</v>
      </c>
      <c r="DP36" s="553">
        <f t="shared" si="108"/>
        <v>211269.18400000001</v>
      </c>
      <c r="DQ36" s="552">
        <f>SUM(DM36:DP36)</f>
        <v>2246415.2259999998</v>
      </c>
      <c r="DR36" s="555">
        <f>B36+L36+V36+AF36+AP36+AZ36+BJ36+BT36+CD36+CN36+CX36+DH36</f>
        <v>14277528.032</v>
      </c>
      <c r="DS36" s="553">
        <f>C36+M36+W36+AG36+AQ36+BA36+BK36+BU36+CE36+CO36+CY36+DI36</f>
        <v>1821072.2080000001</v>
      </c>
      <c r="DT36" s="553">
        <f>D36+N36+X36+AH36+AR36+BB36+BL36+BV36+CF36+CP36+CZ36+DJ36</f>
        <v>16282698.83</v>
      </c>
      <c r="DU36" s="553">
        <f>E36+O36+Y36+AI36+AS36+BC36+BM36+BW36+CG36+CQ36+DA36+DK36</f>
        <v>1483122.3079999997</v>
      </c>
      <c r="DV36" s="554">
        <f>SUM(DR36:DU36)</f>
        <v>33864421.377999999</v>
      </c>
      <c r="DW36" s="553">
        <f>G36+Q36+AA36+AK36+AU36+BE36+BO36+BY36+CI917+CI36+CS36+DC36+DM36</f>
        <v>13506142.193999998</v>
      </c>
      <c r="DX36" s="553">
        <f>H36+R36+AB36+AL36+AV36+BF36+BP36+BZ36+CJ917+CJ36+CT36+DD36+DN36</f>
        <v>1950552.568</v>
      </c>
      <c r="DY36" s="553">
        <f>I36+S36+AC36+AM36+AW36+BG36+BQ36+CA36+CK917+CK36+CU36+DE36+DO36</f>
        <v>17673613.882000003</v>
      </c>
      <c r="DZ36" s="553">
        <f>J36+T36+AD36+AN36+AX36+BH36+BR36+CB36+CL917+CL36+CV36+DF36+DP36</f>
        <v>1716839.1705999998</v>
      </c>
      <c r="EA36" s="552">
        <f t="shared" si="41"/>
        <v>34847147.814599998</v>
      </c>
      <c r="EB36" s="551">
        <f t="shared" si="42"/>
        <v>5.7113706261932009</v>
      </c>
      <c r="EC36" s="551">
        <f t="shared" si="43"/>
        <v>-6.6381374244511022</v>
      </c>
      <c r="ED36" s="551">
        <f t="shared" si="44"/>
        <v>-7.8700092764649838</v>
      </c>
      <c r="EE36" s="551">
        <f t="shared" si="45"/>
        <v>-13.613206560188218</v>
      </c>
      <c r="EF36" s="550">
        <f t="shared" si="46"/>
        <v>-2.8201057998447254</v>
      </c>
    </row>
    <row r="37" spans="1:137" ht="15.75" thickBot="1">
      <c r="A37" s="549" t="s">
        <v>534</v>
      </c>
      <c r="B37" s="546">
        <f>B35+B36</f>
        <v>13985744.119999997</v>
      </c>
      <c r="C37" s="546">
        <f>C35+C36</f>
        <v>1673728.3000000003</v>
      </c>
      <c r="D37" s="546">
        <f>D35+D36</f>
        <v>6095755.0299999993</v>
      </c>
      <c r="E37" s="548">
        <f>E35+E36</f>
        <v>821160.5700000003</v>
      </c>
      <c r="F37" s="548">
        <f t="shared" si="0"/>
        <v>22576388.019999996</v>
      </c>
      <c r="G37" s="546">
        <f>G35+G36</f>
        <v>12200900.560000002</v>
      </c>
      <c r="H37" s="546">
        <f>H35+H36</f>
        <v>1321877.1000000001</v>
      </c>
      <c r="I37" s="546">
        <f>I35+I36</f>
        <v>5455921.5000000009</v>
      </c>
      <c r="J37" s="546">
        <f>J35+J36</f>
        <v>648692.31000000006</v>
      </c>
      <c r="K37" s="547">
        <f>SUM(G37:J37)</f>
        <v>19627391.470000003</v>
      </c>
      <c r="L37" s="546">
        <f t="shared" ref="L37:T37" si="109">L35+L36</f>
        <v>12716319.180000003</v>
      </c>
      <c r="M37" s="546">
        <f t="shared" si="109"/>
        <v>1917498.4899999998</v>
      </c>
      <c r="N37" s="546">
        <f t="shared" si="109"/>
        <v>6486719.6099999994</v>
      </c>
      <c r="O37" s="546">
        <f t="shared" si="109"/>
        <v>670526.56000000006</v>
      </c>
      <c r="P37" s="546">
        <f t="shared" si="109"/>
        <v>21791063.840000004</v>
      </c>
      <c r="Q37" s="546">
        <f t="shared" si="109"/>
        <v>12717144.27</v>
      </c>
      <c r="R37" s="546">
        <f t="shared" si="109"/>
        <v>1864410.85</v>
      </c>
      <c r="S37" s="546">
        <f t="shared" si="109"/>
        <v>6734481.0600000015</v>
      </c>
      <c r="T37" s="546">
        <f t="shared" si="109"/>
        <v>628940.54999999993</v>
      </c>
      <c r="U37" s="547">
        <f>SUM(Q37:T37)</f>
        <v>21944976.73</v>
      </c>
      <c r="V37" s="546">
        <f t="shared" ref="V37:AD37" si="110">V35+V36</f>
        <v>7528262.1299999999</v>
      </c>
      <c r="W37" s="546">
        <f t="shared" si="110"/>
        <v>1072700.2999999998</v>
      </c>
      <c r="X37" s="546">
        <f t="shared" si="110"/>
        <v>6574574.5700000003</v>
      </c>
      <c r="Y37" s="546">
        <f t="shared" si="110"/>
        <v>635966.18999999994</v>
      </c>
      <c r="Z37" s="546">
        <f t="shared" si="110"/>
        <v>15811503.190000001</v>
      </c>
      <c r="AA37" s="546">
        <f t="shared" si="110"/>
        <v>5456022.7799999993</v>
      </c>
      <c r="AB37" s="546">
        <f t="shared" si="110"/>
        <v>736185.93000000028</v>
      </c>
      <c r="AC37" s="546">
        <f t="shared" si="110"/>
        <v>6636331.9300000006</v>
      </c>
      <c r="AD37" s="546">
        <f t="shared" si="110"/>
        <v>485833.08</v>
      </c>
      <c r="AE37" s="546">
        <f>SUM(AA37:AD37)</f>
        <v>13314373.720000001</v>
      </c>
      <c r="AF37" s="546">
        <f t="shared" ref="AF37:AN37" si="111">AF35+AF36</f>
        <v>3524794.5000000005</v>
      </c>
      <c r="AG37" s="546">
        <f t="shared" si="111"/>
        <v>460356.91</v>
      </c>
      <c r="AH37" s="546">
        <f t="shared" si="111"/>
        <v>3768137.9000000004</v>
      </c>
      <c r="AI37" s="546">
        <f t="shared" si="111"/>
        <v>388580.88</v>
      </c>
      <c r="AJ37" s="546">
        <f>AJ35+AJ36</f>
        <v>8141870.1900000013</v>
      </c>
      <c r="AK37" s="546">
        <f t="shared" si="111"/>
        <v>6064786.1700000009</v>
      </c>
      <c r="AL37" s="546">
        <f t="shared" si="111"/>
        <v>841383.39000000013</v>
      </c>
      <c r="AM37" s="546">
        <f t="shared" si="111"/>
        <v>7733387.1900000004</v>
      </c>
      <c r="AN37" s="546">
        <f t="shared" si="111"/>
        <v>528782.26299999992</v>
      </c>
      <c r="AO37" s="546">
        <f>SUM(AK37:AN37)</f>
        <v>15168339.013</v>
      </c>
      <c r="AP37" s="546">
        <f t="shared" ref="AP37:AX37" si="112">AP35+AP36</f>
        <v>3097963.29</v>
      </c>
      <c r="AQ37" s="546">
        <f t="shared" si="112"/>
        <v>395923.11</v>
      </c>
      <c r="AR37" s="546">
        <f t="shared" si="112"/>
        <v>4810422.45</v>
      </c>
      <c r="AS37" s="546">
        <f t="shared" si="112"/>
        <v>354397.04</v>
      </c>
      <c r="AT37" s="546">
        <f t="shared" si="112"/>
        <v>8658705.8900000006</v>
      </c>
      <c r="AU37" s="546">
        <f t="shared" si="112"/>
        <v>7408138.1600000011</v>
      </c>
      <c r="AV37" s="546">
        <f t="shared" si="112"/>
        <v>966669.6399999999</v>
      </c>
      <c r="AW37" s="546">
        <f t="shared" si="112"/>
        <v>8389656.0700000003</v>
      </c>
      <c r="AX37" s="546">
        <f t="shared" si="112"/>
        <v>533826.08000000007</v>
      </c>
      <c r="AY37" s="546">
        <f>SUM(AU37:AX37)</f>
        <v>17298289.950000003</v>
      </c>
      <c r="AZ37" s="546">
        <f t="shared" ref="AZ37:BH37" si="113">AZ35+AZ36</f>
        <v>4573126.4300000006</v>
      </c>
      <c r="BA37" s="546">
        <f t="shared" si="113"/>
        <v>594293.57000000007</v>
      </c>
      <c r="BB37" s="546">
        <f t="shared" si="113"/>
        <v>6235594.9500000011</v>
      </c>
      <c r="BC37" s="546">
        <f t="shared" si="113"/>
        <v>449221.93</v>
      </c>
      <c r="BD37" s="546">
        <f t="shared" si="113"/>
        <v>11852236.880000003</v>
      </c>
      <c r="BE37" s="546">
        <f t="shared" si="113"/>
        <v>6196360.3500000006</v>
      </c>
      <c r="BF37" s="546">
        <f t="shared" si="113"/>
        <v>924312.97000000009</v>
      </c>
      <c r="BG37" s="546">
        <f t="shared" si="113"/>
        <v>6815074.4400000013</v>
      </c>
      <c r="BH37" s="546">
        <f t="shared" si="113"/>
        <v>479174.65</v>
      </c>
      <c r="BI37" s="547">
        <f>SUM(BE37:BH37)</f>
        <v>14414922.410000002</v>
      </c>
      <c r="BJ37" s="546">
        <f t="shared" ref="BJ37:BR37" si="114">BJ35+BJ36</f>
        <v>6618714.0199999996</v>
      </c>
      <c r="BK37" s="546">
        <f t="shared" si="114"/>
        <v>706220.16000000015</v>
      </c>
      <c r="BL37" s="546">
        <f t="shared" si="114"/>
        <v>7568698.5500000007</v>
      </c>
      <c r="BM37" s="546">
        <f t="shared" si="114"/>
        <v>521006.64</v>
      </c>
      <c r="BN37" s="546">
        <f t="shared" si="114"/>
        <v>15414639.369999997</v>
      </c>
      <c r="BO37" s="546">
        <f t="shared" si="114"/>
        <v>3639784.8800000008</v>
      </c>
      <c r="BP37" s="546">
        <f t="shared" si="114"/>
        <v>657640.65</v>
      </c>
      <c r="BQ37" s="546">
        <f t="shared" si="114"/>
        <v>8210684.1699999999</v>
      </c>
      <c r="BR37" s="546">
        <f t="shared" si="114"/>
        <v>890911.14</v>
      </c>
      <c r="BS37" s="547">
        <f>SUM(BO37:BR37)</f>
        <v>13399020.840000002</v>
      </c>
      <c r="BT37" s="546">
        <f t="shared" ref="BT37:CB37" si="115">BT35+BT36</f>
        <v>6990281.3900000006</v>
      </c>
      <c r="BU37" s="546">
        <f t="shared" si="115"/>
        <v>896145.14000000013</v>
      </c>
      <c r="BV37" s="546">
        <f t="shared" si="115"/>
        <v>8022684.9200000009</v>
      </c>
      <c r="BW37" s="546">
        <f t="shared" si="115"/>
        <v>609071.41</v>
      </c>
      <c r="BX37" s="546">
        <f t="shared" si="115"/>
        <v>16518182.860000003</v>
      </c>
      <c r="BY37" s="546">
        <f t="shared" si="115"/>
        <v>3097463.84</v>
      </c>
      <c r="BZ37" s="546">
        <f t="shared" si="115"/>
        <v>566817.72</v>
      </c>
      <c r="CA37" s="546">
        <f t="shared" si="115"/>
        <v>8175331.4000000013</v>
      </c>
      <c r="CB37" s="546">
        <f t="shared" si="115"/>
        <v>837570.77</v>
      </c>
      <c r="CC37" s="547">
        <f>SUM(BY37:CB37)</f>
        <v>12677183.73</v>
      </c>
      <c r="CD37" s="546">
        <f t="shared" ref="CD37:CL37" si="116">CD35+CD36</f>
        <v>3527830.5199999996</v>
      </c>
      <c r="CE37" s="546">
        <f t="shared" si="116"/>
        <v>387859.62000000011</v>
      </c>
      <c r="CF37" s="546">
        <f t="shared" si="116"/>
        <v>7914360.0000000009</v>
      </c>
      <c r="CG37" s="546">
        <f t="shared" si="116"/>
        <v>745389.69000000006</v>
      </c>
      <c r="CH37" s="546">
        <f t="shared" si="116"/>
        <v>12575439.830000002</v>
      </c>
      <c r="CI37" s="546">
        <f t="shared" si="116"/>
        <v>2659094.6</v>
      </c>
      <c r="CJ37" s="546">
        <f t="shared" si="116"/>
        <v>467484.11</v>
      </c>
      <c r="CK37" s="546">
        <f t="shared" si="116"/>
        <v>7828230.6100000013</v>
      </c>
      <c r="CL37" s="546">
        <f t="shared" si="116"/>
        <v>749063.17000000016</v>
      </c>
      <c r="CM37" s="547">
        <f>SUM(CI37:CL37)</f>
        <v>11703872.49</v>
      </c>
      <c r="CN37" s="546">
        <f t="shared" ref="CN37:CV37" si="117">CN35+CN36</f>
        <v>3236170.68</v>
      </c>
      <c r="CO37" s="546">
        <f t="shared" si="117"/>
        <v>317406.72000000003</v>
      </c>
      <c r="CP37" s="546">
        <f t="shared" si="117"/>
        <v>8767798.3500000015</v>
      </c>
      <c r="CQ37" s="546">
        <f t="shared" si="117"/>
        <v>770388.81</v>
      </c>
      <c r="CR37" s="546">
        <f t="shared" si="117"/>
        <v>13091764.559999999</v>
      </c>
      <c r="CS37" s="546">
        <f t="shared" si="117"/>
        <v>2791217.9200000009</v>
      </c>
      <c r="CT37" s="546">
        <f t="shared" si="117"/>
        <v>507334.63</v>
      </c>
      <c r="CU37" s="546">
        <f t="shared" si="117"/>
        <v>8450912.0499999989</v>
      </c>
      <c r="CV37" s="546">
        <f t="shared" si="117"/>
        <v>944488.4</v>
      </c>
      <c r="CW37" s="547">
        <f>SUM(CS37:CV37)</f>
        <v>12693953</v>
      </c>
      <c r="CX37" s="546">
        <f t="shared" ref="CX37:DF37" si="118">CX35+CX36</f>
        <v>2674368.1500000004</v>
      </c>
      <c r="CY37" s="546">
        <f t="shared" si="118"/>
        <v>318779.48</v>
      </c>
      <c r="CZ37" s="546">
        <f t="shared" si="118"/>
        <v>7725821.1700000009</v>
      </c>
      <c r="DA37" s="546">
        <f t="shared" si="118"/>
        <v>771584.68000000017</v>
      </c>
      <c r="DB37" s="546">
        <f t="shared" si="118"/>
        <v>11490553.48</v>
      </c>
      <c r="DC37" s="546">
        <f t="shared" si="118"/>
        <v>2331501.08</v>
      </c>
      <c r="DD37" s="546">
        <f t="shared" si="118"/>
        <v>414461.74</v>
      </c>
      <c r="DE37" s="546">
        <f t="shared" si="118"/>
        <v>7218290.54</v>
      </c>
      <c r="DF37" s="546">
        <f t="shared" si="118"/>
        <v>858213.85000000009</v>
      </c>
      <c r="DG37" s="547">
        <f>SUM(DC37:DF37)</f>
        <v>10822467.209999999</v>
      </c>
      <c r="DH37" s="546">
        <f t="shared" ref="DH37:DP37" si="119">DH35+DH36</f>
        <v>2914065.75</v>
      </c>
      <c r="DI37" s="546">
        <f t="shared" si="119"/>
        <v>364449.24000000005</v>
      </c>
      <c r="DJ37" s="546">
        <f t="shared" si="119"/>
        <v>7442926.6499999994</v>
      </c>
      <c r="DK37" s="546">
        <f t="shared" si="119"/>
        <v>782024.30999999994</v>
      </c>
      <c r="DL37" s="546">
        <f t="shared" si="119"/>
        <v>11503465.950000001</v>
      </c>
      <c r="DM37" s="546">
        <f t="shared" si="119"/>
        <v>2974594.46</v>
      </c>
      <c r="DN37" s="546">
        <f t="shared" si="119"/>
        <v>485281.77999999991</v>
      </c>
      <c r="DO37" s="546">
        <f t="shared" si="119"/>
        <v>6715853.9699999997</v>
      </c>
      <c r="DP37" s="546">
        <f t="shared" si="119"/>
        <v>1062498.79</v>
      </c>
      <c r="DQ37" s="545">
        <f>SUM(DM37:DP37)</f>
        <v>11238229</v>
      </c>
      <c r="DR37" s="544">
        <f>DR35+DR36</f>
        <v>71387640.159999996</v>
      </c>
      <c r="DS37" s="543">
        <f>DS35+DS36</f>
        <v>9105361.0399999991</v>
      </c>
      <c r="DT37" s="543">
        <f>DT35+DT36</f>
        <v>81413494.150000006</v>
      </c>
      <c r="DU37" s="543">
        <f>DU35+DU36</f>
        <v>7519318.7100000009</v>
      </c>
      <c r="DV37" s="543">
        <f>SUM(DR37:DU37)</f>
        <v>169425814.06</v>
      </c>
      <c r="DW37" s="543">
        <f>DW35+DW36</f>
        <v>67537009.070000008</v>
      </c>
      <c r="DX37" s="543">
        <f>DX35+DX36</f>
        <v>9753860.5099999979</v>
      </c>
      <c r="DY37" s="543">
        <f>DY35+DY36</f>
        <v>88364154.930000007</v>
      </c>
      <c r="DZ37" s="543">
        <f>DZ35+DZ36</f>
        <v>8647995.0529999994</v>
      </c>
      <c r="EA37" s="543">
        <f>EA35+EA36</f>
        <v>174303019.56300002</v>
      </c>
      <c r="EB37" s="542">
        <f t="shared" si="42"/>
        <v>5.7015126121574724</v>
      </c>
      <c r="EC37" s="542">
        <f t="shared" si="43"/>
        <v>-6.6486440864633494</v>
      </c>
      <c r="ED37" s="542">
        <f t="shared" si="44"/>
        <v>-7.8659279721581186</v>
      </c>
      <c r="EE37" s="542">
        <f t="shared" si="45"/>
        <v>-13.051306529233727</v>
      </c>
      <c r="EF37" s="541">
        <f t="shared" si="46"/>
        <v>-2.7981187676655281</v>
      </c>
    </row>
    <row r="38" spans="1:137">
      <c r="A38" s="540" t="s">
        <v>553</v>
      </c>
      <c r="B38" s="536"/>
      <c r="C38" s="536"/>
      <c r="D38" s="534"/>
      <c r="E38" s="534"/>
      <c r="F38" s="534"/>
      <c r="G38" s="534"/>
      <c r="H38" s="534"/>
      <c r="I38" s="534"/>
      <c r="J38" s="534"/>
      <c r="K38" s="534"/>
      <c r="L38" s="536"/>
      <c r="M38" s="536"/>
      <c r="N38" s="534"/>
      <c r="O38" s="534"/>
      <c r="P38" s="534"/>
      <c r="Q38" s="534"/>
      <c r="R38" s="534"/>
      <c r="S38" s="534"/>
      <c r="T38" s="534"/>
      <c r="U38" s="534"/>
      <c r="V38" s="536"/>
      <c r="W38" s="536"/>
      <c r="X38" s="534"/>
      <c r="Y38" s="534"/>
      <c r="Z38" s="534"/>
      <c r="AA38" s="534"/>
      <c r="AB38" s="534"/>
      <c r="AC38" s="534"/>
      <c r="AD38" s="534"/>
      <c r="AE38" s="534"/>
      <c r="AF38" s="536"/>
      <c r="AG38" s="536"/>
      <c r="AH38" s="534"/>
      <c r="AI38" s="534"/>
      <c r="AJ38" s="534"/>
      <c r="AK38" s="534"/>
      <c r="AL38" s="534"/>
      <c r="AM38" s="534"/>
      <c r="AN38" s="534"/>
      <c r="AO38" s="534"/>
      <c r="AP38" s="536"/>
      <c r="AQ38" s="536"/>
      <c r="AR38" s="534"/>
      <c r="AS38" s="534"/>
      <c r="AT38" s="534"/>
      <c r="AU38" s="534"/>
      <c r="AV38" s="534"/>
      <c r="AW38" s="534"/>
      <c r="AX38" s="534"/>
      <c r="AY38" s="535"/>
      <c r="AZ38" s="539"/>
      <c r="BA38" s="539"/>
      <c r="BB38" s="538"/>
      <c r="BC38" s="538"/>
      <c r="BD38" s="538"/>
      <c r="BE38" s="538"/>
      <c r="BF38" s="538">
        <v>685250.24000000011</v>
      </c>
      <c r="BG38" s="538">
        <v>6720802.7600000007</v>
      </c>
      <c r="BH38" s="538">
        <v>540003.85000000009</v>
      </c>
      <c r="BI38" s="538">
        <v>12352637.82</v>
      </c>
      <c r="BJ38" s="536"/>
      <c r="BK38" s="536"/>
      <c r="BL38" s="534"/>
      <c r="BM38" s="534"/>
      <c r="BN38" s="534"/>
      <c r="BO38" s="534"/>
      <c r="BP38" s="534"/>
      <c r="BQ38" s="534"/>
      <c r="BR38" s="534"/>
      <c r="BS38" s="535"/>
      <c r="BT38" s="536"/>
      <c r="BU38" s="536"/>
      <c r="BV38" s="534"/>
      <c r="BW38" s="534"/>
      <c r="BX38" s="534"/>
      <c r="BY38" s="534"/>
      <c r="BZ38" s="534"/>
      <c r="CA38" s="534"/>
      <c r="CB38" s="537"/>
      <c r="CC38" s="535"/>
      <c r="CD38" s="536"/>
      <c r="CE38" s="536"/>
      <c r="CF38" s="534"/>
      <c r="CG38" s="534"/>
      <c r="CH38" s="534"/>
      <c r="CI38" s="534"/>
      <c r="CJ38" s="534"/>
      <c r="CK38" s="534"/>
      <c r="CL38" s="534"/>
      <c r="CM38" s="535"/>
      <c r="CN38" s="536"/>
      <c r="CO38" s="536"/>
      <c r="CP38" s="534"/>
      <c r="CQ38" s="534"/>
      <c r="CR38" s="534"/>
      <c r="CS38" s="534"/>
      <c r="CT38" s="534"/>
      <c r="CU38" s="534"/>
      <c r="CV38" s="537"/>
      <c r="CW38" s="535"/>
      <c r="CX38" s="536"/>
      <c r="CY38" s="536"/>
      <c r="CZ38" s="534"/>
      <c r="DA38" s="534"/>
      <c r="DB38" s="534"/>
      <c r="DC38" s="534"/>
      <c r="DD38" s="534"/>
      <c r="DE38" s="534"/>
      <c r="DF38" s="534"/>
      <c r="DG38" s="535"/>
      <c r="DH38" s="536"/>
      <c r="DI38" s="536"/>
      <c r="DJ38" s="534"/>
      <c r="DK38" s="534"/>
      <c r="DL38" s="534"/>
      <c r="DM38" s="534"/>
      <c r="DN38" s="534"/>
      <c r="DO38" s="534"/>
      <c r="DP38" s="534"/>
      <c r="DQ38" s="535"/>
      <c r="DR38" s="534"/>
      <c r="DS38" s="534"/>
      <c r="DT38" s="534"/>
      <c r="DU38" s="534"/>
      <c r="DV38" s="534"/>
      <c r="DW38" s="534"/>
      <c r="DX38" s="534"/>
      <c r="DY38" s="534"/>
      <c r="DZ38" s="534"/>
      <c r="EA38" s="534"/>
      <c r="EB38" s="533"/>
      <c r="EC38" s="533"/>
      <c r="ED38" s="533"/>
      <c r="EE38" s="533"/>
      <c r="EF38" s="533"/>
    </row>
    <row r="39" spans="1:137" ht="26.25">
      <c r="A39" s="292"/>
      <c r="B39" s="307"/>
      <c r="C39" s="307"/>
      <c r="D39" s="292"/>
      <c r="E39" s="532"/>
      <c r="G39" s="292"/>
      <c r="H39" s="292"/>
      <c r="J39" s="310"/>
      <c r="K39" s="311"/>
      <c r="U39" s="61"/>
      <c r="AJ39" s="357" t="b">
        <f>'ARRECAD. TOTAL'!F36=AJ37</f>
        <v>1</v>
      </c>
      <c r="AT39" s="357"/>
      <c r="BD39" s="357"/>
      <c r="BN39" s="357"/>
      <c r="BS39" s="63"/>
      <c r="BT39" s="223"/>
      <c r="BU39" s="223"/>
      <c r="BV39" s="223"/>
      <c r="BW39" s="223"/>
      <c r="BX39" s="357"/>
      <c r="CC39" s="63"/>
      <c r="CD39" s="223"/>
      <c r="CE39" s="223"/>
      <c r="CF39" s="223"/>
      <c r="CG39" s="223"/>
      <c r="CH39" s="357"/>
      <c r="CM39" s="63"/>
      <c r="CN39" s="223"/>
      <c r="CO39" s="223"/>
      <c r="CP39" s="223"/>
      <c r="CQ39" s="223"/>
      <c r="CR39" s="357"/>
      <c r="CW39" s="63"/>
      <c r="CX39" s="223"/>
      <c r="CY39" s="223"/>
      <c r="CZ39" s="223"/>
      <c r="DA39" s="223"/>
      <c r="DB39" s="357"/>
      <c r="DG39" s="63"/>
      <c r="DH39" s="223"/>
      <c r="DI39" s="223"/>
      <c r="DJ39" s="223"/>
      <c r="DK39" s="223"/>
      <c r="DL39" s="357"/>
      <c r="DQ39" s="63"/>
      <c r="DR39" s="63"/>
      <c r="DS39" s="63"/>
      <c r="DT39" s="63"/>
      <c r="DU39" s="63"/>
      <c r="DV39" s="63" t="b">
        <f>DV37='ARRECAD. TOTAL'!O36</f>
        <v>1</v>
      </c>
      <c r="DW39" s="530"/>
      <c r="DX39" s="530"/>
      <c r="DY39" s="530"/>
      <c r="DZ39" s="530"/>
      <c r="EA39" s="530"/>
    </row>
    <row r="40" spans="1:137" ht="21" customHeight="1">
      <c r="A40" s="292"/>
      <c r="B40" s="307"/>
      <c r="C40" s="307"/>
      <c r="D40" s="308"/>
      <c r="E40" s="307"/>
      <c r="G40" s="477"/>
      <c r="H40" s="292"/>
      <c r="J40" s="446"/>
      <c r="K40" s="306"/>
      <c r="AA40" s="531"/>
      <c r="DV40" s="530"/>
      <c r="DW40" s="12"/>
      <c r="DX40" s="12"/>
      <c r="DY40" s="12"/>
      <c r="DZ40" s="12"/>
      <c r="EA40" s="12"/>
    </row>
    <row r="41" spans="1:137" ht="26.25">
      <c r="A41" s="292"/>
      <c r="B41" s="1348" t="s">
        <v>552</v>
      </c>
      <c r="C41" s="1348"/>
      <c r="D41" s="1348"/>
      <c r="E41" s="1348"/>
      <c r="F41" s="1348"/>
      <c r="G41" s="307"/>
      <c r="H41" s="292"/>
      <c r="I41" s="529"/>
      <c r="J41" s="446"/>
      <c r="K41" s="306"/>
      <c r="DS41" s="63"/>
      <c r="DV41" s="12"/>
      <c r="DW41" s="12"/>
      <c r="DX41" s="12"/>
      <c r="DY41" s="12"/>
      <c r="DZ41" s="12"/>
      <c r="EA41" s="12"/>
    </row>
    <row r="42" spans="1:137" ht="15.75">
      <c r="A42" s="526"/>
      <c r="B42" s="62">
        <f>'Anuid PF'!E36+'Anuid PF'!F36</f>
        <v>61987540.032557055</v>
      </c>
      <c r="C42" s="62">
        <f>'Anuid PJ'!D35+'Anuid PJ'!E35</f>
        <v>8385103.2993814368</v>
      </c>
      <c r="D42" s="62">
        <f>RRT!C34</f>
        <v>70227432.364500001</v>
      </c>
      <c r="E42" s="62">
        <f>'TAXAS E MULTAS.'!B33</f>
        <v>6207465.1184538156</v>
      </c>
      <c r="F42" s="528">
        <f>SUM(B42:E42)</f>
        <v>146807540.81489229</v>
      </c>
      <c r="G42" s="18"/>
      <c r="H42" s="18"/>
      <c r="I42" s="18"/>
      <c r="J42" s="18"/>
      <c r="K42" s="18"/>
      <c r="DV42" s="12"/>
      <c r="DW42" s="12"/>
      <c r="DX42" s="12"/>
      <c r="DY42" s="12"/>
      <c r="DZ42" s="12"/>
      <c r="EA42" s="12"/>
    </row>
    <row r="43" spans="1:137" ht="15.75">
      <c r="A43" s="526"/>
      <c r="B43" s="527">
        <f>B37/B42</f>
        <v>0.22562186066190745</v>
      </c>
      <c r="C43" s="527">
        <f>C37/C42</f>
        <v>0.19960735607436941</v>
      </c>
      <c r="D43" s="527">
        <f>D37/D42</f>
        <v>8.6800197939194579E-2</v>
      </c>
      <c r="E43" s="527">
        <f>E37/E42</f>
        <v>0.13228597411829499</v>
      </c>
      <c r="F43" s="527">
        <f>F37/F42</f>
        <v>0.15378220965138478</v>
      </c>
      <c r="G43" s="18"/>
      <c r="H43" s="18"/>
      <c r="I43" s="18"/>
      <c r="J43" s="18"/>
      <c r="K43" s="18"/>
    </row>
    <row r="44" spans="1:137" ht="15.75" thickBot="1">
      <c r="A44" s="526"/>
      <c r="B44" s="18"/>
      <c r="C44" s="18"/>
      <c r="D44" s="18"/>
      <c r="E44" s="18"/>
      <c r="F44" s="18"/>
      <c r="G44" s="18"/>
      <c r="H44" s="18"/>
      <c r="I44" s="18"/>
      <c r="J44" s="18"/>
      <c r="K44" s="18"/>
    </row>
    <row r="45" spans="1:137">
      <c r="A45" s="1337" t="s">
        <v>182</v>
      </c>
      <c r="B45" s="1335">
        <v>43466</v>
      </c>
      <c r="C45" s="1335"/>
      <c r="D45" s="1335"/>
      <c r="E45" s="1335"/>
      <c r="F45" s="1335"/>
      <c r="G45" s="1336">
        <v>43101</v>
      </c>
      <c r="H45" s="1336"/>
      <c r="I45" s="1336"/>
      <c r="J45" s="1336"/>
      <c r="K45" s="1336"/>
      <c r="L45" s="1335">
        <v>43497</v>
      </c>
      <c r="M45" s="1335"/>
      <c r="N45" s="1335"/>
      <c r="O45" s="1335"/>
      <c r="P45" s="1335"/>
      <c r="Q45" s="1336">
        <v>43132</v>
      </c>
      <c r="R45" s="1336"/>
      <c r="S45" s="1336"/>
      <c r="T45" s="1336"/>
      <c r="U45" s="1336"/>
      <c r="V45" s="1335">
        <v>43525</v>
      </c>
      <c r="W45" s="1335"/>
      <c r="X45" s="1335"/>
      <c r="Y45" s="1335"/>
      <c r="Z45" s="1335"/>
      <c r="AA45" s="1336">
        <v>43160</v>
      </c>
      <c r="AB45" s="1336"/>
      <c r="AC45" s="1336"/>
      <c r="AD45" s="1336"/>
      <c r="AE45" s="1336"/>
      <c r="AF45" s="1335">
        <v>43556</v>
      </c>
      <c r="AG45" s="1335"/>
      <c r="AH45" s="1335"/>
      <c r="AI45" s="1335"/>
      <c r="AJ45" s="1335"/>
      <c r="AK45" s="1336">
        <v>43191</v>
      </c>
      <c r="AL45" s="1336"/>
      <c r="AM45" s="1336"/>
      <c r="AN45" s="1336"/>
      <c r="AO45" s="1336"/>
      <c r="AP45" s="1335">
        <v>43586</v>
      </c>
      <c r="AQ45" s="1335"/>
      <c r="AR45" s="1335"/>
      <c r="AS45" s="1335"/>
      <c r="AT45" s="1335"/>
      <c r="AU45" s="1336">
        <v>43221</v>
      </c>
      <c r="AV45" s="1336"/>
      <c r="AW45" s="1336"/>
      <c r="AX45" s="1336"/>
      <c r="AY45" s="1336"/>
      <c r="AZ45" s="1335">
        <v>43617</v>
      </c>
      <c r="BA45" s="1335"/>
      <c r="BB45" s="1335"/>
      <c r="BC45" s="1335"/>
      <c r="BD45" s="1335"/>
      <c r="BE45" s="1336">
        <v>43252</v>
      </c>
      <c r="BF45" s="1336"/>
      <c r="BG45" s="1336"/>
      <c r="BH45" s="1336"/>
      <c r="BI45" s="1336"/>
      <c r="BJ45" s="1335">
        <v>43647</v>
      </c>
      <c r="BK45" s="1335"/>
      <c r="BL45" s="1335"/>
      <c r="BM45" s="1335"/>
      <c r="BN45" s="1335"/>
      <c r="BO45" s="1336">
        <v>43282</v>
      </c>
      <c r="BP45" s="1336"/>
      <c r="BQ45" s="1336"/>
      <c r="BR45" s="1336"/>
      <c r="BS45" s="1336"/>
      <c r="BT45" s="1335">
        <v>43678</v>
      </c>
      <c r="BU45" s="1335"/>
      <c r="BV45" s="1335"/>
      <c r="BW45" s="1335"/>
      <c r="BX45" s="1335"/>
      <c r="BY45" s="1336">
        <v>43313</v>
      </c>
      <c r="BZ45" s="1336"/>
      <c r="CA45" s="1336"/>
      <c r="CB45" s="1336"/>
      <c r="CC45" s="1336"/>
      <c r="CD45" s="1335">
        <v>43709</v>
      </c>
      <c r="CE45" s="1335"/>
      <c r="CF45" s="1335"/>
      <c r="CG45" s="1335"/>
      <c r="CH45" s="1335"/>
      <c r="CI45" s="1336">
        <v>43344</v>
      </c>
      <c r="CJ45" s="1336"/>
      <c r="CK45" s="1336"/>
      <c r="CL45" s="1336"/>
      <c r="CM45" s="1336"/>
      <c r="CN45" s="1335">
        <v>43739</v>
      </c>
      <c r="CO45" s="1335"/>
      <c r="CP45" s="1335"/>
      <c r="CQ45" s="1335"/>
      <c r="CR45" s="1335"/>
      <c r="CS45" s="1336">
        <v>43374</v>
      </c>
      <c r="CT45" s="1336"/>
      <c r="CU45" s="1336"/>
      <c r="CV45" s="1336"/>
      <c r="CW45" s="1336"/>
      <c r="CX45" s="1335">
        <v>43770</v>
      </c>
      <c r="CY45" s="1335"/>
      <c r="CZ45" s="1335"/>
      <c r="DA45" s="1335"/>
      <c r="DB45" s="1335"/>
      <c r="DC45" s="1336">
        <v>43405</v>
      </c>
      <c r="DD45" s="1336"/>
      <c r="DE45" s="1336"/>
      <c r="DF45" s="1336"/>
      <c r="DG45" s="1336"/>
      <c r="DH45" s="1335">
        <v>43800</v>
      </c>
      <c r="DI45" s="1335"/>
      <c r="DJ45" s="1335"/>
      <c r="DK45" s="1335"/>
      <c r="DL45" s="1335"/>
      <c r="DM45" s="1336">
        <v>43435</v>
      </c>
      <c r="DN45" s="1336"/>
      <c r="DO45" s="1336"/>
      <c r="DP45" s="1336"/>
      <c r="DQ45" s="1345"/>
      <c r="DR45" s="1339" t="s">
        <v>1095</v>
      </c>
      <c r="DS45" s="1340"/>
      <c r="DT45" s="1340"/>
      <c r="DU45" s="1340"/>
      <c r="DV45" s="1341"/>
      <c r="DW45" s="1342" t="s">
        <v>1096</v>
      </c>
      <c r="DX45" s="1343"/>
      <c r="DY45" s="1343"/>
      <c r="DZ45" s="1343"/>
      <c r="EA45" s="1344"/>
      <c r="EB45" s="1342" t="s">
        <v>1097</v>
      </c>
      <c r="EC45" s="1343"/>
      <c r="ED45" s="1343"/>
      <c r="EE45" s="1343"/>
      <c r="EF45" s="1344"/>
    </row>
    <row r="46" spans="1:137" ht="30">
      <c r="A46" s="1338"/>
      <c r="B46" s="1015" t="s">
        <v>183</v>
      </c>
      <c r="C46" s="1015" t="s">
        <v>184</v>
      </c>
      <c r="D46" s="1015" t="s">
        <v>28</v>
      </c>
      <c r="E46" s="1015" t="s">
        <v>142</v>
      </c>
      <c r="F46" s="1015" t="s">
        <v>128</v>
      </c>
      <c r="G46" s="1015" t="s">
        <v>183</v>
      </c>
      <c r="H46" s="1015" t="s">
        <v>184</v>
      </c>
      <c r="I46" s="1015" t="s">
        <v>28</v>
      </c>
      <c r="J46" s="1015" t="s">
        <v>142</v>
      </c>
      <c r="K46" s="1015" t="s">
        <v>128</v>
      </c>
      <c r="L46" s="1015" t="s">
        <v>183</v>
      </c>
      <c r="M46" s="1015" t="s">
        <v>184</v>
      </c>
      <c r="N46" s="1015" t="s">
        <v>28</v>
      </c>
      <c r="O46" s="1015" t="s">
        <v>142</v>
      </c>
      <c r="P46" s="1015" t="s">
        <v>128</v>
      </c>
      <c r="Q46" s="1015" t="s">
        <v>183</v>
      </c>
      <c r="R46" s="1015" t="s">
        <v>184</v>
      </c>
      <c r="S46" s="1015" t="s">
        <v>28</v>
      </c>
      <c r="T46" s="1015" t="s">
        <v>142</v>
      </c>
      <c r="U46" s="1015" t="s">
        <v>128</v>
      </c>
      <c r="V46" s="1015" t="s">
        <v>183</v>
      </c>
      <c r="W46" s="1015" t="s">
        <v>184</v>
      </c>
      <c r="X46" s="1015" t="s">
        <v>28</v>
      </c>
      <c r="Y46" s="1015" t="s">
        <v>142</v>
      </c>
      <c r="Z46" s="1015" t="s">
        <v>128</v>
      </c>
      <c r="AA46" s="1015" t="s">
        <v>183</v>
      </c>
      <c r="AB46" s="1015" t="s">
        <v>184</v>
      </c>
      <c r="AC46" s="1015" t="s">
        <v>28</v>
      </c>
      <c r="AD46" s="1015" t="s">
        <v>142</v>
      </c>
      <c r="AE46" s="1015" t="s">
        <v>128</v>
      </c>
      <c r="AF46" s="1015" t="s">
        <v>183</v>
      </c>
      <c r="AG46" s="1015" t="s">
        <v>184</v>
      </c>
      <c r="AH46" s="1015" t="s">
        <v>28</v>
      </c>
      <c r="AI46" s="1015" t="s">
        <v>142</v>
      </c>
      <c r="AJ46" s="1015" t="s">
        <v>128</v>
      </c>
      <c r="AK46" s="1015" t="s">
        <v>183</v>
      </c>
      <c r="AL46" s="1015" t="s">
        <v>184</v>
      </c>
      <c r="AM46" s="1015" t="s">
        <v>28</v>
      </c>
      <c r="AN46" s="1015" t="s">
        <v>142</v>
      </c>
      <c r="AO46" s="1015" t="s">
        <v>128</v>
      </c>
      <c r="AP46" s="1015" t="s">
        <v>183</v>
      </c>
      <c r="AQ46" s="1015" t="s">
        <v>184</v>
      </c>
      <c r="AR46" s="1015" t="s">
        <v>28</v>
      </c>
      <c r="AS46" s="1015" t="s">
        <v>142</v>
      </c>
      <c r="AT46" s="1015" t="s">
        <v>128</v>
      </c>
      <c r="AU46" s="1015" t="s">
        <v>183</v>
      </c>
      <c r="AV46" s="1015" t="s">
        <v>184</v>
      </c>
      <c r="AW46" s="1015" t="s">
        <v>28</v>
      </c>
      <c r="AX46" s="1015" t="s">
        <v>142</v>
      </c>
      <c r="AY46" s="1015" t="s">
        <v>128</v>
      </c>
      <c r="AZ46" s="1015" t="s">
        <v>183</v>
      </c>
      <c r="BA46" s="1015" t="s">
        <v>184</v>
      </c>
      <c r="BB46" s="1015" t="s">
        <v>28</v>
      </c>
      <c r="BC46" s="1015" t="s">
        <v>142</v>
      </c>
      <c r="BD46" s="1015" t="s">
        <v>128</v>
      </c>
      <c r="BE46" s="1015" t="s">
        <v>183</v>
      </c>
      <c r="BF46" s="1015" t="s">
        <v>184</v>
      </c>
      <c r="BG46" s="1015" t="s">
        <v>28</v>
      </c>
      <c r="BH46" s="1015" t="s">
        <v>142</v>
      </c>
      <c r="BI46" s="1015" t="s">
        <v>128</v>
      </c>
      <c r="BJ46" s="1015" t="s">
        <v>183</v>
      </c>
      <c r="BK46" s="1015" t="s">
        <v>184</v>
      </c>
      <c r="BL46" s="1015" t="s">
        <v>28</v>
      </c>
      <c r="BM46" s="1015" t="s">
        <v>142</v>
      </c>
      <c r="BN46" s="1015" t="s">
        <v>128</v>
      </c>
      <c r="BO46" s="1015" t="s">
        <v>183</v>
      </c>
      <c r="BP46" s="1015" t="s">
        <v>184</v>
      </c>
      <c r="BQ46" s="1015" t="s">
        <v>28</v>
      </c>
      <c r="BR46" s="1015" t="s">
        <v>142</v>
      </c>
      <c r="BS46" s="1015" t="s">
        <v>128</v>
      </c>
      <c r="BT46" s="1015" t="s">
        <v>183</v>
      </c>
      <c r="BU46" s="1015" t="s">
        <v>184</v>
      </c>
      <c r="BV46" s="1015" t="s">
        <v>28</v>
      </c>
      <c r="BW46" s="1015" t="s">
        <v>142</v>
      </c>
      <c r="BX46" s="1015" t="s">
        <v>128</v>
      </c>
      <c r="BY46" s="1015" t="s">
        <v>183</v>
      </c>
      <c r="BZ46" s="1015" t="s">
        <v>184</v>
      </c>
      <c r="CA46" s="1015" t="s">
        <v>28</v>
      </c>
      <c r="CB46" s="1015" t="s">
        <v>142</v>
      </c>
      <c r="CC46" s="1015" t="s">
        <v>128</v>
      </c>
      <c r="CD46" s="1015" t="s">
        <v>183</v>
      </c>
      <c r="CE46" s="1015" t="s">
        <v>184</v>
      </c>
      <c r="CF46" s="1015" t="s">
        <v>28</v>
      </c>
      <c r="CG46" s="1015" t="s">
        <v>142</v>
      </c>
      <c r="CH46" s="1015" t="s">
        <v>128</v>
      </c>
      <c r="CI46" s="1015" t="s">
        <v>183</v>
      </c>
      <c r="CJ46" s="1015" t="s">
        <v>184</v>
      </c>
      <c r="CK46" s="1015" t="s">
        <v>28</v>
      </c>
      <c r="CL46" s="1015" t="s">
        <v>142</v>
      </c>
      <c r="CM46" s="1015" t="s">
        <v>128</v>
      </c>
      <c r="CN46" s="1015" t="s">
        <v>183</v>
      </c>
      <c r="CO46" s="1015" t="s">
        <v>184</v>
      </c>
      <c r="CP46" s="1015" t="s">
        <v>28</v>
      </c>
      <c r="CQ46" s="1015" t="s">
        <v>142</v>
      </c>
      <c r="CR46" s="1015" t="s">
        <v>128</v>
      </c>
      <c r="CS46" s="1015" t="s">
        <v>183</v>
      </c>
      <c r="CT46" s="1015" t="s">
        <v>184</v>
      </c>
      <c r="CU46" s="1015" t="s">
        <v>28</v>
      </c>
      <c r="CV46" s="1015" t="s">
        <v>142</v>
      </c>
      <c r="CW46" s="1015" t="s">
        <v>128</v>
      </c>
      <c r="CX46" s="1015" t="s">
        <v>183</v>
      </c>
      <c r="CY46" s="1015" t="s">
        <v>184</v>
      </c>
      <c r="CZ46" s="1015" t="s">
        <v>28</v>
      </c>
      <c r="DA46" s="1015" t="s">
        <v>142</v>
      </c>
      <c r="DB46" s="1015" t="s">
        <v>128</v>
      </c>
      <c r="DC46" s="1015" t="s">
        <v>183</v>
      </c>
      <c r="DD46" s="1015" t="s">
        <v>184</v>
      </c>
      <c r="DE46" s="1015" t="s">
        <v>28</v>
      </c>
      <c r="DF46" s="1015" t="s">
        <v>142</v>
      </c>
      <c r="DG46" s="1015" t="s">
        <v>128</v>
      </c>
      <c r="DH46" s="1015" t="s">
        <v>183</v>
      </c>
      <c r="DI46" s="1015" t="s">
        <v>184</v>
      </c>
      <c r="DJ46" s="1015" t="s">
        <v>28</v>
      </c>
      <c r="DK46" s="1015" t="s">
        <v>142</v>
      </c>
      <c r="DL46" s="1015" t="s">
        <v>128</v>
      </c>
      <c r="DM46" s="1015" t="s">
        <v>183</v>
      </c>
      <c r="DN46" s="1015" t="s">
        <v>184</v>
      </c>
      <c r="DO46" s="1015" t="s">
        <v>28</v>
      </c>
      <c r="DP46" s="1015" t="s">
        <v>142</v>
      </c>
      <c r="DQ46" s="1032" t="s">
        <v>128</v>
      </c>
      <c r="DR46" s="1036" t="s">
        <v>183</v>
      </c>
      <c r="DS46" s="1015" t="s">
        <v>184</v>
      </c>
      <c r="DT46" s="1015" t="s">
        <v>28</v>
      </c>
      <c r="DU46" s="1015" t="s">
        <v>142</v>
      </c>
      <c r="DV46" s="1015" t="s">
        <v>128</v>
      </c>
      <c r="DW46" s="1015" t="s">
        <v>183</v>
      </c>
      <c r="DX46" s="1015" t="s">
        <v>184</v>
      </c>
      <c r="DY46" s="1015" t="s">
        <v>28</v>
      </c>
      <c r="DZ46" s="1015" t="s">
        <v>142</v>
      </c>
      <c r="EA46" s="1032" t="s">
        <v>128</v>
      </c>
      <c r="EB46" s="1029" t="s">
        <v>183</v>
      </c>
      <c r="EC46" s="1021" t="s">
        <v>184</v>
      </c>
      <c r="ED46" s="1021" t="s">
        <v>28</v>
      </c>
      <c r="EE46" s="1021" t="s">
        <v>142</v>
      </c>
      <c r="EF46" s="1030" t="s">
        <v>128</v>
      </c>
    </row>
    <row r="47" spans="1:137">
      <c r="A47" s="1016" t="s">
        <v>87</v>
      </c>
      <c r="B47" s="1023">
        <v>21927.704000000002</v>
      </c>
      <c r="C47" s="1023">
        <v>2836.0000000000005</v>
      </c>
      <c r="D47" s="1023">
        <v>7413.5360000000001</v>
      </c>
      <c r="E47" s="1023">
        <v>1675.2640000000004</v>
      </c>
      <c r="F47" s="1024">
        <v>33852.504000000001</v>
      </c>
      <c r="G47" s="1023">
        <v>17574.506000000001</v>
      </c>
      <c r="H47" s="1033">
        <v>1238.3680000000002</v>
      </c>
      <c r="I47" s="1023">
        <v>10070.800000000001</v>
      </c>
      <c r="J47" s="1023">
        <v>1018.97</v>
      </c>
      <c r="K47" s="1024">
        <v>29902.644</v>
      </c>
      <c r="L47" s="1023">
        <v>19023.496000000003</v>
      </c>
      <c r="M47" s="1023">
        <v>2623.6400000000003</v>
      </c>
      <c r="N47" s="1023">
        <v>11143.776</v>
      </c>
      <c r="O47" s="1023">
        <v>857.92000000000007</v>
      </c>
      <c r="P47" s="1024">
        <v>33648.832000000002</v>
      </c>
      <c r="Q47" s="1023">
        <v>17936.560000000001</v>
      </c>
      <c r="R47" s="1033">
        <v>2572.944</v>
      </c>
      <c r="S47" s="1023">
        <v>7686</v>
      </c>
      <c r="T47" s="1023">
        <v>992.39200000000005</v>
      </c>
      <c r="U47" s="1024">
        <v>29187.896000000001</v>
      </c>
      <c r="V47" s="1023">
        <v>11885.008</v>
      </c>
      <c r="W47" s="1023">
        <v>2038.8400000000001</v>
      </c>
      <c r="X47" s="1023">
        <v>10840.544000000002</v>
      </c>
      <c r="Y47" s="1023">
        <v>1662.992</v>
      </c>
      <c r="Z47" s="1024">
        <v>26427.383999999998</v>
      </c>
      <c r="AA47" s="1023">
        <v>16541.007999999998</v>
      </c>
      <c r="AB47" s="1033">
        <v>2646.1440000000002</v>
      </c>
      <c r="AC47" s="1023">
        <v>12444</v>
      </c>
      <c r="AD47" s="1023">
        <v>820.24800000000005</v>
      </c>
      <c r="AE47" s="1024">
        <v>32451.399999999998</v>
      </c>
      <c r="AF47" s="1023">
        <v>15899.120000000003</v>
      </c>
      <c r="AG47" s="1023">
        <v>2130.8719999999998</v>
      </c>
      <c r="AH47" s="1023">
        <v>15009.984</v>
      </c>
      <c r="AI47" s="1023">
        <v>1283.3040000000001</v>
      </c>
      <c r="AJ47" s="1024">
        <v>34323.279999999999</v>
      </c>
      <c r="AK47" s="1023">
        <v>13154.832000000002</v>
      </c>
      <c r="AL47" s="1023">
        <v>3156.0640000000003</v>
      </c>
      <c r="AM47" s="1023">
        <v>14859.6</v>
      </c>
      <c r="AN47" s="1023">
        <v>2254.8720000000003</v>
      </c>
      <c r="AO47" s="1024">
        <v>33425.368000000002</v>
      </c>
      <c r="AP47" s="1023">
        <v>19563.495999999999</v>
      </c>
      <c r="AQ47" s="1023">
        <v>3285.8720000000003</v>
      </c>
      <c r="AR47" s="1023">
        <v>17435.84</v>
      </c>
      <c r="AS47" s="1023">
        <v>1981.92</v>
      </c>
      <c r="AT47" s="1024">
        <v>42267.127999999997</v>
      </c>
      <c r="AU47" s="1023">
        <v>12816.424000000001</v>
      </c>
      <c r="AV47" s="1023">
        <v>2114.4319999999998</v>
      </c>
      <c r="AW47" s="1023">
        <v>19617.600000000002</v>
      </c>
      <c r="AX47" s="1023">
        <v>588.30400000000009</v>
      </c>
      <c r="AY47" s="1024">
        <v>35136.760000000009</v>
      </c>
      <c r="AZ47" s="1023">
        <v>16698.912</v>
      </c>
      <c r="BA47" s="1023">
        <v>3409.6559999999999</v>
      </c>
      <c r="BB47" s="1023">
        <v>12811.552000000001</v>
      </c>
      <c r="BC47" s="1023">
        <v>1539.9680000000001</v>
      </c>
      <c r="BD47" s="1024">
        <v>34460.088000000003</v>
      </c>
      <c r="BE47" s="1023">
        <v>9602.6080000000002</v>
      </c>
      <c r="BF47" s="1033">
        <v>1533.896</v>
      </c>
      <c r="BG47" s="1023">
        <v>14932.800000000001</v>
      </c>
      <c r="BH47" s="1023">
        <v>768.74400000000003</v>
      </c>
      <c r="BI47" s="1024">
        <v>26838.048000000003</v>
      </c>
      <c r="BJ47" s="1023">
        <v>7390.4719999999998</v>
      </c>
      <c r="BK47" s="1033">
        <v>1316.5520000000001</v>
      </c>
      <c r="BL47" s="1023">
        <v>16677.760000000002</v>
      </c>
      <c r="BM47" s="1023">
        <v>1601.0080000000003</v>
      </c>
      <c r="BN47" s="1024">
        <v>26985.792000000001</v>
      </c>
      <c r="BO47" s="1023">
        <v>6900.4880000000012</v>
      </c>
      <c r="BP47" s="1033">
        <v>969.34400000000005</v>
      </c>
      <c r="BQ47" s="1023">
        <v>18666</v>
      </c>
      <c r="BR47" s="1023">
        <v>3730.4639999999999</v>
      </c>
      <c r="BS47" s="1024">
        <v>30266.296000000002</v>
      </c>
      <c r="BT47" s="1023">
        <v>4787.0880000000006</v>
      </c>
      <c r="BU47" s="1023">
        <v>1432.5920000000001</v>
      </c>
      <c r="BV47" s="1023">
        <v>16147.104000000001</v>
      </c>
      <c r="BW47" s="1023">
        <v>1148.68</v>
      </c>
      <c r="BX47" s="1024">
        <v>23515.464</v>
      </c>
      <c r="BY47" s="1023">
        <v>9018.2000000000007</v>
      </c>
      <c r="BZ47" s="1033">
        <v>1003.496</v>
      </c>
      <c r="CA47" s="1023">
        <v>14932.800000000001</v>
      </c>
      <c r="CB47" s="1023">
        <v>2063.2640000000001</v>
      </c>
      <c r="CC47" s="1024">
        <v>27017.759999999998</v>
      </c>
      <c r="CD47" s="1023">
        <v>3558.5040000000004</v>
      </c>
      <c r="CE47" s="1023">
        <v>621.98400000000004</v>
      </c>
      <c r="CF47" s="1023">
        <v>16905.184000000001</v>
      </c>
      <c r="CG47" s="1023">
        <v>1516.52</v>
      </c>
      <c r="CH47" s="1024">
        <v>22602.192000000003</v>
      </c>
      <c r="CI47" s="1023">
        <v>4892.1440000000011</v>
      </c>
      <c r="CJ47" s="1033">
        <v>666.16800000000012</v>
      </c>
      <c r="CK47" s="1023">
        <v>12297.6</v>
      </c>
      <c r="CL47" s="1023">
        <v>1393.3760000000002</v>
      </c>
      <c r="CM47" s="1024">
        <v>19249.288000000004</v>
      </c>
      <c r="CN47" s="1023">
        <v>3618.92</v>
      </c>
      <c r="CO47" s="1023">
        <v>807.53600000000006</v>
      </c>
      <c r="CP47" s="1023">
        <v>21605.279999999999</v>
      </c>
      <c r="CQ47" s="1023">
        <v>2651.4880000000003</v>
      </c>
      <c r="CR47" s="1024">
        <v>28683.223999999998</v>
      </c>
      <c r="CS47" s="1023">
        <v>5028.2960000000003</v>
      </c>
      <c r="CT47" s="1033">
        <v>1227.6559999999999</v>
      </c>
      <c r="CU47" s="1023">
        <v>15738</v>
      </c>
      <c r="CV47" s="1023">
        <v>2004.3640000000003</v>
      </c>
      <c r="CW47" s="1024">
        <v>23998.316000000003</v>
      </c>
      <c r="CX47" s="1023">
        <v>4652.5200000000004</v>
      </c>
      <c r="CY47" s="1023">
        <v>1339.64</v>
      </c>
      <c r="CZ47" s="1023">
        <v>15919.68</v>
      </c>
      <c r="DA47" s="1023">
        <v>4552.9920000000002</v>
      </c>
      <c r="DB47" s="1024">
        <v>26464.832000000002</v>
      </c>
      <c r="DC47" s="1023">
        <v>3691.5120000000006</v>
      </c>
      <c r="DD47" s="1033">
        <v>456.56000000000006</v>
      </c>
      <c r="DE47" s="1023">
        <v>11785.2</v>
      </c>
      <c r="DF47" s="1023">
        <v>2224.5280000000002</v>
      </c>
      <c r="DG47" s="1024">
        <v>18157.800000000003</v>
      </c>
      <c r="DH47" s="1023">
        <v>3439.752</v>
      </c>
      <c r="DI47" s="1033">
        <v>1017.1120000000001</v>
      </c>
      <c r="DJ47" s="1023">
        <v>16374.528</v>
      </c>
      <c r="DK47" s="1023">
        <v>2101.8399999999997</v>
      </c>
      <c r="DL47" s="1024">
        <v>22933.232</v>
      </c>
      <c r="DM47" s="1023">
        <v>3393.7360000000003</v>
      </c>
      <c r="DN47" s="1033">
        <v>1010.616</v>
      </c>
      <c r="DO47" s="1023">
        <v>7393.2000000000007</v>
      </c>
      <c r="DP47" s="1023">
        <v>1226.136</v>
      </c>
      <c r="DQ47" s="1028">
        <v>13023.688000000002</v>
      </c>
      <c r="DR47" s="1037">
        <v>132444.992</v>
      </c>
      <c r="DS47" s="1023">
        <v>22860.296000000002</v>
      </c>
      <c r="DT47" s="1023">
        <v>178284.76799999998</v>
      </c>
      <c r="DU47" s="1023">
        <v>22573.896000000004</v>
      </c>
      <c r="DV47" s="1024">
        <v>356163.95199999999</v>
      </c>
      <c r="DW47" s="1023">
        <v>120550.31400000003</v>
      </c>
      <c r="DX47" s="1023">
        <v>18595.688000000002</v>
      </c>
      <c r="DY47" s="1023">
        <v>160423.60000000003</v>
      </c>
      <c r="DZ47" s="1023">
        <v>19085.661999999997</v>
      </c>
      <c r="EA47" s="1028">
        <v>318655.26400000008</v>
      </c>
      <c r="EB47" s="1031">
        <v>9.8669821797394661</v>
      </c>
      <c r="EC47" s="1031">
        <v>22.933316583930633</v>
      </c>
      <c r="ED47" s="1031">
        <v>11.133753387905472</v>
      </c>
      <c r="EE47" s="1031">
        <v>18.276725219172434</v>
      </c>
      <c r="EF47" s="1038">
        <v>11.770929979050933</v>
      </c>
    </row>
    <row r="48" spans="1:137">
      <c r="A48" s="1016" t="s">
        <v>88</v>
      </c>
      <c r="B48" s="1023">
        <v>87066.751999999993</v>
      </c>
      <c r="C48" s="1023">
        <v>4239.2640000000001</v>
      </c>
      <c r="D48" s="1023">
        <v>30571.664000000004</v>
      </c>
      <c r="E48" s="1023">
        <v>3987.1280000000002</v>
      </c>
      <c r="F48" s="1024">
        <v>125864.80799999999</v>
      </c>
      <c r="G48" s="1023">
        <v>81581.664000000004</v>
      </c>
      <c r="H48" s="1033">
        <v>2698.192</v>
      </c>
      <c r="I48" s="1023">
        <v>37767.4</v>
      </c>
      <c r="J48" s="1023">
        <v>7883.0240000000003</v>
      </c>
      <c r="K48" s="1024">
        <v>129930.28</v>
      </c>
      <c r="L48" s="1023">
        <v>107810.152</v>
      </c>
      <c r="M48" s="1023">
        <v>6932.6639999999998</v>
      </c>
      <c r="N48" s="1023">
        <v>40178.240000000005</v>
      </c>
      <c r="O48" s="1023">
        <v>5340.9120000000003</v>
      </c>
      <c r="P48" s="1024">
        <v>160261.96800000002</v>
      </c>
      <c r="Q48" s="1023">
        <v>77609.180000000008</v>
      </c>
      <c r="R48" s="1033">
        <v>6905.9759999999997</v>
      </c>
      <c r="S48" s="1023">
        <v>31842</v>
      </c>
      <c r="T48" s="1023">
        <v>8927.8040000000001</v>
      </c>
      <c r="U48" s="1024">
        <v>125284.96</v>
      </c>
      <c r="V48" s="1023">
        <v>41235.416000000005</v>
      </c>
      <c r="W48" s="1023">
        <v>1111.104</v>
      </c>
      <c r="X48" s="1023">
        <v>34871.68</v>
      </c>
      <c r="Y48" s="1023">
        <v>3228.6640000000002</v>
      </c>
      <c r="Z48" s="1024">
        <v>80446.864000000016</v>
      </c>
      <c r="AA48" s="1023">
        <v>65356.306000000004</v>
      </c>
      <c r="AB48" s="1033">
        <v>2781.7440000000001</v>
      </c>
      <c r="AC48" s="1023">
        <v>42309.600000000006</v>
      </c>
      <c r="AD48" s="1023">
        <v>4933.4139999999998</v>
      </c>
      <c r="AE48" s="1024">
        <v>115381.06400000001</v>
      </c>
      <c r="AF48" s="1023">
        <v>45975.272000000012</v>
      </c>
      <c r="AG48" s="1023">
        <v>1014.5839999999999</v>
      </c>
      <c r="AH48" s="1023">
        <v>51473.632000000005</v>
      </c>
      <c r="AI48" s="1023">
        <v>4215.68</v>
      </c>
      <c r="AJ48" s="1024">
        <v>102679.16800000001</v>
      </c>
      <c r="AK48" s="1023">
        <v>42790.646000000008</v>
      </c>
      <c r="AL48" s="1023">
        <v>2775.3119999999999</v>
      </c>
      <c r="AM48" s="1023">
        <v>45310.8</v>
      </c>
      <c r="AN48" s="1023">
        <v>5206.4179999999997</v>
      </c>
      <c r="AO48" s="1024">
        <v>96083.176000000007</v>
      </c>
      <c r="AP48" s="1023">
        <v>50548.743999999999</v>
      </c>
      <c r="AQ48" s="1023">
        <v>2307.904</v>
      </c>
      <c r="AR48" s="1023">
        <v>51625.248</v>
      </c>
      <c r="AS48" s="1023">
        <v>5075.3680000000004</v>
      </c>
      <c r="AT48" s="1024">
        <v>109557.26400000001</v>
      </c>
      <c r="AU48" s="1023">
        <v>52598.848000000005</v>
      </c>
      <c r="AV48" s="1023">
        <v>2717.7040000000002</v>
      </c>
      <c r="AW48" s="1023">
        <v>46189.200000000004</v>
      </c>
      <c r="AX48" s="1023">
        <v>13693.046</v>
      </c>
      <c r="AY48" s="1024">
        <v>115198.79800000001</v>
      </c>
      <c r="AZ48" s="1023">
        <v>47030.848000000005</v>
      </c>
      <c r="BA48" s="1023">
        <v>2491.384</v>
      </c>
      <c r="BB48" s="1023">
        <v>40254.048000000003</v>
      </c>
      <c r="BC48" s="1023">
        <v>4528.5120000000006</v>
      </c>
      <c r="BD48" s="1024">
        <v>94304.792000000001</v>
      </c>
      <c r="BE48" s="1023">
        <v>45712.434000000001</v>
      </c>
      <c r="BF48" s="1033">
        <v>2805.9520000000002</v>
      </c>
      <c r="BG48" s="1023">
        <v>42236.4</v>
      </c>
      <c r="BH48" s="1023">
        <v>3484.28</v>
      </c>
      <c r="BI48" s="1024">
        <v>94239.065999999992</v>
      </c>
      <c r="BJ48" s="1023">
        <v>23675.08</v>
      </c>
      <c r="BK48" s="1033">
        <v>3212.7200000000003</v>
      </c>
      <c r="BL48" s="1023">
        <v>50336.512000000002</v>
      </c>
      <c r="BM48" s="1023">
        <v>8022.4479999999994</v>
      </c>
      <c r="BN48" s="1024">
        <v>85246.760000000009</v>
      </c>
      <c r="BO48" s="1023">
        <v>15816.286000000002</v>
      </c>
      <c r="BP48" s="1033">
        <v>807.77600000000007</v>
      </c>
      <c r="BQ48" s="1023">
        <v>44212.800000000003</v>
      </c>
      <c r="BR48" s="1023">
        <v>6126.188000000001</v>
      </c>
      <c r="BS48" s="1024">
        <v>66963.05</v>
      </c>
      <c r="BT48" s="1023">
        <v>19563.408000000003</v>
      </c>
      <c r="BU48" s="1023">
        <v>1951.2880000000002</v>
      </c>
      <c r="BV48" s="1023">
        <v>46621.920000000006</v>
      </c>
      <c r="BW48" s="1023">
        <v>6177.6720000000005</v>
      </c>
      <c r="BX48" s="1024">
        <v>74314.288000000015</v>
      </c>
      <c r="BY48" s="1023">
        <v>18203.014000000003</v>
      </c>
      <c r="BZ48" s="1033">
        <v>775.7600000000001</v>
      </c>
      <c r="CA48" s="1023">
        <v>49117.200000000004</v>
      </c>
      <c r="CB48" s="1023">
        <v>6892.1720000000005</v>
      </c>
      <c r="CC48" s="1024">
        <v>74988.146000000008</v>
      </c>
      <c r="CD48" s="1023">
        <v>18698.632000000001</v>
      </c>
      <c r="CE48" s="1023">
        <v>1999.3520000000003</v>
      </c>
      <c r="CF48" s="1023">
        <v>41163.744000000006</v>
      </c>
      <c r="CG48" s="1023">
        <v>5646.1040000000003</v>
      </c>
      <c r="CH48" s="1024">
        <v>67507.832000000009</v>
      </c>
      <c r="CI48" s="1023">
        <v>13785.490000000002</v>
      </c>
      <c r="CJ48" s="1033">
        <v>1776.2560000000001</v>
      </c>
      <c r="CK48" s="1023">
        <v>39820.800000000003</v>
      </c>
      <c r="CL48" s="1023">
        <v>8859.2960000000003</v>
      </c>
      <c r="CM48" s="1024">
        <v>64241.842000000004</v>
      </c>
      <c r="CN48" s="1023">
        <v>21399.167999999998</v>
      </c>
      <c r="CO48" s="1023">
        <v>2140.232</v>
      </c>
      <c r="CP48" s="1023">
        <v>47607.423999999999</v>
      </c>
      <c r="CQ48" s="1023">
        <v>8404.232</v>
      </c>
      <c r="CR48" s="1024">
        <v>79551.055999999997</v>
      </c>
      <c r="CS48" s="1023">
        <v>11829.68</v>
      </c>
      <c r="CT48" s="1033">
        <v>394.98400000000004</v>
      </c>
      <c r="CU48" s="1023">
        <v>56949.600000000006</v>
      </c>
      <c r="CV48" s="1023">
        <v>12214.288</v>
      </c>
      <c r="CW48" s="1024">
        <v>81388.552000000011</v>
      </c>
      <c r="CX48" s="1023">
        <v>18264.496000000003</v>
      </c>
      <c r="CY48" s="1023">
        <v>2037.3440000000003</v>
      </c>
      <c r="CZ48" s="1023">
        <v>45105.760000000002</v>
      </c>
      <c r="DA48" s="1023">
        <v>10924.272000000001</v>
      </c>
      <c r="DB48" s="1024">
        <v>76331.872000000003</v>
      </c>
      <c r="DC48" s="1023">
        <v>12670.056</v>
      </c>
      <c r="DD48" s="1033">
        <v>277.56799999999998</v>
      </c>
      <c r="DE48" s="1023">
        <v>37112.400000000001</v>
      </c>
      <c r="DF48" s="1023">
        <v>4001.7759999999998</v>
      </c>
      <c r="DG48" s="1024">
        <v>54061.8</v>
      </c>
      <c r="DH48" s="1023">
        <v>27007.383999999998</v>
      </c>
      <c r="DI48" s="1033">
        <v>1343.44</v>
      </c>
      <c r="DJ48" s="1023">
        <v>41239.552000000003</v>
      </c>
      <c r="DK48" s="1023">
        <v>10827.576000000003</v>
      </c>
      <c r="DL48" s="1024">
        <v>80417.952000000005</v>
      </c>
      <c r="DM48" s="1023">
        <v>13083.084000000001</v>
      </c>
      <c r="DN48" s="1033">
        <v>1046.2160000000001</v>
      </c>
      <c r="DO48" s="1023">
        <v>37258.800000000003</v>
      </c>
      <c r="DP48" s="1023">
        <v>5823.152</v>
      </c>
      <c r="DQ48" s="1028">
        <v>57211.252000000008</v>
      </c>
      <c r="DR48" s="1037">
        <v>508275.35200000001</v>
      </c>
      <c r="DS48" s="1023">
        <v>30781.280000000002</v>
      </c>
      <c r="DT48" s="1023">
        <v>521049.42400000006</v>
      </c>
      <c r="DU48" s="1023">
        <v>76378.567999999999</v>
      </c>
      <c r="DV48" s="1024">
        <v>1136484.6240000001</v>
      </c>
      <c r="DW48" s="1023">
        <v>451036.68800000002</v>
      </c>
      <c r="DX48" s="1023">
        <v>25763.440000000002</v>
      </c>
      <c r="DY48" s="1023">
        <v>510127.00000000006</v>
      </c>
      <c r="DZ48" s="1023">
        <v>88044.858000000007</v>
      </c>
      <c r="EA48" s="1028">
        <v>1074971.986</v>
      </c>
      <c r="EB48" s="1031">
        <v>12.690467432662601</v>
      </c>
      <c r="EC48" s="1031">
        <v>19.476591635278524</v>
      </c>
      <c r="ED48" s="1031">
        <v>2.141118584195695</v>
      </c>
      <c r="EE48" s="1031">
        <v>-13.250393339268044</v>
      </c>
      <c r="EF48" s="1038">
        <v>5.7222549797683655</v>
      </c>
    </row>
    <row r="49" spans="1:136">
      <c r="A49" s="1016" t="s">
        <v>90</v>
      </c>
      <c r="B49" s="1023">
        <v>65460.752000000008</v>
      </c>
      <c r="C49" s="1023">
        <v>6892.5439999999999</v>
      </c>
      <c r="D49" s="1023">
        <v>27050.592000000001</v>
      </c>
      <c r="E49" s="1023">
        <v>5460.3520000000008</v>
      </c>
      <c r="F49" s="1024">
        <v>104864.24</v>
      </c>
      <c r="G49" s="1023">
        <v>45142.444000000003</v>
      </c>
      <c r="H49" s="1033">
        <v>6179.1979999999994</v>
      </c>
      <c r="I49" s="1023">
        <v>28055.600000000002</v>
      </c>
      <c r="J49" s="1023">
        <v>7483.1939999999995</v>
      </c>
      <c r="K49" s="1024">
        <v>86860.436000000002</v>
      </c>
      <c r="L49" s="1023">
        <v>82232.152000000016</v>
      </c>
      <c r="M49" s="1023">
        <v>8750.16</v>
      </c>
      <c r="N49" s="1023">
        <v>34113.599999999999</v>
      </c>
      <c r="O49" s="1023">
        <v>7028.8320000000003</v>
      </c>
      <c r="P49" s="1024">
        <v>132124.74400000001</v>
      </c>
      <c r="Q49" s="1023">
        <v>63205.444000000003</v>
      </c>
      <c r="R49" s="1033">
        <v>5234.366</v>
      </c>
      <c r="S49" s="1023">
        <v>26059.200000000001</v>
      </c>
      <c r="T49" s="1023">
        <v>6269.598</v>
      </c>
      <c r="U49" s="1024">
        <v>100768.60799999999</v>
      </c>
      <c r="V49" s="1023">
        <v>61594.912000000011</v>
      </c>
      <c r="W49" s="1023">
        <v>6288.9760000000006</v>
      </c>
      <c r="X49" s="1023">
        <v>34795.871999999996</v>
      </c>
      <c r="Y49" s="1023">
        <v>5498.1080000000002</v>
      </c>
      <c r="Z49" s="1024">
        <v>108177.86800000002</v>
      </c>
      <c r="AA49" s="1023">
        <v>56098.521999999997</v>
      </c>
      <c r="AB49" s="1033">
        <v>9001.1280000000006</v>
      </c>
      <c r="AC49" s="1023">
        <v>28914</v>
      </c>
      <c r="AD49" s="1023">
        <v>5294.8440000000001</v>
      </c>
      <c r="AE49" s="1024">
        <v>99308.493999999992</v>
      </c>
      <c r="AF49" s="1023">
        <v>65962.624000000011</v>
      </c>
      <c r="AG49" s="1023">
        <v>6765.7039999999997</v>
      </c>
      <c r="AH49" s="1023">
        <v>37524.959999999999</v>
      </c>
      <c r="AI49" s="1023">
        <v>5975.46</v>
      </c>
      <c r="AJ49" s="1024">
        <v>116228.74800000001</v>
      </c>
      <c r="AK49" s="1023">
        <v>45423.616000000002</v>
      </c>
      <c r="AL49" s="1023">
        <v>5123.2560000000003</v>
      </c>
      <c r="AM49" s="1023">
        <v>34477.200000000004</v>
      </c>
      <c r="AN49" s="1023">
        <v>5306.927999999999</v>
      </c>
      <c r="AO49" s="1024">
        <v>90331.000000000015</v>
      </c>
      <c r="AP49" s="1023">
        <v>85492.407999999996</v>
      </c>
      <c r="AQ49" s="1023">
        <v>7705.8</v>
      </c>
      <c r="AR49" s="1023">
        <v>42907.328000000009</v>
      </c>
      <c r="AS49" s="1023">
        <v>6246.4720000000007</v>
      </c>
      <c r="AT49" s="1024">
        <v>142352.00800000003</v>
      </c>
      <c r="AU49" s="1023">
        <v>51642.815999999999</v>
      </c>
      <c r="AV49" s="1023">
        <v>5148.8</v>
      </c>
      <c r="AW49" s="1023">
        <v>34038</v>
      </c>
      <c r="AX49" s="1023">
        <v>4857.1100000000006</v>
      </c>
      <c r="AY49" s="1024">
        <v>95686.72600000001</v>
      </c>
      <c r="AZ49" s="1023">
        <v>70834.216000000015</v>
      </c>
      <c r="BA49" s="1023">
        <v>5884.2400000000007</v>
      </c>
      <c r="BB49" s="1023">
        <v>35781.376000000004</v>
      </c>
      <c r="BC49" s="1023">
        <v>4048.2160000000003</v>
      </c>
      <c r="BD49" s="1024">
        <v>116548.04800000002</v>
      </c>
      <c r="BE49" s="1023">
        <v>39915.202000000005</v>
      </c>
      <c r="BF49" s="1033">
        <v>7098.1360000000004</v>
      </c>
      <c r="BG49" s="1023">
        <v>30451.200000000001</v>
      </c>
      <c r="BH49" s="1023">
        <v>5731.5540000000001</v>
      </c>
      <c r="BI49" s="1024">
        <v>83196.092000000004</v>
      </c>
      <c r="BJ49" s="1023">
        <v>35000.800000000003</v>
      </c>
      <c r="BK49" s="1033">
        <v>3857.6880000000001</v>
      </c>
      <c r="BL49" s="1023">
        <v>41694.400000000001</v>
      </c>
      <c r="BM49" s="1023">
        <v>6422.304000000001</v>
      </c>
      <c r="BN49" s="1024">
        <v>86975.19200000001</v>
      </c>
      <c r="BO49" s="1023">
        <v>28398.536</v>
      </c>
      <c r="BP49" s="1033">
        <v>3620.4000000000005</v>
      </c>
      <c r="BQ49" s="1023">
        <v>34623.599999999999</v>
      </c>
      <c r="BR49" s="1023">
        <v>6470.5959999999995</v>
      </c>
      <c r="BS49" s="1024">
        <v>73113.131999999998</v>
      </c>
      <c r="BT49" s="1023">
        <v>30510.048000000003</v>
      </c>
      <c r="BU49" s="1023">
        <v>3238.6800000000003</v>
      </c>
      <c r="BV49" s="1023">
        <v>45333.184000000008</v>
      </c>
      <c r="BW49" s="1023">
        <v>7187.232</v>
      </c>
      <c r="BX49" s="1024">
        <v>86269.144000000015</v>
      </c>
      <c r="BY49" s="1023">
        <v>29826.304</v>
      </c>
      <c r="BZ49" s="1033">
        <v>3061.056</v>
      </c>
      <c r="CA49" s="1023">
        <v>40772.400000000001</v>
      </c>
      <c r="CB49" s="1023">
        <v>6823.4160000000002</v>
      </c>
      <c r="CC49" s="1024">
        <v>80483.176000000007</v>
      </c>
      <c r="CD49" s="1023">
        <v>23696.704000000002</v>
      </c>
      <c r="CE49" s="1023">
        <v>2019.92</v>
      </c>
      <c r="CF49" s="1023">
        <v>41997.632000000005</v>
      </c>
      <c r="CG49" s="1023">
        <v>5542.4639999999999</v>
      </c>
      <c r="CH49" s="1024">
        <v>73256.72</v>
      </c>
      <c r="CI49" s="1023">
        <v>18083.351999999999</v>
      </c>
      <c r="CJ49" s="1033">
        <v>2320.5360000000001</v>
      </c>
      <c r="CK49" s="1023">
        <v>28182</v>
      </c>
      <c r="CL49" s="1023">
        <v>3358.4799999999996</v>
      </c>
      <c r="CM49" s="1024">
        <v>51944.368000000002</v>
      </c>
      <c r="CN49" s="1023">
        <v>28796.344000000005</v>
      </c>
      <c r="CO49" s="1023">
        <v>2317.9119999999998</v>
      </c>
      <c r="CP49" s="1023">
        <v>41163.744000000006</v>
      </c>
      <c r="CQ49" s="1023">
        <v>7617.7520000000004</v>
      </c>
      <c r="CR49" s="1024">
        <v>79895.752000000008</v>
      </c>
      <c r="CS49" s="1023">
        <v>20221.616000000002</v>
      </c>
      <c r="CT49" s="1033">
        <v>2537.8560000000002</v>
      </c>
      <c r="CU49" s="1023">
        <v>37698</v>
      </c>
      <c r="CV49" s="1023">
        <v>5009.1119999999992</v>
      </c>
      <c r="CW49" s="1024">
        <v>65466.584000000003</v>
      </c>
      <c r="CX49" s="1023">
        <v>20378.792000000001</v>
      </c>
      <c r="CY49" s="1023">
        <v>1145.0880000000002</v>
      </c>
      <c r="CZ49" s="1023">
        <v>40784.703999999998</v>
      </c>
      <c r="DA49" s="1023">
        <v>6391.2560000000012</v>
      </c>
      <c r="DB49" s="1024">
        <v>68699.839999999997</v>
      </c>
      <c r="DC49" s="1023">
        <v>13340.504000000001</v>
      </c>
      <c r="DD49" s="1033">
        <v>828.72</v>
      </c>
      <c r="DE49" s="1023">
        <v>32427.600000000002</v>
      </c>
      <c r="DF49" s="1023">
        <v>3927.5039999999999</v>
      </c>
      <c r="DG49" s="1024">
        <v>50524.328000000001</v>
      </c>
      <c r="DH49" s="1023">
        <v>24414.512000000002</v>
      </c>
      <c r="DI49" s="1033">
        <v>1943.752</v>
      </c>
      <c r="DJ49" s="1023">
        <v>33431.328000000001</v>
      </c>
      <c r="DK49" s="1023">
        <v>7528.24</v>
      </c>
      <c r="DL49" s="1024">
        <v>67317.832000000009</v>
      </c>
      <c r="DM49" s="1023">
        <v>17199.2</v>
      </c>
      <c r="DN49" s="1033">
        <v>4116.2559999999994</v>
      </c>
      <c r="DO49" s="1023">
        <v>29060.400000000001</v>
      </c>
      <c r="DP49" s="1023">
        <v>7054.5780000000004</v>
      </c>
      <c r="DQ49" s="1028">
        <v>57430.434000000001</v>
      </c>
      <c r="DR49" s="1037">
        <v>594374.26400000008</v>
      </c>
      <c r="DS49" s="1023">
        <v>56810.464</v>
      </c>
      <c r="DT49" s="1023">
        <v>456578.72</v>
      </c>
      <c r="DU49" s="1023">
        <v>74946.688000000009</v>
      </c>
      <c r="DV49" s="1024">
        <v>1182710.1360000002</v>
      </c>
      <c r="DW49" s="1023">
        <v>428497.55600000004</v>
      </c>
      <c r="DX49" s="1023">
        <v>54269.707999999999</v>
      </c>
      <c r="DY49" s="1023">
        <v>384759.2</v>
      </c>
      <c r="DZ49" s="1023">
        <v>67586.914000000004</v>
      </c>
      <c r="EA49" s="1028">
        <v>935113.37800000003</v>
      </c>
      <c r="EB49" s="1031">
        <v>38.711237830257318</v>
      </c>
      <c r="EC49" s="1031">
        <v>4.6817204175854386</v>
      </c>
      <c r="ED49" s="1031">
        <v>18.666095573543132</v>
      </c>
      <c r="EE49" s="1031">
        <v>10.889347603590835</v>
      </c>
      <c r="EF49" s="1038">
        <v>26.477725998269278</v>
      </c>
    </row>
    <row r="50" spans="1:136">
      <c r="A50" s="1016" t="s">
        <v>89</v>
      </c>
      <c r="B50" s="1023">
        <v>23885.120000000003</v>
      </c>
      <c r="C50" s="1023">
        <v>3474.3679999999999</v>
      </c>
      <c r="D50" s="1023">
        <v>15049.279999999999</v>
      </c>
      <c r="E50" s="1023">
        <v>3712.2640000000001</v>
      </c>
      <c r="F50" s="1024">
        <v>46121.031999999999</v>
      </c>
      <c r="G50" s="1023">
        <v>16864.862000000001</v>
      </c>
      <c r="H50" s="1033">
        <v>2188.3520000000003</v>
      </c>
      <c r="I50" s="1023">
        <v>15337</v>
      </c>
      <c r="J50" s="1023">
        <v>2391.4080000000004</v>
      </c>
      <c r="K50" s="1024">
        <v>36781.622000000003</v>
      </c>
      <c r="L50" s="1023">
        <v>24287.040000000001</v>
      </c>
      <c r="M50" s="1023">
        <v>1431.4479999999999</v>
      </c>
      <c r="N50" s="1023">
        <v>17739.072</v>
      </c>
      <c r="O50" s="1023">
        <v>4610.1280000000006</v>
      </c>
      <c r="P50" s="1024">
        <v>48067.687999999995</v>
      </c>
      <c r="Q50" s="1023">
        <v>17988.834000000003</v>
      </c>
      <c r="R50" s="1033">
        <v>2861.808</v>
      </c>
      <c r="S50" s="1023">
        <v>13767.608</v>
      </c>
      <c r="T50" s="1023">
        <v>2964.05</v>
      </c>
      <c r="U50" s="1024">
        <v>37582.300000000003</v>
      </c>
      <c r="V50" s="1023">
        <v>16811.815999999999</v>
      </c>
      <c r="W50" s="1023">
        <v>2558.1600000000003</v>
      </c>
      <c r="X50" s="1023">
        <v>17587.456000000002</v>
      </c>
      <c r="Y50" s="1023">
        <v>2925.056</v>
      </c>
      <c r="Z50" s="1024">
        <v>39882.487999999998</v>
      </c>
      <c r="AA50" s="1023">
        <v>16782.407999999999</v>
      </c>
      <c r="AB50" s="1033">
        <v>1410.424</v>
      </c>
      <c r="AC50" s="1023">
        <v>13470.704000000002</v>
      </c>
      <c r="AD50" s="1023">
        <v>1799.9119999999998</v>
      </c>
      <c r="AE50" s="1024">
        <v>33463.447999999997</v>
      </c>
      <c r="AF50" s="1023">
        <v>17502.184000000001</v>
      </c>
      <c r="AG50" s="1023">
        <v>2594.08</v>
      </c>
      <c r="AH50" s="1023">
        <v>17135.48</v>
      </c>
      <c r="AI50" s="1023">
        <v>2189.1040000000003</v>
      </c>
      <c r="AJ50" s="1024">
        <v>39420.848000000005</v>
      </c>
      <c r="AK50" s="1023">
        <v>14048.528000000002</v>
      </c>
      <c r="AL50" s="1023">
        <v>4842.5520000000006</v>
      </c>
      <c r="AM50" s="1023">
        <v>13217.2</v>
      </c>
      <c r="AN50" s="1023">
        <v>1722.5360000000001</v>
      </c>
      <c r="AO50" s="1024">
        <v>33830.816000000006</v>
      </c>
      <c r="AP50" s="1023">
        <v>22594.080000000002</v>
      </c>
      <c r="AQ50" s="1023">
        <v>5411.7440000000006</v>
      </c>
      <c r="AR50" s="1023">
        <v>18042.304</v>
      </c>
      <c r="AS50" s="1023">
        <v>3769.7280000000001</v>
      </c>
      <c r="AT50" s="1024">
        <v>49817.856</v>
      </c>
      <c r="AU50" s="1023">
        <v>14553.560000000001</v>
      </c>
      <c r="AV50" s="1023">
        <v>3197.2560000000003</v>
      </c>
      <c r="AW50" s="1023">
        <v>15957.6</v>
      </c>
      <c r="AX50" s="1023">
        <v>2268.0079999999998</v>
      </c>
      <c r="AY50" s="1024">
        <v>35976.424000000006</v>
      </c>
      <c r="AZ50" s="1023">
        <v>19234.216</v>
      </c>
      <c r="BA50" s="1023">
        <v>3788.1360000000004</v>
      </c>
      <c r="BB50" s="1023">
        <v>19179.423999999999</v>
      </c>
      <c r="BC50" s="1023">
        <v>2708.2400000000002</v>
      </c>
      <c r="BD50" s="1024">
        <v>44910.015999999996</v>
      </c>
      <c r="BE50" s="1023">
        <v>17786.408000000003</v>
      </c>
      <c r="BF50" s="1033">
        <v>4677.96</v>
      </c>
      <c r="BG50" s="1023">
        <v>19544.400000000001</v>
      </c>
      <c r="BH50" s="1023">
        <v>2654.328</v>
      </c>
      <c r="BI50" s="1024">
        <v>44663.096000000005</v>
      </c>
      <c r="BJ50" s="1023">
        <v>10245.896000000001</v>
      </c>
      <c r="BK50" s="1033">
        <v>5251.4080000000004</v>
      </c>
      <c r="BL50" s="1023">
        <v>27745.728000000003</v>
      </c>
      <c r="BM50" s="1023">
        <v>3565.9360000000001</v>
      </c>
      <c r="BN50" s="1024">
        <v>46808.968000000008</v>
      </c>
      <c r="BO50" s="1023">
        <v>8579.4160000000011</v>
      </c>
      <c r="BP50" s="1033">
        <v>1971.4560000000001</v>
      </c>
      <c r="BQ50" s="1023">
        <v>15372</v>
      </c>
      <c r="BR50" s="1023">
        <v>3054.9839999999995</v>
      </c>
      <c r="BS50" s="1024">
        <v>28977.856000000003</v>
      </c>
      <c r="BT50" s="1023">
        <v>10761.016</v>
      </c>
      <c r="BU50" s="1023">
        <v>1563.28</v>
      </c>
      <c r="BV50" s="1023">
        <v>25016.639999999999</v>
      </c>
      <c r="BW50" s="1023">
        <v>3392.9520000000002</v>
      </c>
      <c r="BX50" s="1024">
        <v>40733.887999999999</v>
      </c>
      <c r="BY50" s="1023">
        <v>5985.5760000000009</v>
      </c>
      <c r="BZ50" s="1033">
        <v>565.80799999999999</v>
      </c>
      <c r="CA50" s="1023">
        <v>16909.2</v>
      </c>
      <c r="CB50" s="1023">
        <v>3267.192</v>
      </c>
      <c r="CC50" s="1024">
        <v>26727.776000000002</v>
      </c>
      <c r="CD50" s="1023">
        <v>7756.76</v>
      </c>
      <c r="CE50" s="1023">
        <v>2406.6880000000006</v>
      </c>
      <c r="CF50" s="1023">
        <v>24713.407999999999</v>
      </c>
      <c r="CG50" s="1023">
        <v>3314.6639999999998</v>
      </c>
      <c r="CH50" s="1024">
        <v>38191.519999999997</v>
      </c>
      <c r="CI50" s="1023">
        <v>5160.8160000000007</v>
      </c>
      <c r="CJ50" s="1033">
        <v>1144.4159999999999</v>
      </c>
      <c r="CK50" s="1023">
        <v>16543.2</v>
      </c>
      <c r="CL50" s="1023">
        <v>2164.5679999999998</v>
      </c>
      <c r="CM50" s="1024">
        <v>25013</v>
      </c>
      <c r="CN50" s="1023">
        <v>5349.5680000000002</v>
      </c>
      <c r="CO50" s="1023">
        <v>1708.4079999999999</v>
      </c>
      <c r="CP50" s="1023">
        <v>27442.496000000003</v>
      </c>
      <c r="CQ50" s="1023">
        <v>3035.6240000000003</v>
      </c>
      <c r="CR50" s="1024">
        <v>37536.096000000005</v>
      </c>
      <c r="CS50" s="1023">
        <v>6820.3919999999998</v>
      </c>
      <c r="CT50" s="1033">
        <v>1974.6320000000001</v>
      </c>
      <c r="CU50" s="1023">
        <v>18080.400000000001</v>
      </c>
      <c r="CV50" s="1023">
        <v>3164.8879999999999</v>
      </c>
      <c r="CW50" s="1024">
        <v>30040.311999999998</v>
      </c>
      <c r="CX50" s="1023">
        <v>4713.9359999999997</v>
      </c>
      <c r="CY50" s="1023">
        <v>1706.6320000000003</v>
      </c>
      <c r="CZ50" s="1023">
        <v>26541.728000000003</v>
      </c>
      <c r="DA50" s="1023">
        <v>3435.904</v>
      </c>
      <c r="DB50" s="1024">
        <v>36398.200000000004</v>
      </c>
      <c r="DC50" s="1023">
        <v>5401.1759999999995</v>
      </c>
      <c r="DD50" s="1033">
        <v>1844.4960000000001</v>
      </c>
      <c r="DE50" s="1023">
        <v>23570.400000000001</v>
      </c>
      <c r="DF50" s="1023">
        <v>3072.0000000000005</v>
      </c>
      <c r="DG50" s="1024">
        <v>33888.072</v>
      </c>
      <c r="DH50" s="1023">
        <v>6868.2960000000003</v>
      </c>
      <c r="DI50" s="1033">
        <v>2297.3200000000002</v>
      </c>
      <c r="DJ50" s="1023">
        <v>22514.976000000002</v>
      </c>
      <c r="DK50" s="1023">
        <v>3355</v>
      </c>
      <c r="DL50" s="1024">
        <v>35035.592000000004</v>
      </c>
      <c r="DM50" s="1023">
        <v>6991.96</v>
      </c>
      <c r="DN50" s="1033">
        <v>766.52</v>
      </c>
      <c r="DO50" s="1023">
        <v>17421.600000000002</v>
      </c>
      <c r="DP50" s="1023">
        <v>3271.5440000000003</v>
      </c>
      <c r="DQ50" s="1028">
        <v>28451.624000000003</v>
      </c>
      <c r="DR50" s="1037">
        <v>170009.92800000001</v>
      </c>
      <c r="DS50" s="1023">
        <v>34191.672000000006</v>
      </c>
      <c r="DT50" s="1023">
        <v>258707.99200000003</v>
      </c>
      <c r="DU50" s="1023">
        <v>40014.600000000006</v>
      </c>
      <c r="DV50" s="1024">
        <v>502924.19200000004</v>
      </c>
      <c r="DW50" s="1023">
        <v>136963.93600000002</v>
      </c>
      <c r="DX50" s="1023">
        <v>27445.68</v>
      </c>
      <c r="DY50" s="1023">
        <v>199191.31200000001</v>
      </c>
      <c r="DZ50" s="1023">
        <v>31795.417999999998</v>
      </c>
      <c r="EA50" s="1028">
        <v>395396.34600000002</v>
      </c>
      <c r="EB50" s="1031">
        <v>24.127513391554388</v>
      </c>
      <c r="EC50" s="1031">
        <v>24.579431079863951</v>
      </c>
      <c r="ED50" s="1031">
        <v>29.87915456874947</v>
      </c>
      <c r="EE50" s="1031">
        <v>25.850208982942164</v>
      </c>
      <c r="EF50" s="1038">
        <v>27.194951872418159</v>
      </c>
    </row>
    <row r="51" spans="1:136">
      <c r="A51" s="1016" t="s">
        <v>91</v>
      </c>
      <c r="B51" s="1023">
        <v>226443.64</v>
      </c>
      <c r="C51" s="1023">
        <v>23807.103999999999</v>
      </c>
      <c r="D51" s="1023">
        <v>97196.816000000006</v>
      </c>
      <c r="E51" s="1023">
        <v>14116.712000000001</v>
      </c>
      <c r="F51" s="1024">
        <v>361564.272</v>
      </c>
      <c r="G51" s="1023">
        <v>217354.96000000005</v>
      </c>
      <c r="H51" s="1033">
        <v>28336.062000000002</v>
      </c>
      <c r="I51" s="1023">
        <v>84686.200000000012</v>
      </c>
      <c r="J51" s="1023">
        <v>22368.860000000004</v>
      </c>
      <c r="K51" s="1024">
        <v>352746.08200000005</v>
      </c>
      <c r="L51" s="1023">
        <v>327462.36800000002</v>
      </c>
      <c r="M51" s="1023">
        <v>55909.032000000007</v>
      </c>
      <c r="N51" s="1023">
        <v>127888.09600000001</v>
      </c>
      <c r="O51" s="1023">
        <v>15229.104000000001</v>
      </c>
      <c r="P51" s="1024">
        <v>526488.60000000009</v>
      </c>
      <c r="Q51" s="1023">
        <v>277303.81</v>
      </c>
      <c r="R51" s="1033">
        <v>42853.414000000004</v>
      </c>
      <c r="S51" s="1023">
        <v>84836</v>
      </c>
      <c r="T51" s="1023">
        <v>20194.350000000002</v>
      </c>
      <c r="U51" s="1024">
        <v>425187.57399999996</v>
      </c>
      <c r="V51" s="1023">
        <v>119211.76800000001</v>
      </c>
      <c r="W51" s="1023">
        <v>20997.088000000003</v>
      </c>
      <c r="X51" s="1023">
        <v>102871.45600000001</v>
      </c>
      <c r="Y51" s="1023">
        <v>11786.376000000002</v>
      </c>
      <c r="Z51" s="1024">
        <v>254866.68800000002</v>
      </c>
      <c r="AA51" s="1023">
        <v>192743.79</v>
      </c>
      <c r="AB51" s="1033">
        <v>22052.002</v>
      </c>
      <c r="AC51" s="1023">
        <v>105627.6</v>
      </c>
      <c r="AD51" s="1023">
        <v>15280.521999999999</v>
      </c>
      <c r="AE51" s="1024">
        <v>335703.91399999999</v>
      </c>
      <c r="AF51" s="1023">
        <v>133915.25599999999</v>
      </c>
      <c r="AG51" s="1023">
        <v>20282.344000000005</v>
      </c>
      <c r="AH51" s="1023">
        <v>122960.576</v>
      </c>
      <c r="AI51" s="1023">
        <v>9564.224000000002</v>
      </c>
      <c r="AJ51" s="1024">
        <v>286722.39999999997</v>
      </c>
      <c r="AK51" s="1023">
        <v>118806.72200000001</v>
      </c>
      <c r="AL51" s="1023">
        <v>14865.286000000002</v>
      </c>
      <c r="AM51" s="1023">
        <v>117852</v>
      </c>
      <c r="AN51" s="1023">
        <v>17841.396000000001</v>
      </c>
      <c r="AO51" s="1024">
        <v>269365.40399999998</v>
      </c>
      <c r="AP51" s="1023">
        <v>159255.432</v>
      </c>
      <c r="AQ51" s="1023">
        <v>21330.368000000002</v>
      </c>
      <c r="AR51" s="1023">
        <v>140775.45600000001</v>
      </c>
      <c r="AS51" s="1023">
        <v>10519.720000000001</v>
      </c>
      <c r="AT51" s="1024">
        <v>331880.97600000002</v>
      </c>
      <c r="AU51" s="1023">
        <v>134398.88600000003</v>
      </c>
      <c r="AV51" s="1023">
        <v>28083.212</v>
      </c>
      <c r="AW51" s="1023">
        <v>120124.23999999999</v>
      </c>
      <c r="AX51" s="1023">
        <v>14885.548000000001</v>
      </c>
      <c r="AY51" s="1024">
        <v>297491.886</v>
      </c>
      <c r="AZ51" s="1023">
        <v>161749.27200000003</v>
      </c>
      <c r="BA51" s="1023">
        <v>21440.631999999998</v>
      </c>
      <c r="BB51" s="1023">
        <v>107192.51200000002</v>
      </c>
      <c r="BC51" s="1023">
        <v>11018.456</v>
      </c>
      <c r="BD51" s="1024">
        <v>301400.87200000009</v>
      </c>
      <c r="BE51" s="1023">
        <v>134566.33000000002</v>
      </c>
      <c r="BF51" s="1033">
        <v>33551.370000000003</v>
      </c>
      <c r="BG51" s="1023">
        <v>104529.60000000001</v>
      </c>
      <c r="BH51" s="1023">
        <v>12485.122000000001</v>
      </c>
      <c r="BI51" s="1024">
        <v>285132.42200000002</v>
      </c>
      <c r="BJ51" s="1023">
        <v>66928.216</v>
      </c>
      <c r="BK51" s="1033">
        <v>15534.824000000001</v>
      </c>
      <c r="BL51" s="1023">
        <v>135620.51200000002</v>
      </c>
      <c r="BM51" s="1023">
        <v>14245.096</v>
      </c>
      <c r="BN51" s="1024">
        <v>232328.64800000002</v>
      </c>
      <c r="BO51" s="1023">
        <v>57945.424000000014</v>
      </c>
      <c r="BP51" s="1033">
        <v>7091.8559999999998</v>
      </c>
      <c r="BQ51" s="1023">
        <v>111996</v>
      </c>
      <c r="BR51" s="1023">
        <v>16073.918000000001</v>
      </c>
      <c r="BS51" s="1024">
        <v>193107.19800000003</v>
      </c>
      <c r="BT51" s="1023">
        <v>56446.360000000008</v>
      </c>
      <c r="BU51" s="1023">
        <v>8502.3920000000016</v>
      </c>
      <c r="BV51" s="1023">
        <v>139335.10400000002</v>
      </c>
      <c r="BW51" s="1023">
        <v>12906.400000000001</v>
      </c>
      <c r="BX51" s="1024">
        <v>217190.25600000002</v>
      </c>
      <c r="BY51" s="1023">
        <v>73221.962</v>
      </c>
      <c r="BZ51" s="1033">
        <v>9900.344000000001</v>
      </c>
      <c r="CA51" s="1023">
        <v>128685.6</v>
      </c>
      <c r="CB51" s="1023">
        <v>27318.974000000002</v>
      </c>
      <c r="CC51" s="1024">
        <v>239126.88</v>
      </c>
      <c r="CD51" s="1023">
        <v>49483.608000000007</v>
      </c>
      <c r="CE51" s="1023">
        <v>8787.5120000000006</v>
      </c>
      <c r="CF51" s="1023">
        <v>138652.83200000002</v>
      </c>
      <c r="CG51" s="1023">
        <v>12097.712000000003</v>
      </c>
      <c r="CH51" s="1024">
        <v>209021.66400000005</v>
      </c>
      <c r="CI51" s="1023">
        <v>44125.756000000008</v>
      </c>
      <c r="CJ51" s="1033">
        <v>6105.616</v>
      </c>
      <c r="CK51" s="1023">
        <v>117559.20000000001</v>
      </c>
      <c r="CL51" s="1023">
        <v>11200.232000000002</v>
      </c>
      <c r="CM51" s="1024">
        <v>178990.804</v>
      </c>
      <c r="CN51" s="1023">
        <v>51081.8</v>
      </c>
      <c r="CO51" s="1023">
        <v>6182.5920000000006</v>
      </c>
      <c r="CP51" s="1023">
        <v>144035.20000000001</v>
      </c>
      <c r="CQ51" s="1023">
        <v>14944.968000000004</v>
      </c>
      <c r="CR51" s="1024">
        <v>216244.56</v>
      </c>
      <c r="CS51" s="1023">
        <v>51990.184000000008</v>
      </c>
      <c r="CT51" s="1033">
        <v>4879.9520000000002</v>
      </c>
      <c r="CU51" s="1023">
        <v>126343.20000000001</v>
      </c>
      <c r="CV51" s="1023">
        <v>18472.36</v>
      </c>
      <c r="CW51" s="1024">
        <v>201685.696</v>
      </c>
      <c r="CX51" s="1023">
        <v>68689.360000000015</v>
      </c>
      <c r="CY51" s="1023">
        <v>8575.8240000000005</v>
      </c>
      <c r="CZ51" s="1023">
        <v>131981.728</v>
      </c>
      <c r="DA51" s="1023">
        <v>21397.52</v>
      </c>
      <c r="DB51" s="1024">
        <v>230644.432</v>
      </c>
      <c r="DC51" s="1023">
        <v>36294.096000000005</v>
      </c>
      <c r="DD51" s="1033">
        <v>2657.192</v>
      </c>
      <c r="DE51" s="1023">
        <v>113020.8</v>
      </c>
      <c r="DF51" s="1023">
        <v>11126.12</v>
      </c>
      <c r="DG51" s="1024">
        <v>163098.20800000001</v>
      </c>
      <c r="DH51" s="1023">
        <v>63357.912000000004</v>
      </c>
      <c r="DI51" s="1033">
        <v>5707.9760000000006</v>
      </c>
      <c r="DJ51" s="1023">
        <v>127054.20800000001</v>
      </c>
      <c r="DK51" s="1023">
        <v>21089.776000000002</v>
      </c>
      <c r="DL51" s="1024">
        <v>217209.87200000003</v>
      </c>
      <c r="DM51" s="1023">
        <v>34943.312000000005</v>
      </c>
      <c r="DN51" s="1033">
        <v>2739.3760000000002</v>
      </c>
      <c r="DO51" s="1023">
        <v>100576.8</v>
      </c>
      <c r="DP51" s="1023">
        <v>12907.064</v>
      </c>
      <c r="DQ51" s="1028">
        <v>151166.55200000003</v>
      </c>
      <c r="DR51" s="1037">
        <v>1484024.9920000006</v>
      </c>
      <c r="DS51" s="1023">
        <v>217057.68799999994</v>
      </c>
      <c r="DT51" s="1023">
        <v>1515564.4960000003</v>
      </c>
      <c r="DU51" s="1023">
        <v>168916.06400000004</v>
      </c>
      <c r="DV51" s="1024">
        <v>3385563.2400000012</v>
      </c>
      <c r="DW51" s="1023">
        <v>1373695.2320000003</v>
      </c>
      <c r="DX51" s="1023">
        <v>203115.68200000003</v>
      </c>
      <c r="DY51" s="1023">
        <v>1315837.24</v>
      </c>
      <c r="DZ51" s="1023">
        <v>200154.46600000001</v>
      </c>
      <c r="EA51" s="1028">
        <v>3092802.62</v>
      </c>
      <c r="EB51" s="1031">
        <v>8.0316039125627725</v>
      </c>
      <c r="EC51" s="1031">
        <v>6.8640716771440253</v>
      </c>
      <c r="ED51" s="1031">
        <v>15.178720432019418</v>
      </c>
      <c r="EE51" s="1031">
        <v>-15.607147132055488</v>
      </c>
      <c r="EF51" s="1038">
        <v>9.4658682098504272</v>
      </c>
    </row>
    <row r="52" spans="1:136">
      <c r="A52" s="1016" t="s">
        <v>92</v>
      </c>
      <c r="B52" s="1023">
        <v>147321.50400000002</v>
      </c>
      <c r="C52" s="1023">
        <v>12505.944000000001</v>
      </c>
      <c r="D52" s="1023">
        <v>55199.008000000002</v>
      </c>
      <c r="E52" s="1023">
        <v>7626.3600000000006</v>
      </c>
      <c r="F52" s="1024">
        <v>222652.81599999999</v>
      </c>
      <c r="G52" s="1023">
        <v>127391.19000000002</v>
      </c>
      <c r="H52" s="1033">
        <v>13221.365999999998</v>
      </c>
      <c r="I52" s="1023">
        <v>53732</v>
      </c>
      <c r="J52" s="1023">
        <v>7539.094000000001</v>
      </c>
      <c r="K52" s="1024">
        <v>201883.65000000002</v>
      </c>
      <c r="L52" s="1023">
        <v>157618.68799999999</v>
      </c>
      <c r="M52" s="1023">
        <v>19178.928</v>
      </c>
      <c r="N52" s="1023">
        <v>58827.008000000002</v>
      </c>
      <c r="O52" s="1023">
        <v>9555.1999999999989</v>
      </c>
      <c r="P52" s="1024">
        <v>245179.82399999999</v>
      </c>
      <c r="Q52" s="1023">
        <v>117949.70199999999</v>
      </c>
      <c r="R52" s="1033">
        <v>14648.412</v>
      </c>
      <c r="S52" s="1023">
        <v>52484.4</v>
      </c>
      <c r="T52" s="1023">
        <v>11236.516000000001</v>
      </c>
      <c r="U52" s="1024">
        <v>196319.03</v>
      </c>
      <c r="V52" s="1023">
        <v>74482.456000000006</v>
      </c>
      <c r="W52" s="1023">
        <v>6565.16</v>
      </c>
      <c r="X52" s="1023">
        <v>50412.320000000007</v>
      </c>
      <c r="Y52" s="1023">
        <v>4253.7920000000004</v>
      </c>
      <c r="Z52" s="1024">
        <v>135713.728</v>
      </c>
      <c r="AA52" s="1023">
        <v>101552.40800000001</v>
      </c>
      <c r="AB52" s="1033">
        <v>13907.464000000002</v>
      </c>
      <c r="AC52" s="1023">
        <v>61195.119999999995</v>
      </c>
      <c r="AD52" s="1023">
        <v>6179.0439999999999</v>
      </c>
      <c r="AE52" s="1024">
        <v>182834.03600000002</v>
      </c>
      <c r="AF52" s="1023">
        <v>75863.12</v>
      </c>
      <c r="AG52" s="1023">
        <v>7977.4160000000002</v>
      </c>
      <c r="AH52" s="1023">
        <v>74519.26400000001</v>
      </c>
      <c r="AI52" s="1023">
        <v>4800.2000000000007</v>
      </c>
      <c r="AJ52" s="1024">
        <v>163160</v>
      </c>
      <c r="AK52" s="1023">
        <v>51114.191999999995</v>
      </c>
      <c r="AL52" s="1023">
        <v>8553.67</v>
      </c>
      <c r="AM52" s="1023">
        <v>58560</v>
      </c>
      <c r="AN52" s="1023">
        <v>4121.848</v>
      </c>
      <c r="AO52" s="1024">
        <v>122349.70999999999</v>
      </c>
      <c r="AP52" s="1023">
        <v>90148.984000000011</v>
      </c>
      <c r="AQ52" s="1023">
        <v>8431.4640000000018</v>
      </c>
      <c r="AR52" s="1023">
        <v>76490.271999999997</v>
      </c>
      <c r="AS52" s="1023">
        <v>7282.9280000000008</v>
      </c>
      <c r="AT52" s="1024">
        <v>182353.64800000004</v>
      </c>
      <c r="AU52" s="1023">
        <v>68391.356</v>
      </c>
      <c r="AV52" s="1023">
        <v>8941</v>
      </c>
      <c r="AW52" s="1023">
        <v>63156.959999999999</v>
      </c>
      <c r="AX52" s="1023">
        <v>3624.6120000000001</v>
      </c>
      <c r="AY52" s="1024">
        <v>144113.92799999999</v>
      </c>
      <c r="AZ52" s="1023">
        <v>87201.008000000002</v>
      </c>
      <c r="BA52" s="1023">
        <v>10995.400000000001</v>
      </c>
      <c r="BB52" s="1023">
        <v>73230.528000000006</v>
      </c>
      <c r="BC52" s="1023">
        <v>5141.5839999999998</v>
      </c>
      <c r="BD52" s="1024">
        <v>176568.52</v>
      </c>
      <c r="BE52" s="1023">
        <v>67114.398000000001</v>
      </c>
      <c r="BF52" s="1033">
        <v>8189.880000000001</v>
      </c>
      <c r="BG52" s="1023">
        <v>70857.600000000006</v>
      </c>
      <c r="BH52" s="1023">
        <v>6921.0219999999999</v>
      </c>
      <c r="BI52" s="1024">
        <v>153082.90000000002</v>
      </c>
      <c r="BJ52" s="1023">
        <v>42316.160000000003</v>
      </c>
      <c r="BK52" s="1033">
        <v>2932.9760000000001</v>
      </c>
      <c r="BL52" s="1023">
        <v>82858.144</v>
      </c>
      <c r="BM52" s="1023">
        <v>6069.0960000000005</v>
      </c>
      <c r="BN52" s="1024">
        <v>134176.37599999999</v>
      </c>
      <c r="BO52" s="1023">
        <v>29798.582000000002</v>
      </c>
      <c r="BP52" s="1033">
        <v>2849.384</v>
      </c>
      <c r="BQ52" s="1023">
        <v>66319.199999999997</v>
      </c>
      <c r="BR52" s="1023">
        <v>10387.936</v>
      </c>
      <c r="BS52" s="1024">
        <v>109355.102</v>
      </c>
      <c r="BT52" s="1023">
        <v>32872.199999999997</v>
      </c>
      <c r="BU52" s="1023">
        <v>4314.1760000000004</v>
      </c>
      <c r="BV52" s="1023">
        <v>84525.92</v>
      </c>
      <c r="BW52" s="1023">
        <v>7040.7439999999997</v>
      </c>
      <c r="BX52" s="1024">
        <v>128753.04000000001</v>
      </c>
      <c r="BY52" s="1023">
        <v>26029.660000000003</v>
      </c>
      <c r="BZ52" s="1033">
        <v>2375.5440000000003</v>
      </c>
      <c r="CA52" s="1023">
        <v>71736</v>
      </c>
      <c r="CB52" s="1023">
        <v>8083.8120000000017</v>
      </c>
      <c r="CC52" s="1024">
        <v>108225.016</v>
      </c>
      <c r="CD52" s="1023">
        <v>27704.36</v>
      </c>
      <c r="CE52" s="1023">
        <v>4603.88</v>
      </c>
      <c r="CF52" s="1023">
        <v>85056.576000000001</v>
      </c>
      <c r="CG52" s="1023">
        <v>7683.1200000000008</v>
      </c>
      <c r="CH52" s="1024">
        <v>125047.936</v>
      </c>
      <c r="CI52" s="1023">
        <v>21094.58</v>
      </c>
      <c r="CJ52" s="1033">
        <v>2751.944</v>
      </c>
      <c r="CK52" s="1023">
        <v>61048.800000000003</v>
      </c>
      <c r="CL52" s="1023">
        <v>5983.9599999999991</v>
      </c>
      <c r="CM52" s="1024">
        <v>90879.284000000014</v>
      </c>
      <c r="CN52" s="1023">
        <v>39724.384000000005</v>
      </c>
      <c r="CO52" s="1023">
        <v>5060.0720000000001</v>
      </c>
      <c r="CP52" s="1023">
        <v>101506.91200000001</v>
      </c>
      <c r="CQ52" s="1023">
        <v>12744.400000000001</v>
      </c>
      <c r="CR52" s="1024">
        <v>159035.76800000001</v>
      </c>
      <c r="CS52" s="1023">
        <v>25582.121999999999</v>
      </c>
      <c r="CT52" s="1033">
        <v>3891.64</v>
      </c>
      <c r="CU52" s="1023">
        <v>70930.8</v>
      </c>
      <c r="CV52" s="1023">
        <v>7904.8520000000017</v>
      </c>
      <c r="CW52" s="1024">
        <v>108309.414</v>
      </c>
      <c r="CX52" s="1023">
        <v>23759.624000000003</v>
      </c>
      <c r="CY52" s="1023">
        <v>3957.6320000000001</v>
      </c>
      <c r="CZ52" s="1023">
        <v>79067.744000000006</v>
      </c>
      <c r="DA52" s="1023">
        <v>8131.2800000000007</v>
      </c>
      <c r="DB52" s="1024">
        <v>114916.28000000001</v>
      </c>
      <c r="DC52" s="1023">
        <v>19257.552</v>
      </c>
      <c r="DD52" s="1033">
        <v>3602.5039999999999</v>
      </c>
      <c r="DE52" s="1023">
        <v>66172.800000000003</v>
      </c>
      <c r="DF52" s="1023">
        <v>6452.5040000000008</v>
      </c>
      <c r="DG52" s="1024">
        <v>95485.36</v>
      </c>
      <c r="DH52" s="1023">
        <v>23230.336000000003</v>
      </c>
      <c r="DI52" s="1033">
        <v>3756.1680000000006</v>
      </c>
      <c r="DJ52" s="1023">
        <v>69440.128000000012</v>
      </c>
      <c r="DK52" s="1023">
        <v>6747.152000000001</v>
      </c>
      <c r="DL52" s="1024">
        <v>103173.78400000001</v>
      </c>
      <c r="DM52" s="1023">
        <v>24417.279999999999</v>
      </c>
      <c r="DN52" s="1033">
        <v>1263.6480000000001</v>
      </c>
      <c r="DO52" s="1023">
        <v>63830.400000000001</v>
      </c>
      <c r="DP52" s="1023">
        <v>8784.0880000000016</v>
      </c>
      <c r="DQ52" s="1028">
        <v>98295.416000000012</v>
      </c>
      <c r="DR52" s="1037">
        <v>822242.82400000002</v>
      </c>
      <c r="DS52" s="1023">
        <v>90279.216000000015</v>
      </c>
      <c r="DT52" s="1023">
        <v>891133.82400000002</v>
      </c>
      <c r="DU52" s="1023">
        <v>87075.856</v>
      </c>
      <c r="DV52" s="1024">
        <v>1890731.72</v>
      </c>
      <c r="DW52" s="1023">
        <v>679693.02200000011</v>
      </c>
      <c r="DX52" s="1023">
        <v>84196.456000000006</v>
      </c>
      <c r="DY52" s="1023">
        <v>760024.08000000007</v>
      </c>
      <c r="DZ52" s="1023">
        <v>87219.288000000015</v>
      </c>
      <c r="EA52" s="1028">
        <v>1611132.8460000001</v>
      </c>
      <c r="EB52" s="1031">
        <v>20.972674043430132</v>
      </c>
      <c r="EC52" s="1031">
        <v>7.2244846030099126</v>
      </c>
      <c r="ED52" s="1031">
        <v>17.250735529326903</v>
      </c>
      <c r="EE52" s="1031">
        <v>-0.16444986342931145</v>
      </c>
      <c r="EF52" s="1038">
        <v>17.354178750322617</v>
      </c>
    </row>
    <row r="53" spans="1:136">
      <c r="A53" s="1016" t="s">
        <v>93</v>
      </c>
      <c r="B53" s="1023">
        <v>265421.20800000004</v>
      </c>
      <c r="C53" s="1023">
        <v>17881.448</v>
      </c>
      <c r="D53" s="1023">
        <v>76592.688000000009</v>
      </c>
      <c r="E53" s="1023">
        <v>15095.766</v>
      </c>
      <c r="F53" s="1024">
        <v>374991.11000000004</v>
      </c>
      <c r="G53" s="1023">
        <v>248022.73199999999</v>
      </c>
      <c r="H53" s="1033">
        <v>15948.862000000001</v>
      </c>
      <c r="I53" s="1023">
        <v>73569.600000000006</v>
      </c>
      <c r="J53" s="1023">
        <v>20749.727999999999</v>
      </c>
      <c r="K53" s="1024">
        <v>358290.92200000002</v>
      </c>
      <c r="L53" s="1023">
        <v>356014.72000000003</v>
      </c>
      <c r="M53" s="1023">
        <v>37851.567999999999</v>
      </c>
      <c r="N53" s="1023">
        <v>80659.712</v>
      </c>
      <c r="O53" s="1023">
        <v>16223.255999999999</v>
      </c>
      <c r="P53" s="1024">
        <v>490749.25600000005</v>
      </c>
      <c r="Q53" s="1023">
        <v>348745.32400000002</v>
      </c>
      <c r="R53" s="1033">
        <v>27444.340000000004</v>
      </c>
      <c r="S53" s="1023">
        <v>71510.8</v>
      </c>
      <c r="T53" s="1023">
        <v>22205.190000000002</v>
      </c>
      <c r="U53" s="1024">
        <v>469905.65400000004</v>
      </c>
      <c r="V53" s="1023">
        <v>149392.16600000003</v>
      </c>
      <c r="W53" s="1023">
        <v>18774.024000000001</v>
      </c>
      <c r="X53" s="1023">
        <v>85587.232000000004</v>
      </c>
      <c r="Y53" s="1023">
        <v>11402.296</v>
      </c>
      <c r="Z53" s="1024">
        <v>265155.71799999999</v>
      </c>
      <c r="AA53" s="1023">
        <v>213049.41800000001</v>
      </c>
      <c r="AB53" s="1033">
        <v>15364.334000000001</v>
      </c>
      <c r="AC53" s="1023">
        <v>92817.600000000006</v>
      </c>
      <c r="AD53" s="1023">
        <v>19821.667999999994</v>
      </c>
      <c r="AE53" s="1024">
        <v>341053.02</v>
      </c>
      <c r="AF53" s="1023">
        <v>149879.68200000003</v>
      </c>
      <c r="AG53" s="1023">
        <v>20631.864000000001</v>
      </c>
      <c r="AH53" s="1023">
        <v>108557.05600000001</v>
      </c>
      <c r="AI53" s="1023">
        <v>12336.094000000001</v>
      </c>
      <c r="AJ53" s="1024">
        <v>291404.69600000005</v>
      </c>
      <c r="AK53" s="1023">
        <v>124357.69400000002</v>
      </c>
      <c r="AL53" s="1023">
        <v>16270.894</v>
      </c>
      <c r="AM53" s="1023">
        <v>104822.40000000001</v>
      </c>
      <c r="AN53" s="1023">
        <v>16721.322</v>
      </c>
      <c r="AO53" s="1024">
        <v>262172.31</v>
      </c>
      <c r="AP53" s="1023">
        <v>172483.56800000003</v>
      </c>
      <c r="AQ53" s="1023">
        <v>19539.248000000003</v>
      </c>
      <c r="AR53" s="1023">
        <v>121444.416</v>
      </c>
      <c r="AS53" s="1023">
        <v>13655.744000000002</v>
      </c>
      <c r="AT53" s="1024">
        <v>327122.97600000002</v>
      </c>
      <c r="AU53" s="1023">
        <v>145749.94999999998</v>
      </c>
      <c r="AV53" s="1023">
        <v>14585.224000000002</v>
      </c>
      <c r="AW53" s="1023">
        <v>106725.6</v>
      </c>
      <c r="AX53" s="1023">
        <v>14053.712</v>
      </c>
      <c r="AY53" s="1024">
        <v>281114.48599999998</v>
      </c>
      <c r="AZ53" s="1023">
        <v>181574.872</v>
      </c>
      <c r="BA53" s="1023">
        <v>26182.36</v>
      </c>
      <c r="BB53" s="1023">
        <v>99005.248000000007</v>
      </c>
      <c r="BC53" s="1023">
        <v>16153.032000000001</v>
      </c>
      <c r="BD53" s="1024">
        <v>322915.51200000005</v>
      </c>
      <c r="BE53" s="1023">
        <v>134179.36800000002</v>
      </c>
      <c r="BF53" s="1033">
        <v>18886.295999999998</v>
      </c>
      <c r="BG53" s="1023">
        <v>96770.400000000009</v>
      </c>
      <c r="BH53" s="1023">
        <v>17245.763999999999</v>
      </c>
      <c r="BI53" s="1024">
        <v>267081.82800000004</v>
      </c>
      <c r="BJ53" s="1023">
        <v>76029.272000000012</v>
      </c>
      <c r="BK53" s="1033">
        <v>14565.272000000001</v>
      </c>
      <c r="BL53" s="1023">
        <v>116062.04800000001</v>
      </c>
      <c r="BM53" s="1023">
        <v>22560.887999999999</v>
      </c>
      <c r="BN53" s="1024">
        <v>229217.48</v>
      </c>
      <c r="BO53" s="1023">
        <v>45203.762000000002</v>
      </c>
      <c r="BP53" s="1033">
        <v>10549.456</v>
      </c>
      <c r="BQ53" s="1023">
        <v>96843.6</v>
      </c>
      <c r="BR53" s="1023">
        <v>15223.272000000001</v>
      </c>
      <c r="BS53" s="1024">
        <v>167820.09</v>
      </c>
      <c r="BT53" s="1023">
        <v>75932.495999999999</v>
      </c>
      <c r="BU53" s="1023">
        <v>6929.2800000000007</v>
      </c>
      <c r="BV53" s="1023">
        <v>108632.864</v>
      </c>
      <c r="BW53" s="1023">
        <v>19361.696</v>
      </c>
      <c r="BX53" s="1024">
        <v>210856.33600000001</v>
      </c>
      <c r="BY53" s="1023">
        <v>49663.388000000006</v>
      </c>
      <c r="BZ53" s="1033">
        <v>3613.04</v>
      </c>
      <c r="CA53" s="1023">
        <v>105993.60000000001</v>
      </c>
      <c r="CB53" s="1023">
        <v>14207.966</v>
      </c>
      <c r="CC53" s="1024">
        <v>173477.99400000001</v>
      </c>
      <c r="CD53" s="1023">
        <v>65102.696000000011</v>
      </c>
      <c r="CE53" s="1023">
        <v>7523.4639999999999</v>
      </c>
      <c r="CF53" s="1023">
        <v>102492.41600000001</v>
      </c>
      <c r="CG53" s="1023">
        <v>19168.440000000002</v>
      </c>
      <c r="CH53" s="1024">
        <v>194287.016</v>
      </c>
      <c r="CI53" s="1023">
        <v>31949.598000000005</v>
      </c>
      <c r="CJ53" s="1033">
        <v>3782.84</v>
      </c>
      <c r="CK53" s="1023">
        <v>87986.400000000009</v>
      </c>
      <c r="CL53" s="1023">
        <v>7961.8819999999996</v>
      </c>
      <c r="CM53" s="1024">
        <v>131680.72000000003</v>
      </c>
      <c r="CN53" s="1023">
        <v>71558.008000000002</v>
      </c>
      <c r="CO53" s="1023">
        <v>6143.0560000000005</v>
      </c>
      <c r="CP53" s="1023">
        <v>118033.05600000001</v>
      </c>
      <c r="CQ53" s="1023">
        <v>20638.696</v>
      </c>
      <c r="CR53" s="1024">
        <v>216372.81599999999</v>
      </c>
      <c r="CS53" s="1023">
        <v>30810.474000000006</v>
      </c>
      <c r="CT53" s="1033">
        <v>3893.6480000000001</v>
      </c>
      <c r="CU53" s="1023">
        <v>108555.6</v>
      </c>
      <c r="CV53" s="1023">
        <v>11761.490000000003</v>
      </c>
      <c r="CW53" s="1024">
        <v>155021.212</v>
      </c>
      <c r="CX53" s="1023">
        <v>62569.216000000008</v>
      </c>
      <c r="CY53" s="1023">
        <v>7454.3360000000002</v>
      </c>
      <c r="CZ53" s="1023">
        <v>99232.672000000006</v>
      </c>
      <c r="DA53" s="1023">
        <v>18729.064000000002</v>
      </c>
      <c r="DB53" s="1024">
        <v>187985.28800000003</v>
      </c>
      <c r="DC53" s="1023">
        <v>37910.824000000001</v>
      </c>
      <c r="DD53" s="1033">
        <v>4069.5760000000005</v>
      </c>
      <c r="DE53" s="1023">
        <v>91939.200000000012</v>
      </c>
      <c r="DF53" s="1023">
        <v>13062.115999999998</v>
      </c>
      <c r="DG53" s="1024">
        <v>146981.71600000001</v>
      </c>
      <c r="DH53" s="1023">
        <v>61385.640000000007</v>
      </c>
      <c r="DI53" s="1033">
        <v>8822.8559999999998</v>
      </c>
      <c r="DJ53" s="1023">
        <v>91197.024000000005</v>
      </c>
      <c r="DK53" s="1023">
        <v>21732.407999999999</v>
      </c>
      <c r="DL53" s="1024">
        <v>183137.92800000001</v>
      </c>
      <c r="DM53" s="1023">
        <v>49528.835999999996</v>
      </c>
      <c r="DN53" s="1033">
        <v>1852.56</v>
      </c>
      <c r="DO53" s="1023">
        <v>85058.400000000009</v>
      </c>
      <c r="DP53" s="1023">
        <v>17057.748</v>
      </c>
      <c r="DQ53" s="1028">
        <v>153497.54399999999</v>
      </c>
      <c r="DR53" s="1037">
        <v>1687343.544</v>
      </c>
      <c r="DS53" s="1023">
        <v>192298.77600000004</v>
      </c>
      <c r="DT53" s="1023">
        <v>1207496.432</v>
      </c>
      <c r="DU53" s="1023">
        <v>207057.38</v>
      </c>
      <c r="DV53" s="1024">
        <v>3294196.1320000002</v>
      </c>
      <c r="DW53" s="1023">
        <v>1459171.368</v>
      </c>
      <c r="DX53" s="1023">
        <v>136261.07</v>
      </c>
      <c r="DY53" s="1023">
        <v>1122593.2</v>
      </c>
      <c r="DZ53" s="1023">
        <v>190071.85799999998</v>
      </c>
      <c r="EA53" s="1028">
        <v>2908097.4960000003</v>
      </c>
      <c r="EB53" s="1031">
        <v>15.637106168875974</v>
      </c>
      <c r="EC53" s="1031">
        <v>41.125250227376057</v>
      </c>
      <c r="ED53" s="1031">
        <v>7.5631343571295702</v>
      </c>
      <c r="EE53" s="1031">
        <v>8.9363686864154488</v>
      </c>
      <c r="EF53" s="1038">
        <v>13.276674407617591</v>
      </c>
    </row>
    <row r="54" spans="1:136">
      <c r="A54" s="1016" t="s">
        <v>94</v>
      </c>
      <c r="B54" s="1023">
        <v>178211.64800000002</v>
      </c>
      <c r="C54" s="1023">
        <v>17561.64</v>
      </c>
      <c r="D54" s="1023">
        <v>71301.775999999998</v>
      </c>
      <c r="E54" s="1023">
        <v>11762.76</v>
      </c>
      <c r="F54" s="1024">
        <v>278837.82400000002</v>
      </c>
      <c r="G54" s="1023">
        <v>121344.48800000001</v>
      </c>
      <c r="H54" s="1033">
        <v>10759.536</v>
      </c>
      <c r="I54" s="1023">
        <v>71874.8</v>
      </c>
      <c r="J54" s="1023">
        <v>8894.6820000000007</v>
      </c>
      <c r="K54" s="1024">
        <v>212873.50600000002</v>
      </c>
      <c r="L54" s="1023">
        <v>284648.16000000003</v>
      </c>
      <c r="M54" s="1023">
        <v>35028.04</v>
      </c>
      <c r="N54" s="1023">
        <v>92558.96</v>
      </c>
      <c r="O54" s="1023">
        <v>10784.656000000001</v>
      </c>
      <c r="P54" s="1024">
        <v>423019.81600000005</v>
      </c>
      <c r="Q54" s="1023">
        <v>195592.15000000005</v>
      </c>
      <c r="R54" s="1033">
        <v>15950.792000000003</v>
      </c>
      <c r="S54" s="1023">
        <v>63757.200000000004</v>
      </c>
      <c r="T54" s="1023">
        <v>8172.71</v>
      </c>
      <c r="U54" s="1024">
        <v>283472.85200000007</v>
      </c>
      <c r="V54" s="1023">
        <v>108404.136</v>
      </c>
      <c r="W54" s="1023">
        <v>13065.791999999999</v>
      </c>
      <c r="X54" s="1023">
        <v>70956.288</v>
      </c>
      <c r="Y54" s="1023">
        <v>9751.56</v>
      </c>
      <c r="Z54" s="1024">
        <v>202177.77600000001</v>
      </c>
      <c r="AA54" s="1023">
        <v>156304.47200000001</v>
      </c>
      <c r="AB54" s="1033">
        <v>11896.2</v>
      </c>
      <c r="AC54" s="1023">
        <v>89157.6</v>
      </c>
      <c r="AD54" s="1023">
        <v>8822.4619999999995</v>
      </c>
      <c r="AE54" s="1024">
        <v>266180.73400000005</v>
      </c>
      <c r="AF54" s="1023">
        <v>98665.640000000014</v>
      </c>
      <c r="AG54" s="1023">
        <v>11587.088000000002</v>
      </c>
      <c r="AH54" s="1023">
        <v>93243.840000000011</v>
      </c>
      <c r="AI54" s="1023">
        <v>9873.2159999999985</v>
      </c>
      <c r="AJ54" s="1024">
        <v>213369.78400000001</v>
      </c>
      <c r="AK54" s="1023">
        <v>79531.430000000008</v>
      </c>
      <c r="AL54" s="1023">
        <v>9286.08</v>
      </c>
      <c r="AM54" s="1023">
        <v>84838.8</v>
      </c>
      <c r="AN54" s="1023">
        <v>7603.061999999999</v>
      </c>
      <c r="AO54" s="1024">
        <v>181259.372</v>
      </c>
      <c r="AP54" s="1023">
        <v>122557.81600000001</v>
      </c>
      <c r="AQ54" s="1023">
        <v>15977.44</v>
      </c>
      <c r="AR54" s="1023">
        <v>92940.608000000007</v>
      </c>
      <c r="AS54" s="1023">
        <v>7561.688000000001</v>
      </c>
      <c r="AT54" s="1024">
        <v>239037.552</v>
      </c>
      <c r="AU54" s="1023">
        <v>103862.118</v>
      </c>
      <c r="AV54" s="1023">
        <v>10365.960000000001</v>
      </c>
      <c r="AW54" s="1023">
        <v>92671.200000000012</v>
      </c>
      <c r="AX54" s="1023">
        <v>8440.5160000000014</v>
      </c>
      <c r="AY54" s="1024">
        <v>215339.79400000002</v>
      </c>
      <c r="AZ54" s="1023">
        <v>117376.89600000001</v>
      </c>
      <c r="BA54" s="1023">
        <v>13562.936000000002</v>
      </c>
      <c r="BB54" s="1023">
        <v>85966.271999999997</v>
      </c>
      <c r="BC54" s="1023">
        <v>8649.224000000002</v>
      </c>
      <c r="BD54" s="1024">
        <v>225555.32799999998</v>
      </c>
      <c r="BE54" s="1023">
        <v>99951.712000000014</v>
      </c>
      <c r="BF54" s="1033">
        <v>13888.928000000002</v>
      </c>
      <c r="BG54" s="1023">
        <v>88059.6</v>
      </c>
      <c r="BH54" s="1023">
        <v>8240.5139999999992</v>
      </c>
      <c r="BI54" s="1024">
        <v>210140.75400000002</v>
      </c>
      <c r="BJ54" s="1023">
        <v>55918.544000000002</v>
      </c>
      <c r="BK54" s="1033">
        <v>11516.064</v>
      </c>
      <c r="BL54" s="1023">
        <v>109087.71200000001</v>
      </c>
      <c r="BM54" s="1023">
        <v>12463.784000000001</v>
      </c>
      <c r="BN54" s="1024">
        <v>188986.10400000002</v>
      </c>
      <c r="BO54" s="1023">
        <v>38701.238000000005</v>
      </c>
      <c r="BP54" s="1033">
        <v>3710.288</v>
      </c>
      <c r="BQ54" s="1023">
        <v>88645.200000000012</v>
      </c>
      <c r="BR54" s="1023">
        <v>11745.824000000001</v>
      </c>
      <c r="BS54" s="1024">
        <v>142802.55000000002</v>
      </c>
      <c r="BT54" s="1023">
        <v>50544.527999999998</v>
      </c>
      <c r="BU54" s="1023">
        <v>10658.984</v>
      </c>
      <c r="BV54" s="1023">
        <v>114318.46399999999</v>
      </c>
      <c r="BW54" s="1023">
        <v>13513.76</v>
      </c>
      <c r="BX54" s="1024">
        <v>189035.736</v>
      </c>
      <c r="BY54" s="1023">
        <v>47933.152000000002</v>
      </c>
      <c r="BZ54" s="1033">
        <v>10380.712</v>
      </c>
      <c r="CA54" s="1023">
        <v>106286.40000000001</v>
      </c>
      <c r="CB54" s="1023">
        <v>19588.480000000003</v>
      </c>
      <c r="CC54" s="1024">
        <v>184188.74400000004</v>
      </c>
      <c r="CD54" s="1023">
        <v>48429.456000000006</v>
      </c>
      <c r="CE54" s="1023">
        <v>7861.3680000000004</v>
      </c>
      <c r="CF54" s="1023">
        <v>99990.752000000008</v>
      </c>
      <c r="CG54" s="1023">
        <v>12759.784000000001</v>
      </c>
      <c r="CH54" s="1024">
        <v>169041.36000000002</v>
      </c>
      <c r="CI54" s="1023">
        <v>36039.608</v>
      </c>
      <c r="CJ54" s="1033">
        <v>10031.904</v>
      </c>
      <c r="CK54" s="1023">
        <v>84692.400000000009</v>
      </c>
      <c r="CL54" s="1023">
        <v>11703.199999999999</v>
      </c>
      <c r="CM54" s="1024">
        <v>142467.11200000002</v>
      </c>
      <c r="CN54" s="1023">
        <v>50429.4</v>
      </c>
      <c r="CO54" s="1023">
        <v>10504.744000000001</v>
      </c>
      <c r="CP54" s="1023">
        <v>120004.064</v>
      </c>
      <c r="CQ54" s="1023">
        <v>19185.920000000002</v>
      </c>
      <c r="CR54" s="1024">
        <v>200124.128</v>
      </c>
      <c r="CS54" s="1023">
        <v>35435.440000000002</v>
      </c>
      <c r="CT54" s="1033">
        <v>5845.5120000000006</v>
      </c>
      <c r="CU54" s="1023">
        <v>108482.40000000001</v>
      </c>
      <c r="CV54" s="1023">
        <v>14981.735999999999</v>
      </c>
      <c r="CW54" s="1024">
        <v>164745.08800000002</v>
      </c>
      <c r="CX54" s="1023">
        <v>36865.848000000005</v>
      </c>
      <c r="CY54" s="1023">
        <v>5425.4319999999998</v>
      </c>
      <c r="CZ54" s="1023">
        <v>95745.504000000015</v>
      </c>
      <c r="DA54" s="1023">
        <v>19400.431999999997</v>
      </c>
      <c r="DB54" s="1024">
        <v>157437.21600000001</v>
      </c>
      <c r="DC54" s="1023">
        <v>31892.639999999999</v>
      </c>
      <c r="DD54" s="1033">
        <v>8052.64</v>
      </c>
      <c r="DE54" s="1023">
        <v>84033.600000000006</v>
      </c>
      <c r="DF54" s="1023">
        <v>12945.464</v>
      </c>
      <c r="DG54" s="1024">
        <v>136924.34400000001</v>
      </c>
      <c r="DH54" s="1023">
        <v>42138.008000000002</v>
      </c>
      <c r="DI54" s="1033">
        <v>5518.9520000000011</v>
      </c>
      <c r="DJ54" s="1023">
        <v>89984.096000000005</v>
      </c>
      <c r="DK54" s="1023">
        <v>18776.952000000005</v>
      </c>
      <c r="DL54" s="1024">
        <v>156418.00800000003</v>
      </c>
      <c r="DM54" s="1023">
        <v>41440.168000000005</v>
      </c>
      <c r="DN54" s="1033">
        <v>8166.9839999999995</v>
      </c>
      <c r="DO54" s="1023">
        <v>80739.600000000006</v>
      </c>
      <c r="DP54" s="1023">
        <v>20130.624</v>
      </c>
      <c r="DQ54" s="1028">
        <v>150477.37600000002</v>
      </c>
      <c r="DR54" s="1037">
        <v>1194190.0799999998</v>
      </c>
      <c r="DS54" s="1023">
        <v>158268.47999999998</v>
      </c>
      <c r="DT54" s="1023">
        <v>1136098.3359999999</v>
      </c>
      <c r="DU54" s="1023">
        <v>154483.73599999998</v>
      </c>
      <c r="DV54" s="1024">
        <v>2643040.6319999998</v>
      </c>
      <c r="DW54" s="1023">
        <v>988028.61600000015</v>
      </c>
      <c r="DX54" s="1023">
        <v>118335.53600000001</v>
      </c>
      <c r="DY54" s="1023">
        <v>1043238.8000000002</v>
      </c>
      <c r="DZ54" s="1023">
        <v>141269.274</v>
      </c>
      <c r="EA54" s="1028">
        <v>2290872.2260000007</v>
      </c>
      <c r="EB54" s="1031">
        <v>20.865940587291604</v>
      </c>
      <c r="EC54" s="1031">
        <v>33.745521717161921</v>
      </c>
      <c r="ED54" s="1031">
        <v>8.9010815165233055</v>
      </c>
      <c r="EE54" s="1031">
        <v>9.3540949322072464</v>
      </c>
      <c r="EF54" s="1038">
        <v>15.372677795081827</v>
      </c>
    </row>
    <row r="55" spans="1:136">
      <c r="A55" s="1016" t="s">
        <v>95</v>
      </c>
      <c r="B55" s="1023">
        <v>171363.09600000002</v>
      </c>
      <c r="C55" s="1023">
        <v>16211.032000000001</v>
      </c>
      <c r="D55" s="1023">
        <v>120937.93600000002</v>
      </c>
      <c r="E55" s="1023">
        <v>12952.28</v>
      </c>
      <c r="F55" s="1024">
        <v>321464.34400000004</v>
      </c>
      <c r="G55" s="1023">
        <v>139844.31599999999</v>
      </c>
      <c r="H55" s="1033">
        <v>12862.826000000001</v>
      </c>
      <c r="I55" s="1023">
        <v>124321.8</v>
      </c>
      <c r="J55" s="1023">
        <v>12405.500000000002</v>
      </c>
      <c r="K55" s="1024">
        <v>289434.44199999998</v>
      </c>
      <c r="L55" s="1023">
        <v>228617.11200000002</v>
      </c>
      <c r="M55" s="1023">
        <v>35977.599999999999</v>
      </c>
      <c r="N55" s="1023">
        <v>150782.11200000002</v>
      </c>
      <c r="O55" s="1023">
        <v>17616.072000000004</v>
      </c>
      <c r="P55" s="1024">
        <v>432992.89600000001</v>
      </c>
      <c r="Q55" s="1023">
        <v>187918.94399999999</v>
      </c>
      <c r="R55" s="1033">
        <v>25164.618000000002</v>
      </c>
      <c r="S55" s="1023">
        <v>118949.76000000001</v>
      </c>
      <c r="T55" s="1023">
        <v>10980.452000000001</v>
      </c>
      <c r="U55" s="1024">
        <v>343013.77399999998</v>
      </c>
      <c r="V55" s="1023">
        <v>111429.32800000001</v>
      </c>
      <c r="W55" s="1023">
        <v>11519.376</v>
      </c>
      <c r="X55" s="1023">
        <v>165034.016</v>
      </c>
      <c r="Y55" s="1023">
        <v>23278.063999999998</v>
      </c>
      <c r="Z55" s="1024">
        <v>311260.78400000004</v>
      </c>
      <c r="AA55" s="1023">
        <v>143661.32200000001</v>
      </c>
      <c r="AB55" s="1033">
        <v>17823.074000000001</v>
      </c>
      <c r="AC55" s="1023">
        <v>167920.80000000002</v>
      </c>
      <c r="AD55" s="1023">
        <v>6889.1679999999997</v>
      </c>
      <c r="AE55" s="1024">
        <v>336294.364</v>
      </c>
      <c r="AF55" s="1023">
        <v>121485.31200000001</v>
      </c>
      <c r="AG55" s="1023">
        <v>13707.184000000003</v>
      </c>
      <c r="AH55" s="1023">
        <v>220677.08799999999</v>
      </c>
      <c r="AI55" s="1023">
        <v>18938.328000000005</v>
      </c>
      <c r="AJ55" s="1024">
        <v>374807.91200000001</v>
      </c>
      <c r="AK55" s="1023">
        <v>96628.278000000006</v>
      </c>
      <c r="AL55" s="1023">
        <v>13814.818000000001</v>
      </c>
      <c r="AM55" s="1023">
        <v>175460.40000000002</v>
      </c>
      <c r="AN55" s="1023">
        <v>7442.1559999999999</v>
      </c>
      <c r="AO55" s="1024">
        <v>293345.65200000006</v>
      </c>
      <c r="AP55" s="1023">
        <v>153636.17600000001</v>
      </c>
      <c r="AQ55" s="1023">
        <v>19612.984</v>
      </c>
      <c r="AR55" s="1023">
        <v>212400.51200000002</v>
      </c>
      <c r="AS55" s="1023">
        <v>13440.656000000001</v>
      </c>
      <c r="AT55" s="1024">
        <v>399090.32800000004</v>
      </c>
      <c r="AU55" s="1023">
        <v>106585.592</v>
      </c>
      <c r="AV55" s="1023">
        <v>16245.504000000003</v>
      </c>
      <c r="AW55" s="1023">
        <v>160381.20000000001</v>
      </c>
      <c r="AX55" s="1023">
        <v>7527.8739999999998</v>
      </c>
      <c r="AY55" s="1024">
        <v>290740.17000000004</v>
      </c>
      <c r="AZ55" s="1023">
        <v>134771.38399999999</v>
      </c>
      <c r="BA55" s="1023">
        <v>25468.175999999999</v>
      </c>
      <c r="BB55" s="1023">
        <v>159651.64800000002</v>
      </c>
      <c r="BC55" s="1023">
        <v>11441.560000000003</v>
      </c>
      <c r="BD55" s="1024">
        <v>331332.76799999998</v>
      </c>
      <c r="BE55" s="1023">
        <v>106274.414</v>
      </c>
      <c r="BF55" s="1033">
        <v>17838.416000000001</v>
      </c>
      <c r="BG55" s="1023">
        <v>166164</v>
      </c>
      <c r="BH55" s="1023">
        <v>6511.8200000000006</v>
      </c>
      <c r="BI55" s="1024">
        <v>296788.65000000002</v>
      </c>
      <c r="BJ55" s="1023">
        <v>54348.712</v>
      </c>
      <c r="BK55" s="1033">
        <v>8939.8960000000006</v>
      </c>
      <c r="BL55" s="1023">
        <v>191111.96799999999</v>
      </c>
      <c r="BM55" s="1023">
        <v>18822.584000000003</v>
      </c>
      <c r="BN55" s="1024">
        <v>273223.16000000003</v>
      </c>
      <c r="BO55" s="1023">
        <v>35425.061999999998</v>
      </c>
      <c r="BP55" s="1033">
        <v>6677.2240000000011</v>
      </c>
      <c r="BQ55" s="1023">
        <v>162796.80000000002</v>
      </c>
      <c r="BR55" s="1023">
        <v>10317.852000000001</v>
      </c>
      <c r="BS55" s="1024">
        <v>215216.93800000002</v>
      </c>
      <c r="BT55" s="1023">
        <v>47445.191999999995</v>
      </c>
      <c r="BU55" s="1023">
        <v>5025.5760000000009</v>
      </c>
      <c r="BV55" s="1023">
        <v>204757.40800000002</v>
      </c>
      <c r="BW55" s="1023">
        <v>19347.632000000005</v>
      </c>
      <c r="BX55" s="1024">
        <v>276575.80800000002</v>
      </c>
      <c r="BY55" s="1023">
        <v>35226.590000000004</v>
      </c>
      <c r="BZ55" s="1033">
        <v>6145.4400000000005</v>
      </c>
      <c r="CA55" s="1023">
        <v>178095.6</v>
      </c>
      <c r="CB55" s="1023">
        <v>11455.702000000001</v>
      </c>
      <c r="CC55" s="1024">
        <v>230923.33199999999</v>
      </c>
      <c r="CD55" s="1023">
        <v>47929.975999999995</v>
      </c>
      <c r="CE55" s="1023">
        <v>6838.7759999999998</v>
      </c>
      <c r="CF55" s="1023">
        <v>186108.64</v>
      </c>
      <c r="CG55" s="1023">
        <v>18088.727999999999</v>
      </c>
      <c r="CH55" s="1024">
        <v>258966.12</v>
      </c>
      <c r="CI55" s="1023">
        <v>25240.423999999999</v>
      </c>
      <c r="CJ55" s="1033">
        <v>2962.7440000000006</v>
      </c>
      <c r="CK55" s="1023">
        <v>157160.40000000002</v>
      </c>
      <c r="CL55" s="1023">
        <v>9223.9700000000012</v>
      </c>
      <c r="CM55" s="1024">
        <v>194587.53800000003</v>
      </c>
      <c r="CN55" s="1023">
        <v>53999.264000000003</v>
      </c>
      <c r="CO55" s="1023">
        <v>6545.3119999999999</v>
      </c>
      <c r="CP55" s="1023">
        <v>198465.34400000001</v>
      </c>
      <c r="CQ55" s="1023">
        <v>19894.608000000004</v>
      </c>
      <c r="CR55" s="1024">
        <v>278904.52799999999</v>
      </c>
      <c r="CS55" s="1023">
        <v>31204.012000000002</v>
      </c>
      <c r="CT55" s="1033">
        <v>4432.3840000000009</v>
      </c>
      <c r="CU55" s="1023">
        <v>176704.80000000002</v>
      </c>
      <c r="CV55" s="1023">
        <v>11916.14</v>
      </c>
      <c r="CW55" s="1024">
        <v>224257.33600000001</v>
      </c>
      <c r="CX55" s="1023">
        <v>32029.920000000006</v>
      </c>
      <c r="CY55" s="1023">
        <v>5248.9440000000004</v>
      </c>
      <c r="CZ55" s="1023">
        <v>166322.75200000001</v>
      </c>
      <c r="DA55" s="1023">
        <v>13727.048000000001</v>
      </c>
      <c r="DB55" s="1024">
        <v>217328.66400000002</v>
      </c>
      <c r="DC55" s="1023">
        <v>24668.92</v>
      </c>
      <c r="DD55" s="1033">
        <v>5671.3840000000009</v>
      </c>
      <c r="DE55" s="1023">
        <v>135932.4</v>
      </c>
      <c r="DF55" s="1023">
        <v>9150.2000000000025</v>
      </c>
      <c r="DG55" s="1024">
        <v>175422.90400000001</v>
      </c>
      <c r="DH55" s="1023">
        <v>43553.728000000003</v>
      </c>
      <c r="DI55" s="1033">
        <v>3853.616</v>
      </c>
      <c r="DJ55" s="1023">
        <v>171477.696</v>
      </c>
      <c r="DK55" s="1023">
        <v>17744.224000000002</v>
      </c>
      <c r="DL55" s="1024">
        <v>236629.26400000002</v>
      </c>
      <c r="DM55" s="1023">
        <v>32500.512000000002</v>
      </c>
      <c r="DN55" s="1033">
        <v>8494.9120000000003</v>
      </c>
      <c r="DO55" s="1023">
        <v>127514.40000000001</v>
      </c>
      <c r="DP55" s="1023">
        <v>18879.152000000002</v>
      </c>
      <c r="DQ55" s="1028">
        <v>187388.97600000002</v>
      </c>
      <c r="DR55" s="1037">
        <v>1200609.2000000002</v>
      </c>
      <c r="DS55" s="1023">
        <v>158948.47200000004</v>
      </c>
      <c r="DT55" s="1023">
        <v>2147727.12</v>
      </c>
      <c r="DU55" s="1023">
        <v>205291.78400000004</v>
      </c>
      <c r="DV55" s="1024">
        <v>3712576.5760000004</v>
      </c>
      <c r="DW55" s="1023">
        <v>965178.38600000006</v>
      </c>
      <c r="DX55" s="1023">
        <v>138133.34400000004</v>
      </c>
      <c r="DY55" s="1023">
        <v>1851402.36</v>
      </c>
      <c r="DZ55" s="1023">
        <v>122699.986</v>
      </c>
      <c r="EA55" s="1028">
        <v>3077414.0759999999</v>
      </c>
      <c r="EB55" s="1031">
        <v>24.392466451274245</v>
      </c>
      <c r="EC55" s="1031">
        <v>15.068865631747826</v>
      </c>
      <c r="ED55" s="1031">
        <v>16.005421965649873</v>
      </c>
      <c r="EE55" s="1031">
        <v>67.311986490365229</v>
      </c>
      <c r="EF55" s="1038">
        <v>20.639487709940553</v>
      </c>
    </row>
    <row r="56" spans="1:136">
      <c r="A56" s="1016" t="s">
        <v>96</v>
      </c>
      <c r="B56" s="1023">
        <v>59284.560000000005</v>
      </c>
      <c r="C56" s="1023">
        <v>5774.7520000000004</v>
      </c>
      <c r="D56" s="1023">
        <v>23900.560000000001</v>
      </c>
      <c r="E56" s="1023">
        <v>5616.768</v>
      </c>
      <c r="F56" s="1024">
        <v>94576.639999999999</v>
      </c>
      <c r="G56" s="1023">
        <v>45261.425999999999</v>
      </c>
      <c r="H56" s="1033">
        <v>4463.2879999999996</v>
      </c>
      <c r="I56" s="1023">
        <v>23456.600000000002</v>
      </c>
      <c r="J56" s="1023">
        <v>3522.2280000000001</v>
      </c>
      <c r="K56" s="1024">
        <v>76703.542000000001</v>
      </c>
      <c r="L56" s="1023">
        <v>71096.448000000004</v>
      </c>
      <c r="M56" s="1023">
        <v>9809.9759999999987</v>
      </c>
      <c r="N56" s="1023">
        <v>28655.423999999999</v>
      </c>
      <c r="O56" s="1023">
        <v>4034.3119999999994</v>
      </c>
      <c r="P56" s="1024">
        <v>113596.16</v>
      </c>
      <c r="Q56" s="1023">
        <v>52945.56</v>
      </c>
      <c r="R56" s="1033">
        <v>6989.3520000000008</v>
      </c>
      <c r="S56" s="1023">
        <v>20715.600000000002</v>
      </c>
      <c r="T56" s="1023">
        <v>2382.6140000000005</v>
      </c>
      <c r="U56" s="1024">
        <v>83033.126000000004</v>
      </c>
      <c r="V56" s="1023">
        <v>39794.896000000008</v>
      </c>
      <c r="W56" s="1023">
        <v>5360.0320000000002</v>
      </c>
      <c r="X56" s="1023">
        <v>24258.560000000001</v>
      </c>
      <c r="Y56" s="1023">
        <v>7233.4480000000003</v>
      </c>
      <c r="Z56" s="1024">
        <v>76646.936000000016</v>
      </c>
      <c r="AA56" s="1023">
        <v>49199.988000000005</v>
      </c>
      <c r="AB56" s="1033">
        <v>4460.6880000000001</v>
      </c>
      <c r="AC56" s="1023">
        <v>30085.200000000001</v>
      </c>
      <c r="AD56" s="1023">
        <v>2842.6360000000009</v>
      </c>
      <c r="AE56" s="1024">
        <v>86588.512000000002</v>
      </c>
      <c r="AF56" s="1023">
        <v>42035.32</v>
      </c>
      <c r="AG56" s="1023">
        <v>4780.5600000000004</v>
      </c>
      <c r="AH56" s="1023">
        <v>30853.856</v>
      </c>
      <c r="AI56" s="1023">
        <v>3727.3200000000006</v>
      </c>
      <c r="AJ56" s="1024">
        <v>81397.056000000011</v>
      </c>
      <c r="AK56" s="1023">
        <v>37713.856</v>
      </c>
      <c r="AL56" s="1023">
        <v>4964.9840000000004</v>
      </c>
      <c r="AM56" s="1023">
        <v>28474.800000000003</v>
      </c>
      <c r="AN56" s="1023">
        <v>2961.8719999999998</v>
      </c>
      <c r="AO56" s="1024">
        <v>74115.512000000002</v>
      </c>
      <c r="AP56" s="1023">
        <v>47106.095999999998</v>
      </c>
      <c r="AQ56" s="1023">
        <v>4486.28</v>
      </c>
      <c r="AR56" s="1023">
        <v>33431.328000000001</v>
      </c>
      <c r="AS56" s="1023">
        <v>4660.0800000000008</v>
      </c>
      <c r="AT56" s="1024">
        <v>89683.784</v>
      </c>
      <c r="AU56" s="1023">
        <v>33328.564000000006</v>
      </c>
      <c r="AV56" s="1023">
        <v>4930.0560000000005</v>
      </c>
      <c r="AW56" s="1023">
        <v>26132.400000000001</v>
      </c>
      <c r="AX56" s="1023">
        <v>2039.3279999999997</v>
      </c>
      <c r="AY56" s="1024">
        <v>66430.348000000013</v>
      </c>
      <c r="AZ56" s="1023">
        <v>45429.551999999996</v>
      </c>
      <c r="BA56" s="1023">
        <v>4986.8240000000005</v>
      </c>
      <c r="BB56" s="1023">
        <v>30323.200000000001</v>
      </c>
      <c r="BC56" s="1023">
        <v>6151.0960000000005</v>
      </c>
      <c r="BD56" s="1024">
        <v>86890.672000000006</v>
      </c>
      <c r="BE56" s="1023">
        <v>31171.196000000004</v>
      </c>
      <c r="BF56" s="1033">
        <v>3063.768</v>
      </c>
      <c r="BG56" s="1023">
        <v>28694.400000000001</v>
      </c>
      <c r="BH56" s="1023">
        <v>2873.3600000000006</v>
      </c>
      <c r="BI56" s="1024">
        <v>65802.724000000017</v>
      </c>
      <c r="BJ56" s="1023">
        <v>32042.824000000001</v>
      </c>
      <c r="BK56" s="1033">
        <v>2130.6240000000003</v>
      </c>
      <c r="BL56" s="1023">
        <v>34568.447999999997</v>
      </c>
      <c r="BM56" s="1023">
        <v>6925.616</v>
      </c>
      <c r="BN56" s="1024">
        <v>75667.512000000002</v>
      </c>
      <c r="BO56" s="1023">
        <v>21185.38</v>
      </c>
      <c r="BP56" s="1033">
        <v>1761.944</v>
      </c>
      <c r="BQ56" s="1023">
        <v>26352</v>
      </c>
      <c r="BR56" s="1023">
        <v>7787.77</v>
      </c>
      <c r="BS56" s="1024">
        <v>57087.093999999997</v>
      </c>
      <c r="BT56" s="1023">
        <v>23495.688000000002</v>
      </c>
      <c r="BU56" s="1023">
        <v>3092.6880000000001</v>
      </c>
      <c r="BV56" s="1023">
        <v>38434.656000000003</v>
      </c>
      <c r="BW56" s="1023">
        <v>5477.0960000000005</v>
      </c>
      <c r="BX56" s="1024">
        <v>70500.128000000012</v>
      </c>
      <c r="BY56" s="1023">
        <v>18844.652000000002</v>
      </c>
      <c r="BZ56" s="1033">
        <v>1743.28</v>
      </c>
      <c r="CA56" s="1023">
        <v>33525.599999999999</v>
      </c>
      <c r="CB56" s="1023">
        <v>5148.6360000000004</v>
      </c>
      <c r="CC56" s="1024">
        <v>59262.167999999998</v>
      </c>
      <c r="CD56" s="1023">
        <v>24076.224000000002</v>
      </c>
      <c r="CE56" s="1023">
        <v>2108.8879999999999</v>
      </c>
      <c r="CF56" s="1023">
        <v>36312.031999999999</v>
      </c>
      <c r="CG56" s="1023">
        <v>7440.6959999999999</v>
      </c>
      <c r="CH56" s="1024">
        <v>69937.84</v>
      </c>
      <c r="CI56" s="1023">
        <v>15265.84</v>
      </c>
      <c r="CJ56" s="1033">
        <v>2241.6640000000002</v>
      </c>
      <c r="CK56" s="1023">
        <v>29499.600000000002</v>
      </c>
      <c r="CL56" s="1023">
        <v>4156.5840000000007</v>
      </c>
      <c r="CM56" s="1024">
        <v>51163.688000000009</v>
      </c>
      <c r="CN56" s="1023">
        <v>24007.392</v>
      </c>
      <c r="CO56" s="1023">
        <v>2131.232</v>
      </c>
      <c r="CP56" s="1023">
        <v>38510.464</v>
      </c>
      <c r="CQ56" s="1023">
        <v>8375.32</v>
      </c>
      <c r="CR56" s="1024">
        <v>73024.407999999996</v>
      </c>
      <c r="CS56" s="1023">
        <v>12380.492000000002</v>
      </c>
      <c r="CT56" s="1033">
        <v>2316.152</v>
      </c>
      <c r="CU56" s="1023">
        <v>32208</v>
      </c>
      <c r="CV56" s="1023">
        <v>4124.08</v>
      </c>
      <c r="CW56" s="1024">
        <v>51028.724000000002</v>
      </c>
      <c r="CX56" s="1023">
        <v>15800.536</v>
      </c>
      <c r="CY56" s="1023">
        <v>1515.9839999999999</v>
      </c>
      <c r="CZ56" s="1023">
        <v>32370.016</v>
      </c>
      <c r="DA56" s="1023">
        <v>6624.1440000000002</v>
      </c>
      <c r="DB56" s="1024">
        <v>56310.68</v>
      </c>
      <c r="DC56" s="1023">
        <v>13944.102000000001</v>
      </c>
      <c r="DD56" s="1033">
        <v>709.80000000000007</v>
      </c>
      <c r="DE56" s="1023">
        <v>36600</v>
      </c>
      <c r="DF56" s="1023">
        <v>4529.9139999999998</v>
      </c>
      <c r="DG56" s="1024">
        <v>55783.815999999999</v>
      </c>
      <c r="DH56" s="1023">
        <v>20834.184000000001</v>
      </c>
      <c r="DI56" s="1033">
        <v>2176.424</v>
      </c>
      <c r="DJ56" s="1023">
        <v>26381.184000000005</v>
      </c>
      <c r="DK56" s="1023">
        <v>7089.6720000000014</v>
      </c>
      <c r="DL56" s="1024">
        <v>56481.464</v>
      </c>
      <c r="DM56" s="1023">
        <v>13090.712000000001</v>
      </c>
      <c r="DN56" s="1033">
        <v>2063.08</v>
      </c>
      <c r="DO56" s="1023">
        <v>28914</v>
      </c>
      <c r="DP56" s="1023">
        <v>5706.8239999999996</v>
      </c>
      <c r="DQ56" s="1028">
        <v>49774.616000000002</v>
      </c>
      <c r="DR56" s="1037">
        <v>445003.72000000003</v>
      </c>
      <c r="DS56" s="1023">
        <v>48354.263999999996</v>
      </c>
      <c r="DT56" s="1023">
        <v>377999.728</v>
      </c>
      <c r="DU56" s="1023">
        <v>73355.568000000014</v>
      </c>
      <c r="DV56" s="1024">
        <v>944713.28</v>
      </c>
      <c r="DW56" s="1023">
        <v>344331.7680000001</v>
      </c>
      <c r="DX56" s="1023">
        <v>39708.056000000004</v>
      </c>
      <c r="DY56" s="1023">
        <v>344658.2</v>
      </c>
      <c r="DZ56" s="1023">
        <v>48075.846000000005</v>
      </c>
      <c r="EA56" s="1028">
        <v>776773.87000000011</v>
      </c>
      <c r="EB56" s="1031">
        <v>29.236905030499514</v>
      </c>
      <c r="EC56" s="1031">
        <v>21.774442949309815</v>
      </c>
      <c r="ED56" s="1031">
        <v>9.6737950816199856</v>
      </c>
      <c r="EE56" s="1031">
        <v>52.582999787460864</v>
      </c>
      <c r="EF56" s="1038">
        <v>21.620115774491723</v>
      </c>
    </row>
    <row r="57" spans="1:136">
      <c r="A57" s="1016" t="s">
        <v>99</v>
      </c>
      <c r="B57" s="1023">
        <v>885448.62199999997</v>
      </c>
      <c r="C57" s="1023">
        <v>86630.272000000012</v>
      </c>
      <c r="D57" s="1023">
        <v>269370.17599999998</v>
      </c>
      <c r="E57" s="1023">
        <v>55195.556000000004</v>
      </c>
      <c r="F57" s="1024">
        <v>1296644.6259999999</v>
      </c>
      <c r="G57" s="1023">
        <v>738989.022</v>
      </c>
      <c r="H57" s="1033">
        <v>62845.415999999997</v>
      </c>
      <c r="I57" s="1023">
        <v>240653.40000000002</v>
      </c>
      <c r="J57" s="1023">
        <v>48838.706000000006</v>
      </c>
      <c r="K57" s="1024">
        <v>1091326.544</v>
      </c>
      <c r="L57" s="1023">
        <v>773683.94800000009</v>
      </c>
      <c r="M57" s="1023">
        <v>114673.432</v>
      </c>
      <c r="N57" s="1023">
        <v>309827.29600000003</v>
      </c>
      <c r="O57" s="1023">
        <v>45851.232000000004</v>
      </c>
      <c r="P57" s="1024">
        <v>1244035.9080000003</v>
      </c>
      <c r="Q57" s="1023">
        <v>694260.83</v>
      </c>
      <c r="R57" s="1033">
        <v>93711.398000000001</v>
      </c>
      <c r="S57" s="1023">
        <v>243463.2</v>
      </c>
      <c r="T57" s="1023">
        <v>52122.316000000006</v>
      </c>
      <c r="U57" s="1024">
        <v>1083557.7440000002</v>
      </c>
      <c r="V57" s="1023">
        <v>331692.48800000001</v>
      </c>
      <c r="W57" s="1023">
        <v>51991.504000000008</v>
      </c>
      <c r="X57" s="1023">
        <v>298759.32799999998</v>
      </c>
      <c r="Y57" s="1023">
        <v>32885.495999999999</v>
      </c>
      <c r="Z57" s="1024">
        <v>715328.81600000011</v>
      </c>
      <c r="AA57" s="1023">
        <v>505453.788</v>
      </c>
      <c r="AB57" s="1033">
        <v>43472.780000000013</v>
      </c>
      <c r="AC57" s="1023">
        <v>320835.60000000003</v>
      </c>
      <c r="AD57" s="1023">
        <v>45415.174000000006</v>
      </c>
      <c r="AE57" s="1024">
        <v>915177.34200000006</v>
      </c>
      <c r="AF57" s="1023">
        <v>385746.38200000004</v>
      </c>
      <c r="AG57" s="1023">
        <v>48501.175999999999</v>
      </c>
      <c r="AH57" s="1023">
        <v>357813.76000000001</v>
      </c>
      <c r="AI57" s="1023">
        <v>39120.473999999995</v>
      </c>
      <c r="AJ57" s="1024">
        <v>831181.79200000002</v>
      </c>
      <c r="AK57" s="1023">
        <v>320304.70799999998</v>
      </c>
      <c r="AL57" s="1023">
        <v>31538.820000000003</v>
      </c>
      <c r="AM57" s="1023">
        <v>319225.2</v>
      </c>
      <c r="AN57" s="1023">
        <v>41382.670000000013</v>
      </c>
      <c r="AO57" s="1024">
        <v>712451.39800000004</v>
      </c>
      <c r="AP57" s="1023">
        <v>499387.31200000003</v>
      </c>
      <c r="AQ57" s="1023">
        <v>73410.592000000004</v>
      </c>
      <c r="AR57" s="1023">
        <v>386999.84</v>
      </c>
      <c r="AS57" s="1023">
        <v>37939.800000000003</v>
      </c>
      <c r="AT57" s="1024">
        <v>997737.54400000023</v>
      </c>
      <c r="AU57" s="1023">
        <v>360322.30800000002</v>
      </c>
      <c r="AV57" s="1023">
        <v>44270.506000000008</v>
      </c>
      <c r="AW57" s="1023">
        <v>332913.60000000003</v>
      </c>
      <c r="AX57" s="1023">
        <v>39724.026000000005</v>
      </c>
      <c r="AY57" s="1024">
        <v>777230.44000000006</v>
      </c>
      <c r="AZ57" s="1023">
        <v>390448.32800000004</v>
      </c>
      <c r="BA57" s="1023">
        <v>56095.16</v>
      </c>
      <c r="BB57" s="1023">
        <v>320137.18400000001</v>
      </c>
      <c r="BC57" s="1023">
        <v>32938.128000000004</v>
      </c>
      <c r="BD57" s="1024">
        <v>799618.8</v>
      </c>
      <c r="BE57" s="1023">
        <v>325967.34600000002</v>
      </c>
      <c r="BF57" s="1033">
        <v>53601.844000000005</v>
      </c>
      <c r="BG57" s="1023">
        <v>321494.40000000002</v>
      </c>
      <c r="BH57" s="1023">
        <v>40264.832000000002</v>
      </c>
      <c r="BI57" s="1024">
        <v>741328.42200000014</v>
      </c>
      <c r="BJ57" s="1023">
        <v>209907.304</v>
      </c>
      <c r="BK57" s="1033">
        <v>27956.936000000002</v>
      </c>
      <c r="BL57" s="1023">
        <v>393216.09600000002</v>
      </c>
      <c r="BM57" s="1023">
        <v>43273.184000000008</v>
      </c>
      <c r="BN57" s="1024">
        <v>674353.52</v>
      </c>
      <c r="BO57" s="1023">
        <v>140037.05000000002</v>
      </c>
      <c r="BP57" s="1033">
        <v>15159.955999999998</v>
      </c>
      <c r="BQ57" s="1023">
        <v>338476.80000000005</v>
      </c>
      <c r="BR57" s="1023">
        <v>43396.573999999993</v>
      </c>
      <c r="BS57" s="1024">
        <v>537070.38000000012</v>
      </c>
      <c r="BT57" s="1023">
        <v>152206.51199999999</v>
      </c>
      <c r="BU57" s="1023">
        <v>20066.936000000002</v>
      </c>
      <c r="BV57" s="1023">
        <v>392230.592</v>
      </c>
      <c r="BW57" s="1023">
        <v>32455.184000000005</v>
      </c>
      <c r="BX57" s="1024">
        <v>596959.22400000005</v>
      </c>
      <c r="BY57" s="1023">
        <v>130527.88600000003</v>
      </c>
      <c r="BZ57" s="1033">
        <v>14822.130000000001</v>
      </c>
      <c r="CA57" s="1023">
        <v>355093.2</v>
      </c>
      <c r="CB57" s="1023">
        <v>32944.343999999997</v>
      </c>
      <c r="CC57" s="1024">
        <v>533387.56000000006</v>
      </c>
      <c r="CD57" s="1023">
        <v>183821.90400000004</v>
      </c>
      <c r="CE57" s="1023">
        <v>24386.320000000003</v>
      </c>
      <c r="CF57" s="1023">
        <v>355539.52</v>
      </c>
      <c r="CG57" s="1023">
        <v>46069.760000000002</v>
      </c>
      <c r="CH57" s="1024">
        <v>609817.50400000007</v>
      </c>
      <c r="CI57" s="1023">
        <v>112348.27</v>
      </c>
      <c r="CJ57" s="1033">
        <v>12330.144</v>
      </c>
      <c r="CK57" s="1023">
        <v>320323.19200000004</v>
      </c>
      <c r="CL57" s="1023">
        <v>32140.246000000003</v>
      </c>
      <c r="CM57" s="1024">
        <v>477141.85200000001</v>
      </c>
      <c r="CN57" s="1023">
        <v>209715.21600000001</v>
      </c>
      <c r="CO57" s="1023">
        <v>38320.472000000002</v>
      </c>
      <c r="CP57" s="1023">
        <v>405421.18400000001</v>
      </c>
      <c r="CQ57" s="1023">
        <v>64607.256000000008</v>
      </c>
      <c r="CR57" s="1024">
        <v>718064.12800000003</v>
      </c>
      <c r="CS57" s="1023">
        <v>111980.30600000001</v>
      </c>
      <c r="CT57" s="1033">
        <v>30676.83</v>
      </c>
      <c r="CU57" s="1023">
        <v>349090.80000000005</v>
      </c>
      <c r="CV57" s="1023">
        <v>40959.368000000009</v>
      </c>
      <c r="CW57" s="1024">
        <v>532707.304</v>
      </c>
      <c r="CX57" s="1023">
        <v>181955.36800000002</v>
      </c>
      <c r="CY57" s="1023">
        <v>38917.544000000002</v>
      </c>
      <c r="CZ57" s="1023">
        <v>352431.39199999999</v>
      </c>
      <c r="DA57" s="1023">
        <v>63495.344000000005</v>
      </c>
      <c r="DB57" s="1024">
        <v>636799.64800000004</v>
      </c>
      <c r="DC57" s="1023">
        <v>94455.492000000013</v>
      </c>
      <c r="DD57" s="1033">
        <v>20314.832000000002</v>
      </c>
      <c r="DE57" s="1023">
        <v>296094</v>
      </c>
      <c r="DF57" s="1023">
        <v>38554.735999999997</v>
      </c>
      <c r="DG57" s="1024">
        <v>449419.06</v>
      </c>
      <c r="DH57" s="1023">
        <v>231248.25599999999</v>
      </c>
      <c r="DI57" s="1033">
        <v>41587.656000000003</v>
      </c>
      <c r="DJ57" s="1023">
        <v>335905.24800000002</v>
      </c>
      <c r="DK57" s="1023">
        <v>75188.416000000012</v>
      </c>
      <c r="DL57" s="1024">
        <v>683929.576</v>
      </c>
      <c r="DM57" s="1023">
        <v>91888.962</v>
      </c>
      <c r="DN57" s="1033">
        <v>13102.056</v>
      </c>
      <c r="DO57" s="1023">
        <v>273182.40000000002</v>
      </c>
      <c r="DP57" s="1023">
        <v>33490.485999999997</v>
      </c>
      <c r="DQ57" s="1028">
        <v>411663.90399999998</v>
      </c>
      <c r="DR57" s="1037">
        <v>4435261.6400000006</v>
      </c>
      <c r="DS57" s="1023">
        <v>622538</v>
      </c>
      <c r="DT57" s="1023">
        <v>4177651.6160000004</v>
      </c>
      <c r="DU57" s="1023">
        <v>569019.82999999996</v>
      </c>
      <c r="DV57" s="1024">
        <v>9804471.0860000011</v>
      </c>
      <c r="DW57" s="1023">
        <v>3626535.9679999994</v>
      </c>
      <c r="DX57" s="1023">
        <v>435846.71200000006</v>
      </c>
      <c r="DY57" s="1023">
        <v>3710845.7919999999</v>
      </c>
      <c r="DZ57" s="1023">
        <v>489233.478</v>
      </c>
      <c r="EA57" s="1028">
        <v>8262461.9499999993</v>
      </c>
      <c r="EB57" s="1031">
        <v>22.300224763688362</v>
      </c>
      <c r="EC57" s="1031">
        <v>42.834162300620932</v>
      </c>
      <c r="ED57" s="1031">
        <v>12.579499396239015</v>
      </c>
      <c r="EE57" s="1031">
        <v>16.308440772730592</v>
      </c>
      <c r="EF57" s="1038">
        <v>18.662828892059252</v>
      </c>
    </row>
    <row r="58" spans="1:136">
      <c r="A58" s="1016" t="s">
        <v>98</v>
      </c>
      <c r="B58" s="1023">
        <v>155819.03200000001</v>
      </c>
      <c r="C58" s="1023">
        <v>22279.488000000001</v>
      </c>
      <c r="D58" s="1023">
        <v>99039.504000000015</v>
      </c>
      <c r="E58" s="1023">
        <v>6872.7919999999995</v>
      </c>
      <c r="F58" s="1024">
        <v>284010.81600000005</v>
      </c>
      <c r="G58" s="1023">
        <v>139103.35</v>
      </c>
      <c r="H58" s="1033">
        <v>11937.536</v>
      </c>
      <c r="I58" s="1023">
        <v>93478.200000000012</v>
      </c>
      <c r="J58" s="1023">
        <v>14220.796</v>
      </c>
      <c r="K58" s="1024">
        <v>258739.88200000001</v>
      </c>
      <c r="L58" s="1023">
        <v>144005.848</v>
      </c>
      <c r="M58" s="1023">
        <v>23482.832000000002</v>
      </c>
      <c r="N58" s="1023">
        <v>136378.592</v>
      </c>
      <c r="O58" s="1023">
        <v>9599.7840000000033</v>
      </c>
      <c r="P58" s="1024">
        <v>313467.05599999998</v>
      </c>
      <c r="Q58" s="1023">
        <v>132636.114</v>
      </c>
      <c r="R58" s="1033">
        <v>21982.128000000001</v>
      </c>
      <c r="S58" s="1023">
        <v>105554.40000000001</v>
      </c>
      <c r="T58" s="1023">
        <v>14512.766</v>
      </c>
      <c r="U58" s="1024">
        <v>274685.408</v>
      </c>
      <c r="V58" s="1023">
        <v>59304.608000000007</v>
      </c>
      <c r="W58" s="1023">
        <v>8297.7040000000015</v>
      </c>
      <c r="X58" s="1023">
        <v>137060.864</v>
      </c>
      <c r="Y58" s="1023">
        <v>8237.2800000000007</v>
      </c>
      <c r="Z58" s="1024">
        <v>212900.45600000001</v>
      </c>
      <c r="AA58" s="1023">
        <v>91523.512000000017</v>
      </c>
      <c r="AB58" s="1033">
        <v>16693.904000000002</v>
      </c>
      <c r="AC58" s="1023">
        <v>140031.6</v>
      </c>
      <c r="AD58" s="1023">
        <v>10098.400000000001</v>
      </c>
      <c r="AE58" s="1024">
        <v>258347.41600000003</v>
      </c>
      <c r="AF58" s="1023">
        <v>74929.399999999994</v>
      </c>
      <c r="AG58" s="1023">
        <v>14596.136</v>
      </c>
      <c r="AH58" s="1023">
        <v>173524.51200000002</v>
      </c>
      <c r="AI58" s="1023">
        <v>9163.5040000000008</v>
      </c>
      <c r="AJ58" s="1024">
        <v>272213.55200000003</v>
      </c>
      <c r="AK58" s="1023">
        <v>73404.078000000009</v>
      </c>
      <c r="AL58" s="1023">
        <v>13332.592000000002</v>
      </c>
      <c r="AM58" s="1023">
        <v>138128.4</v>
      </c>
      <c r="AN58" s="1023">
        <v>12122.712</v>
      </c>
      <c r="AO58" s="1024">
        <v>236987.78200000001</v>
      </c>
      <c r="AP58" s="1023">
        <v>98870.992000000013</v>
      </c>
      <c r="AQ58" s="1023">
        <v>22296.608000000004</v>
      </c>
      <c r="AR58" s="1023">
        <v>193765.24800000002</v>
      </c>
      <c r="AS58" s="1023">
        <v>10941.439999999999</v>
      </c>
      <c r="AT58" s="1024">
        <v>325874.28800000006</v>
      </c>
      <c r="AU58" s="1023">
        <v>78552.541999999987</v>
      </c>
      <c r="AV58" s="1023">
        <v>9762.6720000000005</v>
      </c>
      <c r="AW58" s="1023">
        <v>139812</v>
      </c>
      <c r="AX58" s="1023">
        <v>9063.242000000002</v>
      </c>
      <c r="AY58" s="1024">
        <v>237190.45599999998</v>
      </c>
      <c r="AZ58" s="1023">
        <v>65108.991999999998</v>
      </c>
      <c r="BA58" s="1023">
        <v>13735.344000000001</v>
      </c>
      <c r="BB58" s="1023">
        <v>123794.46399999999</v>
      </c>
      <c r="BC58" s="1023">
        <v>7015.7440000000006</v>
      </c>
      <c r="BD58" s="1024">
        <v>209654.54399999999</v>
      </c>
      <c r="BE58" s="1023">
        <v>68500.104000000007</v>
      </c>
      <c r="BF58" s="1033">
        <v>12399.688000000002</v>
      </c>
      <c r="BG58" s="1023">
        <v>125098.8</v>
      </c>
      <c r="BH58" s="1023">
        <v>15791.456</v>
      </c>
      <c r="BI58" s="1024">
        <v>221790.04800000001</v>
      </c>
      <c r="BJ58" s="1023">
        <v>36588.631999999998</v>
      </c>
      <c r="BK58" s="1033">
        <v>9176.0960000000014</v>
      </c>
      <c r="BL58" s="1023">
        <v>153738.62400000001</v>
      </c>
      <c r="BM58" s="1023">
        <v>9312.2799999999988</v>
      </c>
      <c r="BN58" s="1024">
        <v>208815.63200000001</v>
      </c>
      <c r="BO58" s="1023">
        <v>26688.116000000002</v>
      </c>
      <c r="BP58" s="1033">
        <v>5704.2160000000003</v>
      </c>
      <c r="BQ58" s="1023">
        <v>136884</v>
      </c>
      <c r="BR58" s="1023">
        <v>11558.771999999999</v>
      </c>
      <c r="BS58" s="1024">
        <v>180835.10399999999</v>
      </c>
      <c r="BT58" s="1023">
        <v>29263.296000000002</v>
      </c>
      <c r="BU58" s="1023">
        <v>5635.5440000000008</v>
      </c>
      <c r="BV58" s="1023">
        <v>146764.288</v>
      </c>
      <c r="BW58" s="1023">
        <v>8428.5839999999989</v>
      </c>
      <c r="BX58" s="1024">
        <v>190091.712</v>
      </c>
      <c r="BY58" s="1023">
        <v>27678.440000000002</v>
      </c>
      <c r="BZ58" s="1033">
        <v>7702.1360000000004</v>
      </c>
      <c r="CA58" s="1023">
        <v>142008</v>
      </c>
      <c r="CB58" s="1023">
        <v>11239.37</v>
      </c>
      <c r="CC58" s="1024">
        <v>188627.946</v>
      </c>
      <c r="CD58" s="1023">
        <v>21516.864000000001</v>
      </c>
      <c r="CE58" s="1023">
        <v>5255.4639999999999</v>
      </c>
      <c r="CF58" s="1023">
        <v>131072.03200000001</v>
      </c>
      <c r="CG58" s="1023">
        <v>17948.576000000005</v>
      </c>
      <c r="CH58" s="1024">
        <v>175792.93600000002</v>
      </c>
      <c r="CI58" s="1023">
        <v>24591.850000000002</v>
      </c>
      <c r="CJ58" s="1033">
        <v>3140.2240000000002</v>
      </c>
      <c r="CK58" s="1023">
        <v>125830.8</v>
      </c>
      <c r="CL58" s="1023">
        <v>8586.56</v>
      </c>
      <c r="CM58" s="1024">
        <v>162149.43400000001</v>
      </c>
      <c r="CN58" s="1023">
        <v>29508.072000000004</v>
      </c>
      <c r="CO58" s="1023">
        <v>7641.3279999999995</v>
      </c>
      <c r="CP58" s="1023">
        <v>140623.84</v>
      </c>
      <c r="CQ58" s="1023">
        <v>10621.368</v>
      </c>
      <c r="CR58" s="1024">
        <v>188394.60799999998</v>
      </c>
      <c r="CS58" s="1023">
        <v>29045.456000000002</v>
      </c>
      <c r="CT58" s="1033">
        <v>3367.6640000000002</v>
      </c>
      <c r="CU58" s="1023">
        <v>130222.8</v>
      </c>
      <c r="CV58" s="1023">
        <v>12540.268000000002</v>
      </c>
      <c r="CW58" s="1024">
        <v>175176.18800000002</v>
      </c>
      <c r="CX58" s="1023">
        <v>19764.832000000002</v>
      </c>
      <c r="CY58" s="1023">
        <v>5841.384</v>
      </c>
      <c r="CZ58" s="1023">
        <v>134180.16</v>
      </c>
      <c r="DA58" s="1023">
        <v>10413.32</v>
      </c>
      <c r="DB58" s="1024">
        <v>170199.696</v>
      </c>
      <c r="DC58" s="1023">
        <v>19353.944000000003</v>
      </c>
      <c r="DD58" s="1033">
        <v>3789.8320000000003</v>
      </c>
      <c r="DE58" s="1023">
        <v>120487.20000000001</v>
      </c>
      <c r="DF58" s="1023">
        <v>9895.3600000000024</v>
      </c>
      <c r="DG58" s="1024">
        <v>153526.33600000004</v>
      </c>
      <c r="DH58" s="1023">
        <v>26157.904000000002</v>
      </c>
      <c r="DI58" s="1033">
        <v>5545.3360000000002</v>
      </c>
      <c r="DJ58" s="1023">
        <v>107571.55200000001</v>
      </c>
      <c r="DK58" s="1023">
        <v>20669.680000000004</v>
      </c>
      <c r="DL58" s="1024">
        <v>159944.47200000001</v>
      </c>
      <c r="DM58" s="1023">
        <v>31622.096000000001</v>
      </c>
      <c r="DN58" s="1033">
        <v>2863.6559999999999</v>
      </c>
      <c r="DO58" s="1023">
        <v>113899.20000000001</v>
      </c>
      <c r="DP58" s="1023">
        <v>12791.032000000001</v>
      </c>
      <c r="DQ58" s="1028">
        <v>161175.98400000003</v>
      </c>
      <c r="DR58" s="1037">
        <v>760838.47199999995</v>
      </c>
      <c r="DS58" s="1023">
        <v>143783.26400000002</v>
      </c>
      <c r="DT58" s="1023">
        <v>1677513.68</v>
      </c>
      <c r="DU58" s="1023">
        <v>129224.352</v>
      </c>
      <c r="DV58" s="1024">
        <v>2711359.7680000002</v>
      </c>
      <c r="DW58" s="1023">
        <v>742699.60200000007</v>
      </c>
      <c r="DX58" s="1023">
        <v>112676.24800000002</v>
      </c>
      <c r="DY58" s="1023">
        <v>1511435.4000000001</v>
      </c>
      <c r="DZ58" s="1023">
        <v>142420.734</v>
      </c>
      <c r="EA58" s="1028">
        <v>2509231.9840000002</v>
      </c>
      <c r="EB58" s="1031">
        <v>2.4422889080799308</v>
      </c>
      <c r="EC58" s="1031">
        <v>27.607429739761997</v>
      </c>
      <c r="ED58" s="1031">
        <v>10.988116329682356</v>
      </c>
      <c r="EE58" s="1031">
        <v>-9.2657730580155544</v>
      </c>
      <c r="EF58" s="1038">
        <v>8.0553645613023548</v>
      </c>
    </row>
    <row r="59" spans="1:136">
      <c r="A59" s="1016" t="s">
        <v>97</v>
      </c>
      <c r="B59" s="1023">
        <v>109884.912</v>
      </c>
      <c r="C59" s="1023">
        <v>11729.984</v>
      </c>
      <c r="D59" s="1023">
        <v>120801.792</v>
      </c>
      <c r="E59" s="1023">
        <v>5264.3600000000006</v>
      </c>
      <c r="F59" s="1024">
        <v>247681.04800000001</v>
      </c>
      <c r="G59" s="1023">
        <v>89341.84</v>
      </c>
      <c r="H59" s="1033">
        <v>9362.0560000000005</v>
      </c>
      <c r="I59" s="1023">
        <v>88315.224000000002</v>
      </c>
      <c r="J59" s="1023">
        <v>5249.5260000000007</v>
      </c>
      <c r="K59" s="1024">
        <v>192268.64600000001</v>
      </c>
      <c r="L59" s="1023">
        <v>147639.08800000002</v>
      </c>
      <c r="M59" s="1023">
        <v>17812.495999999999</v>
      </c>
      <c r="N59" s="1023">
        <v>164654.97600000002</v>
      </c>
      <c r="O59" s="1023">
        <v>10593.856000000002</v>
      </c>
      <c r="P59" s="1024">
        <v>340700.41600000008</v>
      </c>
      <c r="Q59" s="1023">
        <v>120731</v>
      </c>
      <c r="R59" s="1033">
        <v>14019.36</v>
      </c>
      <c r="S59" s="1023">
        <v>114522.992</v>
      </c>
      <c r="T59" s="1023">
        <v>6517.5740000000005</v>
      </c>
      <c r="U59" s="1024">
        <v>255790.92599999998</v>
      </c>
      <c r="V59" s="1023">
        <v>84733.762000000002</v>
      </c>
      <c r="W59" s="1023">
        <v>7646.88</v>
      </c>
      <c r="X59" s="1023">
        <v>167535.68000000002</v>
      </c>
      <c r="Y59" s="1023">
        <v>6709.652000000001</v>
      </c>
      <c r="Z59" s="1024">
        <v>266625.97400000005</v>
      </c>
      <c r="AA59" s="1023">
        <v>107233.376</v>
      </c>
      <c r="AB59" s="1033">
        <v>15715.024000000001</v>
      </c>
      <c r="AC59" s="1023">
        <v>163181.91200000001</v>
      </c>
      <c r="AD59" s="1023">
        <v>7383.9220000000005</v>
      </c>
      <c r="AE59" s="1024">
        <v>293514.23400000005</v>
      </c>
      <c r="AF59" s="1023">
        <v>85918.992000000013</v>
      </c>
      <c r="AG59" s="1023">
        <v>9743.2400000000016</v>
      </c>
      <c r="AH59" s="1023">
        <v>196266.91200000001</v>
      </c>
      <c r="AI59" s="1023">
        <v>5051.6880000000001</v>
      </c>
      <c r="AJ59" s="1024">
        <v>296980.83200000005</v>
      </c>
      <c r="AK59" s="1023">
        <v>78722.144</v>
      </c>
      <c r="AL59" s="1023">
        <v>9034.5440000000017</v>
      </c>
      <c r="AM59" s="1023">
        <v>158112</v>
      </c>
      <c r="AN59" s="1023">
        <v>5787.3720000000003</v>
      </c>
      <c r="AO59" s="1024">
        <v>251656.06</v>
      </c>
      <c r="AP59" s="1023">
        <v>107652.52</v>
      </c>
      <c r="AQ59" s="1023">
        <v>8898.6080000000002</v>
      </c>
      <c r="AR59" s="1023">
        <v>199450.848</v>
      </c>
      <c r="AS59" s="1023">
        <v>5049.5600000000004</v>
      </c>
      <c r="AT59" s="1024">
        <v>321051.53600000002</v>
      </c>
      <c r="AU59" s="1023">
        <v>88570.056000000011</v>
      </c>
      <c r="AV59" s="1023">
        <v>10130.296000000002</v>
      </c>
      <c r="AW59" s="1023">
        <v>173118</v>
      </c>
      <c r="AX59" s="1023">
        <v>7278.8640000000005</v>
      </c>
      <c r="AY59" s="1024">
        <v>279097.21600000001</v>
      </c>
      <c r="AZ59" s="1023">
        <v>89713.384000000005</v>
      </c>
      <c r="BA59" s="1023">
        <v>9179.3280000000013</v>
      </c>
      <c r="BB59" s="1023">
        <v>177163.296</v>
      </c>
      <c r="BC59" s="1023">
        <v>5009.1760000000004</v>
      </c>
      <c r="BD59" s="1024">
        <v>281065.18400000001</v>
      </c>
      <c r="BE59" s="1023">
        <v>80829.448000000019</v>
      </c>
      <c r="BF59" s="1033">
        <v>10612.304000000002</v>
      </c>
      <c r="BG59" s="1023">
        <v>173850</v>
      </c>
      <c r="BH59" s="1023">
        <v>5204.6080000000002</v>
      </c>
      <c r="BI59" s="1024">
        <v>270496.36000000004</v>
      </c>
      <c r="BJ59" s="1023">
        <v>35191.016000000003</v>
      </c>
      <c r="BK59" s="1033">
        <v>4934.5599999999995</v>
      </c>
      <c r="BL59" s="1023">
        <v>216356.03200000001</v>
      </c>
      <c r="BM59" s="1023">
        <v>5677.7280000000001</v>
      </c>
      <c r="BN59" s="1024">
        <v>262159.33600000001</v>
      </c>
      <c r="BO59" s="1023">
        <v>23647.864000000001</v>
      </c>
      <c r="BP59" s="1033">
        <v>3847.4160000000011</v>
      </c>
      <c r="BQ59" s="1023">
        <v>175460.40000000002</v>
      </c>
      <c r="BR59" s="1023">
        <v>4300.384</v>
      </c>
      <c r="BS59" s="1024">
        <v>207256.06400000001</v>
      </c>
      <c r="BT59" s="1023">
        <v>28675.568000000003</v>
      </c>
      <c r="BU59" s="1023">
        <v>4654.7520000000004</v>
      </c>
      <c r="BV59" s="1023">
        <v>195660.448</v>
      </c>
      <c r="BW59" s="1023">
        <v>5344.5119999999997</v>
      </c>
      <c r="BX59" s="1024">
        <v>234335.28</v>
      </c>
      <c r="BY59" s="1023">
        <v>22252.024000000001</v>
      </c>
      <c r="BZ59" s="1033">
        <v>2938.8399999999997</v>
      </c>
      <c r="CA59" s="1023">
        <v>189368.40000000002</v>
      </c>
      <c r="CB59" s="1023">
        <v>4383.4160000000002</v>
      </c>
      <c r="CC59" s="1024">
        <v>218942.68000000002</v>
      </c>
      <c r="CD59" s="1023">
        <v>26217.168000000005</v>
      </c>
      <c r="CE59" s="1023">
        <v>3830.8560000000007</v>
      </c>
      <c r="CF59" s="1023">
        <v>178452.03200000001</v>
      </c>
      <c r="CG59" s="1023">
        <v>6178.0000000000009</v>
      </c>
      <c r="CH59" s="1024">
        <v>214678.05600000001</v>
      </c>
      <c r="CI59" s="1023">
        <v>14900.896000000001</v>
      </c>
      <c r="CJ59" s="1033">
        <v>5023.0720000000001</v>
      </c>
      <c r="CK59" s="1023">
        <v>150865.20000000001</v>
      </c>
      <c r="CL59" s="1023">
        <v>4536.1119999999992</v>
      </c>
      <c r="CM59" s="1024">
        <v>175325.28</v>
      </c>
      <c r="CN59" s="1023">
        <v>29416.376</v>
      </c>
      <c r="CO59" s="1023">
        <v>6929.6639999999998</v>
      </c>
      <c r="CP59" s="1023">
        <v>199683.024</v>
      </c>
      <c r="CQ59" s="1023">
        <v>8975.7520000000004</v>
      </c>
      <c r="CR59" s="1024">
        <v>245004.81600000002</v>
      </c>
      <c r="CS59" s="1023">
        <v>21426.616000000002</v>
      </c>
      <c r="CT59" s="1033">
        <v>3577.152</v>
      </c>
      <c r="CU59" s="1023">
        <v>171435.88800000001</v>
      </c>
      <c r="CV59" s="1023">
        <v>6660.0720000000001</v>
      </c>
      <c r="CW59" s="1024">
        <v>203099.728</v>
      </c>
      <c r="CX59" s="1023">
        <v>24850.752</v>
      </c>
      <c r="CY59" s="1023">
        <v>3625.8719999999998</v>
      </c>
      <c r="CZ59" s="1023">
        <v>166474.36800000002</v>
      </c>
      <c r="DA59" s="1023">
        <v>7122.5119999999997</v>
      </c>
      <c r="DB59" s="1024">
        <v>202073.50400000002</v>
      </c>
      <c r="DC59" s="1023">
        <v>18404.376</v>
      </c>
      <c r="DD59" s="1033">
        <v>1959.808</v>
      </c>
      <c r="DE59" s="1023">
        <v>138718.60800000001</v>
      </c>
      <c r="DF59" s="1023">
        <v>6534.0559999999996</v>
      </c>
      <c r="DG59" s="1024">
        <v>165616.84800000003</v>
      </c>
      <c r="DH59" s="1023">
        <v>26920.680000000004</v>
      </c>
      <c r="DI59" s="1033">
        <v>4066.2080000000005</v>
      </c>
      <c r="DJ59" s="1023">
        <v>155861.24799999999</v>
      </c>
      <c r="DK59" s="1023">
        <v>8765.9920000000002</v>
      </c>
      <c r="DL59" s="1024">
        <v>195614.128</v>
      </c>
      <c r="DM59" s="1023">
        <v>18608.536000000004</v>
      </c>
      <c r="DN59" s="1033">
        <v>2964.2640000000001</v>
      </c>
      <c r="DO59" s="1023">
        <v>137982</v>
      </c>
      <c r="DP59" s="1023">
        <v>6749.6080000000002</v>
      </c>
      <c r="DQ59" s="1028">
        <v>166304.408</v>
      </c>
      <c r="DR59" s="1037">
        <v>796814.21799999999</v>
      </c>
      <c r="DS59" s="1023">
        <v>93052.448000000004</v>
      </c>
      <c r="DT59" s="1023">
        <v>2138360.6560000004</v>
      </c>
      <c r="DU59" s="1023">
        <v>79742.788000000015</v>
      </c>
      <c r="DV59" s="1024">
        <v>3107970.1100000008</v>
      </c>
      <c r="DW59" s="1023">
        <v>684668.17599999986</v>
      </c>
      <c r="DX59" s="1023">
        <v>89184.135999999999</v>
      </c>
      <c r="DY59" s="1023">
        <v>1834930.6240000001</v>
      </c>
      <c r="DZ59" s="1023">
        <v>70585.513999999996</v>
      </c>
      <c r="EA59" s="1028">
        <v>2679368.4499999997</v>
      </c>
      <c r="EB59" s="1031">
        <v>16.379619490303313</v>
      </c>
      <c r="EC59" s="1031">
        <v>4.3374440494663844</v>
      </c>
      <c r="ED59" s="1031">
        <v>16.536321756870962</v>
      </c>
      <c r="EE59" s="1031">
        <v>12.973304975862348</v>
      </c>
      <c r="EF59" s="1038">
        <v>15.996368845800248</v>
      </c>
    </row>
    <row r="60" spans="1:136">
      <c r="A60" s="1016" t="s">
        <v>100</v>
      </c>
      <c r="B60" s="1023">
        <v>100298.40800000001</v>
      </c>
      <c r="C60" s="1023">
        <v>9537.6640000000007</v>
      </c>
      <c r="D60" s="1023">
        <v>34166.112000000001</v>
      </c>
      <c r="E60" s="1023">
        <v>7292.88</v>
      </c>
      <c r="F60" s="1024">
        <v>151295.06400000001</v>
      </c>
      <c r="G60" s="1023">
        <v>92122.166000000012</v>
      </c>
      <c r="H60" s="1033">
        <v>3043.0260000000003</v>
      </c>
      <c r="I60" s="1023">
        <v>29960.2</v>
      </c>
      <c r="J60" s="1023">
        <v>11177.506000000001</v>
      </c>
      <c r="K60" s="1024">
        <v>136302.89800000002</v>
      </c>
      <c r="L60" s="1023">
        <v>120544.63200000001</v>
      </c>
      <c r="M60" s="1023">
        <v>10105.456</v>
      </c>
      <c r="N60" s="1023">
        <v>47000.959999999999</v>
      </c>
      <c r="O60" s="1023">
        <v>9363.0879999999997</v>
      </c>
      <c r="P60" s="1024">
        <v>187014.136</v>
      </c>
      <c r="Q60" s="1023">
        <v>95459.61</v>
      </c>
      <c r="R60" s="1033">
        <v>7812.2120000000014</v>
      </c>
      <c r="S60" s="1023">
        <v>32720.120000000003</v>
      </c>
      <c r="T60" s="1023">
        <v>7370.7340000000004</v>
      </c>
      <c r="U60" s="1024">
        <v>143362.67600000001</v>
      </c>
      <c r="V60" s="1023">
        <v>63083.944000000003</v>
      </c>
      <c r="W60" s="1023">
        <v>7204.64</v>
      </c>
      <c r="X60" s="1023">
        <v>45939.648000000001</v>
      </c>
      <c r="Y60" s="1023">
        <v>6786.6640000000007</v>
      </c>
      <c r="Z60" s="1024">
        <v>123014.89600000001</v>
      </c>
      <c r="AA60" s="1023">
        <v>79308.578000000009</v>
      </c>
      <c r="AB60" s="1033">
        <v>6283.0640000000003</v>
      </c>
      <c r="AC60" s="1023">
        <v>46318.64</v>
      </c>
      <c r="AD60" s="1023">
        <v>6952.5580000000009</v>
      </c>
      <c r="AE60" s="1024">
        <v>138862.84</v>
      </c>
      <c r="AF60" s="1023">
        <v>66990.687999999995</v>
      </c>
      <c r="AG60" s="1023">
        <v>8513.9120000000003</v>
      </c>
      <c r="AH60" s="1023">
        <v>46925.152000000002</v>
      </c>
      <c r="AI60" s="1023">
        <v>8022.2960000000003</v>
      </c>
      <c r="AJ60" s="1024">
        <v>130452.048</v>
      </c>
      <c r="AK60" s="1023">
        <v>67311.614000000001</v>
      </c>
      <c r="AL60" s="1023">
        <v>4592.0080000000007</v>
      </c>
      <c r="AM60" s="1023">
        <v>46555.200000000004</v>
      </c>
      <c r="AN60" s="1023">
        <v>6595.0399999999991</v>
      </c>
      <c r="AO60" s="1024">
        <v>125053.86200000001</v>
      </c>
      <c r="AP60" s="1023">
        <v>81450.952000000005</v>
      </c>
      <c r="AQ60" s="1023">
        <v>6420.4160000000002</v>
      </c>
      <c r="AR60" s="1023">
        <v>55567.264000000003</v>
      </c>
      <c r="AS60" s="1023">
        <v>5960.4960000000001</v>
      </c>
      <c r="AT60" s="1024">
        <v>149399.12800000003</v>
      </c>
      <c r="AU60" s="1023">
        <v>62032.098000000005</v>
      </c>
      <c r="AV60" s="1023">
        <v>5415.2960000000003</v>
      </c>
      <c r="AW60" s="1023">
        <v>43261.200000000004</v>
      </c>
      <c r="AX60" s="1023">
        <v>5439.2180000000008</v>
      </c>
      <c r="AY60" s="1024">
        <v>116147.81200000001</v>
      </c>
      <c r="AZ60" s="1023">
        <v>64812.135999999999</v>
      </c>
      <c r="BA60" s="1023">
        <v>6350.456000000001</v>
      </c>
      <c r="BB60" s="1023">
        <v>49957.472000000002</v>
      </c>
      <c r="BC60" s="1023">
        <v>6863.8480000000009</v>
      </c>
      <c r="BD60" s="1024">
        <v>127983.91200000001</v>
      </c>
      <c r="BE60" s="1023">
        <v>58299.671999999999</v>
      </c>
      <c r="BF60" s="1033">
        <v>6974.8240000000005</v>
      </c>
      <c r="BG60" s="1023">
        <v>46903.200000000004</v>
      </c>
      <c r="BH60" s="1023">
        <v>4788.3100000000013</v>
      </c>
      <c r="BI60" s="1024">
        <v>116966.00599999999</v>
      </c>
      <c r="BJ60" s="1023">
        <v>30481.976000000002</v>
      </c>
      <c r="BK60" s="1033">
        <v>3623.9760000000001</v>
      </c>
      <c r="BL60" s="1023">
        <v>54657.568000000007</v>
      </c>
      <c r="BM60" s="1023">
        <v>7718.4639999999999</v>
      </c>
      <c r="BN60" s="1024">
        <v>96481.984000000026</v>
      </c>
      <c r="BO60" s="1023">
        <v>26869.606</v>
      </c>
      <c r="BP60" s="1033">
        <v>2815.1840000000002</v>
      </c>
      <c r="BQ60" s="1023">
        <v>50610.48</v>
      </c>
      <c r="BR60" s="1023">
        <v>6060.8560000000007</v>
      </c>
      <c r="BS60" s="1024">
        <v>86356.126000000004</v>
      </c>
      <c r="BT60" s="1023">
        <v>23867.616000000002</v>
      </c>
      <c r="BU60" s="1023">
        <v>1123.848</v>
      </c>
      <c r="BV60" s="1023">
        <v>53823.680000000008</v>
      </c>
      <c r="BW60" s="1023">
        <v>6793.8960000000006</v>
      </c>
      <c r="BX60" s="1024">
        <v>85609.040000000008</v>
      </c>
      <c r="BY60" s="1023">
        <v>25631.754000000001</v>
      </c>
      <c r="BZ60" s="1033">
        <v>4773.4320000000007</v>
      </c>
      <c r="CA60" s="1023">
        <v>51386.400000000001</v>
      </c>
      <c r="CB60" s="1023">
        <v>6561.6759999999995</v>
      </c>
      <c r="CC60" s="1024">
        <v>88353.262000000017</v>
      </c>
      <c r="CD60" s="1023">
        <v>23887.912</v>
      </c>
      <c r="CE60" s="1023">
        <v>1392.88</v>
      </c>
      <c r="CF60" s="1023">
        <v>57386.65600000001</v>
      </c>
      <c r="CG60" s="1023">
        <v>6619.8640000000005</v>
      </c>
      <c r="CH60" s="1024">
        <v>89287.312000000005</v>
      </c>
      <c r="CI60" s="1023">
        <v>23029.464</v>
      </c>
      <c r="CJ60" s="1033">
        <v>2695.7840000000001</v>
      </c>
      <c r="CK60" s="1023">
        <v>49044</v>
      </c>
      <c r="CL60" s="1023">
        <v>7173.4980000000005</v>
      </c>
      <c r="CM60" s="1024">
        <v>81942.745999999999</v>
      </c>
      <c r="CN60" s="1023">
        <v>27667.440000000002</v>
      </c>
      <c r="CO60" s="1023">
        <v>3958.4400000000005</v>
      </c>
      <c r="CP60" s="1023">
        <v>56780.19200000001</v>
      </c>
      <c r="CQ60" s="1023">
        <v>10377.000000000002</v>
      </c>
      <c r="CR60" s="1024">
        <v>98783.072000000015</v>
      </c>
      <c r="CS60" s="1023">
        <v>22917.488000000001</v>
      </c>
      <c r="CT60" s="1033">
        <v>2568.0160000000005</v>
      </c>
      <c r="CU60" s="1023">
        <v>61707.600000000006</v>
      </c>
      <c r="CV60" s="1023">
        <v>6668.4579999999996</v>
      </c>
      <c r="CW60" s="1024">
        <v>93861.562000000005</v>
      </c>
      <c r="CX60" s="1023">
        <v>27140.168000000001</v>
      </c>
      <c r="CY60" s="1023">
        <v>1187.384</v>
      </c>
      <c r="CZ60" s="1023">
        <v>52989.792000000009</v>
      </c>
      <c r="DA60" s="1023">
        <v>9976.32</v>
      </c>
      <c r="DB60" s="1024">
        <v>91293.664000000019</v>
      </c>
      <c r="DC60" s="1023">
        <v>20570.416000000001</v>
      </c>
      <c r="DD60" s="1033">
        <v>2513.6959999999999</v>
      </c>
      <c r="DE60" s="1023">
        <v>46994.400000000001</v>
      </c>
      <c r="DF60" s="1023">
        <v>8651.8719999999994</v>
      </c>
      <c r="DG60" s="1024">
        <v>78730.384000000005</v>
      </c>
      <c r="DH60" s="1023">
        <v>34153.952000000005</v>
      </c>
      <c r="DI60" s="1033">
        <v>3159.4080000000004</v>
      </c>
      <c r="DJ60" s="1023">
        <v>45029.952000000005</v>
      </c>
      <c r="DK60" s="1023">
        <v>13486.136000000002</v>
      </c>
      <c r="DL60" s="1024">
        <v>95829.448000000004</v>
      </c>
      <c r="DM60" s="1023">
        <v>15557.272000000001</v>
      </c>
      <c r="DN60" s="1033">
        <v>1055.2</v>
      </c>
      <c r="DO60" s="1023">
        <v>42016.800000000003</v>
      </c>
      <c r="DP60" s="1023">
        <v>7629.1360000000004</v>
      </c>
      <c r="DQ60" s="1028">
        <v>66258.40800000001</v>
      </c>
      <c r="DR60" s="1037">
        <v>664379.82400000014</v>
      </c>
      <c r="DS60" s="1023">
        <v>62578.48</v>
      </c>
      <c r="DT60" s="1023">
        <v>600224.44800000009</v>
      </c>
      <c r="DU60" s="1023">
        <v>99260.95199999999</v>
      </c>
      <c r="DV60" s="1024">
        <v>1426443.7040000004</v>
      </c>
      <c r="DW60" s="1023">
        <v>589109.73800000001</v>
      </c>
      <c r="DX60" s="1023">
        <v>50541.742000000013</v>
      </c>
      <c r="DY60" s="1023">
        <v>547478.24000000011</v>
      </c>
      <c r="DZ60" s="1023">
        <v>85068.862000000008</v>
      </c>
      <c r="EA60" s="1028">
        <v>1272198.5820000002</v>
      </c>
      <c r="EB60" s="1031">
        <v>12.776921029270127</v>
      </c>
      <c r="EC60" s="1031">
        <v>23.815439523236037</v>
      </c>
      <c r="ED60" s="1031">
        <v>9.6343935057583252</v>
      </c>
      <c r="EE60" s="1031">
        <v>16.683060836055347</v>
      </c>
      <c r="EF60" s="1038">
        <v>12.124296016547547</v>
      </c>
    </row>
    <row r="61" spans="1:136">
      <c r="A61" s="1016" t="s">
        <v>101</v>
      </c>
      <c r="B61" s="1023">
        <v>108039.09600000001</v>
      </c>
      <c r="C61" s="1023">
        <v>7887.7440000000006</v>
      </c>
      <c r="D61" s="1023">
        <v>45495.584000000003</v>
      </c>
      <c r="E61" s="1023">
        <v>7921.0959999999995</v>
      </c>
      <c r="F61" s="1024">
        <v>169343.52</v>
      </c>
      <c r="G61" s="1023">
        <v>99737.703999999998</v>
      </c>
      <c r="H61" s="1033">
        <v>11282.632000000001</v>
      </c>
      <c r="I61" s="1023">
        <v>47832.600000000006</v>
      </c>
      <c r="J61" s="1023">
        <v>6381.9040000000005</v>
      </c>
      <c r="K61" s="1024">
        <v>165234.84</v>
      </c>
      <c r="L61" s="1023">
        <v>121601.72800000002</v>
      </c>
      <c r="M61" s="1023">
        <v>14937.592000000001</v>
      </c>
      <c r="N61" s="1023">
        <v>62235.76</v>
      </c>
      <c r="O61" s="1023">
        <v>6206.6480000000001</v>
      </c>
      <c r="P61" s="1024">
        <v>204981.728</v>
      </c>
      <c r="Q61" s="1023">
        <v>97149.834000000003</v>
      </c>
      <c r="R61" s="1033">
        <v>16694.960000000003</v>
      </c>
      <c r="S61" s="1023">
        <v>44943.4</v>
      </c>
      <c r="T61" s="1023">
        <v>6105.4159999999993</v>
      </c>
      <c r="U61" s="1024">
        <v>164893.61000000002</v>
      </c>
      <c r="V61" s="1023">
        <v>55828.296000000009</v>
      </c>
      <c r="W61" s="1023">
        <v>8004.0400000000009</v>
      </c>
      <c r="X61" s="1023">
        <v>51397.824000000001</v>
      </c>
      <c r="Y61" s="1023">
        <v>6825.76</v>
      </c>
      <c r="Z61" s="1024">
        <v>122055.92</v>
      </c>
      <c r="AA61" s="1023">
        <v>86535.918000000005</v>
      </c>
      <c r="AB61" s="1033">
        <v>8149.9120000000003</v>
      </c>
      <c r="AC61" s="1023">
        <v>59731.200000000004</v>
      </c>
      <c r="AD61" s="1023">
        <v>9031.3180000000011</v>
      </c>
      <c r="AE61" s="1024">
        <v>163448.348</v>
      </c>
      <c r="AF61" s="1023">
        <v>60172.768000000011</v>
      </c>
      <c r="AG61" s="1023">
        <v>7089.4160000000002</v>
      </c>
      <c r="AH61" s="1023">
        <v>65422.304000000004</v>
      </c>
      <c r="AI61" s="1023">
        <v>3802.5680000000002</v>
      </c>
      <c r="AJ61" s="1024">
        <v>136487.05600000001</v>
      </c>
      <c r="AK61" s="1023">
        <v>51278.256000000001</v>
      </c>
      <c r="AL61" s="1023">
        <v>6489.880000000001</v>
      </c>
      <c r="AM61" s="1023">
        <v>52338</v>
      </c>
      <c r="AN61" s="1023">
        <v>5631.619999999999</v>
      </c>
      <c r="AO61" s="1024">
        <v>115737.75599999999</v>
      </c>
      <c r="AP61" s="1023">
        <v>70316.856</v>
      </c>
      <c r="AQ61" s="1023">
        <v>15278.488000000001</v>
      </c>
      <c r="AR61" s="1023">
        <v>69591.743999999992</v>
      </c>
      <c r="AS61" s="1023">
        <v>6936.0400000000009</v>
      </c>
      <c r="AT61" s="1024">
        <v>162123.128</v>
      </c>
      <c r="AU61" s="1023">
        <v>54316.308000000005</v>
      </c>
      <c r="AV61" s="1023">
        <v>6749.56</v>
      </c>
      <c r="AW61" s="1023">
        <v>62878.8</v>
      </c>
      <c r="AX61" s="1023">
        <v>6314.5640000000003</v>
      </c>
      <c r="AY61" s="1024">
        <v>130259.232</v>
      </c>
      <c r="AZ61" s="1023">
        <v>66358.768000000011</v>
      </c>
      <c r="BA61" s="1023">
        <v>11126.936000000002</v>
      </c>
      <c r="BB61" s="1023">
        <v>57159.231999999996</v>
      </c>
      <c r="BC61" s="1023">
        <v>4358.9040000000005</v>
      </c>
      <c r="BD61" s="1024">
        <v>139003.84000000003</v>
      </c>
      <c r="BE61" s="1023">
        <v>58523.502000000008</v>
      </c>
      <c r="BF61" s="1033">
        <v>9140.24</v>
      </c>
      <c r="BG61" s="1023">
        <v>56071.200000000004</v>
      </c>
      <c r="BH61" s="1023">
        <v>6684.5999999999995</v>
      </c>
      <c r="BI61" s="1024">
        <v>130419.54200000002</v>
      </c>
      <c r="BJ61" s="1023">
        <v>26877.832000000002</v>
      </c>
      <c r="BK61" s="1033">
        <v>5463.2160000000003</v>
      </c>
      <c r="BL61" s="1023">
        <v>63148.064000000006</v>
      </c>
      <c r="BM61" s="1023">
        <v>5956.6319999999996</v>
      </c>
      <c r="BN61" s="1024">
        <v>101445.74400000001</v>
      </c>
      <c r="BO61" s="1023">
        <v>16685.786</v>
      </c>
      <c r="BP61" s="1033">
        <v>6749.0720000000001</v>
      </c>
      <c r="BQ61" s="1023">
        <v>63098.400000000001</v>
      </c>
      <c r="BR61" s="1023">
        <v>6698.49</v>
      </c>
      <c r="BS61" s="1024">
        <v>93231.748000000007</v>
      </c>
      <c r="BT61" s="1023">
        <v>25264.264000000003</v>
      </c>
      <c r="BU61" s="1023">
        <v>5037.3519999999999</v>
      </c>
      <c r="BV61" s="1023">
        <v>65498.112000000001</v>
      </c>
      <c r="BW61" s="1023">
        <v>6118.5439999999999</v>
      </c>
      <c r="BX61" s="1024">
        <v>101918.272</v>
      </c>
      <c r="BY61" s="1023">
        <v>20028.644</v>
      </c>
      <c r="BZ61" s="1033">
        <v>5598.6959999999999</v>
      </c>
      <c r="CA61" s="1023">
        <v>74444.400000000009</v>
      </c>
      <c r="CB61" s="1023">
        <v>7538.5040000000008</v>
      </c>
      <c r="CC61" s="1024">
        <v>107610.24400000001</v>
      </c>
      <c r="CD61" s="1023">
        <v>27490.959999999999</v>
      </c>
      <c r="CE61" s="1023">
        <v>5591.616</v>
      </c>
      <c r="CF61" s="1023">
        <v>74291.840000000011</v>
      </c>
      <c r="CG61" s="1023">
        <v>6048.9600000000009</v>
      </c>
      <c r="CH61" s="1024">
        <v>113423.37600000002</v>
      </c>
      <c r="CI61" s="1023">
        <v>16673.802</v>
      </c>
      <c r="CJ61" s="1033">
        <v>2538.3599999999997</v>
      </c>
      <c r="CK61" s="1023">
        <v>60682.8</v>
      </c>
      <c r="CL61" s="1023">
        <v>4159.4220000000005</v>
      </c>
      <c r="CM61" s="1024">
        <v>84054.384000000005</v>
      </c>
      <c r="CN61" s="1023">
        <v>25192.784</v>
      </c>
      <c r="CO61" s="1023">
        <v>5726.5040000000008</v>
      </c>
      <c r="CP61" s="1023">
        <v>76490.271999999997</v>
      </c>
      <c r="CQ61" s="1023">
        <v>8153.8080000000009</v>
      </c>
      <c r="CR61" s="1024">
        <v>115563.368</v>
      </c>
      <c r="CS61" s="1023">
        <v>19351.536</v>
      </c>
      <c r="CT61" s="1033">
        <v>7269.3359999999993</v>
      </c>
      <c r="CU61" s="1023">
        <v>59730.92</v>
      </c>
      <c r="CV61" s="1023">
        <v>7401.2160000000003</v>
      </c>
      <c r="CW61" s="1024">
        <v>93753.008000000002</v>
      </c>
      <c r="CX61" s="1023">
        <v>32807.296000000002</v>
      </c>
      <c r="CY61" s="1023">
        <v>3743.8320000000003</v>
      </c>
      <c r="CZ61" s="1023">
        <v>62238.368000000009</v>
      </c>
      <c r="DA61" s="1023">
        <v>10207.776</v>
      </c>
      <c r="DB61" s="1024">
        <v>108997.27200000001</v>
      </c>
      <c r="DC61" s="1023">
        <v>14842.992000000002</v>
      </c>
      <c r="DD61" s="1033">
        <v>2555.7600000000002</v>
      </c>
      <c r="DE61" s="1023">
        <v>65806.8</v>
      </c>
      <c r="DF61" s="1023">
        <v>5351.7519999999995</v>
      </c>
      <c r="DG61" s="1024">
        <v>88557.303999999989</v>
      </c>
      <c r="DH61" s="1023">
        <v>27708.488000000005</v>
      </c>
      <c r="DI61" s="1033">
        <v>3010.0240000000003</v>
      </c>
      <c r="DJ61" s="1023">
        <v>62086.752000000008</v>
      </c>
      <c r="DK61" s="1023">
        <v>8558.4159999999993</v>
      </c>
      <c r="DL61" s="1024">
        <v>101363.68000000001</v>
      </c>
      <c r="DM61" s="1023">
        <v>20118.806000000004</v>
      </c>
      <c r="DN61" s="1033">
        <v>4480.0240000000003</v>
      </c>
      <c r="DO61" s="1023">
        <v>50581.200000000004</v>
      </c>
      <c r="DP61" s="1023">
        <v>7222.8919999999998</v>
      </c>
      <c r="DQ61" s="1028">
        <v>82402.92200000002</v>
      </c>
      <c r="DR61" s="1037">
        <v>647659.13600000006</v>
      </c>
      <c r="DS61" s="1023">
        <v>92896.76</v>
      </c>
      <c r="DT61" s="1023">
        <v>755055.85600000003</v>
      </c>
      <c r="DU61" s="1023">
        <v>81095.152000000002</v>
      </c>
      <c r="DV61" s="1024">
        <v>1576706.9040000001</v>
      </c>
      <c r="DW61" s="1023">
        <v>555243.08800000011</v>
      </c>
      <c r="DX61" s="1023">
        <v>87698.432000000001</v>
      </c>
      <c r="DY61" s="1023">
        <v>698139.72000000009</v>
      </c>
      <c r="DZ61" s="1023">
        <v>78521.698000000004</v>
      </c>
      <c r="EA61" s="1028">
        <v>1419602.9380000003</v>
      </c>
      <c r="EB61" s="1031">
        <v>16.644250058633773</v>
      </c>
      <c r="EC61" s="1031">
        <v>5.9275039261819273</v>
      </c>
      <c r="ED61" s="1031">
        <v>8.1525423019907635</v>
      </c>
      <c r="EE61" s="1031">
        <v>3.2773794575863491</v>
      </c>
      <c r="EF61" s="1038">
        <v>11.066754075709014</v>
      </c>
    </row>
    <row r="62" spans="1:136">
      <c r="A62" s="1016" t="s">
        <v>103</v>
      </c>
      <c r="B62" s="1023">
        <v>213294.92800000001</v>
      </c>
      <c r="C62" s="1023">
        <v>28042.880000000005</v>
      </c>
      <c r="D62" s="1023">
        <v>87982.32</v>
      </c>
      <c r="E62" s="1023">
        <v>14924.672</v>
      </c>
      <c r="F62" s="1024">
        <v>344244.80000000005</v>
      </c>
      <c r="G62" s="1023">
        <v>182202.41800000001</v>
      </c>
      <c r="H62" s="1033">
        <v>13757.022000000001</v>
      </c>
      <c r="I62" s="1023">
        <v>95383.6</v>
      </c>
      <c r="J62" s="1023">
        <v>14847.756000000001</v>
      </c>
      <c r="K62" s="1024">
        <v>306190.79600000003</v>
      </c>
      <c r="L62" s="1023">
        <v>279076.91200000001</v>
      </c>
      <c r="M62" s="1023">
        <v>35049.536</v>
      </c>
      <c r="N62" s="1023">
        <v>116365.28000000001</v>
      </c>
      <c r="O62" s="1023">
        <v>19052.232</v>
      </c>
      <c r="P62" s="1024">
        <v>449543.96000000008</v>
      </c>
      <c r="Q62" s="1023">
        <v>223245.59600000002</v>
      </c>
      <c r="R62" s="1033">
        <v>26082.552000000003</v>
      </c>
      <c r="S62" s="1023">
        <v>84033.600000000006</v>
      </c>
      <c r="T62" s="1023">
        <v>10674.01</v>
      </c>
      <c r="U62" s="1024">
        <v>344035.75800000003</v>
      </c>
      <c r="V62" s="1023">
        <v>143440.52800000002</v>
      </c>
      <c r="W62" s="1023">
        <v>14606.04</v>
      </c>
      <c r="X62" s="1023">
        <v>100521.408</v>
      </c>
      <c r="Y62" s="1023">
        <v>13019.848</v>
      </c>
      <c r="Z62" s="1024">
        <v>271587.82400000002</v>
      </c>
      <c r="AA62" s="1023">
        <v>169703.666</v>
      </c>
      <c r="AB62" s="1033">
        <v>17487.027999999998</v>
      </c>
      <c r="AC62" s="1023">
        <v>99039.6</v>
      </c>
      <c r="AD62" s="1023">
        <v>9630.6039999999994</v>
      </c>
      <c r="AE62" s="1024">
        <v>295860.89799999999</v>
      </c>
      <c r="AF62" s="1023">
        <v>145595.20800000001</v>
      </c>
      <c r="AG62" s="1023">
        <v>18342.992000000002</v>
      </c>
      <c r="AH62" s="1023">
        <v>115986.23999999999</v>
      </c>
      <c r="AI62" s="1023">
        <v>14884.776000000002</v>
      </c>
      <c r="AJ62" s="1024">
        <v>294809.21600000001</v>
      </c>
      <c r="AK62" s="1023">
        <v>105737.132</v>
      </c>
      <c r="AL62" s="1023">
        <v>11387.388000000001</v>
      </c>
      <c r="AM62" s="1023">
        <v>107018.40000000001</v>
      </c>
      <c r="AN62" s="1023">
        <v>9343.8860000000004</v>
      </c>
      <c r="AO62" s="1024">
        <v>233486.80600000001</v>
      </c>
      <c r="AP62" s="1023">
        <v>172200.848</v>
      </c>
      <c r="AQ62" s="1023">
        <v>23869.887999999999</v>
      </c>
      <c r="AR62" s="1023">
        <v>142291.61600000001</v>
      </c>
      <c r="AS62" s="1023">
        <v>19044.376</v>
      </c>
      <c r="AT62" s="1024">
        <v>357406.728</v>
      </c>
      <c r="AU62" s="1023">
        <v>110026.84400000003</v>
      </c>
      <c r="AV62" s="1023">
        <v>13314.778</v>
      </c>
      <c r="AW62" s="1023">
        <v>105261.6</v>
      </c>
      <c r="AX62" s="1023">
        <v>8167.786000000001</v>
      </c>
      <c r="AY62" s="1024">
        <v>236771.00800000003</v>
      </c>
      <c r="AZ62" s="1023">
        <v>143818.08000000002</v>
      </c>
      <c r="BA62" s="1023">
        <v>20975.592000000001</v>
      </c>
      <c r="BB62" s="1023">
        <v>108178.016</v>
      </c>
      <c r="BC62" s="1023">
        <v>12251.335999999998</v>
      </c>
      <c r="BD62" s="1024">
        <v>285223.02400000003</v>
      </c>
      <c r="BE62" s="1023">
        <v>108142.34800000001</v>
      </c>
      <c r="BF62" s="1033">
        <v>12831.054000000002</v>
      </c>
      <c r="BG62" s="1023">
        <v>98454</v>
      </c>
      <c r="BH62" s="1023">
        <v>6755.2260000000006</v>
      </c>
      <c r="BI62" s="1024">
        <v>226182.628</v>
      </c>
      <c r="BJ62" s="1023">
        <v>73682.751999999993</v>
      </c>
      <c r="BK62" s="1033">
        <v>10008.744000000002</v>
      </c>
      <c r="BL62" s="1023">
        <v>123415.424</v>
      </c>
      <c r="BM62" s="1023">
        <v>30752.223999999998</v>
      </c>
      <c r="BN62" s="1024">
        <v>237859.14399999997</v>
      </c>
      <c r="BO62" s="1023">
        <v>40635.408000000003</v>
      </c>
      <c r="BP62" s="1033">
        <v>5174.8720000000012</v>
      </c>
      <c r="BQ62" s="1023">
        <v>105334.8</v>
      </c>
      <c r="BR62" s="1023">
        <v>9184.57</v>
      </c>
      <c r="BS62" s="1024">
        <v>160329.65000000002</v>
      </c>
      <c r="BT62" s="1023">
        <v>62992.832000000002</v>
      </c>
      <c r="BU62" s="1023">
        <v>11789.696</v>
      </c>
      <c r="BV62" s="1023">
        <v>128342.944</v>
      </c>
      <c r="BW62" s="1023">
        <v>16912.248</v>
      </c>
      <c r="BX62" s="1024">
        <v>220037.72</v>
      </c>
      <c r="BY62" s="1023">
        <v>37519.4</v>
      </c>
      <c r="BZ62" s="1033">
        <v>5219.4720000000007</v>
      </c>
      <c r="CA62" s="1023">
        <v>127294.8</v>
      </c>
      <c r="CB62" s="1023">
        <v>13453.789999999999</v>
      </c>
      <c r="CC62" s="1024">
        <v>183487.46200000003</v>
      </c>
      <c r="CD62" s="1023">
        <v>55763.960000000006</v>
      </c>
      <c r="CE62" s="1023">
        <v>6242.92</v>
      </c>
      <c r="CF62" s="1023">
        <v>128949.40800000001</v>
      </c>
      <c r="CG62" s="1023">
        <v>13949.528</v>
      </c>
      <c r="CH62" s="1024">
        <v>204905.81599999999</v>
      </c>
      <c r="CI62" s="1023">
        <v>27817.072</v>
      </c>
      <c r="CJ62" s="1033">
        <v>5481.652</v>
      </c>
      <c r="CK62" s="1023">
        <v>110678.40000000001</v>
      </c>
      <c r="CL62" s="1023">
        <v>9220.3639999999996</v>
      </c>
      <c r="CM62" s="1024">
        <v>153197.48800000001</v>
      </c>
      <c r="CN62" s="1023">
        <v>45831.407999999996</v>
      </c>
      <c r="CO62" s="1023">
        <v>7798.7920000000004</v>
      </c>
      <c r="CP62" s="1023">
        <v>137818.94399999999</v>
      </c>
      <c r="CQ62" s="1023">
        <v>15485.975999999999</v>
      </c>
      <c r="CR62" s="1024">
        <v>206935.11999999997</v>
      </c>
      <c r="CS62" s="1023">
        <v>31469.600000000002</v>
      </c>
      <c r="CT62" s="1033">
        <v>2822.9200000000005</v>
      </c>
      <c r="CU62" s="1023">
        <v>123634.8</v>
      </c>
      <c r="CV62" s="1023">
        <v>8334.159999999998</v>
      </c>
      <c r="CW62" s="1024">
        <v>166261.48000000001</v>
      </c>
      <c r="CX62" s="1023">
        <v>40292.631999999998</v>
      </c>
      <c r="CY62" s="1023">
        <v>6086.4960000000001</v>
      </c>
      <c r="CZ62" s="1023">
        <v>122960.576</v>
      </c>
      <c r="DA62" s="1023">
        <v>14356.592000000002</v>
      </c>
      <c r="DB62" s="1024">
        <v>183696.296</v>
      </c>
      <c r="DC62" s="1023">
        <v>26179.504000000001</v>
      </c>
      <c r="DD62" s="1033">
        <v>6003.1440000000002</v>
      </c>
      <c r="DE62" s="1023">
        <v>103212</v>
      </c>
      <c r="DF62" s="1023">
        <v>8929.6720000000023</v>
      </c>
      <c r="DG62" s="1024">
        <v>144324.31999999998</v>
      </c>
      <c r="DH62" s="1023">
        <v>41975.56</v>
      </c>
      <c r="DI62" s="1033">
        <v>5696.2800000000007</v>
      </c>
      <c r="DJ62" s="1023">
        <v>106965.08799999999</v>
      </c>
      <c r="DK62" s="1023">
        <v>14507.592000000002</v>
      </c>
      <c r="DL62" s="1024">
        <v>169144.52</v>
      </c>
      <c r="DM62" s="1023">
        <v>24788.712</v>
      </c>
      <c r="DN62" s="1033">
        <v>2177.8879999999999</v>
      </c>
      <c r="DO62" s="1023">
        <v>106140</v>
      </c>
      <c r="DP62" s="1023">
        <v>13710.144</v>
      </c>
      <c r="DQ62" s="1028">
        <v>146816.74400000001</v>
      </c>
      <c r="DR62" s="1037">
        <v>1417965.648</v>
      </c>
      <c r="DS62" s="1023">
        <v>188509.85600000003</v>
      </c>
      <c r="DT62" s="1023">
        <v>1419777.264</v>
      </c>
      <c r="DU62" s="1023">
        <v>199141.4</v>
      </c>
      <c r="DV62" s="1024">
        <v>3225394.1680000001</v>
      </c>
      <c r="DW62" s="1023">
        <v>1087467.7000000002</v>
      </c>
      <c r="DX62" s="1023">
        <v>121739.77000000002</v>
      </c>
      <c r="DY62" s="1023">
        <v>1265485.6000000001</v>
      </c>
      <c r="DZ62" s="1023">
        <v>122251.96800000001</v>
      </c>
      <c r="EA62" s="1028">
        <v>2596945.0380000002</v>
      </c>
      <c r="EB62" s="1031">
        <v>30.391518571080297</v>
      </c>
      <c r="EC62" s="1031">
        <v>54.846568216779104</v>
      </c>
      <c r="ED62" s="1031">
        <v>12.192289189225065</v>
      </c>
      <c r="EE62" s="1031">
        <v>62.894228418474199</v>
      </c>
      <c r="EF62" s="1038">
        <v>24.199554507475867</v>
      </c>
    </row>
    <row r="63" spans="1:136">
      <c r="A63" s="1016" t="s">
        <v>104</v>
      </c>
      <c r="B63" s="1023">
        <v>53067.088000000003</v>
      </c>
      <c r="C63" s="1023">
        <v>5727.0160000000005</v>
      </c>
      <c r="D63" s="1023">
        <v>24356.168000000001</v>
      </c>
      <c r="E63" s="1023">
        <v>3190.6000000000004</v>
      </c>
      <c r="F63" s="1024">
        <v>86340.872000000018</v>
      </c>
      <c r="G63" s="1023">
        <v>43918.194000000003</v>
      </c>
      <c r="H63" s="1033">
        <v>4907.4319999999998</v>
      </c>
      <c r="I63" s="1023">
        <v>23839.712</v>
      </c>
      <c r="J63" s="1023">
        <v>5194.4040000000005</v>
      </c>
      <c r="K63" s="1024">
        <v>77859.741999999998</v>
      </c>
      <c r="L63" s="1023">
        <v>61457.103999999999</v>
      </c>
      <c r="M63" s="1023">
        <v>7949.7920000000004</v>
      </c>
      <c r="N63" s="1023">
        <v>23734.864000000001</v>
      </c>
      <c r="O63" s="1023">
        <v>3914.8960000000006</v>
      </c>
      <c r="P63" s="1024">
        <v>97056.655999999988</v>
      </c>
      <c r="Q63" s="1023">
        <v>55667.874000000011</v>
      </c>
      <c r="R63" s="1033">
        <v>8271.0320000000011</v>
      </c>
      <c r="S63" s="1023">
        <v>19692.560000000001</v>
      </c>
      <c r="T63" s="1023">
        <v>3338.23</v>
      </c>
      <c r="U63" s="1024">
        <v>86969.696000000011</v>
      </c>
      <c r="V63" s="1023">
        <v>23290.440000000002</v>
      </c>
      <c r="W63" s="1023">
        <v>2750.424</v>
      </c>
      <c r="X63" s="1023">
        <v>27828.632000000001</v>
      </c>
      <c r="Y63" s="1023">
        <v>3052.1060000000002</v>
      </c>
      <c r="Z63" s="1024">
        <v>56921.601999999999</v>
      </c>
      <c r="AA63" s="1023">
        <v>38158.572</v>
      </c>
      <c r="AB63" s="1033">
        <v>6723.7440000000006</v>
      </c>
      <c r="AC63" s="1023">
        <v>25921.296000000002</v>
      </c>
      <c r="AD63" s="1023">
        <v>5843.866</v>
      </c>
      <c r="AE63" s="1024">
        <v>76647.477999999988</v>
      </c>
      <c r="AF63" s="1023">
        <v>27436.272000000001</v>
      </c>
      <c r="AG63" s="1023">
        <v>6223.8879999999999</v>
      </c>
      <c r="AH63" s="1023">
        <v>24729.407999999999</v>
      </c>
      <c r="AI63" s="1023">
        <v>8402.9440000000013</v>
      </c>
      <c r="AJ63" s="1024">
        <v>66792.512000000002</v>
      </c>
      <c r="AK63" s="1023">
        <v>24693.648000000001</v>
      </c>
      <c r="AL63" s="1023">
        <v>5080.3919999999998</v>
      </c>
      <c r="AM63" s="1023">
        <v>21520.800000000003</v>
      </c>
      <c r="AN63" s="1023">
        <v>3363.6640000000007</v>
      </c>
      <c r="AO63" s="1024">
        <v>54658.504000000001</v>
      </c>
      <c r="AP63" s="1023">
        <v>33305.207999999999</v>
      </c>
      <c r="AQ63" s="1023">
        <v>5250.3040000000001</v>
      </c>
      <c r="AR63" s="1023">
        <v>30791.176000000003</v>
      </c>
      <c r="AS63" s="1023">
        <v>4474.3180000000002</v>
      </c>
      <c r="AT63" s="1024">
        <v>73821.006000000008</v>
      </c>
      <c r="AU63" s="1023">
        <v>23884.428</v>
      </c>
      <c r="AV63" s="1023">
        <v>3539.6000000000004</v>
      </c>
      <c r="AW63" s="1023">
        <v>28550.959999999999</v>
      </c>
      <c r="AX63" s="1023">
        <v>5511.6240000000007</v>
      </c>
      <c r="AY63" s="1024">
        <v>61486.612000000001</v>
      </c>
      <c r="AZ63" s="1023">
        <v>32050.519999999997</v>
      </c>
      <c r="BA63" s="1023">
        <v>7880.8959999999997</v>
      </c>
      <c r="BB63" s="1023">
        <v>27841.304</v>
      </c>
      <c r="BC63" s="1023">
        <v>2509.0000000000005</v>
      </c>
      <c r="BD63" s="1024">
        <v>70281.72</v>
      </c>
      <c r="BE63" s="1023">
        <v>23677.672000000002</v>
      </c>
      <c r="BF63" s="1033">
        <v>6278.880000000001</v>
      </c>
      <c r="BG63" s="1023">
        <v>34112.808000000005</v>
      </c>
      <c r="BH63" s="1023">
        <v>8248.0960000000014</v>
      </c>
      <c r="BI63" s="1024">
        <v>72317.456000000006</v>
      </c>
      <c r="BJ63" s="1023">
        <v>13628.024000000001</v>
      </c>
      <c r="BK63" s="1033">
        <v>2926.2400000000002</v>
      </c>
      <c r="BL63" s="1023">
        <v>33978.76</v>
      </c>
      <c r="BM63" s="1023">
        <v>4177.5840000000007</v>
      </c>
      <c r="BN63" s="1024">
        <v>54710.608000000007</v>
      </c>
      <c r="BO63" s="1023">
        <v>8008.2960000000012</v>
      </c>
      <c r="BP63" s="1033">
        <v>2308.0160000000001</v>
      </c>
      <c r="BQ63" s="1023">
        <v>28848.400000000001</v>
      </c>
      <c r="BR63" s="1023">
        <v>5053.9840000000004</v>
      </c>
      <c r="BS63" s="1024">
        <v>44218.695999999996</v>
      </c>
      <c r="BT63" s="1023">
        <v>11209.088</v>
      </c>
      <c r="BU63" s="1023">
        <v>3740.8320000000003</v>
      </c>
      <c r="BV63" s="1023">
        <v>33512.864000000001</v>
      </c>
      <c r="BW63" s="1023">
        <v>3814.62</v>
      </c>
      <c r="BX63" s="1024">
        <v>52277.404000000002</v>
      </c>
      <c r="BY63" s="1023">
        <v>11070.728000000001</v>
      </c>
      <c r="BZ63" s="1033">
        <v>3045.4639999999999</v>
      </c>
      <c r="CA63" s="1023">
        <v>34922.688000000002</v>
      </c>
      <c r="CB63" s="1023">
        <v>5485.16</v>
      </c>
      <c r="CC63" s="1024">
        <v>54524.040000000008</v>
      </c>
      <c r="CD63" s="1023">
        <v>11558.992000000002</v>
      </c>
      <c r="CE63" s="1023">
        <v>1784.64</v>
      </c>
      <c r="CF63" s="1023">
        <v>31015.271999999997</v>
      </c>
      <c r="CG63" s="1023">
        <v>2730.32</v>
      </c>
      <c r="CH63" s="1024">
        <v>47089.223999999995</v>
      </c>
      <c r="CI63" s="1023">
        <v>8882.4719999999998</v>
      </c>
      <c r="CJ63" s="1033">
        <v>2291.152</v>
      </c>
      <c r="CK63" s="1023">
        <v>25625.704000000002</v>
      </c>
      <c r="CL63" s="1023">
        <v>5458.0159999999996</v>
      </c>
      <c r="CM63" s="1024">
        <v>42257.343999999997</v>
      </c>
      <c r="CN63" s="1023">
        <v>10256.416000000001</v>
      </c>
      <c r="CO63" s="1023">
        <v>2684.5839999999998</v>
      </c>
      <c r="CP63" s="1023">
        <v>40800.536</v>
      </c>
      <c r="CQ63" s="1023">
        <v>3533.6320000000001</v>
      </c>
      <c r="CR63" s="1024">
        <v>57275.167999999998</v>
      </c>
      <c r="CS63" s="1023">
        <v>5752.344000000001</v>
      </c>
      <c r="CT63" s="1033">
        <v>1763.3600000000001</v>
      </c>
      <c r="CU63" s="1023">
        <v>32577.360000000001</v>
      </c>
      <c r="CV63" s="1023">
        <v>5180.3440000000001</v>
      </c>
      <c r="CW63" s="1024">
        <v>45273.407999999996</v>
      </c>
      <c r="CX63" s="1023">
        <v>9065.8719999999994</v>
      </c>
      <c r="CY63" s="1023">
        <v>2301.3760000000002</v>
      </c>
      <c r="CZ63" s="1023">
        <v>31636.847999999998</v>
      </c>
      <c r="DA63" s="1023">
        <v>5756.7039999999997</v>
      </c>
      <c r="DB63" s="1024">
        <v>48760.799999999996</v>
      </c>
      <c r="DC63" s="1023">
        <v>7150.84</v>
      </c>
      <c r="DD63" s="1033">
        <v>961.50400000000013</v>
      </c>
      <c r="DE63" s="1023">
        <v>28410.520000000004</v>
      </c>
      <c r="DF63" s="1023">
        <v>6306.3200000000006</v>
      </c>
      <c r="DG63" s="1024">
        <v>42829.184000000001</v>
      </c>
      <c r="DH63" s="1023">
        <v>8354.4560000000019</v>
      </c>
      <c r="DI63" s="1033">
        <v>1075.9680000000001</v>
      </c>
      <c r="DJ63" s="1023">
        <v>23973.928</v>
      </c>
      <c r="DK63" s="1023">
        <v>3277.4880000000003</v>
      </c>
      <c r="DL63" s="1024">
        <v>36681.839999999997</v>
      </c>
      <c r="DM63" s="1023">
        <v>4609.768</v>
      </c>
      <c r="DN63" s="1033">
        <v>854.94400000000007</v>
      </c>
      <c r="DO63" s="1023">
        <v>29213.232000000004</v>
      </c>
      <c r="DP63" s="1023">
        <v>7037.7839999999997</v>
      </c>
      <c r="DQ63" s="1028">
        <v>41715.728000000003</v>
      </c>
      <c r="DR63" s="1037">
        <v>294679.48000000004</v>
      </c>
      <c r="DS63" s="1023">
        <v>50295.96</v>
      </c>
      <c r="DT63" s="1023">
        <v>354199.76</v>
      </c>
      <c r="DU63" s="1023">
        <v>48834.212</v>
      </c>
      <c r="DV63" s="1024">
        <v>748009.41200000001</v>
      </c>
      <c r="DW63" s="1023">
        <v>255474.83600000004</v>
      </c>
      <c r="DX63" s="1023">
        <v>46025.520000000011</v>
      </c>
      <c r="DY63" s="1023">
        <v>333236.04000000004</v>
      </c>
      <c r="DZ63" s="1023">
        <v>66021.491999999998</v>
      </c>
      <c r="EA63" s="1028">
        <v>700757.88800000004</v>
      </c>
      <c r="EB63" s="1031">
        <v>15.345794761563127</v>
      </c>
      <c r="EC63" s="1031">
        <v>9.2784177126081175</v>
      </c>
      <c r="ED63" s="1031">
        <v>6.2909522031290237</v>
      </c>
      <c r="EE63" s="1031">
        <v>-26.032856088741525</v>
      </c>
      <c r="EF63" s="1038">
        <v>6.7429171771235161</v>
      </c>
    </row>
    <row r="64" spans="1:136">
      <c r="A64" s="1016" t="s">
        <v>102</v>
      </c>
      <c r="B64" s="1023">
        <v>707556.82400000002</v>
      </c>
      <c r="C64" s="1023">
        <v>107899.16800000002</v>
      </c>
      <c r="D64" s="1023">
        <v>370893.08799999999</v>
      </c>
      <c r="E64" s="1023">
        <v>30751.839999999997</v>
      </c>
      <c r="F64" s="1024">
        <v>1217100.9200000002</v>
      </c>
      <c r="G64" s="1023">
        <v>581433.21600000001</v>
      </c>
      <c r="H64" s="1033">
        <v>85056.87</v>
      </c>
      <c r="I64" s="1023">
        <v>316104.40000000002</v>
      </c>
      <c r="J64" s="1023">
        <v>37503.304000000004</v>
      </c>
      <c r="K64" s="1024">
        <v>1020097.79</v>
      </c>
      <c r="L64" s="1023">
        <v>658893.52</v>
      </c>
      <c r="M64" s="1023">
        <v>126652.24800000001</v>
      </c>
      <c r="N64" s="1023">
        <v>469933.79200000002</v>
      </c>
      <c r="O64" s="1023">
        <v>27493.536</v>
      </c>
      <c r="P64" s="1024">
        <v>1282973.0960000001</v>
      </c>
      <c r="Q64" s="1023">
        <v>559198.85399999993</v>
      </c>
      <c r="R64" s="1033">
        <v>89443.373999999996</v>
      </c>
      <c r="S64" s="1023">
        <v>369875.4</v>
      </c>
      <c r="T64" s="1023">
        <v>32668.244000000002</v>
      </c>
      <c r="U64" s="1024">
        <v>1051185.872</v>
      </c>
      <c r="V64" s="1023">
        <v>294907.40000000002</v>
      </c>
      <c r="W64" s="1023">
        <v>56314.640000000007</v>
      </c>
      <c r="X64" s="1023">
        <v>454848</v>
      </c>
      <c r="Y64" s="1023">
        <v>20474.168000000001</v>
      </c>
      <c r="Z64" s="1024">
        <v>826544.20799999998</v>
      </c>
      <c r="AA64" s="1023">
        <v>398658.71799999999</v>
      </c>
      <c r="AB64" s="1033">
        <v>58914.418000000005</v>
      </c>
      <c r="AC64" s="1023">
        <v>493514.4</v>
      </c>
      <c r="AD64" s="1023">
        <v>27874.418000000001</v>
      </c>
      <c r="AE64" s="1024">
        <v>978961.95400000003</v>
      </c>
      <c r="AF64" s="1023">
        <v>341106.90399999998</v>
      </c>
      <c r="AG64" s="1023">
        <v>73679.208000000013</v>
      </c>
      <c r="AH64" s="1023">
        <v>532096.35199999996</v>
      </c>
      <c r="AI64" s="1023">
        <v>25562.016000000003</v>
      </c>
      <c r="AJ64" s="1024">
        <v>972444.48</v>
      </c>
      <c r="AK64" s="1023">
        <v>275362.14600000001</v>
      </c>
      <c r="AL64" s="1023">
        <v>55010.346000000012</v>
      </c>
      <c r="AM64" s="1023">
        <v>502225.2</v>
      </c>
      <c r="AN64" s="1023">
        <v>32003.096000000001</v>
      </c>
      <c r="AO64" s="1024">
        <v>864600.78800000006</v>
      </c>
      <c r="AP64" s="1023">
        <v>414692.98400000005</v>
      </c>
      <c r="AQ64" s="1023">
        <v>90451.888000000006</v>
      </c>
      <c r="AR64" s="1023">
        <v>552261.28</v>
      </c>
      <c r="AS64" s="1023">
        <v>25451.991999999998</v>
      </c>
      <c r="AT64" s="1024">
        <v>1082858.1440000003</v>
      </c>
      <c r="AU64" s="1023">
        <v>326586.62400000001</v>
      </c>
      <c r="AV64" s="1023">
        <v>63004.464000000014</v>
      </c>
      <c r="AW64" s="1023">
        <v>474482.4</v>
      </c>
      <c r="AX64" s="1023">
        <v>20679.684000000001</v>
      </c>
      <c r="AY64" s="1024">
        <v>884753.17200000014</v>
      </c>
      <c r="AZ64" s="1023">
        <v>315618.58400000003</v>
      </c>
      <c r="BA64" s="1023">
        <v>75136.800000000003</v>
      </c>
      <c r="BB64" s="1023">
        <v>367766.44</v>
      </c>
      <c r="BC64" s="1023">
        <v>21240.128000000001</v>
      </c>
      <c r="BD64" s="1024">
        <v>779761.95200000005</v>
      </c>
      <c r="BE64" s="1023">
        <v>294948.67200000002</v>
      </c>
      <c r="BF64" s="1033">
        <v>79938.92</v>
      </c>
      <c r="BG64" s="1023">
        <v>454949.2</v>
      </c>
      <c r="BH64" s="1023">
        <v>27127.566000000003</v>
      </c>
      <c r="BI64" s="1024">
        <v>856964.35800000001</v>
      </c>
      <c r="BJ64" s="1023">
        <v>130715.31200000001</v>
      </c>
      <c r="BK64" s="1033">
        <v>36180.800000000003</v>
      </c>
      <c r="BL64" s="1023">
        <v>555900.06400000001</v>
      </c>
      <c r="BM64" s="1023">
        <v>29769.352000000006</v>
      </c>
      <c r="BN64" s="1024">
        <v>752565.52799999993</v>
      </c>
      <c r="BO64" s="1023">
        <v>98138.601999999999</v>
      </c>
      <c r="BP64" s="1033">
        <v>36606.525999999998</v>
      </c>
      <c r="BQ64" s="1023">
        <v>497613.60000000003</v>
      </c>
      <c r="BR64" s="1023">
        <v>30394.324000000001</v>
      </c>
      <c r="BS64" s="1024">
        <v>662753.05200000003</v>
      </c>
      <c r="BT64" s="1023">
        <v>105459.05600000001</v>
      </c>
      <c r="BU64" s="1023">
        <v>27615.08</v>
      </c>
      <c r="BV64" s="1023">
        <v>516100.864</v>
      </c>
      <c r="BW64" s="1023">
        <v>27653.920000000002</v>
      </c>
      <c r="BX64" s="1024">
        <v>676828.92</v>
      </c>
      <c r="BY64" s="1023">
        <v>86408.352000000014</v>
      </c>
      <c r="BZ64" s="1033">
        <v>22601.024000000005</v>
      </c>
      <c r="CA64" s="1023">
        <v>539630.47199999995</v>
      </c>
      <c r="CB64" s="1023">
        <v>27654.534000000003</v>
      </c>
      <c r="CC64" s="1024">
        <v>676294.38199999998</v>
      </c>
      <c r="CD64" s="1023">
        <v>96213.376000000004</v>
      </c>
      <c r="CE64" s="1023">
        <v>29469.992000000002</v>
      </c>
      <c r="CF64" s="1023">
        <v>501394.11200000002</v>
      </c>
      <c r="CG64" s="1023">
        <v>26762.448000000004</v>
      </c>
      <c r="CH64" s="1024">
        <v>653839.92799999996</v>
      </c>
      <c r="CI64" s="1023">
        <v>73022.896000000008</v>
      </c>
      <c r="CJ64" s="1033">
        <v>20919.760000000002</v>
      </c>
      <c r="CK64" s="1023">
        <v>449440</v>
      </c>
      <c r="CL64" s="1023">
        <v>27455.567999999999</v>
      </c>
      <c r="CM64" s="1024">
        <v>570838.22399999993</v>
      </c>
      <c r="CN64" s="1023">
        <v>132703.21600000001</v>
      </c>
      <c r="CO64" s="1023">
        <v>37295.936000000002</v>
      </c>
      <c r="CP64" s="1023">
        <v>555445.21600000001</v>
      </c>
      <c r="CQ64" s="1023">
        <v>48861.416000000005</v>
      </c>
      <c r="CR64" s="1024">
        <v>774305.78399999999</v>
      </c>
      <c r="CS64" s="1023">
        <v>75635.136000000013</v>
      </c>
      <c r="CT64" s="1033">
        <v>22549.848000000002</v>
      </c>
      <c r="CU64" s="1023">
        <v>490293.60000000003</v>
      </c>
      <c r="CV64" s="1023">
        <v>29852.808000000001</v>
      </c>
      <c r="CW64" s="1024">
        <v>618331.39199999999</v>
      </c>
      <c r="CX64" s="1023">
        <v>122871.61600000001</v>
      </c>
      <c r="CY64" s="1023">
        <v>23967.296000000002</v>
      </c>
      <c r="CZ64" s="1023">
        <v>484488.92800000007</v>
      </c>
      <c r="DA64" s="1023">
        <v>55186.736000000004</v>
      </c>
      <c r="DB64" s="1024">
        <v>686514.57600000012</v>
      </c>
      <c r="DC64" s="1023">
        <v>61575.472000000002</v>
      </c>
      <c r="DD64" s="1033">
        <v>17874.512000000002</v>
      </c>
      <c r="DE64" s="1023">
        <v>450692.4</v>
      </c>
      <c r="DF64" s="1023">
        <v>23311.576000000005</v>
      </c>
      <c r="DG64" s="1024">
        <v>553453.96000000008</v>
      </c>
      <c r="DH64" s="1023">
        <v>233574.712</v>
      </c>
      <c r="DI64" s="1033">
        <v>54082.872000000003</v>
      </c>
      <c r="DJ64" s="1023">
        <v>430589.44000000006</v>
      </c>
      <c r="DK64" s="1023">
        <v>88755.24</v>
      </c>
      <c r="DL64" s="1024">
        <v>807002.26400000008</v>
      </c>
      <c r="DM64" s="1023">
        <v>62271.400000000009</v>
      </c>
      <c r="DN64" s="1033">
        <v>30392.224000000002</v>
      </c>
      <c r="DO64" s="1023">
        <v>430708.80000000005</v>
      </c>
      <c r="DP64" s="1023">
        <v>27242.584000000003</v>
      </c>
      <c r="DQ64" s="1028">
        <v>550615.00800000003</v>
      </c>
      <c r="DR64" s="1037">
        <v>3554313.5039999997</v>
      </c>
      <c r="DS64" s="1023">
        <v>738745.92800000007</v>
      </c>
      <c r="DT64" s="1023">
        <v>5791717.5760000004</v>
      </c>
      <c r="DU64" s="1023">
        <v>427962.79200000002</v>
      </c>
      <c r="DV64" s="1024">
        <v>10512739.800000001</v>
      </c>
      <c r="DW64" s="1023">
        <v>2893240.0879999995</v>
      </c>
      <c r="DX64" s="1023">
        <v>582312.28600000008</v>
      </c>
      <c r="DY64" s="1023">
        <v>5469529.8720000004</v>
      </c>
      <c r="DZ64" s="1023">
        <v>343767.70600000001</v>
      </c>
      <c r="EA64" s="1028">
        <v>9288849.9519999996</v>
      </c>
      <c r="EB64" s="1031">
        <v>22.848895905385376</v>
      </c>
      <c r="EC64" s="1031">
        <v>26.864218008273298</v>
      </c>
      <c r="ED64" s="1031">
        <v>5.8905922728270639</v>
      </c>
      <c r="EE64" s="1031">
        <v>24.491854391930573</v>
      </c>
      <c r="EF64" s="1038">
        <v>13.175902876291843</v>
      </c>
    </row>
    <row r="65" spans="1:136">
      <c r="A65" s="1016" t="s">
        <v>105</v>
      </c>
      <c r="B65" s="1023">
        <v>1073167.6259999999</v>
      </c>
      <c r="C65" s="1023">
        <v>134278.89800000002</v>
      </c>
      <c r="D65" s="1023">
        <v>340951.53600000002</v>
      </c>
      <c r="E65" s="1023">
        <v>55558.090000000004</v>
      </c>
      <c r="F65" s="1024">
        <v>1603956.1500000001</v>
      </c>
      <c r="G65" s="1023">
        <v>961090.804</v>
      </c>
      <c r="H65" s="1033">
        <v>127000.372</v>
      </c>
      <c r="I65" s="1023">
        <v>276029.14399999997</v>
      </c>
      <c r="J65" s="1023">
        <v>77927.478000000017</v>
      </c>
      <c r="K65" s="1024">
        <v>1442047.798</v>
      </c>
      <c r="L65" s="1023">
        <v>988777.14200000011</v>
      </c>
      <c r="M65" s="1023">
        <v>164209.36000000004</v>
      </c>
      <c r="N65" s="1023">
        <v>370837.08799999999</v>
      </c>
      <c r="O65" s="1023">
        <v>53682.76400000001</v>
      </c>
      <c r="P65" s="1024">
        <v>1577506.3540000001</v>
      </c>
      <c r="Q65" s="1023">
        <v>920679.17800000007</v>
      </c>
      <c r="R65" s="1033">
        <v>141839.73400000003</v>
      </c>
      <c r="S65" s="1023">
        <v>247914.696</v>
      </c>
      <c r="T65" s="1023">
        <v>60575.130000000012</v>
      </c>
      <c r="U65" s="1024">
        <v>1371008.7380000001</v>
      </c>
      <c r="V65" s="1023">
        <v>372572.73</v>
      </c>
      <c r="W65" s="1023">
        <v>53766.648000000001</v>
      </c>
      <c r="X65" s="1023">
        <v>340756.96</v>
      </c>
      <c r="Y65" s="1023">
        <v>41941.353999999999</v>
      </c>
      <c r="Z65" s="1024">
        <v>809037.69200000004</v>
      </c>
      <c r="AA65" s="1023">
        <v>632288.30200000003</v>
      </c>
      <c r="AB65" s="1033">
        <v>83377.668000000005</v>
      </c>
      <c r="AC65" s="1023">
        <v>332620.80000000005</v>
      </c>
      <c r="AD65" s="1023">
        <v>48880.396000000008</v>
      </c>
      <c r="AE65" s="1024">
        <v>1097167.166</v>
      </c>
      <c r="AF65" s="1023">
        <v>418887.4</v>
      </c>
      <c r="AG65" s="1023">
        <v>67375</v>
      </c>
      <c r="AH65" s="1023">
        <v>365849.40800000005</v>
      </c>
      <c r="AI65" s="1023">
        <v>40191.423999999999</v>
      </c>
      <c r="AJ65" s="1024">
        <v>892303.23200000008</v>
      </c>
      <c r="AK65" s="1023">
        <v>382971.60200000007</v>
      </c>
      <c r="AL65" s="1023">
        <v>63683.137999999999</v>
      </c>
      <c r="AM65" s="1023">
        <v>332764.40000000002</v>
      </c>
      <c r="AN65" s="1023">
        <v>52967.34</v>
      </c>
      <c r="AO65" s="1024">
        <v>832386.4800000001</v>
      </c>
      <c r="AP65" s="1023">
        <v>523988.64</v>
      </c>
      <c r="AQ65" s="1023">
        <v>72035.888000000006</v>
      </c>
      <c r="AR65" s="1023">
        <v>443848.01600000006</v>
      </c>
      <c r="AS65" s="1023">
        <v>36765.592000000004</v>
      </c>
      <c r="AT65" s="1024">
        <v>1076638.1360000002</v>
      </c>
      <c r="AU65" s="1023">
        <v>449456.51200000005</v>
      </c>
      <c r="AV65" s="1023">
        <v>74944.224000000002</v>
      </c>
      <c r="AW65" s="1023">
        <v>343308</v>
      </c>
      <c r="AX65" s="1023">
        <v>46166.020000000004</v>
      </c>
      <c r="AY65" s="1024">
        <v>913874.75600000005</v>
      </c>
      <c r="AZ65" s="1023">
        <v>428903.81600000005</v>
      </c>
      <c r="BA65" s="1023">
        <v>85065.407999999996</v>
      </c>
      <c r="BB65" s="1023">
        <v>439668.80000000005</v>
      </c>
      <c r="BC65" s="1023">
        <v>36787.304000000011</v>
      </c>
      <c r="BD65" s="1024">
        <v>990425.3280000001</v>
      </c>
      <c r="BE65" s="1023">
        <v>425895.46</v>
      </c>
      <c r="BF65" s="1033">
        <v>66461.285999999993</v>
      </c>
      <c r="BG65" s="1023">
        <v>331596</v>
      </c>
      <c r="BH65" s="1023">
        <v>41837.373999999996</v>
      </c>
      <c r="BI65" s="1024">
        <v>865790.12</v>
      </c>
      <c r="BJ65" s="1023">
        <v>430808.08</v>
      </c>
      <c r="BK65" s="1033">
        <v>129168.48800000001</v>
      </c>
      <c r="BL65" s="1023">
        <v>466820.44800000009</v>
      </c>
      <c r="BM65" s="1023">
        <v>98086.944000000018</v>
      </c>
      <c r="BN65" s="1024">
        <v>1124883.96</v>
      </c>
      <c r="BO65" s="1023">
        <v>152682.554</v>
      </c>
      <c r="BP65" s="1033">
        <v>24633.188000000002</v>
      </c>
      <c r="BQ65" s="1023">
        <v>369660</v>
      </c>
      <c r="BR65" s="1023">
        <v>42356.772000000004</v>
      </c>
      <c r="BS65" s="1024">
        <v>589332.51399999997</v>
      </c>
      <c r="BT65" s="1023">
        <v>340435.99200000003</v>
      </c>
      <c r="BU65" s="1023">
        <v>89414.52</v>
      </c>
      <c r="BV65" s="1023">
        <v>457880.32000000007</v>
      </c>
      <c r="BW65" s="1023">
        <v>96360.256000000008</v>
      </c>
      <c r="BX65" s="1024">
        <v>984091.08800000022</v>
      </c>
      <c r="BY65" s="1023">
        <v>233471.234</v>
      </c>
      <c r="BZ65" s="1033">
        <v>36919.370000000003</v>
      </c>
      <c r="CA65" s="1023">
        <v>434409.2</v>
      </c>
      <c r="CB65" s="1023">
        <v>64380.358000000007</v>
      </c>
      <c r="CC65" s="1024">
        <v>769180.16200000001</v>
      </c>
      <c r="CD65" s="1023">
        <v>261262.73600000003</v>
      </c>
      <c r="CE65" s="1023">
        <v>53901.032000000007</v>
      </c>
      <c r="CF65" s="1023">
        <v>433545.95199999999</v>
      </c>
      <c r="CG65" s="1023">
        <v>73948.063999999998</v>
      </c>
      <c r="CH65" s="1024">
        <v>822657.78399999999</v>
      </c>
      <c r="CI65" s="1023">
        <v>163188.81200000001</v>
      </c>
      <c r="CJ65" s="1033">
        <v>25831.812000000002</v>
      </c>
      <c r="CK65" s="1023">
        <v>370318.80800000002</v>
      </c>
      <c r="CL65" s="1023">
        <v>50601.90800000001</v>
      </c>
      <c r="CM65" s="1024">
        <v>609941.34000000008</v>
      </c>
      <c r="CN65" s="1023">
        <v>247256.872</v>
      </c>
      <c r="CO65" s="1023">
        <v>57112.776000000005</v>
      </c>
      <c r="CP65" s="1023">
        <v>458790.01600000006</v>
      </c>
      <c r="CQ65" s="1023">
        <v>90935.640000000029</v>
      </c>
      <c r="CR65" s="1024">
        <v>854095.30400000012</v>
      </c>
      <c r="CS65" s="1023">
        <v>168933.52800000002</v>
      </c>
      <c r="CT65" s="1033">
        <v>25496.55</v>
      </c>
      <c r="CU65" s="1023">
        <v>434076</v>
      </c>
      <c r="CV65" s="1023">
        <v>67294.608000000007</v>
      </c>
      <c r="CW65" s="1024">
        <v>695800.68599999999</v>
      </c>
      <c r="CX65" s="1023">
        <v>170170.872</v>
      </c>
      <c r="CY65" s="1023">
        <v>36526.688000000002</v>
      </c>
      <c r="CZ65" s="1023">
        <v>391093.47200000007</v>
      </c>
      <c r="DA65" s="1023">
        <v>70946.52</v>
      </c>
      <c r="DB65" s="1024">
        <v>668737.55200000014</v>
      </c>
      <c r="DC65" s="1023">
        <v>117410.42200000002</v>
      </c>
      <c r="DD65" s="1033">
        <v>23154.564000000002</v>
      </c>
      <c r="DE65" s="1023">
        <v>334890</v>
      </c>
      <c r="DF65" s="1023">
        <v>50131.712</v>
      </c>
      <c r="DG65" s="1024">
        <v>525586.69800000009</v>
      </c>
      <c r="DH65" s="1023">
        <v>230636.49600000001</v>
      </c>
      <c r="DI65" s="1033">
        <v>35072.936000000002</v>
      </c>
      <c r="DJ65" s="1023">
        <v>358344.41600000003</v>
      </c>
      <c r="DK65" s="1023">
        <v>83539.728000000003</v>
      </c>
      <c r="DL65" s="1024">
        <v>707593.576</v>
      </c>
      <c r="DM65" s="1023">
        <v>144478.728</v>
      </c>
      <c r="DN65" s="1033">
        <v>17933.330000000002</v>
      </c>
      <c r="DO65" s="1023">
        <v>328741.2</v>
      </c>
      <c r="DP65" s="1023">
        <v>61854.322</v>
      </c>
      <c r="DQ65" s="1028">
        <v>553007.58000000007</v>
      </c>
      <c r="DR65" s="1037">
        <v>5486868.4020000016</v>
      </c>
      <c r="DS65" s="1023">
        <v>977927.64199999999</v>
      </c>
      <c r="DT65" s="1023">
        <v>4868386.432000001</v>
      </c>
      <c r="DU65" s="1023">
        <v>778743.68</v>
      </c>
      <c r="DV65" s="1024">
        <v>12111926.156000003</v>
      </c>
      <c r="DW65" s="1023">
        <v>4752547.1360000009</v>
      </c>
      <c r="DX65" s="1023">
        <v>711275.23600000003</v>
      </c>
      <c r="DY65" s="1023">
        <v>4136328.2480000006</v>
      </c>
      <c r="DZ65" s="1023">
        <v>664973.41800000018</v>
      </c>
      <c r="EA65" s="1028">
        <v>10265124.038000001</v>
      </c>
      <c r="EB65" s="1031">
        <v>15.451109583692528</v>
      </c>
      <c r="EC65" s="1031">
        <v>37.489342030178591</v>
      </c>
      <c r="ED65" s="1031">
        <v>17.698261359068042</v>
      </c>
      <c r="EE65" s="1031">
        <v>17.108993971846218</v>
      </c>
      <c r="EF65" s="1038">
        <v>17.991035579924898</v>
      </c>
    </row>
    <row r="66" spans="1:136">
      <c r="A66" s="1016" t="s">
        <v>106</v>
      </c>
      <c r="B66" s="1023">
        <v>92245.313999999998</v>
      </c>
      <c r="C66" s="1023">
        <v>4489.2560000000003</v>
      </c>
      <c r="D66" s="1023">
        <v>44264.4</v>
      </c>
      <c r="E66" s="1023">
        <v>5887.6179999999995</v>
      </c>
      <c r="F66" s="1024">
        <v>146886.58799999999</v>
      </c>
      <c r="G66" s="1023">
        <v>89897.396000000008</v>
      </c>
      <c r="H66" s="1033">
        <v>2705.84</v>
      </c>
      <c r="I66" s="1023">
        <v>39383.72</v>
      </c>
      <c r="J66" s="1023">
        <v>11477.976000000002</v>
      </c>
      <c r="K66" s="1024">
        <v>143464.932</v>
      </c>
      <c r="L66" s="1023">
        <v>137362.41399999999</v>
      </c>
      <c r="M66" s="1023">
        <v>12879.128000000001</v>
      </c>
      <c r="N66" s="1023">
        <v>43968.640000000007</v>
      </c>
      <c r="O66" s="1023">
        <v>9725.5480000000007</v>
      </c>
      <c r="P66" s="1024">
        <v>203935.73</v>
      </c>
      <c r="Q66" s="1023">
        <v>116474.38399999999</v>
      </c>
      <c r="R66" s="1033">
        <v>6491.0400000000009</v>
      </c>
      <c r="S66" s="1023">
        <v>46196.520000000004</v>
      </c>
      <c r="T66" s="1023">
        <v>10292.504000000001</v>
      </c>
      <c r="U66" s="1024">
        <v>179454.44800000003</v>
      </c>
      <c r="V66" s="1023">
        <v>58380.67</v>
      </c>
      <c r="W66" s="1023">
        <v>5634.0960000000014</v>
      </c>
      <c r="X66" s="1023">
        <v>41770.208000000006</v>
      </c>
      <c r="Y66" s="1023">
        <v>5524.4279999999999</v>
      </c>
      <c r="Z66" s="1024">
        <v>111309.40200000002</v>
      </c>
      <c r="AA66" s="1023">
        <v>93521.554000000004</v>
      </c>
      <c r="AB66" s="1033">
        <v>9362.503999999999</v>
      </c>
      <c r="AC66" s="1023">
        <v>48414.48</v>
      </c>
      <c r="AD66" s="1023">
        <v>13459.734000000002</v>
      </c>
      <c r="AE66" s="1024">
        <v>164758.272</v>
      </c>
      <c r="AF66" s="1023">
        <v>67039.64</v>
      </c>
      <c r="AG66" s="1023">
        <v>5685.0640000000003</v>
      </c>
      <c r="AH66" s="1023">
        <v>55870.495999999999</v>
      </c>
      <c r="AI66" s="1023">
        <v>6997.1679999999997</v>
      </c>
      <c r="AJ66" s="1024">
        <v>135592.36799999999</v>
      </c>
      <c r="AK66" s="1023">
        <v>59899.001999999993</v>
      </c>
      <c r="AL66" s="1023">
        <v>4718.6480000000001</v>
      </c>
      <c r="AM66" s="1023">
        <v>46862.640000000007</v>
      </c>
      <c r="AN66" s="1023">
        <v>6468.3020000000006</v>
      </c>
      <c r="AO66" s="1024">
        <v>117948.592</v>
      </c>
      <c r="AP66" s="1023">
        <v>78046.97600000001</v>
      </c>
      <c r="AQ66" s="1023">
        <v>8062.5920000000006</v>
      </c>
      <c r="AR66" s="1023">
        <v>56173.728000000003</v>
      </c>
      <c r="AS66" s="1023">
        <v>7080.3680000000013</v>
      </c>
      <c r="AT66" s="1024">
        <v>149363.66400000002</v>
      </c>
      <c r="AU66" s="1023">
        <v>70165.432000000001</v>
      </c>
      <c r="AV66" s="1023">
        <v>4938.5600000000004</v>
      </c>
      <c r="AW66" s="1023">
        <v>50727.600000000006</v>
      </c>
      <c r="AX66" s="1023">
        <v>7266.3540000000003</v>
      </c>
      <c r="AY66" s="1024">
        <v>133097.946</v>
      </c>
      <c r="AZ66" s="1023">
        <v>73130.312000000005</v>
      </c>
      <c r="BA66" s="1023">
        <v>9241.4000000000015</v>
      </c>
      <c r="BB66" s="1023">
        <v>47380</v>
      </c>
      <c r="BC66" s="1023">
        <v>5707.1680000000006</v>
      </c>
      <c r="BD66" s="1024">
        <v>135458.88</v>
      </c>
      <c r="BE66" s="1023">
        <v>63638.03</v>
      </c>
      <c r="BF66" s="1033">
        <v>5688.2640000000001</v>
      </c>
      <c r="BG66" s="1023">
        <v>51825.600000000006</v>
      </c>
      <c r="BH66" s="1023">
        <v>6722.6560000000018</v>
      </c>
      <c r="BI66" s="1024">
        <v>127874.55</v>
      </c>
      <c r="BJ66" s="1023">
        <v>27394.408000000003</v>
      </c>
      <c r="BK66" s="1033">
        <v>2039.7520000000002</v>
      </c>
      <c r="BL66" s="1023">
        <v>62314.176000000007</v>
      </c>
      <c r="BM66" s="1023">
        <v>6458.7280000000001</v>
      </c>
      <c r="BN66" s="1024">
        <v>98207.064000000013</v>
      </c>
      <c r="BO66" s="1023">
        <v>25771.628000000001</v>
      </c>
      <c r="BP66" s="1033">
        <v>3052.6800000000003</v>
      </c>
      <c r="BQ66" s="1023">
        <v>50244.480000000003</v>
      </c>
      <c r="BR66" s="1023">
        <v>9405.4979999999996</v>
      </c>
      <c r="BS66" s="1024">
        <v>88474.285999999993</v>
      </c>
      <c r="BT66" s="1023">
        <v>22882.896000000001</v>
      </c>
      <c r="BU66" s="1023">
        <v>1872.9520000000002</v>
      </c>
      <c r="BV66" s="1023">
        <v>56173.728000000003</v>
      </c>
      <c r="BW66" s="1023">
        <v>5740.1120000000001</v>
      </c>
      <c r="BX66" s="1024">
        <v>86669.687999999995</v>
      </c>
      <c r="BY66" s="1023">
        <v>19799.636000000002</v>
      </c>
      <c r="BZ66" s="1033">
        <v>5547.2880000000005</v>
      </c>
      <c r="CA66" s="1023">
        <v>57842.640000000007</v>
      </c>
      <c r="CB66" s="1023">
        <v>7312.0860000000002</v>
      </c>
      <c r="CC66" s="1024">
        <v>90501.650000000009</v>
      </c>
      <c r="CD66" s="1023">
        <v>22656.560000000001</v>
      </c>
      <c r="CE66" s="1023">
        <v>3623.616</v>
      </c>
      <c r="CF66" s="1023">
        <v>59509.280000000006</v>
      </c>
      <c r="CG66" s="1023">
        <v>5618.52</v>
      </c>
      <c r="CH66" s="1024">
        <v>91407.97600000001</v>
      </c>
      <c r="CI66" s="1023">
        <v>16665.972000000002</v>
      </c>
      <c r="CJ66" s="1033">
        <v>2738.6000000000004</v>
      </c>
      <c r="CK66" s="1023">
        <v>45669.48</v>
      </c>
      <c r="CL66" s="1023">
        <v>6872.0099999999993</v>
      </c>
      <c r="CM66" s="1024">
        <v>71946.062000000005</v>
      </c>
      <c r="CN66" s="1023">
        <v>31670.720000000001</v>
      </c>
      <c r="CO66" s="1023">
        <v>2842.6560000000004</v>
      </c>
      <c r="CP66" s="1023">
        <v>57235.040000000008</v>
      </c>
      <c r="CQ66" s="1023">
        <v>10522.856000000002</v>
      </c>
      <c r="CR66" s="1024">
        <v>102271.27200000001</v>
      </c>
      <c r="CS66" s="1023">
        <v>17127.288</v>
      </c>
      <c r="CT66" s="1033">
        <v>2812.4080000000004</v>
      </c>
      <c r="CU66" s="1023">
        <v>56861.760000000002</v>
      </c>
      <c r="CV66" s="1023">
        <v>6237.7959999999994</v>
      </c>
      <c r="CW66" s="1024">
        <v>83039.252000000008</v>
      </c>
      <c r="CX66" s="1023">
        <v>26659.64</v>
      </c>
      <c r="CY66" s="1023">
        <v>1602.76</v>
      </c>
      <c r="CZ66" s="1023">
        <v>52004.288</v>
      </c>
      <c r="DA66" s="1023">
        <v>12277.576000000001</v>
      </c>
      <c r="DB66" s="1024">
        <v>92544.263999999996</v>
      </c>
      <c r="DC66" s="1023">
        <v>17265.474000000002</v>
      </c>
      <c r="DD66" s="1033">
        <v>2597.9759999999997</v>
      </c>
      <c r="DE66" s="1023">
        <v>54094.8</v>
      </c>
      <c r="DF66" s="1023">
        <v>8136.036000000001</v>
      </c>
      <c r="DG66" s="1024">
        <v>82094.286000000007</v>
      </c>
      <c r="DH66" s="1023">
        <v>32338.392</v>
      </c>
      <c r="DI66" s="1033">
        <v>3210.4320000000002</v>
      </c>
      <c r="DJ66" s="1023">
        <v>47152.576000000001</v>
      </c>
      <c r="DK66" s="1023">
        <v>10921.824000000001</v>
      </c>
      <c r="DL66" s="1024">
        <v>93623.223999999987</v>
      </c>
      <c r="DM66" s="1023">
        <v>14770.122000000001</v>
      </c>
      <c r="DN66" s="1033">
        <v>764.84</v>
      </c>
      <c r="DO66" s="1023">
        <v>44871.600000000006</v>
      </c>
      <c r="DP66" s="1023">
        <v>5456.9680000000008</v>
      </c>
      <c r="DQ66" s="1028">
        <v>65863.53</v>
      </c>
      <c r="DR66" s="1037">
        <v>669807.94200000004</v>
      </c>
      <c r="DS66" s="1023">
        <v>61183.704000000005</v>
      </c>
      <c r="DT66" s="1023">
        <v>623816.56000000017</v>
      </c>
      <c r="DU66" s="1023">
        <v>92461.914000000019</v>
      </c>
      <c r="DV66" s="1024">
        <v>1447270.1200000003</v>
      </c>
      <c r="DW66" s="1023">
        <v>604995.91800000018</v>
      </c>
      <c r="DX66" s="1023">
        <v>51418.648000000001</v>
      </c>
      <c r="DY66" s="1023">
        <v>592995.32000000007</v>
      </c>
      <c r="DZ66" s="1023">
        <v>99107.920000000013</v>
      </c>
      <c r="EA66" s="1028">
        <v>1348517.8060000003</v>
      </c>
      <c r="EB66" s="1031">
        <v>10.712803520105709</v>
      </c>
      <c r="EC66" s="1031">
        <v>18.991273360590895</v>
      </c>
      <c r="ED66" s="1031">
        <v>5.1975519806800605</v>
      </c>
      <c r="EE66" s="1031">
        <v>-6.7058273445754821</v>
      </c>
      <c r="EF66" s="1038">
        <v>7.3230263301395269</v>
      </c>
    </row>
    <row r="67" spans="1:136">
      <c r="A67" s="1016" t="s">
        <v>108</v>
      </c>
      <c r="B67" s="1023">
        <v>36563.703999999998</v>
      </c>
      <c r="C67" s="1023">
        <v>4896.9920000000002</v>
      </c>
      <c r="D67" s="1023">
        <v>34448.480000000003</v>
      </c>
      <c r="E67" s="1023">
        <v>1973.4880000000001</v>
      </c>
      <c r="F67" s="1024">
        <v>77882.664000000004</v>
      </c>
      <c r="G67" s="1023">
        <v>29195.016</v>
      </c>
      <c r="H67" s="1033">
        <v>3019.6480000000001</v>
      </c>
      <c r="I67" s="1023">
        <v>31113.200000000001</v>
      </c>
      <c r="J67" s="1023">
        <v>2528.7520000000004</v>
      </c>
      <c r="K67" s="1024">
        <v>65856.616000000009</v>
      </c>
      <c r="L67" s="1023">
        <v>43082.175999999999</v>
      </c>
      <c r="M67" s="1023">
        <v>6705.9360000000006</v>
      </c>
      <c r="N67" s="1023">
        <v>43892.832000000002</v>
      </c>
      <c r="O67" s="1023">
        <v>2066.9360000000001</v>
      </c>
      <c r="P67" s="1024">
        <v>95747.88</v>
      </c>
      <c r="Q67" s="1023">
        <v>35269.799999999996</v>
      </c>
      <c r="R67" s="1033">
        <v>6982.8880000000008</v>
      </c>
      <c r="S67" s="1023">
        <v>32940</v>
      </c>
      <c r="T67" s="1023">
        <v>1121.72</v>
      </c>
      <c r="U67" s="1024">
        <v>76314.407999999996</v>
      </c>
      <c r="V67" s="1023">
        <v>24205.912</v>
      </c>
      <c r="W67" s="1023">
        <v>3175.384</v>
      </c>
      <c r="X67" s="1023">
        <v>47076.768000000004</v>
      </c>
      <c r="Y67" s="1023">
        <v>1832.2640000000001</v>
      </c>
      <c r="Z67" s="1024">
        <v>76290.328000000009</v>
      </c>
      <c r="AA67" s="1023">
        <v>33833.752000000008</v>
      </c>
      <c r="AB67" s="1033">
        <v>2092.4240000000004</v>
      </c>
      <c r="AC67" s="1023">
        <v>50727.600000000006</v>
      </c>
      <c r="AD67" s="1023">
        <v>1344.7760000000003</v>
      </c>
      <c r="AE67" s="1024">
        <v>87998.552000000011</v>
      </c>
      <c r="AF67" s="1023">
        <v>26425.439999999999</v>
      </c>
      <c r="AG67" s="1023">
        <v>5018.5680000000002</v>
      </c>
      <c r="AH67" s="1023">
        <v>56856</v>
      </c>
      <c r="AI67" s="1023">
        <v>1530.2960000000003</v>
      </c>
      <c r="AJ67" s="1024">
        <v>89830.304000000004</v>
      </c>
      <c r="AK67" s="1023">
        <v>23289.664000000004</v>
      </c>
      <c r="AL67" s="1023">
        <v>1430.5360000000001</v>
      </c>
      <c r="AM67" s="1023">
        <v>50368.920000000006</v>
      </c>
      <c r="AN67" s="1023">
        <v>1210.9680000000001</v>
      </c>
      <c r="AO67" s="1024">
        <v>76300.088000000003</v>
      </c>
      <c r="AP67" s="1023">
        <v>33552.464000000007</v>
      </c>
      <c r="AQ67" s="1023">
        <v>1898.5280000000002</v>
      </c>
      <c r="AR67" s="1023">
        <v>59964.128000000004</v>
      </c>
      <c r="AS67" s="1023">
        <v>1783.088</v>
      </c>
      <c r="AT67" s="1024">
        <v>97198.208000000013</v>
      </c>
      <c r="AU67" s="1023">
        <v>27702.880000000001</v>
      </c>
      <c r="AV67" s="1023">
        <v>2602.4480000000003</v>
      </c>
      <c r="AW67" s="1023">
        <v>50508</v>
      </c>
      <c r="AX67" s="1023">
        <v>1442.3600000000001</v>
      </c>
      <c r="AY67" s="1024">
        <v>82255.688000000009</v>
      </c>
      <c r="AZ67" s="1023">
        <v>43106.016000000003</v>
      </c>
      <c r="BA67" s="1023">
        <v>5446.728000000001</v>
      </c>
      <c r="BB67" s="1023">
        <v>53065.600000000006</v>
      </c>
      <c r="BC67" s="1023">
        <v>2795.7840000000001</v>
      </c>
      <c r="BD67" s="1024">
        <v>104414.12800000001</v>
      </c>
      <c r="BE67" s="1023">
        <v>30676.576000000001</v>
      </c>
      <c r="BF67" s="1033">
        <v>3920.8719999999998</v>
      </c>
      <c r="BG67" s="1023">
        <v>51972</v>
      </c>
      <c r="BH67" s="1023">
        <v>1817.2240000000002</v>
      </c>
      <c r="BI67" s="1024">
        <v>88386.672000000006</v>
      </c>
      <c r="BJ67" s="1023">
        <v>10911.248</v>
      </c>
      <c r="BK67" s="1033">
        <v>2844.808</v>
      </c>
      <c r="BL67" s="1023">
        <v>66332</v>
      </c>
      <c r="BM67" s="1023">
        <v>2502.3200000000002</v>
      </c>
      <c r="BN67" s="1024">
        <v>82590.376000000004</v>
      </c>
      <c r="BO67" s="1023">
        <v>7559.3360000000002</v>
      </c>
      <c r="BP67" s="1033">
        <v>2227.4160000000002</v>
      </c>
      <c r="BQ67" s="1023">
        <v>53070</v>
      </c>
      <c r="BR67" s="1023">
        <v>1020.5440000000001</v>
      </c>
      <c r="BS67" s="1024">
        <v>63877.296000000002</v>
      </c>
      <c r="BT67" s="1023">
        <v>8861.3760000000002</v>
      </c>
      <c r="BU67" s="1023">
        <v>1520.096</v>
      </c>
      <c r="BV67" s="1023">
        <v>66559.423999999999</v>
      </c>
      <c r="BW67" s="1023">
        <v>1659.096</v>
      </c>
      <c r="BX67" s="1024">
        <v>78599.991999999998</v>
      </c>
      <c r="BY67" s="1023">
        <v>7607.920000000001</v>
      </c>
      <c r="BZ67" s="1033">
        <v>2851.136</v>
      </c>
      <c r="CA67" s="1023">
        <v>59438.400000000001</v>
      </c>
      <c r="CB67" s="1023">
        <v>1806.296</v>
      </c>
      <c r="CC67" s="1024">
        <v>71703.752000000008</v>
      </c>
      <c r="CD67" s="1023">
        <v>8745.1040000000012</v>
      </c>
      <c r="CE67" s="1023">
        <v>2700.5119999999997</v>
      </c>
      <c r="CF67" s="1023">
        <v>60039.936000000002</v>
      </c>
      <c r="CG67" s="1023">
        <v>2512.6480000000001</v>
      </c>
      <c r="CH67" s="1024">
        <v>73998.2</v>
      </c>
      <c r="CI67" s="1023">
        <v>7346.4320000000007</v>
      </c>
      <c r="CJ67" s="1033">
        <v>1225.1200000000001</v>
      </c>
      <c r="CK67" s="1023">
        <v>46994.400000000001</v>
      </c>
      <c r="CL67" s="1023">
        <v>1094.5840000000001</v>
      </c>
      <c r="CM67" s="1024">
        <v>56660.536000000007</v>
      </c>
      <c r="CN67" s="1023">
        <v>16729.560000000001</v>
      </c>
      <c r="CO67" s="1023">
        <v>1514.1120000000001</v>
      </c>
      <c r="CP67" s="1023">
        <v>60418.976000000002</v>
      </c>
      <c r="CQ67" s="1023">
        <v>7151.04</v>
      </c>
      <c r="CR67" s="1024">
        <v>85813.687999999995</v>
      </c>
      <c r="CS67" s="1023">
        <v>5632.768</v>
      </c>
      <c r="CT67" s="1033">
        <v>1097.816</v>
      </c>
      <c r="CU67" s="1023">
        <v>50727.600000000006</v>
      </c>
      <c r="CV67" s="1023">
        <v>1354.4640000000002</v>
      </c>
      <c r="CW67" s="1024">
        <v>58812.648000000008</v>
      </c>
      <c r="CX67" s="1023">
        <v>7959.0560000000005</v>
      </c>
      <c r="CY67" s="1023">
        <v>1315.7040000000002</v>
      </c>
      <c r="CZ67" s="1023">
        <v>55794.688000000002</v>
      </c>
      <c r="DA67" s="1023">
        <v>2825.5200000000004</v>
      </c>
      <c r="DB67" s="1024">
        <v>67894.968000000008</v>
      </c>
      <c r="DC67" s="1023">
        <v>4913.08</v>
      </c>
      <c r="DD67" s="1033">
        <v>809.42399999999998</v>
      </c>
      <c r="DE67" s="1023">
        <v>49410</v>
      </c>
      <c r="DF67" s="1023">
        <v>1442.7040000000002</v>
      </c>
      <c r="DG67" s="1024">
        <v>56575.207999999999</v>
      </c>
      <c r="DH67" s="1023">
        <v>12724.096000000001</v>
      </c>
      <c r="DI67" s="1033">
        <v>690.91200000000003</v>
      </c>
      <c r="DJ67" s="1023">
        <v>50942.976000000002</v>
      </c>
      <c r="DK67" s="1023">
        <v>3894.5440000000008</v>
      </c>
      <c r="DL67" s="1024">
        <v>68252.528000000006</v>
      </c>
      <c r="DM67" s="1023">
        <v>5591.2719999999999</v>
      </c>
      <c r="DN67" s="1033">
        <v>1294.4160000000002</v>
      </c>
      <c r="DO67" s="1023">
        <v>48092.4</v>
      </c>
      <c r="DP67" s="1023">
        <v>1922.568</v>
      </c>
      <c r="DQ67" s="1028">
        <v>56900.656000000003</v>
      </c>
      <c r="DR67" s="1037">
        <v>272866.152</v>
      </c>
      <c r="DS67" s="1023">
        <v>37728.280000000006</v>
      </c>
      <c r="DT67" s="1023">
        <v>655391.80799999996</v>
      </c>
      <c r="DU67" s="1023">
        <v>32527.024000000001</v>
      </c>
      <c r="DV67" s="1024">
        <v>998513.26399999997</v>
      </c>
      <c r="DW67" s="1023">
        <v>218618.49600000001</v>
      </c>
      <c r="DX67" s="1023">
        <v>29554.144</v>
      </c>
      <c r="DY67" s="1023">
        <v>575362.52</v>
      </c>
      <c r="DZ67" s="1023">
        <v>18106.960000000003</v>
      </c>
      <c r="EA67" s="1028">
        <v>841642.12</v>
      </c>
      <c r="EB67" s="1031">
        <v>24.813845576908562</v>
      </c>
      <c r="EC67" s="1031">
        <v>27.658172065480912</v>
      </c>
      <c r="ED67" s="1031">
        <v>13.909367610528392</v>
      </c>
      <c r="EE67" s="1031">
        <v>79.63823855578184</v>
      </c>
      <c r="EF67" s="1038">
        <v>18.638699308442398</v>
      </c>
    </row>
    <row r="68" spans="1:136">
      <c r="A68" s="1016" t="s">
        <v>109</v>
      </c>
      <c r="B68" s="1023">
        <v>12775.456000000002</v>
      </c>
      <c r="C68" s="1023">
        <v>884.44799999999998</v>
      </c>
      <c r="D68" s="1023">
        <v>6728.6559999999999</v>
      </c>
      <c r="E68" s="1023">
        <v>513.22400000000005</v>
      </c>
      <c r="F68" s="1024">
        <v>20901.784</v>
      </c>
      <c r="G68" s="1023">
        <v>7771.344000000001</v>
      </c>
      <c r="H68" s="1033">
        <v>1921.6000000000001</v>
      </c>
      <c r="I68" s="1023">
        <v>5902.6</v>
      </c>
      <c r="J68" s="1023">
        <v>473.00800000000004</v>
      </c>
      <c r="K68" s="1024">
        <v>16068.552000000001</v>
      </c>
      <c r="L68" s="1023">
        <v>9101.2800000000007</v>
      </c>
      <c r="M68" s="1023">
        <v>838.976</v>
      </c>
      <c r="N68" s="1023">
        <v>8642.1119999999992</v>
      </c>
      <c r="O68" s="1023">
        <v>312.85599999999999</v>
      </c>
      <c r="P68" s="1024">
        <v>18895.224000000002</v>
      </c>
      <c r="Q68" s="1023">
        <v>8224.7520000000004</v>
      </c>
      <c r="R68" s="1033">
        <v>85.408000000000015</v>
      </c>
      <c r="S68" s="1023">
        <v>5416.8</v>
      </c>
      <c r="T68" s="1023">
        <v>472.81600000000003</v>
      </c>
      <c r="U68" s="1024">
        <v>14199.776</v>
      </c>
      <c r="V68" s="1023">
        <v>2759.4960000000001</v>
      </c>
      <c r="W68" s="1023">
        <v>434.86400000000003</v>
      </c>
      <c r="X68" s="1023">
        <v>7808.2240000000011</v>
      </c>
      <c r="Y68" s="1023">
        <v>83.088000000000008</v>
      </c>
      <c r="Z68" s="1024">
        <v>11085.672</v>
      </c>
      <c r="AA68" s="1023">
        <v>9282.36</v>
      </c>
      <c r="AB68" s="1033">
        <v>441.26400000000007</v>
      </c>
      <c r="AC68" s="1023">
        <v>9003.6</v>
      </c>
      <c r="AD68" s="1023">
        <v>512.69600000000003</v>
      </c>
      <c r="AE68" s="1024">
        <v>19239.920000000002</v>
      </c>
      <c r="AF68" s="1023">
        <v>4374.5200000000004</v>
      </c>
      <c r="AG68" s="1023">
        <v>494.88800000000003</v>
      </c>
      <c r="AH68" s="1023">
        <v>14479.328000000001</v>
      </c>
      <c r="AI68" s="1023">
        <v>305.49600000000004</v>
      </c>
      <c r="AJ68" s="1024">
        <v>19654.232</v>
      </c>
      <c r="AK68" s="1023">
        <v>6648.2160000000003</v>
      </c>
      <c r="AL68" s="1023">
        <v>85.408000000000015</v>
      </c>
      <c r="AM68" s="1023">
        <v>6441.6</v>
      </c>
      <c r="AN68" s="1023">
        <v>287.13600000000002</v>
      </c>
      <c r="AO68" s="1024">
        <v>13462.360000000002</v>
      </c>
      <c r="AP68" s="1023">
        <v>5117.9120000000003</v>
      </c>
      <c r="AQ68" s="1023">
        <v>299.73600000000005</v>
      </c>
      <c r="AR68" s="1023">
        <v>9930.848</v>
      </c>
      <c r="AS68" s="1023">
        <v>0</v>
      </c>
      <c r="AT68" s="1024">
        <v>15348.495999999999</v>
      </c>
      <c r="AU68" s="1023">
        <v>5109.6080000000002</v>
      </c>
      <c r="AV68" s="1023">
        <v>317.50400000000002</v>
      </c>
      <c r="AW68" s="1023">
        <v>8125.2000000000007</v>
      </c>
      <c r="AX68" s="1023">
        <v>171.304</v>
      </c>
      <c r="AY68" s="1024">
        <v>13723.616000000002</v>
      </c>
      <c r="AZ68" s="1023">
        <v>4172.04</v>
      </c>
      <c r="BA68" s="1023">
        <v>176.89600000000002</v>
      </c>
      <c r="BB68" s="1023">
        <v>7959.84</v>
      </c>
      <c r="BC68" s="1023">
        <v>1492.0240000000001</v>
      </c>
      <c r="BD68" s="1024">
        <v>13800.8</v>
      </c>
      <c r="BE68" s="1023">
        <v>3850.3519999999999</v>
      </c>
      <c r="BF68" s="1033">
        <v>85.408000000000015</v>
      </c>
      <c r="BG68" s="1023">
        <v>6075.6</v>
      </c>
      <c r="BH68" s="1023">
        <v>294.19200000000001</v>
      </c>
      <c r="BI68" s="1024">
        <v>10305.552</v>
      </c>
      <c r="BJ68" s="1023">
        <v>3926.9520000000002</v>
      </c>
      <c r="BK68" s="1033">
        <v>737.048</v>
      </c>
      <c r="BL68" s="1023">
        <v>22742.400000000001</v>
      </c>
      <c r="BM68" s="1023">
        <v>1149.1599999999999</v>
      </c>
      <c r="BN68" s="1024">
        <v>28555.56</v>
      </c>
      <c r="BO68" s="1023">
        <v>3018.7840000000001</v>
      </c>
      <c r="BP68" s="1033">
        <v>427.03199999999998</v>
      </c>
      <c r="BQ68" s="1023">
        <v>6075.6</v>
      </c>
      <c r="BR68" s="1023">
        <v>617.25600000000009</v>
      </c>
      <c r="BS68" s="1024">
        <v>10138.672</v>
      </c>
      <c r="BT68" s="1023">
        <v>2507.6800000000003</v>
      </c>
      <c r="BU68" s="1023">
        <v>184.26400000000001</v>
      </c>
      <c r="BV68" s="1023">
        <v>8945.344000000001</v>
      </c>
      <c r="BW68" s="1023">
        <v>265.52800000000002</v>
      </c>
      <c r="BX68" s="1024">
        <v>11902.816000000001</v>
      </c>
      <c r="BY68" s="1023">
        <v>658.32799999999997</v>
      </c>
      <c r="BZ68" s="1033">
        <v>427.024</v>
      </c>
      <c r="CA68" s="1023">
        <v>7539.6</v>
      </c>
      <c r="CB68" s="1023">
        <v>137.27199999999999</v>
      </c>
      <c r="CC68" s="1024">
        <v>8762.224000000002</v>
      </c>
      <c r="CD68" s="1023">
        <v>1303.0640000000001</v>
      </c>
      <c r="CE68" s="1023">
        <v>832.85599999999999</v>
      </c>
      <c r="CF68" s="1023">
        <v>9930.848</v>
      </c>
      <c r="CG68" s="1023">
        <v>171.696</v>
      </c>
      <c r="CH68" s="1024">
        <v>12238.464</v>
      </c>
      <c r="CI68" s="1023">
        <v>565.28800000000001</v>
      </c>
      <c r="CJ68" s="1033">
        <v>177.928</v>
      </c>
      <c r="CK68" s="1023">
        <v>6880.8</v>
      </c>
      <c r="CL68" s="1023">
        <v>401.85599999999999</v>
      </c>
      <c r="CM68" s="1024">
        <v>8025.8720000000003</v>
      </c>
      <c r="CN68" s="1023">
        <v>1516.2080000000001</v>
      </c>
      <c r="CO68" s="1023">
        <v>0</v>
      </c>
      <c r="CP68" s="1023">
        <v>9324.384</v>
      </c>
      <c r="CQ68" s="1023">
        <v>309.78399999999999</v>
      </c>
      <c r="CR68" s="1024">
        <v>11150.376</v>
      </c>
      <c r="CS68" s="1023">
        <v>142.33599999999998</v>
      </c>
      <c r="CT68" s="1033">
        <v>0</v>
      </c>
      <c r="CU68" s="1023">
        <v>7686</v>
      </c>
      <c r="CV68" s="1023">
        <v>0</v>
      </c>
      <c r="CW68" s="1024">
        <v>7828.3360000000002</v>
      </c>
      <c r="CX68" s="1023">
        <v>1620.848</v>
      </c>
      <c r="CY68" s="1023">
        <v>221.11199999999999</v>
      </c>
      <c r="CZ68" s="1023">
        <v>10234.080000000002</v>
      </c>
      <c r="DA68" s="1023">
        <v>302.03200000000004</v>
      </c>
      <c r="DB68" s="1024">
        <v>12378.072</v>
      </c>
      <c r="DC68" s="1023">
        <v>761.53600000000006</v>
      </c>
      <c r="DD68" s="1033">
        <v>284.68</v>
      </c>
      <c r="DE68" s="1023">
        <v>5709.6</v>
      </c>
      <c r="DF68" s="1023">
        <v>222.64800000000002</v>
      </c>
      <c r="DG68" s="1024">
        <v>6978.4640000000009</v>
      </c>
      <c r="DH68" s="1023">
        <v>1972.896</v>
      </c>
      <c r="DI68" s="1033">
        <v>331.67200000000003</v>
      </c>
      <c r="DJ68" s="1023">
        <v>8187.2640000000001</v>
      </c>
      <c r="DK68" s="1023">
        <v>596.72</v>
      </c>
      <c r="DL68" s="1024">
        <v>11088.552</v>
      </c>
      <c r="DM68" s="1023">
        <v>0</v>
      </c>
      <c r="DN68" s="1033">
        <v>213.512</v>
      </c>
      <c r="DO68" s="1023">
        <v>6734.4000000000005</v>
      </c>
      <c r="DP68" s="1023">
        <v>52.104000000000006</v>
      </c>
      <c r="DQ68" s="1028">
        <v>7000.0160000000005</v>
      </c>
      <c r="DR68" s="1037">
        <v>51148.351999999999</v>
      </c>
      <c r="DS68" s="1023">
        <v>5436.76</v>
      </c>
      <c r="DT68" s="1023">
        <v>124913.32799999999</v>
      </c>
      <c r="DU68" s="1023">
        <v>5501.6080000000002</v>
      </c>
      <c r="DV68" s="1024">
        <v>187000.04800000001</v>
      </c>
      <c r="DW68" s="1023">
        <v>46032.904000000002</v>
      </c>
      <c r="DX68" s="1023">
        <v>4466.768</v>
      </c>
      <c r="DY68" s="1023">
        <v>81591.399999999994</v>
      </c>
      <c r="DZ68" s="1023">
        <v>3642.288</v>
      </c>
      <c r="EA68" s="1028">
        <v>135733.35999999999</v>
      </c>
      <c r="EB68" s="1031">
        <v>11.11259024631596</v>
      </c>
      <c r="EC68" s="1031">
        <v>21.715746150236598</v>
      </c>
      <c r="ED68" s="1031">
        <v>53.096193961618496</v>
      </c>
      <c r="EE68" s="1031">
        <v>51.048132382722088</v>
      </c>
      <c r="EF68" s="1038">
        <v>37.770145821189459</v>
      </c>
    </row>
    <row r="69" spans="1:136">
      <c r="A69" s="1016" t="s">
        <v>107</v>
      </c>
      <c r="B69" s="1023">
        <v>943700.46799999999</v>
      </c>
      <c r="C69" s="1023">
        <v>109201.9</v>
      </c>
      <c r="D69" s="1023">
        <v>494659.03200000006</v>
      </c>
      <c r="E69" s="1023">
        <v>50768.705999999998</v>
      </c>
      <c r="F69" s="1024">
        <v>1598330.1060000001</v>
      </c>
      <c r="G69" s="1023">
        <v>903739.18200000015</v>
      </c>
      <c r="H69" s="1033">
        <v>95258.128000000012</v>
      </c>
      <c r="I69" s="1023">
        <v>508008.12000000005</v>
      </c>
      <c r="J69" s="1023">
        <v>57533</v>
      </c>
      <c r="K69" s="1024">
        <v>1564538.4300000002</v>
      </c>
      <c r="L69" s="1023">
        <v>992178.1120000002</v>
      </c>
      <c r="M69" s="1023">
        <v>146972.53600000002</v>
      </c>
      <c r="N69" s="1023">
        <v>592060.48</v>
      </c>
      <c r="O69" s="1023">
        <v>45717.659999999996</v>
      </c>
      <c r="P69" s="1024">
        <v>1776928.7880000002</v>
      </c>
      <c r="Q69" s="1023">
        <v>899958.57199999993</v>
      </c>
      <c r="R69" s="1033">
        <v>111031.482</v>
      </c>
      <c r="S69" s="1023">
        <v>493807.2</v>
      </c>
      <c r="T69" s="1023">
        <v>47202.278000000006</v>
      </c>
      <c r="U69" s="1024">
        <v>1551999.5319999999</v>
      </c>
      <c r="V69" s="1023">
        <v>393052.98000000004</v>
      </c>
      <c r="W69" s="1023">
        <v>59018.842000000011</v>
      </c>
      <c r="X69" s="1023">
        <v>593500.83200000005</v>
      </c>
      <c r="Y69" s="1023">
        <v>31397.219999999998</v>
      </c>
      <c r="Z69" s="1024">
        <v>1076969.8740000001</v>
      </c>
      <c r="AA69" s="1023">
        <v>560760.68599999999</v>
      </c>
      <c r="AB69" s="1033">
        <v>81738.599999999991</v>
      </c>
      <c r="AC69" s="1023">
        <v>604119.6</v>
      </c>
      <c r="AD69" s="1023">
        <v>44921.688000000002</v>
      </c>
      <c r="AE69" s="1024">
        <v>1291540.574</v>
      </c>
      <c r="AF69" s="1023">
        <v>476371.92600000004</v>
      </c>
      <c r="AG69" s="1023">
        <v>87413</v>
      </c>
      <c r="AH69" s="1023">
        <v>669005.60000000009</v>
      </c>
      <c r="AI69" s="1023">
        <v>43909.323999999993</v>
      </c>
      <c r="AJ69" s="1024">
        <v>1276699.8500000001</v>
      </c>
      <c r="AK69" s="1023">
        <v>401018.54800000001</v>
      </c>
      <c r="AL69" s="1023">
        <v>61334.768000000004</v>
      </c>
      <c r="AM69" s="1023">
        <v>636108</v>
      </c>
      <c r="AN69" s="1023">
        <v>48835.998000000007</v>
      </c>
      <c r="AO69" s="1024">
        <v>1147297.314</v>
      </c>
      <c r="AP69" s="1023">
        <v>556637.71200000006</v>
      </c>
      <c r="AQ69" s="1023">
        <v>76737.343999999997</v>
      </c>
      <c r="AR69" s="1023">
        <v>720934.08000000007</v>
      </c>
      <c r="AS69" s="1023">
        <v>38819.968000000008</v>
      </c>
      <c r="AT69" s="1024">
        <v>1393129.1040000003</v>
      </c>
      <c r="AU69" s="1023">
        <v>440376.91200000007</v>
      </c>
      <c r="AV69" s="1023">
        <v>75051.331999999995</v>
      </c>
      <c r="AW69" s="1023">
        <v>637425.66399999999</v>
      </c>
      <c r="AX69" s="1023">
        <v>53378.047999999995</v>
      </c>
      <c r="AY69" s="1024">
        <v>1206231.956</v>
      </c>
      <c r="AZ69" s="1023">
        <v>489172.56000000006</v>
      </c>
      <c r="BA69" s="1023">
        <v>80891.104000000007</v>
      </c>
      <c r="BB69" s="1023">
        <v>591454.01600000006</v>
      </c>
      <c r="BC69" s="1023">
        <v>33245.088000000003</v>
      </c>
      <c r="BD69" s="1024">
        <v>1194762.7680000002</v>
      </c>
      <c r="BE69" s="1023">
        <v>418234.33600000001</v>
      </c>
      <c r="BF69" s="1033">
        <v>80611.14</v>
      </c>
      <c r="BG69" s="1023">
        <v>592334.64</v>
      </c>
      <c r="BH69" s="1023">
        <v>45588.224000000009</v>
      </c>
      <c r="BI69" s="1024">
        <v>1136768.3399999999</v>
      </c>
      <c r="BJ69" s="1023">
        <v>199661.19199999998</v>
      </c>
      <c r="BK69" s="1033">
        <v>35893.032000000007</v>
      </c>
      <c r="BL69" s="1023">
        <v>735868.25600000005</v>
      </c>
      <c r="BM69" s="1023">
        <v>49792.032000000007</v>
      </c>
      <c r="BN69" s="1024">
        <v>1021214.512</v>
      </c>
      <c r="BO69" s="1023">
        <v>149442.51199999999</v>
      </c>
      <c r="BP69" s="1033">
        <v>41061.112000000001</v>
      </c>
      <c r="BQ69" s="1023">
        <v>627604.36</v>
      </c>
      <c r="BR69" s="1023">
        <v>59971.182000000008</v>
      </c>
      <c r="BS69" s="1024">
        <v>878079.16599999997</v>
      </c>
      <c r="BT69" s="1023">
        <v>154037.61599999998</v>
      </c>
      <c r="BU69" s="1023">
        <v>33934.448000000004</v>
      </c>
      <c r="BV69" s="1023">
        <v>716916.25600000005</v>
      </c>
      <c r="BW69" s="1023">
        <v>40041.807999999997</v>
      </c>
      <c r="BX69" s="1024">
        <v>944930.12800000003</v>
      </c>
      <c r="BY69" s="1023">
        <v>128098.27799999999</v>
      </c>
      <c r="BZ69" s="1033">
        <v>27250.952000000005</v>
      </c>
      <c r="CA69" s="1023">
        <v>711788.52</v>
      </c>
      <c r="CB69" s="1023">
        <v>49779.261999999995</v>
      </c>
      <c r="CC69" s="1024">
        <v>916917.01199999999</v>
      </c>
      <c r="CD69" s="1023">
        <v>141081.40000000002</v>
      </c>
      <c r="CE69" s="1023">
        <v>32085.048000000003</v>
      </c>
      <c r="CF69" s="1023">
        <v>703195.00800000003</v>
      </c>
      <c r="CG69" s="1023">
        <v>34539.552000000003</v>
      </c>
      <c r="CH69" s="1024">
        <v>910901.00800000003</v>
      </c>
      <c r="CI69" s="1023">
        <v>100416.10800000001</v>
      </c>
      <c r="CJ69" s="1033">
        <v>22980.901999999998</v>
      </c>
      <c r="CK69" s="1023">
        <v>580988.4</v>
      </c>
      <c r="CL69" s="1023">
        <v>44022.076000000001</v>
      </c>
      <c r="CM69" s="1024">
        <v>748407.48600000003</v>
      </c>
      <c r="CN69" s="1023">
        <v>155975.09600000002</v>
      </c>
      <c r="CO69" s="1023">
        <v>44132.456000000006</v>
      </c>
      <c r="CP69" s="1023">
        <v>784688.60800000001</v>
      </c>
      <c r="CQ69" s="1023">
        <v>55299.271999999997</v>
      </c>
      <c r="CR69" s="1024">
        <v>1040095.432</v>
      </c>
      <c r="CS69" s="1023">
        <v>111008.04</v>
      </c>
      <c r="CT69" s="1033">
        <v>24546.7</v>
      </c>
      <c r="CU69" s="1023">
        <v>716554.8</v>
      </c>
      <c r="CV69" s="1023">
        <v>45420.98000000001</v>
      </c>
      <c r="CW69" s="1024">
        <v>897530.52</v>
      </c>
      <c r="CX69" s="1023">
        <v>124359.33600000001</v>
      </c>
      <c r="CY69" s="1023">
        <v>34328.560000000005</v>
      </c>
      <c r="CZ69" s="1023">
        <v>683030.08000000007</v>
      </c>
      <c r="DA69" s="1023">
        <v>49290.6</v>
      </c>
      <c r="DB69" s="1024">
        <v>891008.576</v>
      </c>
      <c r="DC69" s="1023">
        <v>111811.08000000002</v>
      </c>
      <c r="DD69" s="1033">
        <v>22884.14</v>
      </c>
      <c r="DE69" s="1023">
        <v>623078.40000000002</v>
      </c>
      <c r="DF69" s="1023">
        <v>46104.222000000009</v>
      </c>
      <c r="DG69" s="1024">
        <v>803877.84200000018</v>
      </c>
      <c r="DH69" s="1023">
        <v>168548.00800000003</v>
      </c>
      <c r="DI69" s="1033">
        <v>44841.976000000002</v>
      </c>
      <c r="DJ69" s="1023">
        <v>663774.84800000011</v>
      </c>
      <c r="DK69" s="1023">
        <v>64479.216000000008</v>
      </c>
      <c r="DL69" s="1024">
        <v>941644.04800000018</v>
      </c>
      <c r="DM69" s="1023">
        <v>127229.524</v>
      </c>
      <c r="DN69" s="1033">
        <v>30784.188000000002</v>
      </c>
      <c r="DO69" s="1023">
        <v>582306</v>
      </c>
      <c r="DP69" s="1023">
        <v>60398.98000000001</v>
      </c>
      <c r="DQ69" s="1028">
        <v>800718.69200000004</v>
      </c>
      <c r="DR69" s="1037">
        <v>4794776.4060000004</v>
      </c>
      <c r="DS69" s="1023">
        <v>785450.24600000004</v>
      </c>
      <c r="DT69" s="1023">
        <v>7949087.0960000008</v>
      </c>
      <c r="DU69" s="1023">
        <v>537300.446</v>
      </c>
      <c r="DV69" s="1024">
        <v>14066614.194000002</v>
      </c>
      <c r="DW69" s="1023">
        <v>4352093.7780000009</v>
      </c>
      <c r="DX69" s="1023">
        <v>674533.44400000002</v>
      </c>
      <c r="DY69" s="1023">
        <v>7314123.7040000008</v>
      </c>
      <c r="DZ69" s="1023">
        <v>603155.93800000008</v>
      </c>
      <c r="EA69" s="1028">
        <v>12943906.864000004</v>
      </c>
      <c r="EB69" s="1031">
        <v>10.171716203308321</v>
      </c>
      <c r="EC69" s="1031">
        <v>16.443484453826443</v>
      </c>
      <c r="ED69" s="1031">
        <v>8.6813324151565325</v>
      </c>
      <c r="EE69" s="1031">
        <v>-10.918485229270857</v>
      </c>
      <c r="EF69" s="1038">
        <v>8.6736357252577818</v>
      </c>
    </row>
    <row r="70" spans="1:136">
      <c r="A70" s="1016" t="s">
        <v>110</v>
      </c>
      <c r="B70" s="1023">
        <v>510582.57600000006</v>
      </c>
      <c r="C70" s="1023">
        <v>53775.328000000009</v>
      </c>
      <c r="D70" s="1023">
        <v>226567.52000000002</v>
      </c>
      <c r="E70" s="1023">
        <v>21853.216</v>
      </c>
      <c r="F70" s="1024">
        <v>812778.64000000013</v>
      </c>
      <c r="G70" s="1023">
        <v>443534.864</v>
      </c>
      <c r="H70" s="1033">
        <v>46399.372000000003</v>
      </c>
      <c r="I70" s="1023">
        <v>187545.2</v>
      </c>
      <c r="J70" s="1023">
        <v>20140.967999999997</v>
      </c>
      <c r="K70" s="1024">
        <v>697620.40399999998</v>
      </c>
      <c r="L70" s="1023">
        <v>653163.95200000005</v>
      </c>
      <c r="M70" s="1023">
        <v>94472.088000000003</v>
      </c>
      <c r="N70" s="1023">
        <v>336284.288</v>
      </c>
      <c r="O70" s="1023">
        <v>17930.16</v>
      </c>
      <c r="P70" s="1024">
        <v>1101850.4879999999</v>
      </c>
      <c r="Q70" s="1023">
        <v>540665.31800000009</v>
      </c>
      <c r="R70" s="1033">
        <v>86635.343999999997</v>
      </c>
      <c r="S70" s="1023">
        <v>271201.80800000002</v>
      </c>
      <c r="T70" s="1023">
        <v>19456.905999999999</v>
      </c>
      <c r="U70" s="1024">
        <v>917959.37600000016</v>
      </c>
      <c r="V70" s="1023">
        <v>272297.43200000003</v>
      </c>
      <c r="W70" s="1023">
        <v>39750.456000000006</v>
      </c>
      <c r="X70" s="1023">
        <v>369488.19200000004</v>
      </c>
      <c r="Y70" s="1023">
        <v>15609.272000000001</v>
      </c>
      <c r="Z70" s="1024">
        <v>697145.35200000007</v>
      </c>
      <c r="AA70" s="1023">
        <v>361165.58800000005</v>
      </c>
      <c r="AB70" s="1033">
        <v>38980.908000000003</v>
      </c>
      <c r="AC70" s="1023">
        <v>335817.60000000003</v>
      </c>
      <c r="AD70" s="1023">
        <v>16399.416000000001</v>
      </c>
      <c r="AE70" s="1024">
        <v>752363.5120000001</v>
      </c>
      <c r="AF70" s="1023">
        <v>277453.52</v>
      </c>
      <c r="AG70" s="1023">
        <v>39824.616000000009</v>
      </c>
      <c r="AH70" s="1023">
        <v>393822.56000000006</v>
      </c>
      <c r="AI70" s="1023">
        <v>12963.072</v>
      </c>
      <c r="AJ70" s="1024">
        <v>724063.76800000016</v>
      </c>
      <c r="AK70" s="1023">
        <v>243609.31399999998</v>
      </c>
      <c r="AL70" s="1023">
        <v>35592.111999999994</v>
      </c>
      <c r="AM70" s="1023">
        <v>337915.2</v>
      </c>
      <c r="AN70" s="1023">
        <v>15749.306</v>
      </c>
      <c r="AO70" s="1024">
        <v>632865.93199999991</v>
      </c>
      <c r="AP70" s="1023">
        <v>342645.20799999998</v>
      </c>
      <c r="AQ70" s="1023">
        <v>47436.351999999999</v>
      </c>
      <c r="AR70" s="1023">
        <v>413608.44800000003</v>
      </c>
      <c r="AS70" s="1023">
        <v>15234.776</v>
      </c>
      <c r="AT70" s="1024">
        <v>818924.78399999999</v>
      </c>
      <c r="AU70" s="1023">
        <v>254904.68800000002</v>
      </c>
      <c r="AV70" s="1023">
        <v>36258.54</v>
      </c>
      <c r="AW70" s="1023">
        <v>336133</v>
      </c>
      <c r="AX70" s="1023">
        <v>12835.091999999999</v>
      </c>
      <c r="AY70" s="1024">
        <v>640131.31999999995</v>
      </c>
      <c r="AZ70" s="1023">
        <v>311830.96000000002</v>
      </c>
      <c r="BA70" s="1023">
        <v>44569.64</v>
      </c>
      <c r="BB70" s="1023">
        <v>346821.60000000003</v>
      </c>
      <c r="BC70" s="1023">
        <v>15471.264000000003</v>
      </c>
      <c r="BD70" s="1024">
        <v>718693.46400000004</v>
      </c>
      <c r="BE70" s="1023">
        <v>260396.60800000004</v>
      </c>
      <c r="BF70" s="1033">
        <v>44349.232000000011</v>
      </c>
      <c r="BG70" s="1023">
        <v>326691.60000000003</v>
      </c>
      <c r="BH70" s="1023">
        <v>15350.556</v>
      </c>
      <c r="BI70" s="1024">
        <v>646787.99600000004</v>
      </c>
      <c r="BJ70" s="1023">
        <v>94839.256000000008</v>
      </c>
      <c r="BK70" s="1033">
        <v>14894.16</v>
      </c>
      <c r="BL70" s="1023">
        <v>409363.20000000001</v>
      </c>
      <c r="BM70" s="1023">
        <v>15805.152000000002</v>
      </c>
      <c r="BN70" s="1024">
        <v>534901.76800000004</v>
      </c>
      <c r="BO70" s="1023">
        <v>62561.265999999996</v>
      </c>
      <c r="BP70" s="1033">
        <v>16205.756000000001</v>
      </c>
      <c r="BQ70" s="1023">
        <v>351872.4</v>
      </c>
      <c r="BR70" s="1023">
        <v>16765.024000000001</v>
      </c>
      <c r="BS70" s="1024">
        <v>447404.446</v>
      </c>
      <c r="BT70" s="1023">
        <v>80948.84</v>
      </c>
      <c r="BU70" s="1023">
        <v>16702.240000000002</v>
      </c>
      <c r="BV70" s="1023">
        <v>404663.10400000005</v>
      </c>
      <c r="BW70" s="1023">
        <v>19369.936000000002</v>
      </c>
      <c r="BX70" s="1024">
        <v>521684.12000000005</v>
      </c>
      <c r="BY70" s="1023">
        <v>59899.324000000001</v>
      </c>
      <c r="BZ70" s="1033">
        <v>17640.008000000002</v>
      </c>
      <c r="CA70" s="1023">
        <v>386130</v>
      </c>
      <c r="CB70" s="1023">
        <v>16548.816000000003</v>
      </c>
      <c r="CC70" s="1024">
        <v>480218.14799999999</v>
      </c>
      <c r="CD70" s="1023">
        <v>67726.384000000005</v>
      </c>
      <c r="CE70" s="1023">
        <v>15571.495999999999</v>
      </c>
      <c r="CF70" s="1023">
        <v>408605.12000000005</v>
      </c>
      <c r="CG70" s="1023">
        <v>14885.28</v>
      </c>
      <c r="CH70" s="1024">
        <v>506788.28000000009</v>
      </c>
      <c r="CI70" s="1023">
        <v>44658.212</v>
      </c>
      <c r="CJ70" s="1033">
        <v>13371.616000000002</v>
      </c>
      <c r="CK70" s="1023">
        <v>335905.4</v>
      </c>
      <c r="CL70" s="1023">
        <v>15288.250000000002</v>
      </c>
      <c r="CM70" s="1024">
        <v>409223.478</v>
      </c>
      <c r="CN70" s="1023">
        <v>81013.032000000007</v>
      </c>
      <c r="CO70" s="1023">
        <v>14771.736000000001</v>
      </c>
      <c r="CP70" s="1023">
        <v>428694.24000000005</v>
      </c>
      <c r="CQ70" s="1023">
        <v>22070.896000000001</v>
      </c>
      <c r="CR70" s="1024">
        <v>546549.90399999998</v>
      </c>
      <c r="CS70" s="1023">
        <v>60491.144</v>
      </c>
      <c r="CT70" s="1033">
        <v>8462.7839999999997</v>
      </c>
      <c r="CU70" s="1023">
        <v>386203.2</v>
      </c>
      <c r="CV70" s="1023">
        <v>17310.664000000004</v>
      </c>
      <c r="CW70" s="1024">
        <v>472467.79200000002</v>
      </c>
      <c r="CX70" s="1023">
        <v>47662.544000000002</v>
      </c>
      <c r="CY70" s="1023">
        <v>9878.44</v>
      </c>
      <c r="CZ70" s="1023">
        <v>385786.91200000001</v>
      </c>
      <c r="DA70" s="1023">
        <v>15659.528</v>
      </c>
      <c r="DB70" s="1024">
        <v>458987.424</v>
      </c>
      <c r="DC70" s="1023">
        <v>45592.336000000003</v>
      </c>
      <c r="DD70" s="1033">
        <v>9638.4639999999999</v>
      </c>
      <c r="DE70" s="1023">
        <v>328960.80000000005</v>
      </c>
      <c r="DF70" s="1023">
        <v>16953.552</v>
      </c>
      <c r="DG70" s="1024">
        <v>401145.15200000006</v>
      </c>
      <c r="DH70" s="1023">
        <v>64456.736000000004</v>
      </c>
      <c r="DI70" s="1033">
        <v>12913.184000000001</v>
      </c>
      <c r="DJ70" s="1023">
        <v>364712.288</v>
      </c>
      <c r="DK70" s="1023">
        <v>22824.864000000005</v>
      </c>
      <c r="DL70" s="1024">
        <v>464907.07199999999</v>
      </c>
      <c r="DM70" s="1023">
        <v>50729.896000000001</v>
      </c>
      <c r="DN70" s="1033">
        <v>8239.0400000000009</v>
      </c>
      <c r="DO70" s="1023">
        <v>345357.60000000003</v>
      </c>
      <c r="DP70" s="1023">
        <v>19605.975999999999</v>
      </c>
      <c r="DQ70" s="1028">
        <v>423932.51200000005</v>
      </c>
      <c r="DR70" s="1037">
        <v>2804620.4400000004</v>
      </c>
      <c r="DS70" s="1023">
        <v>404559.73599999998</v>
      </c>
      <c r="DT70" s="1023">
        <v>4488417.472000001</v>
      </c>
      <c r="DU70" s="1023">
        <v>209677.416</v>
      </c>
      <c r="DV70" s="1024">
        <v>7907275.0640000021</v>
      </c>
      <c r="DW70" s="1023">
        <v>2428208.5580000002</v>
      </c>
      <c r="DX70" s="1023">
        <v>361773.17599999992</v>
      </c>
      <c r="DY70" s="1023">
        <v>3929733.8080000007</v>
      </c>
      <c r="DZ70" s="1023">
        <v>202404.52600000001</v>
      </c>
      <c r="EA70" s="1028">
        <v>6922120.0680000009</v>
      </c>
      <c r="EB70" s="1031">
        <v>15.501628999694844</v>
      </c>
      <c r="EC70" s="1031">
        <v>11.826902279786509</v>
      </c>
      <c r="ED70" s="1031">
        <v>14.216832266415949</v>
      </c>
      <c r="EE70" s="1031">
        <v>3.5932447478965912</v>
      </c>
      <c r="EF70" s="1038">
        <v>14.231983645505309</v>
      </c>
    </row>
    <row r="71" spans="1:136">
      <c r="A71" s="1016" t="s">
        <v>112</v>
      </c>
      <c r="B71" s="1023">
        <v>51984.864000000001</v>
      </c>
      <c r="C71" s="1023">
        <v>8344.0480000000007</v>
      </c>
      <c r="D71" s="1023">
        <v>35138.576000000001</v>
      </c>
      <c r="E71" s="1023">
        <v>3455.4320000000007</v>
      </c>
      <c r="F71" s="1024">
        <v>98922.920000000013</v>
      </c>
      <c r="G71" s="1023">
        <v>56070.432000000008</v>
      </c>
      <c r="H71" s="1033">
        <v>8027.3919999999998</v>
      </c>
      <c r="I71" s="1023">
        <v>33908.959999999999</v>
      </c>
      <c r="J71" s="1023">
        <v>6579.37</v>
      </c>
      <c r="K71" s="1024">
        <v>104586.15400000001</v>
      </c>
      <c r="L71" s="1023">
        <v>82033.416000000012</v>
      </c>
      <c r="M71" s="1023">
        <v>8289.7520000000004</v>
      </c>
      <c r="N71" s="1023">
        <v>44120.256000000001</v>
      </c>
      <c r="O71" s="1023">
        <v>4697.2960000000003</v>
      </c>
      <c r="P71" s="1024">
        <v>139140.72</v>
      </c>
      <c r="Q71" s="1023">
        <v>56921.962000000007</v>
      </c>
      <c r="R71" s="1033">
        <v>4049.8559999999998</v>
      </c>
      <c r="S71" s="1023">
        <v>37771.200000000004</v>
      </c>
      <c r="T71" s="1023">
        <v>3630.648000000001</v>
      </c>
      <c r="U71" s="1024">
        <v>102373.66600000001</v>
      </c>
      <c r="V71" s="1023">
        <v>38759.648000000001</v>
      </c>
      <c r="W71" s="1023">
        <v>2219.4639999999999</v>
      </c>
      <c r="X71" s="1023">
        <v>35553.952000000005</v>
      </c>
      <c r="Y71" s="1023">
        <v>4276.0560000000005</v>
      </c>
      <c r="Z71" s="1024">
        <v>80809.12000000001</v>
      </c>
      <c r="AA71" s="1023">
        <v>47009.94</v>
      </c>
      <c r="AB71" s="1033">
        <v>6777.8720000000003</v>
      </c>
      <c r="AC71" s="1023">
        <v>45237.600000000006</v>
      </c>
      <c r="AD71" s="1023">
        <v>4846.7879999999996</v>
      </c>
      <c r="AE71" s="1024">
        <v>103872.20000000001</v>
      </c>
      <c r="AF71" s="1023">
        <v>39160.896000000001</v>
      </c>
      <c r="AG71" s="1023">
        <v>3703.1440000000002</v>
      </c>
      <c r="AH71" s="1023">
        <v>42376.671999999999</v>
      </c>
      <c r="AI71" s="1023">
        <v>4167.6480000000001</v>
      </c>
      <c r="AJ71" s="1024">
        <v>89408.36</v>
      </c>
      <c r="AK71" s="1023">
        <v>24980.800000000003</v>
      </c>
      <c r="AL71" s="1023">
        <v>3135.0320000000002</v>
      </c>
      <c r="AM71" s="1023">
        <v>47799.600000000006</v>
      </c>
      <c r="AN71" s="1023">
        <v>2484.8620000000005</v>
      </c>
      <c r="AO71" s="1024">
        <v>78400.293999999994</v>
      </c>
      <c r="AP71" s="1023">
        <v>44922.296000000002</v>
      </c>
      <c r="AQ71" s="1023">
        <v>2305.576</v>
      </c>
      <c r="AR71" s="1023">
        <v>52534.943999999996</v>
      </c>
      <c r="AS71" s="1023">
        <v>3257.6080000000006</v>
      </c>
      <c r="AT71" s="1024">
        <v>103020.424</v>
      </c>
      <c r="AU71" s="1023">
        <v>28980.052</v>
      </c>
      <c r="AV71" s="1023">
        <v>3438.5120000000002</v>
      </c>
      <c r="AW71" s="1023">
        <v>44066.400000000001</v>
      </c>
      <c r="AX71" s="1023">
        <v>1882.6380000000001</v>
      </c>
      <c r="AY71" s="1024">
        <v>78367.602000000014</v>
      </c>
      <c r="AZ71" s="1023">
        <v>44955.928</v>
      </c>
      <c r="BA71" s="1023">
        <v>5422.3200000000006</v>
      </c>
      <c r="BB71" s="1023">
        <v>40254.048000000003</v>
      </c>
      <c r="BC71" s="1023">
        <v>3608.2080000000001</v>
      </c>
      <c r="BD71" s="1024">
        <v>94240.504000000001</v>
      </c>
      <c r="BE71" s="1023">
        <v>33494.114000000001</v>
      </c>
      <c r="BF71" s="1033">
        <v>2335.0160000000001</v>
      </c>
      <c r="BG71" s="1023">
        <v>40186.800000000003</v>
      </c>
      <c r="BH71" s="1023">
        <v>3371.9839999999999</v>
      </c>
      <c r="BI71" s="1024">
        <v>79387.914000000004</v>
      </c>
      <c r="BJ71" s="1023">
        <v>18295.32</v>
      </c>
      <c r="BK71" s="1033">
        <v>2314.7919999999999</v>
      </c>
      <c r="BL71" s="1023">
        <v>44120.256000000001</v>
      </c>
      <c r="BM71" s="1023">
        <v>3954.3120000000008</v>
      </c>
      <c r="BN71" s="1024">
        <v>68684.680000000008</v>
      </c>
      <c r="BO71" s="1023">
        <v>13576.602000000001</v>
      </c>
      <c r="BP71" s="1033">
        <v>838.19200000000012</v>
      </c>
      <c r="BQ71" s="1023">
        <v>45237.600000000006</v>
      </c>
      <c r="BR71" s="1023">
        <v>3916.08</v>
      </c>
      <c r="BS71" s="1024">
        <v>63568.474000000009</v>
      </c>
      <c r="BT71" s="1023">
        <v>12089.328000000001</v>
      </c>
      <c r="BU71" s="1023">
        <v>1679.28</v>
      </c>
      <c r="BV71" s="1023">
        <v>48289.696000000004</v>
      </c>
      <c r="BW71" s="1023">
        <v>2840.6480000000001</v>
      </c>
      <c r="BX71" s="1024">
        <v>64898.952000000005</v>
      </c>
      <c r="BY71" s="1023">
        <v>10001.608</v>
      </c>
      <c r="BZ71" s="1033">
        <v>1597.8</v>
      </c>
      <c r="CA71" s="1023">
        <v>48897.600000000006</v>
      </c>
      <c r="CB71" s="1023">
        <v>1969.6820000000002</v>
      </c>
      <c r="CC71" s="1024">
        <v>62466.69</v>
      </c>
      <c r="CD71" s="1023">
        <v>13100.560000000001</v>
      </c>
      <c r="CE71" s="1023">
        <v>1149.5280000000002</v>
      </c>
      <c r="CF71" s="1023">
        <v>46470.304000000004</v>
      </c>
      <c r="CG71" s="1023">
        <v>2385.808</v>
      </c>
      <c r="CH71" s="1024">
        <v>63106.200000000004</v>
      </c>
      <c r="CI71" s="1023">
        <v>9393.2080000000005</v>
      </c>
      <c r="CJ71" s="1033">
        <v>587.17599999999993</v>
      </c>
      <c r="CK71" s="1023">
        <v>42456</v>
      </c>
      <c r="CL71" s="1023">
        <v>2045.3059999999998</v>
      </c>
      <c r="CM71" s="1024">
        <v>54481.689999999995</v>
      </c>
      <c r="CN71" s="1023">
        <v>12590.400000000001</v>
      </c>
      <c r="CO71" s="1023">
        <v>1401.9839999999999</v>
      </c>
      <c r="CP71" s="1023">
        <v>44726.720000000001</v>
      </c>
      <c r="CQ71" s="1023">
        <v>4246.2480000000005</v>
      </c>
      <c r="CR71" s="1024">
        <v>62965.352000000006</v>
      </c>
      <c r="CS71" s="1023">
        <v>9793.4239999999991</v>
      </c>
      <c r="CT71" s="1033">
        <v>1422.1279999999999</v>
      </c>
      <c r="CU71" s="1023">
        <v>43700.4</v>
      </c>
      <c r="CV71" s="1023">
        <v>4152.01</v>
      </c>
      <c r="CW71" s="1024">
        <v>59067.962000000007</v>
      </c>
      <c r="CX71" s="1023">
        <v>9776.0879999999997</v>
      </c>
      <c r="CY71" s="1023">
        <v>1690.3280000000002</v>
      </c>
      <c r="CZ71" s="1023">
        <v>39420.160000000003</v>
      </c>
      <c r="DA71" s="1023">
        <v>3459.5600000000004</v>
      </c>
      <c r="DB71" s="1024">
        <v>54346.135999999999</v>
      </c>
      <c r="DC71" s="1023">
        <v>6819.1040000000003</v>
      </c>
      <c r="DD71" s="1033">
        <v>1773.0880000000002</v>
      </c>
      <c r="DE71" s="1023">
        <v>35794.800000000003</v>
      </c>
      <c r="DF71" s="1023">
        <v>3248.0800000000004</v>
      </c>
      <c r="DG71" s="1024">
        <v>47635.072000000007</v>
      </c>
      <c r="DH71" s="1023">
        <v>12702.112000000001</v>
      </c>
      <c r="DI71" s="1033">
        <v>681.50400000000002</v>
      </c>
      <c r="DJ71" s="1023">
        <v>40329.856</v>
      </c>
      <c r="DK71" s="1023">
        <v>3617.7840000000001</v>
      </c>
      <c r="DL71" s="1024">
        <v>57331.256000000001</v>
      </c>
      <c r="DM71" s="1023">
        <v>8608.52</v>
      </c>
      <c r="DN71" s="1033">
        <v>340.00800000000004</v>
      </c>
      <c r="DO71" s="1023">
        <v>36746.400000000001</v>
      </c>
      <c r="DP71" s="1023">
        <v>2914.328</v>
      </c>
      <c r="DQ71" s="1028">
        <v>48609.256000000001</v>
      </c>
      <c r="DR71" s="1037">
        <v>380370.85600000003</v>
      </c>
      <c r="DS71" s="1023">
        <v>39201.72</v>
      </c>
      <c r="DT71" s="1023">
        <v>513335.44000000006</v>
      </c>
      <c r="DU71" s="1023">
        <v>43966.608</v>
      </c>
      <c r="DV71" s="1024">
        <v>976874.62400000007</v>
      </c>
      <c r="DW71" s="1023">
        <v>305649.766</v>
      </c>
      <c r="DX71" s="1023">
        <v>34322.072</v>
      </c>
      <c r="DY71" s="1023">
        <v>501803.36000000004</v>
      </c>
      <c r="DZ71" s="1023">
        <v>41041.776000000005</v>
      </c>
      <c r="EA71" s="1028">
        <v>882816.97400000005</v>
      </c>
      <c r="EB71" s="1031">
        <v>24.446637397392948</v>
      </c>
      <c r="EC71" s="1031">
        <v>14.217230241810583</v>
      </c>
      <c r="ED71" s="1031">
        <v>2.2981272983106464</v>
      </c>
      <c r="EE71" s="1031">
        <v>7.1264752285573394</v>
      </c>
      <c r="EF71" s="1038">
        <v>10.654263881428278</v>
      </c>
    </row>
    <row r="72" spans="1:136">
      <c r="A72" s="1016" t="s">
        <v>111</v>
      </c>
      <c r="B72" s="1023">
        <v>3435041.852</v>
      </c>
      <c r="C72" s="1023">
        <v>345179.19800000003</v>
      </c>
      <c r="D72" s="1023">
        <v>1587301.6320000002</v>
      </c>
      <c r="E72" s="1023">
        <v>162710.04800000001</v>
      </c>
      <c r="F72" s="1024">
        <v>5530232.7300000004</v>
      </c>
      <c r="G72" s="1023">
        <v>4659009.0540000005</v>
      </c>
      <c r="H72" s="1033">
        <v>570718.86199999996</v>
      </c>
      <c r="I72" s="1023">
        <v>1544693.5360000001</v>
      </c>
      <c r="J72" s="1023">
        <v>298156.21399999992</v>
      </c>
      <c r="K72" s="1024">
        <v>7072577.6660000002</v>
      </c>
      <c r="L72" s="1023">
        <v>3268748.0960000004</v>
      </c>
      <c r="M72" s="1023">
        <v>489062.82400000002</v>
      </c>
      <c r="N72" s="1023">
        <v>1947431.7120000003</v>
      </c>
      <c r="O72" s="1023">
        <v>143333.80199999997</v>
      </c>
      <c r="P72" s="1024">
        <v>5848576.4340000013</v>
      </c>
      <c r="Q72" s="1023">
        <v>2921229.5220000003</v>
      </c>
      <c r="R72" s="1033">
        <v>327895.96399999998</v>
      </c>
      <c r="S72" s="1023">
        <v>1598692.08</v>
      </c>
      <c r="T72" s="1023">
        <v>186511.69800000003</v>
      </c>
      <c r="U72" s="1024">
        <v>5034329.2640000004</v>
      </c>
      <c r="V72" s="1023">
        <v>1393845.216</v>
      </c>
      <c r="W72" s="1023">
        <v>175153.96800000002</v>
      </c>
      <c r="X72" s="1023">
        <v>1963954.64</v>
      </c>
      <c r="Y72" s="1023">
        <v>107251.92800000001</v>
      </c>
      <c r="Z72" s="1024">
        <v>3640205.7519999999</v>
      </c>
      <c r="AA72" s="1023">
        <v>678561.34600000002</v>
      </c>
      <c r="AB72" s="1033">
        <v>63956.909999999996</v>
      </c>
      <c r="AC72" s="1023">
        <v>2130638.8319999999</v>
      </c>
      <c r="AD72" s="1023">
        <v>104445.86600000001</v>
      </c>
      <c r="AE72" s="1024">
        <v>2977602.9539999999</v>
      </c>
      <c r="AF72" s="1023">
        <v>1563323.672</v>
      </c>
      <c r="AG72" s="1023">
        <v>181619.74400000001</v>
      </c>
      <c r="AH72" s="1023">
        <v>2277499.7440000004</v>
      </c>
      <c r="AI72" s="1023">
        <v>124562.41240000002</v>
      </c>
      <c r="AJ72" s="1024">
        <v>4147005.5723999999</v>
      </c>
      <c r="AK72" s="1023">
        <v>1896509.5919999999</v>
      </c>
      <c r="AL72" s="1023">
        <v>238698.02599999998</v>
      </c>
      <c r="AM72" s="1023">
        <v>2119184</v>
      </c>
      <c r="AN72" s="1023">
        <v>192200.29</v>
      </c>
      <c r="AO72" s="1024">
        <v>4446591.9079999998</v>
      </c>
      <c r="AP72" s="1023">
        <v>1908792.6320000002</v>
      </c>
      <c r="AQ72" s="1023">
        <v>207353.592</v>
      </c>
      <c r="AR72" s="1023">
        <v>2480130.4960000003</v>
      </c>
      <c r="AS72" s="1023">
        <v>131946.22000000003</v>
      </c>
      <c r="AT72" s="1024">
        <v>4728222.9400000004</v>
      </c>
      <c r="AU72" s="1023">
        <v>1344527.4680000001</v>
      </c>
      <c r="AV72" s="1023">
        <v>178789.88799999998</v>
      </c>
      <c r="AW72" s="1023">
        <v>2133573.6399999997</v>
      </c>
      <c r="AX72" s="1023">
        <v>117367.82399999999</v>
      </c>
      <c r="AY72" s="1024">
        <v>3774258.82</v>
      </c>
      <c r="AZ72" s="1023">
        <v>1482304.1520000002</v>
      </c>
      <c r="BA72" s="1023">
        <v>180189.52000000002</v>
      </c>
      <c r="BB72" s="1023">
        <v>2000042.4640000002</v>
      </c>
      <c r="BC72" s="1023">
        <v>117204.36599999998</v>
      </c>
      <c r="BD72" s="1024">
        <v>3779740.5020000003</v>
      </c>
      <c r="BE72" s="1023">
        <v>971597.98000000021</v>
      </c>
      <c r="BF72" s="1033">
        <v>129838.01200000002</v>
      </c>
      <c r="BG72" s="1023">
        <v>1912043.6239999998</v>
      </c>
      <c r="BH72" s="1023">
        <v>133644.85999999999</v>
      </c>
      <c r="BI72" s="1024">
        <v>3147124.4760000003</v>
      </c>
      <c r="BJ72" s="1023">
        <v>1148824.672</v>
      </c>
      <c r="BK72" s="1033">
        <v>163279.592</v>
      </c>
      <c r="BL72" s="1023">
        <v>2327836.2560000001</v>
      </c>
      <c r="BM72" s="1023">
        <v>292292.90000000002</v>
      </c>
      <c r="BN72" s="1024">
        <v>3932233.42</v>
      </c>
      <c r="BO72" s="1023">
        <v>498048.82000000007</v>
      </c>
      <c r="BP72" s="1033">
        <v>63697.450000000004</v>
      </c>
      <c r="BQ72" s="1023">
        <v>2033598.4800000002</v>
      </c>
      <c r="BR72" s="1023">
        <v>156527.84600000002</v>
      </c>
      <c r="BS72" s="1024">
        <v>2751872.5959999999</v>
      </c>
      <c r="BT72" s="1023">
        <v>1032362.704</v>
      </c>
      <c r="BU72" s="1023">
        <v>176234.85599999997</v>
      </c>
      <c r="BV72" s="1023">
        <v>2392197.2480000001</v>
      </c>
      <c r="BW72" s="1023">
        <v>287944.652</v>
      </c>
      <c r="BX72" s="1024">
        <v>3888739.46</v>
      </c>
      <c r="BY72" s="1023">
        <v>441923.49800000002</v>
      </c>
      <c r="BZ72" s="1033">
        <v>57225.244000000006</v>
      </c>
      <c r="CA72" s="1023">
        <v>2340438.2000000002</v>
      </c>
      <c r="CB72" s="1023">
        <v>146037.46</v>
      </c>
      <c r="CC72" s="1024">
        <v>2985624.4020000002</v>
      </c>
      <c r="CD72" s="1023">
        <v>837569.80799999996</v>
      </c>
      <c r="CE72" s="1023">
        <v>137997.272</v>
      </c>
      <c r="CF72" s="1023">
        <v>2278409.44</v>
      </c>
      <c r="CG72" s="1023">
        <v>243094.64800000004</v>
      </c>
      <c r="CH72" s="1024">
        <v>3497071.1680000001</v>
      </c>
      <c r="CI72" s="1023">
        <v>352731.902</v>
      </c>
      <c r="CJ72" s="1033">
        <v>45784.208000000006</v>
      </c>
      <c r="CK72" s="1023">
        <v>1921763.4160000002</v>
      </c>
      <c r="CL72" s="1023">
        <v>121277.60999999999</v>
      </c>
      <c r="CM72" s="1024">
        <v>2441557.1359999999</v>
      </c>
      <c r="CN72" s="1023">
        <v>812434.18400000012</v>
      </c>
      <c r="CO72" s="1023">
        <v>126494.77600000001</v>
      </c>
      <c r="CP72" s="1023">
        <v>2411300.8640000001</v>
      </c>
      <c r="CQ72" s="1023">
        <v>271763.88199999998</v>
      </c>
      <c r="CR72" s="1024">
        <v>3621993.7060000002</v>
      </c>
      <c r="CS72" s="1023">
        <v>435285.35200000001</v>
      </c>
      <c r="CT72" s="1033">
        <v>54630.97</v>
      </c>
      <c r="CU72" s="1023">
        <v>2094618.0559999999</v>
      </c>
      <c r="CV72" s="1023">
        <v>167109.21200000006</v>
      </c>
      <c r="CW72" s="1024">
        <v>2751643.59</v>
      </c>
      <c r="CX72" s="1023">
        <v>722146.76800000004</v>
      </c>
      <c r="CY72" s="1023">
        <v>120155.152</v>
      </c>
      <c r="CZ72" s="1023">
        <v>1986851.872</v>
      </c>
      <c r="DA72" s="1023">
        <v>239727.50400000002</v>
      </c>
      <c r="DB72" s="1024">
        <v>3068881.2960000001</v>
      </c>
      <c r="DC72" s="1023">
        <v>342166.10400000005</v>
      </c>
      <c r="DD72" s="1033">
        <v>49571.500000000007</v>
      </c>
      <c r="DE72" s="1023">
        <v>1737694.8</v>
      </c>
      <c r="DF72" s="1023">
        <v>140036.96400000004</v>
      </c>
      <c r="DG72" s="1024">
        <v>2269469.3680000002</v>
      </c>
      <c r="DH72" s="1023">
        <v>902822.10400000005</v>
      </c>
      <c r="DI72" s="1033">
        <v>133409.704</v>
      </c>
      <c r="DJ72" s="1023">
        <v>1860025.088</v>
      </c>
      <c r="DK72" s="1023">
        <v>306225.80600000004</v>
      </c>
      <c r="DL72" s="1024">
        <v>3202482.702</v>
      </c>
      <c r="DM72" s="1023">
        <v>439844.20000000007</v>
      </c>
      <c r="DN72" s="1033">
        <v>46513.228000000003</v>
      </c>
      <c r="DO72" s="1023">
        <v>1654711.0960000001</v>
      </c>
      <c r="DP72" s="1023">
        <v>179310.69200000004</v>
      </c>
      <c r="DQ72" s="1028">
        <v>2320379.216</v>
      </c>
      <c r="DR72" s="1037">
        <v>18508215.859999999</v>
      </c>
      <c r="DS72" s="1023">
        <v>2436130.1979999999</v>
      </c>
      <c r="DT72" s="1023">
        <v>25512981.456</v>
      </c>
      <c r="DU72" s="1023">
        <v>2428058.1683999998</v>
      </c>
      <c r="DV72" s="1024">
        <v>48885385.682399996</v>
      </c>
      <c r="DW72" s="1023">
        <v>14981434.838000001</v>
      </c>
      <c r="DX72" s="1023">
        <v>1827320.2620000001</v>
      </c>
      <c r="DY72" s="1023">
        <v>23221649.760000002</v>
      </c>
      <c r="DZ72" s="1023">
        <v>1942626.5360000001</v>
      </c>
      <c r="EA72" s="1028">
        <v>41973031.395999998</v>
      </c>
      <c r="EB72" s="1031">
        <v>23.541009657195275</v>
      </c>
      <c r="EC72" s="1031">
        <v>33.317089984743973</v>
      </c>
      <c r="ED72" s="1031">
        <v>9.8672218368691631</v>
      </c>
      <c r="EE72" s="1031">
        <v>24.988417660531724</v>
      </c>
      <c r="EF72" s="1038">
        <v>16.468561017631771</v>
      </c>
    </row>
    <row r="73" spans="1:136">
      <c r="A73" s="1016" t="s">
        <v>113</v>
      </c>
      <c r="B73" s="1023">
        <v>25121.664000000001</v>
      </c>
      <c r="C73" s="1023">
        <v>5634.6640000000007</v>
      </c>
      <c r="D73" s="1023">
        <v>16575.871999999999</v>
      </c>
      <c r="E73" s="1023">
        <v>3795.2560000000003</v>
      </c>
      <c r="F73" s="1024">
        <v>51127.455999999998</v>
      </c>
      <c r="G73" s="1023">
        <v>17411.076000000001</v>
      </c>
      <c r="H73" s="1033">
        <v>1908.56</v>
      </c>
      <c r="I73" s="1023">
        <v>23673.4</v>
      </c>
      <c r="J73" s="1023">
        <v>1343.7440000000001</v>
      </c>
      <c r="K73" s="1024">
        <v>44336.780000000006</v>
      </c>
      <c r="L73" s="1023">
        <v>34164.063999999998</v>
      </c>
      <c r="M73" s="1023">
        <v>4026.192</v>
      </c>
      <c r="N73" s="1023">
        <v>27669.920000000002</v>
      </c>
      <c r="O73" s="1023">
        <v>3528.3280000000004</v>
      </c>
      <c r="P73" s="1024">
        <v>69388.504000000001</v>
      </c>
      <c r="Q73" s="1023">
        <v>28235.780000000002</v>
      </c>
      <c r="R73" s="1033">
        <v>4460.6080000000002</v>
      </c>
      <c r="S73" s="1023">
        <v>25766.400000000001</v>
      </c>
      <c r="T73" s="1023">
        <v>1696.7220000000002</v>
      </c>
      <c r="U73" s="1024">
        <v>60159.51</v>
      </c>
      <c r="V73" s="1023">
        <v>18755.240000000002</v>
      </c>
      <c r="W73" s="1023">
        <v>4734.2160000000003</v>
      </c>
      <c r="X73" s="1023">
        <v>28048.959999999999</v>
      </c>
      <c r="Y73" s="1023">
        <v>2755.5600000000004</v>
      </c>
      <c r="Z73" s="1024">
        <v>54293.975999999995</v>
      </c>
      <c r="AA73" s="1023">
        <v>30542.964000000004</v>
      </c>
      <c r="AB73" s="1033">
        <v>2940.6640000000002</v>
      </c>
      <c r="AC73" s="1023">
        <v>31988.400000000001</v>
      </c>
      <c r="AD73" s="1023">
        <v>1105.944</v>
      </c>
      <c r="AE73" s="1024">
        <v>66577.972000000009</v>
      </c>
      <c r="AF73" s="1023">
        <v>23770.608</v>
      </c>
      <c r="AG73" s="1023">
        <v>3811.0240000000003</v>
      </c>
      <c r="AH73" s="1023">
        <v>26229.567999999999</v>
      </c>
      <c r="AI73" s="1023">
        <v>2593.2080000000001</v>
      </c>
      <c r="AJ73" s="1024">
        <v>56404.407999999996</v>
      </c>
      <c r="AK73" s="1023">
        <v>18430.712000000003</v>
      </c>
      <c r="AL73" s="1023">
        <v>1712.8160000000003</v>
      </c>
      <c r="AM73" s="1023">
        <v>32866.800000000003</v>
      </c>
      <c r="AN73" s="1023">
        <v>1401.5320000000002</v>
      </c>
      <c r="AO73" s="1024">
        <v>54411.860000000008</v>
      </c>
      <c r="AP73" s="1023">
        <v>31542.216</v>
      </c>
      <c r="AQ73" s="1023">
        <v>3240.2080000000001</v>
      </c>
      <c r="AR73" s="1023">
        <v>36387.840000000004</v>
      </c>
      <c r="AS73" s="1023">
        <v>3385.2160000000003</v>
      </c>
      <c r="AT73" s="1024">
        <v>74555.48</v>
      </c>
      <c r="AU73" s="1023">
        <v>15177.504000000003</v>
      </c>
      <c r="AV73" s="1023">
        <v>1765.3360000000002</v>
      </c>
      <c r="AW73" s="1023">
        <v>32793.599999999999</v>
      </c>
      <c r="AX73" s="1023">
        <v>1044.528</v>
      </c>
      <c r="AY73" s="1024">
        <v>50780.968000000001</v>
      </c>
      <c r="AZ73" s="1023">
        <v>29682.528000000006</v>
      </c>
      <c r="BA73" s="1023">
        <v>9757.1039999999994</v>
      </c>
      <c r="BB73" s="1023">
        <v>30019.968000000001</v>
      </c>
      <c r="BC73" s="1023">
        <v>4318.2880000000005</v>
      </c>
      <c r="BD73" s="1024">
        <v>73777.888000000006</v>
      </c>
      <c r="BE73" s="1023">
        <v>16363.132000000001</v>
      </c>
      <c r="BF73" s="1033">
        <v>5720.1840000000002</v>
      </c>
      <c r="BG73" s="1023">
        <v>26718</v>
      </c>
      <c r="BH73" s="1023">
        <v>2413.5320000000002</v>
      </c>
      <c r="BI73" s="1024">
        <v>51214.848000000005</v>
      </c>
      <c r="BJ73" s="1023">
        <v>16197.952000000001</v>
      </c>
      <c r="BK73" s="1033">
        <v>5412.2560000000003</v>
      </c>
      <c r="BL73" s="1023">
        <v>32976.480000000003</v>
      </c>
      <c r="BM73" s="1023">
        <v>6270.688000000001</v>
      </c>
      <c r="BN73" s="1024">
        <v>60857.376000000011</v>
      </c>
      <c r="BO73" s="1023">
        <v>8462.2560000000012</v>
      </c>
      <c r="BP73" s="1033">
        <v>2580.3200000000002</v>
      </c>
      <c r="BQ73" s="1023">
        <v>30744</v>
      </c>
      <c r="BR73" s="1023">
        <v>2159.5260000000003</v>
      </c>
      <c r="BS73" s="1024">
        <v>43946.101999999999</v>
      </c>
      <c r="BT73" s="1023">
        <v>32548.384000000002</v>
      </c>
      <c r="BU73" s="1023">
        <v>5538.5439999999999</v>
      </c>
      <c r="BV73" s="1023">
        <v>33582.944000000003</v>
      </c>
      <c r="BW73" s="1023">
        <v>13513.263999999999</v>
      </c>
      <c r="BX73" s="1024">
        <v>85183.135999999999</v>
      </c>
      <c r="BY73" s="1023">
        <v>9334.4959999999992</v>
      </c>
      <c r="BZ73" s="1033">
        <v>3671.6800000000003</v>
      </c>
      <c r="CA73" s="1023">
        <v>30597.600000000002</v>
      </c>
      <c r="CB73" s="1023">
        <v>2811.8560000000002</v>
      </c>
      <c r="CC73" s="1024">
        <v>46415.631999999998</v>
      </c>
      <c r="CD73" s="1023">
        <v>10922.008000000002</v>
      </c>
      <c r="CE73" s="1023">
        <v>3399.4080000000004</v>
      </c>
      <c r="CF73" s="1023">
        <v>31384.512000000002</v>
      </c>
      <c r="CG73" s="1023">
        <v>3592.4160000000002</v>
      </c>
      <c r="CH73" s="1024">
        <v>49298.343999999997</v>
      </c>
      <c r="CI73" s="1023">
        <v>6839.0640000000003</v>
      </c>
      <c r="CJ73" s="1033">
        <v>722.2</v>
      </c>
      <c r="CK73" s="1023">
        <v>23863.200000000001</v>
      </c>
      <c r="CL73" s="1023">
        <v>1874.3860000000002</v>
      </c>
      <c r="CM73" s="1024">
        <v>33298.85</v>
      </c>
      <c r="CN73" s="1023">
        <v>13533.088000000002</v>
      </c>
      <c r="CO73" s="1023">
        <v>3700.3919999999998</v>
      </c>
      <c r="CP73" s="1023">
        <v>34113.599999999999</v>
      </c>
      <c r="CQ73" s="1023">
        <v>6383.3440000000001</v>
      </c>
      <c r="CR73" s="1024">
        <v>57730.423999999999</v>
      </c>
      <c r="CS73" s="1023">
        <v>9042.0400000000009</v>
      </c>
      <c r="CT73" s="1033">
        <v>2438.1200000000003</v>
      </c>
      <c r="CU73" s="1023">
        <v>29646</v>
      </c>
      <c r="CV73" s="1023">
        <v>3452.6660000000002</v>
      </c>
      <c r="CW73" s="1024">
        <v>44578.826000000001</v>
      </c>
      <c r="CX73" s="1023">
        <v>8372.9279999999999</v>
      </c>
      <c r="CY73" s="1023">
        <v>1772.6080000000002</v>
      </c>
      <c r="CZ73" s="1023">
        <v>29944.16</v>
      </c>
      <c r="DA73" s="1023">
        <v>3480.5120000000002</v>
      </c>
      <c r="DB73" s="1024">
        <v>43570.207999999999</v>
      </c>
      <c r="DC73" s="1023">
        <v>5837.5760000000009</v>
      </c>
      <c r="DD73" s="1033">
        <v>2510.2480000000005</v>
      </c>
      <c r="DE73" s="1023">
        <v>26644.800000000003</v>
      </c>
      <c r="DF73" s="1023">
        <v>3952.9200000000005</v>
      </c>
      <c r="DG73" s="1024">
        <v>38945.544000000002</v>
      </c>
      <c r="DH73" s="1023">
        <v>7150.9680000000008</v>
      </c>
      <c r="DI73" s="1033">
        <v>2411.7359999999999</v>
      </c>
      <c r="DJ73" s="1023">
        <v>22135.936000000002</v>
      </c>
      <c r="DK73" s="1023">
        <v>4927.3200000000006</v>
      </c>
      <c r="DL73" s="1024">
        <v>36625.960000000006</v>
      </c>
      <c r="DM73" s="1023">
        <v>6296.0560000000005</v>
      </c>
      <c r="DN73" s="1033">
        <v>1278.52</v>
      </c>
      <c r="DO73" s="1023">
        <v>24888</v>
      </c>
      <c r="DP73" s="1023">
        <v>3363.2960000000003</v>
      </c>
      <c r="DQ73" s="1028">
        <v>35825.872000000003</v>
      </c>
      <c r="DR73" s="1037">
        <v>251761.64799999999</v>
      </c>
      <c r="DS73" s="1023">
        <v>53438.351999999999</v>
      </c>
      <c r="DT73" s="1023">
        <v>349069.75999999995</v>
      </c>
      <c r="DU73" s="1023">
        <v>58543.4</v>
      </c>
      <c r="DV73" s="1024">
        <v>712813.16</v>
      </c>
      <c r="DW73" s="1023">
        <v>171972.65600000002</v>
      </c>
      <c r="DX73" s="1023">
        <v>31709.256000000001</v>
      </c>
      <c r="DY73" s="1023">
        <v>340190.2</v>
      </c>
      <c r="DZ73" s="1023">
        <v>26620.652000000002</v>
      </c>
      <c r="EA73" s="1028">
        <v>570492.76399999997</v>
      </c>
      <c r="EB73" s="1031">
        <v>46.396324773864023</v>
      </c>
      <c r="EC73" s="1031">
        <v>68.526035426375188</v>
      </c>
      <c r="ED73" s="1031">
        <v>2.610175131441153</v>
      </c>
      <c r="EE73" s="1031">
        <v>119.91722817307405</v>
      </c>
      <c r="EF73" s="1038">
        <v>24.946923954323836</v>
      </c>
    </row>
    <row r="74" spans="1:136">
      <c r="A74" s="1017" t="s">
        <v>554</v>
      </c>
      <c r="B74" s="1025">
        <v>9760978.4180000015</v>
      </c>
      <c r="C74" s="1025">
        <v>1057603.0440000002</v>
      </c>
      <c r="D74" s="1025">
        <v>4363954.3040000005</v>
      </c>
      <c r="E74" s="1025">
        <v>519934.52800000005</v>
      </c>
      <c r="F74" s="1025">
        <v>15702470.294000003</v>
      </c>
      <c r="G74" s="1025">
        <v>10194949.665999999</v>
      </c>
      <c r="H74" s="1025">
        <v>1157047.814</v>
      </c>
      <c r="I74" s="1025">
        <v>4108697.0160000003</v>
      </c>
      <c r="J74" s="1025">
        <v>713831.09999999986</v>
      </c>
      <c r="K74" s="1025">
        <v>16174525.595999999</v>
      </c>
      <c r="L74" s="1025">
        <v>10174323.767999999</v>
      </c>
      <c r="M74" s="1025">
        <v>1491613.2320000001</v>
      </c>
      <c r="N74" s="1025">
        <v>5387584.8480000012</v>
      </c>
      <c r="O74" s="1025">
        <v>504351.01399999991</v>
      </c>
      <c r="P74" s="1025">
        <v>17557872.862000003</v>
      </c>
      <c r="Q74" s="1025">
        <v>8863204.487999998</v>
      </c>
      <c r="R74" s="1025">
        <v>1118115.3620000002</v>
      </c>
      <c r="S74" s="1025">
        <v>4266120.9440000011</v>
      </c>
      <c r="T74" s="1025">
        <v>558595.38800000004</v>
      </c>
      <c r="U74" s="1025">
        <v>14806036.181999998</v>
      </c>
      <c r="V74" s="1025">
        <v>4365152.6919999998</v>
      </c>
      <c r="W74" s="1025">
        <v>588982.3620000002</v>
      </c>
      <c r="X74" s="1025">
        <v>5309065.5440000007</v>
      </c>
      <c r="Y74" s="1025">
        <v>389682.5</v>
      </c>
      <c r="Z74" s="1025">
        <v>10652883.097999999</v>
      </c>
      <c r="AA74" s="1025">
        <v>4934832.2619999992</v>
      </c>
      <c r="AB74" s="1025">
        <v>564451.89</v>
      </c>
      <c r="AC74" s="1025">
        <v>5581084.9840000011</v>
      </c>
      <c r="AD74" s="1025">
        <v>430831.48200000008</v>
      </c>
      <c r="AE74" s="1025">
        <v>11511200.617999999</v>
      </c>
      <c r="AF74" s="1025">
        <v>4851887.7660000008</v>
      </c>
      <c r="AG74" s="1025">
        <v>673106.71200000006</v>
      </c>
      <c r="AH74" s="1025">
        <v>6186709.7520000003</v>
      </c>
      <c r="AI74" s="1025">
        <v>424133.24439999997</v>
      </c>
      <c r="AJ74" s="1025">
        <v>12135837.474400001</v>
      </c>
      <c r="AK74" s="1025">
        <v>4677740.9700000007</v>
      </c>
      <c r="AL74" s="1025">
        <v>630509.37</v>
      </c>
      <c r="AM74" s="1025">
        <v>5633307.5599999996</v>
      </c>
      <c r="AN74" s="1025">
        <v>509018.20400000003</v>
      </c>
      <c r="AO74" s="1025">
        <v>11450576.104000002</v>
      </c>
      <c r="AP74" s="1025">
        <v>5926510.5280000009</v>
      </c>
      <c r="AQ74" s="1025">
        <v>773335.71199999994</v>
      </c>
      <c r="AR74" s="1025">
        <v>6711724.8559999997</v>
      </c>
      <c r="AS74" s="1025">
        <v>428265.16200000007</v>
      </c>
      <c r="AT74" s="1025">
        <v>13839836.258000001</v>
      </c>
      <c r="AU74" s="1025">
        <v>4464620.3780000005</v>
      </c>
      <c r="AV74" s="1025">
        <v>630622.66399999999</v>
      </c>
      <c r="AW74" s="1025">
        <v>5681933.6639999989</v>
      </c>
      <c r="AX74" s="1025">
        <v>415711.234</v>
      </c>
      <c r="AY74" s="1025">
        <v>11192887.940000001</v>
      </c>
      <c r="AZ74" s="1025">
        <v>4957088.28</v>
      </c>
      <c r="BA74" s="1025">
        <v>739450.37600000005</v>
      </c>
      <c r="BB74" s="1025">
        <v>5452059.5520000011</v>
      </c>
      <c r="BC74" s="1025">
        <v>384195.64600000001</v>
      </c>
      <c r="BD74" s="1025">
        <v>11532793.853999998</v>
      </c>
      <c r="BE74" s="1025">
        <v>3929309.4220000003</v>
      </c>
      <c r="BF74" s="1025">
        <v>642321.77</v>
      </c>
      <c r="BG74" s="1025">
        <v>5312617.8719999995</v>
      </c>
      <c r="BH74" s="1025">
        <v>432821.80399999995</v>
      </c>
      <c r="BI74" s="1025">
        <v>10317070.868000001</v>
      </c>
      <c r="BJ74" s="1025">
        <v>2911827.9040000006</v>
      </c>
      <c r="BK74" s="1025">
        <v>526112.52</v>
      </c>
      <c r="BL74" s="1025">
        <v>6568547.3360000001</v>
      </c>
      <c r="BM74" s="1025">
        <v>713648.44400000002</v>
      </c>
      <c r="BN74" s="1025">
        <v>10720136.204000002</v>
      </c>
      <c r="BO74" s="1025">
        <v>1589788.6600000001</v>
      </c>
      <c r="BP74" s="1025">
        <v>273097.53200000001</v>
      </c>
      <c r="BQ74" s="1025">
        <v>5630261</v>
      </c>
      <c r="BR74" s="1025">
        <v>500306.48599999998</v>
      </c>
      <c r="BS74" s="1025">
        <v>7993453.6779999994</v>
      </c>
      <c r="BT74" s="1025">
        <v>2477971.0719999997</v>
      </c>
      <c r="BU74" s="1025">
        <v>453454.17599999998</v>
      </c>
      <c r="BV74" s="1025">
        <v>6540265.120000001</v>
      </c>
      <c r="BW74" s="1025">
        <v>670810.67200000002</v>
      </c>
      <c r="BX74" s="1025">
        <v>10142501.039999999</v>
      </c>
      <c r="BY74" s="1025">
        <v>1585864.0480000002</v>
      </c>
      <c r="BZ74" s="1025">
        <v>259396.17600000001</v>
      </c>
      <c r="CA74" s="1025">
        <v>6337284.5199999996</v>
      </c>
      <c r="CB74" s="1025">
        <v>504893.49600000004</v>
      </c>
      <c r="CC74" s="1025">
        <v>8687438.2400000002</v>
      </c>
      <c r="CD74" s="1025">
        <v>2127275.6800000002</v>
      </c>
      <c r="CE74" s="1025">
        <v>373987.288</v>
      </c>
      <c r="CF74" s="1025">
        <v>6262584.4880000008</v>
      </c>
      <c r="CG74" s="1025">
        <v>600314.32000000007</v>
      </c>
      <c r="CH74" s="1025">
        <v>9364161.7760000024</v>
      </c>
      <c r="CI74" s="1025">
        <v>1218709.328</v>
      </c>
      <c r="CJ74" s="1025">
        <v>201623.79800000004</v>
      </c>
      <c r="CK74" s="1025">
        <v>5302120.3999999994</v>
      </c>
      <c r="CL74" s="1025">
        <v>408213.32</v>
      </c>
      <c r="CM74" s="1025">
        <v>7130666.8459999999</v>
      </c>
      <c r="CN74" s="1025">
        <v>2232974.3360000006</v>
      </c>
      <c r="CO74" s="1025">
        <v>405867.70399999997</v>
      </c>
      <c r="CP74" s="1025">
        <v>6760729.6399999997</v>
      </c>
      <c r="CQ74" s="1025">
        <v>756792.17800000007</v>
      </c>
      <c r="CR74" s="1025">
        <v>10156363.858000001</v>
      </c>
      <c r="CS74" s="1025">
        <v>1366337.11</v>
      </c>
      <c r="CT74" s="1025">
        <v>226897.01799999998</v>
      </c>
      <c r="CU74" s="1025">
        <v>5990458.3839999996</v>
      </c>
      <c r="CV74" s="1025">
        <v>521482.40400000016</v>
      </c>
      <c r="CW74" s="1025">
        <v>8105174.9160000002</v>
      </c>
      <c r="CX74" s="1025">
        <v>1865200.8639999998</v>
      </c>
      <c r="CY74" s="1025">
        <v>331569.39199999999</v>
      </c>
      <c r="CZ74" s="1025">
        <v>5774632.432</v>
      </c>
      <c r="DA74" s="1025">
        <v>687798.56800000009</v>
      </c>
      <c r="DB74" s="1025">
        <v>8659201.256000001</v>
      </c>
      <c r="DC74" s="1025">
        <v>1114181.1299999999</v>
      </c>
      <c r="DD74" s="1025">
        <v>197367.61199999996</v>
      </c>
      <c r="DE74" s="1025">
        <v>5079288.3279999997</v>
      </c>
      <c r="DF74" s="1025">
        <v>448256.30800000008</v>
      </c>
      <c r="DG74" s="1025">
        <v>6839093.3780000005</v>
      </c>
      <c r="DH74" s="1025">
        <v>2379675.568</v>
      </c>
      <c r="DI74" s="1025">
        <v>388225.42399999994</v>
      </c>
      <c r="DJ74" s="1025">
        <v>5372683.176</v>
      </c>
      <c r="DK74" s="1025">
        <v>851229.60600000003</v>
      </c>
      <c r="DL74" s="1025">
        <v>8991813.7740000021</v>
      </c>
      <c r="DM74" s="1025">
        <v>1303602.6700000002</v>
      </c>
      <c r="DN74" s="1025">
        <v>196771.50599999999</v>
      </c>
      <c r="DO74" s="1025">
        <v>4833939.9280000003</v>
      </c>
      <c r="DP74" s="1025">
        <v>551593.81000000006</v>
      </c>
      <c r="DQ74" s="1035">
        <v>6885907.9140000008</v>
      </c>
      <c r="DR74" s="1039">
        <v>54030866.876000009</v>
      </c>
      <c r="DS74" s="1025">
        <v>7803307.9419999989</v>
      </c>
      <c r="DT74" s="1025">
        <v>70690541.048000008</v>
      </c>
      <c r="DU74" s="1025">
        <v>6931155.8823999995</v>
      </c>
      <c r="DV74" s="1025">
        <v>139455871.7484</v>
      </c>
      <c r="DW74" s="1025">
        <v>45243140.132000007</v>
      </c>
      <c r="DX74" s="1025">
        <v>6098222.5120000001</v>
      </c>
      <c r="DY74" s="1025">
        <v>63757114.600000009</v>
      </c>
      <c r="DZ74" s="1025">
        <v>5995555.0360000003</v>
      </c>
      <c r="EA74" s="1026">
        <v>121094032.28000002</v>
      </c>
      <c r="EB74" s="1034">
        <v>19.423335158349303</v>
      </c>
      <c r="EC74" s="1034">
        <v>27.960367576695575</v>
      </c>
      <c r="ED74" s="1034">
        <v>10.874749416592948</v>
      </c>
      <c r="EE74" s="1034">
        <v>15.604907982367465</v>
      </c>
      <c r="EF74" s="1040">
        <v>15.16329014954492</v>
      </c>
    </row>
    <row r="75" spans="1:136">
      <c r="A75" s="1016" t="s">
        <v>181</v>
      </c>
      <c r="B75" s="1023">
        <v>2439922.1420000005</v>
      </c>
      <c r="C75" s="1023">
        <v>264274.05599999998</v>
      </c>
      <c r="D75" s="1023">
        <v>1091967.1960000005</v>
      </c>
      <c r="E75" s="1023">
        <v>128757.78200000002</v>
      </c>
      <c r="F75" s="1024">
        <v>3924921.1760000009</v>
      </c>
      <c r="G75" s="1023">
        <v>2549503.784</v>
      </c>
      <c r="H75" s="1023">
        <v>289334.98600000003</v>
      </c>
      <c r="I75" s="1023">
        <v>1027156.3040000001</v>
      </c>
      <c r="J75" s="1023">
        <v>177255</v>
      </c>
      <c r="K75" s="1024">
        <v>4043250.074</v>
      </c>
      <c r="L75" s="1023">
        <v>2542820.5019999994</v>
      </c>
      <c r="M75" s="1023">
        <v>372797.61800000013</v>
      </c>
      <c r="N75" s="1023">
        <v>1346896.2120000001</v>
      </c>
      <c r="O75" s="1023">
        <v>124589.53599999999</v>
      </c>
      <c r="P75" s="1024">
        <v>4387103.8679999998</v>
      </c>
      <c r="Q75" s="1023">
        <v>2215284.9939999999</v>
      </c>
      <c r="R75" s="1023">
        <v>279434.79800000007</v>
      </c>
      <c r="S75" s="1023">
        <v>1066530.2360000003</v>
      </c>
      <c r="T75" s="1023">
        <v>138208.53400000001</v>
      </c>
      <c r="U75" s="1024">
        <v>3699458.5619999999</v>
      </c>
      <c r="V75" s="1023">
        <v>1090870.088</v>
      </c>
      <c r="W75" s="1023">
        <v>147203.56800000006</v>
      </c>
      <c r="X75" s="1023">
        <v>1327266.3859999999</v>
      </c>
      <c r="Y75" s="1023">
        <v>96150.58</v>
      </c>
      <c r="Z75" s="1024">
        <v>2661490.622</v>
      </c>
      <c r="AA75" s="1023">
        <v>1233103.2680000002</v>
      </c>
      <c r="AB75" s="1023">
        <v>141098.52000000002</v>
      </c>
      <c r="AC75" s="1023">
        <v>1395220.5860000001</v>
      </c>
      <c r="AD75" s="1023">
        <v>106228.48800000001</v>
      </c>
      <c r="AE75" s="1024">
        <v>2875650.8620000002</v>
      </c>
      <c r="AF75" s="1023">
        <v>1212898.4040000001</v>
      </c>
      <c r="AG75" s="1023">
        <v>168276.67800000001</v>
      </c>
      <c r="AH75" s="1023">
        <v>1546677.4380000001</v>
      </c>
      <c r="AI75" s="1023">
        <v>104649.0186</v>
      </c>
      <c r="AJ75" s="1024">
        <v>3032501.5386000006</v>
      </c>
      <c r="AK75" s="1023">
        <v>1169252.2400000002</v>
      </c>
      <c r="AL75" s="1023">
        <v>157592.61000000002</v>
      </c>
      <c r="AM75" s="1023">
        <v>1408326.89</v>
      </c>
      <c r="AN75" s="1023">
        <v>124794.156</v>
      </c>
      <c r="AO75" s="1024">
        <v>2859965.8960000002</v>
      </c>
      <c r="AP75" s="1023">
        <v>1481627.632</v>
      </c>
      <c r="AQ75" s="1023">
        <v>193333.92800000001</v>
      </c>
      <c r="AR75" s="1023">
        <v>1677931.2140000002</v>
      </c>
      <c r="AS75" s="1023">
        <v>105560.91800000001</v>
      </c>
      <c r="AT75" s="1024">
        <v>3458453.6920000003</v>
      </c>
      <c r="AU75" s="1023">
        <v>1116657.5619999999</v>
      </c>
      <c r="AV75" s="1023">
        <v>157695.62600000002</v>
      </c>
      <c r="AW75" s="1023">
        <v>1420501.716</v>
      </c>
      <c r="AX75" s="1023">
        <v>102907.81600000001</v>
      </c>
      <c r="AY75" s="1024">
        <v>2797762.72</v>
      </c>
      <c r="AZ75" s="1023">
        <v>1239272.07</v>
      </c>
      <c r="BA75" s="1023">
        <v>184862.59400000001</v>
      </c>
      <c r="BB75" s="1023">
        <v>1363014.8880000003</v>
      </c>
      <c r="BC75" s="1023">
        <v>94979.003999999986</v>
      </c>
      <c r="BD75" s="1024">
        <v>2882128.5560000003</v>
      </c>
      <c r="BE75" s="1023">
        <v>982720.79800000007</v>
      </c>
      <c r="BF75" s="1023">
        <v>160524.60999999999</v>
      </c>
      <c r="BG75" s="1023">
        <v>1328154.4680000001</v>
      </c>
      <c r="BH75" s="1023">
        <v>106707.92600000001</v>
      </c>
      <c r="BI75" s="1024">
        <v>2578107.8020000001</v>
      </c>
      <c r="BJ75" s="1023">
        <v>727956.97600000002</v>
      </c>
      <c r="BK75" s="1023">
        <v>131528.13</v>
      </c>
      <c r="BL75" s="1023">
        <v>1642136.834</v>
      </c>
      <c r="BM75" s="1023">
        <v>177262.69600000003</v>
      </c>
      <c r="BN75" s="1024">
        <v>2678884.6359999999</v>
      </c>
      <c r="BO75" s="1023">
        <v>397522.95000000007</v>
      </c>
      <c r="BP75" s="1023">
        <v>68327.168000000005</v>
      </c>
      <c r="BQ75" s="1023">
        <v>1407711.65</v>
      </c>
      <c r="BR75" s="1023">
        <v>123694.48400000003</v>
      </c>
      <c r="BS75" s="1024">
        <v>1997256.2519999999</v>
      </c>
      <c r="BT75" s="1023">
        <v>619492.76799999992</v>
      </c>
      <c r="BU75" s="1023">
        <v>113363.54399999999</v>
      </c>
      <c r="BV75" s="1023">
        <v>1635066.2800000003</v>
      </c>
      <c r="BW75" s="1023">
        <v>166760.098</v>
      </c>
      <c r="BX75" s="1024">
        <v>2534682.6900000004</v>
      </c>
      <c r="BY75" s="1023">
        <v>396413.82200000004</v>
      </c>
      <c r="BZ75" s="1023">
        <v>64779.774000000005</v>
      </c>
      <c r="CA75" s="1023">
        <v>1584321.13</v>
      </c>
      <c r="CB75" s="1023">
        <v>124351.054</v>
      </c>
      <c r="CC75" s="1024">
        <v>2169865.7799999998</v>
      </c>
      <c r="CD75" s="1023">
        <v>531818.92000000004</v>
      </c>
      <c r="CE75" s="1023">
        <v>93496.822000000015</v>
      </c>
      <c r="CF75" s="1023">
        <v>1565646.122</v>
      </c>
      <c r="CG75" s="1023">
        <v>148748.85000000003</v>
      </c>
      <c r="CH75" s="1024">
        <v>2339710.7140000002</v>
      </c>
      <c r="CI75" s="1023">
        <v>304517.98200000002</v>
      </c>
      <c r="CJ75" s="1023">
        <v>50374.642</v>
      </c>
      <c r="CK75" s="1023">
        <v>1325530.0999999999</v>
      </c>
      <c r="CL75" s="1023">
        <v>99819.42</v>
      </c>
      <c r="CM75" s="1024">
        <v>1780242.1439999999</v>
      </c>
      <c r="CN75" s="1023">
        <v>558243.58400000003</v>
      </c>
      <c r="CO75" s="1023">
        <v>101466.92600000001</v>
      </c>
      <c r="CP75" s="1023">
        <v>1690182.41</v>
      </c>
      <c r="CQ75" s="1023">
        <v>187696.22199999998</v>
      </c>
      <c r="CR75" s="1024">
        <v>2537589.142</v>
      </c>
      <c r="CS75" s="1023">
        <v>341471.82</v>
      </c>
      <c r="CT75" s="1023">
        <v>56724.031999999992</v>
      </c>
      <c r="CU75" s="1023">
        <v>1497614.5959999999</v>
      </c>
      <c r="CV75" s="1023">
        <v>127197.67600000001</v>
      </c>
      <c r="CW75" s="1024">
        <v>2023008.1239999998</v>
      </c>
      <c r="CX75" s="1023">
        <v>466300.21600000001</v>
      </c>
      <c r="CY75" s="1023">
        <v>82892.347999999998</v>
      </c>
      <c r="CZ75" s="1023">
        <v>1443658.108</v>
      </c>
      <c r="DA75" s="1023">
        <v>170415.28200000001</v>
      </c>
      <c r="DB75" s="1024">
        <v>2163265.9539999999</v>
      </c>
      <c r="DC75" s="1023">
        <v>278593.48</v>
      </c>
      <c r="DD75" s="1023">
        <v>49341.838000000003</v>
      </c>
      <c r="DE75" s="1023">
        <v>1269822.0819999999</v>
      </c>
      <c r="DF75" s="1023">
        <v>109615.84200000002</v>
      </c>
      <c r="DG75" s="1024">
        <v>1707373.2419999999</v>
      </c>
      <c r="DH75" s="1023">
        <v>594918.89199999999</v>
      </c>
      <c r="DI75" s="1023">
        <v>97056.356</v>
      </c>
      <c r="DJ75" s="1023">
        <v>1343170.794</v>
      </c>
      <c r="DK75" s="1023">
        <v>211269.18400000001</v>
      </c>
      <c r="DL75" s="1024">
        <v>2246415.2259999998</v>
      </c>
      <c r="DM75" s="1023">
        <v>325800.24000000011</v>
      </c>
      <c r="DN75" s="1023">
        <v>49192.794000000009</v>
      </c>
      <c r="DO75" s="1023">
        <v>1208484.9820000001</v>
      </c>
      <c r="DP75" s="1023">
        <v>135078.09</v>
      </c>
      <c r="DQ75" s="1028">
        <v>1718556.1060000004</v>
      </c>
      <c r="DR75" s="1037">
        <v>13506142.193999998</v>
      </c>
      <c r="DS75" s="1023">
        <v>1950552.568</v>
      </c>
      <c r="DT75" s="1023">
        <v>17673613.882000003</v>
      </c>
      <c r="DU75" s="1023">
        <v>1716839.1705999998</v>
      </c>
      <c r="DV75" s="1024">
        <v>34847147.814599998</v>
      </c>
      <c r="DW75" s="1023">
        <v>11310842.940000001</v>
      </c>
      <c r="DX75" s="1023">
        <v>1524421.398</v>
      </c>
      <c r="DY75" s="1023">
        <v>15939374.74</v>
      </c>
      <c r="DZ75" s="1023">
        <v>1475858.486</v>
      </c>
      <c r="EA75" s="1028">
        <v>30250497.564000003</v>
      </c>
      <c r="EB75" s="1031">
        <v>19.408803266434504</v>
      </c>
      <c r="EC75" s="1031">
        <v>27.953633461133023</v>
      </c>
      <c r="ED75" s="1031">
        <v>10.880220650361608</v>
      </c>
      <c r="EE75" s="1031">
        <v>16.328170138664632</v>
      </c>
      <c r="EF75" s="1038">
        <v>15.195288080386149</v>
      </c>
    </row>
    <row r="76" spans="1:136" ht="15.75" thickBot="1">
      <c r="A76" s="1017" t="s">
        <v>534</v>
      </c>
      <c r="B76" s="1027">
        <v>12200900.560000002</v>
      </c>
      <c r="C76" s="1027">
        <v>1321877.1000000001</v>
      </c>
      <c r="D76" s="1027">
        <v>5455921.5000000009</v>
      </c>
      <c r="E76" s="1027">
        <v>648692.31000000006</v>
      </c>
      <c r="F76" s="1027">
        <v>19627391.470000003</v>
      </c>
      <c r="G76" s="1027">
        <v>12744453.449999999</v>
      </c>
      <c r="H76" s="1027">
        <v>1446382.8</v>
      </c>
      <c r="I76" s="1027">
        <v>5135853.32</v>
      </c>
      <c r="J76" s="1027">
        <v>891086.09999999986</v>
      </c>
      <c r="K76" s="1025">
        <v>20217775.670000002</v>
      </c>
      <c r="L76" s="1027">
        <v>12717144.27</v>
      </c>
      <c r="M76" s="1027">
        <v>1864410.85</v>
      </c>
      <c r="N76" s="1027">
        <v>6734481.0600000015</v>
      </c>
      <c r="O76" s="1027">
        <v>628940.54999999993</v>
      </c>
      <c r="P76" s="1027">
        <v>21944976.730000004</v>
      </c>
      <c r="Q76" s="1027">
        <v>11078489.481999997</v>
      </c>
      <c r="R76" s="1027">
        <v>1397550.1600000001</v>
      </c>
      <c r="S76" s="1027">
        <v>5332651.1800000016</v>
      </c>
      <c r="T76" s="1027">
        <v>696803.92200000002</v>
      </c>
      <c r="U76" s="1025">
        <v>18505494.743999999</v>
      </c>
      <c r="V76" s="1027">
        <v>5456022.7799999993</v>
      </c>
      <c r="W76" s="1027">
        <v>736185.93000000028</v>
      </c>
      <c r="X76" s="1027">
        <v>6636331.9300000006</v>
      </c>
      <c r="Y76" s="1027">
        <v>485833.08</v>
      </c>
      <c r="Z76" s="1027">
        <v>13314373.719999999</v>
      </c>
      <c r="AA76" s="1027">
        <v>6167935.5299999993</v>
      </c>
      <c r="AB76" s="1027">
        <v>705550.41</v>
      </c>
      <c r="AC76" s="1027">
        <v>6976305.5700000012</v>
      </c>
      <c r="AD76" s="1027">
        <v>537059.97000000009</v>
      </c>
      <c r="AE76" s="1025">
        <v>14386851.480000002</v>
      </c>
      <c r="AF76" s="1027">
        <v>6064786.1700000009</v>
      </c>
      <c r="AG76" s="1027">
        <v>841383.39000000013</v>
      </c>
      <c r="AH76" s="1027">
        <v>7733387.1900000004</v>
      </c>
      <c r="AI76" s="1027">
        <v>528782.26299999992</v>
      </c>
      <c r="AJ76" s="1027">
        <v>15168339.013</v>
      </c>
      <c r="AK76" s="1027">
        <v>5846993.2100000009</v>
      </c>
      <c r="AL76" s="1027">
        <v>788101.98</v>
      </c>
      <c r="AM76" s="1027">
        <v>7041634.4499999993</v>
      </c>
      <c r="AN76" s="1027">
        <v>633812.36</v>
      </c>
      <c r="AO76" s="1027">
        <v>14310542.000000002</v>
      </c>
      <c r="AP76" s="1027">
        <v>7408138.1600000011</v>
      </c>
      <c r="AQ76" s="1027">
        <v>966669.6399999999</v>
      </c>
      <c r="AR76" s="1027">
        <v>8389656.0700000003</v>
      </c>
      <c r="AS76" s="1027">
        <v>533826.08000000007</v>
      </c>
      <c r="AT76" s="1027">
        <v>17298289.950000003</v>
      </c>
      <c r="AU76" s="1027">
        <v>5581277.9400000004</v>
      </c>
      <c r="AV76" s="1027">
        <v>788318.29</v>
      </c>
      <c r="AW76" s="1027">
        <v>7102435.379999999</v>
      </c>
      <c r="AX76" s="1027">
        <v>518619.05</v>
      </c>
      <c r="AY76" s="1027">
        <v>13990650.660000002</v>
      </c>
      <c r="AZ76" s="1027">
        <v>6196360.3500000006</v>
      </c>
      <c r="BA76" s="1027">
        <v>924312.97000000009</v>
      </c>
      <c r="BB76" s="1027">
        <v>6815074.4400000013</v>
      </c>
      <c r="BC76" s="1027">
        <v>479174.65</v>
      </c>
      <c r="BD76" s="1027">
        <v>14414922.409999998</v>
      </c>
      <c r="BE76" s="1027">
        <v>4912030.2200000007</v>
      </c>
      <c r="BF76" s="1027">
        <v>802846.38</v>
      </c>
      <c r="BG76" s="1027">
        <v>6640772.3399999999</v>
      </c>
      <c r="BH76" s="1027">
        <v>539529.73</v>
      </c>
      <c r="BI76" s="1025">
        <v>12895178.670000002</v>
      </c>
      <c r="BJ76" s="1027">
        <v>3639784.8800000008</v>
      </c>
      <c r="BK76" s="1027">
        <v>657640.65</v>
      </c>
      <c r="BL76" s="1027">
        <v>8210684.1699999999</v>
      </c>
      <c r="BM76" s="1027">
        <v>890911.14</v>
      </c>
      <c r="BN76" s="1027">
        <v>13399020.840000002</v>
      </c>
      <c r="BO76" s="1027">
        <v>1987311.6100000003</v>
      </c>
      <c r="BP76" s="1027">
        <v>341424.7</v>
      </c>
      <c r="BQ76" s="1027">
        <v>7037972.6500000004</v>
      </c>
      <c r="BR76" s="1027">
        <v>624000.97</v>
      </c>
      <c r="BS76" s="1025">
        <v>9990709.9300000016</v>
      </c>
      <c r="BT76" s="1027">
        <v>3097463.84</v>
      </c>
      <c r="BU76" s="1027">
        <v>566817.72</v>
      </c>
      <c r="BV76" s="1027">
        <v>8175331.4000000013</v>
      </c>
      <c r="BW76" s="1027">
        <v>837570.77</v>
      </c>
      <c r="BX76" s="1027">
        <v>12677183.73</v>
      </c>
      <c r="BY76" s="1027">
        <v>1982277.87</v>
      </c>
      <c r="BZ76" s="1027">
        <v>324175.95</v>
      </c>
      <c r="CA76" s="1027">
        <v>7921605.6499999994</v>
      </c>
      <c r="CB76" s="1027">
        <v>629244.55000000005</v>
      </c>
      <c r="CC76" s="1025">
        <v>10857304.02</v>
      </c>
      <c r="CD76" s="1027">
        <v>2659094.6</v>
      </c>
      <c r="CE76" s="1027">
        <v>467484.11</v>
      </c>
      <c r="CF76" s="1027">
        <v>7828230.6100000013</v>
      </c>
      <c r="CG76" s="1027">
        <v>749063.17000000016</v>
      </c>
      <c r="CH76" s="1027">
        <v>11703872.490000002</v>
      </c>
      <c r="CI76" s="1027">
        <v>1523227.31</v>
      </c>
      <c r="CJ76" s="1027">
        <v>251998.44000000003</v>
      </c>
      <c r="CK76" s="1027">
        <v>6627650.4999999991</v>
      </c>
      <c r="CL76" s="1027">
        <v>508032.74</v>
      </c>
      <c r="CM76" s="1025">
        <v>8910908.9900000002</v>
      </c>
      <c r="CN76" s="1027">
        <v>2791217.9200000009</v>
      </c>
      <c r="CO76" s="1027">
        <v>507334.63</v>
      </c>
      <c r="CP76" s="1027">
        <v>8450912.0499999989</v>
      </c>
      <c r="CQ76" s="1027">
        <v>944488.4</v>
      </c>
      <c r="CR76" s="1027">
        <v>12693953</v>
      </c>
      <c r="CS76" s="1027">
        <v>1707808.9300000002</v>
      </c>
      <c r="CT76" s="1027">
        <v>283621.05</v>
      </c>
      <c r="CU76" s="1027">
        <v>7488072.9799999995</v>
      </c>
      <c r="CV76" s="1027">
        <v>648680.08000000019</v>
      </c>
      <c r="CW76" s="1025">
        <v>10128183.039999999</v>
      </c>
      <c r="CX76" s="1027">
        <v>2331501.08</v>
      </c>
      <c r="CY76" s="1027">
        <v>414461.74</v>
      </c>
      <c r="CZ76" s="1027">
        <v>7218290.54</v>
      </c>
      <c r="DA76" s="1027">
        <v>858213.85000000009</v>
      </c>
      <c r="DB76" s="1027">
        <v>10822467.210000001</v>
      </c>
      <c r="DC76" s="1027">
        <v>1392774.6099999999</v>
      </c>
      <c r="DD76" s="1027">
        <v>246709.44999999995</v>
      </c>
      <c r="DE76" s="1027">
        <v>6349110.4100000001</v>
      </c>
      <c r="DF76" s="1027">
        <v>557872.15000000014</v>
      </c>
      <c r="DG76" s="1025">
        <v>8546466.6199999992</v>
      </c>
      <c r="DH76" s="1027">
        <v>2974594.46</v>
      </c>
      <c r="DI76" s="1027">
        <v>485281.77999999991</v>
      </c>
      <c r="DJ76" s="1027">
        <v>6715853.9699999997</v>
      </c>
      <c r="DK76" s="1027">
        <v>1062498.79</v>
      </c>
      <c r="DL76" s="1027">
        <v>11238229.000000002</v>
      </c>
      <c r="DM76" s="1027">
        <v>1629402.9100000001</v>
      </c>
      <c r="DN76" s="1027">
        <v>245964.3</v>
      </c>
      <c r="DO76" s="1027">
        <v>6042424.9100000001</v>
      </c>
      <c r="DP76" s="1027">
        <v>686671.9</v>
      </c>
      <c r="DQ76" s="1035">
        <v>8604464.0199999996</v>
      </c>
      <c r="DR76" s="1041">
        <v>67537009.070000008</v>
      </c>
      <c r="DS76" s="1042">
        <v>9753860.5099999979</v>
      </c>
      <c r="DT76" s="1042">
        <v>88364154.930000007</v>
      </c>
      <c r="DU76" s="1042">
        <v>8647995.0529999994</v>
      </c>
      <c r="DV76" s="1042">
        <v>174303019.56300002</v>
      </c>
      <c r="DW76" s="1042">
        <v>56553983.072000012</v>
      </c>
      <c r="DX76" s="1042">
        <v>7622643.9100000001</v>
      </c>
      <c r="DY76" s="1042">
        <v>79696489.340000004</v>
      </c>
      <c r="DZ76" s="1042">
        <v>7471413.5219999999</v>
      </c>
      <c r="EA76" s="1042">
        <v>151344529.84400001</v>
      </c>
      <c r="EB76" s="1043">
        <v>19.420428768062692</v>
      </c>
      <c r="EC76" s="1043">
        <v>27.959020848449924</v>
      </c>
      <c r="ED76" s="1043">
        <v>10.875843668624015</v>
      </c>
      <c r="EE76" s="1043">
        <v>15.747776876965631</v>
      </c>
      <c r="EF76" s="1044">
        <v>15.169685843726711</v>
      </c>
    </row>
    <row r="77" spans="1:136">
      <c r="DB77" s="253">
        <f>DB76/CR76-1</f>
        <v>-0.14743128401373462</v>
      </c>
    </row>
  </sheetData>
  <mergeCells count="61">
    <mergeCell ref="AU6:AY6"/>
    <mergeCell ref="DR6:DV6"/>
    <mergeCell ref="BT6:BX6"/>
    <mergeCell ref="DW6:EA6"/>
    <mergeCell ref="B41:F41"/>
    <mergeCell ref="DM6:DQ6"/>
    <mergeCell ref="CN6:CR6"/>
    <mergeCell ref="CS6:CW6"/>
    <mergeCell ref="CX6:DB6"/>
    <mergeCell ref="DC6:DG6"/>
    <mergeCell ref="Q6:U6"/>
    <mergeCell ref="B6:F6"/>
    <mergeCell ref="G6:K6"/>
    <mergeCell ref="BE6:BI6"/>
    <mergeCell ref="BO6:BS6"/>
    <mergeCell ref="AZ6:BD6"/>
    <mergeCell ref="CD6:CH6"/>
    <mergeCell ref="CI6:CM6"/>
    <mergeCell ref="BY6:CC6"/>
    <mergeCell ref="EB6:EF6"/>
    <mergeCell ref="A1:EF1"/>
    <mergeCell ref="A2:EF2"/>
    <mergeCell ref="A3:EF3"/>
    <mergeCell ref="A4:EF4"/>
    <mergeCell ref="L6:P6"/>
    <mergeCell ref="A6:A7"/>
    <mergeCell ref="BJ6:BN6"/>
    <mergeCell ref="V6:Z6"/>
    <mergeCell ref="AA6:AE6"/>
    <mergeCell ref="AF6:AJ6"/>
    <mergeCell ref="AK6:AO6"/>
    <mergeCell ref="AP6:AT6"/>
    <mergeCell ref="DH6:DL6"/>
    <mergeCell ref="DR45:DV45"/>
    <mergeCell ref="AP45:AT45"/>
    <mergeCell ref="EB45:EF45"/>
    <mergeCell ref="L45:P45"/>
    <mergeCell ref="Q45:U45"/>
    <mergeCell ref="BO45:BS45"/>
    <mergeCell ref="DW45:EA45"/>
    <mergeCell ref="DM45:DQ45"/>
    <mergeCell ref="CN45:CR45"/>
    <mergeCell ref="CS45:CW45"/>
    <mergeCell ref="CX45:DB45"/>
    <mergeCell ref="DC45:DG45"/>
    <mergeCell ref="DH45:DL45"/>
    <mergeCell ref="CD45:CH45"/>
    <mergeCell ref="CI45:CM45"/>
    <mergeCell ref="B45:F45"/>
    <mergeCell ref="G45:K45"/>
    <mergeCell ref="A45:A46"/>
    <mergeCell ref="BJ45:BN45"/>
    <mergeCell ref="V45:Z45"/>
    <mergeCell ref="AA45:AE45"/>
    <mergeCell ref="AZ45:BD45"/>
    <mergeCell ref="AU45:AY45"/>
    <mergeCell ref="BT45:BX45"/>
    <mergeCell ref="BY45:CC45"/>
    <mergeCell ref="BE45:BI45"/>
    <mergeCell ref="AF45:AJ45"/>
    <mergeCell ref="AK45:AO45"/>
  </mergeCells>
  <conditionalFormatting sqref="EH8 EB8:EF38 EG8:EG34">
    <cfRule type="cellIs" dxfId="214"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2"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7030A0"/>
    <pageSetUpPr fitToPage="1"/>
  </sheetPr>
  <dimension ref="A1:R37"/>
  <sheetViews>
    <sheetView showGridLines="0" zoomScale="80" zoomScaleNormal="80" workbookViewId="0">
      <pane xSplit="1" topLeftCell="B1" activePane="topRight" state="frozen"/>
      <selection sqref="A1:AC1"/>
      <selection pane="topRight" sqref="A1:AC1"/>
    </sheetView>
  </sheetViews>
  <sheetFormatPr defaultColWidth="9.140625" defaultRowHeight="15"/>
  <cols>
    <col min="1" max="1" width="11.7109375" style="97" customWidth="1"/>
    <col min="2" max="2" width="27" style="97" customWidth="1"/>
    <col min="3" max="5" width="18.7109375" style="97" customWidth="1"/>
    <col min="6" max="6" width="19.85546875" style="97" customWidth="1"/>
    <col min="7" max="11" width="18.7109375" style="97" customWidth="1"/>
    <col min="12" max="12" width="14.140625" style="97" bestFit="1" customWidth="1"/>
    <col min="13" max="13" width="13.140625" style="97" bestFit="1" customWidth="1"/>
    <col min="14" max="15" width="18.7109375" style="97" customWidth="1"/>
    <col min="16" max="16" width="12.42578125" style="97" bestFit="1" customWidth="1"/>
    <col min="17" max="17" width="14.5703125" style="97" customWidth="1"/>
    <col min="18" max="18" width="14.7109375" style="97" customWidth="1"/>
    <col min="19" max="22" width="12.42578125" style="97" bestFit="1" customWidth="1"/>
    <col min="23" max="16384" width="9.140625" style="97"/>
  </cols>
  <sheetData>
    <row r="1" spans="1:18" ht="16.5" thickBot="1">
      <c r="A1" s="604"/>
      <c r="B1" s="1350" t="s">
        <v>571</v>
      </c>
      <c r="C1" s="1350"/>
      <c r="D1" s="1350"/>
      <c r="E1" s="1350"/>
      <c r="F1" s="1350"/>
      <c r="G1" s="1350"/>
      <c r="H1" s="1350"/>
      <c r="I1" s="1350"/>
      <c r="J1" s="1350"/>
      <c r="K1" s="1350"/>
      <c r="L1" s="1350"/>
      <c r="M1" s="1350"/>
      <c r="N1" s="1350"/>
      <c r="O1" s="1351"/>
    </row>
    <row r="2" spans="1:18" ht="16.5" thickBot="1">
      <c r="B2" s="1350" t="s">
        <v>176</v>
      </c>
      <c r="C2" s="1350"/>
      <c r="D2" s="1350"/>
      <c r="E2" s="1351"/>
      <c r="F2" s="1352" t="s">
        <v>177</v>
      </c>
      <c r="G2" s="1350"/>
      <c r="H2" s="1350"/>
      <c r="I2" s="1350"/>
      <c r="J2" s="1350"/>
      <c r="K2" s="1350"/>
      <c r="L2" s="1351" t="s">
        <v>569</v>
      </c>
      <c r="M2" s="1352" t="s">
        <v>570</v>
      </c>
      <c r="N2" s="1350"/>
      <c r="O2" s="1351" t="s">
        <v>569</v>
      </c>
    </row>
    <row r="3" spans="1:18" ht="31.5" customHeight="1" thickBot="1">
      <c r="A3" s="603" t="s">
        <v>568</v>
      </c>
      <c r="B3" s="602" t="s">
        <v>567</v>
      </c>
      <c r="C3" s="599" t="s">
        <v>566</v>
      </c>
      <c r="D3" s="599" t="s">
        <v>522</v>
      </c>
      <c r="E3" s="600" t="s">
        <v>565</v>
      </c>
      <c r="F3" s="600" t="s">
        <v>1112</v>
      </c>
      <c r="G3" s="600" t="s">
        <v>1113</v>
      </c>
      <c r="H3" s="600" t="s">
        <v>564</v>
      </c>
      <c r="I3" s="600" t="s">
        <v>522</v>
      </c>
      <c r="J3" s="601" t="s">
        <v>563</v>
      </c>
      <c r="K3" s="601" t="s">
        <v>497</v>
      </c>
      <c r="L3" s="600" t="s">
        <v>562</v>
      </c>
      <c r="M3" s="599" t="s">
        <v>561</v>
      </c>
      <c r="N3" s="599" t="s">
        <v>522</v>
      </c>
      <c r="O3" s="598" t="s">
        <v>560</v>
      </c>
    </row>
    <row r="4" spans="1:18" ht="16.5" thickBot="1">
      <c r="A4" s="596" t="s">
        <v>94</v>
      </c>
      <c r="B4" s="595">
        <f>VLOOKUP($A$4:$A$30,'Anuid PF'!$A$7:$E$33,2,0)</f>
        <v>3483</v>
      </c>
      <c r="C4" s="595">
        <f>VLOOKUP($A$4:$A$30,'Anuid PF'!$A$7:$E$33,3,0)</f>
        <v>3373</v>
      </c>
      <c r="D4" s="595">
        <f>VLOOKUP($A$4:$A$30,'Anuid PF'!$A$7:$E$33,4,0)</f>
        <v>2544</v>
      </c>
      <c r="E4" s="594">
        <f t="shared" ref="E4:E30" si="0">D4/C4</f>
        <v>0.75422472576341537</v>
      </c>
      <c r="F4" s="593">
        <f>VLOOKUP($A$4:$A$30,'Anuid PF'!$A$7:$G$33,7,)</f>
        <v>3559</v>
      </c>
      <c r="G4" s="592">
        <f>VLOOKUP($A$4:$A$30,'Anuid PF'!$A$7:$H$33,8,)</f>
        <v>54</v>
      </c>
      <c r="H4" s="593">
        <f>VLOOKUP($A$4:$A$30,'Anuid PF'!$A$7:$I$33,9,)</f>
        <v>3505</v>
      </c>
      <c r="I4" s="593">
        <f>VLOOKUP($A$4:$A$30,'Anuid PF'!$A$7:$K$33,10,0)</f>
        <v>3161</v>
      </c>
      <c r="J4" s="593">
        <f>VLOOKUP($A$4:$A$30,'Anuid PF'!$A$7:$L$33,11,0)</f>
        <v>1910</v>
      </c>
      <c r="K4" s="592">
        <f t="shared" ref="K4:K30" si="1">I4-J4</f>
        <v>1251</v>
      </c>
      <c r="L4" s="591">
        <f t="shared" ref="L4:L30" si="2">I4/H4</f>
        <v>0.9018544935805991</v>
      </c>
      <c r="M4" s="590">
        <f t="shared" ref="M4:M30" si="3">F4/B4*100-100</f>
        <v>2.1820269882285288</v>
      </c>
      <c r="N4" s="590">
        <f t="shared" ref="N4:N30" si="4">I4/D4*100-100</f>
        <v>24.253144654088061</v>
      </c>
      <c r="O4" s="589">
        <f t="shared" ref="O4:O30" si="5">L4-E4</f>
        <v>0.14762976781718373</v>
      </c>
      <c r="P4" s="581"/>
      <c r="Q4" s="596" t="str">
        <f t="shared" ref="Q4:Q30" si="6">A4</f>
        <v>ES</v>
      </c>
      <c r="R4" s="591">
        <f t="shared" ref="R4:R30" si="7">L4</f>
        <v>0.9018544935805991</v>
      </c>
    </row>
    <row r="5" spans="1:18" ht="16.5" thickBot="1">
      <c r="A5" s="596" t="s">
        <v>97</v>
      </c>
      <c r="B5" s="595">
        <f>VLOOKUP($A$4:$A$30,'Anuid PF'!$A$7:$E$33,2,0)</f>
        <v>3105</v>
      </c>
      <c r="C5" s="595">
        <f>VLOOKUP($A$4:$A$30,'Anuid PF'!$A$7:$E$33,3,0)</f>
        <v>3007</v>
      </c>
      <c r="D5" s="595">
        <f>VLOOKUP($A$4:$A$30,'Anuid PF'!$A$7:$E$33,4,0)</f>
        <v>2192</v>
      </c>
      <c r="E5" s="594">
        <f t="shared" si="0"/>
        <v>0.72896574659128699</v>
      </c>
      <c r="F5" s="593">
        <f>VLOOKUP($A$4:$A$30,'Anuid PF'!$A$7:$G$33,7,)</f>
        <v>3178</v>
      </c>
      <c r="G5" s="592">
        <f>VLOOKUP($A$4:$A$30,'Anuid PF'!$A$7:$H$33,8,)</f>
        <v>39</v>
      </c>
      <c r="H5" s="593">
        <f>VLOOKUP($A$4:$A$30,'Anuid PF'!$A$7:$I$33,9,)</f>
        <v>3139</v>
      </c>
      <c r="I5" s="593">
        <f>VLOOKUP($A$4:$A$30,'Anuid PF'!$A$7:$K$33,10,0)</f>
        <v>2392</v>
      </c>
      <c r="J5" s="593">
        <f>VLOOKUP($A$4:$A$30,'Anuid PF'!$A$7:$L$33,11,0)</f>
        <v>1209</v>
      </c>
      <c r="K5" s="592">
        <f t="shared" si="1"/>
        <v>1183</v>
      </c>
      <c r="L5" s="591">
        <f t="shared" si="2"/>
        <v>0.76202612296909844</v>
      </c>
      <c r="M5" s="590">
        <f t="shared" si="3"/>
        <v>2.3510466988727785</v>
      </c>
      <c r="N5" s="590">
        <f t="shared" si="4"/>
        <v>9.1240875912408796</v>
      </c>
      <c r="O5" s="589">
        <f t="shared" si="5"/>
        <v>3.3060376377811451E-2</v>
      </c>
      <c r="P5" s="581"/>
      <c r="Q5" s="596" t="str">
        <f t="shared" si="6"/>
        <v>MT</v>
      </c>
      <c r="R5" s="591">
        <f t="shared" si="7"/>
        <v>0.76202612296909844</v>
      </c>
    </row>
    <row r="6" spans="1:18" ht="16.5" thickBot="1">
      <c r="A6" s="596" t="s">
        <v>103</v>
      </c>
      <c r="B6" s="595">
        <f>VLOOKUP($A$4:$A$30,'Anuid PF'!$A$7:$E$33,2,0)</f>
        <v>4654</v>
      </c>
      <c r="C6" s="595">
        <f>VLOOKUP($A$4:$A$30,'Anuid PF'!$A$7:$E$33,3,0)</f>
        <v>4325</v>
      </c>
      <c r="D6" s="595">
        <f>VLOOKUP($A$4:$A$30,'Anuid PF'!$A$7:$E$33,4,0)</f>
        <v>2492</v>
      </c>
      <c r="E6" s="594">
        <f t="shared" si="0"/>
        <v>0.57618497109826594</v>
      </c>
      <c r="F6" s="593">
        <f>VLOOKUP($A$4:$A$30,'Anuid PF'!$A$7:$G$33,7,)</f>
        <v>4886</v>
      </c>
      <c r="G6" s="592">
        <f>VLOOKUP($A$4:$A$30,'Anuid PF'!$A$7:$H$33,8,)</f>
        <v>293</v>
      </c>
      <c r="H6" s="593">
        <f>VLOOKUP($A$4:$A$30,'Anuid PF'!$A$7:$I$33,9,)</f>
        <v>4593</v>
      </c>
      <c r="I6" s="593">
        <f>VLOOKUP($A$4:$A$30,'Anuid PF'!$A$7:$K$33,10,0)</f>
        <v>3481</v>
      </c>
      <c r="J6" s="593">
        <f>VLOOKUP($A$4:$A$30,'Anuid PF'!$A$7:$L$33,11,0)</f>
        <v>2092</v>
      </c>
      <c r="K6" s="592">
        <f t="shared" si="1"/>
        <v>1389</v>
      </c>
      <c r="L6" s="591">
        <f t="shared" si="2"/>
        <v>0.75789244502503805</v>
      </c>
      <c r="M6" s="590">
        <f t="shared" si="3"/>
        <v>4.9849591749033095</v>
      </c>
      <c r="N6" s="590">
        <f t="shared" si="4"/>
        <v>39.686998394863565</v>
      </c>
      <c r="O6" s="589">
        <f t="shared" si="5"/>
        <v>0.18170747392677211</v>
      </c>
      <c r="P6" s="581"/>
      <c r="Q6" s="596" t="str">
        <f t="shared" si="6"/>
        <v>PE</v>
      </c>
      <c r="R6" s="591">
        <f t="shared" si="7"/>
        <v>0.75789244502503805</v>
      </c>
    </row>
    <row r="7" spans="1:18" ht="16.5" thickBot="1">
      <c r="A7" s="596" t="s">
        <v>110</v>
      </c>
      <c r="B7" s="595">
        <f>VLOOKUP($A$4:$A$30,'Anuid PF'!$A$7:$E$33,2,0)</f>
        <v>10227</v>
      </c>
      <c r="C7" s="595">
        <f>VLOOKUP($A$4:$A$30,'Anuid PF'!$A$7:$E$33,3,0)</f>
        <v>9897</v>
      </c>
      <c r="D7" s="595">
        <f>VLOOKUP($A$4:$A$30,'Anuid PF'!$A$7:$E$33,4,0)</f>
        <v>6731</v>
      </c>
      <c r="E7" s="594">
        <f t="shared" si="0"/>
        <v>0.68010508234818634</v>
      </c>
      <c r="F7" s="593">
        <f>VLOOKUP($A$4:$A$30,'Anuid PF'!$A$7:$G$33,7,)</f>
        <v>10476</v>
      </c>
      <c r="G7" s="592">
        <f>VLOOKUP($A$4:$A$30,'Anuid PF'!$A$7:$H$33,8,)</f>
        <v>156</v>
      </c>
      <c r="H7" s="593">
        <f>VLOOKUP($A$4:$A$30,'Anuid PF'!$A$7:$I$33,9,)</f>
        <v>10320</v>
      </c>
      <c r="I7" s="593">
        <f>VLOOKUP($A$4:$A$30,'Anuid PF'!$A$7:$K$33,10,0)</f>
        <v>7796</v>
      </c>
      <c r="J7" s="593">
        <f>VLOOKUP($A$4:$A$30,'Anuid PF'!$A$7:$L$33,11,0)</f>
        <v>4825</v>
      </c>
      <c r="K7" s="592">
        <f t="shared" si="1"/>
        <v>2971</v>
      </c>
      <c r="L7" s="591">
        <f t="shared" si="2"/>
        <v>0.75542635658914725</v>
      </c>
      <c r="M7" s="590">
        <f t="shared" si="3"/>
        <v>2.4347315928424678</v>
      </c>
      <c r="N7" s="590">
        <f t="shared" si="4"/>
        <v>15.822314663497266</v>
      </c>
      <c r="O7" s="589">
        <f t="shared" si="5"/>
        <v>7.5321274240960912E-2</v>
      </c>
      <c r="P7" s="581"/>
      <c r="Q7" s="596" t="str">
        <f t="shared" si="6"/>
        <v>SC</v>
      </c>
      <c r="R7" s="591">
        <f t="shared" si="7"/>
        <v>0.75542635658914725</v>
      </c>
    </row>
    <row r="8" spans="1:18" ht="16.5" thickBot="1">
      <c r="A8" s="596" t="s">
        <v>104</v>
      </c>
      <c r="B8" s="595">
        <f>VLOOKUP($A$4:$A$30,'Anuid PF'!$A$7:$E$33,2,0)</f>
        <v>1260</v>
      </c>
      <c r="C8" s="595">
        <f>VLOOKUP($A$4:$A$30,'Anuid PF'!$A$7:$E$33,3,0)</f>
        <v>1218</v>
      </c>
      <c r="D8" s="595">
        <f>VLOOKUP($A$4:$A$30,'Anuid PF'!$A$7:$E$33,4,0)</f>
        <v>654</v>
      </c>
      <c r="E8" s="594">
        <f t="shared" si="0"/>
        <v>0.53694581280788178</v>
      </c>
      <c r="F8" s="593">
        <f>VLOOKUP($A$4:$A$30,'Anuid PF'!$A$7:$G$33,7,)</f>
        <v>1337</v>
      </c>
      <c r="G8" s="592">
        <f>VLOOKUP($A$4:$A$30,'Anuid PF'!$A$7:$H$33,8,)</f>
        <v>27</v>
      </c>
      <c r="H8" s="593">
        <f>VLOOKUP($A$4:$A$30,'Anuid PF'!$A$7:$I$33,9,)</f>
        <v>1310</v>
      </c>
      <c r="I8" s="593">
        <f>VLOOKUP($A$4:$A$30,'Anuid PF'!$A$7:$K$33,10,0)</f>
        <v>986</v>
      </c>
      <c r="J8" s="593">
        <f>VLOOKUP($A$4:$A$30,'Anuid PF'!$A$7:$L$33,11,0)</f>
        <v>555</v>
      </c>
      <c r="K8" s="592">
        <f t="shared" si="1"/>
        <v>431</v>
      </c>
      <c r="L8" s="591">
        <f t="shared" si="2"/>
        <v>0.75267175572519085</v>
      </c>
      <c r="M8" s="590">
        <f t="shared" si="3"/>
        <v>6.1111111111111143</v>
      </c>
      <c r="N8" s="590">
        <f t="shared" si="4"/>
        <v>50.76452599388378</v>
      </c>
      <c r="O8" s="589">
        <f t="shared" si="5"/>
        <v>0.21572594291730907</v>
      </c>
      <c r="P8" s="581"/>
      <c r="Q8" s="596" t="str">
        <f t="shared" si="6"/>
        <v>PI</v>
      </c>
      <c r="R8" s="591">
        <f t="shared" si="7"/>
        <v>0.75267175572519085</v>
      </c>
    </row>
    <row r="9" spans="1:18" ht="16.5" thickBot="1">
      <c r="A9" s="596" t="s">
        <v>107</v>
      </c>
      <c r="B9" s="595">
        <f>VLOOKUP($A$4:$A$30,'Anuid PF'!$A$7:$E$33,2,0)</f>
        <v>16222</v>
      </c>
      <c r="C9" s="595">
        <f>VLOOKUP($A$4:$A$30,'Anuid PF'!$A$7:$E$33,3,0)</f>
        <v>15459</v>
      </c>
      <c r="D9" s="595">
        <f>VLOOKUP($A$4:$A$30,'Anuid PF'!$A$7:$E$33,4,0)</f>
        <v>9494</v>
      </c>
      <c r="E9" s="594">
        <f t="shared" si="0"/>
        <v>0.61414063005369046</v>
      </c>
      <c r="F9" s="593">
        <f>VLOOKUP($A$4:$A$30,'Anuid PF'!$A$7:$G$33,7,)</f>
        <v>16438</v>
      </c>
      <c r="G9" s="592">
        <f>VLOOKUP($A$4:$A$30,'Anuid PF'!$A$7:$H$33,8,)</f>
        <v>636</v>
      </c>
      <c r="H9" s="593">
        <f>VLOOKUP($A$4:$A$30,'Anuid PF'!$A$7:$I$33,9,)</f>
        <v>15802</v>
      </c>
      <c r="I9" s="593">
        <f>VLOOKUP($A$4:$A$30,'Anuid PF'!$A$7:$K$33,10,0)</f>
        <v>11827</v>
      </c>
      <c r="J9" s="593">
        <f>VLOOKUP($A$4:$A$30,'Anuid PF'!$A$7:$L$33,11,0)</f>
        <v>7526</v>
      </c>
      <c r="K9" s="592">
        <f t="shared" si="1"/>
        <v>4301</v>
      </c>
      <c r="L9" s="591">
        <f t="shared" si="2"/>
        <v>0.74844956334641188</v>
      </c>
      <c r="M9" s="590">
        <f t="shared" si="3"/>
        <v>1.3315250893847832</v>
      </c>
      <c r="N9" s="590">
        <f t="shared" si="4"/>
        <v>24.573414788287337</v>
      </c>
      <c r="O9" s="589">
        <f t="shared" si="5"/>
        <v>0.13430893329272142</v>
      </c>
      <c r="P9" s="581"/>
      <c r="Q9" s="596" t="str">
        <f t="shared" si="6"/>
        <v>RS</v>
      </c>
      <c r="R9" s="591">
        <f t="shared" si="7"/>
        <v>0.74844956334641188</v>
      </c>
    </row>
    <row r="10" spans="1:18" ht="16.5" thickBot="1">
      <c r="A10" s="596" t="s">
        <v>102</v>
      </c>
      <c r="B10" s="595">
        <f>VLOOKUP($A$4:$A$30,'Anuid PF'!$A$7:$E$33,2,0)</f>
        <v>12494</v>
      </c>
      <c r="C10" s="595">
        <f>VLOOKUP($A$4:$A$30,'Anuid PF'!$A$7:$E$33,3,0)</f>
        <v>12085</v>
      </c>
      <c r="D10" s="595">
        <f>VLOOKUP($A$4:$A$30,'Anuid PF'!$A$7:$E$33,4,0)</f>
        <v>7877</v>
      </c>
      <c r="E10" s="594">
        <f t="shared" si="0"/>
        <v>0.65179975175837812</v>
      </c>
      <c r="F10" s="593">
        <f>VLOOKUP($A$4:$A$30,'Anuid PF'!$A$7:$G$33,7,)</f>
        <v>12788</v>
      </c>
      <c r="G10" s="592">
        <f>VLOOKUP($A$4:$A$30,'Anuid PF'!$A$7:$H$33,8,)</f>
        <v>273</v>
      </c>
      <c r="H10" s="593">
        <f>VLOOKUP($A$4:$A$30,'Anuid PF'!$A$7:$I$33,9,)</f>
        <v>12515</v>
      </c>
      <c r="I10" s="593">
        <f>VLOOKUP($A$4:$A$30,'Anuid PF'!$A$7:$K$33,10,0)</f>
        <v>9314</v>
      </c>
      <c r="J10" s="593">
        <f>VLOOKUP($A$4:$A$30,'Anuid PF'!$A$7:$L$33,11,0)</f>
        <v>5742</v>
      </c>
      <c r="K10" s="592">
        <f t="shared" si="1"/>
        <v>3572</v>
      </c>
      <c r="L10" s="591">
        <f t="shared" si="2"/>
        <v>0.7442269276867759</v>
      </c>
      <c r="M10" s="590">
        <f t="shared" si="3"/>
        <v>2.353129502161039</v>
      </c>
      <c r="N10" s="590">
        <f t="shared" si="4"/>
        <v>18.242985908340742</v>
      </c>
      <c r="O10" s="589">
        <f t="shared" si="5"/>
        <v>9.2427175928397776E-2</v>
      </c>
      <c r="P10" s="581"/>
      <c r="Q10" s="596" t="str">
        <f t="shared" si="6"/>
        <v>PR</v>
      </c>
      <c r="R10" s="591">
        <f t="shared" si="7"/>
        <v>0.7442269276867759</v>
      </c>
    </row>
    <row r="11" spans="1:18" ht="16.5" thickBot="1">
      <c r="A11" s="596" t="s">
        <v>99</v>
      </c>
      <c r="B11" s="595">
        <f>VLOOKUP($A$4:$A$30,'Anuid PF'!$A$7:$E$33,2,0)</f>
        <v>15260</v>
      </c>
      <c r="C11" s="595">
        <f>VLOOKUP($A$4:$A$30,'Anuid PF'!$A$7:$E$33,3,0)</f>
        <v>14505</v>
      </c>
      <c r="D11" s="595">
        <f>VLOOKUP($A$4:$A$30,'Anuid PF'!$A$7:$E$33,4,0)</f>
        <v>8965</v>
      </c>
      <c r="E11" s="594">
        <f t="shared" si="0"/>
        <v>0.61806273698724579</v>
      </c>
      <c r="F11" s="593">
        <f>VLOOKUP($A$4:$A$30,'Anuid PF'!$A$7:$G$33,7,)</f>
        <v>15690</v>
      </c>
      <c r="G11" s="592">
        <f>VLOOKUP($A$4:$A$30,'Anuid PF'!$A$7:$H$33,8,)</f>
        <v>501</v>
      </c>
      <c r="H11" s="593">
        <f>VLOOKUP($A$4:$A$30,'Anuid PF'!$A$7:$I$33,9,)</f>
        <v>15189</v>
      </c>
      <c r="I11" s="593">
        <f>VLOOKUP($A$4:$A$30,'Anuid PF'!$A$7:$K$33,10,0)</f>
        <v>11184</v>
      </c>
      <c r="J11" s="593">
        <f>VLOOKUP($A$4:$A$30,'Anuid PF'!$A$7:$L$33,11,0)</f>
        <v>7115</v>
      </c>
      <c r="K11" s="592">
        <f t="shared" si="1"/>
        <v>4069</v>
      </c>
      <c r="L11" s="591">
        <f t="shared" si="2"/>
        <v>0.73632233853446571</v>
      </c>
      <c r="M11" s="590">
        <f t="shared" si="3"/>
        <v>2.8178243774574128</v>
      </c>
      <c r="N11" s="590">
        <f t="shared" si="4"/>
        <v>24.751812604573331</v>
      </c>
      <c r="O11" s="589">
        <f t="shared" si="5"/>
        <v>0.11825960154721993</v>
      </c>
      <c r="P11" s="581"/>
      <c r="Q11" s="596" t="str">
        <f t="shared" si="6"/>
        <v>MG</v>
      </c>
      <c r="R11" s="591">
        <f t="shared" si="7"/>
        <v>0.73632233853446571</v>
      </c>
    </row>
    <row r="12" spans="1:18" ht="16.5" thickBot="1">
      <c r="A12" s="596" t="s">
        <v>92</v>
      </c>
      <c r="B12" s="595">
        <f>VLOOKUP($A$4:$A$30,'Anuid PF'!$A$7:$E$33,2,0)</f>
        <v>3593</v>
      </c>
      <c r="C12" s="595">
        <f>VLOOKUP($A$4:$A$30,'Anuid PF'!$A$7:$E$33,3,0)</f>
        <v>3389</v>
      </c>
      <c r="D12" s="595">
        <f>VLOOKUP($A$4:$A$30,'Anuid PF'!$A$7:$E$33,4,0)</f>
        <v>1980</v>
      </c>
      <c r="E12" s="594">
        <f t="shared" si="0"/>
        <v>0.58424313956919449</v>
      </c>
      <c r="F12" s="593">
        <f>VLOOKUP($A$4:$A$30,'Anuid PF'!$A$7:$G$33,7,)</f>
        <v>3872</v>
      </c>
      <c r="G12" s="592">
        <f>VLOOKUP($A$4:$A$30,'Anuid PF'!$A$7:$H$33,8,)</f>
        <v>137</v>
      </c>
      <c r="H12" s="593">
        <f>VLOOKUP($A$4:$A$30,'Anuid PF'!$A$7:$I$33,9,)</f>
        <v>3735</v>
      </c>
      <c r="I12" s="593">
        <f>VLOOKUP($A$4:$A$30,'Anuid PF'!$A$7:$K$33,10,0)</f>
        <v>2748</v>
      </c>
      <c r="J12" s="593">
        <f>VLOOKUP($A$4:$A$30,'Anuid PF'!$A$7:$L$33,11,0)</f>
        <v>1773</v>
      </c>
      <c r="K12" s="592">
        <f t="shared" si="1"/>
        <v>975</v>
      </c>
      <c r="L12" s="591">
        <f t="shared" si="2"/>
        <v>0.73574297188755022</v>
      </c>
      <c r="M12" s="590">
        <f t="shared" si="3"/>
        <v>7.7650988032285113</v>
      </c>
      <c r="N12" s="590">
        <f t="shared" si="4"/>
        <v>38.787878787878782</v>
      </c>
      <c r="O12" s="589">
        <f t="shared" si="5"/>
        <v>0.15149983231835573</v>
      </c>
      <c r="P12" s="581"/>
      <c r="Q12" s="596" t="str">
        <f t="shared" si="6"/>
        <v>CE</v>
      </c>
      <c r="R12" s="591">
        <f t="shared" si="7"/>
        <v>0.73574297188755022</v>
      </c>
    </row>
    <row r="13" spans="1:18" ht="16.5" thickBot="1">
      <c r="A13" s="596" t="s">
        <v>93</v>
      </c>
      <c r="B13" s="595">
        <f>VLOOKUP($A$4:$A$30,'Anuid PF'!$A$7:$E$33,2,0)</f>
        <v>6105</v>
      </c>
      <c r="C13" s="595">
        <f>VLOOKUP($A$4:$A$30,'Anuid PF'!$A$7:$E$33,3,0)</f>
        <v>5649</v>
      </c>
      <c r="D13" s="595">
        <f>VLOOKUP($A$4:$A$30,'Anuid PF'!$A$7:$E$33,4,0)</f>
        <v>3713</v>
      </c>
      <c r="E13" s="594">
        <f t="shared" si="0"/>
        <v>0.65728447512834132</v>
      </c>
      <c r="F13" s="593">
        <f>VLOOKUP($A$4:$A$30,'Anuid PF'!$A$7:$G$33,7,)</f>
        <v>6203</v>
      </c>
      <c r="G13" s="592">
        <f>VLOOKUP($A$4:$A$30,'Anuid PF'!$A$7:$H$33,8,)</f>
        <v>365</v>
      </c>
      <c r="H13" s="593">
        <f>VLOOKUP($A$4:$A$30,'Anuid PF'!$A$7:$I$33,9,)</f>
        <v>5838</v>
      </c>
      <c r="I13" s="593">
        <f>VLOOKUP($A$4:$A$30,'Anuid PF'!$A$7:$K$33,10,0)</f>
        <v>4279</v>
      </c>
      <c r="J13" s="593">
        <f>VLOOKUP($A$4:$A$30,'Anuid PF'!$A$7:$L$33,11,0)</f>
        <v>2815</v>
      </c>
      <c r="K13" s="592">
        <f t="shared" si="1"/>
        <v>1464</v>
      </c>
      <c r="L13" s="591">
        <f t="shared" si="2"/>
        <v>0.73295649194929768</v>
      </c>
      <c r="M13" s="590">
        <f t="shared" si="3"/>
        <v>1.6052416052416021</v>
      </c>
      <c r="N13" s="590">
        <f t="shared" si="4"/>
        <v>15.243738217075148</v>
      </c>
      <c r="O13" s="589">
        <f t="shared" si="5"/>
        <v>7.5672016820956367E-2</v>
      </c>
      <c r="P13" s="581"/>
      <c r="Q13" s="596" t="str">
        <f t="shared" si="6"/>
        <v>DF</v>
      </c>
      <c r="R13" s="591">
        <f t="shared" si="7"/>
        <v>0.73295649194929768</v>
      </c>
    </row>
    <row r="14" spans="1:18" ht="16.5" thickBot="1">
      <c r="A14" s="596" t="s">
        <v>113</v>
      </c>
      <c r="B14" s="595">
        <f>VLOOKUP($A$4:$A$30,'Anuid PF'!$A$7:$E$33,2,0)</f>
        <v>711</v>
      </c>
      <c r="C14" s="595">
        <f>VLOOKUP($A$4:$A$30,'Anuid PF'!$A$7:$E$33,3,0)</f>
        <v>694</v>
      </c>
      <c r="D14" s="595">
        <f>VLOOKUP($A$4:$A$30,'Anuid PF'!$A$7:$E$33,4,0)</f>
        <v>463</v>
      </c>
      <c r="E14" s="594">
        <f t="shared" si="0"/>
        <v>0.66714697406340062</v>
      </c>
      <c r="F14" s="593">
        <f>VLOOKUP($A$4:$A$30,'Anuid PF'!$A$7:$G$33,7,)</f>
        <v>751</v>
      </c>
      <c r="G14" s="592">
        <f>VLOOKUP($A$4:$A$30,'Anuid PF'!$A$7:$H$33,8,)</f>
        <v>11</v>
      </c>
      <c r="H14" s="593">
        <f>VLOOKUP($A$4:$A$30,'Anuid PF'!$A$7:$I$33,9,)</f>
        <v>740</v>
      </c>
      <c r="I14" s="593">
        <f>VLOOKUP($A$4:$A$30,'Anuid PF'!$A$7:$K$33,10,0)</f>
        <v>542</v>
      </c>
      <c r="J14" s="593">
        <f>VLOOKUP($A$4:$A$30,'Anuid PF'!$A$7:$L$33,11,0)</f>
        <v>277</v>
      </c>
      <c r="K14" s="592">
        <f t="shared" si="1"/>
        <v>265</v>
      </c>
      <c r="L14" s="591">
        <f t="shared" si="2"/>
        <v>0.73243243243243239</v>
      </c>
      <c r="M14" s="590">
        <f t="shared" si="3"/>
        <v>5.6258790436005626</v>
      </c>
      <c r="N14" s="590">
        <f t="shared" si="4"/>
        <v>17.062634989200859</v>
      </c>
      <c r="O14" s="589">
        <f t="shared" si="5"/>
        <v>6.5285458369031768E-2</v>
      </c>
      <c r="P14" s="581"/>
      <c r="Q14" s="596" t="str">
        <f t="shared" si="6"/>
        <v>TO</v>
      </c>
      <c r="R14" s="591">
        <f t="shared" si="7"/>
        <v>0.73243243243243239</v>
      </c>
    </row>
    <row r="15" spans="1:18" ht="16.5" thickBot="1">
      <c r="A15" s="596" t="s">
        <v>111</v>
      </c>
      <c r="B15" s="595">
        <f>VLOOKUP($A$4:$A$30,'Anuid PF'!$A$7:$E$33,2,0)</f>
        <v>62511</v>
      </c>
      <c r="C15" s="595">
        <f>VLOOKUP($A$4:$A$30,'Anuid PF'!$A$7:$E$33,3,0)</f>
        <v>59157</v>
      </c>
      <c r="D15" s="595">
        <f>VLOOKUP($A$4:$A$30,'Anuid PF'!$A$7:$E$33,4,0)</f>
        <v>34882</v>
      </c>
      <c r="E15" s="594">
        <f t="shared" si="0"/>
        <v>0.58965126696756087</v>
      </c>
      <c r="F15" s="593">
        <f>VLOOKUP($A$4:$A$30,'Anuid PF'!$A$7:$G$33,7,)</f>
        <v>61253</v>
      </c>
      <c r="G15" s="592">
        <f>VLOOKUP($A$4:$A$30,'Anuid PF'!$A$7:$H$33,8,)</f>
        <v>3042</v>
      </c>
      <c r="H15" s="593">
        <f>VLOOKUP($A$4:$A$30,'Anuid PF'!$A$7:$I$33,9,)</f>
        <v>58211</v>
      </c>
      <c r="I15" s="593">
        <f>VLOOKUP($A$4:$A$30,'Anuid PF'!$A$7:$K$33,10,0)</f>
        <v>42598</v>
      </c>
      <c r="J15" s="593">
        <f>VLOOKUP($A$4:$A$30,'Anuid PF'!$A$7:$L$33,11,0)</f>
        <v>26608</v>
      </c>
      <c r="K15" s="592">
        <f t="shared" si="1"/>
        <v>15990</v>
      </c>
      <c r="L15" s="591">
        <f t="shared" si="2"/>
        <v>0.73178608853996663</v>
      </c>
      <c r="M15" s="590">
        <f t="shared" si="3"/>
        <v>-2.0124458095375246</v>
      </c>
      <c r="N15" s="590">
        <f t="shared" si="4"/>
        <v>22.120291267702541</v>
      </c>
      <c r="O15" s="589">
        <f t="shared" si="5"/>
        <v>0.14213482157240576</v>
      </c>
      <c r="P15" s="581"/>
      <c r="Q15" s="596" t="str">
        <f t="shared" si="6"/>
        <v>SP</v>
      </c>
      <c r="R15" s="591">
        <f t="shared" si="7"/>
        <v>0.73178608853996663</v>
      </c>
    </row>
    <row r="16" spans="1:18" ht="16.5" thickBot="1">
      <c r="A16" s="596" t="s">
        <v>91</v>
      </c>
      <c r="B16" s="595">
        <f>VLOOKUP($A$4:$A$30,'Anuid PF'!$A$7:$E$33,2,0)</f>
        <v>6154</v>
      </c>
      <c r="C16" s="595">
        <f>VLOOKUP($A$4:$A$30,'Anuid PF'!$A$7:$E$33,3,0)</f>
        <v>5441</v>
      </c>
      <c r="D16" s="595">
        <f>VLOOKUP($A$4:$A$30,'Anuid PF'!$A$7:$E$33,4,0)</f>
        <v>2952</v>
      </c>
      <c r="E16" s="594">
        <f t="shared" si="0"/>
        <v>0.54254732585921706</v>
      </c>
      <c r="F16" s="593">
        <f>VLOOKUP($A$4:$A$30,'Anuid PF'!$A$7:$G$33,7,)</f>
        <v>6492</v>
      </c>
      <c r="G16" s="592">
        <f>VLOOKUP($A$4:$A$30,'Anuid PF'!$A$7:$H$33,8,)</f>
        <v>614</v>
      </c>
      <c r="H16" s="593">
        <f>VLOOKUP($A$4:$A$30,'Anuid PF'!$A$7:$I$33,9,)</f>
        <v>5878</v>
      </c>
      <c r="I16" s="593">
        <f>VLOOKUP($A$4:$A$30,'Anuid PF'!$A$7:$K$33,10,0)</f>
        <v>4264</v>
      </c>
      <c r="J16" s="593">
        <f>VLOOKUP($A$4:$A$30,'Anuid PF'!$A$7:$L$33,11,0)</f>
        <v>2634</v>
      </c>
      <c r="K16" s="592">
        <f t="shared" si="1"/>
        <v>1630</v>
      </c>
      <c r="L16" s="591">
        <f t="shared" si="2"/>
        <v>0.7254168084382443</v>
      </c>
      <c r="M16" s="590">
        <f t="shared" si="3"/>
        <v>5.4923626909327226</v>
      </c>
      <c r="N16" s="590">
        <f t="shared" si="4"/>
        <v>44.444444444444429</v>
      </c>
      <c r="O16" s="589">
        <f t="shared" si="5"/>
        <v>0.18286948257902724</v>
      </c>
      <c r="P16" s="581"/>
      <c r="Q16" s="596" t="str">
        <f t="shared" si="6"/>
        <v>BA</v>
      </c>
      <c r="R16" s="591">
        <f t="shared" si="7"/>
        <v>0.7254168084382443</v>
      </c>
    </row>
    <row r="17" spans="1:18" ht="16.5" thickBot="1">
      <c r="A17" s="596" t="s">
        <v>101</v>
      </c>
      <c r="B17" s="595">
        <f>VLOOKUP($A$4:$A$30,'Anuid PF'!$A$7:$E$33,2,0)</f>
        <v>2536</v>
      </c>
      <c r="C17" s="595">
        <f>VLOOKUP($A$4:$A$30,'Anuid PF'!$A$7:$E$33,3,0)</f>
        <v>2455</v>
      </c>
      <c r="D17" s="595">
        <f>VLOOKUP($A$4:$A$30,'Anuid PF'!$A$7:$E$33,4,0)</f>
        <v>1230</v>
      </c>
      <c r="E17" s="594">
        <f t="shared" si="0"/>
        <v>0.50101832993890016</v>
      </c>
      <c r="F17" s="593">
        <f>VLOOKUP($A$4:$A$30,'Anuid PF'!$A$7:$G$33,7,)</f>
        <v>2639</v>
      </c>
      <c r="G17" s="592">
        <f>VLOOKUP($A$4:$A$30,'Anuid PF'!$A$7:$H$33,8,)</f>
        <v>31</v>
      </c>
      <c r="H17" s="593">
        <f>VLOOKUP($A$4:$A$30,'Anuid PF'!$A$7:$I$33,9,)</f>
        <v>2608</v>
      </c>
      <c r="I17" s="593">
        <f>VLOOKUP($A$4:$A$30,'Anuid PF'!$A$7:$K$33,10,0)</f>
        <v>1872</v>
      </c>
      <c r="J17" s="593">
        <f>VLOOKUP($A$4:$A$30,'Anuid PF'!$A$7:$L$33,11,0)</f>
        <v>1160</v>
      </c>
      <c r="K17" s="592">
        <f t="shared" si="1"/>
        <v>712</v>
      </c>
      <c r="L17" s="591">
        <f t="shared" si="2"/>
        <v>0.71779141104294475</v>
      </c>
      <c r="M17" s="590">
        <f t="shared" si="3"/>
        <v>4.0615141955835981</v>
      </c>
      <c r="N17" s="590">
        <f t="shared" si="4"/>
        <v>52.195121951219505</v>
      </c>
      <c r="O17" s="589">
        <f t="shared" si="5"/>
        <v>0.21677308110404458</v>
      </c>
      <c r="P17" s="581"/>
      <c r="Q17" s="596" t="str">
        <f t="shared" si="6"/>
        <v>PB</v>
      </c>
      <c r="R17" s="591">
        <f t="shared" si="7"/>
        <v>0.71779141104294475</v>
      </c>
    </row>
    <row r="18" spans="1:18" ht="16.5" thickBot="1">
      <c r="A18" s="596" t="s">
        <v>112</v>
      </c>
      <c r="B18" s="595">
        <f>VLOOKUP($A$4:$A$30,'Anuid PF'!$A$7:$E$33,2,0)</f>
        <v>1381</v>
      </c>
      <c r="C18" s="595">
        <f>VLOOKUP($A$4:$A$30,'Anuid PF'!$A$7:$E$33,3,0)</f>
        <v>1344</v>
      </c>
      <c r="D18" s="595">
        <f>VLOOKUP($A$4:$A$30,'Anuid PF'!$A$7:$E$33,4,0)</f>
        <v>736</v>
      </c>
      <c r="E18" s="594">
        <f t="shared" si="0"/>
        <v>0.54761904761904767</v>
      </c>
      <c r="F18" s="593">
        <f>VLOOKUP($A$4:$A$30,'Anuid PF'!$A$7:$G$33,7,)</f>
        <v>1444</v>
      </c>
      <c r="G18" s="592">
        <f>VLOOKUP($A$4:$A$30,'Anuid PF'!$A$7:$H$33,8,)</f>
        <v>24</v>
      </c>
      <c r="H18" s="593">
        <f>VLOOKUP($A$4:$A$30,'Anuid PF'!$A$7:$I$33,9,)</f>
        <v>1420</v>
      </c>
      <c r="I18" s="593">
        <f>VLOOKUP($A$4:$A$30,'Anuid PF'!$A$7:$K$33,10,0)</f>
        <v>1014</v>
      </c>
      <c r="J18" s="593">
        <f>VLOOKUP($A$4:$A$30,'Anuid PF'!$A$7:$L$33,11,0)</f>
        <v>617</v>
      </c>
      <c r="K18" s="592">
        <f t="shared" si="1"/>
        <v>397</v>
      </c>
      <c r="L18" s="591">
        <f t="shared" si="2"/>
        <v>0.71408450704225357</v>
      </c>
      <c r="M18" s="590">
        <f t="shared" si="3"/>
        <v>4.5619116582186905</v>
      </c>
      <c r="N18" s="590">
        <f t="shared" si="4"/>
        <v>37.771739130434781</v>
      </c>
      <c r="O18" s="589">
        <f t="shared" si="5"/>
        <v>0.1664654594232059</v>
      </c>
      <c r="P18" s="581"/>
      <c r="Q18" s="596" t="str">
        <f t="shared" si="6"/>
        <v>SE</v>
      </c>
      <c r="R18" s="591">
        <f t="shared" si="7"/>
        <v>0.71408450704225357</v>
      </c>
    </row>
    <row r="19" spans="1:18" ht="16.5" thickBot="1">
      <c r="A19" s="596" t="s">
        <v>95</v>
      </c>
      <c r="B19" s="595">
        <f>VLOOKUP($A$4:$A$30,'Anuid PF'!$A$7:$E$33,2,0)</f>
        <v>4514</v>
      </c>
      <c r="C19" s="595">
        <f>VLOOKUP($A$4:$A$30,'Anuid PF'!$A$7:$E$33,3,0)</f>
        <v>4349</v>
      </c>
      <c r="D19" s="595">
        <f>VLOOKUP($A$4:$A$30,'Anuid PF'!$A$7:$E$33,4,0)</f>
        <v>2613</v>
      </c>
      <c r="E19" s="594">
        <f t="shared" si="0"/>
        <v>0.60082777650034491</v>
      </c>
      <c r="F19" s="593">
        <f>VLOOKUP($A$4:$A$30,'Anuid PF'!$A$7:$G$33,7,)</f>
        <v>4702</v>
      </c>
      <c r="G19" s="592">
        <f>VLOOKUP($A$4:$A$30,'Anuid PF'!$A$7:$H$33,8,)</f>
        <v>139</v>
      </c>
      <c r="H19" s="593">
        <f>VLOOKUP($A$4:$A$30,'Anuid PF'!$A$7:$I$33,9,)</f>
        <v>4563</v>
      </c>
      <c r="I19" s="593">
        <f>VLOOKUP($A$4:$A$30,'Anuid PF'!$A$7:$K$33,10,0)</f>
        <v>3218</v>
      </c>
      <c r="J19" s="593">
        <f>VLOOKUP($A$4:$A$30,'Anuid PF'!$A$7:$L$33,11,0)</f>
        <v>1951</v>
      </c>
      <c r="K19" s="592">
        <f t="shared" si="1"/>
        <v>1267</v>
      </c>
      <c r="L19" s="591">
        <f t="shared" si="2"/>
        <v>0.70523778216085908</v>
      </c>
      <c r="M19" s="590">
        <f t="shared" si="3"/>
        <v>4.1648205582631732</v>
      </c>
      <c r="N19" s="590">
        <f t="shared" si="4"/>
        <v>23.153463451970907</v>
      </c>
      <c r="O19" s="589">
        <f t="shared" si="5"/>
        <v>0.10441000566051417</v>
      </c>
      <c r="P19" s="581"/>
      <c r="Q19" s="596" t="str">
        <f t="shared" si="6"/>
        <v>GO</v>
      </c>
      <c r="R19" s="591">
        <f t="shared" si="7"/>
        <v>0.70523778216085908</v>
      </c>
    </row>
    <row r="20" spans="1:18" ht="16.5" thickBot="1">
      <c r="A20" s="596" t="s">
        <v>87</v>
      </c>
      <c r="B20" s="595">
        <f>VLOOKUP($A$4:$A$30,'Anuid PF'!$A$7:$E$33,2,0)</f>
        <v>586</v>
      </c>
      <c r="C20" s="595">
        <f>VLOOKUP($A$4:$A$30,'Anuid PF'!$A$7:$E$33,3,0)</f>
        <v>574</v>
      </c>
      <c r="D20" s="595">
        <f>VLOOKUP($A$4:$A$30,'Anuid PF'!$A$7:$E$33,4,0)</f>
        <v>317</v>
      </c>
      <c r="E20" s="594">
        <f t="shared" si="0"/>
        <v>0.55226480836236935</v>
      </c>
      <c r="F20" s="593">
        <f>VLOOKUP($A$4:$A$30,'Anuid PF'!$A$7:$G$33,7,)</f>
        <v>635</v>
      </c>
      <c r="G20" s="592">
        <f>VLOOKUP($A$4:$A$30,'Anuid PF'!$A$7:$H$33,8,)</f>
        <v>6</v>
      </c>
      <c r="H20" s="593">
        <f>VLOOKUP($A$4:$A$30,'Anuid PF'!$A$7:$I$33,9,)</f>
        <v>629</v>
      </c>
      <c r="I20" s="593">
        <f>VLOOKUP($A$4:$A$30,'Anuid PF'!$A$7:$K$33,10,0)</f>
        <v>442</v>
      </c>
      <c r="J20" s="593">
        <f>VLOOKUP($A$4:$A$30,'Anuid PF'!$A$7:$L$33,11,0)</f>
        <v>207</v>
      </c>
      <c r="K20" s="592">
        <f t="shared" si="1"/>
        <v>235</v>
      </c>
      <c r="L20" s="591">
        <f t="shared" si="2"/>
        <v>0.70270270270270274</v>
      </c>
      <c r="M20" s="590">
        <f t="shared" si="3"/>
        <v>8.3617747440273007</v>
      </c>
      <c r="N20" s="590">
        <f t="shared" si="4"/>
        <v>39.432176656151427</v>
      </c>
      <c r="O20" s="589">
        <f t="shared" si="5"/>
        <v>0.15043789434033339</v>
      </c>
      <c r="P20" s="581"/>
      <c r="Q20" s="596" t="str">
        <f t="shared" si="6"/>
        <v>AC</v>
      </c>
      <c r="R20" s="591">
        <f t="shared" si="7"/>
        <v>0.70270270270270274</v>
      </c>
    </row>
    <row r="21" spans="1:18" ht="16.5" thickBot="1">
      <c r="A21" s="596" t="s">
        <v>90</v>
      </c>
      <c r="B21" s="595">
        <f>VLOOKUP($A$4:$A$30,'Anuid PF'!$A$7:$E$33,2,0)</f>
        <v>1797</v>
      </c>
      <c r="C21" s="595">
        <f>VLOOKUP($A$4:$A$30,'Anuid PF'!$A$7:$E$33,3,0)</f>
        <v>1782</v>
      </c>
      <c r="D21" s="595">
        <f>VLOOKUP($A$4:$A$30,'Anuid PF'!$A$7:$E$33,4,0)</f>
        <v>930</v>
      </c>
      <c r="E21" s="594">
        <f t="shared" si="0"/>
        <v>0.52188552188552184</v>
      </c>
      <c r="F21" s="593">
        <f>VLOOKUP($A$4:$A$30,'Anuid PF'!$A$7:$G$33,7,)</f>
        <v>1744</v>
      </c>
      <c r="G21" s="592">
        <f>VLOOKUP($A$4:$A$30,'Anuid PF'!$A$7:$H$33,8,)</f>
        <v>7</v>
      </c>
      <c r="H21" s="593">
        <f>VLOOKUP($A$4:$A$30,'Anuid PF'!$A$7:$I$33,9,)</f>
        <v>1737</v>
      </c>
      <c r="I21" s="593">
        <f>VLOOKUP($A$4:$A$30,'Anuid PF'!$A$7:$K$33,10,0)</f>
        <v>1214</v>
      </c>
      <c r="J21" s="593">
        <f>VLOOKUP($A$4:$A$30,'Anuid PF'!$A$7:$L$33,11,0)</f>
        <v>641</v>
      </c>
      <c r="K21" s="592">
        <f t="shared" si="1"/>
        <v>573</v>
      </c>
      <c r="L21" s="591">
        <f t="shared" si="2"/>
        <v>0.69890616004605643</v>
      </c>
      <c r="M21" s="590">
        <f t="shared" si="3"/>
        <v>-2.9493600445186416</v>
      </c>
      <c r="N21" s="590">
        <f t="shared" si="4"/>
        <v>30.537634408602145</v>
      </c>
      <c r="O21" s="589">
        <f t="shared" si="5"/>
        <v>0.17702063816053459</v>
      </c>
      <c r="P21" s="581"/>
      <c r="Q21" s="596" t="str">
        <f t="shared" si="6"/>
        <v>AM</v>
      </c>
      <c r="R21" s="591">
        <f t="shared" si="7"/>
        <v>0.69890616004605643</v>
      </c>
    </row>
    <row r="22" spans="1:18" ht="16.5" thickBot="1">
      <c r="A22" s="596" t="s">
        <v>105</v>
      </c>
      <c r="B22" s="595">
        <f>VLOOKUP($A$4:$A$30,'Anuid PF'!$A$7:$E$33,2,0)</f>
        <v>19977</v>
      </c>
      <c r="C22" s="595">
        <f>VLOOKUP($A$4:$A$30,'Anuid PF'!$A$7:$E$33,3,0)</f>
        <v>17363</v>
      </c>
      <c r="D22" s="595">
        <f>VLOOKUP($A$4:$A$30,'Anuid PF'!$A$7:$E$33,4,0)</f>
        <v>9615</v>
      </c>
      <c r="E22" s="594">
        <f t="shared" si="0"/>
        <v>0.55376375050394522</v>
      </c>
      <c r="F22" s="593">
        <f>VLOOKUP($A$4:$A$30,'Anuid PF'!$A$7:$G$33,7,)</f>
        <v>20366</v>
      </c>
      <c r="G22" s="592">
        <f>VLOOKUP($A$4:$A$30,'Anuid PF'!$A$7:$H$33,8,)</f>
        <v>2534</v>
      </c>
      <c r="H22" s="593">
        <f>VLOOKUP($A$4:$A$30,'Anuid PF'!$A$7:$I$33,9,)</f>
        <v>17832</v>
      </c>
      <c r="I22" s="593">
        <f>VLOOKUP($A$4:$A$30,'Anuid PF'!$A$7:$K$33,10,0)</f>
        <v>12365</v>
      </c>
      <c r="J22" s="593">
        <f>VLOOKUP($A$4:$A$30,'Anuid PF'!$A$7:$L$33,11,0)</f>
        <v>8189</v>
      </c>
      <c r="K22" s="592">
        <f t="shared" si="1"/>
        <v>4176</v>
      </c>
      <c r="L22" s="591">
        <f t="shared" si="2"/>
        <v>0.6934163301929116</v>
      </c>
      <c r="M22" s="590">
        <f t="shared" si="3"/>
        <v>1.9472393252240039</v>
      </c>
      <c r="N22" s="590">
        <f t="shared" si="4"/>
        <v>28.601144045761828</v>
      </c>
      <c r="O22" s="589">
        <f t="shared" si="5"/>
        <v>0.13965257968896638</v>
      </c>
      <c r="P22" s="581"/>
      <c r="Q22" s="596" t="str">
        <f t="shared" si="6"/>
        <v>RJ</v>
      </c>
      <c r="R22" s="591">
        <f t="shared" si="7"/>
        <v>0.6934163301929116</v>
      </c>
    </row>
    <row r="23" spans="1:18" ht="16.5" thickBot="1">
      <c r="A23" s="596" t="s">
        <v>108</v>
      </c>
      <c r="B23" s="595">
        <f>VLOOKUP($A$4:$A$30,'Anuid PF'!$A$7:$E$33,2,0)</f>
        <v>1145</v>
      </c>
      <c r="C23" s="595">
        <f>VLOOKUP($A$4:$A$30,'Anuid PF'!$A$7:$E$33,3,0)</f>
        <v>1118</v>
      </c>
      <c r="D23" s="595">
        <f>VLOOKUP($A$4:$A$30,'Anuid PF'!$A$7:$E$33,4,0)</f>
        <v>669</v>
      </c>
      <c r="E23" s="594">
        <f t="shared" si="0"/>
        <v>0.59838998211091232</v>
      </c>
      <c r="F23" s="593">
        <f>VLOOKUP($A$4:$A$30,'Anuid PF'!$A$7:$G$33,7,)</f>
        <v>1224</v>
      </c>
      <c r="G23" s="592">
        <f>VLOOKUP($A$4:$A$30,'Anuid PF'!$A$7:$H$33,8,)</f>
        <v>6</v>
      </c>
      <c r="H23" s="593">
        <f>VLOOKUP($A$4:$A$30,'Anuid PF'!$A$7:$I$33,9,)</f>
        <v>1218</v>
      </c>
      <c r="I23" s="593">
        <f>VLOOKUP($A$4:$A$30,'Anuid PF'!$A$7:$K$33,10,0)</f>
        <v>844</v>
      </c>
      <c r="J23" s="593">
        <f>VLOOKUP($A$4:$A$30,'Anuid PF'!$A$7:$L$33,11,0)</f>
        <v>482</v>
      </c>
      <c r="K23" s="592">
        <f t="shared" si="1"/>
        <v>362</v>
      </c>
      <c r="L23" s="591">
        <f t="shared" si="2"/>
        <v>0.69293924466338264</v>
      </c>
      <c r="M23" s="590">
        <f t="shared" si="3"/>
        <v>6.8995633187772967</v>
      </c>
      <c r="N23" s="590">
        <f t="shared" si="4"/>
        <v>26.15844544095664</v>
      </c>
      <c r="O23" s="589">
        <f t="shared" si="5"/>
        <v>9.4549262552470315E-2</v>
      </c>
      <c r="P23" s="581"/>
      <c r="Q23" s="596" t="str">
        <f t="shared" si="6"/>
        <v>RO</v>
      </c>
      <c r="R23" s="591">
        <f t="shared" si="7"/>
        <v>0.69293924466338264</v>
      </c>
    </row>
    <row r="24" spans="1:18" ht="16.5" thickBot="1">
      <c r="A24" s="596" t="s">
        <v>106</v>
      </c>
      <c r="B24" s="595">
        <f>VLOOKUP($A$4:$A$30,'Anuid PF'!$A$7:$E$33,2,0)</f>
        <v>2420</v>
      </c>
      <c r="C24" s="595">
        <f>VLOOKUP($A$4:$A$30,'Anuid PF'!$A$7:$E$33,3,0)</f>
        <v>2358</v>
      </c>
      <c r="D24" s="595">
        <f>VLOOKUP($A$4:$A$30,'Anuid PF'!$A$7:$E$33,4,0)</f>
        <v>1410</v>
      </c>
      <c r="E24" s="594">
        <f t="shared" si="0"/>
        <v>0.59796437659033075</v>
      </c>
      <c r="F24" s="593">
        <f>VLOOKUP($A$4:$A$30,'Anuid PF'!$A$7:$G$33,7,)</f>
        <v>2487</v>
      </c>
      <c r="G24" s="592">
        <f>VLOOKUP($A$4:$A$30,'Anuid PF'!$A$7:$H$33,8,)</f>
        <v>34</v>
      </c>
      <c r="H24" s="593">
        <f>VLOOKUP($A$4:$A$30,'Anuid PF'!$A$7:$I$33,9,)</f>
        <v>2453</v>
      </c>
      <c r="I24" s="593">
        <f>VLOOKUP($A$4:$A$30,'Anuid PF'!$A$7:$K$33,10,0)</f>
        <v>1695</v>
      </c>
      <c r="J24" s="593">
        <f>VLOOKUP($A$4:$A$30,'Anuid PF'!$A$7:$L$33,11,0)</f>
        <v>1010</v>
      </c>
      <c r="K24" s="592">
        <f t="shared" si="1"/>
        <v>685</v>
      </c>
      <c r="L24" s="591">
        <f t="shared" si="2"/>
        <v>0.69099062372604969</v>
      </c>
      <c r="M24" s="590">
        <f t="shared" si="3"/>
        <v>2.7685950413223139</v>
      </c>
      <c r="N24" s="590">
        <f t="shared" si="4"/>
        <v>20.212765957446805</v>
      </c>
      <c r="O24" s="589">
        <f t="shared" si="5"/>
        <v>9.3026247135718942E-2</v>
      </c>
      <c r="P24" s="581"/>
      <c r="Q24" s="596" t="str">
        <f t="shared" si="6"/>
        <v>RN</v>
      </c>
      <c r="R24" s="591">
        <f t="shared" si="7"/>
        <v>0.69099062372604969</v>
      </c>
    </row>
    <row r="25" spans="1:18" ht="16.5" thickBot="1">
      <c r="A25" s="596" t="s">
        <v>88</v>
      </c>
      <c r="B25" s="595">
        <f>VLOOKUP($A$4:$A$30,'Anuid PF'!$A$7:$E$33,2,0)</f>
        <v>1973</v>
      </c>
      <c r="C25" s="595">
        <f>VLOOKUP($A$4:$A$30,'Anuid PF'!$A$7:$E$33,3,0)</f>
        <v>1902</v>
      </c>
      <c r="D25" s="595">
        <f>VLOOKUP($A$4:$A$30,'Anuid PF'!$A$7:$E$33,4,0)</f>
        <v>993</v>
      </c>
      <c r="E25" s="594">
        <f t="shared" si="0"/>
        <v>0.52208201892744477</v>
      </c>
      <c r="F25" s="593">
        <f>VLOOKUP($A$4:$A$30,'Anuid PF'!$A$7:$G$33,7,)</f>
        <v>1983</v>
      </c>
      <c r="G25" s="592">
        <f>VLOOKUP($A$4:$A$30,'Anuid PF'!$A$7:$H$33,8,)</f>
        <v>41</v>
      </c>
      <c r="H25" s="593">
        <f>VLOOKUP($A$4:$A$30,'Anuid PF'!$A$7:$I$33,9,)</f>
        <v>1942</v>
      </c>
      <c r="I25" s="593">
        <f>VLOOKUP($A$4:$A$30,'Anuid PF'!$A$7:$K$33,10,0)</f>
        <v>1287</v>
      </c>
      <c r="J25" s="593">
        <f>VLOOKUP($A$4:$A$30,'Anuid PF'!$A$7:$L$33,11,0)</f>
        <v>801</v>
      </c>
      <c r="K25" s="592">
        <f t="shared" si="1"/>
        <v>486</v>
      </c>
      <c r="L25" s="591">
        <f t="shared" si="2"/>
        <v>0.6627188465499485</v>
      </c>
      <c r="M25" s="590">
        <f t="shared" si="3"/>
        <v>0.5068423720223052</v>
      </c>
      <c r="N25" s="590">
        <f t="shared" si="4"/>
        <v>29.607250755286998</v>
      </c>
      <c r="O25" s="589">
        <f t="shared" si="5"/>
        <v>0.14063682762250374</v>
      </c>
      <c r="P25" s="581"/>
      <c r="Q25" s="596" t="str">
        <f t="shared" si="6"/>
        <v>AL</v>
      </c>
      <c r="R25" s="591">
        <f t="shared" si="7"/>
        <v>0.6627188465499485</v>
      </c>
    </row>
    <row r="26" spans="1:18" ht="16.5" thickBot="1">
      <c r="A26" s="596" t="s">
        <v>96</v>
      </c>
      <c r="B26" s="595">
        <f>VLOOKUP($A$4:$A$30,'Anuid PF'!$A$7:$E$33,2,0)</f>
        <v>1662</v>
      </c>
      <c r="C26" s="595">
        <f>VLOOKUP($A$4:$A$30,'Anuid PF'!$A$7:$E$33,3,0)</f>
        <v>1614</v>
      </c>
      <c r="D26" s="595">
        <f>VLOOKUP($A$4:$A$30,'Anuid PF'!$A$7:$E$33,4,0)</f>
        <v>762</v>
      </c>
      <c r="E26" s="594">
        <f t="shared" si="0"/>
        <v>0.47211895910780671</v>
      </c>
      <c r="F26" s="593">
        <f>VLOOKUP($A$4:$A$30,'Anuid PF'!$A$7:$G$33,7,)</f>
        <v>1776</v>
      </c>
      <c r="G26" s="592">
        <f>VLOOKUP($A$4:$A$30,'Anuid PF'!$A$7:$H$33,8,)</f>
        <v>17</v>
      </c>
      <c r="H26" s="593">
        <f>VLOOKUP($A$4:$A$30,'Anuid PF'!$A$7:$I$33,9,)</f>
        <v>1759</v>
      </c>
      <c r="I26" s="593">
        <f>VLOOKUP($A$4:$A$30,'Anuid PF'!$A$7:$K$33,10,0)</f>
        <v>1159</v>
      </c>
      <c r="J26" s="593">
        <f>VLOOKUP($A$4:$A$30,'Anuid PF'!$A$7:$L$33,11,0)</f>
        <v>653</v>
      </c>
      <c r="K26" s="592">
        <f t="shared" si="1"/>
        <v>506</v>
      </c>
      <c r="L26" s="591">
        <f t="shared" si="2"/>
        <v>0.65889710062535534</v>
      </c>
      <c r="M26" s="590">
        <f t="shared" si="3"/>
        <v>6.8592057761732974</v>
      </c>
      <c r="N26" s="590">
        <f t="shared" si="4"/>
        <v>52.099737532808405</v>
      </c>
      <c r="O26" s="589">
        <f t="shared" si="5"/>
        <v>0.18677814151754862</v>
      </c>
      <c r="P26" s="581"/>
      <c r="Q26" s="596" t="str">
        <f t="shared" si="6"/>
        <v>MA</v>
      </c>
      <c r="R26" s="591">
        <f t="shared" si="7"/>
        <v>0.65889710062535534</v>
      </c>
    </row>
    <row r="27" spans="1:18" ht="16.5" thickBot="1">
      <c r="A27" s="596" t="s">
        <v>98</v>
      </c>
      <c r="B27" s="595">
        <f>VLOOKUP($A$4:$A$30,'Anuid PF'!$A$7:$E$33,2,0)</f>
        <v>3207</v>
      </c>
      <c r="C27" s="595">
        <f>VLOOKUP($A$4:$A$30,'Anuid PF'!$A$7:$E$33,3,0)</f>
        <v>3117</v>
      </c>
      <c r="D27" s="595">
        <f>VLOOKUP($A$4:$A$30,'Anuid PF'!$A$7:$E$33,4,0)</f>
        <v>1686</v>
      </c>
      <c r="E27" s="594">
        <f t="shared" si="0"/>
        <v>0.54090471607314727</v>
      </c>
      <c r="F27" s="593">
        <f>VLOOKUP($A$4:$A$30,'Anuid PF'!$A$7:$G$33,7,)</f>
        <v>3285</v>
      </c>
      <c r="G27" s="592">
        <f>VLOOKUP($A$4:$A$30,'Anuid PF'!$A$7:$H$33,8,)</f>
        <v>40</v>
      </c>
      <c r="H27" s="593">
        <f>VLOOKUP($A$4:$A$30,'Anuid PF'!$A$7:$I$33,9,)</f>
        <v>3245</v>
      </c>
      <c r="I27" s="593">
        <f>VLOOKUP($A$4:$A$30,'Anuid PF'!$A$7:$K$33,10,0)</f>
        <v>2061</v>
      </c>
      <c r="J27" s="593">
        <f>VLOOKUP($A$4:$A$30,'Anuid PF'!$A$7:$L$33,11,0)</f>
        <v>1196</v>
      </c>
      <c r="K27" s="592">
        <f t="shared" si="1"/>
        <v>865</v>
      </c>
      <c r="L27" s="591">
        <f t="shared" si="2"/>
        <v>0.63513097072419111</v>
      </c>
      <c r="M27" s="590">
        <f t="shared" si="3"/>
        <v>2.4321796071094468</v>
      </c>
      <c r="N27" s="590">
        <f t="shared" si="4"/>
        <v>22.241992882562272</v>
      </c>
      <c r="O27" s="589">
        <f t="shared" si="5"/>
        <v>9.4226254651043839E-2</v>
      </c>
      <c r="P27" s="597"/>
      <c r="Q27" s="596" t="str">
        <f t="shared" si="6"/>
        <v>MS</v>
      </c>
      <c r="R27" s="591">
        <f t="shared" si="7"/>
        <v>0.63513097072419111</v>
      </c>
    </row>
    <row r="28" spans="1:18" ht="16.5" thickBot="1">
      <c r="A28" s="596" t="s">
        <v>89</v>
      </c>
      <c r="B28" s="595">
        <f>VLOOKUP($A$4:$A$30,'Anuid PF'!$A$7:$E$33,2,0)</f>
        <v>715</v>
      </c>
      <c r="C28" s="595">
        <f>VLOOKUP($A$4:$A$30,'Anuid PF'!$A$7:$E$33,3,0)</f>
        <v>707</v>
      </c>
      <c r="D28" s="595">
        <f>VLOOKUP($A$4:$A$30,'Anuid PF'!$A$7:$E$33,4,0)</f>
        <v>323</v>
      </c>
      <c r="E28" s="594">
        <f t="shared" si="0"/>
        <v>0.45685997171145687</v>
      </c>
      <c r="F28" s="593">
        <f>VLOOKUP($A$4:$A$30,'Anuid PF'!$A$7:$G$33,7,)</f>
        <v>748</v>
      </c>
      <c r="G28" s="592">
        <f>VLOOKUP($A$4:$A$30,'Anuid PF'!$A$7:$H$33,8,)</f>
        <v>5</v>
      </c>
      <c r="H28" s="593">
        <f>VLOOKUP($A$4:$A$30,'Anuid PF'!$A$7:$I$33,9,)</f>
        <v>743</v>
      </c>
      <c r="I28" s="593">
        <f>VLOOKUP($A$4:$A$30,'Anuid PF'!$A$7:$K$33,10,0)</f>
        <v>461</v>
      </c>
      <c r="J28" s="593">
        <f>VLOOKUP($A$4:$A$30,'Anuid PF'!$A$7:$L$33,11,0)</f>
        <v>253</v>
      </c>
      <c r="K28" s="592">
        <f t="shared" si="1"/>
        <v>208</v>
      </c>
      <c r="L28" s="591">
        <f t="shared" si="2"/>
        <v>0.62045760430686403</v>
      </c>
      <c r="M28" s="590">
        <f t="shared" si="3"/>
        <v>4.6153846153846274</v>
      </c>
      <c r="N28" s="590">
        <f t="shared" si="4"/>
        <v>42.724458204334383</v>
      </c>
      <c r="O28" s="589">
        <f t="shared" si="5"/>
        <v>0.16359763259540716</v>
      </c>
      <c r="P28" s="581"/>
      <c r="Q28" s="596" t="str">
        <f t="shared" si="6"/>
        <v>AP</v>
      </c>
      <c r="R28" s="591">
        <f t="shared" si="7"/>
        <v>0.62045760430686403</v>
      </c>
    </row>
    <row r="29" spans="1:18" ht="16.5" thickBot="1">
      <c r="A29" s="596" t="s">
        <v>100</v>
      </c>
      <c r="B29" s="595">
        <f>VLOOKUP($A$4:$A$30,'Anuid PF'!$A$7:$E$33,2,0)</f>
        <v>2833</v>
      </c>
      <c r="C29" s="595">
        <f>VLOOKUP($A$4:$A$30,'Anuid PF'!$A$7:$E$33,3,0)</f>
        <v>2673</v>
      </c>
      <c r="D29" s="595">
        <f>VLOOKUP($A$4:$A$30,'Anuid PF'!$A$7:$E$33,4,0)</f>
        <v>1182</v>
      </c>
      <c r="E29" s="594">
        <f t="shared" si="0"/>
        <v>0.44219977553310885</v>
      </c>
      <c r="F29" s="593">
        <f>VLOOKUP($A$4:$A$30,'Anuid PF'!$A$7:$G$33,7,)</f>
        <v>2911</v>
      </c>
      <c r="G29" s="592">
        <f>VLOOKUP($A$4:$A$30,'Anuid PF'!$A$7:$H$33,8,)</f>
        <v>114</v>
      </c>
      <c r="H29" s="593">
        <f>VLOOKUP($A$4:$A$30,'Anuid PF'!$A$7:$I$33,9,)</f>
        <v>2797</v>
      </c>
      <c r="I29" s="593">
        <f>VLOOKUP($A$4:$A$30,'Anuid PF'!$A$7:$K$33,10,0)</f>
        <v>1681</v>
      </c>
      <c r="J29" s="593">
        <f>VLOOKUP($A$4:$A$30,'Anuid PF'!$A$7:$L$33,11,0)</f>
        <v>935</v>
      </c>
      <c r="K29" s="592">
        <f t="shared" si="1"/>
        <v>746</v>
      </c>
      <c r="L29" s="591">
        <f t="shared" si="2"/>
        <v>0.60100107257776192</v>
      </c>
      <c r="M29" s="590">
        <f t="shared" si="3"/>
        <v>2.7532650900105864</v>
      </c>
      <c r="N29" s="590">
        <f t="shared" si="4"/>
        <v>42.216582064297796</v>
      </c>
      <c r="O29" s="589">
        <f t="shared" si="5"/>
        <v>0.15880129704465307</v>
      </c>
      <c r="P29" s="581"/>
      <c r="Q29" s="596" t="str">
        <f t="shared" si="6"/>
        <v>PA</v>
      </c>
      <c r="R29" s="591">
        <f t="shared" si="7"/>
        <v>0.60100107257776192</v>
      </c>
    </row>
    <row r="30" spans="1:18" ht="16.5" thickBot="1">
      <c r="A30" s="596" t="s">
        <v>109</v>
      </c>
      <c r="B30" s="595">
        <f>VLOOKUP($A$4:$A$30,'Anuid PF'!$A$7:$E$33,2,0)</f>
        <v>231</v>
      </c>
      <c r="C30" s="595">
        <f>VLOOKUP($A$4:$A$30,'Anuid PF'!$A$7:$E$33,3,0)</f>
        <v>220</v>
      </c>
      <c r="D30" s="595">
        <f>VLOOKUP($A$4:$A$30,'Anuid PF'!$A$7:$E$33,4,0)</f>
        <v>114</v>
      </c>
      <c r="E30" s="594">
        <f t="shared" si="0"/>
        <v>0.51818181818181819</v>
      </c>
      <c r="F30" s="593">
        <f>VLOOKUP($A$4:$A$30,'Anuid PF'!$A$7:$G$33,7,)</f>
        <v>223</v>
      </c>
      <c r="G30" s="592">
        <f>VLOOKUP($A$4:$A$30,'Anuid PF'!$A$7:$H$33,8,)</f>
        <v>7</v>
      </c>
      <c r="H30" s="593">
        <f>VLOOKUP($A$4:$A$30,'Anuid PF'!$A$7:$I$33,9,)</f>
        <v>216</v>
      </c>
      <c r="I30" s="593">
        <f>VLOOKUP($A$4:$A$30,'Anuid PF'!$A$7:$K$33,10,0)</f>
        <v>129</v>
      </c>
      <c r="J30" s="593">
        <f>VLOOKUP($A$4:$A$30,'Anuid PF'!$A$7:$L$33,11,0)</f>
        <v>82</v>
      </c>
      <c r="K30" s="592">
        <f t="shared" si="1"/>
        <v>47</v>
      </c>
      <c r="L30" s="591">
        <f t="shared" si="2"/>
        <v>0.59722222222222221</v>
      </c>
      <c r="M30" s="590">
        <f t="shared" si="3"/>
        <v>-3.4632034632034703</v>
      </c>
      <c r="N30" s="590">
        <f t="shared" si="4"/>
        <v>13.157894736842096</v>
      </c>
      <c r="O30" s="589">
        <f t="shared" si="5"/>
        <v>7.9040404040404022E-2</v>
      </c>
      <c r="P30" s="581"/>
      <c r="Q30" s="596" t="str">
        <f t="shared" si="6"/>
        <v>RR</v>
      </c>
      <c r="R30" s="591">
        <f t="shared" si="7"/>
        <v>0.59722222222222221</v>
      </c>
    </row>
    <row r="31" spans="1:18" ht="16.5" thickBot="1">
      <c r="A31" s="1012" t="s">
        <v>128</v>
      </c>
      <c r="B31" s="1011">
        <f>SUM(B4:B30)</f>
        <v>190756</v>
      </c>
      <c r="C31" s="1011">
        <f>SUM(C4:C30)</f>
        <v>179775</v>
      </c>
      <c r="D31" s="1011">
        <f>SUM(D4:D30)</f>
        <v>107519</v>
      </c>
      <c r="E31" s="587">
        <f t="shared" ref="E31" si="8">D31/C31</f>
        <v>0.59807537199276872</v>
      </c>
      <c r="F31" s="586">
        <f t="shared" ref="F31:K31" si="9">SUM(F4:F30)</f>
        <v>193090</v>
      </c>
      <c r="G31" s="586">
        <f t="shared" si="9"/>
        <v>9153</v>
      </c>
      <c r="H31" s="586">
        <f t="shared" si="9"/>
        <v>183937</v>
      </c>
      <c r="I31" s="586">
        <f t="shared" si="9"/>
        <v>134014</v>
      </c>
      <c r="J31" s="586">
        <f t="shared" si="9"/>
        <v>83258</v>
      </c>
      <c r="K31" s="586">
        <f t="shared" si="9"/>
        <v>50756</v>
      </c>
      <c r="L31" s="584">
        <f t="shared" ref="L31" si="10">I31/H31</f>
        <v>0.7285864181757884</v>
      </c>
      <c r="M31" s="585">
        <f t="shared" ref="M31" si="11">F31/B31*100-100</f>
        <v>1.2235526012287892</v>
      </c>
      <c r="N31" s="585">
        <f t="shared" ref="N31" si="12">I31/D31*100-100</f>
        <v>24.642156270054599</v>
      </c>
      <c r="O31" s="584">
        <f t="shared" ref="O31" si="13">L31-E31</f>
        <v>0.13051104618301967</v>
      </c>
      <c r="P31" s="581"/>
      <c r="Q31" s="588" t="s">
        <v>128</v>
      </c>
      <c r="R31" s="584">
        <f t="shared" ref="R31" si="14">L31</f>
        <v>0.7285864181757884</v>
      </c>
    </row>
    <row r="32" spans="1:18" ht="15.75">
      <c r="A32" s="1353" t="s">
        <v>1099</v>
      </c>
      <c r="B32" s="1354"/>
      <c r="C32" s="1355"/>
      <c r="D32" s="1045">
        <f>L31</f>
        <v>0.7285864181757884</v>
      </c>
      <c r="E32" s="1009"/>
      <c r="F32" s="1009"/>
      <c r="G32" s="1009"/>
      <c r="H32" s="582"/>
      <c r="I32" s="582"/>
      <c r="J32" s="583"/>
      <c r="K32" s="582"/>
      <c r="L32" s="582"/>
      <c r="M32" s="582"/>
      <c r="N32" s="582"/>
      <c r="O32" s="582"/>
    </row>
    <row r="33" spans="1:15" ht="16.5" thickBot="1">
      <c r="A33" s="1356" t="s">
        <v>1098</v>
      </c>
      <c r="B33" s="1357"/>
      <c r="C33" s="1357"/>
      <c r="D33" s="1046">
        <f>L31</f>
        <v>0.7285864181757884</v>
      </c>
      <c r="E33" s="1014"/>
      <c r="F33" s="1013"/>
      <c r="G33" s="1010"/>
      <c r="H33" s="582"/>
      <c r="I33" s="582"/>
      <c r="J33" s="582"/>
      <c r="K33" s="582"/>
      <c r="L33" s="582"/>
      <c r="M33" s="582"/>
      <c r="N33" s="582"/>
      <c r="O33" s="582"/>
    </row>
    <row r="34" spans="1:15">
      <c r="B34" s="581">
        <f>'Anuid PF'!B36</f>
        <v>190756</v>
      </c>
      <c r="C34" s="581">
        <f>'Anuid PF'!C36</f>
        <v>179775</v>
      </c>
      <c r="D34" s="581">
        <f>'Anuid PF'!D36</f>
        <v>107519</v>
      </c>
      <c r="F34" s="581">
        <f>'Anuid PF'!G36</f>
        <v>193090</v>
      </c>
      <c r="G34" s="97">
        <f>'Anuid PF'!H36</f>
        <v>9153</v>
      </c>
      <c r="H34" s="97">
        <f>'Anuid PF'!I36</f>
        <v>183937</v>
      </c>
      <c r="I34" s="97">
        <f>'Anuid PF'!J36</f>
        <v>134014</v>
      </c>
      <c r="J34" s="97">
        <f>'Anuid PF'!K36</f>
        <v>83258</v>
      </c>
      <c r="K34" s="97">
        <f>'Anuid PF'!L36</f>
        <v>50756</v>
      </c>
      <c r="L34" s="580">
        <f>'Anuid PF'!M36</f>
        <v>72.858641817578842</v>
      </c>
    </row>
    <row r="35" spans="1:15" s="284" customFormat="1" ht="19.5">
      <c r="B35" s="579" t="b">
        <f>B34=B31</f>
        <v>1</v>
      </c>
      <c r="C35" s="579" t="b">
        <f>C34=C31</f>
        <v>1</v>
      </c>
      <c r="D35" s="579" t="b">
        <f>D34=D31</f>
        <v>1</v>
      </c>
      <c r="E35" s="573"/>
      <c r="F35" s="578" t="b">
        <f t="shared" ref="F35:K35" si="15">F31=F34</f>
        <v>1</v>
      </c>
      <c r="G35" s="578" t="b">
        <f t="shared" si="15"/>
        <v>1</v>
      </c>
      <c r="H35" s="578" t="b">
        <f t="shared" si="15"/>
        <v>1</v>
      </c>
      <c r="I35" s="578" t="b">
        <f t="shared" si="15"/>
        <v>1</v>
      </c>
      <c r="J35" s="578" t="b">
        <f t="shared" si="15"/>
        <v>1</v>
      </c>
      <c r="K35" s="578" t="b">
        <f t="shared" si="15"/>
        <v>1</v>
      </c>
      <c r="L35" s="578" t="b">
        <f>L31=L34/100</f>
        <v>1</v>
      </c>
      <c r="M35" s="577"/>
      <c r="N35" s="576"/>
    </row>
    <row r="36" spans="1:15" s="284" customFormat="1" ht="19.5">
      <c r="B36" s="573"/>
      <c r="C36" s="573"/>
      <c r="D36" s="574"/>
      <c r="E36" s="573"/>
      <c r="G36" s="573"/>
      <c r="J36" s="571"/>
      <c r="K36" s="570"/>
      <c r="L36" s="575"/>
      <c r="M36" s="575"/>
      <c r="N36" s="575"/>
    </row>
    <row r="37" spans="1:15" s="284" customFormat="1" ht="19.5">
      <c r="B37" s="573"/>
      <c r="C37" s="573"/>
      <c r="D37" s="574"/>
      <c r="E37" s="573"/>
      <c r="F37" s="572"/>
      <c r="G37" s="572"/>
      <c r="J37" s="571"/>
      <c r="K37" s="570"/>
      <c r="L37" s="1349"/>
      <c r="M37" s="1349"/>
      <c r="N37" s="1349"/>
    </row>
  </sheetData>
  <sortState ref="A4:O30">
    <sortCondition descending="1" ref="L4:L30"/>
  </sortState>
  <mergeCells count="7">
    <mergeCell ref="L37:N37"/>
    <mergeCell ref="B1:O1"/>
    <mergeCell ref="B2:E2"/>
    <mergeCell ref="F2:L2"/>
    <mergeCell ref="M2:O2"/>
    <mergeCell ref="A32:C32"/>
    <mergeCell ref="A33:C33"/>
  </mergeCells>
  <conditionalFormatting sqref="L4:L30">
    <cfRule type="cellIs" dxfId="213" priority="23" operator="lessThan">
      <formula>$L$31</formula>
    </cfRule>
    <cfRule type="cellIs" dxfId="212" priority="24" operator="greaterThan">
      <formula>$L$31</formula>
    </cfRule>
    <cfRule type="cellIs" dxfId="211" priority="25" operator="lessThan">
      <formula>$L$31</formula>
    </cfRule>
    <cfRule type="cellIs" dxfId="210" priority="26" operator="greaterThan">
      <formula>$L$31</formula>
    </cfRule>
  </conditionalFormatting>
  <conditionalFormatting sqref="R4:R30">
    <cfRule type="cellIs" dxfId="209" priority="19" operator="lessThan">
      <formula>$L$31</formula>
    </cfRule>
    <cfRule type="cellIs" dxfId="208" priority="20" operator="greaterThan">
      <formula>$L$31</formula>
    </cfRule>
    <cfRule type="cellIs" dxfId="207" priority="21" operator="lessThan">
      <formula>$L$31</formula>
    </cfRule>
    <cfRule type="cellIs" dxfId="206" priority="22" operator="greaterThan">
      <formula>$L$31</formula>
    </cfRule>
  </conditionalFormatting>
  <pageMargins left="0.511811024" right="0.511811024" top="0.78740157499999996" bottom="0.78740157499999996" header="0.31496062000000002" footer="0.31496062000000002"/>
  <pageSetup scale="6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7030A0"/>
    <pageSetUpPr fitToPage="1"/>
  </sheetPr>
  <dimension ref="A1:O41"/>
  <sheetViews>
    <sheetView showGridLines="0" zoomScale="70" zoomScaleNormal="70" workbookViewId="0">
      <pane xSplit="1" topLeftCell="B1" activePane="topRight" state="frozen"/>
      <selection sqref="A1:AC1"/>
      <selection pane="topRight" sqref="A1:AC1"/>
    </sheetView>
  </sheetViews>
  <sheetFormatPr defaultColWidth="9.140625" defaultRowHeight="15"/>
  <cols>
    <col min="1" max="1" width="17.42578125" style="253" customWidth="1"/>
    <col min="2" max="12" width="20.7109375" style="253" customWidth="1"/>
    <col min="13" max="13" width="9.140625" style="253"/>
    <col min="14" max="14" width="14.85546875" style="253" customWidth="1"/>
    <col min="15" max="15" width="17.28515625" style="253" customWidth="1"/>
    <col min="16" max="19" width="12.42578125" style="253" bestFit="1" customWidth="1"/>
    <col min="20" max="16384" width="9.140625" style="253"/>
  </cols>
  <sheetData>
    <row r="1" spans="1:15" ht="19.5" thickBot="1">
      <c r="A1" s="634"/>
      <c r="B1" s="1358" t="s">
        <v>574</v>
      </c>
      <c r="C1" s="1358"/>
      <c r="D1" s="1358"/>
      <c r="E1" s="1358"/>
      <c r="F1" s="1358"/>
      <c r="G1" s="1358"/>
      <c r="H1" s="1358"/>
      <c r="I1" s="1358"/>
      <c r="J1" s="1358"/>
      <c r="K1" s="1358"/>
      <c r="L1" s="1358"/>
    </row>
    <row r="2" spans="1:15" ht="20.25" customHeight="1" thickBot="1">
      <c r="B2" s="1359" t="s">
        <v>176</v>
      </c>
      <c r="C2" s="1360"/>
      <c r="D2" s="1360"/>
      <c r="E2" s="1360" t="s">
        <v>177</v>
      </c>
      <c r="F2" s="1360"/>
      <c r="G2" s="1360"/>
      <c r="H2" s="1360"/>
      <c r="I2" s="1360"/>
      <c r="J2" s="1361" t="s">
        <v>570</v>
      </c>
      <c r="K2" s="1362"/>
      <c r="L2" s="1362"/>
    </row>
    <row r="3" spans="1:15" ht="59.25" customHeight="1" thickBot="1">
      <c r="A3" s="633" t="s">
        <v>568</v>
      </c>
      <c r="B3" s="632" t="s">
        <v>501</v>
      </c>
      <c r="C3" s="631" t="s">
        <v>522</v>
      </c>
      <c r="D3" s="631" t="s">
        <v>573</v>
      </c>
      <c r="E3" s="631" t="s">
        <v>1112</v>
      </c>
      <c r="F3" s="631" t="s">
        <v>522</v>
      </c>
      <c r="G3" s="631" t="s">
        <v>563</v>
      </c>
      <c r="H3" s="631" t="s">
        <v>497</v>
      </c>
      <c r="I3" s="631" t="s">
        <v>573</v>
      </c>
      <c r="J3" s="630" t="s">
        <v>501</v>
      </c>
      <c r="K3" s="630" t="s">
        <v>522</v>
      </c>
      <c r="L3" s="629" t="s">
        <v>560</v>
      </c>
    </row>
    <row r="4" spans="1:15" ht="19.5" thickBot="1">
      <c r="A4" s="628" t="s">
        <v>94</v>
      </c>
      <c r="B4" s="627">
        <f>VLOOKUP($A$4:$A$30,'Anuid PJ'!$A$6:$C$32,2,0)</f>
        <v>430</v>
      </c>
      <c r="C4" s="627">
        <f>VLOOKUP($A$4:$A$30,'Anuid PJ'!$A$6:$C$32,3,0)</f>
        <v>265</v>
      </c>
      <c r="D4" s="625">
        <f t="shared" ref="D4:D30" si="0">C4/B4</f>
        <v>0.61627906976744184</v>
      </c>
      <c r="E4" s="626">
        <f>VLOOKUP('ADIMPLÊNCIA PJ'!$A$4:$A$30,'Anuid PJ'!$A$6:$F$32,6,)</f>
        <v>452</v>
      </c>
      <c r="F4" s="626">
        <f>VLOOKUP(A4:$A$30,'Anuid PJ'!$A$6:$G$32,7,)</f>
        <v>321</v>
      </c>
      <c r="G4" s="626">
        <f>VLOOKUP(A3:$A$30,'Anuid PJ'!$A$6:$H$32,8,)</f>
        <v>229</v>
      </c>
      <c r="H4" s="626">
        <f t="shared" ref="H4:H30" si="1">F4-G4</f>
        <v>92</v>
      </c>
      <c r="I4" s="625">
        <f t="shared" ref="I4:I30" si="2">F4/E4</f>
        <v>0.71017699115044253</v>
      </c>
      <c r="J4" s="624">
        <f t="shared" ref="J4:J30" si="3">E4/B4*100-100</f>
        <v>5.1162790697674438</v>
      </c>
      <c r="K4" s="624">
        <f t="shared" ref="K4:K30" si="4">F4/C4*100-100</f>
        <v>21.132075471698101</v>
      </c>
      <c r="L4" s="624">
        <f t="shared" ref="L4:L30" si="5">I4-D4</f>
        <v>9.3897921383000682E-2</v>
      </c>
      <c r="N4" s="628" t="str">
        <f t="shared" ref="N4:N30" si="6">A4</f>
        <v>ES</v>
      </c>
      <c r="O4" s="625">
        <f t="shared" ref="O4:O30" si="7">I4</f>
        <v>0.71017699115044253</v>
      </c>
    </row>
    <row r="5" spans="1:15" ht="19.5" thickBot="1">
      <c r="A5" s="628" t="s">
        <v>99</v>
      </c>
      <c r="B5" s="627">
        <f>VLOOKUP($A$4:$A$30,'Anuid PJ'!$A$6:$C$32,2,0)</f>
        <v>1747</v>
      </c>
      <c r="C5" s="627">
        <f>VLOOKUP($A$4:$A$30,'Anuid PJ'!$A$6:$C$32,3,0)</f>
        <v>981</v>
      </c>
      <c r="D5" s="625">
        <f t="shared" si="0"/>
        <v>0.56153405838580428</v>
      </c>
      <c r="E5" s="626">
        <f>VLOOKUP('ADIMPLÊNCIA PJ'!$A$4:$A$30,'Anuid PJ'!$A$6:$F$32,6,)</f>
        <v>1738</v>
      </c>
      <c r="F5" s="626">
        <f>VLOOKUP(A5:$A$30,'Anuid PJ'!$A$6:$G$32,7,)</f>
        <v>1076</v>
      </c>
      <c r="G5" s="626">
        <f>VLOOKUP(A5:$A$29,'Anuid PJ'!$A$6:$H$32,8,)</f>
        <v>765</v>
      </c>
      <c r="H5" s="626">
        <f t="shared" si="1"/>
        <v>311</v>
      </c>
      <c r="I5" s="625">
        <f t="shared" si="2"/>
        <v>0.61910241657077103</v>
      </c>
      <c r="J5" s="624">
        <f t="shared" si="3"/>
        <v>-0.51516886090439584</v>
      </c>
      <c r="K5" s="624">
        <f t="shared" si="4"/>
        <v>9.683995922528041</v>
      </c>
      <c r="L5" s="624">
        <f t="shared" si="5"/>
        <v>5.756835818496675E-2</v>
      </c>
      <c r="N5" s="628" t="str">
        <f t="shared" si="6"/>
        <v>MG</v>
      </c>
      <c r="O5" s="625">
        <f t="shared" si="7"/>
        <v>0.61910241657077103</v>
      </c>
    </row>
    <row r="6" spans="1:15" ht="19.5" thickBot="1">
      <c r="A6" s="628" t="s">
        <v>111</v>
      </c>
      <c r="B6" s="627">
        <f>VLOOKUP($A$4:$A$30,'Anuid PJ'!$A$6:$C$32,2,0)</f>
        <v>8174</v>
      </c>
      <c r="C6" s="627">
        <f>VLOOKUP($A$4:$A$30,'Anuid PJ'!$A$6:$C$32,3,0)</f>
        <v>4008</v>
      </c>
      <c r="D6" s="625">
        <f t="shared" si="0"/>
        <v>0.49033520919990214</v>
      </c>
      <c r="E6" s="626">
        <f>VLOOKUP('ADIMPLÊNCIA PJ'!$A$4:$A$30,'Anuid PJ'!$A$6:$F$32,6,)</f>
        <v>7514</v>
      </c>
      <c r="F6" s="626">
        <f>VLOOKUP(A6:$A$30,'Anuid PJ'!$A$6:$G$32,7,)</f>
        <v>4480</v>
      </c>
      <c r="G6" s="626">
        <f>VLOOKUP(A6:$A$29,'Anuid PJ'!$A$6:$H$32,8,)</f>
        <v>2873</v>
      </c>
      <c r="H6" s="626">
        <f t="shared" si="1"/>
        <v>1607</v>
      </c>
      <c r="I6" s="625">
        <f t="shared" si="2"/>
        <v>0.59622038860793181</v>
      </c>
      <c r="J6" s="624">
        <f t="shared" si="3"/>
        <v>-8.074382187423538</v>
      </c>
      <c r="K6" s="624">
        <f t="shared" si="4"/>
        <v>11.776447105788421</v>
      </c>
      <c r="L6" s="624">
        <f t="shared" si="5"/>
        <v>0.10588517940802966</v>
      </c>
      <c r="N6" s="628" t="str">
        <f t="shared" si="6"/>
        <v>SP</v>
      </c>
      <c r="O6" s="625">
        <f t="shared" si="7"/>
        <v>0.59622038860793181</v>
      </c>
    </row>
    <row r="7" spans="1:15" ht="19.5" thickBot="1">
      <c r="A7" s="628" t="s">
        <v>102</v>
      </c>
      <c r="B7" s="627">
        <f>VLOOKUP($A$4:$A$30,'Anuid PJ'!$A$6:$C$32,2,0)</f>
        <v>2643</v>
      </c>
      <c r="C7" s="627">
        <f>VLOOKUP($A$4:$A$30,'Anuid PJ'!$A$6:$C$32,3,0)</f>
        <v>1180</v>
      </c>
      <c r="D7" s="625">
        <f t="shared" si="0"/>
        <v>0.44646235338630347</v>
      </c>
      <c r="E7" s="626">
        <f>VLOOKUP('ADIMPLÊNCIA PJ'!$A$4:$A$30,'Anuid PJ'!$A$6:$F$32,6,)</f>
        <v>2666</v>
      </c>
      <c r="F7" s="626">
        <f>VLOOKUP(A7:$A$30,'Anuid PJ'!$A$6:$G$32,7,)</f>
        <v>1532</v>
      </c>
      <c r="G7" s="626">
        <f>VLOOKUP(A7:$A$29,'Anuid PJ'!$A$6:$H$32,8,)</f>
        <v>987</v>
      </c>
      <c r="H7" s="626">
        <f t="shared" si="1"/>
        <v>545</v>
      </c>
      <c r="I7" s="625">
        <f t="shared" si="2"/>
        <v>0.57464366091522878</v>
      </c>
      <c r="J7" s="624">
        <f t="shared" si="3"/>
        <v>0.87022323117669487</v>
      </c>
      <c r="K7" s="624">
        <f t="shared" si="4"/>
        <v>29.830508474576277</v>
      </c>
      <c r="L7" s="624">
        <f t="shared" si="5"/>
        <v>0.12818130752892531</v>
      </c>
      <c r="N7" s="628" t="str">
        <f t="shared" si="6"/>
        <v>PR</v>
      </c>
      <c r="O7" s="625">
        <f t="shared" si="7"/>
        <v>0.57464366091522878</v>
      </c>
    </row>
    <row r="8" spans="1:15" ht="19.5" thickBot="1">
      <c r="A8" s="628" t="s">
        <v>103</v>
      </c>
      <c r="B8" s="627">
        <f>VLOOKUP($A$4:$A$30,'Anuid PJ'!$A$6:$C$32,2,0)</f>
        <v>539</v>
      </c>
      <c r="C8" s="627">
        <f>VLOOKUP($A$4:$A$30,'Anuid PJ'!$A$6:$C$32,3,0)</f>
        <v>264</v>
      </c>
      <c r="D8" s="625">
        <f t="shared" si="0"/>
        <v>0.48979591836734693</v>
      </c>
      <c r="E8" s="626">
        <f>VLOOKUP('ADIMPLÊNCIA PJ'!$A$4:$A$30,'Anuid PJ'!$A$6:$F$32,6,)</f>
        <v>528</v>
      </c>
      <c r="F8" s="626">
        <f>VLOOKUP(A8:$A$30,'Anuid PJ'!$A$6:$G$32,7,)</f>
        <v>294</v>
      </c>
      <c r="G8" s="626">
        <f>VLOOKUP(A8:$A$29,'Anuid PJ'!$A$6:$H$32,8,)</f>
        <v>202</v>
      </c>
      <c r="H8" s="626">
        <f t="shared" si="1"/>
        <v>92</v>
      </c>
      <c r="I8" s="625">
        <f t="shared" si="2"/>
        <v>0.55681818181818177</v>
      </c>
      <c r="J8" s="624">
        <f t="shared" si="3"/>
        <v>-2.0408163265306172</v>
      </c>
      <c r="K8" s="624">
        <f t="shared" si="4"/>
        <v>11.36363636363636</v>
      </c>
      <c r="L8" s="624">
        <f t="shared" si="5"/>
        <v>6.702226345083484E-2</v>
      </c>
      <c r="N8" s="628" t="str">
        <f t="shared" si="6"/>
        <v>PE</v>
      </c>
      <c r="O8" s="625">
        <f t="shared" si="7"/>
        <v>0.55681818181818177</v>
      </c>
    </row>
    <row r="9" spans="1:15" ht="19.5" thickBot="1">
      <c r="A9" s="628" t="s">
        <v>92</v>
      </c>
      <c r="B9" s="627">
        <f>VLOOKUP($A$4:$A$30,'Anuid PJ'!$A$6:$C$32,2,0)</f>
        <v>366</v>
      </c>
      <c r="C9" s="627">
        <f>VLOOKUP($A$4:$A$30,'Anuid PJ'!$A$6:$C$32,3,0)</f>
        <v>170</v>
      </c>
      <c r="D9" s="625">
        <f t="shared" si="0"/>
        <v>0.46448087431693991</v>
      </c>
      <c r="E9" s="626">
        <f>VLOOKUP('ADIMPLÊNCIA PJ'!$A$4:$A$30,'Anuid PJ'!$A$6:$F$32,6,)</f>
        <v>390</v>
      </c>
      <c r="F9" s="626">
        <f>VLOOKUP(A9:$A$30,'Anuid PJ'!$A$6:$G$32,7,)</f>
        <v>214</v>
      </c>
      <c r="G9" s="626">
        <f>VLOOKUP(A9:$A$29,'Anuid PJ'!$A$6:$H$32,8,)</f>
        <v>147</v>
      </c>
      <c r="H9" s="626">
        <f t="shared" si="1"/>
        <v>67</v>
      </c>
      <c r="I9" s="625">
        <f t="shared" si="2"/>
        <v>0.54871794871794877</v>
      </c>
      <c r="J9" s="624">
        <f t="shared" si="3"/>
        <v>6.5573770491803316</v>
      </c>
      <c r="K9" s="624">
        <f t="shared" si="4"/>
        <v>25.882352941176464</v>
      </c>
      <c r="L9" s="624">
        <f t="shared" si="5"/>
        <v>8.423707440100886E-2</v>
      </c>
      <c r="N9" s="628" t="str">
        <f t="shared" si="6"/>
        <v>CE</v>
      </c>
      <c r="O9" s="625">
        <f t="shared" si="7"/>
        <v>0.54871794871794877</v>
      </c>
    </row>
    <row r="10" spans="1:15" ht="19.5" thickBot="1">
      <c r="A10" s="628" t="s">
        <v>107</v>
      </c>
      <c r="B10" s="627">
        <f>VLOOKUP($A$4:$A$30,'Anuid PJ'!$A$6:$C$32,2,0)</f>
        <v>2623</v>
      </c>
      <c r="C10" s="627">
        <f>VLOOKUP($A$4:$A$30,'Anuid PJ'!$A$6:$C$32,3,0)</f>
        <v>1129</v>
      </c>
      <c r="D10" s="625">
        <f t="shared" si="0"/>
        <v>0.43042317956538317</v>
      </c>
      <c r="E10" s="626">
        <f>VLOOKUP('ADIMPLÊNCIA PJ'!$A$4:$A$30,'Anuid PJ'!$A$6:$F$32,6,)</f>
        <v>2709</v>
      </c>
      <c r="F10" s="626">
        <f>VLOOKUP(A10:$A$30,'Anuid PJ'!$A$6:$G$32,7,)</f>
        <v>1442</v>
      </c>
      <c r="G10" s="626">
        <f>VLOOKUP(A10:$A$29,'Anuid PJ'!$A$6:$H$32,8,)</f>
        <v>977</v>
      </c>
      <c r="H10" s="626">
        <f t="shared" si="1"/>
        <v>465</v>
      </c>
      <c r="I10" s="625">
        <f t="shared" si="2"/>
        <v>0.53229974160206717</v>
      </c>
      <c r="J10" s="624">
        <f t="shared" si="3"/>
        <v>3.2786885245901658</v>
      </c>
      <c r="K10" s="624">
        <f t="shared" si="4"/>
        <v>27.723649247121344</v>
      </c>
      <c r="L10" s="624">
        <f t="shared" si="5"/>
        <v>0.10187656203668399</v>
      </c>
      <c r="N10" s="628" t="str">
        <f t="shared" si="6"/>
        <v>RS</v>
      </c>
      <c r="O10" s="625">
        <f t="shared" si="7"/>
        <v>0.53229974160206717</v>
      </c>
    </row>
    <row r="11" spans="1:15" ht="19.5" thickBot="1">
      <c r="A11" s="628" t="s">
        <v>105</v>
      </c>
      <c r="B11" s="627">
        <f>VLOOKUP($A$4:$A$30,'Anuid PJ'!$A$6:$C$32,2,0)</f>
        <v>2768</v>
      </c>
      <c r="C11" s="627">
        <f>VLOOKUP($A$4:$A$30,'Anuid PJ'!$A$6:$C$32,3,0)</f>
        <v>1269</v>
      </c>
      <c r="D11" s="625">
        <f t="shared" si="0"/>
        <v>0.45845375722543352</v>
      </c>
      <c r="E11" s="626">
        <f>VLOOKUP('ADIMPLÊNCIA PJ'!$A$4:$A$30,'Anuid PJ'!$A$6:$F$32,6,)</f>
        <v>2780</v>
      </c>
      <c r="F11" s="626">
        <f>VLOOKUP(A11:$A$30,'Anuid PJ'!$A$6:$G$32,7,)</f>
        <v>1460</v>
      </c>
      <c r="G11" s="626">
        <f>VLOOKUP(A11:$A$29,'Anuid PJ'!$A$6:$H$32,8,)</f>
        <v>1008</v>
      </c>
      <c r="H11" s="626">
        <f t="shared" si="1"/>
        <v>452</v>
      </c>
      <c r="I11" s="625">
        <f t="shared" si="2"/>
        <v>0.52517985611510787</v>
      </c>
      <c r="J11" s="624">
        <f t="shared" si="3"/>
        <v>0.43352601156070136</v>
      </c>
      <c r="K11" s="624">
        <f t="shared" si="4"/>
        <v>15.051221434200173</v>
      </c>
      <c r="L11" s="624">
        <f t="shared" si="5"/>
        <v>6.6726098889674346E-2</v>
      </c>
      <c r="N11" s="628" t="str">
        <f t="shared" si="6"/>
        <v>RJ</v>
      </c>
      <c r="O11" s="625">
        <f t="shared" si="7"/>
        <v>0.52517985611510787</v>
      </c>
    </row>
    <row r="12" spans="1:15" ht="19.5" thickBot="1">
      <c r="A12" s="628" t="s">
        <v>110</v>
      </c>
      <c r="B12" s="627">
        <f>VLOOKUP($A$4:$A$30,'Anuid PJ'!$A$6:$C$32,2,0)</f>
        <v>1673</v>
      </c>
      <c r="C12" s="627">
        <f>VLOOKUP($A$4:$A$30,'Anuid PJ'!$A$6:$C$32,3,0)</f>
        <v>844</v>
      </c>
      <c r="D12" s="625">
        <f t="shared" si="0"/>
        <v>0.50448296473401077</v>
      </c>
      <c r="E12" s="626">
        <f>VLOOKUP('ADIMPLÊNCIA PJ'!$A$4:$A$30,'Anuid PJ'!$A$6:$F$32,6,)</f>
        <v>1733</v>
      </c>
      <c r="F12" s="626">
        <f>VLOOKUP(A12:$A$30,'Anuid PJ'!$A$6:$G$32,7,)</f>
        <v>907</v>
      </c>
      <c r="G12" s="626">
        <f>VLOOKUP(A12:$A$29,'Anuid PJ'!$A$6:$H$32,8,)</f>
        <v>612</v>
      </c>
      <c r="H12" s="626">
        <f t="shared" si="1"/>
        <v>295</v>
      </c>
      <c r="I12" s="625">
        <f t="shared" si="2"/>
        <v>0.52336987882285058</v>
      </c>
      <c r="J12" s="624">
        <f t="shared" si="3"/>
        <v>3.5863717872085914</v>
      </c>
      <c r="K12" s="624">
        <f t="shared" si="4"/>
        <v>7.4644549763033297</v>
      </c>
      <c r="L12" s="624">
        <f t="shared" si="5"/>
        <v>1.8886914088839801E-2</v>
      </c>
      <c r="N12" s="628" t="str">
        <f t="shared" si="6"/>
        <v>SC</v>
      </c>
      <c r="O12" s="625">
        <f t="shared" si="7"/>
        <v>0.52336987882285058</v>
      </c>
    </row>
    <row r="13" spans="1:15" ht="19.5" thickBot="1">
      <c r="A13" s="628" t="s">
        <v>95</v>
      </c>
      <c r="B13" s="627">
        <f>VLOOKUP($A$4:$A$30,'Anuid PJ'!$A$6:$C$32,2,0)</f>
        <v>632</v>
      </c>
      <c r="C13" s="627">
        <f>VLOOKUP($A$4:$A$30,'Anuid PJ'!$A$6:$C$32,3,0)</f>
        <v>298</v>
      </c>
      <c r="D13" s="625">
        <f t="shared" si="0"/>
        <v>0.47151898734177217</v>
      </c>
      <c r="E13" s="626">
        <f>VLOOKUP('ADIMPLÊNCIA PJ'!$A$4:$A$30,'Anuid PJ'!$A$6:$F$32,6,)</f>
        <v>670</v>
      </c>
      <c r="F13" s="626">
        <f>VLOOKUP(A13:$A$30,'Anuid PJ'!$A$6:$G$32,7,)</f>
        <v>344</v>
      </c>
      <c r="G13" s="626">
        <f>VLOOKUP(A13:$A$29,'Anuid PJ'!$A$6:$H$32,8,)</f>
        <v>258</v>
      </c>
      <c r="H13" s="626">
        <f t="shared" si="1"/>
        <v>86</v>
      </c>
      <c r="I13" s="625">
        <f t="shared" si="2"/>
        <v>0.51343283582089549</v>
      </c>
      <c r="J13" s="624">
        <f t="shared" si="3"/>
        <v>6.0126582278481067</v>
      </c>
      <c r="K13" s="624">
        <f t="shared" si="4"/>
        <v>15.436241610738264</v>
      </c>
      <c r="L13" s="624">
        <f t="shared" si="5"/>
        <v>4.1913848479123328E-2</v>
      </c>
      <c r="N13" s="628" t="str">
        <f t="shared" si="6"/>
        <v>GO</v>
      </c>
      <c r="O13" s="625">
        <f t="shared" si="7"/>
        <v>0.51343283582089549</v>
      </c>
    </row>
    <row r="14" spans="1:15" ht="19.5" thickBot="1">
      <c r="A14" s="628" t="s">
        <v>104</v>
      </c>
      <c r="B14" s="627">
        <f>VLOOKUP($A$4:$A$30,'Anuid PJ'!$A$6:$C$32,2,0)</f>
        <v>223</v>
      </c>
      <c r="C14" s="627">
        <f>VLOOKUP($A$4:$A$30,'Anuid PJ'!$A$6:$C$32,3,0)</f>
        <v>87</v>
      </c>
      <c r="D14" s="625">
        <f t="shared" si="0"/>
        <v>0.39013452914798208</v>
      </c>
      <c r="E14" s="626">
        <f>VLOOKUP('ADIMPLÊNCIA PJ'!$A$4:$A$30,'Anuid PJ'!$A$6:$F$32,6,)</f>
        <v>239</v>
      </c>
      <c r="F14" s="626">
        <f>VLOOKUP(A14:$A$30,'Anuid PJ'!$A$6:$G$32,7,)</f>
        <v>122</v>
      </c>
      <c r="G14" s="626">
        <f>VLOOKUP(A14:$A$29,'Anuid PJ'!$A$6:$H$32,8,)</f>
        <v>82</v>
      </c>
      <c r="H14" s="626">
        <f t="shared" si="1"/>
        <v>40</v>
      </c>
      <c r="I14" s="625">
        <f t="shared" si="2"/>
        <v>0.5104602510460251</v>
      </c>
      <c r="J14" s="624">
        <f t="shared" si="3"/>
        <v>7.1748878923766739</v>
      </c>
      <c r="K14" s="624">
        <f t="shared" si="4"/>
        <v>40.229885057471279</v>
      </c>
      <c r="L14" s="624">
        <f t="shared" si="5"/>
        <v>0.12032572189804303</v>
      </c>
      <c r="N14" s="628" t="str">
        <f t="shared" si="6"/>
        <v>PI</v>
      </c>
      <c r="O14" s="625">
        <f t="shared" si="7"/>
        <v>0.5104602510460251</v>
      </c>
    </row>
    <row r="15" spans="1:15" ht="19.5" thickBot="1">
      <c r="A15" s="628" t="s">
        <v>112</v>
      </c>
      <c r="B15" s="627">
        <f>VLOOKUP($A$4:$A$30,'Anuid PJ'!$A$6:$C$32,2,0)</f>
        <v>158</v>
      </c>
      <c r="C15" s="627">
        <f>VLOOKUP($A$4:$A$30,'Anuid PJ'!$A$6:$C$32,3,0)</f>
        <v>73</v>
      </c>
      <c r="D15" s="625">
        <f t="shared" si="0"/>
        <v>0.46202531645569622</v>
      </c>
      <c r="E15" s="626">
        <f>VLOOKUP('ADIMPLÊNCIA PJ'!$A$4:$A$30,'Anuid PJ'!$A$6:$F$32,6,)</f>
        <v>161</v>
      </c>
      <c r="F15" s="626">
        <f>VLOOKUP(A15:$A$30,'Anuid PJ'!$A$6:$G$32,7,)</f>
        <v>81</v>
      </c>
      <c r="G15" s="626">
        <f>VLOOKUP(A15:$A$29,'Anuid PJ'!$A$6:$H$32,8,)</f>
        <v>52</v>
      </c>
      <c r="H15" s="626">
        <f t="shared" si="1"/>
        <v>29</v>
      </c>
      <c r="I15" s="625">
        <f t="shared" si="2"/>
        <v>0.50310559006211175</v>
      </c>
      <c r="J15" s="624">
        <f t="shared" si="3"/>
        <v>1.8987341772152035</v>
      </c>
      <c r="K15" s="624">
        <f t="shared" si="4"/>
        <v>10.958904109589042</v>
      </c>
      <c r="L15" s="624">
        <f t="shared" si="5"/>
        <v>4.1080273606415529E-2</v>
      </c>
      <c r="N15" s="628" t="str">
        <f t="shared" si="6"/>
        <v>SE</v>
      </c>
      <c r="O15" s="625">
        <f t="shared" si="7"/>
        <v>0.50310559006211175</v>
      </c>
    </row>
    <row r="16" spans="1:15" ht="19.5" thickBot="1">
      <c r="A16" s="628" t="s">
        <v>97</v>
      </c>
      <c r="B16" s="627">
        <f>VLOOKUP($A$4:$A$30,'Anuid PJ'!$A$6:$C$32,2,0)</f>
        <v>548</v>
      </c>
      <c r="C16" s="627">
        <f>VLOOKUP($A$4:$A$30,'Anuid PJ'!$A$6:$C$32,3,0)</f>
        <v>231</v>
      </c>
      <c r="D16" s="625">
        <f t="shared" si="0"/>
        <v>0.42153284671532848</v>
      </c>
      <c r="E16" s="626">
        <f>VLOOKUP('ADIMPLÊNCIA PJ'!$A$4:$A$30,'Anuid PJ'!$A$6:$F$32,6,)</f>
        <v>585</v>
      </c>
      <c r="F16" s="626">
        <f>VLOOKUP(A16:$A$30,'Anuid PJ'!$A$6:$G$32,7,)</f>
        <v>265</v>
      </c>
      <c r="G16" s="626">
        <f>VLOOKUP(A16:$A$29,'Anuid PJ'!$A$6:$H$32,8,)</f>
        <v>174</v>
      </c>
      <c r="H16" s="626">
        <f t="shared" si="1"/>
        <v>91</v>
      </c>
      <c r="I16" s="625">
        <f t="shared" si="2"/>
        <v>0.45299145299145299</v>
      </c>
      <c r="J16" s="624">
        <f t="shared" si="3"/>
        <v>6.7518248175182407</v>
      </c>
      <c r="K16" s="624">
        <f t="shared" si="4"/>
        <v>14.718614718614702</v>
      </c>
      <c r="L16" s="624">
        <f t="shared" si="5"/>
        <v>3.1458606276124512E-2</v>
      </c>
      <c r="N16" s="628" t="str">
        <f t="shared" si="6"/>
        <v>MT</v>
      </c>
      <c r="O16" s="625">
        <f t="shared" si="7"/>
        <v>0.45299145299145299</v>
      </c>
    </row>
    <row r="17" spans="1:15" ht="19.5" thickBot="1">
      <c r="A17" s="628" t="s">
        <v>91</v>
      </c>
      <c r="B17" s="627">
        <f>VLOOKUP($A$4:$A$30,'Anuid PJ'!$A$6:$C$32,2,0)</f>
        <v>949</v>
      </c>
      <c r="C17" s="627">
        <f>VLOOKUP($A$4:$A$30,'Anuid PJ'!$A$6:$C$32,3,0)</f>
        <v>392</v>
      </c>
      <c r="D17" s="625">
        <f t="shared" si="0"/>
        <v>0.4130663856691254</v>
      </c>
      <c r="E17" s="626">
        <f>VLOOKUP('ADIMPLÊNCIA PJ'!$A$4:$A$30,'Anuid PJ'!$A$6:$F$32,6,)</f>
        <v>957</v>
      </c>
      <c r="F17" s="626">
        <f>VLOOKUP(A17:$A$30,'Anuid PJ'!$A$6:$G$32,7,)</f>
        <v>425</v>
      </c>
      <c r="G17" s="626">
        <f>VLOOKUP(A17:$A$29,'Anuid PJ'!$A$6:$H$32,8,)</f>
        <v>281</v>
      </c>
      <c r="H17" s="626">
        <f t="shared" si="1"/>
        <v>144</v>
      </c>
      <c r="I17" s="625">
        <f t="shared" si="2"/>
        <v>0.44409613375130619</v>
      </c>
      <c r="J17" s="624">
        <f t="shared" si="3"/>
        <v>0.84299262381452422</v>
      </c>
      <c r="K17" s="624">
        <f t="shared" si="4"/>
        <v>8.4183673469387656</v>
      </c>
      <c r="L17" s="624">
        <f t="shared" si="5"/>
        <v>3.1029748082180786E-2</v>
      </c>
      <c r="N17" s="628" t="str">
        <f t="shared" si="6"/>
        <v>BA</v>
      </c>
      <c r="O17" s="625">
        <f t="shared" si="7"/>
        <v>0.44409613375130619</v>
      </c>
    </row>
    <row r="18" spans="1:15" ht="19.5" thickBot="1">
      <c r="A18" s="628" t="s">
        <v>90</v>
      </c>
      <c r="B18" s="627">
        <f>VLOOKUP($A$4:$A$30,'Anuid PJ'!$A$6:$C$32,2,0)</f>
        <v>222</v>
      </c>
      <c r="C18" s="627">
        <f>VLOOKUP($A$4:$A$30,'Anuid PJ'!$A$6:$C$32,3,0)</f>
        <v>80</v>
      </c>
      <c r="D18" s="625">
        <f t="shared" si="0"/>
        <v>0.36036036036036034</v>
      </c>
      <c r="E18" s="626">
        <f>VLOOKUP('ADIMPLÊNCIA PJ'!$A$4:$A$30,'Anuid PJ'!$A$6:$F$32,6,)</f>
        <v>238</v>
      </c>
      <c r="F18" s="626">
        <f>VLOOKUP(A18:$A$30,'Anuid PJ'!$A$6:$G$32,7,)</f>
        <v>105</v>
      </c>
      <c r="G18" s="626">
        <f>VLOOKUP(A18:$A$29,'Anuid PJ'!$A$6:$H$32,8,)</f>
        <v>70</v>
      </c>
      <c r="H18" s="626">
        <f t="shared" si="1"/>
        <v>35</v>
      </c>
      <c r="I18" s="625">
        <f t="shared" si="2"/>
        <v>0.44117647058823528</v>
      </c>
      <c r="J18" s="624">
        <f t="shared" si="3"/>
        <v>7.2072072072072046</v>
      </c>
      <c r="K18" s="624">
        <f t="shared" si="4"/>
        <v>31.25</v>
      </c>
      <c r="L18" s="624">
        <f t="shared" si="5"/>
        <v>8.0816110227874938E-2</v>
      </c>
      <c r="N18" s="628" t="str">
        <f t="shared" si="6"/>
        <v>AM</v>
      </c>
      <c r="O18" s="625">
        <f t="shared" si="7"/>
        <v>0.44117647058823528</v>
      </c>
    </row>
    <row r="19" spans="1:15" ht="19.5" thickBot="1">
      <c r="A19" s="628" t="s">
        <v>88</v>
      </c>
      <c r="B19" s="627">
        <f>VLOOKUP($A$4:$A$30,'Anuid PJ'!$A$6:$C$32,2,0)</f>
        <v>148</v>
      </c>
      <c r="C19" s="627">
        <f>VLOOKUP($A$4:$A$30,'Anuid PJ'!$A$6:$C$32,3,0)</f>
        <v>51</v>
      </c>
      <c r="D19" s="625">
        <f t="shared" si="0"/>
        <v>0.34459459459459457</v>
      </c>
      <c r="E19" s="626">
        <f>VLOOKUP('ADIMPLÊNCIA PJ'!$A$4:$A$30,'Anuid PJ'!$A$6:$F$32,6,)</f>
        <v>152</v>
      </c>
      <c r="F19" s="626">
        <f>VLOOKUP(A19:$A$30,'Anuid PJ'!$A$6:$G$32,7,)</f>
        <v>67</v>
      </c>
      <c r="G19" s="626">
        <f>VLOOKUP(A19:$A$29,'Anuid PJ'!$A$6:$H$32,8,)</f>
        <v>50</v>
      </c>
      <c r="H19" s="626">
        <f t="shared" si="1"/>
        <v>17</v>
      </c>
      <c r="I19" s="625">
        <f t="shared" si="2"/>
        <v>0.44078947368421051</v>
      </c>
      <c r="J19" s="624">
        <f t="shared" si="3"/>
        <v>2.7027027027026946</v>
      </c>
      <c r="K19" s="624">
        <f t="shared" si="4"/>
        <v>31.372549019607845</v>
      </c>
      <c r="L19" s="624">
        <f t="shared" si="5"/>
        <v>9.6194879089615937E-2</v>
      </c>
      <c r="N19" s="628" t="str">
        <f t="shared" si="6"/>
        <v>AL</v>
      </c>
      <c r="O19" s="625">
        <f t="shared" si="7"/>
        <v>0.44078947368421051</v>
      </c>
    </row>
    <row r="20" spans="1:15" ht="19.5" thickBot="1">
      <c r="A20" s="628" t="s">
        <v>93</v>
      </c>
      <c r="B20" s="627">
        <f>VLOOKUP($A$4:$A$30,'Anuid PJ'!$A$6:$C$32,2,0)</f>
        <v>716</v>
      </c>
      <c r="C20" s="627">
        <f>VLOOKUP($A$4:$A$30,'Anuid PJ'!$A$6:$C$32,3,0)</f>
        <v>275</v>
      </c>
      <c r="D20" s="625">
        <f t="shared" si="0"/>
        <v>0.38407821229050282</v>
      </c>
      <c r="E20" s="626">
        <f>VLOOKUP('ADIMPLÊNCIA PJ'!$A$4:$A$30,'Anuid PJ'!$A$6:$F$32,6,)</f>
        <v>734</v>
      </c>
      <c r="F20" s="626">
        <f>VLOOKUP(A20:$A$30,'Anuid PJ'!$A$6:$G$32,7,)</f>
        <v>321</v>
      </c>
      <c r="G20" s="626">
        <f>VLOOKUP(A20:$A$29,'Anuid PJ'!$A$6:$H$32,8,)</f>
        <v>220</v>
      </c>
      <c r="H20" s="626">
        <f t="shared" si="1"/>
        <v>101</v>
      </c>
      <c r="I20" s="625">
        <f t="shared" si="2"/>
        <v>0.43732970027247958</v>
      </c>
      <c r="J20" s="624">
        <f t="shared" si="3"/>
        <v>2.5139664804469248</v>
      </c>
      <c r="K20" s="624">
        <f t="shared" si="4"/>
        <v>16.72727272727272</v>
      </c>
      <c r="L20" s="624">
        <f t="shared" si="5"/>
        <v>5.3251487981976764E-2</v>
      </c>
      <c r="N20" s="628" t="str">
        <f t="shared" si="6"/>
        <v>DF</v>
      </c>
      <c r="O20" s="625">
        <f t="shared" si="7"/>
        <v>0.43732970027247958</v>
      </c>
    </row>
    <row r="21" spans="1:15" ht="19.5" thickBot="1">
      <c r="A21" s="628" t="s">
        <v>98</v>
      </c>
      <c r="B21" s="627">
        <f>VLOOKUP($A$4:$A$30,'Anuid PJ'!$A$6:$C$32,2,0)</f>
        <v>627</v>
      </c>
      <c r="C21" s="627">
        <f>VLOOKUP($A$4:$A$30,'Anuid PJ'!$A$6:$C$32,3,0)</f>
        <v>250</v>
      </c>
      <c r="D21" s="625">
        <f t="shared" si="0"/>
        <v>0.39872408293460926</v>
      </c>
      <c r="E21" s="626">
        <f>VLOOKUP('ADIMPLÊNCIA PJ'!$A$4:$A$30,'Anuid PJ'!$A$6:$F$32,6,)</f>
        <v>638</v>
      </c>
      <c r="F21" s="626">
        <f>VLOOKUP(A21:$A$30,'Anuid PJ'!$A$6:$G$32,7,)</f>
        <v>278</v>
      </c>
      <c r="G21" s="626">
        <f>VLOOKUP(A21:$A$29,'Anuid PJ'!$A$6:$H$32,8,)</f>
        <v>187</v>
      </c>
      <c r="H21" s="626">
        <f t="shared" si="1"/>
        <v>91</v>
      </c>
      <c r="I21" s="625">
        <f t="shared" si="2"/>
        <v>0.43573667711598746</v>
      </c>
      <c r="J21" s="624">
        <f t="shared" si="3"/>
        <v>1.7543859649122879</v>
      </c>
      <c r="K21" s="624">
        <f t="shared" si="4"/>
        <v>11.200000000000017</v>
      </c>
      <c r="L21" s="624">
        <f t="shared" si="5"/>
        <v>3.70125941813782E-2</v>
      </c>
      <c r="N21" s="628" t="str">
        <f t="shared" si="6"/>
        <v>MS</v>
      </c>
      <c r="O21" s="625">
        <f t="shared" si="7"/>
        <v>0.43573667711598746</v>
      </c>
    </row>
    <row r="22" spans="1:15" ht="19.5" thickBot="1">
      <c r="A22" s="628" t="s">
        <v>87</v>
      </c>
      <c r="B22" s="627">
        <f>VLOOKUP($A$4:$A$30,'Anuid PJ'!$A$6:$C$32,2,0)</f>
        <v>122</v>
      </c>
      <c r="C22" s="627">
        <f>VLOOKUP($A$4:$A$30,'Anuid PJ'!$A$6:$C$32,3,0)</f>
        <v>42</v>
      </c>
      <c r="D22" s="625">
        <f t="shared" si="0"/>
        <v>0.34426229508196721</v>
      </c>
      <c r="E22" s="626">
        <f>VLOOKUP('ADIMPLÊNCIA PJ'!$A$4:$A$30,'Anuid PJ'!$A$6:$F$32,6,)</f>
        <v>132</v>
      </c>
      <c r="F22" s="626">
        <f>VLOOKUP(A22:$A$30,'Anuid PJ'!$A$6:$G$32,7,)</f>
        <v>56</v>
      </c>
      <c r="G22" s="626">
        <f>VLOOKUP(A22:$A$29,'Anuid PJ'!$A$6:$H$32,8,)</f>
        <v>37</v>
      </c>
      <c r="H22" s="626">
        <f t="shared" si="1"/>
        <v>19</v>
      </c>
      <c r="I22" s="625">
        <f t="shared" si="2"/>
        <v>0.42424242424242425</v>
      </c>
      <c r="J22" s="624">
        <f t="shared" si="3"/>
        <v>8.1967213114754145</v>
      </c>
      <c r="K22" s="624">
        <f t="shared" si="4"/>
        <v>33.333333333333314</v>
      </c>
      <c r="L22" s="624">
        <f t="shared" si="5"/>
        <v>7.9980129160457047E-2</v>
      </c>
      <c r="N22" s="628" t="str">
        <f t="shared" si="6"/>
        <v>AC</v>
      </c>
      <c r="O22" s="625">
        <f t="shared" si="7"/>
        <v>0.42424242424242425</v>
      </c>
    </row>
    <row r="23" spans="1:15" ht="19.5" thickBot="1">
      <c r="A23" s="628" t="s">
        <v>108</v>
      </c>
      <c r="B23" s="627">
        <f>VLOOKUP($A$4:$A$30,'Anuid PJ'!$A$6:$C$32,2,0)</f>
        <v>205</v>
      </c>
      <c r="C23" s="627">
        <f>VLOOKUP($A$4:$A$30,'Anuid PJ'!$A$6:$C$32,3,0)</f>
        <v>72</v>
      </c>
      <c r="D23" s="625">
        <f t="shared" si="0"/>
        <v>0.35121951219512193</v>
      </c>
      <c r="E23" s="626">
        <f>VLOOKUP('ADIMPLÊNCIA PJ'!$A$4:$A$30,'Anuid PJ'!$A$6:$F$32,6,)</f>
        <v>216</v>
      </c>
      <c r="F23" s="626">
        <f>VLOOKUP(A23:$A$30,'Anuid PJ'!$A$6:$G$32,7,)</f>
        <v>82</v>
      </c>
      <c r="G23" s="626">
        <f>VLOOKUP(A23:$A$29,'Anuid PJ'!$A$6:$H$32,8,)</f>
        <v>46</v>
      </c>
      <c r="H23" s="626">
        <f t="shared" si="1"/>
        <v>36</v>
      </c>
      <c r="I23" s="625">
        <f t="shared" si="2"/>
        <v>0.37962962962962965</v>
      </c>
      <c r="J23" s="624">
        <f t="shared" si="3"/>
        <v>5.3658536585365937</v>
      </c>
      <c r="K23" s="624">
        <f t="shared" si="4"/>
        <v>13.888888888888886</v>
      </c>
      <c r="L23" s="624">
        <f t="shared" si="5"/>
        <v>2.841011743450772E-2</v>
      </c>
      <c r="N23" s="628" t="str">
        <f t="shared" si="6"/>
        <v>RO</v>
      </c>
      <c r="O23" s="625">
        <f t="shared" si="7"/>
        <v>0.37962962962962965</v>
      </c>
    </row>
    <row r="24" spans="1:15" ht="19.5" thickBot="1">
      <c r="A24" s="628" t="s">
        <v>113</v>
      </c>
      <c r="B24" s="627">
        <f>VLOOKUP($A$4:$A$30,'Anuid PJ'!$A$6:$C$32,2,0)</f>
        <v>189</v>
      </c>
      <c r="C24" s="627">
        <f>VLOOKUP($A$4:$A$30,'Anuid PJ'!$A$6:$C$32,3,0)</f>
        <v>63</v>
      </c>
      <c r="D24" s="625">
        <f t="shared" si="0"/>
        <v>0.33333333333333331</v>
      </c>
      <c r="E24" s="626">
        <f>VLOOKUP('ADIMPLÊNCIA PJ'!$A$4:$A$30,'Anuid PJ'!$A$6:$F$32,6,)</f>
        <v>190</v>
      </c>
      <c r="F24" s="626">
        <f>VLOOKUP(A24:$A$30,'Anuid PJ'!$A$6:$G$32,7,)</f>
        <v>71</v>
      </c>
      <c r="G24" s="626">
        <f>VLOOKUP(A23:$A$30,'Anuid PJ'!$A$6:$H$32,8,)</f>
        <v>39</v>
      </c>
      <c r="H24" s="626">
        <f t="shared" si="1"/>
        <v>32</v>
      </c>
      <c r="I24" s="625">
        <f t="shared" si="2"/>
        <v>0.37368421052631579</v>
      </c>
      <c r="J24" s="624">
        <f t="shared" si="3"/>
        <v>0.52910052910053196</v>
      </c>
      <c r="K24" s="624">
        <f t="shared" si="4"/>
        <v>12.698412698412696</v>
      </c>
      <c r="L24" s="624">
        <f t="shared" si="5"/>
        <v>4.0350877192982471E-2</v>
      </c>
      <c r="N24" s="628" t="str">
        <f t="shared" si="6"/>
        <v>TO</v>
      </c>
      <c r="O24" s="625">
        <f t="shared" si="7"/>
        <v>0.37368421052631579</v>
      </c>
    </row>
    <row r="25" spans="1:15" ht="19.5" thickBot="1">
      <c r="A25" s="628" t="s">
        <v>106</v>
      </c>
      <c r="B25" s="627">
        <f>VLOOKUP($A$4:$A$30,'Anuid PJ'!$A$6:$C$32,2,0)</f>
        <v>284</v>
      </c>
      <c r="C25" s="627">
        <f>VLOOKUP($A$4:$A$30,'Anuid PJ'!$A$6:$C$32,3,0)</f>
        <v>92</v>
      </c>
      <c r="D25" s="625">
        <f t="shared" si="0"/>
        <v>0.323943661971831</v>
      </c>
      <c r="E25" s="626">
        <f>VLOOKUP('ADIMPLÊNCIA PJ'!$A$4:$A$30,'Anuid PJ'!$A$6:$F$32,6,)</f>
        <v>295</v>
      </c>
      <c r="F25" s="626">
        <f>VLOOKUP(A25:$A$30,'Anuid PJ'!$A$6:$G$32,7,)</f>
        <v>110</v>
      </c>
      <c r="G25" s="626">
        <f>VLOOKUP(A25:$A$29,'Anuid PJ'!$A$6:$H$32,8,)</f>
        <v>70</v>
      </c>
      <c r="H25" s="626">
        <f t="shared" si="1"/>
        <v>40</v>
      </c>
      <c r="I25" s="625">
        <f t="shared" si="2"/>
        <v>0.3728813559322034</v>
      </c>
      <c r="J25" s="624">
        <f t="shared" si="3"/>
        <v>3.8732394366197269</v>
      </c>
      <c r="K25" s="624">
        <f t="shared" si="4"/>
        <v>19.565217391304344</v>
      </c>
      <c r="L25" s="624">
        <f t="shared" si="5"/>
        <v>4.8937693960372397E-2</v>
      </c>
      <c r="N25" s="628" t="str">
        <f t="shared" si="6"/>
        <v>RN</v>
      </c>
      <c r="O25" s="625">
        <f t="shared" si="7"/>
        <v>0.3728813559322034</v>
      </c>
    </row>
    <row r="26" spans="1:15" ht="19.5" thickBot="1">
      <c r="A26" s="628" t="s">
        <v>100</v>
      </c>
      <c r="B26" s="627">
        <f>VLOOKUP($A$4:$A$30,'Anuid PJ'!$A$6:$C$32,2,0)</f>
        <v>364</v>
      </c>
      <c r="C26" s="627">
        <f>VLOOKUP($A$4:$A$30,'Anuid PJ'!$A$6:$C$32,3,0)</f>
        <v>105</v>
      </c>
      <c r="D26" s="625">
        <f t="shared" si="0"/>
        <v>0.28846153846153844</v>
      </c>
      <c r="E26" s="626">
        <f>VLOOKUP('ADIMPLÊNCIA PJ'!$A$4:$A$30,'Anuid PJ'!$A$6:$F$32,6,)</f>
        <v>382</v>
      </c>
      <c r="F26" s="626">
        <f>VLOOKUP(A26:$A$30,'Anuid PJ'!$A$6:$G$32,7,)</f>
        <v>140</v>
      </c>
      <c r="G26" s="626">
        <f>VLOOKUP(A$11:$A44,'Anuid PJ'!$A$6:$H$32,8,)</f>
        <v>92</v>
      </c>
      <c r="H26" s="626">
        <f t="shared" si="1"/>
        <v>48</v>
      </c>
      <c r="I26" s="625">
        <f t="shared" si="2"/>
        <v>0.36649214659685864</v>
      </c>
      <c r="J26" s="624">
        <f t="shared" si="3"/>
        <v>4.9450549450549488</v>
      </c>
      <c r="K26" s="624">
        <f t="shared" si="4"/>
        <v>33.333333333333314</v>
      </c>
      <c r="L26" s="624">
        <f t="shared" si="5"/>
        <v>7.8030608135320201E-2</v>
      </c>
      <c r="N26" s="628" t="str">
        <f t="shared" si="6"/>
        <v>PA</v>
      </c>
      <c r="O26" s="625">
        <f t="shared" si="7"/>
        <v>0.36649214659685864</v>
      </c>
    </row>
    <row r="27" spans="1:15" ht="19.5" thickBot="1">
      <c r="A27" s="628" t="s">
        <v>109</v>
      </c>
      <c r="B27" s="627">
        <f>VLOOKUP($A$4:$A$30,'Anuid PJ'!$A$6:$C$32,2,0)</f>
        <v>56</v>
      </c>
      <c r="C27" s="627">
        <f>VLOOKUP($A$4:$A$30,'Anuid PJ'!$A$6:$C$32,3,0)</f>
        <v>20</v>
      </c>
      <c r="D27" s="625">
        <f t="shared" si="0"/>
        <v>0.35714285714285715</v>
      </c>
      <c r="E27" s="626">
        <f>VLOOKUP('ADIMPLÊNCIA PJ'!$A$4:$A$30,'Anuid PJ'!$A$6:$F$32,6,)</f>
        <v>59</v>
      </c>
      <c r="F27" s="626">
        <f>VLOOKUP(A27:$A$30,'Anuid PJ'!$A$6:$G$32,7,)</f>
        <v>19</v>
      </c>
      <c r="G27" s="626">
        <f>VLOOKUP(A27:$A$29,'Anuid PJ'!$A$6:$H$32,8,)</f>
        <v>12</v>
      </c>
      <c r="H27" s="626">
        <f t="shared" si="1"/>
        <v>7</v>
      </c>
      <c r="I27" s="625">
        <f t="shared" si="2"/>
        <v>0.32203389830508472</v>
      </c>
      <c r="J27" s="624">
        <f t="shared" si="3"/>
        <v>5.3571428571428612</v>
      </c>
      <c r="K27" s="624">
        <f t="shared" si="4"/>
        <v>-5</v>
      </c>
      <c r="L27" s="624">
        <f t="shared" si="5"/>
        <v>-3.510895883777243E-2</v>
      </c>
      <c r="N27" s="628" t="str">
        <f t="shared" si="6"/>
        <v>RR</v>
      </c>
      <c r="O27" s="625">
        <f t="shared" si="7"/>
        <v>0.32203389830508472</v>
      </c>
    </row>
    <row r="28" spans="1:15" ht="19.5" thickBot="1">
      <c r="A28" s="628" t="s">
        <v>89</v>
      </c>
      <c r="B28" s="627">
        <f>VLOOKUP($A$4:$A$30,'Anuid PJ'!$A$6:$C$32,2,0)</f>
        <v>245</v>
      </c>
      <c r="C28" s="627">
        <f>VLOOKUP($A$4:$A$30,'Anuid PJ'!$A$6:$C$32,3,0)</f>
        <v>45</v>
      </c>
      <c r="D28" s="625">
        <f t="shared" si="0"/>
        <v>0.18367346938775511</v>
      </c>
      <c r="E28" s="626">
        <f>VLOOKUP('ADIMPLÊNCIA PJ'!$A$4:$A$30,'Anuid PJ'!$A$6:$F$32,6,)</f>
        <v>256</v>
      </c>
      <c r="F28" s="626">
        <f>VLOOKUP(A28:$A$30,'Anuid PJ'!$A$6:$G$32,7,)</f>
        <v>81</v>
      </c>
      <c r="G28" s="626">
        <f>VLOOKUP(A27:$A$30,'Anuid PJ'!$A$6:$H$32,8,)</f>
        <v>55</v>
      </c>
      <c r="H28" s="626">
        <f t="shared" si="1"/>
        <v>26</v>
      </c>
      <c r="I28" s="625">
        <f t="shared" si="2"/>
        <v>0.31640625</v>
      </c>
      <c r="J28" s="624">
        <f t="shared" si="3"/>
        <v>4.4897959183673493</v>
      </c>
      <c r="K28" s="624">
        <f t="shared" si="4"/>
        <v>80</v>
      </c>
      <c r="L28" s="624">
        <f t="shared" si="5"/>
        <v>0.13273278061224489</v>
      </c>
      <c r="N28" s="628" t="str">
        <f t="shared" si="6"/>
        <v>AP</v>
      </c>
      <c r="O28" s="625">
        <f t="shared" si="7"/>
        <v>0.31640625</v>
      </c>
    </row>
    <row r="29" spans="1:15" ht="19.5" thickBot="1">
      <c r="A29" s="628" t="s">
        <v>96</v>
      </c>
      <c r="B29" s="627">
        <f>VLOOKUP($A$4:$A$30,'Anuid PJ'!$A$6:$C$32,2,0)</f>
        <v>262</v>
      </c>
      <c r="C29" s="627">
        <f>VLOOKUP($A$4:$A$30,'Anuid PJ'!$A$6:$C$32,3,0)</f>
        <v>57</v>
      </c>
      <c r="D29" s="625">
        <f t="shared" si="0"/>
        <v>0.21755725190839695</v>
      </c>
      <c r="E29" s="626">
        <f>VLOOKUP('ADIMPLÊNCIA PJ'!$A$4:$A$30,'Anuid PJ'!$A$6:$F$32,6,)</f>
        <v>272</v>
      </c>
      <c r="F29" s="626">
        <f>VLOOKUP(A29:$A$30,'Anuid PJ'!$A$6:$G$32,7,)</f>
        <v>85</v>
      </c>
      <c r="G29" s="626">
        <f>VLOOKUP(A29:$A$29,'Anuid PJ'!$A$6:$H$32,8,)</f>
        <v>58</v>
      </c>
      <c r="H29" s="626">
        <f t="shared" si="1"/>
        <v>27</v>
      </c>
      <c r="I29" s="625">
        <f t="shared" si="2"/>
        <v>0.3125</v>
      </c>
      <c r="J29" s="624">
        <f t="shared" si="3"/>
        <v>3.8167938931297698</v>
      </c>
      <c r="K29" s="624">
        <f t="shared" si="4"/>
        <v>49.122807017543863</v>
      </c>
      <c r="L29" s="624">
        <f t="shared" si="5"/>
        <v>9.4942748091603052E-2</v>
      </c>
      <c r="N29" s="628" t="str">
        <f t="shared" si="6"/>
        <v>MA</v>
      </c>
      <c r="O29" s="625">
        <f t="shared" si="7"/>
        <v>0.3125</v>
      </c>
    </row>
    <row r="30" spans="1:15" ht="19.5" thickBot="1">
      <c r="A30" s="628" t="s">
        <v>101</v>
      </c>
      <c r="B30" s="627">
        <f>VLOOKUP($A$4:$A$30,'Anuid PJ'!$A$6:$C$32,2,0)</f>
        <v>467</v>
      </c>
      <c r="C30" s="627">
        <f>VLOOKUP($A$4:$A$30,'Anuid PJ'!$A$6:$C$32,3,0)</f>
        <v>109</v>
      </c>
      <c r="D30" s="625">
        <f t="shared" si="0"/>
        <v>0.23340471092077089</v>
      </c>
      <c r="E30" s="626">
        <f>VLOOKUP('ADIMPLÊNCIA PJ'!$A$4:$A$30,'Anuid PJ'!$A$6:$F$32,6,)</f>
        <v>480</v>
      </c>
      <c r="F30" s="626">
        <f>VLOOKUP(A30:$A$30,'Anuid PJ'!$A$6:$G$32,7,)</f>
        <v>135</v>
      </c>
      <c r="G30" s="626">
        <f>VLOOKUP(A29:$A$30,'Anuid PJ'!$A$6:$H$32,8,)</f>
        <v>93</v>
      </c>
      <c r="H30" s="626">
        <f t="shared" si="1"/>
        <v>42</v>
      </c>
      <c r="I30" s="625">
        <f t="shared" si="2"/>
        <v>0.28125</v>
      </c>
      <c r="J30" s="624">
        <f t="shared" si="3"/>
        <v>2.7837259100642342</v>
      </c>
      <c r="K30" s="624">
        <f t="shared" si="4"/>
        <v>23.853211009174302</v>
      </c>
      <c r="L30" s="624">
        <f t="shared" si="5"/>
        <v>4.7845289079229109E-2</v>
      </c>
      <c r="N30" s="628" t="str">
        <f t="shared" si="6"/>
        <v>PB</v>
      </c>
      <c r="O30" s="625">
        <f t="shared" si="7"/>
        <v>0.28125</v>
      </c>
    </row>
    <row r="31" spans="1:15" ht="24" customHeight="1" thickBot="1">
      <c r="A31" s="623" t="s">
        <v>34</v>
      </c>
      <c r="B31" s="621">
        <f>SUM(B4:B30)</f>
        <v>27380</v>
      </c>
      <c r="C31" s="621">
        <f>SUM(C4:C30)</f>
        <v>12452</v>
      </c>
      <c r="D31" s="622">
        <f t="shared" ref="D31" si="8">C31/B31</f>
        <v>0.4547845142439737</v>
      </c>
      <c r="E31" s="621">
        <f>SUM(E4:E30)</f>
        <v>27166</v>
      </c>
      <c r="F31" s="621">
        <f>SUM(F4:F30)</f>
        <v>14513</v>
      </c>
      <c r="G31" s="621">
        <f>SUM(G4:G30)</f>
        <v>9676</v>
      </c>
      <c r="H31" s="621">
        <f t="shared" ref="H31:H33" si="9">F31-G31</f>
        <v>4837</v>
      </c>
      <c r="I31" s="620">
        <f t="shared" ref="I31" si="10">F31/E31</f>
        <v>0.5342339689317529</v>
      </c>
      <c r="J31" s="619">
        <f t="shared" ref="J31:J33" si="11">E31/B31*100-100</f>
        <v>-0.78159240321402024</v>
      </c>
      <c r="K31" s="619">
        <f t="shared" ref="K31:K33" si="12">F31/C31*100-100</f>
        <v>16.551557982653392</v>
      </c>
      <c r="L31" s="619">
        <f t="shared" ref="L31:L33" si="13">I31-D31</f>
        <v>7.9449454687779197E-2</v>
      </c>
      <c r="N31" s="623" t="str">
        <f t="shared" ref="N31" si="14">A31</f>
        <v xml:space="preserve">TOTAL </v>
      </c>
      <c r="O31" s="620">
        <f t="shared" ref="O31:O35" si="15">I31</f>
        <v>0.5342339689317529</v>
      </c>
    </row>
    <row r="32" spans="1:15" ht="19.5" hidden="1" thickBot="1">
      <c r="A32" s="476"/>
      <c r="B32" s="476"/>
      <c r="C32" s="476"/>
      <c r="D32" s="617" t="e">
        <f>C32/B32*100</f>
        <v>#DIV/0!</v>
      </c>
      <c r="E32" s="476"/>
      <c r="F32" s="476"/>
      <c r="G32" s="476"/>
      <c r="H32" s="618">
        <f t="shared" si="9"/>
        <v>0</v>
      </c>
      <c r="I32" s="617" t="e">
        <f>F32/E32*100</f>
        <v>#DIV/0!</v>
      </c>
      <c r="J32" s="616" t="e">
        <f t="shared" si="11"/>
        <v>#DIV/0!</v>
      </c>
      <c r="K32" s="616" t="e">
        <f t="shared" si="12"/>
        <v>#DIV/0!</v>
      </c>
      <c r="L32" s="616" t="e">
        <f t="shared" si="13"/>
        <v>#DIV/0!</v>
      </c>
      <c r="N32" s="357"/>
      <c r="O32" s="42" t="e">
        <f t="shared" si="15"/>
        <v>#DIV/0!</v>
      </c>
    </row>
    <row r="33" spans="1:15" ht="19.5" hidden="1" thickBot="1">
      <c r="A33" s="613" t="s">
        <v>572</v>
      </c>
      <c r="B33" s="476"/>
      <c r="C33" s="476"/>
      <c r="D33" s="617" t="e">
        <f>C33/B33*100</f>
        <v>#DIV/0!</v>
      </c>
      <c r="E33" s="476"/>
      <c r="F33" s="476"/>
      <c r="G33" s="476"/>
      <c r="H33" s="618">
        <f t="shared" si="9"/>
        <v>0</v>
      </c>
      <c r="I33" s="617" t="e">
        <f>F33/E33*100</f>
        <v>#DIV/0!</v>
      </c>
      <c r="J33" s="616" t="e">
        <f t="shared" si="11"/>
        <v>#DIV/0!</v>
      </c>
      <c r="K33" s="616" t="e">
        <f t="shared" si="12"/>
        <v>#DIV/0!</v>
      </c>
      <c r="L33" s="616" t="e">
        <f t="shared" si="13"/>
        <v>#DIV/0!</v>
      </c>
      <c r="N33" s="357"/>
      <c r="O33" s="42" t="e">
        <f t="shared" si="15"/>
        <v>#DIV/0!</v>
      </c>
    </row>
    <row r="34" spans="1:15" ht="18.75" hidden="1">
      <c r="A34" s="613"/>
      <c r="B34" s="615"/>
      <c r="C34" s="615"/>
      <c r="D34" s="476"/>
      <c r="E34" s="611">
        <v>20296</v>
      </c>
      <c r="F34" s="611">
        <v>11801</v>
      </c>
      <c r="G34" s="611">
        <v>7956</v>
      </c>
      <c r="H34" s="611">
        <v>3845</v>
      </c>
      <c r="I34" s="614">
        <v>58.14446196294837</v>
      </c>
      <c r="J34" s="476"/>
      <c r="K34" s="476"/>
      <c r="L34" s="476"/>
      <c r="O34" s="42">
        <f t="shared" si="15"/>
        <v>58.14446196294837</v>
      </c>
    </row>
    <row r="35" spans="1:15" ht="18.75" hidden="1">
      <c r="A35" s="613"/>
      <c r="B35" s="612">
        <f>'Anuid PJ'!B35</f>
        <v>27380</v>
      </c>
      <c r="C35" s="612">
        <f>'Anuid PJ'!C35</f>
        <v>12452</v>
      </c>
      <c r="D35" s="476"/>
      <c r="E35" s="611">
        <v>21816</v>
      </c>
      <c r="F35" s="611">
        <f>'Anuid PJ'!G35</f>
        <v>14513</v>
      </c>
      <c r="G35" s="611">
        <v>4988</v>
      </c>
      <c r="H35" s="611">
        <f>'Anuid PJ'!I35</f>
        <v>4837</v>
      </c>
      <c r="I35" s="610"/>
      <c r="J35" s="476"/>
      <c r="K35" s="476"/>
      <c r="L35" s="476"/>
      <c r="O35" s="42">
        <f t="shared" si="15"/>
        <v>0</v>
      </c>
    </row>
    <row r="36" spans="1:15" ht="18.75" customHeight="1">
      <c r="A36" s="1353" t="s">
        <v>1099</v>
      </c>
      <c r="B36" s="1354"/>
      <c r="C36" s="1355"/>
      <c r="D36" s="1045">
        <f>I31</f>
        <v>0.5342339689317529</v>
      </c>
      <c r="E36" s="1047"/>
      <c r="F36" s="476"/>
      <c r="G36" s="476"/>
      <c r="H36" s="476"/>
      <c r="I36" s="609"/>
      <c r="J36" s="476"/>
      <c r="K36" s="476"/>
      <c r="L36" s="476"/>
    </row>
    <row r="37" spans="1:15" ht="21" customHeight="1" thickBot="1">
      <c r="A37" s="1356" t="s">
        <v>1098</v>
      </c>
      <c r="B37" s="1357"/>
      <c r="C37" s="1357"/>
      <c r="D37" s="1046">
        <f>I31</f>
        <v>0.5342339689317529</v>
      </c>
      <c r="E37" s="1048"/>
      <c r="F37" s="608"/>
      <c r="G37" s="608"/>
      <c r="H37" s="476"/>
      <c r="I37" s="476"/>
      <c r="J37" s="476"/>
      <c r="K37" s="476"/>
      <c r="L37" s="476"/>
    </row>
    <row r="38" spans="1:15">
      <c r="B38" s="357">
        <f>'Anuid PJ'!B35</f>
        <v>27380</v>
      </c>
      <c r="C38" s="357">
        <f>'Anuid PJ'!C35</f>
        <v>12452</v>
      </c>
      <c r="E38" s="253">
        <f>'Anuid PJ'!F35</f>
        <v>27166</v>
      </c>
      <c r="F38" s="253">
        <f>'Anuid PJ'!G35</f>
        <v>14513</v>
      </c>
      <c r="G38" s="253">
        <f>'Anuid PJ'!H35</f>
        <v>9676</v>
      </c>
      <c r="H38" s="253">
        <f>'Anuid PJ'!I35</f>
        <v>4837</v>
      </c>
      <c r="I38" s="486">
        <f>'Anuid PJ'!J35</f>
        <v>53.423396893175287</v>
      </c>
    </row>
    <row r="39" spans="1:15" ht="18.75" customHeight="1">
      <c r="A39" s="292"/>
      <c r="B39" s="607" t="b">
        <f>B31=B38</f>
        <v>1</v>
      </c>
      <c r="C39" s="607" t="b">
        <f>C31=C38</f>
        <v>1</v>
      </c>
      <c r="E39" s="606" t="b">
        <f>E31=E38</f>
        <v>1</v>
      </c>
      <c r="F39" s="606" t="b">
        <f>F31=F38</f>
        <v>1</v>
      </c>
      <c r="G39" s="606" t="b">
        <f>G31=G38</f>
        <v>1</v>
      </c>
      <c r="H39" s="606" t="b">
        <f>H31=H38</f>
        <v>1</v>
      </c>
      <c r="I39" s="606" t="b">
        <f>I31=I38/100</f>
        <v>1</v>
      </c>
      <c r="J39" s="605"/>
      <c r="K39" s="311"/>
      <c r="L39" s="310"/>
    </row>
    <row r="40" spans="1:15" ht="26.25">
      <c r="A40" s="292"/>
      <c r="B40" s="307"/>
      <c r="C40" s="307"/>
      <c r="D40" s="308"/>
      <c r="E40" s="307"/>
      <c r="F40" s="292"/>
      <c r="G40" s="307"/>
      <c r="H40" s="292"/>
      <c r="J40" s="446"/>
      <c r="K40" s="306"/>
      <c r="L40" s="305"/>
    </row>
    <row r="41" spans="1:15" ht="26.25">
      <c r="A41" s="292"/>
      <c r="B41" s="307"/>
      <c r="C41" s="307"/>
      <c r="D41" s="308"/>
      <c r="E41" s="307"/>
      <c r="F41" s="292"/>
      <c r="G41" s="307"/>
      <c r="H41" s="292"/>
      <c r="I41" s="284"/>
      <c r="J41" s="446"/>
      <c r="K41" s="306"/>
      <c r="L41" s="305"/>
    </row>
  </sheetData>
  <sortState ref="A4:L30">
    <sortCondition descending="1" ref="I4:I30"/>
  </sortState>
  <mergeCells count="6">
    <mergeCell ref="A37:C37"/>
    <mergeCell ref="B1:L1"/>
    <mergeCell ref="B2:D2"/>
    <mergeCell ref="E2:I2"/>
    <mergeCell ref="J2:L2"/>
    <mergeCell ref="A36:C36"/>
  </mergeCells>
  <conditionalFormatting sqref="I4:I30">
    <cfRule type="cellIs" dxfId="205" priority="23" operator="lessThan">
      <formula>$I$31</formula>
    </cfRule>
    <cfRule type="cellIs" dxfId="204" priority="24" operator="greaterThan">
      <formula>$I$31</formula>
    </cfRule>
    <cfRule type="cellIs" dxfId="203" priority="43" operator="lessThan">
      <formula>$I$31</formula>
    </cfRule>
    <cfRule type="cellIs" dxfId="202" priority="47" operator="greaterThanOrEqual">
      <formula>$I$31</formula>
    </cfRule>
  </conditionalFormatting>
  <conditionalFormatting sqref="I11:I14">
    <cfRule type="cellIs" dxfId="201" priority="41" operator="lessThan">
      <formula>$I$31</formula>
    </cfRule>
    <cfRule type="cellIs" dxfId="200" priority="42" operator="greaterThanOrEqual">
      <formula>$I$31</formula>
    </cfRule>
  </conditionalFormatting>
  <conditionalFormatting sqref="I7:I10">
    <cfRule type="cellIs" dxfId="199" priority="39" operator="lessThan">
      <formula>$I$31</formula>
    </cfRule>
    <cfRule type="cellIs" dxfId="198" priority="40" operator="greaterThanOrEqual">
      <formula>$I$31</formula>
    </cfRule>
  </conditionalFormatting>
  <conditionalFormatting sqref="I4:I30">
    <cfRule type="cellIs" dxfId="197" priority="25" operator="greaterThan">
      <formula>$I$31</formula>
    </cfRule>
    <cfRule type="cellIs" dxfId="196" priority="26" operator="lessThan">
      <formula>$I$31</formula>
    </cfRule>
    <cfRule type="cellIs" dxfId="195" priority="27" operator="lessThan">
      <formula>$I$31</formula>
    </cfRule>
    <cfRule type="cellIs" dxfId="194" priority="28" operator="lessThan">
      <formula>32.3</formula>
    </cfRule>
    <cfRule type="cellIs" dxfId="193" priority="29" operator="greaterThan">
      <formula>30.7</formula>
    </cfRule>
    <cfRule type="cellIs" dxfId="192" priority="30" operator="lessThan">
      <formula>30.7</formula>
    </cfRule>
    <cfRule type="cellIs" dxfId="191" priority="31" operator="greaterThan">
      <formula>31.3</formula>
    </cfRule>
    <cfRule type="cellIs" dxfId="190" priority="32" operator="lessThan">
      <formula>54.3</formula>
    </cfRule>
    <cfRule type="cellIs" dxfId="189" priority="33" operator="greaterThan">
      <formula>21.6</formula>
    </cfRule>
    <cfRule type="cellIs" dxfId="188" priority="34" operator="lessThan">
      <formula>54.3</formula>
    </cfRule>
    <cfRule type="cellIs" dxfId="187" priority="35" operator="lessThan">
      <formula>53.7</formula>
    </cfRule>
    <cfRule type="cellIs" dxfId="186" priority="37" operator="greaterThan">
      <formula>50.2</formula>
    </cfRule>
    <cfRule type="cellIs" dxfId="185" priority="38" operator="lessThan">
      <formula>51.6</formula>
    </cfRule>
  </conditionalFormatting>
  <conditionalFormatting sqref="I10:I30">
    <cfRule type="cellIs" dxfId="184" priority="36" operator="lessThan">
      <formula>51.1</formula>
    </cfRule>
  </conditionalFormatting>
  <conditionalFormatting sqref="O4:O30">
    <cfRule type="cellIs" dxfId="183" priority="1" operator="lessThan">
      <formula>$I$31</formula>
    </cfRule>
    <cfRule type="cellIs" dxfId="182" priority="2" operator="greaterThan">
      <formula>$I$31</formula>
    </cfRule>
    <cfRule type="cellIs" dxfId="181" priority="21" operator="lessThan">
      <formula>$I$31</formula>
    </cfRule>
    <cfRule type="cellIs" dxfId="180" priority="22" operator="greaterThanOrEqual">
      <formula>$I$31</formula>
    </cfRule>
  </conditionalFormatting>
  <conditionalFormatting sqref="O11:O14">
    <cfRule type="cellIs" dxfId="179" priority="19" operator="lessThan">
      <formula>$I$31</formula>
    </cfRule>
    <cfRule type="cellIs" dxfId="178" priority="20" operator="greaterThanOrEqual">
      <formula>$I$31</formula>
    </cfRule>
  </conditionalFormatting>
  <conditionalFormatting sqref="O7:O10">
    <cfRule type="cellIs" dxfId="177" priority="17" operator="lessThan">
      <formula>$I$31</formula>
    </cfRule>
    <cfRule type="cellIs" dxfId="176" priority="18" operator="greaterThanOrEqual">
      <formula>$I$31</formula>
    </cfRule>
  </conditionalFormatting>
  <conditionalFormatting sqref="O4:O30">
    <cfRule type="cellIs" dxfId="175" priority="3" operator="greaterThan">
      <formula>$I$31</formula>
    </cfRule>
    <cfRule type="cellIs" dxfId="174" priority="4" operator="lessThan">
      <formula>$I$31</formula>
    </cfRule>
    <cfRule type="cellIs" dxfId="173" priority="5" operator="lessThan">
      <formula>$I$31</formula>
    </cfRule>
    <cfRule type="cellIs" dxfId="172" priority="6" operator="lessThan">
      <formula>32.3</formula>
    </cfRule>
    <cfRule type="cellIs" dxfId="171" priority="7" operator="greaterThan">
      <formula>30.7</formula>
    </cfRule>
    <cfRule type="cellIs" dxfId="170" priority="8" operator="lessThan">
      <formula>30.7</formula>
    </cfRule>
    <cfRule type="cellIs" dxfId="169" priority="9" operator="greaterThan">
      <formula>31.3</formula>
    </cfRule>
    <cfRule type="cellIs" dxfId="168" priority="10" operator="lessThan">
      <formula>54.3</formula>
    </cfRule>
    <cfRule type="cellIs" dxfId="167" priority="11" operator="greaterThan">
      <formula>21.6</formula>
    </cfRule>
    <cfRule type="cellIs" dxfId="166" priority="12" operator="lessThan">
      <formula>54.3</formula>
    </cfRule>
    <cfRule type="cellIs" dxfId="165" priority="13" operator="lessThan">
      <formula>53.7</formula>
    </cfRule>
    <cfRule type="cellIs" dxfId="164" priority="15" operator="greaterThan">
      <formula>50.2</formula>
    </cfRule>
    <cfRule type="cellIs" dxfId="163" priority="16" operator="lessThan">
      <formula>51.6</formula>
    </cfRule>
  </conditionalFormatting>
  <conditionalFormatting sqref="O10:O30">
    <cfRule type="cellIs" dxfId="162" priority="14" operator="lessThan">
      <formula>51.1</formula>
    </cfRule>
  </conditionalFormatting>
  <pageMargins left="0.511811024" right="0.511811024" top="0.78740157499999996" bottom="0.78740157499999996" header="0.31496062000000002" footer="0.31496062000000002"/>
  <pageSetup paperSize="9" scale="67" fitToWidth="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7030A0"/>
  </sheetPr>
  <dimension ref="A1:M46"/>
  <sheetViews>
    <sheetView showGridLines="0" zoomScale="75" zoomScaleNormal="75" workbookViewId="0">
      <selection sqref="A1:AC1"/>
    </sheetView>
  </sheetViews>
  <sheetFormatPr defaultColWidth="9.140625" defaultRowHeight="15"/>
  <cols>
    <col min="1" max="1" width="16.42578125" style="97" customWidth="1"/>
    <col min="2" max="10" width="16.42578125" style="323" customWidth="1"/>
    <col min="11" max="13" width="13.42578125" style="323" bestFit="1" customWidth="1"/>
    <col min="14" max="14" width="6.5703125" style="323" bestFit="1" customWidth="1"/>
    <col min="15" max="16384" width="9.140625" style="323"/>
  </cols>
  <sheetData>
    <row r="1" spans="1:13" ht="15.75" thickBot="1"/>
    <row r="2" spans="1:13" ht="16.5" customHeight="1" thickBot="1">
      <c r="A2" s="1364" t="s">
        <v>568</v>
      </c>
      <c r="B2" s="1365" t="s">
        <v>129</v>
      </c>
      <c r="C2" s="1366"/>
      <c r="D2" s="1367"/>
      <c r="E2" s="1368" t="s">
        <v>289</v>
      </c>
      <c r="F2" s="1369"/>
      <c r="G2" s="1370"/>
      <c r="H2" s="1368" t="s">
        <v>575</v>
      </c>
      <c r="I2" s="1369" t="s">
        <v>289</v>
      </c>
      <c r="J2" s="1370"/>
    </row>
    <row r="3" spans="1:13" ht="46.5" customHeight="1" thickBot="1">
      <c r="A3" s="1364"/>
      <c r="B3" s="635" t="s">
        <v>576</v>
      </c>
      <c r="C3" s="635" t="s">
        <v>577</v>
      </c>
      <c r="D3" s="635" t="s">
        <v>578</v>
      </c>
      <c r="E3" s="636" t="s">
        <v>576</v>
      </c>
      <c r="F3" s="636" t="s">
        <v>579</v>
      </c>
      <c r="G3" s="636" t="str">
        <f>D3</f>
        <v>RRT por Profissional</v>
      </c>
      <c r="H3" s="636" t="str">
        <f>E3</f>
        <v xml:space="preserve">Total RRT </v>
      </c>
      <c r="I3" s="636" t="str">
        <f>F3</f>
        <v>Ativos PF</v>
      </c>
      <c r="J3" s="636" t="str">
        <f>G3</f>
        <v>RRT por Profissional</v>
      </c>
      <c r="K3" s="998" t="s">
        <v>28</v>
      </c>
      <c r="L3" s="998" t="s">
        <v>183</v>
      </c>
      <c r="M3" s="998" t="s">
        <v>1084</v>
      </c>
    </row>
    <row r="4" spans="1:13" ht="16.5" thickBot="1">
      <c r="A4" s="637" t="s">
        <v>87</v>
      </c>
      <c r="B4" s="638">
        <f>VLOOKUP($A$4:$A$34,RRT!$A$5:$B$31,2,0)</f>
        <v>1996</v>
      </c>
      <c r="C4" s="638">
        <f>VLOOKUP($A$4:$A$34,'Anuid PF'!$A$7:$B$33,2,0)</f>
        <v>586</v>
      </c>
      <c r="D4" s="639">
        <f>B4/C4</f>
        <v>3.4061433447098977</v>
      </c>
      <c r="E4" s="640">
        <f>VLOOKUP($A$4:$A$34,RRT!$A$5:$F$31,6,0)</f>
        <v>2685</v>
      </c>
      <c r="F4" s="640">
        <f>VLOOKUP($A$4:$A$34,'Anuid PF'!$A$7:$G$33,7,)</f>
        <v>635</v>
      </c>
      <c r="G4" s="641">
        <f t="shared" ref="G4:G36" si="0">E4/F4</f>
        <v>4.228346456692913</v>
      </c>
      <c r="H4" s="642">
        <f t="shared" ref="H4:J35" si="1">E4/B4*100</f>
        <v>134.5190380761523</v>
      </c>
      <c r="I4" s="642">
        <f t="shared" si="1"/>
        <v>108.3617747440273</v>
      </c>
      <c r="J4" s="642">
        <f t="shared" si="1"/>
        <v>124.13882883877992</v>
      </c>
      <c r="K4" s="323" t="b">
        <f>VLOOKUP($A$4:$A$34,'Relatórios - SICCAU e IGEO'!$A$3:$G$29,7,)=E4</f>
        <v>1</v>
      </c>
      <c r="L4" s="323" t="b">
        <f>VLOOKUP($A$4:$A$34,'Anuid PF'!$A$7:$G$33,7,)=F4</f>
        <v>1</v>
      </c>
      <c r="M4" s="323" t="b">
        <f>VLOOKUP($A$4:$A$34,'Dados - Receita e Qntd'!$B$4:$AG$31,32,)=G4</f>
        <v>1</v>
      </c>
    </row>
    <row r="5" spans="1:13" ht="16.5" thickBot="1">
      <c r="A5" s="643" t="s">
        <v>90</v>
      </c>
      <c r="B5" s="638">
        <f>VLOOKUP($A$4:$A$34,RRT!$A$5:$B$31,2,0)</f>
        <v>4815</v>
      </c>
      <c r="C5" s="638">
        <f>VLOOKUP($A$4:$A$34,'Anuid PF'!$A$7:$B$33,2,0)</f>
        <v>1797</v>
      </c>
      <c r="D5" s="639">
        <f t="shared" ref="D5:D36" si="2">B5/C5</f>
        <v>2.679465776293823</v>
      </c>
      <c r="E5" s="640">
        <f>VLOOKUP($A$4:$A$34,RRT!$A$5:$F$31,6,0)</f>
        <v>6192</v>
      </c>
      <c r="F5" s="640">
        <f>VLOOKUP($A$4:$A$34,'Anuid PF'!$A$7:$G$33,7,)</f>
        <v>1744</v>
      </c>
      <c r="G5" s="641">
        <f t="shared" si="0"/>
        <v>3.5504587155963301</v>
      </c>
      <c r="H5" s="642">
        <f t="shared" si="1"/>
        <v>128.5981308411215</v>
      </c>
      <c r="I5" s="642">
        <f t="shared" si="1"/>
        <v>97.050639955481358</v>
      </c>
      <c r="J5" s="642">
        <f t="shared" si="1"/>
        <v>132.50621623938952</v>
      </c>
      <c r="K5" s="1019" t="b">
        <f>VLOOKUP($A$4:$A$34,'Relatórios - SICCAU e IGEO'!$A$3:$G$29,7,)=E5</f>
        <v>1</v>
      </c>
      <c r="L5" s="323" t="b">
        <f>VLOOKUP($A$4:$A$34,'Anuid PF'!$A$7:$G$33,7,)=F5</f>
        <v>1</v>
      </c>
      <c r="M5" s="323" t="b">
        <f>VLOOKUP($A$4:$A$34,'Dados - Receita e Qntd'!$B$4:$AG$31,32,)=G5</f>
        <v>1</v>
      </c>
    </row>
    <row r="6" spans="1:13" ht="16.5" thickBot="1">
      <c r="A6" s="643" t="s">
        <v>89</v>
      </c>
      <c r="B6" s="638">
        <f>VLOOKUP($A$4:$A$34,RRT!$A$5:$B$31,2,0)</f>
        <v>2565</v>
      </c>
      <c r="C6" s="638">
        <f>VLOOKUP($A$4:$A$34,'Anuid PF'!$A$7:$B$33,2,0)</f>
        <v>715</v>
      </c>
      <c r="D6" s="639">
        <f t="shared" si="2"/>
        <v>3.5874125874125875</v>
      </c>
      <c r="E6" s="640">
        <f>VLOOKUP($A$4:$A$34,RRT!$A$5:$F$31,6,0)</f>
        <v>3373</v>
      </c>
      <c r="F6" s="640">
        <f>VLOOKUP($A$4:$A$34,'Anuid PF'!$A$7:$G$33,7,)</f>
        <v>748</v>
      </c>
      <c r="G6" s="641">
        <f>E6/F6</f>
        <v>4.5093582887700538</v>
      </c>
      <c r="H6" s="642">
        <f t="shared" si="1"/>
        <v>131.50097465886938</v>
      </c>
      <c r="I6" s="642">
        <f t="shared" si="1"/>
        <v>104.61538461538463</v>
      </c>
      <c r="J6" s="642">
        <f t="shared" si="1"/>
        <v>125.69946107097812</v>
      </c>
      <c r="K6" s="1019" t="b">
        <f>VLOOKUP($A$4:$A$34,'Relatórios - SICCAU e IGEO'!$A$3:$G$29,7,)=E6</f>
        <v>1</v>
      </c>
      <c r="L6" s="323" t="b">
        <f>VLOOKUP($A$4:$A$34,'Anuid PF'!$A$7:$G$33,7,)=F6</f>
        <v>1</v>
      </c>
      <c r="M6" s="323" t="b">
        <f>VLOOKUP($A$4:$A$34,'Dados - Receita e Qntd'!$B$4:$AG$31,32,)=G6</f>
        <v>1</v>
      </c>
    </row>
    <row r="7" spans="1:13" ht="16.5" thickBot="1">
      <c r="A7" s="643" t="s">
        <v>100</v>
      </c>
      <c r="B7" s="638">
        <f>VLOOKUP($A$4:$A$34,RRT!$A$5:$B$31,2,0)</f>
        <v>5940</v>
      </c>
      <c r="C7" s="638">
        <f>VLOOKUP($A$4:$A$34,'Anuid PF'!$A$7:$B$33,2,0)</f>
        <v>2833</v>
      </c>
      <c r="D7" s="639">
        <f t="shared" si="2"/>
        <v>2.0967172608542182</v>
      </c>
      <c r="E7" s="640">
        <f>VLOOKUP($A$4:$A$34,RRT!$A$5:$F$31,6,0)</f>
        <v>7688</v>
      </c>
      <c r="F7" s="640">
        <f>VLOOKUP($A$4:$A$34,'Anuid PF'!$A$7:$G$33,7,)</f>
        <v>2911</v>
      </c>
      <c r="G7" s="641">
        <f>E7/F7</f>
        <v>2.6410168327035382</v>
      </c>
      <c r="H7" s="642">
        <f t="shared" si="1"/>
        <v>129.42760942760941</v>
      </c>
      <c r="I7" s="642">
        <f t="shared" si="1"/>
        <v>102.75326509001059</v>
      </c>
      <c r="J7" s="642">
        <f t="shared" si="1"/>
        <v>125.95960752607954</v>
      </c>
      <c r="K7" s="1019" t="b">
        <f>VLOOKUP($A$4:$A$34,'Relatórios - SICCAU e IGEO'!$A$3:$G$29,7,)=E7</f>
        <v>1</v>
      </c>
      <c r="L7" s="323" t="b">
        <f>VLOOKUP($A$4:$A$34,'Anuid PF'!$A$7:$G$33,7,)=F7</f>
        <v>1</v>
      </c>
      <c r="M7" s="323" t="b">
        <f>VLOOKUP($A$4:$A$34,'Dados - Receita e Qntd'!$B$4:$AG$31,32,)=G7</f>
        <v>1</v>
      </c>
    </row>
    <row r="8" spans="1:13" ht="16.5" thickBot="1">
      <c r="A8" s="643" t="s">
        <v>108</v>
      </c>
      <c r="B8" s="638">
        <f>VLOOKUP($A$4:$A$34,RRT!$A$5:$B$31,2,0)</f>
        <v>8598</v>
      </c>
      <c r="C8" s="638">
        <f>VLOOKUP($A$4:$A$34,'Anuid PF'!$A$7:$B$33,2,0)</f>
        <v>1145</v>
      </c>
      <c r="D8" s="639">
        <f t="shared" si="2"/>
        <v>7.5091703056768555</v>
      </c>
      <c r="E8" s="640">
        <f>VLOOKUP($A$4:$A$34,RRT!$A$5:$F$31,6,0)</f>
        <v>9679</v>
      </c>
      <c r="F8" s="640">
        <f>VLOOKUP($A$4:$A$34,'Anuid PF'!$A$7:$G$33,7,)</f>
        <v>1224</v>
      </c>
      <c r="G8" s="641">
        <f>E8/F8</f>
        <v>7.9076797385620914</v>
      </c>
      <c r="H8" s="642">
        <f t="shared" si="1"/>
        <v>112.57269132356362</v>
      </c>
      <c r="I8" s="642">
        <f t="shared" si="1"/>
        <v>106.8995633187773</v>
      </c>
      <c r="J8" s="642">
        <f t="shared" si="1"/>
        <v>105.30697023323559</v>
      </c>
      <c r="K8" s="1019" t="b">
        <f>VLOOKUP($A$4:$A$34,'Relatórios - SICCAU e IGEO'!$A$3:$G$29,7,)=E8</f>
        <v>1</v>
      </c>
      <c r="L8" s="323" t="b">
        <f>VLOOKUP($A$4:$A$34,'Anuid PF'!$A$7:$G$33,7,)=F8</f>
        <v>1</v>
      </c>
      <c r="M8" s="323" t="b">
        <f>VLOOKUP($A$4:$A$34,'Dados - Receita e Qntd'!$B$4:$AG$31,32,)=G8</f>
        <v>1</v>
      </c>
    </row>
    <row r="9" spans="1:13" ht="16.5" thickBot="1">
      <c r="A9" s="643" t="s">
        <v>109</v>
      </c>
      <c r="B9" s="638">
        <f>VLOOKUP($A$4:$A$34,RRT!$A$5:$B$31,2,0)</f>
        <v>1043</v>
      </c>
      <c r="C9" s="638">
        <f>VLOOKUP($A$4:$A$34,'Anuid PF'!$A$7:$B$33,2,0)</f>
        <v>231</v>
      </c>
      <c r="D9" s="639">
        <f t="shared" si="2"/>
        <v>4.5151515151515156</v>
      </c>
      <c r="E9" s="640">
        <f>VLOOKUP($A$4:$A$34,RRT!$A$5:$F$31,6,0)</f>
        <v>1191</v>
      </c>
      <c r="F9" s="640">
        <f>VLOOKUP($A$4:$A$34,'Anuid PF'!$A$7:$G$33,7,)</f>
        <v>223</v>
      </c>
      <c r="G9" s="641">
        <f t="shared" si="0"/>
        <v>5.3408071748878925</v>
      </c>
      <c r="H9" s="642">
        <f t="shared" si="1"/>
        <v>114.18983700862894</v>
      </c>
      <c r="I9" s="642">
        <f t="shared" si="1"/>
        <v>96.53679653679653</v>
      </c>
      <c r="J9" s="642">
        <f t="shared" si="1"/>
        <v>118.28633340355734</v>
      </c>
      <c r="K9" s="1019" t="b">
        <f>VLOOKUP($A$4:$A$34,'Relatórios - SICCAU e IGEO'!$A$3:$G$29,7,)=E9</f>
        <v>1</v>
      </c>
      <c r="L9" s="323" t="b">
        <f>VLOOKUP($A$4:$A$34,'Anuid PF'!$A$7:$G$33,7,)=F9</f>
        <v>1</v>
      </c>
      <c r="M9" s="323" t="b">
        <f>VLOOKUP($A$4:$A$34,'Dados - Receita e Qntd'!$B$4:$AG$31,32,)=G9</f>
        <v>1</v>
      </c>
    </row>
    <row r="10" spans="1:13" ht="16.5" thickBot="1">
      <c r="A10" s="643" t="s">
        <v>113</v>
      </c>
      <c r="B10" s="638">
        <f>VLOOKUP($A$4:$A$34,RRT!$A$5:$B$31,2,0)</f>
        <v>4579</v>
      </c>
      <c r="C10" s="638">
        <f>VLOOKUP($A$4:$A$34,'Anuid PF'!$A$7:$B$33,2,0)</f>
        <v>711</v>
      </c>
      <c r="D10" s="639">
        <f t="shared" si="2"/>
        <v>6.4402250351617436</v>
      </c>
      <c r="E10" s="640">
        <f>VLOOKUP($A$4:$A$34,RRT!$A$5:$F$31,6,0)</f>
        <v>4565</v>
      </c>
      <c r="F10" s="640">
        <f>VLOOKUP($A$4:$A$34,'Anuid PF'!$A$7:$G$33,7,)</f>
        <v>751</v>
      </c>
      <c r="G10" s="641">
        <f t="shared" si="0"/>
        <v>6.0785619174434089</v>
      </c>
      <c r="H10" s="642">
        <f t="shared" si="1"/>
        <v>99.694256387857621</v>
      </c>
      <c r="I10" s="642">
        <f t="shared" si="1"/>
        <v>105.62587904360056</v>
      </c>
      <c r="J10" s="642">
        <f t="shared" si="1"/>
        <v>94.384309309942438</v>
      </c>
      <c r="K10" s="1019" t="b">
        <f>VLOOKUP($A$4:$A$34,'Relatórios - SICCAU e IGEO'!$A$3:$G$29,7,)=E10</f>
        <v>1</v>
      </c>
      <c r="L10" s="323" t="b">
        <f>VLOOKUP($A$4:$A$34,'Anuid PF'!$A$7:$G$33,7,)=F10</f>
        <v>1</v>
      </c>
      <c r="M10" s="323" t="b">
        <f>VLOOKUP($A$4:$A$34,'Dados - Receita e Qntd'!$B$4:$AG$31,32,)=G10</f>
        <v>1</v>
      </c>
    </row>
    <row r="11" spans="1:13" ht="16.5" thickBot="1">
      <c r="A11" s="644" t="s">
        <v>580</v>
      </c>
      <c r="B11" s="645">
        <f>SUM(B4:B10)</f>
        <v>29536</v>
      </c>
      <c r="C11" s="645">
        <f>SUM(C4:C10)</f>
        <v>8018</v>
      </c>
      <c r="D11" s="646">
        <f t="shared" si="2"/>
        <v>3.6837116487902222</v>
      </c>
      <c r="E11" s="645">
        <f>SUM(E4:E10)</f>
        <v>35373</v>
      </c>
      <c r="F11" s="645">
        <f>SUM(F4:F10)</f>
        <v>8236</v>
      </c>
      <c r="G11" s="641">
        <f t="shared" si="0"/>
        <v>4.2949247207382228</v>
      </c>
      <c r="H11" s="647">
        <f t="shared" si="1"/>
        <v>119.76232394366197</v>
      </c>
      <c r="I11" s="647">
        <f t="shared" si="1"/>
        <v>102.71888251434274</v>
      </c>
      <c r="J11" s="647">
        <f t="shared" si="1"/>
        <v>116.59231585481808</v>
      </c>
      <c r="K11" s="1019"/>
    </row>
    <row r="12" spans="1:13" ht="16.5" thickBot="1">
      <c r="A12" s="643" t="s">
        <v>88</v>
      </c>
      <c r="B12" s="638">
        <f>VLOOKUP($A$4:$A$34,RRT!$A$5:$B$31,2,0)</f>
        <v>5861</v>
      </c>
      <c r="C12" s="638">
        <f>VLOOKUP($A$4:$A$34,'Anuid PF'!$A$7:$B$33,2,0)</f>
        <v>1973</v>
      </c>
      <c r="D12" s="639">
        <f t="shared" si="2"/>
        <v>2.9706031424227066</v>
      </c>
      <c r="E12" s="640">
        <f>VLOOKUP($A$4:$A$34,RRT!$A$5:$F$31,6,0)</f>
        <v>6640</v>
      </c>
      <c r="F12" s="640">
        <f>VLOOKUP($A$4:$A$34,'Anuid PF'!$A$7:$G$33,7,)</f>
        <v>1983</v>
      </c>
      <c r="G12" s="641">
        <f t="shared" si="0"/>
        <v>3.3484619263741804</v>
      </c>
      <c r="H12" s="642">
        <f t="shared" si="1"/>
        <v>113.2912472274356</v>
      </c>
      <c r="I12" s="642">
        <f t="shared" si="1"/>
        <v>100.50684237202231</v>
      </c>
      <c r="J12" s="642">
        <f t="shared" si="1"/>
        <v>112.71993483597096</v>
      </c>
      <c r="K12" s="1019" t="b">
        <f>VLOOKUP($A$4:$A$34,'Relatórios - SICCAU e IGEO'!$A$3:$G$29,7,)=E12</f>
        <v>1</v>
      </c>
      <c r="L12" s="323" t="b">
        <f>VLOOKUP($A$4:$A$34,'Anuid PF'!$A$7:$G$33,7,)=F12</f>
        <v>1</v>
      </c>
      <c r="M12" s="323" t="b">
        <f>VLOOKUP($A$4:$A$34,'Dados - Receita e Qntd'!$B$4:$AG$31,32,)=G12</f>
        <v>1</v>
      </c>
    </row>
    <row r="13" spans="1:13" ht="16.5" thickBot="1">
      <c r="A13" s="643" t="s">
        <v>91</v>
      </c>
      <c r="B13" s="638">
        <f>VLOOKUP($A$4:$A$34,RRT!$A$5:$B$31,2,0)</f>
        <v>13550</v>
      </c>
      <c r="C13" s="638">
        <f>VLOOKUP($A$4:$A$34,'Anuid PF'!$A$7:$B$33,2,0)</f>
        <v>6154</v>
      </c>
      <c r="D13" s="639">
        <f t="shared" si="2"/>
        <v>2.2018199545011377</v>
      </c>
      <c r="E13" s="640">
        <f>VLOOKUP($A$4:$A$34,RRT!$A$5:$F$31,6,0)</f>
        <v>17122</v>
      </c>
      <c r="F13" s="640">
        <f>VLOOKUP($A$4:$A$34,'Anuid PF'!$A$7:$G$33,7,)</f>
        <v>6492</v>
      </c>
      <c r="G13" s="641">
        <f t="shared" si="0"/>
        <v>2.6373998767714109</v>
      </c>
      <c r="H13" s="642">
        <f t="shared" si="1"/>
        <v>126.36162361623616</v>
      </c>
      <c r="I13" s="642">
        <f t="shared" si="1"/>
        <v>105.49236269093272</v>
      </c>
      <c r="J13" s="642">
        <f t="shared" si="1"/>
        <v>119.78272207860709</v>
      </c>
      <c r="K13" s="1019" t="b">
        <f>VLOOKUP($A$4:$A$34,'Relatórios - SICCAU e IGEO'!$A$3:$G$29,7,)=E13</f>
        <v>1</v>
      </c>
      <c r="L13" s="323" t="b">
        <f>VLOOKUP($A$4:$A$34,'Anuid PF'!$A$7:$G$33,7,)=F13</f>
        <v>1</v>
      </c>
      <c r="M13" s="323" t="b">
        <f>VLOOKUP($A$4:$A$34,'Dados - Receita e Qntd'!$B$4:$AG$31,32,)=G13</f>
        <v>1</v>
      </c>
    </row>
    <row r="14" spans="1:13" ht="16.5" thickBot="1">
      <c r="A14" s="643" t="s">
        <v>92</v>
      </c>
      <c r="B14" s="638">
        <f>VLOOKUP($A$4:$A$34,RRT!$A$5:$B$31,2,0)</f>
        <v>9072</v>
      </c>
      <c r="C14" s="638">
        <f>VLOOKUP($A$4:$A$34,'Anuid PF'!$A$7:$B$33,2,0)</f>
        <v>3593</v>
      </c>
      <c r="D14" s="639">
        <f t="shared" si="2"/>
        <v>2.5249095463401057</v>
      </c>
      <c r="E14" s="640">
        <f>VLOOKUP($A$4:$A$34,RRT!$A$5:$F$31,6,0)</f>
        <v>11420</v>
      </c>
      <c r="F14" s="640">
        <f>VLOOKUP($A$4:$A$34,'Anuid PF'!$A$7:$G$33,7,)</f>
        <v>3872</v>
      </c>
      <c r="G14" s="641">
        <f t="shared" si="0"/>
        <v>2.9493801652892562</v>
      </c>
      <c r="H14" s="642">
        <f t="shared" si="1"/>
        <v>125.88183421516754</v>
      </c>
      <c r="I14" s="642">
        <f t="shared" si="1"/>
        <v>107.76509880322851</v>
      </c>
      <c r="J14" s="642">
        <f t="shared" si="1"/>
        <v>116.81131981794861</v>
      </c>
      <c r="K14" s="1019" t="b">
        <f>VLOOKUP($A$4:$A$34,'Relatórios - SICCAU e IGEO'!$A$3:$G$29,7,)=E14</f>
        <v>1</v>
      </c>
      <c r="L14" s="323" t="b">
        <f>VLOOKUP($A$4:$A$34,'Anuid PF'!$A$7:$G$33,7,)=F14</f>
        <v>1</v>
      </c>
      <c r="M14" s="323" t="b">
        <f>VLOOKUP($A$4:$A$34,'Dados - Receita e Qntd'!$B$4:$AG$31,32,)=G14</f>
        <v>1</v>
      </c>
    </row>
    <row r="15" spans="1:13" ht="16.5" thickBot="1">
      <c r="A15" s="643" t="s">
        <v>96</v>
      </c>
      <c r="B15" s="638">
        <f>VLOOKUP($A$4:$A$34,RRT!$A$5:$B$31,2,0)</f>
        <v>3660</v>
      </c>
      <c r="C15" s="638">
        <f>VLOOKUP($A$4:$A$34,'Anuid PF'!$A$7:$B$33,2,0)</f>
        <v>1662</v>
      </c>
      <c r="D15" s="639">
        <f t="shared" si="2"/>
        <v>2.2021660649819497</v>
      </c>
      <c r="E15" s="640">
        <f>VLOOKUP($A$4:$A$34,RRT!$A$5:$F$31,6,0)</f>
        <v>4498</v>
      </c>
      <c r="F15" s="640">
        <f>VLOOKUP($A$4:$A$34,'Anuid PF'!$A$7:$G$33,7,)</f>
        <v>1776</v>
      </c>
      <c r="G15" s="641">
        <f t="shared" si="0"/>
        <v>2.5326576576576576</v>
      </c>
      <c r="H15" s="642">
        <f t="shared" si="1"/>
        <v>122.89617486338797</v>
      </c>
      <c r="I15" s="642">
        <f t="shared" si="1"/>
        <v>106.8592057761733</v>
      </c>
      <c r="J15" s="642">
        <f t="shared" si="1"/>
        <v>115.00756904445429</v>
      </c>
      <c r="K15" s="1019" t="b">
        <f>VLOOKUP($A$4:$A$34,'Relatórios - SICCAU e IGEO'!$A$3:$G$29,7,)=E15</f>
        <v>1</v>
      </c>
      <c r="L15" s="323" t="b">
        <f>VLOOKUP($A$4:$A$34,'Anuid PF'!$A$7:$G$33,7,)=F15</f>
        <v>1</v>
      </c>
      <c r="M15" s="323" t="b">
        <f>VLOOKUP($A$4:$A$34,'Dados - Receita e Qntd'!$B$4:$AG$31,32,)=G15</f>
        <v>1</v>
      </c>
    </row>
    <row r="16" spans="1:13" ht="16.5" thickBot="1">
      <c r="A16" s="643" t="s">
        <v>101</v>
      </c>
      <c r="B16" s="638">
        <f>VLOOKUP($A$4:$A$34,RRT!$A$5:$B$31,2,0)</f>
        <v>7680</v>
      </c>
      <c r="C16" s="638">
        <f>VLOOKUP($A$4:$A$34,'Anuid PF'!$A$7:$B$33,2,0)</f>
        <v>2536</v>
      </c>
      <c r="D16" s="639">
        <f t="shared" si="2"/>
        <v>3.0283911671924288</v>
      </c>
      <c r="E16" s="640">
        <f>VLOOKUP($A$4:$A$34,RRT!$A$5:$F$31,6,0)</f>
        <v>9518</v>
      </c>
      <c r="F16" s="640">
        <f>VLOOKUP($A$4:$A$34,'Anuid PF'!$A$7:$G$33,7,)</f>
        <v>2639</v>
      </c>
      <c r="G16" s="641">
        <f t="shared" si="0"/>
        <v>3.6066691928760894</v>
      </c>
      <c r="H16" s="642">
        <f t="shared" si="1"/>
        <v>123.93229166666666</v>
      </c>
      <c r="I16" s="642">
        <f t="shared" si="1"/>
        <v>104.0615141955836</v>
      </c>
      <c r="J16" s="642">
        <f t="shared" si="1"/>
        <v>119.09522230642922</v>
      </c>
      <c r="K16" s="1019" t="b">
        <f>VLOOKUP($A$4:$A$34,'Relatórios - SICCAU e IGEO'!$A$3:$G$29,7,)=E16</f>
        <v>1</v>
      </c>
      <c r="L16" s="323" t="b">
        <f>VLOOKUP($A$4:$A$34,'Anuid PF'!$A$7:$G$33,7,)=F16</f>
        <v>1</v>
      </c>
      <c r="M16" s="323" t="b">
        <f>VLOOKUP($A$4:$A$34,'Dados - Receita e Qntd'!$B$4:$AG$31,32,)=G16</f>
        <v>1</v>
      </c>
    </row>
    <row r="17" spans="1:13" ht="16.5" thickBot="1">
      <c r="A17" s="643" t="s">
        <v>103</v>
      </c>
      <c r="B17" s="638">
        <f>VLOOKUP($A$4:$A$34,RRT!$A$5:$B$31,2,0)</f>
        <v>13028</v>
      </c>
      <c r="C17" s="638">
        <f>VLOOKUP($A$4:$A$34,'Anuid PF'!$A$7:$B$33,2,0)</f>
        <v>4654</v>
      </c>
      <c r="D17" s="639">
        <f t="shared" si="2"/>
        <v>2.7993124194241514</v>
      </c>
      <c r="E17" s="640">
        <f>VLOOKUP($A$4:$A$34,RRT!$A$5:$F$31,6,0)</f>
        <v>15054</v>
      </c>
      <c r="F17" s="640">
        <f>VLOOKUP($A$4:$A$34,'Anuid PF'!$A$7:$G$33,7,)</f>
        <v>4886</v>
      </c>
      <c r="G17" s="641">
        <f t="shared" si="0"/>
        <v>3.0810478919361439</v>
      </c>
      <c r="H17" s="642">
        <f t="shared" si="1"/>
        <v>115.55112066318698</v>
      </c>
      <c r="I17" s="642">
        <f t="shared" si="1"/>
        <v>104.98495917490331</v>
      </c>
      <c r="J17" s="642">
        <f t="shared" si="1"/>
        <v>110.06445263333447</v>
      </c>
      <c r="K17" s="1019" t="b">
        <f>VLOOKUP($A$4:$A$34,'Relatórios - SICCAU e IGEO'!$A$3:$G$29,7,)=E17</f>
        <v>1</v>
      </c>
      <c r="L17" s="323" t="b">
        <f>VLOOKUP($A$4:$A$34,'Anuid PF'!$A$7:$G$33,7,)=F17</f>
        <v>1</v>
      </c>
      <c r="M17" s="323" t="b">
        <f>VLOOKUP($A$4:$A$34,'Dados - Receita e Qntd'!$B$4:$AG$31,32,)=G17</f>
        <v>1</v>
      </c>
    </row>
    <row r="18" spans="1:13" ht="16.5" thickBot="1">
      <c r="A18" s="643" t="s">
        <v>104</v>
      </c>
      <c r="B18" s="638">
        <f>VLOOKUP($A$4:$A$34,RRT!$A$5:$B$31,2,0)</f>
        <v>3695</v>
      </c>
      <c r="C18" s="638">
        <f>VLOOKUP($A$4:$A$34,'Anuid PF'!$A$7:$B$33,2,0)</f>
        <v>1260</v>
      </c>
      <c r="D18" s="639">
        <f t="shared" si="2"/>
        <v>2.9325396825396823</v>
      </c>
      <c r="E18" s="640">
        <f>VLOOKUP($A$4:$A$34,RRT!$A$5:$F$31,6,0)</f>
        <v>4635</v>
      </c>
      <c r="F18" s="640">
        <f>VLOOKUP($A$4:$A$34,'Anuid PF'!$A$7:$G$33,7,)</f>
        <v>1337</v>
      </c>
      <c r="G18" s="641">
        <f t="shared" si="0"/>
        <v>3.4667165295437545</v>
      </c>
      <c r="H18" s="642">
        <f t="shared" si="1"/>
        <v>125.43978349120432</v>
      </c>
      <c r="I18" s="642">
        <f t="shared" si="1"/>
        <v>106.11111111111111</v>
      </c>
      <c r="J18" s="642">
        <f t="shared" si="1"/>
        <v>118.21550276657999</v>
      </c>
      <c r="K18" s="1019" t="b">
        <f>VLOOKUP($A$4:$A$34,'Relatórios - SICCAU e IGEO'!$A$3:$G$29,7,)=E18</f>
        <v>1</v>
      </c>
      <c r="L18" s="323" t="b">
        <f>VLOOKUP($A$4:$A$34,'Anuid PF'!$A$7:$G$33,7,)=F18</f>
        <v>1</v>
      </c>
      <c r="M18" s="323" t="b">
        <f>VLOOKUP($A$4:$A$34,'Dados - Receita e Qntd'!$B$4:$AG$31,32,)=G18</f>
        <v>1</v>
      </c>
    </row>
    <row r="19" spans="1:13" ht="16.5" thickBot="1">
      <c r="A19" s="643" t="s">
        <v>106</v>
      </c>
      <c r="B19" s="638">
        <f>VLOOKUP($A$4:$A$34,RRT!$A$5:$B$31,2,0)</f>
        <v>7210</v>
      </c>
      <c r="C19" s="638">
        <f>VLOOKUP($A$4:$A$34,'Anuid PF'!$A$7:$B$33,2,0)</f>
        <v>2420</v>
      </c>
      <c r="D19" s="639">
        <f t="shared" si="2"/>
        <v>2.9793388429752068</v>
      </c>
      <c r="E19" s="640">
        <f>VLOOKUP($A$4:$A$34,RRT!$A$5:$F$31,6,0)</f>
        <v>8016</v>
      </c>
      <c r="F19" s="640">
        <f>VLOOKUP($A$4:$A$34,'Anuid PF'!$A$7:$G$33,7,)</f>
        <v>2487</v>
      </c>
      <c r="G19" s="641">
        <f t="shared" si="0"/>
        <v>3.2231604342581424</v>
      </c>
      <c r="H19" s="642">
        <f t="shared" si="1"/>
        <v>111.17891816920944</v>
      </c>
      <c r="I19" s="642">
        <f t="shared" si="1"/>
        <v>102.76859504132231</v>
      </c>
      <c r="J19" s="642">
        <f t="shared" si="1"/>
        <v>108.18374827884472</v>
      </c>
      <c r="K19" s="1019" t="b">
        <f>VLOOKUP($A$4:$A$34,'Relatórios - SICCAU e IGEO'!$A$3:$G$29,7,)=E19</f>
        <v>1</v>
      </c>
      <c r="L19" s="323" t="b">
        <f>VLOOKUP($A$4:$A$34,'Anuid PF'!$A$7:$G$33,7,)=F19</f>
        <v>1</v>
      </c>
      <c r="M19" s="323" t="b">
        <f>VLOOKUP($A$4:$A$34,'Dados - Receita e Qntd'!$B$4:$AG$31,32,)=G19</f>
        <v>1</v>
      </c>
    </row>
    <row r="20" spans="1:13" ht="16.5" thickBot="1">
      <c r="A20" s="643" t="s">
        <v>112</v>
      </c>
      <c r="B20" s="638">
        <f>VLOOKUP($A$4:$A$34,RRT!$A$5:$B$31,2,0)</f>
        <v>5471</v>
      </c>
      <c r="C20" s="638">
        <f>VLOOKUP($A$4:$A$34,'Anuid PF'!$A$7:$B$33,2,0)</f>
        <v>1381</v>
      </c>
      <c r="D20" s="639">
        <f t="shared" si="2"/>
        <v>3.9616220130340332</v>
      </c>
      <c r="E20" s="640">
        <f>VLOOKUP($A$4:$A$34,RRT!$A$5:$F$31,6,0)</f>
        <v>6810</v>
      </c>
      <c r="F20" s="640">
        <f>VLOOKUP($A$4:$A$34,'Anuid PF'!$A$7:$G$33,7,)</f>
        <v>1444</v>
      </c>
      <c r="G20" s="641">
        <f t="shared" si="0"/>
        <v>4.71606648199446</v>
      </c>
      <c r="H20" s="642">
        <f t="shared" si="1"/>
        <v>124.47450191921038</v>
      </c>
      <c r="I20" s="642">
        <f t="shared" si="1"/>
        <v>104.56191165821869</v>
      </c>
      <c r="J20" s="642">
        <f t="shared" si="1"/>
        <v>119.04382766650245</v>
      </c>
      <c r="K20" s="1019" t="b">
        <f>VLOOKUP($A$4:$A$34,'Relatórios - SICCAU e IGEO'!$A$3:$G$29,7,)=E20</f>
        <v>1</v>
      </c>
      <c r="L20" s="323" t="b">
        <f>VLOOKUP($A$4:$A$34,'Anuid PF'!$A$7:$G$33,7,)=F20</f>
        <v>1</v>
      </c>
      <c r="M20" s="323" t="b">
        <f>VLOOKUP($A$4:$A$34,'Dados - Receita e Qntd'!$B$4:$AG$31,32,)=G20</f>
        <v>1</v>
      </c>
    </row>
    <row r="21" spans="1:13" ht="16.5" thickBot="1">
      <c r="A21" s="644" t="s">
        <v>581</v>
      </c>
      <c r="B21" s="645">
        <f>SUM(B12:B20)</f>
        <v>69227</v>
      </c>
      <c r="C21" s="645">
        <f>SUM(C12:C20)</f>
        <v>25633</v>
      </c>
      <c r="D21" s="646">
        <f t="shared" si="2"/>
        <v>2.7006983185737137</v>
      </c>
      <c r="E21" s="645">
        <f>SUM(E12:E20)</f>
        <v>83713</v>
      </c>
      <c r="F21" s="645">
        <f>SUM(F12:F20)</f>
        <v>26916</v>
      </c>
      <c r="G21" s="641">
        <f t="shared" si="0"/>
        <v>3.1101575271214146</v>
      </c>
      <c r="H21" s="647">
        <f t="shared" si="1"/>
        <v>120.92536149190344</v>
      </c>
      <c r="I21" s="647">
        <f t="shared" si="1"/>
        <v>105.00526664846097</v>
      </c>
      <c r="J21" s="647">
        <f t="shared" si="1"/>
        <v>115.16123462334524</v>
      </c>
      <c r="K21" s="1019"/>
    </row>
    <row r="22" spans="1:13" ht="16.5" thickBot="1">
      <c r="A22" s="643" t="s">
        <v>93</v>
      </c>
      <c r="B22" s="638">
        <f>VLOOKUP($A$4:$A$34,RRT!$A$5:$B$31,2,0)</f>
        <v>15181</v>
      </c>
      <c r="C22" s="638">
        <f>VLOOKUP($A$4:$A$34,'Anuid PF'!$A$7:$B$33,2,0)</f>
        <v>6105</v>
      </c>
      <c r="D22" s="639">
        <f t="shared" si="2"/>
        <v>2.4866502866502866</v>
      </c>
      <c r="E22" s="640">
        <f>VLOOKUP($A$4:$A$34,RRT!$A$5:$F$31,6,0)</f>
        <v>17197</v>
      </c>
      <c r="F22" s="640">
        <f>VLOOKUP($A$4:$A$34,'Anuid PF'!$A$7:$G$33,7,)</f>
        <v>6203</v>
      </c>
      <c r="G22" s="641">
        <f t="shared" si="0"/>
        <v>2.7723682089311623</v>
      </c>
      <c r="H22" s="642">
        <f t="shared" si="1"/>
        <v>113.27975759172651</v>
      </c>
      <c r="I22" s="642">
        <f t="shared" si="1"/>
        <v>101.6052416052416</v>
      </c>
      <c r="J22" s="642">
        <f t="shared" si="1"/>
        <v>111.49007256125911</v>
      </c>
      <c r="K22" s="1019" t="b">
        <f>VLOOKUP($A$4:$A$34,'Relatórios - SICCAU e IGEO'!$A$3:$G$29,7,)=E22</f>
        <v>1</v>
      </c>
      <c r="L22" s="323" t="b">
        <f>VLOOKUP($A$4:$A$34,'Anuid PF'!$A$7:$G$33,7,)=F22</f>
        <v>1</v>
      </c>
      <c r="M22" s="323" t="b">
        <f>VLOOKUP($A$4:$A$34,'Dados - Receita e Qntd'!$B$4:$AG$31,32,)=G22</f>
        <v>1</v>
      </c>
    </row>
    <row r="23" spans="1:13" ht="16.5" thickBot="1">
      <c r="A23" s="643" t="s">
        <v>95</v>
      </c>
      <c r="B23" s="638">
        <f>VLOOKUP($A$4:$A$34,RRT!$A$5:$B$31,2,0)</f>
        <v>23686</v>
      </c>
      <c r="C23" s="638">
        <f>VLOOKUP($A$4:$A$34,'Anuid PF'!$A$7:$B$33,2,0)</f>
        <v>4514</v>
      </c>
      <c r="D23" s="639">
        <f t="shared" si="2"/>
        <v>5.2472308373947723</v>
      </c>
      <c r="E23" s="640">
        <f>VLOOKUP($A$4:$A$34,RRT!$A$5:$F$31,6,0)</f>
        <v>27819</v>
      </c>
      <c r="F23" s="640">
        <f>VLOOKUP($A$4:$A$34,'Anuid PF'!$A$7:$G$33,7,)</f>
        <v>4702</v>
      </c>
      <c r="G23" s="641">
        <f>E23/F23</f>
        <v>5.9164185452998721</v>
      </c>
      <c r="H23" s="642">
        <f t="shared" si="1"/>
        <v>117.44912606603057</v>
      </c>
      <c r="I23" s="642">
        <f t="shared" si="1"/>
        <v>104.16482055826317</v>
      </c>
      <c r="J23" s="642">
        <f t="shared" si="1"/>
        <v>112.75315930711653</v>
      </c>
      <c r="K23" s="1019" t="b">
        <f>VLOOKUP($A$4:$A$34,'Relatórios - SICCAU e IGEO'!$A$3:$G$29,7,)=E23</f>
        <v>1</v>
      </c>
      <c r="L23" s="323" t="b">
        <f>VLOOKUP($A$4:$A$34,'Anuid PF'!$A$7:$G$33,7,)=F23</f>
        <v>1</v>
      </c>
      <c r="M23" s="323" t="b">
        <f>VLOOKUP($A$4:$A$34,'Dados - Receita e Qntd'!$B$4:$AG$31,32,)=G23</f>
        <v>1</v>
      </c>
    </row>
    <row r="24" spans="1:13" ht="16.5" thickBot="1">
      <c r="A24" s="643" t="s">
        <v>98</v>
      </c>
      <c r="B24" s="638">
        <f>VLOOKUP($A$4:$A$34,RRT!$A$5:$B$31,2,0)</f>
        <v>17831</v>
      </c>
      <c r="C24" s="638">
        <f>VLOOKUP($A$4:$A$34,'Anuid PF'!$A$7:$B$33,2,0)</f>
        <v>3207</v>
      </c>
      <c r="D24" s="639">
        <f t="shared" si="2"/>
        <v>5.5600249454318682</v>
      </c>
      <c r="E24" s="640">
        <f>VLOOKUP($A$4:$A$34,RRT!$A$5:$F$31,6,0)</f>
        <v>19629</v>
      </c>
      <c r="F24" s="640">
        <f>VLOOKUP($A$4:$A$34,'Anuid PF'!$A$7:$G$33,7,)</f>
        <v>3285</v>
      </c>
      <c r="G24" s="641">
        <f t="shared" si="0"/>
        <v>5.9753424657534246</v>
      </c>
      <c r="H24" s="642">
        <f t="shared" si="1"/>
        <v>110.08356233525882</v>
      </c>
      <c r="I24" s="642">
        <f t="shared" si="1"/>
        <v>102.43217960710945</v>
      </c>
      <c r="J24" s="642">
        <f t="shared" si="1"/>
        <v>107.46970606063167</v>
      </c>
      <c r="K24" s="1019" t="b">
        <f>VLOOKUP($A$4:$A$34,'Relatórios - SICCAU e IGEO'!$A$3:$G$29,7,)=E24</f>
        <v>1</v>
      </c>
      <c r="L24" s="323" t="b">
        <f>VLOOKUP($A$4:$A$34,'Anuid PF'!$A$7:$G$33,7,)=F24</f>
        <v>1</v>
      </c>
      <c r="M24" s="323" t="b">
        <f>VLOOKUP($A$4:$A$34,'Dados - Receita e Qntd'!$B$4:$AG$31,32,)=G24</f>
        <v>1</v>
      </c>
    </row>
    <row r="25" spans="1:13" ht="16.5" thickBot="1">
      <c r="A25" s="643" t="s">
        <v>97</v>
      </c>
      <c r="B25" s="638">
        <f>VLOOKUP($A$4:$A$34,RRT!$A$5:$B$31,2,0)</f>
        <v>29241</v>
      </c>
      <c r="C25" s="638">
        <f>VLOOKUP($A$4:$A$34,'Anuid PF'!$A$7:$B$33,2,0)</f>
        <v>3105</v>
      </c>
      <c r="D25" s="639">
        <f t="shared" si="2"/>
        <v>9.4173913043478255</v>
      </c>
      <c r="E25" s="640">
        <f>VLOOKUP($A$4:$A$34,RRT!$A$5:$F$31,6,0)</f>
        <v>29385</v>
      </c>
      <c r="F25" s="640">
        <f>VLOOKUP($A$4:$A$34,'Anuid PF'!$A$7:$G$33,7,)</f>
        <v>3178</v>
      </c>
      <c r="G25" s="641">
        <f t="shared" si="0"/>
        <v>9.2463813719320331</v>
      </c>
      <c r="H25" s="642">
        <f t="shared" si="1"/>
        <v>100.49245921822099</v>
      </c>
      <c r="I25" s="642">
        <f t="shared" si="1"/>
        <v>102.35104669887278</v>
      </c>
      <c r="J25" s="642">
        <f t="shared" si="1"/>
        <v>98.18410505745004</v>
      </c>
      <c r="K25" s="1019" t="b">
        <f>VLOOKUP($A$4:$A$34,'Relatórios - SICCAU e IGEO'!$A$3:$G$29,7,)=E25</f>
        <v>1</v>
      </c>
      <c r="L25" s="323" t="b">
        <f>VLOOKUP($A$4:$A$34,'Anuid PF'!$A$7:$G$33,7,)=F25</f>
        <v>1</v>
      </c>
      <c r="M25" s="323" t="b">
        <f>VLOOKUP($A$4:$A$34,'Dados - Receita e Qntd'!$B$4:$AG$31,32,)=G25</f>
        <v>1</v>
      </c>
    </row>
    <row r="26" spans="1:13" ht="16.5" thickBot="1">
      <c r="A26" s="644" t="s">
        <v>582</v>
      </c>
      <c r="B26" s="645">
        <f>SUM(B22:B25)</f>
        <v>85939</v>
      </c>
      <c r="C26" s="645">
        <f>SUM(C22:C25)</f>
        <v>16931</v>
      </c>
      <c r="D26" s="646">
        <f t="shared" si="2"/>
        <v>5.0758372216644023</v>
      </c>
      <c r="E26" s="645">
        <f>SUM(E22:E25)</f>
        <v>94030</v>
      </c>
      <c r="F26" s="645">
        <f>SUM(F22:F25)</f>
        <v>17368</v>
      </c>
      <c r="G26" s="641">
        <f t="shared" si="0"/>
        <v>5.4139797328420087</v>
      </c>
      <c r="H26" s="647">
        <f t="shared" si="1"/>
        <v>109.41481748682205</v>
      </c>
      <c r="I26" s="647">
        <f t="shared" si="1"/>
        <v>102.58106431988661</v>
      </c>
      <c r="J26" s="647">
        <f t="shared" si="1"/>
        <v>106.66180762721007</v>
      </c>
      <c r="K26" s="1019"/>
    </row>
    <row r="27" spans="1:13" ht="16.5" thickBot="1">
      <c r="A27" s="643" t="s">
        <v>94</v>
      </c>
      <c r="B27" s="638">
        <f>VLOOKUP($A$4:$A$34,RRT!$A$5:$B$31,2,0)</f>
        <v>12529</v>
      </c>
      <c r="C27" s="638">
        <f>VLOOKUP($A$4:$A$34,'Anuid PF'!$A$7:$B$33,2,0)</f>
        <v>3483</v>
      </c>
      <c r="D27" s="639">
        <f t="shared" si="2"/>
        <v>3.5971863336204422</v>
      </c>
      <c r="E27" s="640">
        <f>VLOOKUP($A$4:$A$34,RRT!$A$5:$F$31,6,0)</f>
        <v>13559</v>
      </c>
      <c r="F27" s="640">
        <f>VLOOKUP($A$4:$A$34,'Anuid PF'!$A$7:$G$33,7,)</f>
        <v>3559</v>
      </c>
      <c r="G27" s="641">
        <f>E27/F27</f>
        <v>3.8097780275358248</v>
      </c>
      <c r="H27" s="642">
        <f t="shared" si="1"/>
        <v>108.2209274483199</v>
      </c>
      <c r="I27" s="642">
        <f t="shared" si="1"/>
        <v>102.18202698822853</v>
      </c>
      <c r="J27" s="642">
        <f t="shared" si="1"/>
        <v>105.90994388943473</v>
      </c>
      <c r="K27" s="1019" t="b">
        <f>VLOOKUP($A$4:$A$34,'Relatórios - SICCAU e IGEO'!$A$3:$G$29,7,)=E27</f>
        <v>1</v>
      </c>
      <c r="L27" s="323" t="b">
        <f>VLOOKUP($A$4:$A$34,'Anuid PF'!$A$7:$G$33,7,)=F27</f>
        <v>1</v>
      </c>
      <c r="M27" s="323" t="b">
        <f>VLOOKUP($A$4:$A$34,'Dados - Receita e Qntd'!$B$4:$AG$31,32,)=G27</f>
        <v>1</v>
      </c>
    </row>
    <row r="28" spans="1:13" ht="16.5" thickBot="1">
      <c r="A28" s="643" t="s">
        <v>99</v>
      </c>
      <c r="B28" s="638">
        <f>VLOOKUP($A$4:$A$34,RRT!$A$5:$B$31,2,0)</f>
        <v>48243</v>
      </c>
      <c r="C28" s="638">
        <f>VLOOKUP($A$4:$A$34,'Anuid PF'!$A$7:$B$33,2,0)</f>
        <v>15260</v>
      </c>
      <c r="D28" s="639">
        <f t="shared" si="2"/>
        <v>3.1614023591087812</v>
      </c>
      <c r="E28" s="640">
        <f>VLOOKUP($A$4:$A$34,RRT!$A$5:$F$31,6,0)</f>
        <v>50211</v>
      </c>
      <c r="F28" s="640">
        <f>VLOOKUP($A$4:$A$34,'Anuid PF'!$A$7:$G$33,7,)</f>
        <v>15690</v>
      </c>
      <c r="G28" s="641">
        <f t="shared" si="0"/>
        <v>3.20019120458891</v>
      </c>
      <c r="H28" s="642">
        <f t="shared" si="1"/>
        <v>104.07934829923514</v>
      </c>
      <c r="I28" s="642">
        <f t="shared" si="1"/>
        <v>102.81782437745741</v>
      </c>
      <c r="J28" s="642">
        <f t="shared" si="1"/>
        <v>101.2269506084339</v>
      </c>
      <c r="K28" s="1019" t="b">
        <f>VLOOKUP($A$4:$A$34,'Relatórios - SICCAU e IGEO'!$A$3:$G$29,7,)=E28</f>
        <v>1</v>
      </c>
      <c r="L28" s="323" t="b">
        <f>VLOOKUP($A$4:$A$34,'Anuid PF'!$A$7:$G$33,7,)=F28</f>
        <v>1</v>
      </c>
      <c r="M28" s="323" t="b">
        <f>VLOOKUP($A$4:$A$34,'Dados - Receita e Qntd'!$B$4:$AG$31,32,)=G28</f>
        <v>1</v>
      </c>
    </row>
    <row r="29" spans="1:13" ht="16.5" thickBot="1">
      <c r="A29" s="643" t="s">
        <v>105</v>
      </c>
      <c r="B29" s="638">
        <f>VLOOKUP($A$4:$A$34,RRT!$A$5:$B$31,2,0)</f>
        <v>37134</v>
      </c>
      <c r="C29" s="638">
        <f>VLOOKUP($A$4:$A$34,'Anuid PF'!$A$7:$B$33,2,0)</f>
        <v>19977</v>
      </c>
      <c r="D29" s="639">
        <f t="shared" si="2"/>
        <v>1.8588376633128096</v>
      </c>
      <c r="E29" s="640">
        <f>VLOOKUP($A$4:$A$34,RRT!$A$5:$F$31,6,0)</f>
        <v>48694</v>
      </c>
      <c r="F29" s="640">
        <f>VLOOKUP($A$4:$A$34,'Anuid PF'!$A$7:$G$33,7,)</f>
        <v>20366</v>
      </c>
      <c r="G29" s="641">
        <f t="shared" si="0"/>
        <v>2.3909456938033977</v>
      </c>
      <c r="H29" s="642">
        <f t="shared" si="1"/>
        <v>131.13050035008348</v>
      </c>
      <c r="I29" s="642">
        <f t="shared" si="1"/>
        <v>101.947239325224</v>
      </c>
      <c r="J29" s="642">
        <f t="shared" si="1"/>
        <v>128.62584726964636</v>
      </c>
      <c r="K29" s="1019" t="b">
        <f>VLOOKUP($A$4:$A$34,'Relatórios - SICCAU e IGEO'!$A$3:$G$29,7,)=E29</f>
        <v>1</v>
      </c>
      <c r="L29" s="323" t="b">
        <f>VLOOKUP($A$4:$A$34,'Anuid PF'!$A$7:$G$33,7,)=F29</f>
        <v>1</v>
      </c>
      <c r="M29" s="323" t="b">
        <f>VLOOKUP($A$4:$A$34,'Dados - Receita e Qntd'!$B$4:$AG$31,32,)=G29</f>
        <v>1</v>
      </c>
    </row>
    <row r="30" spans="1:13" ht="16.5" thickBot="1">
      <c r="A30" s="643" t="s">
        <v>111</v>
      </c>
      <c r="B30" s="638">
        <f>VLOOKUP($A$4:$A$34,RRT!$A$5:$B$31,2,0)</f>
        <v>230169</v>
      </c>
      <c r="C30" s="638">
        <f>VLOOKUP($A$4:$A$34,'Anuid PF'!$A$7:$B$33,2,0)</f>
        <v>62511</v>
      </c>
      <c r="D30" s="639">
        <f t="shared" si="2"/>
        <v>3.6820559581513654</v>
      </c>
      <c r="E30" s="640">
        <f>VLOOKUP($A$4:$A$34,RRT!$A$5:$F$31,6,0)</f>
        <v>298424</v>
      </c>
      <c r="F30" s="640">
        <f>VLOOKUP($A$4:$A$34,'Anuid PF'!$A$7:$G$33,7,)</f>
        <v>61253</v>
      </c>
      <c r="G30" s="641">
        <f t="shared" si="0"/>
        <v>4.8719899433497131</v>
      </c>
      <c r="H30" s="642">
        <f t="shared" si="1"/>
        <v>129.65429749444974</v>
      </c>
      <c r="I30" s="642">
        <f t="shared" si="1"/>
        <v>97.987554190462475</v>
      </c>
      <c r="J30" s="642">
        <f t="shared" si="1"/>
        <v>132.31710758127025</v>
      </c>
      <c r="K30" s="1019" t="b">
        <f>VLOOKUP($A$4:$A$34,'Relatórios - SICCAU e IGEO'!$A$3:$G$29,7,)=E30</f>
        <v>1</v>
      </c>
      <c r="L30" s="323" t="b">
        <f>VLOOKUP($A$4:$A$34,'Anuid PF'!$A$7:$G$33,7,)=F30</f>
        <v>1</v>
      </c>
      <c r="M30" s="323" t="b">
        <f>VLOOKUP($A$4:$A$34,'Dados - Receita e Qntd'!$B$4:$AG$31,32,)=G30</f>
        <v>1</v>
      </c>
    </row>
    <row r="31" spans="1:13" ht="16.5" thickBot="1">
      <c r="A31" s="644" t="s">
        <v>583</v>
      </c>
      <c r="B31" s="645">
        <f>SUM(B27:B30)</f>
        <v>328075</v>
      </c>
      <c r="C31" s="645">
        <f>SUM(C27:C30)</f>
        <v>101231</v>
      </c>
      <c r="D31" s="646">
        <f t="shared" si="2"/>
        <v>3.2408550740385849</v>
      </c>
      <c r="E31" s="645">
        <f>SUM(E27:E30)</f>
        <v>410888</v>
      </c>
      <c r="F31" s="645">
        <f>SUM(F27:F30)</f>
        <v>100868</v>
      </c>
      <c r="G31" s="641">
        <f t="shared" si="0"/>
        <v>4.0735218305111633</v>
      </c>
      <c r="H31" s="647">
        <f t="shared" si="1"/>
        <v>125.24209403337652</v>
      </c>
      <c r="I31" s="647">
        <f t="shared" si="1"/>
        <v>99.641414191305032</v>
      </c>
      <c r="J31" s="647">
        <f t="shared" si="1"/>
        <v>125.692810614791</v>
      </c>
      <c r="K31" s="1019"/>
    </row>
    <row r="32" spans="1:13" ht="16.5" thickBot="1">
      <c r="A32" s="643" t="s">
        <v>102</v>
      </c>
      <c r="B32" s="638">
        <f>VLOOKUP($A$4:$A$34,RRT!$A$5:$B$31,2,0)</f>
        <v>69964</v>
      </c>
      <c r="C32" s="638">
        <f>VLOOKUP($A$4:$A$34,'Anuid PF'!$A$7:$B$33,2,0)</f>
        <v>12494</v>
      </c>
      <c r="D32" s="639">
        <f t="shared" si="2"/>
        <v>5.5998079077957419</v>
      </c>
      <c r="E32" s="640">
        <f>VLOOKUP($A$4:$A$34,RRT!$A$5:$F$31,6,0)</f>
        <v>74516</v>
      </c>
      <c r="F32" s="640">
        <f>VLOOKUP($A$4:$A$34,'Anuid PF'!$A$7:$G$33,7,)</f>
        <v>12788</v>
      </c>
      <c r="G32" s="641">
        <f t="shared" si="0"/>
        <v>5.8270253362527367</v>
      </c>
      <c r="H32" s="642">
        <f t="shared" si="1"/>
        <v>106.50620319021212</v>
      </c>
      <c r="I32" s="642">
        <f t="shared" si="1"/>
        <v>102.35312950216104</v>
      </c>
      <c r="J32" s="642">
        <f t="shared" si="1"/>
        <v>104.05759326388097</v>
      </c>
      <c r="K32" s="1019" t="b">
        <f>VLOOKUP($A$4:$A$34,'Relatórios - SICCAU e IGEO'!$A$3:$G$29,7,)=E32</f>
        <v>1</v>
      </c>
      <c r="L32" s="323" t="b">
        <f>VLOOKUP($A$4:$A$34,'Anuid PF'!$A$7:$G$33,7,)=F32</f>
        <v>1</v>
      </c>
      <c r="M32" s="323" t="b">
        <f>VLOOKUP($A$4:$A$34,'Dados - Receita e Qntd'!$B$4:$AG$31,32,)=G32</f>
        <v>1</v>
      </c>
    </row>
    <row r="33" spans="1:13" ht="16.5" thickBot="1">
      <c r="A33" s="643" t="s">
        <v>107</v>
      </c>
      <c r="B33" s="638">
        <f>VLOOKUP($A$4:$A$34,RRT!$A$5:$B$31,2,0)</f>
        <v>79226</v>
      </c>
      <c r="C33" s="638">
        <f>VLOOKUP($A$4:$A$34,'Anuid PF'!$A$7:$B$33,2,0)</f>
        <v>16222</v>
      </c>
      <c r="D33" s="639">
        <f t="shared" si="2"/>
        <v>4.8838614227592156</v>
      </c>
      <c r="E33" s="640">
        <f>VLOOKUP($A$4:$A$34,RRT!$A$5:$F$31,6,0)</f>
        <v>86272</v>
      </c>
      <c r="F33" s="640">
        <f>VLOOKUP($A$4:$A$34,'Anuid PF'!$A$7:$G$33,7,)</f>
        <v>16438</v>
      </c>
      <c r="G33" s="641">
        <f t="shared" si="0"/>
        <v>5.2483270470860202</v>
      </c>
      <c r="H33" s="642">
        <f t="shared" si="1"/>
        <v>108.89354504834272</v>
      </c>
      <c r="I33" s="642">
        <f t="shared" si="1"/>
        <v>101.33152508938478</v>
      </c>
      <c r="J33" s="642">
        <f t="shared" si="1"/>
        <v>107.4626528637435</v>
      </c>
      <c r="K33" s="1019" t="b">
        <f>VLOOKUP($A$4:$A$34,'Relatórios - SICCAU e IGEO'!$A$3:$G$29,7,)=E33</f>
        <v>1</v>
      </c>
      <c r="L33" s="323" t="b">
        <f>VLOOKUP($A$4:$A$34,'Anuid PF'!$A$7:$G$33,7,)=F33</f>
        <v>1</v>
      </c>
      <c r="M33" s="323" t="b">
        <f>VLOOKUP($A$4:$A$34,'Dados - Receita e Qntd'!$B$4:$AG$31,32,)=G33</f>
        <v>1</v>
      </c>
    </row>
    <row r="34" spans="1:13" ht="16.5" thickBot="1">
      <c r="A34" s="643" t="s">
        <v>110</v>
      </c>
      <c r="B34" s="638">
        <f>VLOOKUP($A$4:$A$34,RRT!$A$5:$B$31,2,0)</f>
        <v>51293</v>
      </c>
      <c r="C34" s="638">
        <f>VLOOKUP($A$4:$A$34,'Anuid PF'!$A$7:$B$33,2,0)</f>
        <v>10227</v>
      </c>
      <c r="D34" s="639">
        <f t="shared" si="2"/>
        <v>5.0154493008702454</v>
      </c>
      <c r="E34" s="640">
        <f>VLOOKUP($A$4:$A$34,RRT!$A$5:$F$31,6,0)</f>
        <v>54618</v>
      </c>
      <c r="F34" s="640">
        <f>VLOOKUP($A$4:$A$34,'Anuid PF'!$A$7:$G$33,7,)</f>
        <v>10476</v>
      </c>
      <c r="G34" s="641">
        <f t="shared" si="0"/>
        <v>5.2136311569301261</v>
      </c>
      <c r="H34" s="642">
        <f t="shared" si="1"/>
        <v>106.48236601485583</v>
      </c>
      <c r="I34" s="642">
        <f t="shared" si="1"/>
        <v>102.43473159284247</v>
      </c>
      <c r="J34" s="642">
        <f t="shared" si="1"/>
        <v>103.9514277619254</v>
      </c>
      <c r="K34" s="1019" t="b">
        <f>VLOOKUP($A$4:$A$34,'Relatórios - SICCAU e IGEO'!$A$3:$G$29,7,)=E34</f>
        <v>1</v>
      </c>
      <c r="L34" s="323" t="b">
        <f>VLOOKUP($A$4:$A$34,'Anuid PF'!$A$7:$G$33,7,)=F34</f>
        <v>1</v>
      </c>
      <c r="M34" s="323" t="b">
        <f>VLOOKUP($A$4:$A$34,'Dados - Receita e Qntd'!$B$4:$AG$31,32,)=G34</f>
        <v>1</v>
      </c>
    </row>
    <row r="35" spans="1:13" ht="16.5" thickBot="1">
      <c r="A35" s="648" t="s">
        <v>584</v>
      </c>
      <c r="B35" s="649">
        <f>SUM(B32:B34)</f>
        <v>200483</v>
      </c>
      <c r="C35" s="649">
        <f>SUM(C32:C34)</f>
        <v>38943</v>
      </c>
      <c r="D35" s="646">
        <f t="shared" si="2"/>
        <v>5.1481139100736977</v>
      </c>
      <c r="E35" s="649">
        <f>SUM(E32:E34)</f>
        <v>215406</v>
      </c>
      <c r="F35" s="649">
        <f>SUM(F32:F34)</f>
        <v>39702</v>
      </c>
      <c r="G35" s="641">
        <f t="shared" si="0"/>
        <v>5.425570500226689</v>
      </c>
      <c r="H35" s="647">
        <f t="shared" si="1"/>
        <v>107.44352388980612</v>
      </c>
      <c r="I35" s="647">
        <f t="shared" si="1"/>
        <v>101.9490023881057</v>
      </c>
      <c r="J35" s="647">
        <f t="shared" si="1"/>
        <v>105.38948039999798</v>
      </c>
    </row>
    <row r="36" spans="1:13" ht="16.5" thickBot="1">
      <c r="A36" s="650" t="s">
        <v>34</v>
      </c>
      <c r="B36" s="651">
        <f>B11+B21+B26+B31+B35</f>
        <v>713260</v>
      </c>
      <c r="C36" s="651">
        <f>C11+C21+C26+C31+C35</f>
        <v>190756</v>
      </c>
      <c r="D36" s="652">
        <f t="shared" si="2"/>
        <v>3.7391222294449453</v>
      </c>
      <c r="E36" s="651">
        <f>E11+E21+E26+E31+E35</f>
        <v>839410</v>
      </c>
      <c r="F36" s="651">
        <f>F11+F21+F26+F31+F35</f>
        <v>193090</v>
      </c>
      <c r="G36" s="652">
        <f t="shared" si="0"/>
        <v>4.3472473975866173</v>
      </c>
      <c r="H36" s="653">
        <f t="shared" ref="H36:J36" si="3">E36/B36*100</f>
        <v>117.68639766704989</v>
      </c>
      <c r="I36" s="653">
        <f t="shared" si="3"/>
        <v>101.22355260122879</v>
      </c>
      <c r="J36" s="653">
        <f t="shared" si="3"/>
        <v>116.26384832656154</v>
      </c>
    </row>
    <row r="37" spans="1:13" ht="15.75">
      <c r="A37" s="1371" t="s">
        <v>585</v>
      </c>
      <c r="B37" s="1371"/>
      <c r="C37" s="1371"/>
      <c r="D37" s="1371"/>
      <c r="E37" s="1371"/>
      <c r="F37" s="654"/>
      <c r="G37" s="655"/>
      <c r="H37" s="655"/>
      <c r="I37" s="655"/>
      <c r="J37" s="655"/>
    </row>
    <row r="38" spans="1:13" ht="16.5" thickBot="1">
      <c r="A38" s="1372" t="s">
        <v>586</v>
      </c>
      <c r="B38" s="1372"/>
      <c r="C38" s="1372"/>
      <c r="D38" s="1372"/>
      <c r="E38" s="1373"/>
      <c r="F38" s="654"/>
      <c r="G38" s="655"/>
      <c r="H38" s="655"/>
      <c r="I38" s="655"/>
      <c r="J38" s="655"/>
    </row>
    <row r="39" spans="1:13" ht="15.75">
      <c r="A39" s="1363" t="s">
        <v>1078</v>
      </c>
      <c r="B39" s="1363"/>
      <c r="C39" s="1363"/>
      <c r="D39" s="1363"/>
      <c r="E39" s="1363"/>
      <c r="F39" s="1363"/>
      <c r="G39" s="1363"/>
      <c r="H39" s="1363"/>
      <c r="I39" s="1363"/>
      <c r="J39" s="1363"/>
    </row>
    <row r="40" spans="1:13">
      <c r="B40" s="656"/>
      <c r="C40" s="656"/>
      <c r="E40" s="656"/>
      <c r="F40" s="656"/>
      <c r="H40" s="657"/>
    </row>
    <row r="41" spans="1:13" s="508" customFormat="1">
      <c r="A41" s="658"/>
    </row>
    <row r="42" spans="1:13">
      <c r="A42" s="659"/>
      <c r="E42" s="660"/>
      <c r="F42" s="660"/>
      <c r="G42" s="660"/>
    </row>
    <row r="43" spans="1:13">
      <c r="A43" s="323"/>
    </row>
    <row r="44" spans="1:13" s="253" customFormat="1" ht="26.25">
      <c r="A44" s="292"/>
      <c r="B44" s="307"/>
      <c r="C44" s="292"/>
      <c r="D44" s="307"/>
      <c r="E44" s="292"/>
      <c r="F44" s="292"/>
      <c r="G44" s="292"/>
      <c r="I44" s="310"/>
      <c r="J44" s="311"/>
    </row>
    <row r="45" spans="1:13" s="253" customFormat="1" ht="26.25">
      <c r="A45" s="292"/>
      <c r="B45" s="307"/>
      <c r="C45" s="308"/>
      <c r="D45" s="307"/>
      <c r="E45" s="292"/>
      <c r="F45" s="292"/>
      <c r="G45" s="292"/>
      <c r="I45" s="446"/>
      <c r="J45" s="306"/>
    </row>
    <row r="46" spans="1:13" s="253" customFormat="1" ht="26.25">
      <c r="A46" s="292"/>
      <c r="B46" s="307"/>
      <c r="C46" s="308"/>
      <c r="D46" s="307"/>
      <c r="E46" s="292"/>
      <c r="F46" s="292"/>
      <c r="G46" s="292"/>
      <c r="H46" s="284"/>
      <c r="I46" s="446"/>
      <c r="J46" s="306"/>
    </row>
  </sheetData>
  <dataConsolidate/>
  <mergeCells count="7">
    <mergeCell ref="A39:J39"/>
    <mergeCell ref="A2:A3"/>
    <mergeCell ref="B2:D2"/>
    <mergeCell ref="E2:G2"/>
    <mergeCell ref="H2:J2"/>
    <mergeCell ref="A37:E37"/>
    <mergeCell ref="A38:E38"/>
  </mergeCells>
  <conditionalFormatting sqref="A38">
    <cfRule type="cellIs" dxfId="161" priority="7" operator="lessThan">
      <formula>$I$31</formula>
    </cfRule>
    <cfRule type="cellIs" dxfId="160" priority="8" operator="greaterThan">
      <formula>$I$31</formula>
    </cfRule>
  </conditionalFormatting>
  <conditionalFormatting sqref="G4:G35">
    <cfRule type="cellIs" dxfId="159" priority="5" operator="lessThan">
      <formula>$G$36</formula>
    </cfRule>
    <cfRule type="cellIs" dxfId="158" priority="6" operator="greaterThan">
      <formula>$G$36</formula>
    </cfRule>
  </conditionalFormatting>
  <conditionalFormatting sqref="A37">
    <cfRule type="cellIs" dxfId="157" priority="9" operator="lessThan">
      <formula>#REF!</formula>
    </cfRule>
  </conditionalFormatting>
  <conditionalFormatting sqref="K4:K34">
    <cfRule type="cellIs" dxfId="156" priority="4" operator="equal">
      <formula>TRUE</formula>
    </cfRule>
  </conditionalFormatting>
  <conditionalFormatting sqref="L4:L34 M11 M21 M26 M31">
    <cfRule type="cellIs" dxfId="155" priority="3" operator="equal">
      <formula>TRUE</formula>
    </cfRule>
  </conditionalFormatting>
  <conditionalFormatting sqref="M4:M10 M12:M20 M22:M25 M27:M30 M32:M34">
    <cfRule type="cellIs" dxfId="154" priority="1" operator="equal">
      <formula>FALSE</formula>
    </cfRule>
    <cfRule type="cellIs" dxfId="153" priority="2" operator="equal">
      <formula>TRUE</formula>
    </cfRule>
  </conditionalFormatting>
  <pageMargins left="0.511811024" right="0.511811024" top="0.78740157499999996" bottom="0.78740157499999996" header="0.31496062000000002" footer="0.31496062000000002"/>
  <pageSetup scale="82" orientation="landscape" verticalDpi="0" r:id="rId1"/>
  <rowBreaks count="1" manualBreakCount="1">
    <brk id="3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00B050"/>
  </sheetPr>
  <dimension ref="A1:AW2714"/>
  <sheetViews>
    <sheetView topLeftCell="V1" zoomScaleNormal="100" workbookViewId="0">
      <selection sqref="A1:AC1"/>
    </sheetView>
  </sheetViews>
  <sheetFormatPr defaultRowHeight="15" zeroHeight="1"/>
  <cols>
    <col min="1" max="1" width="10.42578125" style="210" customWidth="1"/>
    <col min="2" max="14" width="12.7109375" style="62" customWidth="1"/>
    <col min="15" max="16" width="10.42578125" style="62" customWidth="1"/>
    <col min="17" max="22" width="12.42578125" style="62" customWidth="1"/>
    <col min="23" max="23" width="13.42578125" style="62" customWidth="1"/>
    <col min="24" max="29" width="12.42578125" style="62" customWidth="1"/>
    <col min="30" max="31" width="10.42578125" style="62" customWidth="1"/>
    <col min="32" max="44" width="13.28515625" style="62" customWidth="1"/>
    <col min="45" max="45" width="14" style="62" bestFit="1" customWidth="1"/>
    <col min="46" max="46" width="12.42578125" bestFit="1" customWidth="1"/>
    <col min="48" max="48" width="11.7109375" customWidth="1"/>
  </cols>
  <sheetData>
    <row r="1" spans="1:44" ht="21">
      <c r="A1" s="1385" t="s">
        <v>290</v>
      </c>
      <c r="B1" s="1385"/>
      <c r="C1" s="1385"/>
      <c r="D1" s="1385"/>
      <c r="E1" s="1385"/>
      <c r="F1" s="1385"/>
      <c r="G1" s="1385"/>
      <c r="H1" s="1385"/>
      <c r="I1" s="1385"/>
      <c r="J1" s="1385"/>
      <c r="K1" s="1385"/>
      <c r="L1" s="1385"/>
      <c r="M1" s="1385"/>
      <c r="N1" s="1385"/>
      <c r="P1" s="1385" t="s">
        <v>129</v>
      </c>
      <c r="Q1" s="1385"/>
      <c r="R1" s="1385"/>
      <c r="S1" s="1385"/>
      <c r="T1" s="1385"/>
      <c r="U1" s="1385"/>
      <c r="V1" s="1385"/>
      <c r="W1" s="1385"/>
      <c r="X1" s="1385"/>
      <c r="Y1" s="1385"/>
      <c r="Z1" s="1385"/>
      <c r="AA1" s="1385"/>
      <c r="AB1" s="1385"/>
      <c r="AC1" s="1385"/>
      <c r="AE1" s="1391" t="s">
        <v>289</v>
      </c>
      <c r="AF1" s="1391"/>
      <c r="AG1" s="1391"/>
      <c r="AH1" s="1391"/>
      <c r="AI1" s="1391"/>
      <c r="AJ1" s="1391"/>
      <c r="AK1" s="1391"/>
      <c r="AL1" s="1391"/>
      <c r="AM1" s="1391"/>
      <c r="AN1" s="1391"/>
      <c r="AO1" s="1391"/>
      <c r="AP1" s="1391"/>
      <c r="AQ1" s="1391"/>
      <c r="AR1" s="1391"/>
    </row>
    <row r="2" spans="1:44"/>
    <row r="3" spans="1:44" ht="15" customHeight="1">
      <c r="A3" s="1386" t="s">
        <v>301</v>
      </c>
      <c r="B3" s="1389" t="s">
        <v>27</v>
      </c>
      <c r="C3" s="1390"/>
      <c r="D3" s="1390"/>
      <c r="E3" s="1390"/>
      <c r="F3" s="1390"/>
      <c r="G3" s="1390"/>
      <c r="H3" s="1390"/>
      <c r="I3" s="1390"/>
      <c r="J3" s="1390"/>
      <c r="K3" s="1390"/>
      <c r="L3" s="1390"/>
      <c r="M3" s="1390"/>
      <c r="P3" s="1386" t="s">
        <v>301</v>
      </c>
      <c r="Q3" s="1389" t="s">
        <v>27</v>
      </c>
      <c r="R3" s="1390"/>
      <c r="S3" s="1390"/>
      <c r="T3" s="1390"/>
      <c r="U3" s="1390"/>
      <c r="V3" s="1390"/>
      <c r="W3" s="1390"/>
      <c r="X3" s="1390"/>
      <c r="Y3" s="1390"/>
      <c r="Z3" s="1390"/>
      <c r="AA3" s="1390"/>
      <c r="AB3" s="1390"/>
      <c r="AE3" s="1386" t="s">
        <v>301</v>
      </c>
      <c r="AF3" s="1389" t="s">
        <v>27</v>
      </c>
      <c r="AG3" s="1390"/>
      <c r="AH3" s="1390"/>
      <c r="AI3" s="1390"/>
      <c r="AJ3" s="1390"/>
      <c r="AK3" s="1390"/>
      <c r="AL3" s="1390"/>
      <c r="AM3" s="1390"/>
      <c r="AN3" s="1390"/>
      <c r="AO3" s="1390"/>
      <c r="AP3" s="1390"/>
      <c r="AQ3" s="1390"/>
    </row>
    <row r="4" spans="1:44">
      <c r="A4" s="1387"/>
      <c r="B4" s="211" t="s">
        <v>116</v>
      </c>
      <c r="C4" s="211" t="s">
        <v>117</v>
      </c>
      <c r="D4" s="211" t="s">
        <v>118</v>
      </c>
      <c r="E4" s="211" t="s">
        <v>119</v>
      </c>
      <c r="F4" s="211" t="s">
        <v>120</v>
      </c>
      <c r="G4" s="211" t="s">
        <v>121</v>
      </c>
      <c r="H4" s="211" t="s">
        <v>122</v>
      </c>
      <c r="I4" s="211" t="s">
        <v>123</v>
      </c>
      <c r="J4" s="211" t="s">
        <v>124</v>
      </c>
      <c r="K4" s="211" t="s">
        <v>125</v>
      </c>
      <c r="L4" s="211" t="s">
        <v>126</v>
      </c>
      <c r="M4" s="211" t="s">
        <v>127</v>
      </c>
      <c r="N4" s="211" t="s">
        <v>128</v>
      </c>
      <c r="P4" s="1387"/>
      <c r="Q4" s="211" t="s">
        <v>116</v>
      </c>
      <c r="R4" s="211" t="s">
        <v>117</v>
      </c>
      <c r="S4" s="211" t="s">
        <v>118</v>
      </c>
      <c r="T4" s="211" t="s">
        <v>119</v>
      </c>
      <c r="U4" s="211" t="s">
        <v>120</v>
      </c>
      <c r="V4" s="211" t="s">
        <v>121</v>
      </c>
      <c r="W4" s="211" t="s">
        <v>122</v>
      </c>
      <c r="X4" s="211" t="s">
        <v>123</v>
      </c>
      <c r="Y4" s="211" t="s">
        <v>124</v>
      </c>
      <c r="Z4" s="211" t="s">
        <v>125</v>
      </c>
      <c r="AA4" s="211" t="s">
        <v>126</v>
      </c>
      <c r="AB4" s="211" t="s">
        <v>127</v>
      </c>
      <c r="AC4" s="211" t="s">
        <v>128</v>
      </c>
      <c r="AE4" s="1387"/>
      <c r="AF4" s="211" t="s">
        <v>116</v>
      </c>
      <c r="AG4" s="211" t="s">
        <v>117</v>
      </c>
      <c r="AH4" s="211" t="s">
        <v>118</v>
      </c>
      <c r="AI4" s="211" t="s">
        <v>119</v>
      </c>
      <c r="AJ4" s="211" t="s">
        <v>120</v>
      </c>
      <c r="AK4" s="211" t="s">
        <v>121</v>
      </c>
      <c r="AL4" s="211" t="s">
        <v>122</v>
      </c>
      <c r="AM4" s="211" t="s">
        <v>123</v>
      </c>
      <c r="AN4" s="211" t="s">
        <v>124</v>
      </c>
      <c r="AO4" s="211" t="s">
        <v>125</v>
      </c>
      <c r="AP4" s="211" t="s">
        <v>126</v>
      </c>
      <c r="AQ4" s="211" t="s">
        <v>127</v>
      </c>
      <c r="AR4" s="211" t="s">
        <v>128</v>
      </c>
    </row>
    <row r="5" spans="1:44">
      <c r="A5" s="212" t="s">
        <v>87</v>
      </c>
      <c r="B5" s="147">
        <f>$B$214*'Médias por UF'!CG3</f>
        <v>32427.888733659147</v>
      </c>
      <c r="C5" s="147">
        <f>'Médias por UF'!CH3*'Evolução das Receitas'!$B$214</f>
        <v>70202.587147979531</v>
      </c>
      <c r="D5" s="147">
        <f>'Médias por UF'!CI3*'Evolução das Receitas'!$B$214</f>
        <v>93129.01645799847</v>
      </c>
      <c r="E5" s="147">
        <f>'Médias por UF'!CJ3*'Evolução das Receitas'!$B$214</f>
        <v>117151.62391917677</v>
      </c>
      <c r="F5" s="147">
        <f>'Médias por UF'!CK3*'Evolução das Receitas'!$B$214</f>
        <v>145502.62287193674</v>
      </c>
      <c r="G5" s="147">
        <f>'Médias por UF'!CL3*'Evolução das Receitas'!$B$214</f>
        <v>168154.695059005</v>
      </c>
      <c r="H5" s="147">
        <f>'Médias por UF'!CM3*'Evolução das Receitas'!$B$214</f>
        <v>178436.39330253814</v>
      </c>
      <c r="I5" s="147">
        <f>'Médias por UF'!CN3*'Evolução das Receitas'!$B$214</f>
        <v>187963.30305997425</v>
      </c>
      <c r="J5" s="147">
        <f>'Médias por UF'!CO3*'Evolução das Receitas'!$B$214</f>
        <v>196226.27849373466</v>
      </c>
      <c r="K5" s="147">
        <f>'Médias por UF'!CP3*'Evolução das Receitas'!$B$214</f>
        <v>203581.99415358173</v>
      </c>
      <c r="L5" s="147">
        <f>'Médias por UF'!CQ3*'Evolução das Receitas'!$B$214</f>
        <v>209321.81008144669</v>
      </c>
      <c r="M5" s="147">
        <f>'Médias por UF'!CR3*'Evolução das Receitas'!$B$214</f>
        <v>214863.66800000001</v>
      </c>
      <c r="N5" s="147">
        <f>M5</f>
        <v>214863.66800000001</v>
      </c>
      <c r="P5" s="213" t="s">
        <v>87</v>
      </c>
      <c r="Q5" s="147">
        <f>'Médias por UF'!CG3*'Evolução das Receitas'!$Q$214</f>
        <v>14020.237106083476</v>
      </c>
      <c r="R5" s="147">
        <f>'Médias por UF'!CH3*'Evolução das Receitas'!$Q$214</f>
        <v>30352.173875986358</v>
      </c>
      <c r="S5" s="147">
        <f>'Médias por UF'!CI3*'Evolução das Receitas'!$Q$214</f>
        <v>40264.443452410829</v>
      </c>
      <c r="T5" s="147">
        <f>'Médias por UF'!CJ3*'Evolução das Receitas'!$Q$214</f>
        <v>50650.646984757943</v>
      </c>
      <c r="U5" s="147">
        <f>'Médias por UF'!CK3*'Evolução das Receitas'!$Q$214</f>
        <v>62908.235839114626</v>
      </c>
      <c r="V5" s="147">
        <f>'Médias por UF'!CL3*'Evolução das Receitas'!$Q$214</f>
        <v>72701.886779984226</v>
      </c>
      <c r="W5" s="147">
        <f>'Médias por UF'!CM3*'Evolução das Receitas'!$Q$214</f>
        <v>77147.191511707686</v>
      </c>
      <c r="X5" s="147">
        <f>'Médias por UF'!CN3*'Evolução das Receitas'!$Q$214</f>
        <v>81266.16252411509</v>
      </c>
      <c r="Y5" s="147">
        <f>'Médias por UF'!CO3*'Evolução das Receitas'!$Q$214</f>
        <v>84838.669995525532</v>
      </c>
      <c r="Z5" s="147">
        <f>'Médias por UF'!CP3*'Evolução das Receitas'!$Q$214</f>
        <v>88018.922601022568</v>
      </c>
      <c r="AA5" s="147">
        <f>'Médias por UF'!CQ3*'Evolução das Receitas'!$Q$214</f>
        <v>90500.538993470953</v>
      </c>
      <c r="AB5" s="147">
        <f>'Médias por UF'!CR3*'Evolução das Receitas'!$Q$214</f>
        <v>92896.567999999999</v>
      </c>
      <c r="AC5" s="147">
        <f>AB5</f>
        <v>92896.567999999999</v>
      </c>
      <c r="AE5" s="213" t="s">
        <v>87</v>
      </c>
      <c r="AF5" s="147">
        <f>JAN!$AI$5</f>
        <v>14560.495999999999</v>
      </c>
      <c r="AG5" s="147">
        <f>FEV!$AI$5</f>
        <v>19304.727999999999</v>
      </c>
      <c r="AH5" s="147">
        <f>MAR!$AI5</f>
        <v>14407.112000000001</v>
      </c>
      <c r="AI5" s="147">
        <f>ABR!$AJ5</f>
        <v>6038.5120000000006</v>
      </c>
      <c r="AJ5" s="147">
        <f>MAI!$T5</f>
        <v>5366.7760000000007</v>
      </c>
      <c r="AK5" s="147">
        <f>JUN!$T5</f>
        <v>9320.3120000000017</v>
      </c>
      <c r="AL5" s="147">
        <f>JUL!$T5</f>
        <v>14005.264000000003</v>
      </c>
      <c r="AM5" s="147">
        <f>AGO!$T5</f>
        <v>19565.816000000003</v>
      </c>
      <c r="AN5" s="147">
        <f>SET!$T5</f>
        <v>7479.9120000000003</v>
      </c>
      <c r="AO5" s="147">
        <f>OUT!$T5</f>
        <v>2464.5439999999999</v>
      </c>
      <c r="AP5" s="147">
        <f>NOV!$T5</f>
        <v>3617.5360000000001</v>
      </c>
      <c r="AQ5" s="147">
        <f>DEZ!$T5</f>
        <v>6135.9440000000004</v>
      </c>
      <c r="AR5" s="177">
        <f>SUM(AF5:AQ5)</f>
        <v>122266.952</v>
      </c>
    </row>
    <row r="6" spans="1:44">
      <c r="A6" s="212" t="s">
        <v>88</v>
      </c>
      <c r="B6" s="147">
        <f>$B$215*'Médias por UF'!CG4</f>
        <v>134365.62266775811</v>
      </c>
      <c r="C6" s="147">
        <f>$B$215*'Médias por UF'!CH4</f>
        <v>303835.32012227073</v>
      </c>
      <c r="D6" s="147">
        <f>$B$215*'Médias por UF'!CI4</f>
        <v>385239.23540071509</v>
      </c>
      <c r="E6" s="147">
        <f>$B$215*'Médias por UF'!CJ4</f>
        <v>455877.27628814831</v>
      </c>
      <c r="F6" s="147">
        <f>$B$215*'Médias por UF'!CK4</f>
        <v>545788.34782778693</v>
      </c>
      <c r="G6" s="147">
        <f>$B$215*'Médias por UF'!CL4</f>
        <v>625665.99780235079</v>
      </c>
      <c r="H6" s="147">
        <f>$B$215*'Médias por UF'!CM4</f>
        <v>652117.36490240623</v>
      </c>
      <c r="I6" s="147">
        <f>$B$215*'Médias por UF'!CN4</f>
        <v>676648.46160244558</v>
      </c>
      <c r="J6" s="147">
        <f>$B$215*'Médias por UF'!CO4</f>
        <v>697276.87141639728</v>
      </c>
      <c r="K6" s="147">
        <f>$B$215*'Médias por UF'!CP4</f>
        <v>716308.35246425727</v>
      </c>
      <c r="L6" s="147">
        <f>$B$215*'Médias por UF'!CQ4</f>
        <v>735104.48253620567</v>
      </c>
      <c r="M6" s="147">
        <f>$B$215*'Médias por UF'!CR4</f>
        <v>754927.88400000008</v>
      </c>
      <c r="N6" s="147">
        <f t="shared" ref="N6:N31" si="0">M6</f>
        <v>754927.88400000008</v>
      </c>
      <c r="P6" s="213" t="s">
        <v>88</v>
      </c>
      <c r="Q6" s="147">
        <f>'Médias por UF'!CG4*'Evolução das Receitas'!$Q$215</f>
        <v>73372.19199101119</v>
      </c>
      <c r="R6" s="147">
        <f>'Médias por UF'!CH4*'Evolução das Receitas'!$Q$215</f>
        <v>165913.44570913789</v>
      </c>
      <c r="S6" s="147">
        <f>'Médias por UF'!CI4*'Evolução das Receitas'!$Q$215</f>
        <v>210365.17065219677</v>
      </c>
      <c r="T6" s="147">
        <f>'Médias por UF'!CJ4*'Evolução das Receitas'!$Q$215</f>
        <v>248938.04215726303</v>
      </c>
      <c r="U6" s="147">
        <f>'Médias por UF'!CK4*'Evolução das Receitas'!$Q$215</f>
        <v>298035.21650993242</v>
      </c>
      <c r="V6" s="147">
        <f>'Médias por UF'!CL4*'Evolução das Receitas'!$Q$215</f>
        <v>341653.50334075605</v>
      </c>
      <c r="W6" s="147">
        <f>'Médias por UF'!CM4*'Evolução das Receitas'!$Q$215</f>
        <v>356097.63530514197</v>
      </c>
      <c r="X6" s="147">
        <f>'Médias por UF'!CN4*'Evolução das Receitas'!$Q$215</f>
        <v>369493.177268103</v>
      </c>
      <c r="Y6" s="147">
        <f>'Médias por UF'!CO4*'Evolução das Receitas'!$Q$215</f>
        <v>380757.60350516991</v>
      </c>
      <c r="Z6" s="147">
        <f>'Médias por UF'!CP4*'Evolução das Receitas'!$Q$215</f>
        <v>391150.00487683376</v>
      </c>
      <c r="AA6" s="147">
        <f>'Médias por UF'!CQ4*'Evolução das Receitas'!$Q$215</f>
        <v>401413.88961867068</v>
      </c>
      <c r="AB6" s="147">
        <f>'Médias por UF'!CR4*'Evolução das Receitas'!$Q$215</f>
        <v>412238.73000000004</v>
      </c>
      <c r="AC6" s="147">
        <f>AB6</f>
        <v>412238.73000000004</v>
      </c>
      <c r="AE6" s="213" t="s">
        <v>88</v>
      </c>
      <c r="AF6" s="147">
        <f>JAN!$AI$6</f>
        <v>82619.016000000003</v>
      </c>
      <c r="AG6" s="147">
        <f>FEV!$AI$6</f>
        <v>76937.648000000001</v>
      </c>
      <c r="AH6" s="147">
        <f>MAR!$AI6</f>
        <v>41772.520000000004</v>
      </c>
      <c r="AI6" s="147">
        <f>ABR!$AJ6</f>
        <v>17309.544000000002</v>
      </c>
      <c r="AJ6" s="147">
        <f>MAI!$T6</f>
        <v>17241.904000000002</v>
      </c>
      <c r="AK6" s="147">
        <f>JUN!$T6</f>
        <v>22298.959999999999</v>
      </c>
      <c r="AL6" s="147">
        <f>JUL!$T6</f>
        <v>46785.784000000007</v>
      </c>
      <c r="AM6" s="147">
        <f>AGO!$T6</f>
        <v>51631.240000000005</v>
      </c>
      <c r="AN6" s="147">
        <f>SET!$T6</f>
        <v>18370.256000000001</v>
      </c>
      <c r="AO6" s="147">
        <f>OUT!$T6</f>
        <v>7539.1840000000002</v>
      </c>
      <c r="AP6" s="147">
        <f>NOV!$T6</f>
        <v>13876.696000000004</v>
      </c>
      <c r="AQ6" s="147">
        <f>DEZ!$T6</f>
        <v>21301.232000000004</v>
      </c>
      <c r="AR6" s="177">
        <f t="shared" ref="AR6:AR31" si="1">SUM(AF6:AQ6)</f>
        <v>417683.984</v>
      </c>
    </row>
    <row r="7" spans="1:44">
      <c r="A7" s="212" t="s">
        <v>89</v>
      </c>
      <c r="B7" s="147">
        <f>$B$216*'Médias por UF'!CG5</f>
        <v>35003.688501941579</v>
      </c>
      <c r="C7" s="147">
        <f>$B$216*'Médias por UF'!CH5</f>
        <v>78726.606629848524</v>
      </c>
      <c r="D7" s="147">
        <f>$B$216*'Médias por UF'!CI5</f>
        <v>111028.97477105659</v>
      </c>
      <c r="E7" s="147">
        <f>$B$216*'Médias por UF'!CJ5</f>
        <v>138801.34394638755</v>
      </c>
      <c r="F7" s="147">
        <f>$B$216*'Médias por UF'!CK5</f>
        <v>171886.09875661752</v>
      </c>
      <c r="G7" s="147">
        <f>$B$216*'Médias por UF'!CL5</f>
        <v>212495.73064624201</v>
      </c>
      <c r="H7" s="147">
        <f>$B$216*'Médias por UF'!CM5</f>
        <v>227041.90005973561</v>
      </c>
      <c r="I7" s="147">
        <f>$B$216*'Médias por UF'!CN5</f>
        <v>242004.70113583468</v>
      </c>
      <c r="J7" s="147">
        <f>$B$216*'Médias por UF'!CO5</f>
        <v>254869.43504113189</v>
      </c>
      <c r="K7" s="147">
        <f>$B$216*'Médias por UF'!CP5</f>
        <v>265090.24991402822</v>
      </c>
      <c r="L7" s="147">
        <f>$B$216*'Médias por UF'!CQ5</f>
        <v>272006.92207826249</v>
      </c>
      <c r="M7" s="147">
        <f>$B$216*'Médias por UF'!CR5</f>
        <v>282078.08399999997</v>
      </c>
      <c r="N7" s="147">
        <f t="shared" si="0"/>
        <v>282078.08399999997</v>
      </c>
      <c r="P7" s="213" t="s">
        <v>89</v>
      </c>
      <c r="Q7" s="147">
        <f>'Médias por UF'!CG5*'Evolução das Receitas'!$Q$216</f>
        <v>12632.391829999775</v>
      </c>
      <c r="R7" s="147">
        <f>'Médias por UF'!CH5*'Evolução das Receitas'!$Q$216</f>
        <v>28411.444192212526</v>
      </c>
      <c r="S7" s="147">
        <f>'Médias por UF'!CI5*'Evolução das Receitas'!$Q$216</f>
        <v>40068.963409766067</v>
      </c>
      <c r="T7" s="147">
        <f>'Médias por UF'!CJ5*'Evolução das Receitas'!$Q$216</f>
        <v>50091.662859017786</v>
      </c>
      <c r="U7" s="147">
        <f>'Médias por UF'!CK5*'Evolução das Receitas'!$Q$216</f>
        <v>62031.535605260295</v>
      </c>
      <c r="V7" s="147">
        <f>'Médias por UF'!CL5*'Evolução das Receitas'!$Q$216</f>
        <v>76687.042040627421</v>
      </c>
      <c r="W7" s="147">
        <f>'Médias por UF'!CM5*'Evolução das Receitas'!$Q$216</f>
        <v>81936.572005065784</v>
      </c>
      <c r="X7" s="147">
        <f>'Médias por UF'!CN5*'Evolução das Receitas'!$Q$216</f>
        <v>87336.459107167655</v>
      </c>
      <c r="Y7" s="147">
        <f>'Médias por UF'!CO5*'Evolução das Receitas'!$Q$216</f>
        <v>91979.180101310398</v>
      </c>
      <c r="Z7" s="147">
        <f>'Médias por UF'!CP5*'Evolução das Receitas'!$Q$216</f>
        <v>95667.74390192685</v>
      </c>
      <c r="AA7" s="147">
        <f>'Médias por UF'!CQ5*'Evolução das Receitas'!$Q$216</f>
        <v>98163.884071081135</v>
      </c>
      <c r="AB7" s="147">
        <f>'Médias por UF'!CR5*'Evolução das Receitas'!$Q$216</f>
        <v>101798.44</v>
      </c>
      <c r="AC7" s="147">
        <f t="shared" ref="AC7:AC31" si="2">AB7</f>
        <v>101798.44</v>
      </c>
      <c r="AE7" s="213" t="s">
        <v>89</v>
      </c>
      <c r="AF7" s="147">
        <f>JAN!$AI$7</f>
        <v>16939.752</v>
      </c>
      <c r="AG7" s="147">
        <f>FEV!$AI$7</f>
        <v>22377.328000000001</v>
      </c>
      <c r="AH7" s="147">
        <f>MAR!$AI7</f>
        <v>14640.120000000003</v>
      </c>
      <c r="AI7" s="147">
        <f>ABR!$AJ7</f>
        <v>8337.8240000000005</v>
      </c>
      <c r="AJ7" s="147">
        <f>MAI!$T7</f>
        <v>4209.384</v>
      </c>
      <c r="AK7" s="147">
        <f>JUN!$T7</f>
        <v>11290.143999999998</v>
      </c>
      <c r="AL7" s="147">
        <f>JUL!$T7</f>
        <v>23954.448000000004</v>
      </c>
      <c r="AM7" s="147">
        <f>AGO!$T7</f>
        <v>24375.440000000002</v>
      </c>
      <c r="AN7" s="147">
        <f>SET!$T7</f>
        <v>7634.4480000000003</v>
      </c>
      <c r="AO7" s="147">
        <f>OUT!$T7</f>
        <v>2324.5520000000001</v>
      </c>
      <c r="AP7" s="147">
        <f>NOV!$T7</f>
        <v>4392.5760000000009</v>
      </c>
      <c r="AQ7" s="147">
        <f>DEZ!$T7</f>
        <v>6185.6080000000002</v>
      </c>
      <c r="AR7" s="177">
        <f t="shared" si="1"/>
        <v>146661.62400000001</v>
      </c>
    </row>
    <row r="8" spans="1:44">
      <c r="A8" s="212" t="s">
        <v>90</v>
      </c>
      <c r="B8" s="147">
        <f>$B$217*'Médias por UF'!CG6</f>
        <v>84173.626365420088</v>
      </c>
      <c r="C8" s="147">
        <f>$B$217*'Médias por UF'!CH6</f>
        <v>199117.31836168072</v>
      </c>
      <c r="D8" s="147">
        <f>$B$217*'Médias por UF'!CI6</f>
        <v>281972.34263068985</v>
      </c>
      <c r="E8" s="147">
        <f>$B$217*'Médias por UF'!CJ6</f>
        <v>357386.07696358231</v>
      </c>
      <c r="F8" s="147">
        <f>$B$217*'Médias por UF'!CK6</f>
        <v>453992.32261750073</v>
      </c>
      <c r="G8" s="147">
        <f>$B$217*'Médias por UF'!CL6</f>
        <v>532564.57366568199</v>
      </c>
      <c r="H8" s="147">
        <f>$B$217*'Médias por UF'!CM6</f>
        <v>568234.04460014263</v>
      </c>
      <c r="I8" s="147">
        <f>$B$217*'Médias por UF'!CN6</f>
        <v>604188.2182095513</v>
      </c>
      <c r="J8" s="147">
        <f>$B$217*'Médias por UF'!CO6</f>
        <v>633591.20256631786</v>
      </c>
      <c r="K8" s="147">
        <f>$B$217*'Médias por UF'!CP6</f>
        <v>668372.59075278696</v>
      </c>
      <c r="L8" s="147">
        <f>$B$217*'Médias por UF'!CQ6</f>
        <v>691192.28954092728</v>
      </c>
      <c r="M8" s="147">
        <f>$B$217*'Médias por UF'!CR6</f>
        <v>715271.02399999998</v>
      </c>
      <c r="N8" s="147">
        <f t="shared" si="0"/>
        <v>715271.02399999998</v>
      </c>
      <c r="P8" s="213" t="s">
        <v>90</v>
      </c>
      <c r="Q8" s="147">
        <f>'Médias por UF'!CG6*'Evolução das Receitas'!$Q$217</f>
        <v>46246.172947726554</v>
      </c>
      <c r="R8" s="147">
        <f>'Médias por UF'!CH6*'Evolução das Receitas'!$Q$217</f>
        <v>109397.85226628638</v>
      </c>
      <c r="S8" s="147">
        <f>'Médias por UF'!CI6*'Evolução das Receitas'!$Q$217</f>
        <v>154919.56669614982</v>
      </c>
      <c r="T8" s="147">
        <f>'Médias por UF'!CJ6*'Evolução das Receitas'!$Q$217</f>
        <v>196352.93188647993</v>
      </c>
      <c r="U8" s="147">
        <f>'Médias por UF'!CK6*'Evolução das Receitas'!$Q$217</f>
        <v>249429.76054711439</v>
      </c>
      <c r="V8" s="147">
        <f>'Médias por UF'!CL6*'Evolução das Receitas'!$Q$217</f>
        <v>292598.45919735043</v>
      </c>
      <c r="W8" s="147">
        <f>'Médias por UF'!CM6*'Evolução das Receitas'!$Q$217</f>
        <v>312195.76767765422</v>
      </c>
      <c r="X8" s="147">
        <f>'Médias por UF'!CN6*'Evolução das Receitas'!$Q$217</f>
        <v>331949.4958075899</v>
      </c>
      <c r="Y8" s="147">
        <f>'Médias por UF'!CO6*'Evolução das Receitas'!$Q$217</f>
        <v>348103.90851922933</v>
      </c>
      <c r="Z8" s="147">
        <f>'Médias por UF'!CP6*'Evolução das Receitas'!$Q$217</f>
        <v>367213.29186040215</v>
      </c>
      <c r="AA8" s="147">
        <f>'Médias por UF'!CQ6*'Evolução das Receitas'!$Q$217</f>
        <v>379750.75498679664</v>
      </c>
      <c r="AB8" s="147">
        <f>'Médias por UF'!CR6*'Evolução das Receitas'!$Q$217</f>
        <v>392979.95</v>
      </c>
      <c r="AC8" s="147">
        <f t="shared" si="2"/>
        <v>392979.95</v>
      </c>
      <c r="AE8" s="213" t="s">
        <v>90</v>
      </c>
      <c r="AF8" s="147">
        <f>JAN!$AI$8</f>
        <v>56159.095999999998</v>
      </c>
      <c r="AG8" s="147">
        <f>FEV!$AI$8</f>
        <v>65980.911999999997</v>
      </c>
      <c r="AH8" s="147">
        <f>MAR!$AI8</f>
        <v>47458.544000000002</v>
      </c>
      <c r="AI8" s="147">
        <f>ABR!$AJ8</f>
        <v>17888.84</v>
      </c>
      <c r="AJ8" s="147">
        <f>MAI!$T8</f>
        <v>19643.088</v>
      </c>
      <c r="AK8" s="147">
        <f>JUN!$T8</f>
        <v>35431.775999999991</v>
      </c>
      <c r="AL8" s="147">
        <f>JUL!$T8</f>
        <v>40861.856</v>
      </c>
      <c r="AM8" s="147">
        <f>AGO!$T8</f>
        <v>53688.128000000004</v>
      </c>
      <c r="AN8" s="147">
        <f>SET!$T8</f>
        <v>20534.320000000003</v>
      </c>
      <c r="AO8" s="147">
        <f>OUT!$T8</f>
        <v>7970.0479999999998</v>
      </c>
      <c r="AP8" s="147">
        <f>NOV!$T8</f>
        <v>15815.928000000004</v>
      </c>
      <c r="AQ8" s="147">
        <f>DEZ!$T8</f>
        <v>15140.256000000001</v>
      </c>
      <c r="AR8" s="177">
        <f t="shared" si="1"/>
        <v>396572.79200000002</v>
      </c>
    </row>
    <row r="9" spans="1:44">
      <c r="A9" s="212" t="s">
        <v>91</v>
      </c>
      <c r="B9" s="147">
        <f>$B$218*'Médias por UF'!CG7</f>
        <v>333590.83351558383</v>
      </c>
      <c r="C9" s="147">
        <f>$B$218*'Médias por UF'!CH7</f>
        <v>857081.52518651041</v>
      </c>
      <c r="D9" s="147">
        <f>$B$218*'Médias por UF'!CI7</f>
        <v>1079386.0916627757</v>
      </c>
      <c r="E9" s="147">
        <f>$B$218*'Médias por UF'!CJ7</f>
        <v>1250932.9974484313</v>
      </c>
      <c r="F9" s="147">
        <f>$B$218*'Médias por UF'!CK7</f>
        <v>1469337.0044617688</v>
      </c>
      <c r="G9" s="147">
        <f>$B$218*'Médias por UF'!CL7</f>
        <v>1705593.8441301915</v>
      </c>
      <c r="H9" s="147">
        <f>$B$218*'Médias por UF'!CM7</f>
        <v>1772860.7679007491</v>
      </c>
      <c r="I9" s="147">
        <f>$B$218*'Médias por UF'!CN7</f>
        <v>1843713.2531027498</v>
      </c>
      <c r="J9" s="147">
        <f>$B$218*'Médias por UF'!CO7</f>
        <v>1899947.2218332689</v>
      </c>
      <c r="K9" s="147">
        <f>$B$218*'Médias por UF'!CP7</f>
        <v>1954227.4568917854</v>
      </c>
      <c r="L9" s="147">
        <f>$B$218*'Médias por UF'!CQ7</f>
        <v>2013922.4147419161</v>
      </c>
      <c r="M9" s="147">
        <f>$B$218*'Médias por UF'!CR7</f>
        <v>2066516.2520000003</v>
      </c>
      <c r="N9" s="147">
        <f t="shared" si="0"/>
        <v>2066516.2520000003</v>
      </c>
      <c r="P9" s="213" t="s">
        <v>91</v>
      </c>
      <c r="Q9" s="147">
        <f>'Médias por UF'!CG7*'Evolução das Receitas'!$Q$218</f>
        <v>181202.11314106014</v>
      </c>
      <c r="R9" s="147">
        <f>'Médias por UF'!CH7*'Evolução das Receitas'!$Q$218</f>
        <v>465555.30876331258</v>
      </c>
      <c r="S9" s="147">
        <f>'Médias por UF'!CI7*'Evolução das Receitas'!$Q$218</f>
        <v>586308.19870902738</v>
      </c>
      <c r="T9" s="147">
        <f>'Médias por UF'!CJ7*'Evolução das Receitas'!$Q$218</f>
        <v>679490.20105478133</v>
      </c>
      <c r="U9" s="147">
        <f>'Médias por UF'!CK7*'Evolução das Receitas'!$Q$218</f>
        <v>798124.35887087998</v>
      </c>
      <c r="V9" s="147">
        <f>'Médias por UF'!CL7*'Evolução das Receitas'!$Q$218</f>
        <v>926455.93843134446</v>
      </c>
      <c r="W9" s="147">
        <f>'Médias por UF'!CM7*'Evolução das Receitas'!$Q$218</f>
        <v>962994.43861514609</v>
      </c>
      <c r="X9" s="147">
        <f>'Médias por UF'!CN7*'Evolução das Receitas'!$Q$218</f>
        <v>1001480.5681787105</v>
      </c>
      <c r="Y9" s="147">
        <f>'Médias por UF'!CO7*'Evolução das Receitas'!$Q$218</f>
        <v>1032026.1136209907</v>
      </c>
      <c r="Z9" s="147">
        <f>'Médias por UF'!CP7*'Evolução das Receitas'!$Q$218</f>
        <v>1061510.4168638049</v>
      </c>
      <c r="AA9" s="147">
        <f>'Médias por UF'!CQ7*'Evolução das Receitas'!$Q$218</f>
        <v>1093935.9256594621</v>
      </c>
      <c r="AB9" s="147">
        <f>'Médias por UF'!CR7*'Evolução das Receitas'!$Q$218</f>
        <v>1122504.2</v>
      </c>
      <c r="AC9" s="147">
        <f t="shared" si="2"/>
        <v>1122504.2</v>
      </c>
      <c r="AE9" s="213" t="s">
        <v>91</v>
      </c>
      <c r="AF9" s="147">
        <f>JAN!$AI$9</f>
        <v>240394.49600000001</v>
      </c>
      <c r="AG9" s="147">
        <f>FEV!$AI$9</f>
        <v>232154.37599999999</v>
      </c>
      <c r="AH9" s="147">
        <f>MAR!$AI9</f>
        <v>150004.91200000001</v>
      </c>
      <c r="AI9" s="147">
        <f>ABR!$AJ9</f>
        <v>53443.19200000001</v>
      </c>
      <c r="AJ9" s="147">
        <f>MAI!$T9</f>
        <v>49621.16</v>
      </c>
      <c r="AK9" s="147">
        <f>JUN!$T9</f>
        <v>78866.736000000004</v>
      </c>
      <c r="AL9" s="147">
        <f>JUL!$T9</f>
        <v>144233.67199999999</v>
      </c>
      <c r="AM9" s="147">
        <f>AGO!$T9</f>
        <v>164233.23200000002</v>
      </c>
      <c r="AN9" s="147">
        <f>SET!$T9</f>
        <v>70406.216</v>
      </c>
      <c r="AO9" s="147">
        <f>OUT!$T9</f>
        <v>24346.512000000002</v>
      </c>
      <c r="AP9" s="147">
        <f>NOV!$T9</f>
        <v>42854.840000000004</v>
      </c>
      <c r="AQ9" s="147">
        <f>DEZ!$T9</f>
        <v>43961.96</v>
      </c>
      <c r="AR9" s="177">
        <f t="shared" si="1"/>
        <v>1294521.3040000002</v>
      </c>
    </row>
    <row r="10" spans="1:44">
      <c r="A10" s="212" t="s">
        <v>92</v>
      </c>
      <c r="B10" s="147">
        <f>$B$219*'Médias por UF'!CG8</f>
        <v>246735.05222885133</v>
      </c>
      <c r="C10" s="147">
        <f>$B$219*'Médias por UF'!CH8</f>
        <v>528514.66541522334</v>
      </c>
      <c r="D10" s="147">
        <f>$B$219*'Médias por UF'!CI8</f>
        <v>668190.97334914259</v>
      </c>
      <c r="E10" s="147">
        <f>$B$219*'Médias por UF'!CJ8</f>
        <v>764824.89645647036</v>
      </c>
      <c r="F10" s="147">
        <f>$B$219*'Médias por UF'!CK8</f>
        <v>896316.40856428188</v>
      </c>
      <c r="G10" s="147">
        <f>$B$219*'Médias por UF'!CL8</f>
        <v>1030856.3642293598</v>
      </c>
      <c r="H10" s="147">
        <f>$B$219*'Médias por UF'!CM8</f>
        <v>1075084.3916914933</v>
      </c>
      <c r="I10" s="147">
        <f>$B$219*'Médias por UF'!CN8</f>
        <v>1112548.4197011718</v>
      </c>
      <c r="J10" s="147">
        <f>$B$219*'Médias por UF'!CO8</f>
        <v>1146347.5536908312</v>
      </c>
      <c r="K10" s="147">
        <f>$B$219*'Médias por UF'!CP8</f>
        <v>1186017.4019433218</v>
      </c>
      <c r="L10" s="147">
        <f>$B$219*'Médias por UF'!CQ8</f>
        <v>1216746.193866774</v>
      </c>
      <c r="M10" s="147">
        <f>$B$219*'Médias por UF'!CR8</f>
        <v>1246278.416</v>
      </c>
      <c r="N10" s="147">
        <f t="shared" si="0"/>
        <v>1246278.416</v>
      </c>
      <c r="P10" s="213" t="s">
        <v>92</v>
      </c>
      <c r="Q10" s="147">
        <f>'Médias por UF'!CG8*'Evolução das Receitas'!$Q$219</f>
        <v>187811.96189930357</v>
      </c>
      <c r="R10" s="147">
        <f>'Médias por UF'!CH8*'Evolução das Receitas'!$Q$219</f>
        <v>402299.45160819852</v>
      </c>
      <c r="S10" s="147">
        <f>'Médias por UF'!CI8*'Evolução das Receitas'!$Q$219</f>
        <v>508619.49485681305</v>
      </c>
      <c r="T10" s="147">
        <f>'Médias por UF'!CJ8*'Evolução das Receitas'!$Q$219</f>
        <v>582176.15622643533</v>
      </c>
      <c r="U10" s="147">
        <f>'Médias por UF'!CK8*'Evolução das Receitas'!$Q$219</f>
        <v>682266.02444332896</v>
      </c>
      <c r="V10" s="147">
        <f>'Médias por UF'!CL8*'Evolução das Receitas'!$Q$219</f>
        <v>784676.3337976191</v>
      </c>
      <c r="W10" s="147">
        <f>'Médias por UF'!CM8*'Evolução das Receitas'!$Q$219</f>
        <v>818342.21358876897</v>
      </c>
      <c r="X10" s="147">
        <f>'Médias por UF'!CN8*'Evolução das Receitas'!$Q$219</f>
        <v>846859.41265549068</v>
      </c>
      <c r="Y10" s="147">
        <f>'Médias por UF'!CO8*'Evolução das Receitas'!$Q$219</f>
        <v>872586.93538788136</v>
      </c>
      <c r="Z10" s="147">
        <f>'Médias por UF'!CP8*'Evolução das Receitas'!$Q$219</f>
        <v>902783.1801502083</v>
      </c>
      <c r="AA10" s="147">
        <f>'Médias por UF'!CQ8*'Evolução das Receitas'!$Q$219</f>
        <v>926173.59284514282</v>
      </c>
      <c r="AB10" s="147">
        <f>'Médias por UF'!CR8*'Evolução das Receitas'!$Q$219</f>
        <v>948653.19</v>
      </c>
      <c r="AC10" s="147">
        <f t="shared" si="2"/>
        <v>948653.19</v>
      </c>
      <c r="AE10" s="213" t="s">
        <v>92</v>
      </c>
      <c r="AF10" s="147">
        <f>JAN!$AI$10</f>
        <v>187853.024</v>
      </c>
      <c r="AG10" s="147">
        <f>FEV!$AI$10</f>
        <v>123844.62400000001</v>
      </c>
      <c r="AH10" s="147">
        <f>MAR!$AI10</f>
        <v>80019.960000000006</v>
      </c>
      <c r="AI10" s="147">
        <f>ABR!$AJ10</f>
        <v>24080.440000000002</v>
      </c>
      <c r="AJ10" s="147">
        <f>MAI!$T10</f>
        <v>23167.584000000003</v>
      </c>
      <c r="AK10" s="147">
        <f>JUN!$T10</f>
        <v>51427.80000000001</v>
      </c>
      <c r="AL10" s="147">
        <f>JUL!$T10</f>
        <v>100681.424</v>
      </c>
      <c r="AM10" s="147">
        <f>AGO!$T10</f>
        <v>91472.576000000001</v>
      </c>
      <c r="AN10" s="147">
        <f>SET!$T10</f>
        <v>44046.592000000004</v>
      </c>
      <c r="AO10" s="147">
        <f>OUT!$T10</f>
        <v>15217.560000000001</v>
      </c>
      <c r="AP10" s="147">
        <f>NOV!$T10</f>
        <v>24076.272000000004</v>
      </c>
      <c r="AQ10" s="147">
        <f>DEZ!$T10</f>
        <v>20529.264000000003</v>
      </c>
      <c r="AR10" s="177">
        <f t="shared" si="1"/>
        <v>786417.12000000023</v>
      </c>
    </row>
    <row r="11" spans="1:44">
      <c r="A11" s="212" t="s">
        <v>93</v>
      </c>
      <c r="B11" s="147">
        <f>$B$220*'Médias por UF'!CG9</f>
        <v>373828.25557086349</v>
      </c>
      <c r="C11" s="147">
        <f>$B$220*'Médias por UF'!CH9</f>
        <v>949901.15273255005</v>
      </c>
      <c r="D11" s="147">
        <f>$B$220*'Médias por UF'!CI9</f>
        <v>1189182.2495717632</v>
      </c>
      <c r="E11" s="147">
        <f>$B$220*'Médias por UF'!CJ9</f>
        <v>1368360.6327385418</v>
      </c>
      <c r="F11" s="147">
        <f>$B$220*'Médias por UF'!CK9</f>
        <v>1594466.0797782738</v>
      </c>
      <c r="G11" s="147">
        <f>$B$220*'Médias por UF'!CL9</f>
        <v>1823511.4676915843</v>
      </c>
      <c r="H11" s="147">
        <f>$B$220*'Médias por UF'!CM9</f>
        <v>1892797.634567278</v>
      </c>
      <c r="I11" s="147">
        <f>$B$220*'Médias por UF'!CN9</f>
        <v>1957434.2660843779</v>
      </c>
      <c r="J11" s="147">
        <f>$B$220*'Médias por UF'!CO9</f>
        <v>2010897.3166252463</v>
      </c>
      <c r="K11" s="147">
        <f>$B$220*'Médias por UF'!CP9</f>
        <v>2058314.3142894795</v>
      </c>
      <c r="L11" s="147">
        <f>$B$220*'Médias por UF'!CQ9</f>
        <v>2120470.3943580412</v>
      </c>
      <c r="M11" s="147">
        <f>$B$220*'Médias por UF'!CR9</f>
        <v>2176105.9759999998</v>
      </c>
      <c r="N11" s="147">
        <f t="shared" si="0"/>
        <v>2176105.9759999998</v>
      </c>
      <c r="P11" s="213" t="s">
        <v>93</v>
      </c>
      <c r="Q11" s="147">
        <f>'Médias por UF'!CG9*'Evolução das Receitas'!$Q$220</f>
        <v>221796.16829832131</v>
      </c>
      <c r="R11" s="147">
        <f>'Médias por UF'!CH9*'Evolução das Receitas'!$Q$220</f>
        <v>563586.17305828666</v>
      </c>
      <c r="S11" s="147">
        <f>'Médias por UF'!CI9*'Evolução das Receitas'!$Q$220</f>
        <v>705554.12126517843</v>
      </c>
      <c r="T11" s="147">
        <f>'Médias por UF'!CJ9*'Evolução das Receitas'!$Q$220</f>
        <v>811862.50816758722</v>
      </c>
      <c r="U11" s="147">
        <f>'Médias por UF'!CK9*'Evolução das Receitas'!$Q$220</f>
        <v>946013.20715156279</v>
      </c>
      <c r="V11" s="147">
        <f>'Médias por UF'!CL9*'Evolução das Receitas'!$Q$220</f>
        <v>1081908.2034460441</v>
      </c>
      <c r="W11" s="147">
        <f>'Médias por UF'!CM9*'Evolução das Receitas'!$Q$220</f>
        <v>1123016.4024655102</v>
      </c>
      <c r="X11" s="147">
        <f>'Médias por UF'!CN9*'Evolução das Receitas'!$Q$220</f>
        <v>1161365.9840944079</v>
      </c>
      <c r="Y11" s="147">
        <f>'Médias por UF'!CO9*'Evolução das Receitas'!$Q$220</f>
        <v>1193086.1646286382</v>
      </c>
      <c r="Z11" s="147">
        <f>'Médias por UF'!CP9*'Evolução das Receitas'!$Q$220</f>
        <v>1221219.159493024</v>
      </c>
      <c r="AA11" s="147">
        <f>'Médias por UF'!CQ9*'Evolução das Receitas'!$Q$220</f>
        <v>1258097.0043060074</v>
      </c>
      <c r="AB11" s="147">
        <f>'Médias por UF'!CR9*'Evolução das Receitas'!$Q$220</f>
        <v>1291106.17</v>
      </c>
      <c r="AC11" s="147">
        <f t="shared" si="2"/>
        <v>1291106.17</v>
      </c>
      <c r="AE11" s="213" t="s">
        <v>93</v>
      </c>
      <c r="AF11" s="147">
        <f>JAN!$AI$11</f>
        <v>256441</v>
      </c>
      <c r="AG11" s="147">
        <f>FEV!$AI$11</f>
        <v>393662.38400000002</v>
      </c>
      <c r="AH11" s="147">
        <f>MAR!$AI11</f>
        <v>152089.4</v>
      </c>
      <c r="AI11" s="147">
        <f>ABR!$AJ11</f>
        <v>72820.504000000001</v>
      </c>
      <c r="AJ11" s="147">
        <f>MAI!$T11</f>
        <v>59736.216000000008</v>
      </c>
      <c r="AK11" s="147">
        <f>JUN!$T11</f>
        <v>85062.576000000001</v>
      </c>
      <c r="AL11" s="147">
        <f>JUL!$T11</f>
        <v>109989.77600000001</v>
      </c>
      <c r="AM11" s="147">
        <f>AGO!$T11</f>
        <v>144259.75200000001</v>
      </c>
      <c r="AN11" s="147">
        <f>SET!$T11</f>
        <v>48831.288</v>
      </c>
      <c r="AO11" s="147">
        <f>OUT!$T11</f>
        <v>21576.407999999999</v>
      </c>
      <c r="AP11" s="147">
        <f>NOV!$T11</f>
        <v>36527.928000000007</v>
      </c>
      <c r="AQ11" s="147">
        <f>DEZ!$T11</f>
        <v>33431.760000000002</v>
      </c>
      <c r="AR11" s="177">
        <f t="shared" si="1"/>
        <v>1414428.9920000003</v>
      </c>
    </row>
    <row r="12" spans="1:44">
      <c r="A12" s="212" t="s">
        <v>94</v>
      </c>
      <c r="B12" s="147">
        <f>$B$221*'Médias por UF'!CG10</f>
        <v>177411.17020801685</v>
      </c>
      <c r="C12" s="147">
        <f>$B$221*'Médias por UF'!CH10</f>
        <v>493081.28453812917</v>
      </c>
      <c r="D12" s="147">
        <f>$B$221*'Médias por UF'!CI10</f>
        <v>631875.7469643784</v>
      </c>
      <c r="E12" s="147">
        <f>$B$221*'Médias por UF'!CJ10</f>
        <v>727969.57277342619</v>
      </c>
      <c r="F12" s="147">
        <f>$B$221*'Médias por UF'!CK10</f>
        <v>859002.04771469207</v>
      </c>
      <c r="G12" s="147">
        <f>$B$221*'Médias por UF'!CL10</f>
        <v>989500.91263169516</v>
      </c>
      <c r="H12" s="147">
        <f>$B$221*'Médias por UF'!CM10</f>
        <v>1030550.2277705816</v>
      </c>
      <c r="I12" s="147">
        <f>$B$221*'Médias por UF'!CN10</f>
        <v>1070917.5518695978</v>
      </c>
      <c r="J12" s="147">
        <f>$B$221*'Médias por UF'!CO10</f>
        <v>1104751.5068154216</v>
      </c>
      <c r="K12" s="147">
        <f>$B$221*'Médias por UF'!CP10</f>
        <v>1138801.7045965651</v>
      </c>
      <c r="L12" s="147">
        <f>$B$221*'Médias por UF'!CQ10</f>
        <v>1168519.6291774067</v>
      </c>
      <c r="M12" s="147">
        <f>$B$221*'Médias por UF'!CR10</f>
        <v>1197502.6680000001</v>
      </c>
      <c r="N12" s="147">
        <f t="shared" si="0"/>
        <v>1197502.6680000001</v>
      </c>
      <c r="P12" s="213" t="s">
        <v>94</v>
      </c>
      <c r="Q12" s="147">
        <f>'Médias por UF'!CG10*'Evolução das Receitas'!$Q$221</f>
        <v>151767.93560748524</v>
      </c>
      <c r="R12" s="147">
        <f>'Médias por UF'!CH10*'Evolução das Receitas'!$Q$221</f>
        <v>421810.69294168556</v>
      </c>
      <c r="S12" s="147">
        <f>'Médias por UF'!CI10*'Evolução das Receitas'!$Q$221</f>
        <v>540543.62848054746</v>
      </c>
      <c r="T12" s="147">
        <f>'Médias por UF'!CJ10*'Evolução das Receitas'!$Q$221</f>
        <v>622747.9313469599</v>
      </c>
      <c r="U12" s="147">
        <f>'Médias por UF'!CK10*'Evolução das Receitas'!$Q$221</f>
        <v>734840.80687479873</v>
      </c>
      <c r="V12" s="147">
        <f>'Médias por UF'!CL10*'Evolução das Receitas'!$Q$221</f>
        <v>846477.20104519615</v>
      </c>
      <c r="W12" s="147">
        <f>'Médias por UF'!CM10*'Evolução das Receitas'!$Q$221</f>
        <v>881593.19633131695</v>
      </c>
      <c r="X12" s="147">
        <f>'Médias por UF'!CN10*'Evolução das Receitas'!$Q$221</f>
        <v>916125.77642378025</v>
      </c>
      <c r="Y12" s="147">
        <f>'Médias por UF'!CO10*'Evolução das Receitas'!$Q$221</f>
        <v>945069.32879167004</v>
      </c>
      <c r="Z12" s="147">
        <f>'Médias por UF'!CP10*'Evolução das Receitas'!$Q$221</f>
        <v>974197.86798236193</v>
      </c>
      <c r="AA12" s="147">
        <f>'Médias por UF'!CQ10*'Evolução das Receitas'!$Q$221</f>
        <v>999620.32621250022</v>
      </c>
      <c r="AB12" s="147">
        <f>'Médias por UF'!CR10*'Evolução das Receitas'!$Q$221</f>
        <v>1024414.12</v>
      </c>
      <c r="AC12" s="147">
        <f t="shared" si="2"/>
        <v>1024414.12</v>
      </c>
      <c r="AE12" s="213" t="s">
        <v>94</v>
      </c>
      <c r="AF12" s="147">
        <f>JAN!$AI$12</f>
        <v>196303.32800000001</v>
      </c>
      <c r="AG12" s="147">
        <f>FEV!$AI$12</f>
        <v>274147.38400000002</v>
      </c>
      <c r="AH12" s="147">
        <f>MAR!$AI12</f>
        <v>101387.68800000001</v>
      </c>
      <c r="AI12" s="147">
        <f>ABR!$AJ12</f>
        <v>42986.024000000005</v>
      </c>
      <c r="AJ12" s="147">
        <f>MAI!$T12</f>
        <v>38097.896000000001</v>
      </c>
      <c r="AK12" s="147">
        <f>JUN!$T12</f>
        <v>50946.192000000003</v>
      </c>
      <c r="AL12" s="147">
        <f>JUL!$T12</f>
        <v>97065.48000000001</v>
      </c>
      <c r="AM12" s="147">
        <f>AGO!$T12</f>
        <v>128604.024</v>
      </c>
      <c r="AN12" s="147">
        <f>SET!$T12</f>
        <v>29862.335999999999</v>
      </c>
      <c r="AO12" s="147">
        <f>OUT!$T12</f>
        <v>13485.400000000001</v>
      </c>
      <c r="AP12" s="147">
        <f>NOV!$T12</f>
        <v>20271.847999999998</v>
      </c>
      <c r="AQ12" s="147">
        <f>DEZ!$T12</f>
        <v>31194.768</v>
      </c>
      <c r="AR12" s="177">
        <f t="shared" si="1"/>
        <v>1024352.368</v>
      </c>
    </row>
    <row r="13" spans="1:44">
      <c r="A13" s="212" t="s">
        <v>95</v>
      </c>
      <c r="B13" s="147">
        <f>$B$222*'Médias por UF'!CG11</f>
        <v>247062.49436842572</v>
      </c>
      <c r="C13" s="147">
        <f>$B$222*'Médias por UF'!CH11</f>
        <v>632062.38152867928</v>
      </c>
      <c r="D13" s="147">
        <f>$B$222*'Médias por UF'!CI11</f>
        <v>828033.17846060311</v>
      </c>
      <c r="E13" s="147">
        <f>$B$222*'Médias por UF'!CJ11</f>
        <v>989394.41444927966</v>
      </c>
      <c r="F13" s="147">
        <f>$B$222*'Médias por UF'!CK11</f>
        <v>1195607.3684896976</v>
      </c>
      <c r="G13" s="147">
        <f>$B$222*'Médias por UF'!CL11</f>
        <v>1402749.5170380224</v>
      </c>
      <c r="H13" s="147">
        <f>$B$222*'Médias por UF'!CM11</f>
        <v>1460101.187326266</v>
      </c>
      <c r="I13" s="147">
        <f>$B$222*'Médias por UF'!CN11</f>
        <v>1512652.3043426764</v>
      </c>
      <c r="J13" s="147">
        <f>$B$222*'Médias por UF'!CO11</f>
        <v>1557825.1612587264</v>
      </c>
      <c r="K13" s="147">
        <f>$B$222*'Médias por UF'!CP11</f>
        <v>1602814.7514961029</v>
      </c>
      <c r="L13" s="147">
        <f>$B$222*'Médias por UF'!CQ11</f>
        <v>1640251.3267924308</v>
      </c>
      <c r="M13" s="147">
        <f>$B$222*'Médias por UF'!CR11</f>
        <v>1680646.4160000002</v>
      </c>
      <c r="N13" s="147">
        <f t="shared" si="0"/>
        <v>1680646.4160000002</v>
      </c>
      <c r="P13" s="213" t="s">
        <v>95</v>
      </c>
      <c r="Q13" s="147">
        <f>'Médias por UF'!CG11*'Evolução das Receitas'!$Q$222</f>
        <v>130403.55829819705</v>
      </c>
      <c r="R13" s="147">
        <f>'Médias por UF'!CH11*'Evolução das Receitas'!$Q$222</f>
        <v>333612.69110665133</v>
      </c>
      <c r="S13" s="147">
        <f>'Médias por UF'!CI11*'Evolução das Receitas'!$Q$222</f>
        <v>437049.22973540641</v>
      </c>
      <c r="T13" s="147">
        <f>'Médias por UF'!CJ11*'Evolução das Receitas'!$Q$222</f>
        <v>522218.28543570242</v>
      </c>
      <c r="U13" s="147">
        <f>'Médias por UF'!CK11*'Evolução das Receitas'!$Q$222</f>
        <v>631060.7993218964</v>
      </c>
      <c r="V13" s="147">
        <f>'Médias por UF'!CL11*'Evolução das Receitas'!$Q$222</f>
        <v>740393.75701459323</v>
      </c>
      <c r="W13" s="147">
        <f>'Médias por UF'!CM11*'Evolução das Receitas'!$Q$222</f>
        <v>770664.8910410282</v>
      </c>
      <c r="X13" s="147">
        <f>'Médias por UF'!CN11*'Evolução das Receitas'!$Q$222</f>
        <v>798402.21583815303</v>
      </c>
      <c r="Y13" s="147">
        <f>'Médias por UF'!CO11*'Evolução das Receitas'!$Q$222</f>
        <v>822245.17628185311</v>
      </c>
      <c r="Z13" s="147">
        <f>'Médias por UF'!CP11*'Evolução das Receitas'!$Q$222</f>
        <v>845991.4056248751</v>
      </c>
      <c r="AA13" s="147">
        <f>'Médias por UF'!CQ11*'Evolução das Receitas'!$Q$222</f>
        <v>865751.0321987879</v>
      </c>
      <c r="AB13" s="147">
        <f>'Médias por UF'!CR11*'Evolução das Receitas'!$Q$222</f>
        <v>887072.21</v>
      </c>
      <c r="AC13" s="147">
        <f t="shared" si="2"/>
        <v>887072.21</v>
      </c>
      <c r="AE13" s="213" t="s">
        <v>95</v>
      </c>
      <c r="AF13" s="147">
        <f>JAN!$AI$13</f>
        <v>163799.96799999999</v>
      </c>
      <c r="AG13" s="147">
        <f>FEV!$AI$13</f>
        <v>210842.74400000001</v>
      </c>
      <c r="AH13" s="147">
        <f>MAR!$AI13</f>
        <v>113464.82400000001</v>
      </c>
      <c r="AI13" s="147">
        <f>ABR!$AJ13</f>
        <v>52267.320000000007</v>
      </c>
      <c r="AJ13" s="147">
        <f>MAI!$T13</f>
        <v>45166.648000000001</v>
      </c>
      <c r="AK13" s="147">
        <f>JUN!$T13</f>
        <v>70346.64</v>
      </c>
      <c r="AL13" s="147">
        <f>JUL!$T13</f>
        <v>104491.17600000001</v>
      </c>
      <c r="AM13" s="147">
        <f>AGO!$T13</f>
        <v>125827.288</v>
      </c>
      <c r="AN13" s="147">
        <f>SET!$T13</f>
        <v>52867.983999999997</v>
      </c>
      <c r="AO13" s="147">
        <f>OUT!$T13</f>
        <v>19614.752</v>
      </c>
      <c r="AP13" s="147">
        <f>NOV!$T13</f>
        <v>33858.735999999997</v>
      </c>
      <c r="AQ13" s="147">
        <f>DEZ!$T13</f>
        <v>34910.064000000006</v>
      </c>
      <c r="AR13" s="177">
        <f t="shared" si="1"/>
        <v>1027458.144</v>
      </c>
    </row>
    <row r="14" spans="1:44">
      <c r="A14" s="212" t="s">
        <v>96</v>
      </c>
      <c r="B14" s="147">
        <f>$B$223*'Médias por UF'!CG12</f>
        <v>94950.673908376324</v>
      </c>
      <c r="C14" s="147">
        <f>$B$223*'Médias por UF'!CH12</f>
        <v>220449.99894692143</v>
      </c>
      <c r="D14" s="147">
        <f>$B$223*'Médias por UF'!CI12</f>
        <v>293011.32775904069</v>
      </c>
      <c r="E14" s="147">
        <f>$B$223*'Médias por UF'!CJ12</f>
        <v>354149.43118368258</v>
      </c>
      <c r="F14" s="147">
        <f>$B$223*'Médias por UF'!CK12</f>
        <v>424236.8082045053</v>
      </c>
      <c r="G14" s="147">
        <f>$B$223*'Médias por UF'!CL12</f>
        <v>486667.93612944166</v>
      </c>
      <c r="H14" s="147">
        <f>$B$223*'Médias por UF'!CM12</f>
        <v>514308.2455466924</v>
      </c>
      <c r="I14" s="147">
        <f>$B$223*'Médias por UF'!CN12</f>
        <v>541357.25231235358</v>
      </c>
      <c r="J14" s="147">
        <f>$B$223*'Médias por UF'!CO12</f>
        <v>563116.73170639388</v>
      </c>
      <c r="K14" s="147">
        <f>$B$223*'Médias por UF'!CP12</f>
        <v>583986.54414983117</v>
      </c>
      <c r="L14" s="147">
        <f>$B$223*'Médias por UF'!CQ12</f>
        <v>603925.86008345813</v>
      </c>
      <c r="M14" s="147">
        <f>$B$223*'Médias por UF'!CR12</f>
        <v>621395.30799999996</v>
      </c>
      <c r="N14" s="147">
        <f t="shared" si="0"/>
        <v>621395.30799999996</v>
      </c>
      <c r="P14" s="213" t="s">
        <v>96</v>
      </c>
      <c r="Q14" s="147">
        <f>'Médias por UF'!CG12*'Evolução das Receitas'!$Q$223</f>
        <v>56389.543749687895</v>
      </c>
      <c r="R14" s="147">
        <f>'Médias por UF'!CH12*'Evolução das Receitas'!$Q$223</f>
        <v>130921.39685318692</v>
      </c>
      <c r="S14" s="147">
        <f>'Médias por UF'!CI12*'Evolução das Receitas'!$Q$223</f>
        <v>174014.30032783543</v>
      </c>
      <c r="T14" s="147">
        <f>'Médias por UF'!CJ12*'Evolução das Receitas'!$Q$223</f>
        <v>210323.15013298308</v>
      </c>
      <c r="U14" s="147">
        <f>'Médias por UF'!CK12*'Evolução das Receitas'!$Q$223</f>
        <v>251946.81692896879</v>
      </c>
      <c r="V14" s="147">
        <f>'Médias por UF'!CL12*'Evolução das Receitas'!$Q$223</f>
        <v>289023.57135898649</v>
      </c>
      <c r="W14" s="147">
        <f>'Médias por UF'!CM12*'Evolução das Receitas'!$Q$223</f>
        <v>305438.66746081074</v>
      </c>
      <c r="X14" s="147">
        <f>'Médias por UF'!CN12*'Evolução das Receitas'!$Q$223</f>
        <v>321502.59926470387</v>
      </c>
      <c r="Y14" s="147">
        <f>'Médias por UF'!CO12*'Evolução das Receitas'!$Q$223</f>
        <v>334425.17332083621</v>
      </c>
      <c r="Z14" s="147">
        <f>'Médias por UF'!CP12*'Evolução das Receitas'!$Q$223</f>
        <v>346819.38974275021</v>
      </c>
      <c r="AA14" s="147">
        <f>'Médias por UF'!CQ12*'Evolução das Receitas'!$Q$223</f>
        <v>358661.00056968408</v>
      </c>
      <c r="AB14" s="147">
        <f>'Médias por UF'!CR12*'Evolução das Receitas'!$Q$223</f>
        <v>369035.8</v>
      </c>
      <c r="AC14" s="147">
        <f t="shared" si="2"/>
        <v>369035.8</v>
      </c>
      <c r="AE14" s="213" t="s">
        <v>96</v>
      </c>
      <c r="AF14" s="147">
        <f>JAN!$AI$14</f>
        <v>66259.423999999999</v>
      </c>
      <c r="AG14" s="147">
        <f>FEV!$AI$14</f>
        <v>57314.552000000003</v>
      </c>
      <c r="AH14" s="147">
        <f>MAR!$AI14</f>
        <v>36106</v>
      </c>
      <c r="AI14" s="147">
        <f>ABR!$AJ14</f>
        <v>16393.696</v>
      </c>
      <c r="AJ14" s="147">
        <f>MAI!$T14</f>
        <v>11440.864000000001</v>
      </c>
      <c r="AK14" s="147">
        <f>JUN!$T14</f>
        <v>23737.912000000004</v>
      </c>
      <c r="AL14" s="147">
        <f>JUL!$T14</f>
        <v>45941.408000000003</v>
      </c>
      <c r="AM14" s="147">
        <f>AGO!$T14</f>
        <v>39359.312000000005</v>
      </c>
      <c r="AN14" s="147">
        <f>SET!$T14</f>
        <v>20340.976000000002</v>
      </c>
      <c r="AO14" s="147">
        <f>OUT!$T14</f>
        <v>5853.2720000000008</v>
      </c>
      <c r="AP14" s="147">
        <f>NOV!$T14</f>
        <v>12190.168</v>
      </c>
      <c r="AQ14" s="147">
        <f>DEZ!$T14</f>
        <v>9415.7440000000006</v>
      </c>
      <c r="AR14" s="177">
        <f t="shared" si="1"/>
        <v>344353.32800000004</v>
      </c>
    </row>
    <row r="15" spans="1:44">
      <c r="A15" s="212" t="s">
        <v>97</v>
      </c>
      <c r="B15" s="147">
        <f>$B$224*'Médias por UF'!CG13</f>
        <v>161185.63571109567</v>
      </c>
      <c r="C15" s="147">
        <f>$B$224*'Médias por UF'!CH13</f>
        <v>388115.98899354634</v>
      </c>
      <c r="D15" s="147">
        <f>$B$224*'Médias por UF'!CI13</f>
        <v>526845.40567216952</v>
      </c>
      <c r="E15" s="147">
        <f>$B$224*'Médias por UF'!CJ13</f>
        <v>638421.87120085931</v>
      </c>
      <c r="F15" s="147">
        <f>$B$224*'Médias por UF'!CK13</f>
        <v>791592.0122749185</v>
      </c>
      <c r="G15" s="147">
        <f>$B$224*'Médias por UF'!CL13</f>
        <v>922231.91163026565</v>
      </c>
      <c r="H15" s="147">
        <f>$B$224*'Médias por UF'!CM13</f>
        <v>964636.26119277044</v>
      </c>
      <c r="I15" s="147">
        <f>$B$224*'Médias por UF'!CN13</f>
        <v>1002210.9288666354</v>
      </c>
      <c r="J15" s="147">
        <f>$B$224*'Médias por UF'!CO13</f>
        <v>1030854.5357921236</v>
      </c>
      <c r="K15" s="147">
        <f>$B$224*'Médias por UF'!CP13</f>
        <v>1065260.9381114114</v>
      </c>
      <c r="L15" s="147">
        <f>$B$224*'Médias por UF'!CQ13</f>
        <v>1101228.4203427809</v>
      </c>
      <c r="M15" s="147">
        <f>$B$224*'Médias por UF'!CR13</f>
        <v>1128321.9240000001</v>
      </c>
      <c r="N15" s="147">
        <f t="shared" si="0"/>
        <v>1128321.9240000001</v>
      </c>
      <c r="P15" s="213" t="s">
        <v>97</v>
      </c>
      <c r="Q15" s="147">
        <f>'Médias por UF'!CG13*'Evolução das Receitas'!$Q$224</f>
        <v>107963.93666416683</v>
      </c>
      <c r="R15" s="147">
        <f>'Médias por UF'!CH13*'Evolução das Receitas'!$Q$224</f>
        <v>259964.41847432702</v>
      </c>
      <c r="S15" s="147">
        <f>'Médias por UF'!CI13*'Evolução das Receitas'!$Q$224</f>
        <v>352886.92915383569</v>
      </c>
      <c r="T15" s="147">
        <f>'Médias por UF'!CJ13*'Evolução das Receitas'!$Q$224</f>
        <v>427622.09028905234</v>
      </c>
      <c r="U15" s="147">
        <f>'Médias por UF'!CK13*'Evolução das Receitas'!$Q$224</f>
        <v>530217.15924049029</v>
      </c>
      <c r="V15" s="147">
        <f>'Médias por UF'!CL13*'Evolução das Receitas'!$Q$224</f>
        <v>617721.22098637768</v>
      </c>
      <c r="W15" s="147">
        <f>'Médias por UF'!CM13*'Evolução das Receitas'!$Q$224</f>
        <v>646124.1273015358</v>
      </c>
      <c r="X15" s="147">
        <f>'Médias por UF'!CN13*'Evolução das Receitas'!$Q$224</f>
        <v>671292.05881740234</v>
      </c>
      <c r="Y15" s="147">
        <f>'Médias por UF'!CO13*'Evolução das Receitas'!$Q$224</f>
        <v>690477.86622693832</v>
      </c>
      <c r="Z15" s="147">
        <f>'Médias por UF'!CP13*'Evolução das Receitas'!$Q$224</f>
        <v>713523.65826947149</v>
      </c>
      <c r="AA15" s="147">
        <f>'Médias por UF'!CQ13*'Evolução das Receitas'!$Q$224</f>
        <v>737615.07904940518</v>
      </c>
      <c r="AB15" s="147">
        <f>'Médias por UF'!CR13*'Evolução das Receitas'!$Q$224</f>
        <v>755762.61</v>
      </c>
      <c r="AC15" s="147">
        <f t="shared" si="2"/>
        <v>755762.61</v>
      </c>
      <c r="AE15" s="213" t="s">
        <v>97</v>
      </c>
      <c r="AF15" s="147">
        <f>JAN!$AI$15</f>
        <v>112503.58400000002</v>
      </c>
      <c r="AG15" s="147">
        <f>FEV!$AI$15</f>
        <v>159482.152</v>
      </c>
      <c r="AH15" s="147">
        <f>MAR!$AI15</f>
        <v>96224.847999999998</v>
      </c>
      <c r="AI15" s="147">
        <f>ABR!$AJ15</f>
        <v>48535.088000000003</v>
      </c>
      <c r="AJ15" s="147">
        <f>MAI!$T15</f>
        <v>35019.336000000003</v>
      </c>
      <c r="AK15" s="147">
        <f>JUN!$T15</f>
        <v>59305.888000000006</v>
      </c>
      <c r="AL15" s="147">
        <f>JUL!$T15</f>
        <v>75994.296000000002</v>
      </c>
      <c r="AM15" s="147">
        <f>AGO!$T15</f>
        <v>122473.848</v>
      </c>
      <c r="AN15" s="147">
        <f>SET!$T15</f>
        <v>32784.384000000005</v>
      </c>
      <c r="AO15" s="147">
        <f>OUT!$T15</f>
        <v>13640.351999999999</v>
      </c>
      <c r="AP15" s="147">
        <f>NOV!$T15</f>
        <v>24398.687999999998</v>
      </c>
      <c r="AQ15" s="147">
        <f>DEZ!$T15</f>
        <v>22283.448000000004</v>
      </c>
      <c r="AR15" s="177">
        <f t="shared" si="1"/>
        <v>802645.91199999989</v>
      </c>
    </row>
    <row r="16" spans="1:44">
      <c r="A16" s="212" t="s">
        <v>98</v>
      </c>
      <c r="B16" s="147">
        <f>$B$225*'Médias por UF'!CG14</f>
        <v>260286.29745819821</v>
      </c>
      <c r="C16" s="147">
        <f>$B$225*'Médias por UF'!CH14</f>
        <v>515614.90966783086</v>
      </c>
      <c r="D16" s="147">
        <f>$B$225*'Médias por UF'!CI14</f>
        <v>634596.65578688984</v>
      </c>
      <c r="E16" s="147">
        <f>$B$225*'Médias por UF'!CJ14</f>
        <v>744183.93352205982</v>
      </c>
      <c r="F16" s="147">
        <f>$B$225*'Médias por UF'!CK14</f>
        <v>890074.5628573756</v>
      </c>
      <c r="G16" s="147">
        <f>$B$225*'Médias por UF'!CL14</f>
        <v>1009306.2456295564</v>
      </c>
      <c r="H16" s="147">
        <f>$B$225*'Médias por UF'!CM14</f>
        <v>1052593.5111873662</v>
      </c>
      <c r="I16" s="147">
        <f>$B$225*'Médias por UF'!CN14</f>
        <v>1092873.2534415075</v>
      </c>
      <c r="J16" s="147">
        <f>$B$225*'Médias por UF'!CO14</f>
        <v>1125185.0492107503</v>
      </c>
      <c r="K16" s="147">
        <f>$B$225*'Médias por UF'!CP14</f>
        <v>1160223.3465958531</v>
      </c>
      <c r="L16" s="147">
        <f>$B$225*'Médias por UF'!CQ14</f>
        <v>1186858.1468379574</v>
      </c>
      <c r="M16" s="147">
        <f>$B$225*'Médias por UF'!CR14</f>
        <v>1217730.1840000001</v>
      </c>
      <c r="N16" s="147">
        <f t="shared" si="0"/>
        <v>1217730.1840000001</v>
      </c>
      <c r="P16" s="213" t="s">
        <v>98</v>
      </c>
      <c r="Q16" s="147">
        <f>'Médias por UF'!CG14*'Evolução das Receitas'!$Q$225</f>
        <v>120463.59370226</v>
      </c>
      <c r="R16" s="147">
        <f>'Médias por UF'!CH14*'Evolução das Receitas'!$Q$225</f>
        <v>238632.71171632977</v>
      </c>
      <c r="S16" s="147">
        <f>'Médias por UF'!CI14*'Evolução das Receitas'!$Q$225</f>
        <v>293698.87871182297</v>
      </c>
      <c r="T16" s="147">
        <f>'Médias por UF'!CJ14*'Evolução das Receitas'!$Q$225</f>
        <v>344417.17402333993</v>
      </c>
      <c r="U16" s="147">
        <f>'Médias por UF'!CK14*'Evolução das Receitas'!$Q$225</f>
        <v>411937.09216286073</v>
      </c>
      <c r="V16" s="147">
        <f>'Médias por UF'!CL14*'Evolução das Receitas'!$Q$225</f>
        <v>467118.93281358277</v>
      </c>
      <c r="W16" s="147">
        <f>'Médias por UF'!CM14*'Evolução das Receitas'!$Q$225</f>
        <v>487152.79407158965</v>
      </c>
      <c r="X16" s="147">
        <f>'Médias por UF'!CN14*'Evolução das Receitas'!$Q$225</f>
        <v>505794.73778018571</v>
      </c>
      <c r="Y16" s="147">
        <f>'Médias por UF'!CO14*'Evolução das Receitas'!$Q$225</f>
        <v>520749.02110338514</v>
      </c>
      <c r="Z16" s="147">
        <f>'Médias por UF'!CP14*'Evolução das Receitas'!$Q$225</f>
        <v>536965.16179706051</v>
      </c>
      <c r="AA16" s="147">
        <f>'Médias por UF'!CQ14*'Evolução das Receitas'!$Q$225</f>
        <v>549292.06408134615</v>
      </c>
      <c r="AB16" s="147">
        <f>'Médias por UF'!CR14*'Evolução das Receitas'!$Q$225</f>
        <v>563580.01</v>
      </c>
      <c r="AC16" s="147">
        <f t="shared" si="2"/>
        <v>563580.01</v>
      </c>
      <c r="AE16" s="213" t="s">
        <v>98</v>
      </c>
      <c r="AF16" s="147">
        <f>JAN!$AI$16</f>
        <v>141702.24</v>
      </c>
      <c r="AG16" s="147">
        <f>FEV!$AI$16</f>
        <v>112600.264</v>
      </c>
      <c r="AH16" s="147">
        <f>MAR!$AI16</f>
        <v>71643.19200000001</v>
      </c>
      <c r="AI16" s="147">
        <f>ABR!$AJ16</f>
        <v>35176.056000000004</v>
      </c>
      <c r="AJ16" s="147">
        <f>MAI!$T16</f>
        <v>30022.096000000005</v>
      </c>
      <c r="AK16" s="147">
        <f>JUN!$T16</f>
        <v>42391.167999999998</v>
      </c>
      <c r="AL16" s="147">
        <f>JUL!$T16</f>
        <v>70911.368000000002</v>
      </c>
      <c r="AM16" s="147">
        <f>AGO!$T16</f>
        <v>62978.559999999998</v>
      </c>
      <c r="AN16" s="147">
        <f>SET!$T16</f>
        <v>36028.488000000005</v>
      </c>
      <c r="AO16" s="147">
        <f>OUT!$T16</f>
        <v>12267.744000000001</v>
      </c>
      <c r="AP16" s="147">
        <f>NOV!$T16</f>
        <v>21576.736000000001</v>
      </c>
      <c r="AQ16" s="147">
        <f>DEZ!$T16</f>
        <v>20971.504000000001</v>
      </c>
      <c r="AR16" s="177">
        <f t="shared" si="1"/>
        <v>658269.41599999997</v>
      </c>
    </row>
    <row r="17" spans="1:45">
      <c r="A17" s="212" t="s">
        <v>99</v>
      </c>
      <c r="B17" s="147">
        <f>$B$226*'Médias por UF'!CG15</f>
        <v>1665747.2288378782</v>
      </c>
      <c r="C17" s="147">
        <f>$B$226*'Médias por UF'!CH15</f>
        <v>2607523.8126133042</v>
      </c>
      <c r="D17" s="147">
        <f>$B$226*'Médias por UF'!CI15</f>
        <v>3226351.7401284208</v>
      </c>
      <c r="E17" s="147">
        <f>$B$226*'Médias por UF'!CJ15</f>
        <v>3625511.8754010135</v>
      </c>
      <c r="F17" s="147">
        <f>$B$226*'Médias por UF'!CK15</f>
        <v>4327084.6941019287</v>
      </c>
      <c r="G17" s="147">
        <f>$B$226*'Médias por UF'!CL15</f>
        <v>4774663.0942604113</v>
      </c>
      <c r="H17" s="147">
        <f>$B$226*'Médias por UF'!CM15</f>
        <v>4938524.2433835976</v>
      </c>
      <c r="I17" s="147">
        <f>$B$226*'Médias por UF'!CN15</f>
        <v>5090748.8211816028</v>
      </c>
      <c r="J17" s="147">
        <f>$B$226*'Médias por UF'!CO15</f>
        <v>5224032.295730032</v>
      </c>
      <c r="K17" s="147">
        <f>$B$226*'Médias por UF'!CP15</f>
        <v>5364400.4859337835</v>
      </c>
      <c r="L17" s="147">
        <f>$B$226*'Médias por UF'!CQ15</f>
        <v>5498531.1578446152</v>
      </c>
      <c r="M17" s="147">
        <f>$B$226*'Médias por UF'!CR15</f>
        <v>5627375.1559999995</v>
      </c>
      <c r="N17" s="147">
        <f t="shared" si="0"/>
        <v>5627375.1559999995</v>
      </c>
      <c r="P17" s="213" t="s">
        <v>99</v>
      </c>
      <c r="Q17" s="147">
        <f>'Médias por UF'!CG15*'Evolução das Receitas'!$Q$226</f>
        <v>916110.56696697592</v>
      </c>
      <c r="R17" s="147">
        <f>'Médias por UF'!CH15*'Evolução das Receitas'!$Q$226</f>
        <v>1434059.1879715247</v>
      </c>
      <c r="S17" s="147">
        <f>'Médias por UF'!CI15*'Evolução das Receitas'!$Q$226</f>
        <v>1774395.8211150686</v>
      </c>
      <c r="T17" s="147">
        <f>'Médias por UF'!CJ15*'Evolução das Receitas'!$Q$226</f>
        <v>1993921.8161187079</v>
      </c>
      <c r="U17" s="147">
        <f>'Médias por UF'!CK15*'Evolução das Receitas'!$Q$226</f>
        <v>2379765.6353860004</v>
      </c>
      <c r="V17" s="147">
        <f>'Médias por UF'!CL15*'Evolução das Receitas'!$Q$226</f>
        <v>2625920.2108418578</v>
      </c>
      <c r="W17" s="147">
        <f>'Médias por UF'!CM15*'Evolução das Receitas'!$Q$226</f>
        <v>2716038.8840884771</v>
      </c>
      <c r="X17" s="147">
        <f>'Médias por UF'!CN15*'Evolução das Receitas'!$Q$226</f>
        <v>2799757.7952525262</v>
      </c>
      <c r="Y17" s="147">
        <f>'Médias por UF'!CO15*'Evolução das Receitas'!$Q$226</f>
        <v>2873059.6728255572</v>
      </c>
      <c r="Z17" s="147">
        <f>'Médias por UF'!CP15*'Evolução das Receitas'!$Q$226</f>
        <v>2950257.9296111329</v>
      </c>
      <c r="AA17" s="147">
        <f>'Médias por UF'!CQ15*'Evolução das Receitas'!$Q$226</f>
        <v>3024025.7400955725</v>
      </c>
      <c r="AB17" s="147">
        <f>'Médias por UF'!CR15*'Evolução das Receitas'!$Q$226</f>
        <v>3094886.04</v>
      </c>
      <c r="AC17" s="147">
        <f t="shared" si="2"/>
        <v>3094886.04</v>
      </c>
      <c r="AE17" s="213" t="s">
        <v>99</v>
      </c>
      <c r="AF17" s="147">
        <f>JAN!$AI$17</f>
        <v>829661.576</v>
      </c>
      <c r="AG17" s="147">
        <f>FEV!$AI$17</f>
        <v>654690.59200000006</v>
      </c>
      <c r="AH17" s="147">
        <f>MAR!$AI17</f>
        <v>362506.23200000002</v>
      </c>
      <c r="AI17" s="147">
        <f>ABR!$AJ17</f>
        <v>160160.76800000001</v>
      </c>
      <c r="AJ17" s="147">
        <f>MAI!$T17</f>
        <v>150660.78400000001</v>
      </c>
      <c r="AK17" s="147">
        <f>JUN!$T17</f>
        <v>234616.93599999999</v>
      </c>
      <c r="AL17" s="147">
        <f>JUL!$T17</f>
        <v>399205.88800000004</v>
      </c>
      <c r="AM17" s="147">
        <f>AGO!$T17</f>
        <v>403442.89600000001</v>
      </c>
      <c r="AN17" s="147">
        <f>SET!$T17</f>
        <v>163912.32000000001</v>
      </c>
      <c r="AO17" s="147">
        <f>OUT!$T17</f>
        <v>72964.688000000009</v>
      </c>
      <c r="AP17" s="147">
        <f>NOV!$T17</f>
        <v>119049.76000000001</v>
      </c>
      <c r="AQ17" s="147">
        <f>DEZ!$T17</f>
        <v>113260.73600000002</v>
      </c>
      <c r="AR17" s="177">
        <f t="shared" si="1"/>
        <v>3664133.1760000004</v>
      </c>
    </row>
    <row r="18" spans="1:45">
      <c r="A18" s="212" t="s">
        <v>100</v>
      </c>
      <c r="B18" s="147">
        <f>$B$227*'Médias por UF'!CG16</f>
        <v>179762.62070669225</v>
      </c>
      <c r="C18" s="147">
        <f>$B$227*'Médias por UF'!CH16</f>
        <v>403000.69044543535</v>
      </c>
      <c r="D18" s="147">
        <f>$B$227*'Médias por UF'!CI16</f>
        <v>533516.74520182074</v>
      </c>
      <c r="E18" s="147">
        <f>$B$227*'Médias por UF'!CJ16</f>
        <v>631683.68296662997</v>
      </c>
      <c r="F18" s="147">
        <f>$B$227*'Médias por UF'!CK16</f>
        <v>776113.16848226299</v>
      </c>
      <c r="G18" s="147">
        <f>$B$227*'Médias por UF'!CL16</f>
        <v>872447.17463499273</v>
      </c>
      <c r="H18" s="147">
        <f>$B$227*'Médias por UF'!CM16</f>
        <v>908541.89178846008</v>
      </c>
      <c r="I18" s="147">
        <f>$B$227*'Médias por UF'!CN16</f>
        <v>941014.6744347444</v>
      </c>
      <c r="J18" s="147">
        <f>$B$227*'Médias por UF'!CO16</f>
        <v>972085.8204864572</v>
      </c>
      <c r="K18" s="147">
        <f>$B$227*'Médias por UF'!CP16</f>
        <v>1003080.8118588836</v>
      </c>
      <c r="L18" s="147">
        <f>$B$227*'Médias por UF'!CQ16</f>
        <v>1032929.2865757011</v>
      </c>
      <c r="M18" s="147">
        <f>$B$227*'Médias por UF'!CR16</f>
        <v>1060774.9240000001</v>
      </c>
      <c r="N18" s="147">
        <f t="shared" si="0"/>
        <v>1060774.9240000001</v>
      </c>
      <c r="P18" s="213" t="s">
        <v>100</v>
      </c>
      <c r="Q18" s="147">
        <f>'Médias por UF'!CG16*'Evolução das Receitas'!$Q$227</f>
        <v>65508.781102604582</v>
      </c>
      <c r="R18" s="147">
        <f>'Médias por UF'!CH16*'Evolução das Receitas'!$Q$227</f>
        <v>146860.80960993524</v>
      </c>
      <c r="S18" s="147">
        <f>'Médias por UF'!CI16*'Evolução das Receitas'!$Q$227</f>
        <v>194423.24293339037</v>
      </c>
      <c r="T18" s="147">
        <f>'Médias por UF'!CJ16*'Evolução das Receitas'!$Q$227</f>
        <v>230197.06739292937</v>
      </c>
      <c r="U18" s="147">
        <f>'Médias por UF'!CK16*'Evolução das Receitas'!$Q$227</f>
        <v>282829.80891733669</v>
      </c>
      <c r="V18" s="147">
        <f>'Médias por UF'!CL16*'Evolução das Receitas'!$Q$227</f>
        <v>317935.67963165476</v>
      </c>
      <c r="W18" s="147">
        <f>'Médias por UF'!CM16*'Evolução das Receitas'!$Q$227</f>
        <v>331089.25358196424</v>
      </c>
      <c r="X18" s="147">
        <f>'Médias por UF'!CN16*'Evolução das Receitas'!$Q$227</f>
        <v>342922.92846835125</v>
      </c>
      <c r="Y18" s="147">
        <f>'Médias por UF'!CO16*'Evolução das Receitas'!$Q$227</f>
        <v>354245.82138850848</v>
      </c>
      <c r="Z18" s="147">
        <f>'Médias por UF'!CP16*'Evolução das Receitas'!$Q$227</f>
        <v>365540.96215309686</v>
      </c>
      <c r="AA18" s="147">
        <f>'Médias por UF'!CQ16*'Evolução das Receitas'!$Q$227</f>
        <v>376418.29131520906</v>
      </c>
      <c r="AB18" s="147">
        <f>'Médias por UF'!CR16*'Evolução das Receitas'!$Q$227</f>
        <v>386565.75</v>
      </c>
      <c r="AC18" s="147">
        <f t="shared" si="2"/>
        <v>386565.75</v>
      </c>
      <c r="AE18" s="213" t="s">
        <v>100</v>
      </c>
      <c r="AF18" s="147">
        <f>JAN!$AI$18</f>
        <v>84695.631999999998</v>
      </c>
      <c r="AG18" s="147">
        <f>FEV!$AI$18</f>
        <v>90843.080000000016</v>
      </c>
      <c r="AH18" s="147">
        <f>MAR!$AI18</f>
        <v>61631.352000000006</v>
      </c>
      <c r="AI18" s="147">
        <f>ABR!$AJ18</f>
        <v>25953.616000000002</v>
      </c>
      <c r="AJ18" s="147">
        <f>MAI!$T18</f>
        <v>21439.800000000003</v>
      </c>
      <c r="AK18" s="147">
        <f>JUN!$T18</f>
        <v>41889.936000000002</v>
      </c>
      <c r="AL18" s="147">
        <f>JUL!$T18</f>
        <v>63045.144</v>
      </c>
      <c r="AM18" s="147">
        <f>AGO!$T18</f>
        <v>62900.824000000001</v>
      </c>
      <c r="AN18" s="147">
        <f>SET!$T18</f>
        <v>27420.064000000002</v>
      </c>
      <c r="AO18" s="147">
        <f>OUT!$T18</f>
        <v>13065.072</v>
      </c>
      <c r="AP18" s="147">
        <f>NOV!$T18</f>
        <v>22207.592000000004</v>
      </c>
      <c r="AQ18" s="147">
        <f>DEZ!$T18</f>
        <v>17888.232</v>
      </c>
      <c r="AR18" s="177">
        <f t="shared" si="1"/>
        <v>532980.34399999992</v>
      </c>
    </row>
    <row r="19" spans="1:45">
      <c r="A19" s="212" t="s">
        <v>101</v>
      </c>
      <c r="B19" s="147">
        <f>$B$228*'Médias por UF'!CG17</f>
        <v>172604.30669097407</v>
      </c>
      <c r="C19" s="147">
        <f>$B$228*'Médias por UF'!CH17</f>
        <v>388345.83881890861</v>
      </c>
      <c r="D19" s="147">
        <f>$B$228*'Médias por UF'!CI17</f>
        <v>492516.53675939178</v>
      </c>
      <c r="E19" s="147">
        <f>$B$228*'Médias por UF'!CJ17</f>
        <v>576530.63185486582</v>
      </c>
      <c r="F19" s="147">
        <f>$B$228*'Médias por UF'!CK17</f>
        <v>675502.6723456555</v>
      </c>
      <c r="G19" s="147">
        <f>$B$228*'Médias por UF'!CL17</f>
        <v>779679.3844574861</v>
      </c>
      <c r="H19" s="147">
        <f>$B$228*'Médias por UF'!CM17</f>
        <v>808354.21180103929</v>
      </c>
      <c r="I19" s="147">
        <f>$B$228*'Médias por UF'!CN17</f>
        <v>836771.50206956593</v>
      </c>
      <c r="J19" s="147">
        <f>$B$228*'Médias por UF'!CO17</f>
        <v>865096.60997387988</v>
      </c>
      <c r="K19" s="147">
        <f>$B$228*'Médias por UF'!CP17</f>
        <v>892061.81372518279</v>
      </c>
      <c r="L19" s="147">
        <f>$B$228*'Médias por UF'!CQ17</f>
        <v>916068.5682427045</v>
      </c>
      <c r="M19" s="147">
        <f>$B$228*'Médias por UF'!CR17</f>
        <v>939014.81600000011</v>
      </c>
      <c r="N19" s="147">
        <f t="shared" si="0"/>
        <v>939014.81600000011</v>
      </c>
      <c r="P19" s="213" t="s">
        <v>101</v>
      </c>
      <c r="Q19" s="147">
        <f>'Médias por UF'!CG17*'Evolução das Receitas'!$Q$228</f>
        <v>76638.838458002268</v>
      </c>
      <c r="R19" s="147">
        <f>'Médias por UF'!CH17*'Evolução das Receitas'!$Q$228</f>
        <v>172431.23637908668</v>
      </c>
      <c r="S19" s="147">
        <f>'Médias por UF'!CI17*'Evolução das Receitas'!$Q$228</f>
        <v>218684.55093752069</v>
      </c>
      <c r="T19" s="147">
        <f>'Médias por UF'!CJ17*'Evolução das Receitas'!$Q$228</f>
        <v>255988.03881482501</v>
      </c>
      <c r="U19" s="147">
        <f>'Médias por UF'!CK17*'Evolução das Receitas'!$Q$228</f>
        <v>299933.07337652135</v>
      </c>
      <c r="V19" s="147">
        <f>'Médias por UF'!CL17*'Evolução das Receitas'!$Q$228</f>
        <v>346189.05831505882</v>
      </c>
      <c r="W19" s="147">
        <f>'Médias por UF'!CM17*'Evolução das Receitas'!$Q$228</f>
        <v>358921.10134877177</v>
      </c>
      <c r="X19" s="147">
        <f>'Médias por UF'!CN17*'Evolução das Receitas'!$Q$228</f>
        <v>371538.79415178497</v>
      </c>
      <c r="Y19" s="147">
        <f>'Médias por UF'!CO17*'Evolução das Receitas'!$Q$228</f>
        <v>384115.5566358795</v>
      </c>
      <c r="Z19" s="147">
        <f>'Médias por UF'!CP17*'Evolução das Receitas'!$Q$228</f>
        <v>396088.50177208154</v>
      </c>
      <c r="AA19" s="147">
        <f>'Médias por UF'!CQ17*'Evolução das Receitas'!$Q$228</f>
        <v>406747.85214775486</v>
      </c>
      <c r="AB19" s="147">
        <f>'Médias por UF'!CR17*'Evolução das Receitas'!$Q$228</f>
        <v>416936.32200000004</v>
      </c>
      <c r="AC19" s="147">
        <f t="shared" si="2"/>
        <v>416936.32200000004</v>
      </c>
      <c r="AE19" s="213" t="s">
        <v>101</v>
      </c>
      <c r="AF19" s="147">
        <f>JAN!$AI$19</f>
        <v>93676.256000000008</v>
      </c>
      <c r="AG19" s="147">
        <f>FEV!$AI$19</f>
        <v>100608.296</v>
      </c>
      <c r="AH19" s="147">
        <f>MAR!$AI19</f>
        <v>57602.336000000003</v>
      </c>
      <c r="AI19" s="147">
        <f>ABR!$AJ19</f>
        <v>26024.184000000001</v>
      </c>
      <c r="AJ19" s="147">
        <f>MAI!$T19</f>
        <v>18356.448</v>
      </c>
      <c r="AK19" s="147">
        <f>JUN!$T19</f>
        <v>34712.400000000001</v>
      </c>
      <c r="AL19" s="147">
        <f>JUL!$T19</f>
        <v>64099.216000000008</v>
      </c>
      <c r="AM19" s="147">
        <f>AGO!$T19</f>
        <v>82877.056000000011</v>
      </c>
      <c r="AN19" s="147">
        <f>SET!$T19</f>
        <v>31390.384000000005</v>
      </c>
      <c r="AO19" s="147">
        <f>OUT!$T19</f>
        <v>9966.264000000001</v>
      </c>
      <c r="AP19" s="147">
        <f>NOV!$T19</f>
        <v>17378.136000000002</v>
      </c>
      <c r="AQ19" s="147">
        <f>DEZ!$T19</f>
        <v>21644.792000000001</v>
      </c>
      <c r="AR19" s="177">
        <f t="shared" si="1"/>
        <v>558335.76800000016</v>
      </c>
    </row>
    <row r="20" spans="1:45">
      <c r="A20" s="212" t="s">
        <v>102</v>
      </c>
      <c r="B20" s="147">
        <f>$B$229*'Médias por UF'!CG18</f>
        <v>1015703.1043253979</v>
      </c>
      <c r="C20" s="147">
        <f>$B$229*'Médias por UF'!CH18</f>
        <v>2027916.8227237987</v>
      </c>
      <c r="D20" s="147">
        <f>$B$229*'Médias por UF'!CI18</f>
        <v>2523287.7990045506</v>
      </c>
      <c r="E20" s="147">
        <f>$B$229*'Médias por UF'!CJ18</f>
        <v>2930920.1097060209</v>
      </c>
      <c r="F20" s="147">
        <f>$B$229*'Médias por UF'!CK18</f>
        <v>3482154.6373070497</v>
      </c>
      <c r="G20" s="147">
        <f>$B$229*'Médias por UF'!CL18</f>
        <v>3948906.1770015745</v>
      </c>
      <c r="H20" s="147">
        <f>$B$229*'Médias por UF'!CM18</f>
        <v>4092430.1757472204</v>
      </c>
      <c r="I20" s="147">
        <f>$B$229*'Médias por UF'!CN18</f>
        <v>4215288.0522846254</v>
      </c>
      <c r="J20" s="147">
        <f>$B$229*'Médias por UF'!CO18</f>
        <v>4305955.4178997315</v>
      </c>
      <c r="K20" s="147">
        <f>$B$229*'Médias por UF'!CP18</f>
        <v>4413415.0476324577</v>
      </c>
      <c r="L20" s="147">
        <f>$B$229*'Médias por UF'!CQ18</f>
        <v>4514557.3170304773</v>
      </c>
      <c r="M20" s="147">
        <f>$B$229*'Médias por UF'!CR18</f>
        <v>4626182.8199999994</v>
      </c>
      <c r="N20" s="147">
        <f t="shared" si="0"/>
        <v>4626182.8199999994</v>
      </c>
      <c r="P20" s="213" t="s">
        <v>102</v>
      </c>
      <c r="Q20" s="147">
        <f>'Médias por UF'!CG18*'Evolução das Receitas'!$Q$229</f>
        <v>593367.64915252314</v>
      </c>
      <c r="R20" s="147">
        <f>'Médias por UF'!CH18*'Evolução das Receitas'!$Q$229</f>
        <v>1184696.8200177683</v>
      </c>
      <c r="S20" s="147">
        <f>'Médias por UF'!CI18*'Evolução das Receitas'!$Q$229</f>
        <v>1474089.5671722873</v>
      </c>
      <c r="T20" s="147">
        <f>'Médias por UF'!CJ18*'Evolução das Receitas'!$Q$229</f>
        <v>1712225.9132063871</v>
      </c>
      <c r="U20" s="147">
        <f>'Médias por UF'!CK18*'Evolução das Receitas'!$Q$229</f>
        <v>2034253.8113012391</v>
      </c>
      <c r="V20" s="147">
        <f>'Médias por UF'!CL18*'Evolução das Receitas'!$Q$229</f>
        <v>2306927.2556054257</v>
      </c>
      <c r="W20" s="147">
        <f>'Médias por UF'!CM18*'Evolução das Receitas'!$Q$229</f>
        <v>2390773.1130907545</v>
      </c>
      <c r="X20" s="147">
        <f>'Médias por UF'!CN18*'Evolução das Receitas'!$Q$229</f>
        <v>2462545.9461858049</v>
      </c>
      <c r="Y20" s="147">
        <f>'Médias por UF'!CO18*'Evolução das Receitas'!$Q$229</f>
        <v>2515513.2762656114</v>
      </c>
      <c r="Z20" s="147">
        <f>'Médias por UF'!CP18*'Evolução das Receitas'!$Q$229</f>
        <v>2578290.5461211153</v>
      </c>
      <c r="AA20" s="147">
        <f>'Médias por UF'!CQ18*'Evolução das Receitas'!$Q$229</f>
        <v>2637377.2520365352</v>
      </c>
      <c r="AB20" s="147">
        <f>'Médias por UF'!CR18*'Evolução das Receitas'!$Q$229</f>
        <v>2702588.2</v>
      </c>
      <c r="AC20" s="147">
        <f t="shared" si="2"/>
        <v>2702588.2</v>
      </c>
      <c r="AE20" s="213" t="s">
        <v>102</v>
      </c>
      <c r="AF20" s="147">
        <f>JAN!$AI$20</f>
        <v>662450.64000000013</v>
      </c>
      <c r="AG20" s="147">
        <f>FEV!$AI$20</f>
        <v>563936.01600000006</v>
      </c>
      <c r="AH20" s="147">
        <f>MAR!$AI20</f>
        <v>344323.32000000007</v>
      </c>
      <c r="AI20" s="147">
        <f>ABR!$AJ20</f>
        <v>149972.90400000001</v>
      </c>
      <c r="AJ20" s="147">
        <f>MAI!$T20</f>
        <v>155391.22400000002</v>
      </c>
      <c r="AK20" s="147">
        <f>JUN!$T20</f>
        <v>214869.16000000003</v>
      </c>
      <c r="AL20" s="147">
        <f>JUL!$T20</f>
        <v>333465.31200000003</v>
      </c>
      <c r="AM20" s="147">
        <f>AGO!$T20</f>
        <v>320284.08</v>
      </c>
      <c r="AN20" s="147">
        <f>SET!$T20</f>
        <v>116131.152</v>
      </c>
      <c r="AO20" s="147">
        <f>OUT!$T20</f>
        <v>52082.144</v>
      </c>
      <c r="AP20" s="147">
        <f>NOV!$T20</f>
        <v>87188.944000000018</v>
      </c>
      <c r="AQ20" s="147">
        <f>DEZ!$T20</f>
        <v>94481.104000000007</v>
      </c>
      <c r="AR20" s="177">
        <f t="shared" si="1"/>
        <v>3094576</v>
      </c>
    </row>
    <row r="21" spans="1:45">
      <c r="A21" s="212" t="s">
        <v>103</v>
      </c>
      <c r="B21" s="147">
        <f>$B$230*'Médias por UF'!CG19</f>
        <v>279747.12251533242</v>
      </c>
      <c r="C21" s="147">
        <f>$B$230*'Médias por UF'!CH19</f>
        <v>669580.7536742026</v>
      </c>
      <c r="D21" s="147">
        <f>$B$230*'Médias por UF'!CI19</f>
        <v>857906.46622991946</v>
      </c>
      <c r="E21" s="147">
        <f>$B$230*'Médias por UF'!CJ19</f>
        <v>1007587.4510238095</v>
      </c>
      <c r="F21" s="147">
        <f>$B$230*'Médias por UF'!CK19</f>
        <v>1180544.2146159681</v>
      </c>
      <c r="G21" s="147">
        <f>$B$230*'Médias por UF'!CL19</f>
        <v>1349381.5368685578</v>
      </c>
      <c r="H21" s="147">
        <f>$B$230*'Médias por UF'!CM19</f>
        <v>1404713.8070090234</v>
      </c>
      <c r="I21" s="147">
        <f>$B$230*'Médias por UF'!CN19</f>
        <v>1457324.9293710946</v>
      </c>
      <c r="J21" s="147">
        <f>$B$230*'Médias por UF'!CO19</f>
        <v>1498314.4695017992</v>
      </c>
      <c r="K21" s="147">
        <f>$B$230*'Médias por UF'!CP19</f>
        <v>1541239.8586490543</v>
      </c>
      <c r="L21" s="147">
        <f>$B$230*'Médias por UF'!CQ19</f>
        <v>1581072.3573687852</v>
      </c>
      <c r="M21" s="147">
        <f>$B$230*'Médias por UF'!CR19</f>
        <v>1613916.3479999998</v>
      </c>
      <c r="N21" s="147">
        <f t="shared" si="0"/>
        <v>1613916.3479999998</v>
      </c>
      <c r="P21" s="213" t="s">
        <v>103</v>
      </c>
      <c r="Q21" s="147">
        <f>'Médias por UF'!CG19*'Evolução das Receitas'!$Q$230</f>
        <v>179809.0641420013</v>
      </c>
      <c r="R21" s="147">
        <f>'Médias por UF'!CH19*'Evolução das Receitas'!$Q$230</f>
        <v>430376.86179973331</v>
      </c>
      <c r="S21" s="147">
        <f>'Médias por UF'!CI19*'Evolução das Receitas'!$Q$230</f>
        <v>551424.29143562901</v>
      </c>
      <c r="T21" s="147">
        <f>'Médias por UF'!CJ19*'Evolução das Receitas'!$Q$230</f>
        <v>647632.60111776844</v>
      </c>
      <c r="U21" s="147">
        <f>'Médias por UF'!CK19*'Evolução das Receitas'!$Q$230</f>
        <v>758801.55084246455</v>
      </c>
      <c r="V21" s="147">
        <f>'Médias por UF'!CL19*'Evolução das Receitas'!$Q$230</f>
        <v>867322.70606834453</v>
      </c>
      <c r="W21" s="147">
        <f>'Médias por UF'!CM19*'Evolução das Receitas'!$Q$230</f>
        <v>902887.8393978721</v>
      </c>
      <c r="X21" s="147">
        <f>'Médias por UF'!CN19*'Evolução das Receitas'!$Q$230</f>
        <v>936703.93941822485</v>
      </c>
      <c r="Y21" s="147">
        <f>'Médias por UF'!CO19*'Evolução das Receitas'!$Q$230</f>
        <v>963050.20094271679</v>
      </c>
      <c r="Z21" s="147">
        <f>'Médias por UF'!CP19*'Evolução das Receitas'!$Q$230</f>
        <v>990640.74050251546</v>
      </c>
      <c r="AA21" s="147">
        <f>'Médias por UF'!CQ19*'Evolução das Receitas'!$Q$230</f>
        <v>1016243.3070377253</v>
      </c>
      <c r="AB21" s="147">
        <f>'Médias por UF'!CR19*'Evolução das Receitas'!$Q$230</f>
        <v>1037353.97</v>
      </c>
      <c r="AC21" s="147">
        <f t="shared" si="2"/>
        <v>1037353.97</v>
      </c>
      <c r="AE21" s="213" t="s">
        <v>103</v>
      </c>
      <c r="AF21" s="147">
        <f>JAN!$AI$21</f>
        <v>203282.79200000002</v>
      </c>
      <c r="AG21" s="147">
        <f>FEV!$AI$21</f>
        <v>221314.696</v>
      </c>
      <c r="AH21" s="147">
        <f>MAR!$AI21</f>
        <v>114693.97600000001</v>
      </c>
      <c r="AI21" s="147">
        <f>ABR!$AJ21</f>
        <v>46351.528000000006</v>
      </c>
      <c r="AJ21" s="147">
        <f>MAI!$T21</f>
        <v>39281.784000000007</v>
      </c>
      <c r="AK21" s="147">
        <f>JUN!$T21</f>
        <v>52520.056000000011</v>
      </c>
      <c r="AL21" s="147">
        <f>JUL!$T21</f>
        <v>107163.20800000001</v>
      </c>
      <c r="AM21" s="147">
        <f>AGO!$T21</f>
        <v>119480.992</v>
      </c>
      <c r="AN21" s="147">
        <f>SET!$T21</f>
        <v>58027.936000000002</v>
      </c>
      <c r="AO21" s="147">
        <f>OUT!$T21</f>
        <v>25052.712</v>
      </c>
      <c r="AP21" s="147">
        <f>NOV!$T21</f>
        <v>37330.328000000001</v>
      </c>
      <c r="AQ21" s="147">
        <f>DEZ!$T21</f>
        <v>41523.808000000005</v>
      </c>
      <c r="AR21" s="177">
        <f t="shared" si="1"/>
        <v>1066023.8159999999</v>
      </c>
    </row>
    <row r="22" spans="1:45">
      <c r="A22" s="212" t="s">
        <v>104</v>
      </c>
      <c r="B22" s="147">
        <f>$B$231*'Médias por UF'!CG20</f>
        <v>87804.177611930369</v>
      </c>
      <c r="C22" s="147">
        <f>$B$231*'Médias por UF'!CH20</f>
        <v>191986.88025437025</v>
      </c>
      <c r="D22" s="147">
        <f>$B$231*'Médias por UF'!CI20</f>
        <v>239728.8418915009</v>
      </c>
      <c r="E22" s="147">
        <f>$B$231*'Médias por UF'!CJ20</f>
        <v>279388.3783114524</v>
      </c>
      <c r="F22" s="147">
        <f>$B$231*'Médias por UF'!CK20</f>
        <v>327061.64775995736</v>
      </c>
      <c r="G22" s="147">
        <f>$B$231*'Médias por UF'!CL20</f>
        <v>372821.50742855412</v>
      </c>
      <c r="H22" s="147">
        <f>$B$231*'Médias por UF'!CM20</f>
        <v>388085.44068481773</v>
      </c>
      <c r="I22" s="147">
        <f>$B$231*'Médias por UF'!CN20</f>
        <v>403308.62448701402</v>
      </c>
      <c r="J22" s="147">
        <f>$B$231*'Médias por UF'!CO20</f>
        <v>418814.911203405</v>
      </c>
      <c r="K22" s="147">
        <f>$B$231*'Médias por UF'!CP20</f>
        <v>429524.60002729762</v>
      </c>
      <c r="L22" s="147">
        <f>$B$231*'Médias por UF'!CQ20</f>
        <v>441980.39055694803</v>
      </c>
      <c r="M22" s="147">
        <f>$B$231*'Médias por UF'!CR20</f>
        <v>449647.592</v>
      </c>
      <c r="N22" s="147">
        <f t="shared" si="0"/>
        <v>449647.592</v>
      </c>
      <c r="P22" s="213" t="s">
        <v>104</v>
      </c>
      <c r="Q22" s="147">
        <f>'Médias por UF'!CG20*'Evolução das Receitas'!$Q$231</f>
        <v>60687.522410912075</v>
      </c>
      <c r="R22" s="147">
        <f>'Médias por UF'!CH20*'Evolução das Receitas'!$Q$231</f>
        <v>132695.37298707166</v>
      </c>
      <c r="S22" s="147">
        <f>'Médias por UF'!CI20*'Evolução das Receitas'!$Q$231</f>
        <v>165693.1351163373</v>
      </c>
      <c r="T22" s="147">
        <f>'Médias por UF'!CJ20*'Evolução das Receitas'!$Q$231</f>
        <v>193104.5757875288</v>
      </c>
      <c r="U22" s="147">
        <f>'Médias por UF'!CK20*'Evolução das Receitas'!$Q$231</f>
        <v>226054.86000799719</v>
      </c>
      <c r="V22" s="147">
        <f>'Médias por UF'!CL20*'Evolução das Receitas'!$Q$231</f>
        <v>257682.65477457363</v>
      </c>
      <c r="W22" s="147">
        <f>'Médias por UF'!CM20*'Evolução das Receitas'!$Q$231</f>
        <v>268232.61169874505</v>
      </c>
      <c r="X22" s="147">
        <f>'Médias por UF'!CN20*'Evolução das Receitas'!$Q$231</f>
        <v>278754.40386499494</v>
      </c>
      <c r="Y22" s="147">
        <f>'Médias por UF'!CO20*'Evolução das Receitas'!$Q$231</f>
        <v>289471.86797894776</v>
      </c>
      <c r="Z22" s="147">
        <f>'Médias por UF'!CP20*'Evolução das Receitas'!$Q$231</f>
        <v>296874.07250031404</v>
      </c>
      <c r="AA22" s="147">
        <f>'Médias por UF'!CQ20*'Evolução das Receitas'!$Q$231</f>
        <v>305483.12832741486</v>
      </c>
      <c r="AB22" s="147">
        <f>'Médias por UF'!CR20*'Evolução das Receitas'!$Q$231</f>
        <v>310782.46000000002</v>
      </c>
      <c r="AC22" s="147">
        <f t="shared" si="2"/>
        <v>310782.46000000002</v>
      </c>
      <c r="AE22" s="213" t="s">
        <v>104</v>
      </c>
      <c r="AF22" s="147">
        <f>JAN!$AI$22</f>
        <v>64615.952000000005</v>
      </c>
      <c r="AG22" s="147">
        <f>FEV!$AI$22</f>
        <v>41620.016000000003</v>
      </c>
      <c r="AH22" s="147">
        <f>MAR!$AI22</f>
        <v>28510.400000000001</v>
      </c>
      <c r="AI22" s="147">
        <f>ABR!$AJ22</f>
        <v>12301.304</v>
      </c>
      <c r="AJ22" s="147">
        <f>MAI!$T22</f>
        <v>13853.008</v>
      </c>
      <c r="AK22" s="147">
        <f>JUN!$T22</f>
        <v>14661.528000000004</v>
      </c>
      <c r="AL22" s="147">
        <f>JUL!$T22</f>
        <v>30025.335999999999</v>
      </c>
      <c r="AM22" s="147">
        <f>AGO!$T22</f>
        <v>39957.271999999997</v>
      </c>
      <c r="AN22" s="147">
        <f>SET!$T22</f>
        <v>18491.184000000001</v>
      </c>
      <c r="AO22" s="147">
        <f>OUT!$T22</f>
        <v>6063.2640000000001</v>
      </c>
      <c r="AP22" s="147">
        <f>NOV!$T22</f>
        <v>10168.584000000001</v>
      </c>
      <c r="AQ22" s="147">
        <f>DEZ!$T22</f>
        <v>14427.848000000002</v>
      </c>
      <c r="AR22" s="177">
        <f t="shared" si="1"/>
        <v>294695.696</v>
      </c>
    </row>
    <row r="23" spans="1:45">
      <c r="A23" s="212" t="s">
        <v>105</v>
      </c>
      <c r="B23" s="147">
        <f>$B$232*'Médias por UF'!CG21</f>
        <v>1510009.2635797041</v>
      </c>
      <c r="C23" s="147">
        <f>$B$232*'Médias por UF'!CH21</f>
        <v>2945799.8422424369</v>
      </c>
      <c r="D23" s="147">
        <f>$B$232*'Médias por UF'!CI21</f>
        <v>3587162.8261412191</v>
      </c>
      <c r="E23" s="147">
        <f>$B$232*'Médias por UF'!CJ21</f>
        <v>4068895.7532835118</v>
      </c>
      <c r="F23" s="147">
        <f>$B$232*'Médias por UF'!CK21</f>
        <v>4713643.6841397714</v>
      </c>
      <c r="G23" s="147">
        <f>$B$232*'Médias por UF'!CL21</f>
        <v>5313445.4947002567</v>
      </c>
      <c r="H23" s="147">
        <f>$B$232*'Médias por UF'!CM21</f>
        <v>5622182.9801558638</v>
      </c>
      <c r="I23" s="147">
        <f>$B$232*'Médias por UF'!CN21</f>
        <v>5912992.5994576588</v>
      </c>
      <c r="J23" s="147">
        <f>$B$232*'Médias por UF'!CO21</f>
        <v>6117546.0134679805</v>
      </c>
      <c r="K23" s="147">
        <f>$B$232*'Médias por UF'!CP21</f>
        <v>6316955.8850421477</v>
      </c>
      <c r="L23" s="147">
        <f>$B$232*'Médias por UF'!CQ21</f>
        <v>6463706.174635252</v>
      </c>
      <c r="M23" s="147">
        <f>$B$232*'Médias por UF'!CR21</f>
        <v>6629396.3080000002</v>
      </c>
      <c r="N23" s="147">
        <f t="shared" si="0"/>
        <v>6629396.3080000002</v>
      </c>
      <c r="P23" s="213" t="s">
        <v>105</v>
      </c>
      <c r="Q23" s="147">
        <f>'Médias por UF'!CG21*'Evolução das Receitas'!$Q$232</f>
        <v>814545.23219935631</v>
      </c>
      <c r="R23" s="147">
        <f>'Médias por UF'!CH21*'Evolução das Receitas'!$Q$232</f>
        <v>1589054.6332304261</v>
      </c>
      <c r="S23" s="147">
        <f>'Médias por UF'!CI21*'Evolução das Receitas'!$Q$232</f>
        <v>1935025.4648301161</v>
      </c>
      <c r="T23" s="147">
        <f>'Médias por UF'!CJ21*'Evolução das Receitas'!$Q$232</f>
        <v>2194886.9560549892</v>
      </c>
      <c r="U23" s="147">
        <f>'Médias por UF'!CK21*'Evolução das Receitas'!$Q$232</f>
        <v>2542683.7316882438</v>
      </c>
      <c r="V23" s="147">
        <f>'Médias por UF'!CL21*'Evolução das Receitas'!$Q$232</f>
        <v>2866235.1938152816</v>
      </c>
      <c r="W23" s="147">
        <f>'Médias por UF'!CM21*'Evolução das Receitas'!$Q$232</f>
        <v>3032777.6467952784</v>
      </c>
      <c r="X23" s="147">
        <f>'Médias por UF'!CN21*'Evolução das Receitas'!$Q$232</f>
        <v>3189649.2598332232</v>
      </c>
      <c r="Y23" s="147">
        <f>'Médias por UF'!CO21*'Evolução das Receitas'!$Q$232</f>
        <v>3299991.6346324449</v>
      </c>
      <c r="Z23" s="147">
        <f>'Médias por UF'!CP21*'Evolução das Receitas'!$Q$232</f>
        <v>3407559.4251499437</v>
      </c>
      <c r="AA23" s="147">
        <f>'Médias por UF'!CQ21*'Evolução das Receitas'!$Q$232</f>
        <v>3486721.024747394</v>
      </c>
      <c r="AB23" s="147">
        <f>'Médias por UF'!CR21*'Evolução das Receitas'!$Q$232</f>
        <v>3576099.3560000006</v>
      </c>
      <c r="AC23" s="147">
        <f t="shared" si="2"/>
        <v>3576099.3560000006</v>
      </c>
      <c r="AE23" s="213" t="s">
        <v>105</v>
      </c>
      <c r="AF23" s="147">
        <f>JAN!$AI$23</f>
        <v>926093.58400000003</v>
      </c>
      <c r="AG23" s="147">
        <f>FEV!$AI$23</f>
        <v>789365.62400000007</v>
      </c>
      <c r="AH23" s="147">
        <f>MAR!$AI23</f>
        <v>445397.48</v>
      </c>
      <c r="AI23" s="147">
        <f>ABR!$AJ23</f>
        <v>166387.23200000002</v>
      </c>
      <c r="AJ23" s="147">
        <f>MAI!$T23</f>
        <v>140905.04</v>
      </c>
      <c r="AK23" s="147">
        <f>JUN!$T23</f>
        <v>233695.52800000005</v>
      </c>
      <c r="AL23" s="147">
        <f>JUL!$T23</f>
        <v>370268.76</v>
      </c>
      <c r="AM23" s="147">
        <f>AGO!$T23</f>
        <v>389682.48800000001</v>
      </c>
      <c r="AN23" s="147">
        <f>SET!$T23</f>
        <v>179660.33600000001</v>
      </c>
      <c r="AO23" s="147">
        <f>OUT!$T23</f>
        <v>67916.248000000007</v>
      </c>
      <c r="AP23" s="147">
        <f>NOV!$T23</f>
        <v>121086.984</v>
      </c>
      <c r="AQ23" s="147">
        <f>DEZ!$T23</f>
        <v>122128.76000000001</v>
      </c>
      <c r="AR23" s="177">
        <f t="shared" si="1"/>
        <v>3952588.0640000002</v>
      </c>
    </row>
    <row r="24" spans="1:45">
      <c r="A24" s="212" t="s">
        <v>106</v>
      </c>
      <c r="B24" s="147">
        <f>$B$233*'Médias por UF'!CG22</f>
        <v>134344.8191249634</v>
      </c>
      <c r="C24" s="147">
        <f>$B$233*'Médias por UF'!CH22</f>
        <v>350329.10778539104</v>
      </c>
      <c r="D24" s="147">
        <f>$B$233*'Médias por UF'!CI22</f>
        <v>454644.94074898097</v>
      </c>
      <c r="E24" s="147">
        <f>$B$233*'Médias por UF'!CJ22</f>
        <v>538596.02143266157</v>
      </c>
      <c r="F24" s="147">
        <f>$B$233*'Médias por UF'!CK22</f>
        <v>646542.44205598999</v>
      </c>
      <c r="G24" s="147">
        <f>$B$233*'Médias por UF'!CL22</f>
        <v>754647.75776473281</v>
      </c>
      <c r="H24" s="147">
        <f>$B$233*'Médias por UF'!CM22</f>
        <v>786108.85082252836</v>
      </c>
      <c r="I24" s="147">
        <f>$B$233*'Médias por UF'!CN22</f>
        <v>811736.59982692508</v>
      </c>
      <c r="J24" s="147">
        <f>$B$233*'Médias por UF'!CO22</f>
        <v>835915.67447000835</v>
      </c>
      <c r="K24" s="147">
        <f>$B$233*'Médias por UF'!CP22</f>
        <v>857227.67394156626</v>
      </c>
      <c r="L24" s="147">
        <f>$B$233*'Médias por UF'!CQ22</f>
        <v>879254.241997023</v>
      </c>
      <c r="M24" s="147">
        <f>$B$233*'Médias por UF'!CR22</f>
        <v>898797.68799999985</v>
      </c>
      <c r="N24" s="147">
        <f t="shared" si="0"/>
        <v>898797.68799999985</v>
      </c>
      <c r="P24" s="213" t="s">
        <v>106</v>
      </c>
      <c r="Q24" s="147">
        <f>'Médias por UF'!CG22*'Evolução das Receitas'!$Q$233</f>
        <v>72891.776188444841</v>
      </c>
      <c r="R24" s="147">
        <f>'Médias por UF'!CH22*'Evolução das Receitas'!$Q$233</f>
        <v>190078.86633303954</v>
      </c>
      <c r="S24" s="147">
        <f>'Médias por UF'!CI22*'Evolução das Receitas'!$Q$233</f>
        <v>246677.7467276784</v>
      </c>
      <c r="T24" s="147">
        <f>'Médias por UF'!CJ22*'Evolução das Receitas'!$Q$233</f>
        <v>292227.27683855593</v>
      </c>
      <c r="U24" s="147">
        <f>'Médias por UF'!CK22*'Evolução das Receitas'!$Q$233</f>
        <v>350796.01349449228</v>
      </c>
      <c r="V24" s="147">
        <f>'Médias por UF'!CL22*'Evolução das Receitas'!$Q$233</f>
        <v>409450.96222082269</v>
      </c>
      <c r="W24" s="147">
        <f>'Médias por UF'!CM22*'Evolução das Receitas'!$Q$233</f>
        <v>426520.87953322427</v>
      </c>
      <c r="X24" s="147">
        <f>'Médias por UF'!CN22*'Evolução das Receitas'!$Q$233</f>
        <v>440425.78600307863</v>
      </c>
      <c r="Y24" s="147">
        <f>'Médias por UF'!CO22*'Evolução das Receitas'!$Q$233</f>
        <v>453544.68190696865</v>
      </c>
      <c r="Z24" s="147">
        <f>'Médias por UF'!CP22*'Evolução das Receitas'!$Q$233</f>
        <v>465107.98226888338</v>
      </c>
      <c r="AA24" s="147">
        <f>'Médias por UF'!CQ22*'Evolução das Receitas'!$Q$233</f>
        <v>477058.98774386541</v>
      </c>
      <c r="AB24" s="147">
        <f>'Médias por UF'!CR22*'Evolução das Receitas'!$Q$233</f>
        <v>487662.72</v>
      </c>
      <c r="AC24" s="147">
        <f t="shared" si="2"/>
        <v>487662.72</v>
      </c>
      <c r="AE24" s="213" t="s">
        <v>106</v>
      </c>
      <c r="AF24" s="147">
        <f>JAN!$AI$24</f>
        <v>93402.648000000001</v>
      </c>
      <c r="AG24" s="147">
        <f>FEV!$AI$24</f>
        <v>103318.424</v>
      </c>
      <c r="AH24" s="147">
        <f>MAR!$AI24</f>
        <v>73981.464000000007</v>
      </c>
      <c r="AI24" s="147">
        <f>ABR!$AJ24</f>
        <v>26968.224000000002</v>
      </c>
      <c r="AJ24" s="147">
        <f>MAI!$T24</f>
        <v>20763.696</v>
      </c>
      <c r="AK24" s="147">
        <f>JUN!$T24</f>
        <v>30129.712</v>
      </c>
      <c r="AL24" s="147">
        <f>JUL!$T24</f>
        <v>54233.8</v>
      </c>
      <c r="AM24" s="147">
        <f>AGO!$T24</f>
        <v>62992.256000000008</v>
      </c>
      <c r="AN24" s="147">
        <f>SET!$T24</f>
        <v>28472.544000000002</v>
      </c>
      <c r="AO24" s="147">
        <f>OUT!$T24</f>
        <v>8783.503999999999</v>
      </c>
      <c r="AP24" s="147">
        <f>NOV!$T24</f>
        <v>15955.847999999998</v>
      </c>
      <c r="AQ24" s="147">
        <f>DEZ!$T24</f>
        <v>19058.832000000002</v>
      </c>
      <c r="AR24" s="177">
        <f t="shared" si="1"/>
        <v>538060.95199999993</v>
      </c>
    </row>
    <row r="25" spans="1:45">
      <c r="A25" s="212" t="s">
        <v>107</v>
      </c>
      <c r="B25" s="147">
        <f>$B$234*'Médias por UF'!CG23</f>
        <v>1321001.6217677102</v>
      </c>
      <c r="C25" s="147">
        <f>$B$234*'Médias por UF'!CH23</f>
        <v>2739779.0182560668</v>
      </c>
      <c r="D25" s="147">
        <f>$B$234*'Médias por UF'!CI23</f>
        <v>3344195.1018728139</v>
      </c>
      <c r="E25" s="147">
        <f>$B$234*'Médias por UF'!CJ23</f>
        <v>3867011.2401184528</v>
      </c>
      <c r="F25" s="147">
        <f>$B$234*'Médias por UF'!CK23</f>
        <v>4545997.22921775</v>
      </c>
      <c r="G25" s="147">
        <f>$B$234*'Médias por UF'!CL23</f>
        <v>5174704.8544529062</v>
      </c>
      <c r="H25" s="147">
        <f>$B$234*'Médias por UF'!CM23</f>
        <v>5331960.6052988758</v>
      </c>
      <c r="I25" s="147">
        <f>$B$234*'Médias por UF'!CN23</f>
        <v>5466167.9879083959</v>
      </c>
      <c r="J25" s="147">
        <f>$B$234*'Médias por UF'!CO23</f>
        <v>5582897.3252195632</v>
      </c>
      <c r="K25" s="147">
        <f>$B$234*'Médias por UF'!CP23</f>
        <v>5717899.8714784225</v>
      </c>
      <c r="L25" s="147">
        <f>$B$234*'Médias por UF'!CQ23</f>
        <v>5834418.007511423</v>
      </c>
      <c r="M25" s="147">
        <f>$B$234*'Médias por UF'!CR23</f>
        <v>5955871.4440000001</v>
      </c>
      <c r="N25" s="147">
        <f t="shared" si="0"/>
        <v>5955871.4440000001</v>
      </c>
      <c r="P25" s="213" t="s">
        <v>107</v>
      </c>
      <c r="Q25" s="147">
        <f>'Médias por UF'!CG23*'Evolução das Receitas'!$Q$234</f>
        <v>716209.24566330318</v>
      </c>
      <c r="R25" s="147">
        <f>'Médias por UF'!CH23*'Evolução das Receitas'!$Q$234</f>
        <v>1485429.71606917</v>
      </c>
      <c r="S25" s="147">
        <f>'Médias por UF'!CI23*'Evolução das Receitas'!$Q$234</f>
        <v>1813126.8060505171</v>
      </c>
      <c r="T25" s="147">
        <f>'Médias por UF'!CJ23*'Evolução das Receitas'!$Q$234</f>
        <v>2096582.7426847522</v>
      </c>
      <c r="U25" s="147">
        <f>'Médias por UF'!CK23*'Evolução das Receitas'!$Q$234</f>
        <v>2464709.4997268957</v>
      </c>
      <c r="V25" s="147">
        <f>'Médias por UF'!CL23*'Evolução das Receitas'!$Q$234</f>
        <v>2805576.7678608163</v>
      </c>
      <c r="W25" s="147">
        <f>'Médias por UF'!CM23*'Evolução das Receitas'!$Q$234</f>
        <v>2890836.3321442381</v>
      </c>
      <c r="X25" s="147">
        <f>'Médias por UF'!CN23*'Evolução das Receitas'!$Q$234</f>
        <v>2963599.7312781359</v>
      </c>
      <c r="Y25" s="147">
        <f>'Médias por UF'!CO23*'Evolução das Receitas'!$Q$234</f>
        <v>3026887.0348247699</v>
      </c>
      <c r="Z25" s="147">
        <f>'Médias por UF'!CP23*'Evolução das Receitas'!$Q$234</f>
        <v>3100081.548915749</v>
      </c>
      <c r="AA25" s="147">
        <f>'Médias por UF'!CQ23*'Evolução das Receitas'!$Q$234</f>
        <v>3163254.3451781929</v>
      </c>
      <c r="AB25" s="147">
        <f>'Médias por UF'!CR23*'Evolução das Receitas'!$Q$234</f>
        <v>3229102.92</v>
      </c>
      <c r="AC25" s="147">
        <f t="shared" si="2"/>
        <v>3229102.92</v>
      </c>
      <c r="AE25" s="213" t="s">
        <v>107</v>
      </c>
      <c r="AF25" s="147">
        <f>JAN!$AI$25</f>
        <v>861931.18400000001</v>
      </c>
      <c r="AG25" s="147">
        <f>FEV!$AI$25</f>
        <v>797194.24800000014</v>
      </c>
      <c r="AH25" s="147">
        <f>MAR!$AI25</f>
        <v>402252.84</v>
      </c>
      <c r="AI25" s="147">
        <f>ABR!$AJ25</f>
        <v>173775.40000000002</v>
      </c>
      <c r="AJ25" s="147">
        <f>MAI!$T25</f>
        <v>163836.448</v>
      </c>
      <c r="AK25" s="147">
        <f>JUN!$T25</f>
        <v>256787.51200000002</v>
      </c>
      <c r="AL25" s="147">
        <f>JUL!$T25</f>
        <v>353290.50400000002</v>
      </c>
      <c r="AM25" s="147">
        <f>AGO!$T25</f>
        <v>412251.95200000005</v>
      </c>
      <c r="AN25" s="147">
        <f>SET!$T25</f>
        <v>158552.85600000003</v>
      </c>
      <c r="AO25" s="147">
        <f>OUT!$T25</f>
        <v>75680.639999999999</v>
      </c>
      <c r="AP25" s="147">
        <f>NOV!$T25</f>
        <v>129152.29600000003</v>
      </c>
      <c r="AQ25" s="147">
        <f>DEZ!$T25</f>
        <v>178814.13600000003</v>
      </c>
      <c r="AR25" s="177">
        <f t="shared" si="1"/>
        <v>3963520.0160000008</v>
      </c>
    </row>
    <row r="26" spans="1:45">
      <c r="A26" s="212" t="s">
        <v>108</v>
      </c>
      <c r="B26" s="147">
        <f>$B$235*'Médias por UF'!CG24</f>
        <v>60720.324934624434</v>
      </c>
      <c r="C26" s="147">
        <f>$B$235*'Médias por UF'!CH24</f>
        <v>142594.24640854856</v>
      </c>
      <c r="D26" s="147">
        <f>$B$235*'Médias por UF'!CI24</f>
        <v>191857.45662514263</v>
      </c>
      <c r="E26" s="147">
        <f>$B$235*'Médias por UF'!CJ24</f>
        <v>233006.44800402381</v>
      </c>
      <c r="F26" s="147">
        <f>$B$235*'Médias por UF'!CK24</f>
        <v>288284.61249068199</v>
      </c>
      <c r="G26" s="147">
        <f>$B$235*'Médias por UF'!CL24</f>
        <v>351893.25530488614</v>
      </c>
      <c r="H26" s="147">
        <f>$B$235*'Médias por UF'!CM24</f>
        <v>366831.30467339157</v>
      </c>
      <c r="I26" s="147">
        <f>$B$235*'Médias por UF'!CN24</f>
        <v>380870.89632593642</v>
      </c>
      <c r="J26" s="147">
        <f>$B$235*'Médias por UF'!CO24</f>
        <v>395164.91619467252</v>
      </c>
      <c r="K26" s="147">
        <f>$B$235*'Médias por UF'!CP24</f>
        <v>408340.02542426548</v>
      </c>
      <c r="L26" s="147">
        <f>$B$235*'Médias por UF'!CQ24</f>
        <v>418316.01014505565</v>
      </c>
      <c r="M26" s="147">
        <f>$B$235*'Médias por UF'!CR24</f>
        <v>431196.924</v>
      </c>
      <c r="N26" s="147">
        <f t="shared" si="0"/>
        <v>431196.924</v>
      </c>
      <c r="P26" s="213" t="s">
        <v>108</v>
      </c>
      <c r="Q26" s="147">
        <f>'Médias por UF'!CG24*'Evolução das Receitas'!$Q$235</f>
        <v>31817.346317212767</v>
      </c>
      <c r="R26" s="147">
        <f>'Médias por UF'!CH24*'Evolução das Receitas'!$Q$235</f>
        <v>74719.141007686776</v>
      </c>
      <c r="S26" s="147">
        <f>'Médias por UF'!CI24*'Evolução das Receitas'!$Q$235</f>
        <v>100532.97882635165</v>
      </c>
      <c r="T26" s="147">
        <f>'Médias por UF'!CJ24*'Evolução das Receitas'!$Q$235</f>
        <v>122094.97986497411</v>
      </c>
      <c r="U26" s="147">
        <f>'Médias por UF'!CK24*'Evolução das Receitas'!$Q$235</f>
        <v>151060.64342401305</v>
      </c>
      <c r="V26" s="147">
        <f>'Médias por UF'!CL24*'Evolução das Receitas'!$Q$235</f>
        <v>184391.46336554733</v>
      </c>
      <c r="W26" s="147">
        <f>'Médias por UF'!CM24*'Evolução das Receitas'!$Q$235</f>
        <v>192218.97566185152</v>
      </c>
      <c r="X26" s="147">
        <f>'Médias por UF'!CN24*'Evolução das Receitas'!$Q$235</f>
        <v>199575.69765308293</v>
      </c>
      <c r="Y26" s="147">
        <f>'Médias por UF'!CO24*'Evolução das Receitas'!$Q$235</f>
        <v>207065.739594037</v>
      </c>
      <c r="Z26" s="147">
        <f>'Médias por UF'!CP24*'Evolução das Receitas'!$Q$235</f>
        <v>213969.47427556911</v>
      </c>
      <c r="AA26" s="147">
        <f>'Médias por UF'!CQ24*'Evolução das Receitas'!$Q$235</f>
        <v>219196.87319114391</v>
      </c>
      <c r="AB26" s="147">
        <f>'Médias por UF'!CR24*'Evolução das Receitas'!$Q$235</f>
        <v>225946.45</v>
      </c>
      <c r="AC26" s="147">
        <f t="shared" si="2"/>
        <v>225946.45</v>
      </c>
      <c r="AE26" s="213" t="s">
        <v>108</v>
      </c>
      <c r="AF26" s="147">
        <f>JAN!$AI$26</f>
        <v>47562.847999999998</v>
      </c>
      <c r="AG26" s="147">
        <f>FEV!$AI$26</f>
        <v>32643.615999999998</v>
      </c>
      <c r="AH26" s="147">
        <f>MAR!$AI26</f>
        <v>26662.688000000002</v>
      </c>
      <c r="AI26" s="147">
        <f>ABR!$AJ26</f>
        <v>12444.976000000001</v>
      </c>
      <c r="AJ26" s="147">
        <f>MAI!$T26</f>
        <v>12404.936000000002</v>
      </c>
      <c r="AK26" s="147">
        <f>JUN!$T26</f>
        <v>20772.952000000005</v>
      </c>
      <c r="AL26" s="147">
        <f>JUL!$T26</f>
        <v>39303.864000000001</v>
      </c>
      <c r="AM26" s="147">
        <f>AGO!$T26</f>
        <v>25069.656000000003</v>
      </c>
      <c r="AN26" s="147">
        <f>SET!$T26</f>
        <v>12119.784</v>
      </c>
      <c r="AO26" s="147">
        <f>OUT!$T26</f>
        <v>5265.0400000000009</v>
      </c>
      <c r="AP26" s="147">
        <f>NOV!$T26</f>
        <v>7833.1920000000018</v>
      </c>
      <c r="AQ26" s="147">
        <f>DEZ!$T26</f>
        <v>9373.4639999999999</v>
      </c>
      <c r="AR26" s="177">
        <f t="shared" si="1"/>
        <v>251457.01600000003</v>
      </c>
    </row>
    <row r="27" spans="1:45">
      <c r="A27" s="212" t="s">
        <v>109</v>
      </c>
      <c r="B27" s="147">
        <f>$B$236*'Médias por UF'!CG25</f>
        <v>19008.781299593931</v>
      </c>
      <c r="C27" s="147">
        <f>$B$236*'Médias por UF'!CH25</f>
        <v>35139.204085397338</v>
      </c>
      <c r="D27" s="147">
        <f>$B$236*'Médias por UF'!CI25</f>
        <v>45657.715043050717</v>
      </c>
      <c r="E27" s="147">
        <f>$B$236*'Médias por UF'!CJ25</f>
        <v>54324.791823986663</v>
      </c>
      <c r="F27" s="147">
        <f>$B$236*'Médias por UF'!CK25</f>
        <v>63390.23237833273</v>
      </c>
      <c r="G27" s="147">
        <f>$B$236*'Médias por UF'!CL25</f>
        <v>71419.43359788075</v>
      </c>
      <c r="H27" s="147">
        <f>$B$236*'Médias por UF'!CM25</f>
        <v>76533.202397040674</v>
      </c>
      <c r="I27" s="147">
        <f>$B$236*'Médias por UF'!CN25</f>
        <v>79440.153865387489</v>
      </c>
      <c r="J27" s="147">
        <f>$B$236*'Médias por UF'!CO25</f>
        <v>81343.371606576242</v>
      </c>
      <c r="K27" s="147">
        <f>$B$236*'Médias por UF'!CP25</f>
        <v>84258.423281666925</v>
      </c>
      <c r="L27" s="147">
        <f>$B$236*'Médias por UF'!CQ25</f>
        <v>86900.038553467253</v>
      </c>
      <c r="M27" s="147">
        <f>$B$236*'Médias por UF'!CR25</f>
        <v>88958.02</v>
      </c>
      <c r="N27" s="147">
        <f t="shared" si="0"/>
        <v>88958.02</v>
      </c>
      <c r="P27" s="213" t="s">
        <v>109</v>
      </c>
      <c r="Q27" s="147">
        <f>'Médias por UF'!CG25*'Evolução das Receitas'!$Q$236</f>
        <v>8654.6689567476678</v>
      </c>
      <c r="R27" s="147">
        <f>'Médias por UF'!CH25*'Evolução das Receitas'!$Q$236</f>
        <v>15998.825699005005</v>
      </c>
      <c r="S27" s="147">
        <f>'Médias por UF'!CI25*'Evolução das Receitas'!$Q$236</f>
        <v>20787.887597379184</v>
      </c>
      <c r="T27" s="147">
        <f>'Médias por UF'!CJ25*'Evolução das Receitas'!$Q$236</f>
        <v>24733.994356117957</v>
      </c>
      <c r="U27" s="147">
        <f>'Médias por UF'!CK25*'Evolução das Receitas'!$Q$236</f>
        <v>28861.475529601517</v>
      </c>
      <c r="V27" s="147">
        <f>'Médias por UF'!CL25*'Evolução das Receitas'!$Q$236</f>
        <v>32517.158524059832</v>
      </c>
      <c r="W27" s="147">
        <f>'Médias por UF'!CM25*'Evolução das Receitas'!$Q$236</f>
        <v>34845.449611243814</v>
      </c>
      <c r="X27" s="147">
        <f>'Médias por UF'!CN25*'Evolução das Receitas'!$Q$236</f>
        <v>36168.980154067765</v>
      </c>
      <c r="Y27" s="147">
        <f>'Médias por UF'!CO25*'Evolução das Receitas'!$Q$236</f>
        <v>37035.512271145126</v>
      </c>
      <c r="Z27" s="147">
        <f>'Médias por UF'!CP25*'Evolução das Receitas'!$Q$236</f>
        <v>38362.730825669794</v>
      </c>
      <c r="AA27" s="147">
        <f>'Médias por UF'!CQ25*'Evolução das Receitas'!$Q$236</f>
        <v>39565.454205364273</v>
      </c>
      <c r="AB27" s="147">
        <f>'Médias por UF'!CR25*'Evolução das Receitas'!$Q$236</f>
        <v>40502.449999999997</v>
      </c>
      <c r="AC27" s="147">
        <f t="shared" si="2"/>
        <v>40502.449999999997</v>
      </c>
      <c r="AE27" s="213" t="s">
        <v>109</v>
      </c>
      <c r="AF27" s="147">
        <f>JAN!$AI$27</f>
        <v>9237.7839999999997</v>
      </c>
      <c r="AG27" s="147">
        <f>FEV!$AI$27</f>
        <v>9443.4800000000014</v>
      </c>
      <c r="AH27" s="147">
        <f>MAR!$AI27</f>
        <v>4625.5600000000004</v>
      </c>
      <c r="AI27" s="147">
        <f>ABR!$AJ27</f>
        <v>1356.152</v>
      </c>
      <c r="AJ27" s="147">
        <f>MAI!$T27</f>
        <v>2464.6720000000005</v>
      </c>
      <c r="AK27" s="147">
        <f>JUN!$T27</f>
        <v>1123.7759999999998</v>
      </c>
      <c r="AL27" s="147">
        <f>JUL!$T27</f>
        <v>4822.6959999999999</v>
      </c>
      <c r="AM27" s="147">
        <f>AGO!$T27</f>
        <v>2845.6320000000001</v>
      </c>
      <c r="AN27" s="147">
        <f>SET!$T27</f>
        <v>3180.8880000000004</v>
      </c>
      <c r="AO27" s="147">
        <f>OUT!$T27</f>
        <v>1813.28</v>
      </c>
      <c r="AP27" s="147">
        <f>NOV!$T27</f>
        <v>2908.4799999999996</v>
      </c>
      <c r="AQ27" s="147">
        <f>DEZ!$T27</f>
        <v>1173.3040000000001</v>
      </c>
      <c r="AR27" s="177">
        <f t="shared" si="1"/>
        <v>44995.703999999998</v>
      </c>
    </row>
    <row r="28" spans="1:45">
      <c r="A28" s="212" t="s">
        <v>110</v>
      </c>
      <c r="B28" s="147">
        <f>$B$237*'Médias por UF'!CG26</f>
        <v>692520.10398590867</v>
      </c>
      <c r="C28" s="147">
        <f>$B$237*'Médias por UF'!CH26</f>
        <v>1676921.0512028253</v>
      </c>
      <c r="D28" s="147">
        <f>$B$237*'Médias por UF'!CI26</f>
        <v>2106072.4843802755</v>
      </c>
      <c r="E28" s="147">
        <f>$B$237*'Médias por UF'!CJ26</f>
        <v>2454634.0544099696</v>
      </c>
      <c r="F28" s="147">
        <f>$B$237*'Médias por UF'!CK26</f>
        <v>2881619.8120863847</v>
      </c>
      <c r="G28" s="147">
        <f>$B$237*'Médias por UF'!CL26</f>
        <v>3308618.2748962063</v>
      </c>
      <c r="H28" s="147">
        <f>$B$237*'Médias por UF'!CM26</f>
        <v>3406954.525236031</v>
      </c>
      <c r="I28" s="147">
        <f>$B$237*'Médias por UF'!CN26</f>
        <v>3487541.224835712</v>
      </c>
      <c r="J28" s="147">
        <f>$B$237*'Médias por UF'!CO26</f>
        <v>3556523.5016430775</v>
      </c>
      <c r="K28" s="147">
        <f>$B$237*'Médias por UF'!CP26</f>
        <v>3633330.8015045635</v>
      </c>
      <c r="L28" s="147">
        <f>$B$237*'Médias por UF'!CQ26</f>
        <v>3698186.087241245</v>
      </c>
      <c r="M28" s="147">
        <f>$B$237*'Médias por UF'!CR26</f>
        <v>3761206.3</v>
      </c>
      <c r="N28" s="147">
        <f t="shared" si="0"/>
        <v>3761206.3</v>
      </c>
      <c r="P28" s="213" t="s">
        <v>110</v>
      </c>
      <c r="Q28" s="147">
        <f>'Médias por UF'!CG26*'Evolução das Receitas'!$Q$237</f>
        <v>447245.48103032226</v>
      </c>
      <c r="R28" s="147">
        <f>'Médias por UF'!CH26*'Evolução das Receitas'!$Q$237</f>
        <v>1082994.3533456498</v>
      </c>
      <c r="S28" s="147">
        <f>'Médias por UF'!CI26*'Evolução das Receitas'!$Q$237</f>
        <v>1360150.2626998804</v>
      </c>
      <c r="T28" s="147">
        <f>'Médias por UF'!CJ26*'Evolução das Receitas'!$Q$237</f>
        <v>1585259.3767304344</v>
      </c>
      <c r="U28" s="147">
        <f>'Médias por UF'!CK26*'Evolução das Receitas'!$Q$237</f>
        <v>1861016.6428169226</v>
      </c>
      <c r="V28" s="147">
        <f>'Médias por UF'!CL26*'Evolução das Receitas'!$Q$237</f>
        <v>2136782.1141720656</v>
      </c>
      <c r="W28" s="147">
        <f>'Médias por UF'!CM26*'Evolução das Receitas'!$Q$237</f>
        <v>2200289.9363028845</v>
      </c>
      <c r="X28" s="147">
        <f>'Médias por UF'!CN26*'Evolução das Receitas'!$Q$237</f>
        <v>2252334.6885341336</v>
      </c>
      <c r="Y28" s="147">
        <f>'Médias por UF'!CO26*'Evolução das Receitas'!$Q$237</f>
        <v>2296885.0364528485</v>
      </c>
      <c r="Z28" s="147">
        <f>'Médias por UF'!CP26*'Evolução das Receitas'!$Q$237</f>
        <v>2346488.9650254254</v>
      </c>
      <c r="AA28" s="147">
        <f>'Médias por UF'!CQ26*'Evolução das Receitas'!$Q$237</f>
        <v>2388374.0067732548</v>
      </c>
      <c r="AB28" s="147">
        <f>'Médias por UF'!CR26*'Evolução das Receitas'!$Q$237</f>
        <v>2429073.9160000002</v>
      </c>
      <c r="AC28" s="147">
        <f t="shared" si="2"/>
        <v>2429073.9160000002</v>
      </c>
      <c r="AE28" s="213" t="s">
        <v>110</v>
      </c>
      <c r="AF28" s="147">
        <f>JAN!$AI$28</f>
        <v>499567.94400000008</v>
      </c>
      <c r="AG28" s="147">
        <f>FEV!$AI$28</f>
        <v>592718.48</v>
      </c>
      <c r="AH28" s="147">
        <f>MAR!$AI28</f>
        <v>282166.728</v>
      </c>
      <c r="AI28" s="147">
        <f>ABR!$AJ28</f>
        <v>138726.52800000002</v>
      </c>
      <c r="AJ28" s="147">
        <f>MAI!$T28</f>
        <v>118827.63200000001</v>
      </c>
      <c r="AK28" s="147">
        <f>JUN!$T28</f>
        <v>183298.66400000002</v>
      </c>
      <c r="AL28" s="147">
        <f>JUL!$T28</f>
        <v>241949.53599999999</v>
      </c>
      <c r="AM28" s="147">
        <f>AGO!$T28</f>
        <v>297526.68</v>
      </c>
      <c r="AN28" s="147">
        <f>SET!$T28</f>
        <v>93282.816000000006</v>
      </c>
      <c r="AO28" s="147">
        <f>OUT!$T28</f>
        <v>35460.752</v>
      </c>
      <c r="AP28" s="147">
        <f>NOV!$T28</f>
        <v>65740.432000000015</v>
      </c>
      <c r="AQ28" s="147">
        <f>DEZ!$T28</f>
        <v>65009.616000000009</v>
      </c>
      <c r="AR28" s="177">
        <f t="shared" si="1"/>
        <v>2614275.8080000002</v>
      </c>
    </row>
    <row r="29" spans="1:45">
      <c r="A29" s="212" t="s">
        <v>111</v>
      </c>
      <c r="B29" s="147">
        <f>$B$238*'Médias por UF'!CG27</f>
        <v>7431966.2706583571</v>
      </c>
      <c r="C29" s="147">
        <f>$B$238*'Médias por UF'!CH27</f>
        <v>11332114.344961369</v>
      </c>
      <c r="D29" s="147">
        <f>$B$238*'Médias por UF'!CI27</f>
        <v>13205988.173033794</v>
      </c>
      <c r="E29" s="147">
        <f>$B$238*'Médias por UF'!CJ27</f>
        <v>15212682.23580024</v>
      </c>
      <c r="F29" s="147">
        <f>$B$238*'Médias por UF'!CK27</f>
        <v>18001015.95535941</v>
      </c>
      <c r="G29" s="147">
        <f>$B$238*'Médias por UF'!CL27</f>
        <v>19563817.354490656</v>
      </c>
      <c r="H29" s="147">
        <f>$B$238*'Médias por UF'!CM27</f>
        <v>20247395.621531956</v>
      </c>
      <c r="I29" s="147">
        <f>$B$238*'Médias por UF'!CN27</f>
        <v>20872253.102980085</v>
      </c>
      <c r="J29" s="147">
        <f>$B$238*'Médias por UF'!CO27</f>
        <v>21311774.3159003</v>
      </c>
      <c r="K29" s="147">
        <f>$B$238*'Médias por UF'!CP27</f>
        <v>21929042.773074511</v>
      </c>
      <c r="L29" s="147">
        <f>$B$238*'Médias por UF'!CQ27</f>
        <v>22451426.289631579</v>
      </c>
      <c r="M29" s="147">
        <f>$B$238*'Médias por UF'!CR27</f>
        <v>22935423.736000001</v>
      </c>
      <c r="N29" s="147">
        <f t="shared" si="0"/>
        <v>22935423.736000001</v>
      </c>
      <c r="P29" s="213" t="s">
        <v>111</v>
      </c>
      <c r="Q29" s="147">
        <f>'Médias por UF'!CG27*'Evolução das Receitas'!$Q$238</f>
        <v>4513648.6476769941</v>
      </c>
      <c r="R29" s="147">
        <f>'Médias por UF'!CH27*'Evolução das Receitas'!$Q$238</f>
        <v>6882321.6798486533</v>
      </c>
      <c r="S29" s="147">
        <f>'Médias por UF'!CI27*'Evolução das Receitas'!$Q$238</f>
        <v>8020379.5991087155</v>
      </c>
      <c r="T29" s="147">
        <f>'Médias por UF'!CJ27*'Evolução das Receitas'!$Q$238</f>
        <v>9239103.0987654049</v>
      </c>
      <c r="U29" s="147">
        <f>'Médias por UF'!CK27*'Evolução das Receitas'!$Q$238</f>
        <v>10932539.03001399</v>
      </c>
      <c r="V29" s="147">
        <f>'Médias por UF'!CL27*'Evolução das Receitas'!$Q$238</f>
        <v>11881673.641889939</v>
      </c>
      <c r="W29" s="147">
        <f>'Médias por UF'!CM27*'Evolução das Receitas'!$Q$238</f>
        <v>12296830.547646325</v>
      </c>
      <c r="X29" s="147">
        <f>'Médias por UF'!CN27*'Evolução das Receitas'!$Q$238</f>
        <v>12676324.617373765</v>
      </c>
      <c r="Y29" s="147">
        <f>'Médias por UF'!CO27*'Evolução das Receitas'!$Q$238</f>
        <v>12943258.596360585</v>
      </c>
      <c r="Z29" s="147">
        <f>'Médias por UF'!CP27*'Evolução das Receitas'!$Q$238</f>
        <v>13318143.63156019</v>
      </c>
      <c r="AA29" s="147">
        <f>'Médias por UF'!CQ27*'Evolução das Receitas'!$Q$238</f>
        <v>13635402.290602475</v>
      </c>
      <c r="AB29" s="147">
        <f>'Médias por UF'!CR27*'Evolução das Receitas'!$Q$238</f>
        <v>13929347.976</v>
      </c>
      <c r="AC29" s="147">
        <f t="shared" si="2"/>
        <v>13929347.976</v>
      </c>
      <c r="AE29" s="213" t="s">
        <v>111</v>
      </c>
      <c r="AF29" s="147">
        <f>JAN!$AI$29</f>
        <v>3419659.3920000005</v>
      </c>
      <c r="AG29" s="147">
        <f>FEV!$AI$29</f>
        <v>2968615.3440000005</v>
      </c>
      <c r="AH29" s="147">
        <f>MAR!$AI29</f>
        <v>1570889.5520000001</v>
      </c>
      <c r="AI29" s="147">
        <f>ABR!$AJ29</f>
        <v>719121.79200000002</v>
      </c>
      <c r="AJ29" s="147">
        <f>MAI!$T29</f>
        <v>603814.90399999998</v>
      </c>
      <c r="AK29" s="147">
        <f>JUN!$T29</f>
        <v>917268.54399999999</v>
      </c>
      <c r="AL29" s="147">
        <f>JUL!$T29</f>
        <v>1305496.1359999999</v>
      </c>
      <c r="AM29" s="147">
        <f>AGO!$T29</f>
        <v>1273103.0160000001</v>
      </c>
      <c r="AN29" s="147">
        <f>SET!$T29</f>
        <v>522277.60000000003</v>
      </c>
      <c r="AO29" s="147">
        <f>OUT!$T29</f>
        <v>238277.96000000002</v>
      </c>
      <c r="AP29" s="147">
        <f>NOV!$T29</f>
        <v>413061.50400000002</v>
      </c>
      <c r="AQ29" s="147">
        <f>DEZ!$T29</f>
        <v>395220.50400000002</v>
      </c>
      <c r="AR29" s="177">
        <f t="shared" si="1"/>
        <v>14346806.248000003</v>
      </c>
    </row>
    <row r="30" spans="1:45">
      <c r="A30" s="212" t="s">
        <v>112</v>
      </c>
      <c r="B30" s="147">
        <f>$B$239*'Médias por UF'!CG28</f>
        <v>91687.472697673787</v>
      </c>
      <c r="C30" s="147">
        <f>$B$239*'Médias por UF'!CH28</f>
        <v>214477.37077454475</v>
      </c>
      <c r="D30" s="147">
        <f>$B$239*'Médias por UF'!CI28</f>
        <v>275465.49215458031</v>
      </c>
      <c r="E30" s="147">
        <f>$B$239*'Médias por UF'!CJ28</f>
        <v>321602.00910494925</v>
      </c>
      <c r="F30" s="147">
        <f>$B$239*'Médias por UF'!CK28</f>
        <v>378646.86509755591</v>
      </c>
      <c r="G30" s="147">
        <f>$B$239*'Médias por UF'!CL28</f>
        <v>438919.0909453262</v>
      </c>
      <c r="H30" s="147">
        <f>$B$239*'Médias por UF'!CM28</f>
        <v>457267.58078768756</v>
      </c>
      <c r="I30" s="147">
        <f>$B$239*'Médias por UF'!CN28</f>
        <v>473975.51432121801</v>
      </c>
      <c r="J30" s="147">
        <f>$B$239*'Médias por UF'!CO28</f>
        <v>489491.33836195985</v>
      </c>
      <c r="K30" s="147">
        <f>$B$239*'Médias por UF'!CP28</f>
        <v>503754.06243187468</v>
      </c>
      <c r="L30" s="147">
        <f>$B$239*'Médias por UF'!CQ28</f>
        <v>514374.74964384403</v>
      </c>
      <c r="M30" s="147">
        <f>$B$239*'Médias por UF'!CR28</f>
        <v>527752.21600000001</v>
      </c>
      <c r="N30" s="147">
        <f t="shared" si="0"/>
        <v>527752.21600000001</v>
      </c>
      <c r="P30" s="213" t="s">
        <v>112</v>
      </c>
      <c r="Q30" s="147">
        <f>'Médias por UF'!CG28*'Evolução das Receitas'!$Q$239</f>
        <v>43401.461964446869</v>
      </c>
      <c r="R30" s="147">
        <f>'Médias por UF'!CH28*'Evolução das Receitas'!$Q$239</f>
        <v>101525.66295070475</v>
      </c>
      <c r="S30" s="147">
        <f>'Médias por UF'!CI28*'Evolução das Receitas'!$Q$239</f>
        <v>130395.18626155764</v>
      </c>
      <c r="T30" s="147">
        <f>'Médias por UF'!CJ28*'Evolução das Receitas'!$Q$239</f>
        <v>152234.50876307426</v>
      </c>
      <c r="U30" s="147">
        <f>'Médias por UF'!CK28*'Evolução das Receitas'!$Q$239</f>
        <v>179237.43593278868</v>
      </c>
      <c r="V30" s="147">
        <f>'Médias por UF'!CL28*'Evolução das Receitas'!$Q$239</f>
        <v>207768.08074912161</v>
      </c>
      <c r="W30" s="147">
        <f>'Médias por UF'!CM28*'Evolução das Receitas'!$Q$239</f>
        <v>216453.57791212163</v>
      </c>
      <c r="X30" s="147">
        <f>'Médias por UF'!CN28*'Evolução das Receitas'!$Q$239</f>
        <v>224362.49633275584</v>
      </c>
      <c r="Y30" s="147">
        <f>'Médias por UF'!CO28*'Evolução das Receitas'!$Q$239</f>
        <v>231707.11416480993</v>
      </c>
      <c r="Z30" s="147">
        <f>'Médias por UF'!CP28*'Evolução das Receitas'!$Q$239</f>
        <v>238458.56076941805</v>
      </c>
      <c r="AA30" s="147">
        <f>'Médias por UF'!CQ28*'Evolução das Receitas'!$Q$239</f>
        <v>243486.00168914435</v>
      </c>
      <c r="AB30" s="147">
        <f>'Médias por UF'!CR28*'Evolução das Receitas'!$Q$239</f>
        <v>249818.4</v>
      </c>
      <c r="AC30" s="147">
        <f t="shared" si="2"/>
        <v>249818.4</v>
      </c>
      <c r="AE30" s="213" t="s">
        <v>112</v>
      </c>
      <c r="AF30" s="147">
        <f>JAN!$AI$30</f>
        <v>53316.256000000008</v>
      </c>
      <c r="AG30" s="147">
        <f>FEV!$AI$30</f>
        <v>51482.008000000002</v>
      </c>
      <c r="AH30" s="147">
        <f>MAR!$AI30</f>
        <v>33554.768000000004</v>
      </c>
      <c r="AI30" s="147">
        <f>ABR!$AJ30</f>
        <v>17529.223999999998</v>
      </c>
      <c r="AJ30" s="147">
        <f>MAI!$T30</f>
        <v>13182.032000000001</v>
      </c>
      <c r="AK30" s="147">
        <f>JUN!$T30</f>
        <v>24239.119999999999</v>
      </c>
      <c r="AL30" s="147">
        <f>JUL!$T30</f>
        <v>47235</v>
      </c>
      <c r="AM30" s="147">
        <f>AGO!$T30</f>
        <v>41985.216</v>
      </c>
      <c r="AN30" s="147">
        <f>SET!$T30</f>
        <v>17703.135999999999</v>
      </c>
      <c r="AO30" s="147">
        <f>OUT!$T30</f>
        <v>7342.4000000000005</v>
      </c>
      <c r="AP30" s="147">
        <f>NOV!$T30</f>
        <v>11989.376000000004</v>
      </c>
      <c r="AQ30" s="147">
        <f>DEZ!$T30</f>
        <v>9627.0240000000013</v>
      </c>
      <c r="AR30" s="177">
        <f t="shared" si="1"/>
        <v>329185.56</v>
      </c>
    </row>
    <row r="31" spans="1:45">
      <c r="A31" s="212" t="s">
        <v>113</v>
      </c>
      <c r="B31" s="147">
        <f>$B$240*'Médias por UF'!CG29</f>
        <v>28958.336693816967</v>
      </c>
      <c r="C31" s="147">
        <f>$B$240*'Médias por UF'!CH29</f>
        <v>80384.278368932879</v>
      </c>
      <c r="D31" s="147">
        <f>$B$240*'Médias por UF'!CI29</f>
        <v>113645.23749797326</v>
      </c>
      <c r="E31" s="147">
        <f>$B$240*'Médias por UF'!CJ29</f>
        <v>139754.43477683328</v>
      </c>
      <c r="F31" s="147">
        <f>$B$240*'Médias por UF'!CK29</f>
        <v>169922.79390567201</v>
      </c>
      <c r="G31" s="147">
        <f>$B$240*'Médias por UF'!CL29</f>
        <v>198293.33739181701</v>
      </c>
      <c r="H31" s="147">
        <f>$B$240*'Médias por UF'!CM29</f>
        <v>208816.66116305839</v>
      </c>
      <c r="I31" s="147">
        <f>$B$240*'Médias por UF'!CN29</f>
        <v>220034.32948693255</v>
      </c>
      <c r="J31" s="147">
        <f>$B$240*'Médias por UF'!CO29</f>
        <v>230518.06012803604</v>
      </c>
      <c r="K31" s="147">
        <f>$B$240*'Médias por UF'!CP29</f>
        <v>243276.47047752791</v>
      </c>
      <c r="L31" s="147">
        <f>$B$240*'Médias por UF'!CQ29</f>
        <v>251598.52814275885</v>
      </c>
      <c r="M31" s="147">
        <f>$B$240*'Médias por UF'!CR29</f>
        <v>258918.32</v>
      </c>
      <c r="N31" s="147">
        <f t="shared" si="0"/>
        <v>258918.32</v>
      </c>
      <c r="P31" s="213" t="s">
        <v>113</v>
      </c>
      <c r="Q31" s="147">
        <f>'Médias por UF'!CG29*'Evolução das Receitas'!$Q$240</f>
        <v>17148.044445001928</v>
      </c>
      <c r="R31" s="147">
        <f>'Médias por UF'!CH29*'Evolução das Receitas'!$Q$240</f>
        <v>47600.564656884591</v>
      </c>
      <c r="S31" s="147">
        <f>'Médias por UF'!CI29*'Evolução das Receitas'!$Q$240</f>
        <v>67296.461263748657</v>
      </c>
      <c r="T31" s="147">
        <f>'Médias por UF'!CJ29*'Evolução das Receitas'!$Q$240</f>
        <v>82757.351856156558</v>
      </c>
      <c r="U31" s="147">
        <f>'Médias por UF'!CK29*'Evolução das Receitas'!$Q$240</f>
        <v>100621.92635309453</v>
      </c>
      <c r="V31" s="147">
        <f>'Médias por UF'!CL29*'Evolução das Receitas'!$Q$240</f>
        <v>117421.90163389681</v>
      </c>
      <c r="W31" s="147">
        <f>'Médias por UF'!CM29*'Evolução das Receitas'!$Q$240</f>
        <v>123653.42057942113</v>
      </c>
      <c r="X31" s="147">
        <f>'Médias por UF'!CN29*'Evolução das Receitas'!$Q$240</f>
        <v>130296.10441243826</v>
      </c>
      <c r="Y31" s="147">
        <f>'Médias por UF'!CO29*'Evolução das Receitas'!$Q$240</f>
        <v>136504.17778639885</v>
      </c>
      <c r="Z31" s="147">
        <f>'Médias por UF'!CP29*'Evolução das Receitas'!$Q$240</f>
        <v>144059.231449663</v>
      </c>
      <c r="AA31" s="147">
        <f>'Médias por UF'!CQ29*'Evolução das Receitas'!$Q$240</f>
        <v>148987.24289680249</v>
      </c>
      <c r="AB31" s="147">
        <f>'Médias por UF'!CR29*'Evolução das Receitas'!$Q$240</f>
        <v>153321.75</v>
      </c>
      <c r="AC31" s="147">
        <f t="shared" si="2"/>
        <v>153321.75</v>
      </c>
      <c r="AE31" s="213" t="s">
        <v>113</v>
      </c>
      <c r="AF31" s="147">
        <f>JAN!$AI$31</f>
        <v>17624.168000000001</v>
      </c>
      <c r="AG31" s="147">
        <f>FEV!$AI$31</f>
        <v>25512.432000000001</v>
      </c>
      <c r="AH31" s="147">
        <f>MAR!$AI31</f>
        <v>21991.896000000001</v>
      </c>
      <c r="AI31" s="147">
        <f>ABR!$AJ31</f>
        <v>5583.9279999999999</v>
      </c>
      <c r="AJ31" s="147">
        <f>MAI!$T31</f>
        <v>7324.2080000000005</v>
      </c>
      <c r="AK31" s="147">
        <f>JUN!$T31</f>
        <v>13765.832000000002</v>
      </c>
      <c r="AL31" s="147">
        <f>JUL!$T31</f>
        <v>23388.392000000003</v>
      </c>
      <c r="AM31" s="147">
        <f>AGO!$T31</f>
        <v>31956.304</v>
      </c>
      <c r="AN31" s="147">
        <f>SET!$T31</f>
        <v>7306.4720000000007</v>
      </c>
      <c r="AO31" s="147">
        <f>OUT!$T31</f>
        <v>2901.56</v>
      </c>
      <c r="AP31" s="147">
        <f>NOV!$T31</f>
        <v>5029.0720000000001</v>
      </c>
      <c r="AQ31" s="147">
        <f>DEZ!$T31</f>
        <v>8374.9279999999999</v>
      </c>
      <c r="AR31" s="177">
        <f t="shared" si="1"/>
        <v>170759.19200000004</v>
      </c>
    </row>
    <row r="32" spans="1:45">
      <c r="A32" s="214" t="s">
        <v>37</v>
      </c>
      <c r="B32" s="148">
        <f>SUM(B5:B31)</f>
        <v>16872606.794668749</v>
      </c>
      <c r="C32" s="148">
        <f t="shared" ref="C32:D32" si="3">SUM(C5:C31)</f>
        <v>31042597.001886699</v>
      </c>
      <c r="D32" s="148">
        <f t="shared" si="3"/>
        <v>37920488.755200654</v>
      </c>
      <c r="E32" s="148">
        <f>SUM(E5:E31)</f>
        <v>43849583.188908465</v>
      </c>
      <c r="F32" s="148">
        <f t="shared" ref="F32:N32" si="4">SUM(F5:F31)</f>
        <v>51895326.345763728</v>
      </c>
      <c r="G32" s="148">
        <f t="shared" si="4"/>
        <v>58182956.924479634</v>
      </c>
      <c r="H32" s="148">
        <f t="shared" si="4"/>
        <v>60433463.032528609</v>
      </c>
      <c r="I32" s="148">
        <f t="shared" si="4"/>
        <v>62493980.926565766</v>
      </c>
      <c r="J32" s="148">
        <f t="shared" si="4"/>
        <v>64106362.906237818</v>
      </c>
      <c r="K32" s="148">
        <f t="shared" si="4"/>
        <v>65940808.249842204</v>
      </c>
      <c r="L32" s="148">
        <f t="shared" si="4"/>
        <v>67542867.095558494</v>
      </c>
      <c r="M32" s="148">
        <f t="shared" si="4"/>
        <v>69106070.415999994</v>
      </c>
      <c r="N32" s="148">
        <f t="shared" si="4"/>
        <v>69106070.415999994</v>
      </c>
      <c r="P32" s="215" t="s">
        <v>37</v>
      </c>
      <c r="Q32" s="148">
        <f>SUM(Q5:Q31)</f>
        <v>9861754.1319101527</v>
      </c>
      <c r="R32" s="148">
        <f t="shared" ref="R32:S32" si="5">SUM(R5:R31)</f>
        <v>18121301.492471941</v>
      </c>
      <c r="S32" s="148">
        <f t="shared" si="5"/>
        <v>22117375.927527167</v>
      </c>
      <c r="T32" s="148">
        <f>SUM(T5:T31)</f>
        <v>25569841.078916967</v>
      </c>
      <c r="U32" s="148">
        <f t="shared" ref="U32:AC32" si="6">SUM(U5:U31)</f>
        <v>30251976.152307808</v>
      </c>
      <c r="V32" s="148">
        <f t="shared" si="6"/>
        <v>33901210.89972093</v>
      </c>
      <c r="W32" s="148">
        <f t="shared" si="6"/>
        <v>35205073.466768444</v>
      </c>
      <c r="X32" s="148">
        <f t="shared" si="6"/>
        <v>36397829.816676177</v>
      </c>
      <c r="Y32" s="148">
        <f t="shared" si="6"/>
        <v>37328681.065514654</v>
      </c>
      <c r="Z32" s="148">
        <f t="shared" si="6"/>
        <v>38394984.506064512</v>
      </c>
      <c r="AA32" s="148">
        <f t="shared" si="6"/>
        <v>39327316.890580207</v>
      </c>
      <c r="AB32" s="148">
        <f t="shared" si="6"/>
        <v>40232030.677999996</v>
      </c>
      <c r="AC32" s="148">
        <f t="shared" si="6"/>
        <v>40232030.677999996</v>
      </c>
      <c r="AE32" s="215" t="s">
        <v>37</v>
      </c>
      <c r="AF32" s="148">
        <f>SUM(AF5:AF31)</f>
        <v>9402314.0800000001</v>
      </c>
      <c r="AG32" s="148">
        <f t="shared" ref="AG32:AL32" si="7">SUM(AG5:AG31)</f>
        <v>8791955.4480000008</v>
      </c>
      <c r="AH32" s="148">
        <f t="shared" si="7"/>
        <v>4750009.7120000003</v>
      </c>
      <c r="AI32" s="148">
        <f>SUM(AI5:AI31)</f>
        <v>2077934.8</v>
      </c>
      <c r="AJ32" s="148">
        <f t="shared" si="7"/>
        <v>1821239.5680000002</v>
      </c>
      <c r="AK32" s="148">
        <f t="shared" si="7"/>
        <v>2814777.7600000002</v>
      </c>
      <c r="AL32" s="148">
        <f t="shared" si="7"/>
        <v>4311908.7439999999</v>
      </c>
      <c r="AM32" s="148">
        <f t="shared" ref="AM32:AR32" si="8">SUM(AM5:AM31)</f>
        <v>4594825.5360000003</v>
      </c>
      <c r="AN32" s="148">
        <f t="shared" si="8"/>
        <v>1827116.6720000003</v>
      </c>
      <c r="AO32" s="148">
        <f t="shared" si="8"/>
        <v>768935.85600000015</v>
      </c>
      <c r="AP32" s="148">
        <f t="shared" si="8"/>
        <v>1319538.48</v>
      </c>
      <c r="AQ32" s="148">
        <f t="shared" si="8"/>
        <v>1377468.6400000004</v>
      </c>
      <c r="AR32" s="148">
        <f t="shared" si="8"/>
        <v>43858025.296000004</v>
      </c>
      <c r="AS32" s="62" t="b">
        <f>AR32='Anuid PF'!AX34</f>
        <v>1</v>
      </c>
    </row>
    <row r="33" spans="1:45">
      <c r="N33" s="62">
        <f>N32-SUM(B214:B240)</f>
        <v>0</v>
      </c>
      <c r="Q33" s="62">
        <f>Q32</f>
        <v>9861754.1319101527</v>
      </c>
      <c r="R33" s="62">
        <f t="shared" ref="R33:AB33" si="9">R32-Q32</f>
        <v>8259547.3605617881</v>
      </c>
      <c r="S33" s="62">
        <f t="shared" si="9"/>
        <v>3996074.4350552261</v>
      </c>
      <c r="T33" s="62">
        <f t="shared" si="9"/>
        <v>3452465.1513898</v>
      </c>
      <c r="U33" s="62">
        <f t="shared" si="9"/>
        <v>4682135.0733908415</v>
      </c>
      <c r="V33" s="62">
        <f t="shared" si="9"/>
        <v>3649234.7474131212</v>
      </c>
      <c r="W33" s="62">
        <f t="shared" si="9"/>
        <v>1303862.567047514</v>
      </c>
      <c r="X33" s="62">
        <f t="shared" si="9"/>
        <v>1192756.3499077335</v>
      </c>
      <c r="Y33" s="62">
        <f t="shared" si="9"/>
        <v>930851.24883847684</v>
      </c>
      <c r="Z33" s="62">
        <f t="shared" si="9"/>
        <v>1066303.4405498579</v>
      </c>
      <c r="AA33" s="62">
        <f t="shared" si="9"/>
        <v>932332.38451569527</v>
      </c>
      <c r="AB33" s="62">
        <f t="shared" si="9"/>
        <v>904713.78741978854</v>
      </c>
      <c r="AC33" s="62">
        <f>SUM(Q33:AB33)</f>
        <v>40232030.677999996</v>
      </c>
      <c r="AR33" s="62">
        <f>AR32-'TOTAL POR UF'!B32</f>
        <v>0</v>
      </c>
    </row>
    <row r="34" spans="1:45">
      <c r="A34" s="212" t="s">
        <v>241</v>
      </c>
      <c r="B34" s="147">
        <f>B32*0.2/0.8</f>
        <v>4218151.6986671872</v>
      </c>
      <c r="C34" s="147">
        <f t="shared" ref="C34:M34" si="10">C32*0.2/0.8</f>
        <v>7760649.2504716758</v>
      </c>
      <c r="D34" s="147">
        <f t="shared" si="10"/>
        <v>9480122.1888001636</v>
      </c>
      <c r="E34" s="147">
        <f t="shared" si="10"/>
        <v>10962395.797227114</v>
      </c>
      <c r="F34" s="147">
        <f t="shared" si="10"/>
        <v>12973831.586440932</v>
      </c>
      <c r="G34" s="147">
        <f t="shared" si="10"/>
        <v>14545739.23111991</v>
      </c>
      <c r="H34" s="147">
        <f t="shared" si="10"/>
        <v>15108365.758132152</v>
      </c>
      <c r="I34" s="147">
        <f t="shared" si="10"/>
        <v>15623495.231641442</v>
      </c>
      <c r="J34" s="147">
        <f t="shared" si="10"/>
        <v>16026590.726559455</v>
      </c>
      <c r="K34" s="147">
        <f t="shared" si="10"/>
        <v>16485202.062460551</v>
      </c>
      <c r="L34" s="147">
        <f t="shared" si="10"/>
        <v>16885716.773889624</v>
      </c>
      <c r="M34" s="147">
        <f t="shared" si="10"/>
        <v>17276517.603999998</v>
      </c>
      <c r="N34" s="147">
        <f t="shared" ref="N34" si="11">M34</f>
        <v>17276517.603999998</v>
      </c>
      <c r="P34" s="212" t="s">
        <v>241</v>
      </c>
      <c r="Q34" s="147">
        <f>'Médias por UF'!CG30*'Evolução das Receitas'!$Q$241</f>
        <v>1791704.0862111999</v>
      </c>
      <c r="R34" s="147">
        <f>'Médias por UF'!CH30*'Evolução das Receitas'!$Q$241</f>
        <v>3914330.9478754932</v>
      </c>
      <c r="S34" s="147">
        <f>'Médias por UF'!CI30*'Evolução das Receitas'!$Q$241</f>
        <v>5015077.7134414101</v>
      </c>
      <c r="T34" s="147">
        <f>'Médias por UF'!CJ30*'Evolução das Receitas'!$Q$241</f>
        <v>5913581.1802300587</v>
      </c>
      <c r="U34" s="147">
        <f>'Médias por UF'!CK30*'Evolução das Receitas'!$Q$241</f>
        <v>7063333.636870279</v>
      </c>
      <c r="V34" s="147">
        <f>'Médias por UF'!CL30*'Evolução das Receitas'!$Q$241</f>
        <v>8120912.6913453247</v>
      </c>
      <c r="W34" s="147">
        <f>'Médias por UF'!CM30*'Evolução das Receitas'!$Q$241</f>
        <v>8485257.8351652287</v>
      </c>
      <c r="X34" s="147">
        <f>'Médias por UF'!CN30*'Evolução das Receitas'!$Q$241</f>
        <v>8820004.7382773347</v>
      </c>
      <c r="Y34" s="147">
        <f>'Médias por UF'!CO30*'Evolução das Receitas'!$Q$241</f>
        <v>9104038.8482945561</v>
      </c>
      <c r="Z34" s="147">
        <f>'Médias por UF'!CP30*'Evolução das Receitas'!$Q$241</f>
        <v>9394229.004153708</v>
      </c>
      <c r="AA34" s="147">
        <f>'Médias por UF'!CQ30*'Evolução das Receitas'!$Q$241</f>
        <v>9645586.1190328188</v>
      </c>
      <c r="AB34" s="147">
        <f>'Médias por UF'!CR30*'Evolução das Receitas'!$Q$241</f>
        <v>9890494.6805000007</v>
      </c>
      <c r="AC34" s="147">
        <f t="shared" ref="AC34" si="12">AB34</f>
        <v>9890494.6805000007</v>
      </c>
      <c r="AE34" s="213" t="s">
        <v>241</v>
      </c>
      <c r="AF34" s="147">
        <f>JAN!$AI$67</f>
        <v>2350578.52</v>
      </c>
      <c r="AG34" s="147">
        <f>FEV!$AI$67</f>
        <v>2197988.8620000002</v>
      </c>
      <c r="AH34" s="147">
        <f>MAR!$AI67</f>
        <v>1187502.4280000001</v>
      </c>
      <c r="AI34" s="147">
        <f>ABR!$AJ$67</f>
        <v>519483.7</v>
      </c>
      <c r="AJ34" s="147">
        <f>MAI!$T$67</f>
        <v>455309.89200000005</v>
      </c>
      <c r="AK34" s="147">
        <f>JUN!$T$67</f>
        <v>703694.44000000006</v>
      </c>
      <c r="AL34" s="147">
        <f>JUL!$T$67</f>
        <v>1077977.186</v>
      </c>
      <c r="AM34" s="147">
        <f>AGO!$T$67</f>
        <v>1148706.3840000001</v>
      </c>
      <c r="AN34" s="147">
        <f>SET!$T$67</f>
        <v>456779.16800000006</v>
      </c>
      <c r="AO34" s="147">
        <f>OUT!$T$67</f>
        <v>192233.96400000004</v>
      </c>
      <c r="AP34" s="147">
        <f>NOV!$T$67</f>
        <v>329884.62</v>
      </c>
      <c r="AQ34" s="147">
        <f>DEZ!$T$67</f>
        <v>344367.16000000009</v>
      </c>
      <c r="AR34" s="177">
        <f t="shared" ref="AR34" si="13">SUM(AF34:AQ34)</f>
        <v>10964506.323999999</v>
      </c>
      <c r="AS34" s="62" t="b">
        <f>AR34='Anuid PF'!AX35</f>
        <v>1</v>
      </c>
    </row>
    <row r="35" spans="1:45" ht="21">
      <c r="A35" s="1385" t="s">
        <v>290</v>
      </c>
      <c r="B35" s="1385"/>
      <c r="C35" s="1385"/>
      <c r="D35" s="1385"/>
      <c r="E35" s="1385"/>
      <c r="F35" s="1385"/>
      <c r="G35" s="1385"/>
      <c r="H35" s="1385"/>
      <c r="I35" s="1385"/>
      <c r="J35" s="1385"/>
      <c r="K35" s="1385"/>
      <c r="L35" s="1385"/>
      <c r="M35" s="1385"/>
      <c r="N35" s="1385"/>
      <c r="P35" s="1385" t="s">
        <v>129</v>
      </c>
      <c r="Q35" s="1385"/>
      <c r="R35" s="1385"/>
      <c r="S35" s="1385"/>
      <c r="T35" s="1385"/>
      <c r="U35" s="1385"/>
      <c r="V35" s="1385"/>
      <c r="W35" s="1385"/>
      <c r="X35" s="1385"/>
      <c r="Y35" s="1385"/>
      <c r="Z35" s="1385"/>
      <c r="AA35" s="1385"/>
      <c r="AB35" s="1385"/>
      <c r="AC35" s="1385"/>
      <c r="AE35" s="1385" t="s">
        <v>289</v>
      </c>
      <c r="AF35" s="1385"/>
      <c r="AG35" s="1385"/>
      <c r="AH35" s="1385"/>
      <c r="AI35" s="1385"/>
      <c r="AJ35" s="1385"/>
      <c r="AK35" s="1385"/>
      <c r="AL35" s="1385"/>
      <c r="AM35" s="1385"/>
      <c r="AN35" s="1385"/>
      <c r="AO35" s="1385"/>
      <c r="AP35" s="1385"/>
      <c r="AQ35" s="1385"/>
      <c r="AR35" s="1385"/>
    </row>
    <row r="36" spans="1:45"/>
    <row r="37" spans="1:45">
      <c r="A37" s="1386" t="s">
        <v>33</v>
      </c>
      <c r="B37" s="1389" t="s">
        <v>291</v>
      </c>
      <c r="C37" s="1390"/>
      <c r="D37" s="1390"/>
      <c r="E37" s="1390"/>
      <c r="F37" s="1390"/>
      <c r="G37" s="1390"/>
      <c r="H37" s="1390"/>
      <c r="I37" s="1390"/>
      <c r="J37" s="1390"/>
      <c r="K37" s="1390"/>
      <c r="L37" s="1390"/>
      <c r="M37" s="1390"/>
      <c r="P37" s="1386" t="s">
        <v>33</v>
      </c>
      <c r="Q37" s="1389" t="s">
        <v>291</v>
      </c>
      <c r="R37" s="1390"/>
      <c r="S37" s="1390"/>
      <c r="T37" s="1390"/>
      <c r="U37" s="1390"/>
      <c r="V37" s="1390"/>
      <c r="W37" s="1390"/>
      <c r="X37" s="1390"/>
      <c r="Y37" s="1390"/>
      <c r="Z37" s="1390"/>
      <c r="AA37" s="1390"/>
      <c r="AB37" s="1390"/>
      <c r="AE37" s="1386" t="s">
        <v>33</v>
      </c>
      <c r="AF37" s="1389" t="s">
        <v>291</v>
      </c>
      <c r="AG37" s="1390"/>
      <c r="AH37" s="1390"/>
      <c r="AI37" s="1390"/>
      <c r="AJ37" s="1390"/>
      <c r="AK37" s="1390"/>
      <c r="AL37" s="1390"/>
      <c r="AM37" s="1390"/>
      <c r="AN37" s="1390"/>
      <c r="AO37" s="1390"/>
      <c r="AP37" s="1390"/>
      <c r="AQ37" s="1390"/>
    </row>
    <row r="38" spans="1:45">
      <c r="A38" s="1387"/>
      <c r="B38" s="211" t="s">
        <v>116</v>
      </c>
      <c r="C38" s="211" t="s">
        <v>117</v>
      </c>
      <c r="D38" s="211" t="s">
        <v>118</v>
      </c>
      <c r="E38" s="211" t="s">
        <v>119</v>
      </c>
      <c r="F38" s="211" t="s">
        <v>120</v>
      </c>
      <c r="G38" s="211" t="s">
        <v>121</v>
      </c>
      <c r="H38" s="211" t="s">
        <v>122</v>
      </c>
      <c r="I38" s="211" t="s">
        <v>123</v>
      </c>
      <c r="J38" s="211" t="s">
        <v>124</v>
      </c>
      <c r="K38" s="211" t="s">
        <v>125</v>
      </c>
      <c r="L38" s="211" t="s">
        <v>126</v>
      </c>
      <c r="M38" s="211" t="s">
        <v>127</v>
      </c>
      <c r="N38" s="211" t="s">
        <v>128</v>
      </c>
      <c r="P38" s="1387"/>
      <c r="Q38" s="211" t="s">
        <v>116</v>
      </c>
      <c r="R38" s="211" t="s">
        <v>117</v>
      </c>
      <c r="S38" s="211" t="s">
        <v>118</v>
      </c>
      <c r="T38" s="211" t="s">
        <v>119</v>
      </c>
      <c r="U38" s="211" t="s">
        <v>120</v>
      </c>
      <c r="V38" s="211" t="s">
        <v>121</v>
      </c>
      <c r="W38" s="211" t="s">
        <v>122</v>
      </c>
      <c r="X38" s="211" t="s">
        <v>123</v>
      </c>
      <c r="Y38" s="211" t="s">
        <v>124</v>
      </c>
      <c r="Z38" s="211" t="s">
        <v>125</v>
      </c>
      <c r="AA38" s="211" t="s">
        <v>126</v>
      </c>
      <c r="AB38" s="211" t="s">
        <v>127</v>
      </c>
      <c r="AC38" s="211" t="s">
        <v>128</v>
      </c>
      <c r="AE38" s="1387"/>
      <c r="AF38" s="211" t="s">
        <v>116</v>
      </c>
      <c r="AG38" s="211" t="s">
        <v>117</v>
      </c>
      <c r="AH38" s="211" t="s">
        <v>118</v>
      </c>
      <c r="AI38" s="211" t="s">
        <v>119</v>
      </c>
      <c r="AJ38" s="211" t="s">
        <v>120</v>
      </c>
      <c r="AK38" s="211" t="s">
        <v>121</v>
      </c>
      <c r="AL38" s="211" t="s">
        <v>122</v>
      </c>
      <c r="AM38" s="211" t="s">
        <v>123</v>
      </c>
      <c r="AN38" s="211" t="s">
        <v>124</v>
      </c>
      <c r="AO38" s="211" t="s">
        <v>125</v>
      </c>
      <c r="AP38" s="211" t="s">
        <v>126</v>
      </c>
      <c r="AQ38" s="211" t="s">
        <v>127</v>
      </c>
      <c r="AR38" s="211" t="s">
        <v>128</v>
      </c>
    </row>
    <row r="39" spans="1:45">
      <c r="A39" s="212" t="s">
        <v>87</v>
      </c>
      <c r="B39" s="147">
        <f>$C$214*'Médias por UF'!CG33</f>
        <v>3123.9911757625387</v>
      </c>
      <c r="C39" s="147">
        <f>$C$214*'Médias por UF'!CH33</f>
        <v>4995.5351532834839</v>
      </c>
      <c r="D39" s="147">
        <f>$C$214*'Médias por UF'!CI33</f>
        <v>6186.477806038014</v>
      </c>
      <c r="E39" s="147">
        <f>$C$214*'Médias por UF'!CJ33</f>
        <v>7597.6099342734296</v>
      </c>
      <c r="F39" s="147">
        <f>$C$214*'Médias por UF'!CK33</f>
        <v>9758.1300114838086</v>
      </c>
      <c r="G39" s="147">
        <f>$C$214*'Médias por UF'!CL33</f>
        <v>10478.518780594271</v>
      </c>
      <c r="H39" s="147">
        <f>$C$214*'Médias por UF'!CM33</f>
        <v>12074.010780560206</v>
      </c>
      <c r="I39" s="147">
        <f>$C$214*'Médias por UF'!CN33</f>
        <v>14754.647150697563</v>
      </c>
      <c r="J39" s="147">
        <f>$C$214*'Médias por UF'!CO33</f>
        <v>15550.184047199769</v>
      </c>
      <c r="K39" s="147">
        <f>$C$214*'Médias por UF'!CP33</f>
        <v>16769.837348189416</v>
      </c>
      <c r="L39" s="147">
        <f>$C$214*'Médias por UF'!CQ33</f>
        <v>18343.660665625706</v>
      </c>
      <c r="M39" s="147">
        <f>$C$214*'Médias por UF'!CR33</f>
        <v>19126.64</v>
      </c>
      <c r="N39" s="147">
        <f>M39</f>
        <v>19126.64</v>
      </c>
      <c r="P39" s="213" t="s">
        <v>87</v>
      </c>
      <c r="Q39" s="147">
        <f>'Médias por UF'!CG33*'Evolução das Receitas'!$R$214</f>
        <v>3123.9911757625387</v>
      </c>
      <c r="R39" s="147">
        <f>'Médias por UF'!CH33*'Evolução das Receitas'!$R$214</f>
        <v>4995.5351532834839</v>
      </c>
      <c r="S39" s="147">
        <f>'Médias por UF'!CI33*'Evolução das Receitas'!$R$214</f>
        <v>6186.477806038014</v>
      </c>
      <c r="T39" s="147">
        <f>'Médias por UF'!CJ33*'Evolução das Receitas'!$R$214</f>
        <v>7597.6099342734296</v>
      </c>
      <c r="U39" s="147">
        <f>'Médias por UF'!CK33*'Evolução das Receitas'!$R$214</f>
        <v>9758.1300114838086</v>
      </c>
      <c r="V39" s="147">
        <f>'Médias por UF'!CL33*'Evolução das Receitas'!$R$214</f>
        <v>10478.518780594271</v>
      </c>
      <c r="W39" s="147">
        <f>'Médias por UF'!CM33*'Evolução das Receitas'!$R$214</f>
        <v>12074.010780560206</v>
      </c>
      <c r="X39" s="147">
        <f>'Médias por UF'!CN33*'Evolução das Receitas'!$R$214</f>
        <v>14754.647150697563</v>
      </c>
      <c r="Y39" s="147">
        <f>'Médias por UF'!CO33*'Evolução das Receitas'!$R$214</f>
        <v>15550.184047199769</v>
      </c>
      <c r="Z39" s="147">
        <f>'Médias por UF'!CP33*'Evolução das Receitas'!$R$214</f>
        <v>16769.837348189416</v>
      </c>
      <c r="AA39" s="147">
        <f>'Médias por UF'!CQ33*'Evolução das Receitas'!$R$214</f>
        <v>18343.660665625706</v>
      </c>
      <c r="AB39" s="147">
        <f>'Médias por UF'!CR33*'Evolução das Receitas'!$R$214</f>
        <v>19126.64</v>
      </c>
      <c r="AC39" s="147">
        <f>AB39</f>
        <v>19126.64</v>
      </c>
      <c r="AE39" s="213" t="s">
        <v>87</v>
      </c>
      <c r="AF39" s="147">
        <f>JAN!$AJ$5</f>
        <v>3850.3919999999998</v>
      </c>
      <c r="AG39" s="147">
        <f>FEV!$AJ$5</f>
        <v>3351.2480000000005</v>
      </c>
      <c r="AH39" s="147">
        <f>MAR!$AJ5</f>
        <v>3421.1040000000003</v>
      </c>
      <c r="AI39" s="147">
        <f>ABR!$AK5</f>
        <v>1214.288</v>
      </c>
      <c r="AJ39" s="147">
        <f>MAI!$U5</f>
        <v>1032.5040000000001</v>
      </c>
      <c r="AK39" s="147">
        <f>JUN!$U5</f>
        <v>1915.1120000000001</v>
      </c>
      <c r="AL39" s="147">
        <f>JUL!$U5</f>
        <v>1261.7439999999974</v>
      </c>
      <c r="AM39" s="147">
        <f>AGO!$U5</f>
        <v>4474.0639999999985</v>
      </c>
      <c r="AN39" s="147">
        <f>SET!$U5</f>
        <v>3106.2000000000016</v>
      </c>
      <c r="AO39" s="147">
        <f>OUT!$U5</f>
        <v>8339.1119999999992</v>
      </c>
      <c r="AP39" s="147">
        <f>NOV!$U5</f>
        <v>1325.3760000000002</v>
      </c>
      <c r="AQ39" s="147">
        <f>DEZ!$U5</f>
        <v>2157.559999999999</v>
      </c>
      <c r="AR39" s="177">
        <f>SUM(AF39:AQ39)</f>
        <v>35448.703999999998</v>
      </c>
    </row>
    <row r="40" spans="1:45">
      <c r="A40" s="212" t="s">
        <v>88</v>
      </c>
      <c r="B40" s="147">
        <f>$C$215*'Médias por UF'!CG34</f>
        <v>11893.143705940351</v>
      </c>
      <c r="C40" s="147">
        <f>$C$215*'Médias por UF'!CH34</f>
        <v>23800.218452869922</v>
      </c>
      <c r="D40" s="147">
        <f>$C$215*'Médias por UF'!CI34</f>
        <v>31607.963426562052</v>
      </c>
      <c r="E40" s="147">
        <f>$C$215*'Médias por UF'!CJ34</f>
        <v>38132.051411754917</v>
      </c>
      <c r="F40" s="147">
        <f>$C$215*'Médias por UF'!CK34</f>
        <v>46821.452525188673</v>
      </c>
      <c r="G40" s="147">
        <f>$C$215*'Médias por UF'!CL34</f>
        <v>53168.350979680581</v>
      </c>
      <c r="H40" s="147">
        <f>$C$215*'Médias por UF'!CM34</f>
        <v>58135.807565822259</v>
      </c>
      <c r="I40" s="147">
        <f>$C$215*'Médias por UF'!CN34</f>
        <v>64245.7661579993</v>
      </c>
      <c r="J40" s="147">
        <f>$C$215*'Médias por UF'!CO34</f>
        <v>69563.532047554851</v>
      </c>
      <c r="K40" s="147">
        <f>$C$215*'Médias por UF'!CP34</f>
        <v>75441.95678069866</v>
      </c>
      <c r="L40" s="147">
        <f>$C$215*'Médias por UF'!CQ34</f>
        <v>81995.702882321391</v>
      </c>
      <c r="M40" s="147">
        <f>$C$215*'Médias por UF'!CR34</f>
        <v>89069.3</v>
      </c>
      <c r="N40" s="147">
        <f t="shared" ref="N40:N65" si="14">M40</f>
        <v>89069.3</v>
      </c>
      <c r="P40" s="213" t="s">
        <v>88</v>
      </c>
      <c r="Q40" s="147">
        <f>'Médias por UF'!CG34*'Evolução das Receitas'!$R$215</f>
        <v>19233.551681476922</v>
      </c>
      <c r="R40" s="147">
        <f>'Médias por UF'!CH34*'Evolução das Receitas'!$R$215</f>
        <v>38489.632595213028</v>
      </c>
      <c r="S40" s="147">
        <f>'Médias por UF'!CI34*'Evolução das Receitas'!$R$215</f>
        <v>51116.291297091193</v>
      </c>
      <c r="T40" s="147">
        <f>'Médias por UF'!CJ34*'Evolução das Receitas'!$R$215</f>
        <v>61667.024268982765</v>
      </c>
      <c r="U40" s="147">
        <f>'Médias por UF'!CK34*'Evolução das Receitas'!$R$215</f>
        <v>75719.494291087569</v>
      </c>
      <c r="V40" s="147">
        <f>'Médias por UF'!CL34*'Evolução das Receitas'!$R$215</f>
        <v>85983.676954632057</v>
      </c>
      <c r="W40" s="147">
        <f>'Médias por UF'!CM34*'Evolução das Receitas'!$R$215</f>
        <v>94017.030905221924</v>
      </c>
      <c r="X40" s="147">
        <f>'Médias por UF'!CN34*'Evolução das Receitas'!$R$215</f>
        <v>103898.03522669701</v>
      </c>
      <c r="Y40" s="147">
        <f>'Médias por UF'!CO34*'Evolução das Receitas'!$R$215</f>
        <v>112497.90819515998</v>
      </c>
      <c r="Z40" s="147">
        <f>'Médias por UF'!CP34*'Evolução das Receitas'!$R$215</f>
        <v>122004.47674474552</v>
      </c>
      <c r="AA40" s="147">
        <f>'Médias por UF'!CQ34*'Evolução das Receitas'!$R$215</f>
        <v>132603.17272198145</v>
      </c>
      <c r="AB40" s="147">
        <f>'Médias por UF'!CR34*'Evolução das Receitas'!$R$215</f>
        <v>144042.57</v>
      </c>
      <c r="AC40" s="147">
        <f t="shared" ref="AC40:AC65" si="15">AB40</f>
        <v>144042.57</v>
      </c>
      <c r="AE40" s="213" t="s">
        <v>88</v>
      </c>
      <c r="AF40" s="147">
        <f>JAN!$AJ$6</f>
        <v>25126.440000000002</v>
      </c>
      <c r="AG40" s="147">
        <f>FEV!$AJ$6</f>
        <v>16464.688000000002</v>
      </c>
      <c r="AH40" s="147">
        <f>MAR!$AJ6</f>
        <v>13770.735999999999</v>
      </c>
      <c r="AI40" s="147">
        <f>ABR!$AK6</f>
        <v>10478.880000000001</v>
      </c>
      <c r="AJ40" s="147">
        <f>MAI!$U6</f>
        <v>8710.2320000000018</v>
      </c>
      <c r="AK40" s="147">
        <f>JUN!$U6</f>
        <v>10994.336000000001</v>
      </c>
      <c r="AL40" s="147">
        <f>JUL!$U6</f>
        <v>14140.256000000001</v>
      </c>
      <c r="AM40" s="147">
        <f>AGO!$U6</f>
        <v>14468.976000000002</v>
      </c>
      <c r="AN40" s="147">
        <f>SET!$U6</f>
        <v>13769.927999999998</v>
      </c>
      <c r="AO40" s="147">
        <f>OUT!$U6</f>
        <v>26093.544000000005</v>
      </c>
      <c r="AP40" s="147">
        <f>NOV!$U6</f>
        <v>11461.576000000001</v>
      </c>
      <c r="AQ40" s="147">
        <f>DEZ!$U6</f>
        <v>17132.072000000004</v>
      </c>
      <c r="AR40" s="177">
        <f t="shared" ref="AR40:AR65" si="16">SUM(AF40:AQ40)</f>
        <v>182611.66400000002</v>
      </c>
    </row>
    <row r="41" spans="1:45">
      <c r="A41" s="212" t="s">
        <v>89</v>
      </c>
      <c r="B41" s="147">
        <f>$C$216*'Médias por UF'!CG35</f>
        <v>3714.7853947792755</v>
      </c>
      <c r="C41" s="147">
        <f>$C$216*'Médias por UF'!CH35</f>
        <v>6416.8433289737923</v>
      </c>
      <c r="D41" s="147">
        <f>$C$216*'Médias por UF'!CI35</f>
        <v>9596.6007984026837</v>
      </c>
      <c r="E41" s="147">
        <f>$C$216*'Médias por UF'!CJ35</f>
        <v>12044.79273122739</v>
      </c>
      <c r="F41" s="147">
        <f>$C$216*'Médias por UF'!CK35</f>
        <v>14243.758800889485</v>
      </c>
      <c r="G41" s="147">
        <f>$C$216*'Médias por UF'!CL35</f>
        <v>16227.322838273758</v>
      </c>
      <c r="H41" s="147">
        <f>$C$216*'Médias por UF'!CM35</f>
        <v>18503.852713325603</v>
      </c>
      <c r="I41" s="147">
        <f>$C$216*'Médias por UF'!CN35</f>
        <v>20419.8248524599</v>
      </c>
      <c r="J41" s="147">
        <f>$C$216*'Médias por UF'!CO35</f>
        <v>22664.063395877412</v>
      </c>
      <c r="K41" s="147">
        <f>$C$216*'Médias por UF'!CP35</f>
        <v>24794.93004073928</v>
      </c>
      <c r="L41" s="147">
        <f>$C$216*'Médias por UF'!CQ35</f>
        <v>27132.804754769808</v>
      </c>
      <c r="M41" s="147">
        <f>$C$216*'Médias por UF'!CR35</f>
        <v>28698.84</v>
      </c>
      <c r="N41" s="147">
        <f t="shared" si="14"/>
        <v>28698.84</v>
      </c>
      <c r="P41" s="213" t="s">
        <v>89</v>
      </c>
      <c r="Q41" s="147">
        <f>'Médias por UF'!CG35*'Evolução das Receitas'!$R$216</f>
        <v>3714.7853947792755</v>
      </c>
      <c r="R41" s="147">
        <f>'Médias por UF'!CH35*'Evolução das Receitas'!$R$216</f>
        <v>6416.8433289737923</v>
      </c>
      <c r="S41" s="147">
        <f>'Médias por UF'!CI35*'Evolução das Receitas'!$R$216</f>
        <v>9596.6007984026837</v>
      </c>
      <c r="T41" s="147">
        <f>'Médias por UF'!CJ35*'Evolução das Receitas'!$R$216</f>
        <v>12044.79273122739</v>
      </c>
      <c r="U41" s="147">
        <f>'Médias por UF'!CK35*'Evolução das Receitas'!$R$216</f>
        <v>14243.758800889485</v>
      </c>
      <c r="V41" s="147">
        <f>'Médias por UF'!CL35*'Evolução das Receitas'!$R$216</f>
        <v>16227.322838273758</v>
      </c>
      <c r="W41" s="147">
        <f>'Médias por UF'!CM35*'Evolução das Receitas'!$R$216</f>
        <v>18503.852713325603</v>
      </c>
      <c r="X41" s="147">
        <f>'Médias por UF'!CN35*'Evolução das Receitas'!$R$216</f>
        <v>20419.8248524599</v>
      </c>
      <c r="Y41" s="147">
        <f>'Médias por UF'!CO35*'Evolução das Receitas'!$R$216</f>
        <v>22664.063395877412</v>
      </c>
      <c r="Z41" s="147">
        <f>'Médias por UF'!CP35*'Evolução das Receitas'!$R$216</f>
        <v>24794.93004073928</v>
      </c>
      <c r="AA41" s="147">
        <f>'Médias por UF'!CQ35*'Evolução das Receitas'!$R$216</f>
        <v>27132.804754769808</v>
      </c>
      <c r="AB41" s="147">
        <f>'Médias por UF'!CR35*'Evolução das Receitas'!$R$216</f>
        <v>28698.84</v>
      </c>
      <c r="AC41" s="147">
        <f t="shared" si="15"/>
        <v>28698.84</v>
      </c>
      <c r="AE41" s="213" t="s">
        <v>89</v>
      </c>
      <c r="AF41" s="147">
        <f>JAN!$AJ$7</f>
        <v>6473.5680000000002</v>
      </c>
      <c r="AG41" s="147">
        <f>FEV!$AJ$7</f>
        <v>5700.0400000000009</v>
      </c>
      <c r="AH41" s="147">
        <f>MAR!$AJ7</f>
        <v>3919.8559999999998</v>
      </c>
      <c r="AI41" s="147">
        <f>ABR!$AK7</f>
        <v>3079.4400000000005</v>
      </c>
      <c r="AJ41" s="147">
        <f>MAI!$U7</f>
        <v>3016.1759999999999</v>
      </c>
      <c r="AK41" s="147">
        <f>JUN!$U7</f>
        <v>3764.2160000000003</v>
      </c>
      <c r="AL41" s="147">
        <f>JUL!$U7</f>
        <v>6781.24</v>
      </c>
      <c r="AM41" s="147">
        <f>AGO!$U7</f>
        <v>7456.7600000000011</v>
      </c>
      <c r="AN41" s="147">
        <f>SET!$U7</f>
        <v>4516.3840000000009</v>
      </c>
      <c r="AO41" s="147">
        <f>OUT!$U7</f>
        <v>10084.023999999999</v>
      </c>
      <c r="AP41" s="147">
        <f>NOV!$U7</f>
        <v>4774.5280000000002</v>
      </c>
      <c r="AQ41" s="147">
        <f>DEZ!$U7</f>
        <v>2685.7280000000001</v>
      </c>
      <c r="AR41" s="177">
        <f t="shared" si="16"/>
        <v>62251.96</v>
      </c>
    </row>
    <row r="42" spans="1:45">
      <c r="A42" s="212" t="s">
        <v>90</v>
      </c>
      <c r="B42" s="147">
        <f>$C$217*'Médias por UF'!CG36</f>
        <v>16371.74206038947</v>
      </c>
      <c r="C42" s="147">
        <f>$C$217*'Médias por UF'!CH36</f>
        <v>32045.352557431503</v>
      </c>
      <c r="D42" s="147">
        <f>$C$217*'Médias por UF'!CI36</f>
        <v>44571.008655221478</v>
      </c>
      <c r="E42" s="147">
        <f>$C$217*'Médias por UF'!CJ36</f>
        <v>55202.067129096751</v>
      </c>
      <c r="F42" s="147">
        <f>$C$217*'Médias por UF'!CK36</f>
        <v>66730.898251454055</v>
      </c>
      <c r="G42" s="147">
        <f>$C$217*'Médias por UF'!CL36</f>
        <v>76558.62080024452</v>
      </c>
      <c r="H42" s="147">
        <f>$C$217*'Médias por UF'!CM36</f>
        <v>87466.026852596566</v>
      </c>
      <c r="I42" s="147">
        <f>$C$217*'Médias por UF'!CN36</f>
        <v>99066.957838315444</v>
      </c>
      <c r="J42" s="147">
        <f>$C$217*'Médias por UF'!CO36</f>
        <v>108530.24154258128</v>
      </c>
      <c r="K42" s="147">
        <f>$C$217*'Médias por UF'!CP36</f>
        <v>118386.78104390739</v>
      </c>
      <c r="L42" s="147">
        <f>$C$217*'Médias por UF'!CQ36</f>
        <v>126570.35549881338</v>
      </c>
      <c r="M42" s="147">
        <f>$C$217*'Médias por UF'!CR36</f>
        <v>134347.413</v>
      </c>
      <c r="N42" s="147">
        <f t="shared" si="14"/>
        <v>134347.413</v>
      </c>
      <c r="P42" s="213" t="s">
        <v>90</v>
      </c>
      <c r="Q42" s="147">
        <f>'Médias por UF'!CG36*'Evolução das Receitas'!$R$217</f>
        <v>16371.74206038947</v>
      </c>
      <c r="R42" s="147">
        <f>'Médias por UF'!CH36*'Evolução das Receitas'!$R$217</f>
        <v>32045.352557431503</v>
      </c>
      <c r="S42" s="147">
        <f>'Médias por UF'!CI36*'Evolução das Receitas'!$R$217</f>
        <v>44571.008655221478</v>
      </c>
      <c r="T42" s="147">
        <f>'Médias por UF'!CJ36*'Evolução das Receitas'!$R$217</f>
        <v>55202.067129096751</v>
      </c>
      <c r="U42" s="147">
        <f>'Médias por UF'!CK36*'Evolução das Receitas'!$R$217</f>
        <v>66730.898251454055</v>
      </c>
      <c r="V42" s="147">
        <f>'Médias por UF'!CL36*'Evolução das Receitas'!$R$217</f>
        <v>76558.62080024452</v>
      </c>
      <c r="W42" s="147">
        <f>'Médias por UF'!CM36*'Evolução das Receitas'!$R$217</f>
        <v>87466.026852596566</v>
      </c>
      <c r="X42" s="147">
        <f>'Médias por UF'!CN36*'Evolução das Receitas'!$R$217</f>
        <v>99066.957838315444</v>
      </c>
      <c r="Y42" s="147">
        <f>'Médias por UF'!CO36*'Evolução das Receitas'!$R$217</f>
        <v>108530.24154258128</v>
      </c>
      <c r="Z42" s="147">
        <f>'Médias por UF'!CP36*'Evolução das Receitas'!$R$217</f>
        <v>118386.78104390739</v>
      </c>
      <c r="AA42" s="147">
        <f>'Médias por UF'!CQ36*'Evolução das Receitas'!$R$217</f>
        <v>126570.35549881338</v>
      </c>
      <c r="AB42" s="147">
        <f>'Médias por UF'!CR36*'Evolução das Receitas'!$R$217</f>
        <v>134347.413</v>
      </c>
      <c r="AC42" s="147">
        <f t="shared" si="15"/>
        <v>134347.413</v>
      </c>
      <c r="AE42" s="213" t="s">
        <v>90</v>
      </c>
      <c r="AF42" s="147">
        <f>JAN!$AJ$8</f>
        <v>20675.456000000002</v>
      </c>
      <c r="AG42" s="147">
        <f>FEV!$AJ$8</f>
        <v>13188.688000000002</v>
      </c>
      <c r="AH42" s="147">
        <f>MAR!$AJ8</f>
        <v>14358.808000000003</v>
      </c>
      <c r="AI42" s="147">
        <f>ABR!$AK8</f>
        <v>7205.8640000000005</v>
      </c>
      <c r="AJ42" s="147">
        <f>MAI!$U8</f>
        <v>10934.152000000002</v>
      </c>
      <c r="AK42" s="147">
        <f>JUN!$U8</f>
        <v>18924.511999999999</v>
      </c>
      <c r="AL42" s="147">
        <f>JUL!$U8</f>
        <v>16617.168000000001</v>
      </c>
      <c r="AM42" s="147">
        <f>AGO!$U8</f>
        <v>15477.903999999993</v>
      </c>
      <c r="AN42" s="147">
        <f>SET!$U8</f>
        <v>13935.639999999998</v>
      </c>
      <c r="AO42" s="147">
        <f>OUT!$U8</f>
        <v>20796.992000000006</v>
      </c>
      <c r="AP42" s="147">
        <f>NOV!$U8</f>
        <v>8722.3360000000011</v>
      </c>
      <c r="AQ42" s="147">
        <f>DEZ!$U8</f>
        <v>17263.135999999999</v>
      </c>
      <c r="AR42" s="177">
        <f t="shared" si="16"/>
        <v>178100.65600000002</v>
      </c>
    </row>
    <row r="43" spans="1:45">
      <c r="A43" s="212" t="s">
        <v>91</v>
      </c>
      <c r="B43" s="147">
        <f>$C$218*'Médias por UF'!CG37</f>
        <v>42764.088839068485</v>
      </c>
      <c r="C43" s="147">
        <f>$C$218*'Médias por UF'!CH37</f>
        <v>78408.965619364229</v>
      </c>
      <c r="D43" s="147">
        <f>$C$218*'Médias por UF'!CI37</f>
        <v>101770.71310654288</v>
      </c>
      <c r="E43" s="147">
        <f>$C$218*'Médias por UF'!CJ37</f>
        <v>129388.81178304493</v>
      </c>
      <c r="F43" s="147">
        <f>$C$218*'Médias por UF'!CK37</f>
        <v>151189.03120647371</v>
      </c>
      <c r="G43" s="147">
        <f>$C$218*'Médias por UF'!CL37</f>
        <v>171646.3487773517</v>
      </c>
      <c r="H43" s="147">
        <f>$C$218*'Médias por UF'!CM37</f>
        <v>194773.35181543103</v>
      </c>
      <c r="I43" s="147">
        <f>$C$218*'Médias por UF'!CN37</f>
        <v>218115.61845078348</v>
      </c>
      <c r="J43" s="147">
        <f>$C$218*'Médias por UF'!CO37</f>
        <v>235989.26946296371</v>
      </c>
      <c r="K43" s="147">
        <f>$C$218*'Médias por UF'!CP37</f>
        <v>255289.57110660325</v>
      </c>
      <c r="L43" s="147">
        <f>$C$218*'Médias por UF'!CQ37</f>
        <v>274305.6364113905</v>
      </c>
      <c r="M43" s="147">
        <f>$C$218*'Médias por UF'!CR37</f>
        <v>300000</v>
      </c>
      <c r="N43" s="147">
        <f t="shared" si="14"/>
        <v>300000</v>
      </c>
      <c r="P43" s="213" t="s">
        <v>91</v>
      </c>
      <c r="Q43" s="147">
        <f>'Médias por UF'!CG37*'Evolução das Receitas'!$R$218</f>
        <v>42764.088839068485</v>
      </c>
      <c r="R43" s="147">
        <f>'Médias por UF'!CH37*'Evolução das Receitas'!$R$218</f>
        <v>78408.965619364229</v>
      </c>
      <c r="S43" s="147">
        <f>'Médias por UF'!CI37*'Evolução das Receitas'!$R$218</f>
        <v>101770.71310654288</v>
      </c>
      <c r="T43" s="147">
        <f>'Médias por UF'!CJ37*'Evolução das Receitas'!$R$218</f>
        <v>129388.81178304493</v>
      </c>
      <c r="U43" s="147">
        <f>'Médias por UF'!CK37*'Evolução das Receitas'!$R$218</f>
        <v>151189.03120647371</v>
      </c>
      <c r="V43" s="147">
        <f>'Médias por UF'!CL37*'Evolução das Receitas'!$R$218</f>
        <v>171646.3487773517</v>
      </c>
      <c r="W43" s="147">
        <f>'Médias por UF'!CM37*'Evolução das Receitas'!$R$218</f>
        <v>194773.35181543103</v>
      </c>
      <c r="X43" s="147">
        <f>'Médias por UF'!CN37*'Evolução das Receitas'!$R$218</f>
        <v>218115.61845078348</v>
      </c>
      <c r="Y43" s="147">
        <f>'Médias por UF'!CO37*'Evolução das Receitas'!$R$218</f>
        <v>235989.26946296371</v>
      </c>
      <c r="Z43" s="147">
        <f>'Médias por UF'!CP37*'Evolução das Receitas'!$R$218</f>
        <v>255289.57110660325</v>
      </c>
      <c r="AA43" s="147">
        <f>'Médias por UF'!CQ37*'Evolução das Receitas'!$R$218</f>
        <v>274305.6364113905</v>
      </c>
      <c r="AB43" s="147">
        <f>'Médias por UF'!CR37*'Evolução das Receitas'!$R$218</f>
        <v>300000</v>
      </c>
      <c r="AC43" s="147">
        <f t="shared" si="15"/>
        <v>300000</v>
      </c>
      <c r="AE43" s="213" t="s">
        <v>91</v>
      </c>
      <c r="AF43" s="147">
        <f>JAN!$AJ$9</f>
        <v>56708.472000000002</v>
      </c>
      <c r="AG43" s="147">
        <f>FEV!$AJ$9</f>
        <v>53191.592000000004</v>
      </c>
      <c r="AH43" s="147">
        <f>MAR!$AJ9</f>
        <v>34697.200000000004</v>
      </c>
      <c r="AI43" s="147">
        <f>ABR!$AK9</f>
        <v>19805.048000000003</v>
      </c>
      <c r="AJ43" s="147">
        <f>MAI!$U9</f>
        <v>14971.176000000001</v>
      </c>
      <c r="AK43" s="147">
        <f>JUN!$U9</f>
        <v>18748.416000000001</v>
      </c>
      <c r="AL43" s="147">
        <f>JUL!$U9</f>
        <v>26473.567999999996</v>
      </c>
      <c r="AM43" s="147">
        <f>AGO!$U9</f>
        <v>20238.911999999989</v>
      </c>
      <c r="AN43" s="147">
        <f>SET!$U9</f>
        <v>25005.064000000002</v>
      </c>
      <c r="AO43" s="147">
        <f>OUT!$U9</f>
        <v>52198.776000000005</v>
      </c>
      <c r="AP43" s="147">
        <f>NOV!$U9</f>
        <v>18467.472000000002</v>
      </c>
      <c r="AQ43" s="147">
        <f>DEZ!$U9</f>
        <v>20282.943999999996</v>
      </c>
      <c r="AR43" s="177">
        <f t="shared" si="16"/>
        <v>360788.64000000007</v>
      </c>
    </row>
    <row r="44" spans="1:45">
      <c r="A44" s="212" t="s">
        <v>92</v>
      </c>
      <c r="B44" s="147">
        <f>$C$219*'Médias por UF'!CG38</f>
        <v>12353.392695494973</v>
      </c>
      <c r="C44" s="147">
        <f>$C$219*'Médias por UF'!CH38</f>
        <v>24498.704810062558</v>
      </c>
      <c r="D44" s="147">
        <f>$C$219*'Médias por UF'!CI38</f>
        <v>36555.38355975999</v>
      </c>
      <c r="E44" s="147">
        <f>$C$219*'Médias por UF'!CJ38</f>
        <v>46272.966723133584</v>
      </c>
      <c r="F44" s="147">
        <f>$C$219*'Médias por UF'!CK38</f>
        <v>53416.027611337697</v>
      </c>
      <c r="G44" s="147">
        <f>$C$219*'Médias por UF'!CL38</f>
        <v>60817.183938768001</v>
      </c>
      <c r="H44" s="147">
        <f>$C$219*'Médias por UF'!CM38</f>
        <v>69134.891022630021</v>
      </c>
      <c r="I44" s="147">
        <f>$C$219*'Médias por UF'!CN38</f>
        <v>77753.140654434785</v>
      </c>
      <c r="J44" s="147">
        <f>$C$219*'Médias por UF'!CO38</f>
        <v>82586.421821935262</v>
      </c>
      <c r="K44" s="147">
        <f>$C$219*'Médias por UF'!CP38</f>
        <v>90205.498310458337</v>
      </c>
      <c r="L44" s="147">
        <f>$C$219*'Médias por UF'!CQ38</f>
        <v>96508.51234070053</v>
      </c>
      <c r="M44" s="147">
        <f>$C$219*'Médias por UF'!CR38</f>
        <v>103088.01</v>
      </c>
      <c r="N44" s="147">
        <f t="shared" si="14"/>
        <v>103088.01</v>
      </c>
      <c r="P44" s="213" t="s">
        <v>92</v>
      </c>
      <c r="Q44" s="147">
        <f>'Médias por UF'!CG38*'Evolução das Receitas'!$R$219</f>
        <v>20647.996217112319</v>
      </c>
      <c r="R44" s="147">
        <f>'Médias por UF'!CH38*'Evolução das Receitas'!$R$219</f>
        <v>40948.197528505334</v>
      </c>
      <c r="S44" s="147">
        <f>'Médias por UF'!CI38*'Evolução das Receitas'!$R$219</f>
        <v>61100.253190548414</v>
      </c>
      <c r="T44" s="147">
        <f>'Médias por UF'!CJ38*'Evolução das Receitas'!$R$219</f>
        <v>77342.643062116622</v>
      </c>
      <c r="U44" s="147">
        <f>'Médias por UF'!CK38*'Evolução das Receitas'!$R$219</f>
        <v>89281.864766938495</v>
      </c>
      <c r="V44" s="147">
        <f>'Médias por UF'!CL38*'Evolução das Receitas'!$R$219</f>
        <v>101652.47838037666</v>
      </c>
      <c r="W44" s="147">
        <f>'Médias por UF'!CM38*'Evolução das Receitas'!$R$219</f>
        <v>115555.05467144388</v>
      </c>
      <c r="X44" s="147">
        <f>'Médias por UF'!CN38*'Evolução das Receitas'!$R$219</f>
        <v>129959.97080922106</v>
      </c>
      <c r="Y44" s="147">
        <f>'Médias por UF'!CO38*'Evolução das Receitas'!$R$219</f>
        <v>138038.52653255561</v>
      </c>
      <c r="Z44" s="147">
        <f>'Médias por UF'!CP38*'Evolução das Receitas'!$R$219</f>
        <v>150773.38135266383</v>
      </c>
      <c r="AA44" s="147">
        <f>'Médias por UF'!CQ38*'Evolução das Receitas'!$R$219</f>
        <v>161308.51231310904</v>
      </c>
      <c r="AB44" s="147">
        <f>'Médias por UF'!CR38*'Evolução das Receitas'!$R$219</f>
        <v>172305.77</v>
      </c>
      <c r="AC44" s="147">
        <f t="shared" si="15"/>
        <v>172305.77</v>
      </c>
      <c r="AE44" s="213" t="s">
        <v>92</v>
      </c>
      <c r="AF44" s="147">
        <f>JAN!$AJ$10</f>
        <v>23023.120000000003</v>
      </c>
      <c r="AG44" s="147">
        <f>FEV!$AJ$10</f>
        <v>13182.407999999999</v>
      </c>
      <c r="AH44" s="147">
        <f>MAR!$AJ10</f>
        <v>10926.344000000001</v>
      </c>
      <c r="AI44" s="147">
        <f>ABR!$AK10</f>
        <v>8071.8880000000008</v>
      </c>
      <c r="AJ44" s="147">
        <f>MAI!$U10</f>
        <v>6142.2640000000001</v>
      </c>
      <c r="AK44" s="147">
        <f>JUN!$U10</f>
        <v>8411.3680000000004</v>
      </c>
      <c r="AL44" s="147">
        <f>JUL!$U10</f>
        <v>13491.567999999994</v>
      </c>
      <c r="AM44" s="147">
        <f>AGO!$U10</f>
        <v>14412.303999999982</v>
      </c>
      <c r="AN44" s="147">
        <f>SET!$U10</f>
        <v>17535.616000000009</v>
      </c>
      <c r="AO44" s="147">
        <f>OUT!$U10</f>
        <v>36124.248</v>
      </c>
      <c r="AP44" s="147">
        <f>NOV!$U10</f>
        <v>8695.6320000000014</v>
      </c>
      <c r="AQ44" s="147">
        <f>DEZ!$U10</f>
        <v>11474.439999999997</v>
      </c>
      <c r="AR44" s="177">
        <f t="shared" si="16"/>
        <v>171491.20000000001</v>
      </c>
    </row>
    <row r="45" spans="1:45">
      <c r="A45" s="212" t="s">
        <v>93</v>
      </c>
      <c r="B45" s="147">
        <f>$C$220*'Médias por UF'!CG39</f>
        <v>38687.374601273412</v>
      </c>
      <c r="C45" s="147">
        <f>$C$220*'Médias por UF'!CH39</f>
        <v>75482.511707596743</v>
      </c>
      <c r="D45" s="147">
        <f>$C$220*'Médias por UF'!CI39</f>
        <v>106332.14873421534</v>
      </c>
      <c r="E45" s="147">
        <f>$C$220*'Médias por UF'!CJ39</f>
        <v>128565.82928171456</v>
      </c>
      <c r="F45" s="147">
        <f>$C$220*'Médias por UF'!CK39</f>
        <v>153388.16148621307</v>
      </c>
      <c r="G45" s="147">
        <f>$C$220*'Médias por UF'!CL39</f>
        <v>177606.83054468388</v>
      </c>
      <c r="H45" s="147">
        <f>$C$220*'Médias por UF'!CM39</f>
        <v>200030.73655048097</v>
      </c>
      <c r="I45" s="147">
        <f>$C$220*'Médias por UF'!CN39</f>
        <v>226891.99131261307</v>
      </c>
      <c r="J45" s="147">
        <f>$C$220*'Médias por UF'!CO39</f>
        <v>247380.44116097217</v>
      </c>
      <c r="K45" s="147">
        <f>$C$220*'Médias por UF'!CP39</f>
        <v>272489.9232952586</v>
      </c>
      <c r="L45" s="147">
        <f>$C$220*'Médias por UF'!CQ39</f>
        <v>295418.9596490899</v>
      </c>
      <c r="M45" s="147">
        <f>$C$220*'Médias por UF'!CR39</f>
        <v>320000</v>
      </c>
      <c r="N45" s="147">
        <f t="shared" si="14"/>
        <v>320000</v>
      </c>
      <c r="P45" s="213" t="s">
        <v>93</v>
      </c>
      <c r="Q45" s="147">
        <f>'Médias por UF'!CG39*'Evolução das Receitas'!$R$220</f>
        <v>38687.374601273412</v>
      </c>
      <c r="R45" s="147">
        <f>'Médias por UF'!CH39*'Evolução das Receitas'!$R$220</f>
        <v>75482.511707596743</v>
      </c>
      <c r="S45" s="147">
        <f>'Médias por UF'!CI39*'Evolução das Receitas'!$R$220</f>
        <v>106332.14873421534</v>
      </c>
      <c r="T45" s="147">
        <f>'Médias por UF'!CJ39*'Evolução das Receitas'!$R$220</f>
        <v>128565.82928171456</v>
      </c>
      <c r="U45" s="147">
        <f>'Médias por UF'!CK39*'Evolução das Receitas'!$R$220</f>
        <v>153388.16148621307</v>
      </c>
      <c r="V45" s="147">
        <f>'Médias por UF'!CL39*'Evolução das Receitas'!$R$220</f>
        <v>177606.83054468388</v>
      </c>
      <c r="W45" s="147">
        <f>'Médias por UF'!CM39*'Evolução das Receitas'!$R$220</f>
        <v>200030.73655048097</v>
      </c>
      <c r="X45" s="147">
        <f>'Médias por UF'!CN39*'Evolução das Receitas'!$R$220</f>
        <v>226891.99131261307</v>
      </c>
      <c r="Y45" s="147">
        <f>'Médias por UF'!CO39*'Evolução das Receitas'!$R$220</f>
        <v>247380.44116097217</v>
      </c>
      <c r="Z45" s="147">
        <f>'Médias por UF'!CP39*'Evolução das Receitas'!$R$220</f>
        <v>272489.9232952586</v>
      </c>
      <c r="AA45" s="147">
        <f>'Médias por UF'!CQ39*'Evolução das Receitas'!$R$220</f>
        <v>295418.9596490899</v>
      </c>
      <c r="AB45" s="147">
        <f>'Médias por UF'!CR39*'Evolução das Receitas'!$R$220</f>
        <v>320000</v>
      </c>
      <c r="AC45" s="147">
        <f t="shared" si="15"/>
        <v>320000</v>
      </c>
      <c r="AE45" s="213" t="s">
        <v>93</v>
      </c>
      <c r="AF45" s="147">
        <f>JAN!$AJ$11</f>
        <v>59251.224000000002</v>
      </c>
      <c r="AG45" s="147">
        <f>FEV!$AJ$11</f>
        <v>44075.12</v>
      </c>
      <c r="AH45" s="147">
        <f>MAR!$AJ11</f>
        <v>46693.456000000006</v>
      </c>
      <c r="AI45" s="147">
        <f>ABR!$AK11</f>
        <v>33072.103999999999</v>
      </c>
      <c r="AJ45" s="147">
        <f>MAI!$U11</f>
        <v>30243.520000000004</v>
      </c>
      <c r="AK45" s="147">
        <f>JUN!$U11</f>
        <v>26023.592000000004</v>
      </c>
      <c r="AL45" s="147">
        <f>JUL!$U11</f>
        <v>27928.295999999998</v>
      </c>
      <c r="AM45" s="147">
        <f>AGO!$U11</f>
        <v>39178.92</v>
      </c>
      <c r="AN45" s="147">
        <f>SET!$U11</f>
        <v>26288.543999999994</v>
      </c>
      <c r="AO45" s="147">
        <f>OUT!$U11</f>
        <v>70347.160000000018</v>
      </c>
      <c r="AP45" s="147">
        <f>NOV!$U11</f>
        <v>27436.368000000002</v>
      </c>
      <c r="AQ45" s="147">
        <f>DEZ!$U11</f>
        <v>23338.648000000012</v>
      </c>
      <c r="AR45" s="177">
        <f t="shared" si="16"/>
        <v>453876.95199999999</v>
      </c>
    </row>
    <row r="46" spans="1:45">
      <c r="A46" s="212" t="s">
        <v>94</v>
      </c>
      <c r="B46" s="147">
        <f>$C$221*'Médias por UF'!CG40</f>
        <v>15132.889551112516</v>
      </c>
      <c r="C46" s="147">
        <f>$C$221*'Médias por UF'!CH40</f>
        <v>28601.684192827634</v>
      </c>
      <c r="D46" s="147">
        <f>$C$221*'Médias por UF'!CI40</f>
        <v>41707.910640539245</v>
      </c>
      <c r="E46" s="147">
        <f>$C$221*'Médias por UF'!CJ40</f>
        <v>50056.483300300351</v>
      </c>
      <c r="F46" s="147">
        <f>$C$221*'Médias por UF'!CK40</f>
        <v>58373.852183605784</v>
      </c>
      <c r="G46" s="147">
        <f>$C$221*'Médias por UF'!CL40</f>
        <v>65920.881671861323</v>
      </c>
      <c r="H46" s="147">
        <f>$C$221*'Médias por UF'!CM40</f>
        <v>75838.727771355654</v>
      </c>
      <c r="I46" s="147">
        <f>$C$221*'Médias por UF'!CN40</f>
        <v>86960.09300620365</v>
      </c>
      <c r="J46" s="147">
        <f>$C$221*'Médias por UF'!CO40</f>
        <v>96800.148041178836</v>
      </c>
      <c r="K46" s="147">
        <f>$C$221*'Médias por UF'!CP40</f>
        <v>105891.61712168554</v>
      </c>
      <c r="L46" s="147">
        <f>$C$221*'Médias por UF'!CQ40</f>
        <v>114812.53658213477</v>
      </c>
      <c r="M46" s="147">
        <f>$C$221*'Médias por UF'!CR40</f>
        <v>127208.04</v>
      </c>
      <c r="N46" s="147">
        <f t="shared" si="14"/>
        <v>127208.04</v>
      </c>
      <c r="P46" s="213" t="s">
        <v>94</v>
      </c>
      <c r="Q46" s="147">
        <f>'Médias por UF'!CG40*'Evolução das Receitas'!$R$221</f>
        <v>15132.920481164449</v>
      </c>
      <c r="R46" s="147">
        <f>'Médias por UF'!CH40*'Evolução das Receitas'!$R$221</f>
        <v>28601.742651694625</v>
      </c>
      <c r="S46" s="147">
        <f>'Médias por UF'!CI40*'Evolução das Receitas'!$R$221</f>
        <v>41707.995887169622</v>
      </c>
      <c r="T46" s="147">
        <f>'Médias por UF'!CJ40*'Evolução das Receitas'!$R$221</f>
        <v>50056.585610544724</v>
      </c>
      <c r="U46" s="147">
        <f>'Médias por UF'!CK40*'Evolução das Receitas'!$R$221</f>
        <v>58373.971493686877</v>
      </c>
      <c r="V46" s="147">
        <f>'Médias por UF'!CL40*'Evolução das Receitas'!$R$221</f>
        <v>65921.016407285555</v>
      </c>
      <c r="W46" s="147">
        <f>'Médias por UF'!CM40*'Evolução das Receitas'!$R$221</f>
        <v>75838.882777825536</v>
      </c>
      <c r="X46" s="147">
        <f>'Médias por UF'!CN40*'Evolução das Receitas'!$R$221</f>
        <v>86960.270743587083</v>
      </c>
      <c r="Y46" s="147">
        <f>'Médias por UF'!CO40*'Evolução das Receitas'!$R$221</f>
        <v>96800.34589061109</v>
      </c>
      <c r="Z46" s="147">
        <f>'Médias por UF'!CP40*'Evolução das Receitas'!$R$221</f>
        <v>105891.83355313478</v>
      </c>
      <c r="AA46" s="147">
        <f>'Médias por UF'!CQ40*'Evolução das Receitas'!$R$221</f>
        <v>114812.77124701532</v>
      </c>
      <c r="AB46" s="147">
        <f>'Médias por UF'!CR40*'Evolução das Receitas'!$R$221</f>
        <v>127208.3</v>
      </c>
      <c r="AC46" s="147">
        <f t="shared" si="15"/>
        <v>127208.3</v>
      </c>
      <c r="AE46" s="213" t="s">
        <v>94</v>
      </c>
      <c r="AF46" s="147">
        <f>JAN!$AJ$12</f>
        <v>26082.856</v>
      </c>
      <c r="AG46" s="147">
        <f>FEV!$AJ$12</f>
        <v>25864.600000000002</v>
      </c>
      <c r="AH46" s="147">
        <f>MAR!$AJ12</f>
        <v>18605.400000000001</v>
      </c>
      <c r="AI46" s="147">
        <f>ABR!$AK12</f>
        <v>9887.4480000000003</v>
      </c>
      <c r="AJ46" s="147">
        <f>MAI!$U12</f>
        <v>9854.9600000000009</v>
      </c>
      <c r="AK46" s="147">
        <f>JUN!$U12</f>
        <v>8620.2960000000003</v>
      </c>
      <c r="AL46" s="147">
        <f>JUL!$U12</f>
        <v>7222.9359999999988</v>
      </c>
      <c r="AM46" s="147">
        <f>AGO!$U12</f>
        <v>8568.4320000000062</v>
      </c>
      <c r="AN46" s="147">
        <f>SET!$U12</f>
        <v>7131.3600000000042</v>
      </c>
      <c r="AO46" s="147">
        <f>OUT!$U12</f>
        <v>21131.112000000001</v>
      </c>
      <c r="AP46" s="147">
        <f>NOV!$U12</f>
        <v>4899.3919999999998</v>
      </c>
      <c r="AQ46" s="147">
        <f>DEZ!$U12</f>
        <v>8858.6159999999982</v>
      </c>
      <c r="AR46" s="177">
        <f t="shared" si="16"/>
        <v>156727.40800000002</v>
      </c>
    </row>
    <row r="47" spans="1:45">
      <c r="A47" s="212" t="s">
        <v>95</v>
      </c>
      <c r="B47" s="147">
        <f>$C$222*'Médias por UF'!CG41</f>
        <v>27796.008259873906</v>
      </c>
      <c r="C47" s="147">
        <f>$C$222*'Médias por UF'!CH41</f>
        <v>51932.303793938547</v>
      </c>
      <c r="D47" s="147">
        <f>$C$222*'Médias por UF'!CI41</f>
        <v>69694.985519719383</v>
      </c>
      <c r="E47" s="147">
        <f>$C$222*'Médias por UF'!CJ41</f>
        <v>87332.811232064327</v>
      </c>
      <c r="F47" s="147">
        <f>$C$222*'Médias por UF'!CK41</f>
        <v>101667.81018162594</v>
      </c>
      <c r="G47" s="147">
        <f>$C$222*'Médias por UF'!CL41</f>
        <v>114170.80830002249</v>
      </c>
      <c r="H47" s="147">
        <f>$C$222*'Médias por UF'!CM41</f>
        <v>128983.85891262161</v>
      </c>
      <c r="I47" s="147">
        <f>$C$222*'Médias por UF'!CN41</f>
        <v>145912.29735734014</v>
      </c>
      <c r="J47" s="147">
        <f>$C$222*'Médias por UF'!CO41</f>
        <v>159429.11566015522</v>
      </c>
      <c r="K47" s="147">
        <f>$C$222*'Médias por UF'!CP41</f>
        <v>174987.77022676403</v>
      </c>
      <c r="L47" s="147">
        <f>$C$222*'Médias por UF'!CQ41</f>
        <v>186040.25945505375</v>
      </c>
      <c r="M47" s="147">
        <f>$C$222*'Médias por UF'!CR41</f>
        <v>200000</v>
      </c>
      <c r="N47" s="147">
        <f t="shared" si="14"/>
        <v>200000</v>
      </c>
      <c r="P47" s="213" t="s">
        <v>95</v>
      </c>
      <c r="Q47" s="147">
        <f>'Médias por UF'!CG41*'Evolução das Receitas'!$R$222</f>
        <v>27796.008259873906</v>
      </c>
      <c r="R47" s="147">
        <f>'Médias por UF'!CH41*'Evolução das Receitas'!$R$222</f>
        <v>51932.303793938547</v>
      </c>
      <c r="S47" s="147">
        <f>'Médias por UF'!CI41*'Evolução das Receitas'!$R$222</f>
        <v>69694.985519719383</v>
      </c>
      <c r="T47" s="147">
        <f>'Médias por UF'!CJ41*'Evolução das Receitas'!$R$222</f>
        <v>87332.811232064327</v>
      </c>
      <c r="U47" s="147">
        <f>'Médias por UF'!CK41*'Evolução das Receitas'!$R$222</f>
        <v>101667.81018162594</v>
      </c>
      <c r="V47" s="147">
        <f>'Médias por UF'!CL41*'Evolução das Receitas'!$R$222</f>
        <v>114170.80830002249</v>
      </c>
      <c r="W47" s="147">
        <f>'Médias por UF'!CM41*'Evolução das Receitas'!$R$222</f>
        <v>128983.85891262161</v>
      </c>
      <c r="X47" s="147">
        <f>'Médias por UF'!CN41*'Evolução das Receitas'!$R$222</f>
        <v>145912.29735734014</v>
      </c>
      <c r="Y47" s="147">
        <f>'Médias por UF'!CO41*'Evolução das Receitas'!$R$222</f>
        <v>159429.11566015522</v>
      </c>
      <c r="Z47" s="147">
        <f>'Médias por UF'!CP41*'Evolução das Receitas'!$R$222</f>
        <v>174987.77022676403</v>
      </c>
      <c r="AA47" s="147">
        <f>'Médias por UF'!CQ41*'Evolução das Receitas'!$R$222</f>
        <v>186040.25945505375</v>
      </c>
      <c r="AB47" s="147">
        <f>'Médias por UF'!CR41*'Evolução das Receitas'!$R$222</f>
        <v>200000</v>
      </c>
      <c r="AC47" s="147">
        <f t="shared" si="15"/>
        <v>200000</v>
      </c>
      <c r="AE47" s="213" t="s">
        <v>95</v>
      </c>
      <c r="AF47" s="147">
        <f>JAN!$AJ$13</f>
        <v>32932.112000000001</v>
      </c>
      <c r="AG47" s="147">
        <f>FEV!$AJ$13</f>
        <v>34125</v>
      </c>
      <c r="AH47" s="147">
        <f>MAR!$AJ13</f>
        <v>29089.800000000003</v>
      </c>
      <c r="AI47" s="147">
        <f>ABR!$AK13</f>
        <v>15206.256000000001</v>
      </c>
      <c r="AJ47" s="147">
        <f>MAI!$U13</f>
        <v>19263.848000000002</v>
      </c>
      <c r="AK47" s="147">
        <f>JUN!$U13</f>
        <v>24349</v>
      </c>
      <c r="AL47" s="147">
        <f>JUL!$U13</f>
        <v>25897.552000000003</v>
      </c>
      <c r="AM47" s="147">
        <f>AGO!$U13</f>
        <v>27109.232000000007</v>
      </c>
      <c r="AN47" s="147">
        <f>SET!$U13</f>
        <v>28553.768000000007</v>
      </c>
      <c r="AO47" s="147">
        <f>OUT!$U13</f>
        <v>53344.655999999995</v>
      </c>
      <c r="AP47" s="147">
        <f>NOV!$U13</f>
        <v>24889.543999999998</v>
      </c>
      <c r="AQ47" s="147">
        <f>DEZ!$U13</f>
        <v>32841.159999999989</v>
      </c>
      <c r="AR47" s="177">
        <f t="shared" si="16"/>
        <v>347601.92800000001</v>
      </c>
    </row>
    <row r="48" spans="1:45">
      <c r="A48" s="212" t="s">
        <v>96</v>
      </c>
      <c r="B48" s="147">
        <f>$C$223*'Médias por UF'!CG42</f>
        <v>18429.484008769123</v>
      </c>
      <c r="C48" s="147">
        <f>$C$223*'Médias por UF'!CH42</f>
        <v>29382.247307062476</v>
      </c>
      <c r="D48" s="147">
        <f>$C$223*'Médias por UF'!CI42</f>
        <v>42069.9618689614</v>
      </c>
      <c r="E48" s="147">
        <f>$C$223*'Médias por UF'!CJ42</f>
        <v>54356.832026995115</v>
      </c>
      <c r="F48" s="147">
        <f>$C$223*'Médias por UF'!CK42</f>
        <v>65034.340807680674</v>
      </c>
      <c r="G48" s="147">
        <f>$C$223*'Médias por UF'!CL42</f>
        <v>77247.096636272036</v>
      </c>
      <c r="H48" s="147">
        <f>$C$223*'Médias por UF'!CM42</f>
        <v>94110.596397066241</v>
      </c>
      <c r="I48" s="147">
        <f>$C$223*'Médias por UF'!CN42</f>
        <v>106595.81652291656</v>
      </c>
      <c r="J48" s="147">
        <f>$C$223*'Médias por UF'!CO42</f>
        <v>117886.00718996863</v>
      </c>
      <c r="K48" s="147">
        <f>$C$223*'Médias por UF'!CP42</f>
        <v>127683.20679956352</v>
      </c>
      <c r="L48" s="147">
        <f>$C$223*'Médias por UF'!CQ42</f>
        <v>139773.46297723558</v>
      </c>
      <c r="M48" s="147">
        <f>$C$223*'Médias por UF'!CR42</f>
        <v>149286.31</v>
      </c>
      <c r="N48" s="147">
        <f t="shared" si="14"/>
        <v>149286.31</v>
      </c>
      <c r="P48" s="213" t="s">
        <v>96</v>
      </c>
      <c r="Q48" s="147">
        <f>'Médias por UF'!CG42*'Evolução das Receitas'!$R$223</f>
        <v>18429.484008769123</v>
      </c>
      <c r="R48" s="147">
        <f>'Médias por UF'!CH42*'Evolução das Receitas'!$R$223</f>
        <v>29382.247307062476</v>
      </c>
      <c r="S48" s="147">
        <f>'Médias por UF'!CI42*'Evolução das Receitas'!$R$223</f>
        <v>42069.9618689614</v>
      </c>
      <c r="T48" s="147">
        <f>'Médias por UF'!CJ42*'Evolução das Receitas'!$R$223</f>
        <v>54356.832026995115</v>
      </c>
      <c r="U48" s="147">
        <f>'Médias por UF'!CK42*'Evolução das Receitas'!$R$223</f>
        <v>65034.340807680674</v>
      </c>
      <c r="V48" s="147">
        <f>'Médias por UF'!CL42*'Evolução das Receitas'!$R$223</f>
        <v>77247.096636272036</v>
      </c>
      <c r="W48" s="147">
        <f>'Médias por UF'!CM42*'Evolução das Receitas'!$R$223</f>
        <v>94110.596397066241</v>
      </c>
      <c r="X48" s="147">
        <f>'Médias por UF'!CN42*'Evolução das Receitas'!$R$223</f>
        <v>106595.81652291656</v>
      </c>
      <c r="Y48" s="147">
        <f>'Médias por UF'!CO42*'Evolução das Receitas'!$R$223</f>
        <v>117886.00718996863</v>
      </c>
      <c r="Z48" s="147">
        <f>'Médias por UF'!CP42*'Evolução das Receitas'!$R$223</f>
        <v>127683.20679956352</v>
      </c>
      <c r="AA48" s="147">
        <f>'Médias por UF'!CQ42*'Evolução das Receitas'!$R$223</f>
        <v>139773.46297723558</v>
      </c>
      <c r="AB48" s="147">
        <f>'Médias por UF'!CR42*'Evolução das Receitas'!$R$223</f>
        <v>149286.31</v>
      </c>
      <c r="AC48" s="147">
        <f t="shared" si="15"/>
        <v>149286.31</v>
      </c>
      <c r="AE48" s="213" t="s">
        <v>96</v>
      </c>
      <c r="AF48" s="147">
        <f>JAN!$AJ$14</f>
        <v>17902.864000000001</v>
      </c>
      <c r="AG48" s="147">
        <f>FEV!$AJ$14</f>
        <v>21475.376000000004</v>
      </c>
      <c r="AH48" s="147">
        <f>MAR!$AJ14</f>
        <v>34177.512000000002</v>
      </c>
      <c r="AI48" s="147">
        <f>ABR!$AK14</f>
        <v>11482.784</v>
      </c>
      <c r="AJ48" s="147">
        <f>MAI!$U14</f>
        <v>7851.44</v>
      </c>
      <c r="AK48" s="147">
        <f>JUN!$U14</f>
        <v>12072.192000000003</v>
      </c>
      <c r="AL48" s="147">
        <f>JUL!$U14</f>
        <v>12548.400000000007</v>
      </c>
      <c r="AM48" s="147">
        <f>AGO!$U14</f>
        <v>11230.735999999999</v>
      </c>
      <c r="AN48" s="147">
        <f>SET!$U14</f>
        <v>11860.592000000004</v>
      </c>
      <c r="AO48" s="147">
        <f>OUT!$U14</f>
        <v>21160.487999999998</v>
      </c>
      <c r="AP48" s="147">
        <f>NOV!$U14</f>
        <v>7590.8959999999997</v>
      </c>
      <c r="AQ48" s="147">
        <f>DEZ!$U14</f>
        <v>8651.8160000000007</v>
      </c>
      <c r="AR48" s="177">
        <f t="shared" si="16"/>
        <v>178005.09600000002</v>
      </c>
    </row>
    <row r="49" spans="1:44">
      <c r="A49" s="212" t="s">
        <v>97</v>
      </c>
      <c r="B49" s="147">
        <f>$C$224*'Médias por UF'!CG43</f>
        <v>14909.605337713287</v>
      </c>
      <c r="C49" s="147">
        <f>$C$224*'Médias por UF'!CH43</f>
        <v>30584.178399543664</v>
      </c>
      <c r="D49" s="147">
        <f>$C$224*'Médias por UF'!CI43</f>
        <v>43314.073612544547</v>
      </c>
      <c r="E49" s="147">
        <f>$C$224*'Médias por UF'!CJ43</f>
        <v>52437.288172447894</v>
      </c>
      <c r="F49" s="147">
        <f>$C$224*'Médias por UF'!CK43</f>
        <v>61401.95522472584</v>
      </c>
      <c r="G49" s="147">
        <f>$C$224*'Médias por UF'!CL43</f>
        <v>68819.281554332221</v>
      </c>
      <c r="H49" s="147">
        <f>$C$224*'Médias por UF'!CM43</f>
        <v>73958.517817958083</v>
      </c>
      <c r="I49" s="147">
        <f>$C$224*'Médias por UF'!CN43</f>
        <v>79771.334618142748</v>
      </c>
      <c r="J49" s="147">
        <f>$C$224*'Médias por UF'!CO43</f>
        <v>84314.35404812546</v>
      </c>
      <c r="K49" s="147">
        <f>$C$224*'Médias por UF'!CP43</f>
        <v>90197.967543753155</v>
      </c>
      <c r="L49" s="147">
        <f>$C$224*'Médias por UF'!CQ43</f>
        <v>95891.383532800188</v>
      </c>
      <c r="M49" s="147">
        <f>$C$224*'Médias por UF'!CR43</f>
        <v>101619.48</v>
      </c>
      <c r="N49" s="147">
        <f t="shared" si="14"/>
        <v>101619.48</v>
      </c>
      <c r="P49" s="213" t="s">
        <v>97</v>
      </c>
      <c r="Q49" s="147">
        <f>'Médias por UF'!CG43*'Evolução das Receitas'!$R$224</f>
        <v>14909.605337713287</v>
      </c>
      <c r="R49" s="147">
        <f>'Médias por UF'!CH43*'Evolução das Receitas'!$R$224</f>
        <v>30584.178399543664</v>
      </c>
      <c r="S49" s="147">
        <f>'Médias por UF'!CI43*'Evolução das Receitas'!$R$224</f>
        <v>43314.073612544547</v>
      </c>
      <c r="T49" s="147">
        <f>'Médias por UF'!CJ43*'Evolução das Receitas'!$R$224</f>
        <v>52437.288172447894</v>
      </c>
      <c r="U49" s="147">
        <f>'Médias por UF'!CK43*'Evolução das Receitas'!$R$224</f>
        <v>61401.95522472584</v>
      </c>
      <c r="V49" s="147">
        <f>'Médias por UF'!CL43*'Evolução das Receitas'!$R$224</f>
        <v>68819.281554332221</v>
      </c>
      <c r="W49" s="147">
        <f>'Médias por UF'!CM43*'Evolução das Receitas'!$R$224</f>
        <v>73958.517817958083</v>
      </c>
      <c r="X49" s="147">
        <f>'Médias por UF'!CN43*'Evolução das Receitas'!$R$224</f>
        <v>79771.334618142748</v>
      </c>
      <c r="Y49" s="147">
        <f>'Médias por UF'!CO43*'Evolução das Receitas'!$R$224</f>
        <v>84314.35404812546</v>
      </c>
      <c r="Z49" s="147">
        <f>'Médias por UF'!CP43*'Evolução das Receitas'!$R$224</f>
        <v>90197.967543753155</v>
      </c>
      <c r="AA49" s="147">
        <f>'Médias por UF'!CQ43*'Evolução das Receitas'!$R$224</f>
        <v>95891.383532800188</v>
      </c>
      <c r="AB49" s="147">
        <f>'Médias por UF'!CR43*'Evolução das Receitas'!$R$224</f>
        <v>101619.48</v>
      </c>
      <c r="AC49" s="147">
        <f t="shared" si="15"/>
        <v>101619.48</v>
      </c>
      <c r="AE49" s="213" t="s">
        <v>97</v>
      </c>
      <c r="AF49" s="147">
        <f>JAN!$AJ$15</f>
        <v>14915.576000000001</v>
      </c>
      <c r="AG49" s="147">
        <f>FEV!$AJ$15</f>
        <v>16993.920000000002</v>
      </c>
      <c r="AH49" s="147">
        <f>MAR!$AJ15</f>
        <v>17366.744000000002</v>
      </c>
      <c r="AI49" s="147">
        <f>ABR!$AK15</f>
        <v>8215.344000000001</v>
      </c>
      <c r="AJ49" s="147">
        <f>MAI!$U15</f>
        <v>16833.312000000002</v>
      </c>
      <c r="AK49" s="147">
        <f>JUN!$U15</f>
        <v>33394.536</v>
      </c>
      <c r="AL49" s="147">
        <f>JUL!$U15</f>
        <v>32080.760000000009</v>
      </c>
      <c r="AM49" s="147">
        <f>AGO!$U15</f>
        <v>39660.576000000001</v>
      </c>
      <c r="AN49" s="147">
        <f>SET!$U15</f>
        <v>24372.200000000008</v>
      </c>
      <c r="AO49" s="147">
        <f>OUT!$U15</f>
        <v>26457.016000000003</v>
      </c>
      <c r="AP49" s="147">
        <f>NOV!$U15</f>
        <v>14600.480000000003</v>
      </c>
      <c r="AQ49" s="147">
        <f>DEZ!$U15</f>
        <v>22111.112000000005</v>
      </c>
      <c r="AR49" s="177">
        <f t="shared" si="16"/>
        <v>267001.57600000006</v>
      </c>
    </row>
    <row r="50" spans="1:44">
      <c r="A50" s="212" t="s">
        <v>98</v>
      </c>
      <c r="B50" s="147">
        <f>$C$225*'Médias por UF'!CG44</f>
        <v>21771.099274712858</v>
      </c>
      <c r="C50" s="147">
        <f>$C$225*'Médias por UF'!CH44</f>
        <v>43667.665565414107</v>
      </c>
      <c r="D50" s="147">
        <f>$C$225*'Médias por UF'!CI44</f>
        <v>58511.595145853076</v>
      </c>
      <c r="E50" s="147">
        <f>$C$225*'Médias por UF'!CJ44</f>
        <v>72640.755982286777</v>
      </c>
      <c r="F50" s="147">
        <f>$C$225*'Médias por UF'!CK44</f>
        <v>90904.944023668795</v>
      </c>
      <c r="G50" s="147">
        <f>$C$225*'Médias por UF'!CL44</f>
        <v>107435.5538364817</v>
      </c>
      <c r="H50" s="147">
        <f>$C$225*'Médias por UF'!CM44</f>
        <v>120242.26371989051</v>
      </c>
      <c r="I50" s="147">
        <f>$C$225*'Médias por UF'!CN44</f>
        <v>133901.95929629932</v>
      </c>
      <c r="J50" s="147">
        <f>$C$225*'Médias por UF'!CO44</f>
        <v>143252.0620912681</v>
      </c>
      <c r="K50" s="147">
        <f>$C$225*'Médias por UF'!CP44</f>
        <v>158176.36001818947</v>
      </c>
      <c r="L50" s="147">
        <f>$C$225*'Médias por UF'!CQ44</f>
        <v>168046.06349627837</v>
      </c>
      <c r="M50" s="147">
        <f>$C$225*'Médias por UF'!CR44</f>
        <v>181697.13</v>
      </c>
      <c r="N50" s="147">
        <f t="shared" si="14"/>
        <v>181697.13</v>
      </c>
      <c r="P50" s="213" t="s">
        <v>98</v>
      </c>
      <c r="Q50" s="147">
        <f>'Médias por UF'!CG44*'Evolução das Receitas'!$R$225</f>
        <v>21771.099274712858</v>
      </c>
      <c r="R50" s="147">
        <f>'Médias por UF'!CH44*'Evolução das Receitas'!$R$225</f>
        <v>43667.665565414107</v>
      </c>
      <c r="S50" s="147">
        <f>'Médias por UF'!CI44*'Evolução das Receitas'!$R$225</f>
        <v>58511.595145853076</v>
      </c>
      <c r="T50" s="147">
        <f>'Médias por UF'!CJ44*'Evolução das Receitas'!$R$225</f>
        <v>72640.755982286777</v>
      </c>
      <c r="U50" s="147">
        <f>'Médias por UF'!CK44*'Evolução das Receitas'!$R$225</f>
        <v>90904.944023668795</v>
      </c>
      <c r="V50" s="147">
        <f>'Médias por UF'!CL44*'Evolução das Receitas'!$R$225</f>
        <v>107435.5538364817</v>
      </c>
      <c r="W50" s="147">
        <f>'Médias por UF'!CM44*'Evolução das Receitas'!$R$225</f>
        <v>120242.26371989051</v>
      </c>
      <c r="X50" s="147">
        <f>'Médias por UF'!CN44*'Evolução das Receitas'!$R$225</f>
        <v>133901.95929629932</v>
      </c>
      <c r="Y50" s="147">
        <f>'Médias por UF'!CO44*'Evolução das Receitas'!$R$225</f>
        <v>143252.0620912681</v>
      </c>
      <c r="Z50" s="147">
        <f>'Médias por UF'!CP44*'Evolução das Receitas'!$R$225</f>
        <v>158176.36001818947</v>
      </c>
      <c r="AA50" s="147">
        <f>'Médias por UF'!CQ44*'Evolução das Receitas'!$R$225</f>
        <v>168046.06349627837</v>
      </c>
      <c r="AB50" s="147">
        <f>'Médias por UF'!CR44*'Evolução das Receitas'!$R$225</f>
        <v>181697.13</v>
      </c>
      <c r="AC50" s="147">
        <f t="shared" si="15"/>
        <v>181697.13</v>
      </c>
      <c r="AE50" s="213" t="s">
        <v>98</v>
      </c>
      <c r="AF50" s="147">
        <f>JAN!$AJ$16</f>
        <v>24890.128000000001</v>
      </c>
      <c r="AG50" s="147">
        <f>FEV!$AJ$16</f>
        <v>19847.592000000004</v>
      </c>
      <c r="AH50" s="147">
        <f>MAR!$AJ16</f>
        <v>20246.744000000002</v>
      </c>
      <c r="AI50" s="147">
        <f>ABR!$AK16</f>
        <v>12041.232000000002</v>
      </c>
      <c r="AJ50" s="147">
        <f>MAI!$U16</f>
        <v>12309.456</v>
      </c>
      <c r="AK50" s="147">
        <f>JUN!$U16</f>
        <v>15826.816000000001</v>
      </c>
      <c r="AL50" s="147">
        <f>JUL!$U16</f>
        <v>15290.399999999989</v>
      </c>
      <c r="AM50" s="147">
        <f>AGO!$U16</f>
        <v>18751.935999999998</v>
      </c>
      <c r="AN50" s="147">
        <f>SET!$U16</f>
        <v>23869.248000000011</v>
      </c>
      <c r="AO50" s="147">
        <f>OUT!$U16</f>
        <v>30709.320000000003</v>
      </c>
      <c r="AP50" s="147">
        <f>NOV!$U16</f>
        <v>18556.456000000002</v>
      </c>
      <c r="AQ50" s="147">
        <f>DEZ!$U16</f>
        <v>15961.464</v>
      </c>
      <c r="AR50" s="177">
        <f t="shared" si="16"/>
        <v>228300.79200000004</v>
      </c>
    </row>
    <row r="51" spans="1:44">
      <c r="A51" s="212" t="s">
        <v>99</v>
      </c>
      <c r="B51" s="147">
        <f>$C$226*'Médias por UF'!CG45</f>
        <v>157445.56107278666</v>
      </c>
      <c r="C51" s="147">
        <f>$C$226*'Médias por UF'!CH45</f>
        <v>257691.60959703103</v>
      </c>
      <c r="D51" s="147">
        <f>$C$226*'Médias por UF'!CI45</f>
        <v>365468.50117747049</v>
      </c>
      <c r="E51" s="147">
        <f>$C$226*'Médias por UF'!CJ45</f>
        <v>444000.23252181459</v>
      </c>
      <c r="F51" s="147">
        <f>$C$226*'Médias por UF'!CK45</f>
        <v>537787.6938592348</v>
      </c>
      <c r="G51" s="147">
        <f>$C$226*'Médias por UF'!CL45</f>
        <v>607363.45650859131</v>
      </c>
      <c r="H51" s="147">
        <f>$C$226*'Médias por UF'!CM45</f>
        <v>681939.91703544953</v>
      </c>
      <c r="I51" s="147">
        <f>$C$226*'Médias por UF'!CN45</f>
        <v>753634.90598107292</v>
      </c>
      <c r="J51" s="147">
        <f>$C$226*'Médias por UF'!CO45</f>
        <v>835418.79791329172</v>
      </c>
      <c r="K51" s="147">
        <f>$C$226*'Médias por UF'!CP45</f>
        <v>924362.47097212402</v>
      </c>
      <c r="L51" s="147">
        <f>$C$226*'Médias por UF'!CQ45</f>
        <v>1008864.6737023888</v>
      </c>
      <c r="M51" s="147">
        <f>$C$226*'Médias por UF'!CR45</f>
        <v>1098934.42</v>
      </c>
      <c r="N51" s="147">
        <f t="shared" si="14"/>
        <v>1098934.42</v>
      </c>
      <c r="P51" s="213" t="s">
        <v>99</v>
      </c>
      <c r="Q51" s="147">
        <f>'Médias por UF'!CG45*'Evolução das Receitas'!$R$226</f>
        <v>157445.56107278666</v>
      </c>
      <c r="R51" s="147">
        <f>'Médias por UF'!CH45*'Evolução das Receitas'!$R$226</f>
        <v>257691.60959703103</v>
      </c>
      <c r="S51" s="147">
        <f>'Médias por UF'!CI45*'Evolução das Receitas'!$R$226</f>
        <v>365468.50117747049</v>
      </c>
      <c r="T51" s="147">
        <f>'Médias por UF'!CJ45*'Evolução das Receitas'!$R$226</f>
        <v>444000.23252181459</v>
      </c>
      <c r="U51" s="147">
        <f>'Médias por UF'!CK45*'Evolução das Receitas'!$R$226</f>
        <v>537787.6938592348</v>
      </c>
      <c r="V51" s="147">
        <f>'Médias por UF'!CL45*'Evolução das Receitas'!$R$226</f>
        <v>607363.45650859131</v>
      </c>
      <c r="W51" s="147">
        <f>'Médias por UF'!CM45*'Evolução das Receitas'!$R$226</f>
        <v>681939.91703544953</v>
      </c>
      <c r="X51" s="147">
        <f>'Médias por UF'!CN45*'Evolução das Receitas'!$R$226</f>
        <v>753634.90598107292</v>
      </c>
      <c r="Y51" s="147">
        <f>'Médias por UF'!CO45*'Evolução das Receitas'!$R$226</f>
        <v>835418.79791329172</v>
      </c>
      <c r="Z51" s="147">
        <f>'Médias por UF'!CP45*'Evolução das Receitas'!$R$226</f>
        <v>924362.47097212402</v>
      </c>
      <c r="AA51" s="147">
        <f>'Médias por UF'!CQ45*'Evolução das Receitas'!$R$226</f>
        <v>1008864.6737023888</v>
      </c>
      <c r="AB51" s="147">
        <f>'Médias por UF'!CR45*'Evolução das Receitas'!$R$226</f>
        <v>1098934.42</v>
      </c>
      <c r="AC51" s="147">
        <f t="shared" si="15"/>
        <v>1098934.42</v>
      </c>
      <c r="AE51" s="213" t="s">
        <v>99</v>
      </c>
      <c r="AF51" s="147">
        <f>JAN!$AJ$17</f>
        <v>185115.45600000001</v>
      </c>
      <c r="AG51" s="147">
        <f>FEV!$AJ$17</f>
        <v>143770.992</v>
      </c>
      <c r="AH51" s="147">
        <f>MAR!$AJ17</f>
        <v>138896.89600000001</v>
      </c>
      <c r="AI51" s="147">
        <f>ABR!$AK17</f>
        <v>84243.983999999997</v>
      </c>
      <c r="AJ51" s="147">
        <f>MAI!$U17</f>
        <v>67184.504000000001</v>
      </c>
      <c r="AK51" s="147">
        <f>JUN!$U17</f>
        <v>87725.216000000015</v>
      </c>
      <c r="AL51" s="147">
        <f>JUL!$U17</f>
        <v>97839.735999999946</v>
      </c>
      <c r="AM51" s="147">
        <f>AGO!$U17</f>
        <v>87586.343999999954</v>
      </c>
      <c r="AN51" s="147">
        <f>SET!$U17</f>
        <v>91409.895999999979</v>
      </c>
      <c r="AO51" s="147">
        <f>OUT!$U17</f>
        <v>166212.41600000003</v>
      </c>
      <c r="AP51" s="147">
        <f>NOV!$U17</f>
        <v>99450.384000000005</v>
      </c>
      <c r="AQ51" s="147">
        <f>DEZ!$U17</f>
        <v>97816.09600000002</v>
      </c>
      <c r="AR51" s="177">
        <f t="shared" si="16"/>
        <v>1347251.92</v>
      </c>
    </row>
    <row r="52" spans="1:44">
      <c r="A52" s="212" t="s">
        <v>100</v>
      </c>
      <c r="B52" s="147">
        <f>$C$227*'Médias por UF'!CG46</f>
        <v>0</v>
      </c>
      <c r="C52" s="147">
        <f>$C$227*'Médias por UF'!CH46</f>
        <v>0</v>
      </c>
      <c r="D52" s="147">
        <f>$C$227*'Médias por UF'!CI46</f>
        <v>0</v>
      </c>
      <c r="E52" s="147">
        <f>$C$227*'Médias por UF'!CJ46</f>
        <v>0</v>
      </c>
      <c r="F52" s="147">
        <f>$C$227*'Médias por UF'!CK46</f>
        <v>0</v>
      </c>
      <c r="G52" s="147">
        <f>$C$227*'Médias por UF'!CL46</f>
        <v>0</v>
      </c>
      <c r="H52" s="147">
        <f>$C$227*'Médias por UF'!CM46</f>
        <v>0</v>
      </c>
      <c r="I52" s="147">
        <f>$C$227*'Médias por UF'!CN46</f>
        <v>0</v>
      </c>
      <c r="J52" s="147">
        <f>$C$227*'Médias por UF'!CO46</f>
        <v>0</v>
      </c>
      <c r="K52" s="147">
        <f>$C$227*'Médias por UF'!CP46</f>
        <v>0</v>
      </c>
      <c r="L52" s="147">
        <f>$C$227*'Médias por UF'!CQ46</f>
        <v>0</v>
      </c>
      <c r="M52" s="147">
        <f>$C$227*'Médias por UF'!CR46</f>
        <v>0</v>
      </c>
      <c r="N52" s="147">
        <f t="shared" si="14"/>
        <v>0</v>
      </c>
      <c r="P52" s="213" t="s">
        <v>100</v>
      </c>
      <c r="Q52" s="147">
        <f>'Médias por UF'!CG46*'Evolução das Receitas'!$R$227</f>
        <v>34149.293395651002</v>
      </c>
      <c r="R52" s="147">
        <f>'Médias por UF'!CH46*'Evolução das Receitas'!$R$227</f>
        <v>64406.365893489768</v>
      </c>
      <c r="S52" s="147">
        <f>'Médias por UF'!CI46*'Evolução das Receitas'!$R$227</f>
        <v>89865.918932260232</v>
      </c>
      <c r="T52" s="147">
        <f>'Médias por UF'!CJ46*'Evolução das Receitas'!$R$227</f>
        <v>110567.66804106242</v>
      </c>
      <c r="U52" s="147">
        <f>'Médias por UF'!CK46*'Evolução das Receitas'!$R$227</f>
        <v>133485.08706196197</v>
      </c>
      <c r="V52" s="147">
        <f>'Médias por UF'!CL46*'Evolução das Receitas'!$R$227</f>
        <v>153510.37918044868</v>
      </c>
      <c r="W52" s="147">
        <f>'Médias por UF'!CM46*'Evolução das Receitas'!$R$227</f>
        <v>173671.5146577773</v>
      </c>
      <c r="X52" s="147">
        <f>'Médias por UF'!CN46*'Evolução das Receitas'!$R$227</f>
        <v>189045.3872988697</v>
      </c>
      <c r="Y52" s="147">
        <f>'Médias por UF'!CO46*'Evolução das Receitas'!$R$227</f>
        <v>208546.28020521894</v>
      </c>
      <c r="Z52" s="147">
        <f>'Médias por UF'!CP46*'Evolução das Receitas'!$R$227</f>
        <v>228217.93035137418</v>
      </c>
      <c r="AA52" s="147">
        <f>'Médias por UF'!CQ46*'Evolução das Receitas'!$R$227</f>
        <v>249697.64454379311</v>
      </c>
      <c r="AB52" s="147">
        <f>'Médias por UF'!CR46*'Evolução das Receitas'!$R$227</f>
        <v>266422.43</v>
      </c>
      <c r="AC52" s="147">
        <f t="shared" si="15"/>
        <v>266422.43</v>
      </c>
      <c r="AE52" s="213" t="s">
        <v>100</v>
      </c>
      <c r="AF52" s="147">
        <f>JAN!$AJ$18</f>
        <v>33064.248</v>
      </c>
      <c r="AG52" s="147">
        <f>FEV!$AJ$18</f>
        <v>29025.512000000002</v>
      </c>
      <c r="AH52" s="147">
        <f>MAR!$AJ18</f>
        <v>30848.928000000004</v>
      </c>
      <c r="AI52" s="147">
        <f>ABR!$AK18</f>
        <v>18431.128000000001</v>
      </c>
      <c r="AJ52" s="147">
        <f>MAI!$U18</f>
        <v>11827.856</v>
      </c>
      <c r="AK52" s="147">
        <f>JUN!$U18</f>
        <v>16226.992000000002</v>
      </c>
      <c r="AL52" s="147">
        <f>JUL!$U18</f>
        <v>18482.392000000003</v>
      </c>
      <c r="AM52" s="147">
        <f>AGO!$U18</f>
        <v>27617.576000000001</v>
      </c>
      <c r="AN52" s="147">
        <f>SET!$U18</f>
        <v>20854.151999999998</v>
      </c>
      <c r="AO52" s="147">
        <f>OUT!$U18</f>
        <v>44025.704000000005</v>
      </c>
      <c r="AP52" s="147">
        <f>NOV!$U18</f>
        <v>18437.416000000001</v>
      </c>
      <c r="AQ52" s="147">
        <f>DEZ!$U18</f>
        <v>16974.952000000001</v>
      </c>
      <c r="AR52" s="177">
        <f t="shared" si="16"/>
        <v>285816.85600000003</v>
      </c>
    </row>
    <row r="53" spans="1:44">
      <c r="A53" s="212" t="s">
        <v>101</v>
      </c>
      <c r="B53" s="147">
        <f>$C$228*'Médias por UF'!CG47</f>
        <v>20642.283041435887</v>
      </c>
      <c r="C53" s="147">
        <f>$C$228*'Médias por UF'!CH47</f>
        <v>37600.661649417678</v>
      </c>
      <c r="D53" s="147">
        <f>$C$228*'Médias por UF'!CI47</f>
        <v>50260.729479532674</v>
      </c>
      <c r="E53" s="147">
        <f>$C$228*'Médias por UF'!CJ47</f>
        <v>63443.767111969028</v>
      </c>
      <c r="F53" s="147">
        <f>$C$228*'Médias por UF'!CK47</f>
        <v>75210.888845057052</v>
      </c>
      <c r="G53" s="147">
        <f>$C$228*'Médias por UF'!CL47</f>
        <v>88721.071267574458</v>
      </c>
      <c r="H53" s="147">
        <f>$C$228*'Médias por UF'!CM47</f>
        <v>97938.494263209286</v>
      </c>
      <c r="I53" s="147">
        <f>$C$228*'Médias por UF'!CN47</f>
        <v>109103.62379132083</v>
      </c>
      <c r="J53" s="147">
        <f>$C$228*'Médias por UF'!CO47</f>
        <v>119890.16029708432</v>
      </c>
      <c r="K53" s="147">
        <f>$C$228*'Médias por UF'!CP47</f>
        <v>129876.07398462751</v>
      </c>
      <c r="L53" s="147">
        <f>$C$228*'Médias por UF'!CQ47</f>
        <v>141175.37465349029</v>
      </c>
      <c r="M53" s="147">
        <f>$C$228*'Médias por UF'!CR47</f>
        <v>153007.4</v>
      </c>
      <c r="N53" s="147">
        <f t="shared" si="14"/>
        <v>153007.4</v>
      </c>
      <c r="P53" s="213" t="s">
        <v>101</v>
      </c>
      <c r="Q53" s="147">
        <f>'Médias por UF'!CG47*'Evolução das Receitas'!$R$228</f>
        <v>20642.283041435887</v>
      </c>
      <c r="R53" s="147">
        <f>'Médias por UF'!CH47*'Evolução das Receitas'!$R$228</f>
        <v>37600.661649417678</v>
      </c>
      <c r="S53" s="147">
        <f>'Médias por UF'!CI47*'Evolução das Receitas'!$R$228</f>
        <v>50260.729479532674</v>
      </c>
      <c r="T53" s="147">
        <f>'Médias por UF'!CJ47*'Evolução das Receitas'!$R$228</f>
        <v>63443.767111969028</v>
      </c>
      <c r="U53" s="147">
        <f>'Médias por UF'!CK47*'Evolução das Receitas'!$R$228</f>
        <v>75210.888845057052</v>
      </c>
      <c r="V53" s="147">
        <f>'Médias por UF'!CL47*'Evolução das Receitas'!$R$228</f>
        <v>88721.071267574458</v>
      </c>
      <c r="W53" s="147">
        <f>'Médias por UF'!CM47*'Evolução das Receitas'!$R$228</f>
        <v>97938.494263209286</v>
      </c>
      <c r="X53" s="147">
        <f>'Médias por UF'!CN47*'Evolução das Receitas'!$R$228</f>
        <v>109103.62379132083</v>
      </c>
      <c r="Y53" s="147">
        <f>'Médias por UF'!CO47*'Evolução das Receitas'!$R$228</f>
        <v>119890.16029708432</v>
      </c>
      <c r="Z53" s="147">
        <f>'Médias por UF'!CP47*'Evolução das Receitas'!$R$228</f>
        <v>129876.07398462751</v>
      </c>
      <c r="AA53" s="147">
        <f>'Médias por UF'!CQ47*'Evolução das Receitas'!$R$228</f>
        <v>141175.37465349029</v>
      </c>
      <c r="AB53" s="147">
        <f>'Médias por UF'!CR47*'Evolução das Receitas'!$R$228</f>
        <v>153007.4</v>
      </c>
      <c r="AC53" s="147">
        <f t="shared" si="15"/>
        <v>153007.4</v>
      </c>
      <c r="AE53" s="213" t="s">
        <v>101</v>
      </c>
      <c r="AF53" s="147">
        <f>JAN!$AJ$19</f>
        <v>34927.256000000001</v>
      </c>
      <c r="AG53" s="147">
        <f>FEV!$AJ$19</f>
        <v>25313.816000000003</v>
      </c>
      <c r="AH53" s="147">
        <f>MAR!$AJ19</f>
        <v>21610.808000000001</v>
      </c>
      <c r="AI53" s="147">
        <f>ABR!$AK19</f>
        <v>16525.216</v>
      </c>
      <c r="AJ53" s="147">
        <f>MAI!$U19</f>
        <v>9397.9840000000004</v>
      </c>
      <c r="AK53" s="147">
        <f>JUN!$U19</f>
        <v>11919.736000000001</v>
      </c>
      <c r="AL53" s="147">
        <f>JUL!$U19</f>
        <v>18175.511999999988</v>
      </c>
      <c r="AM53" s="147">
        <f>AGO!$U19</f>
        <v>21334.480000000007</v>
      </c>
      <c r="AN53" s="147">
        <f>SET!$U19</f>
        <v>20925.072</v>
      </c>
      <c r="AO53" s="147">
        <f>OUT!$U19</f>
        <v>39640.207999999999</v>
      </c>
      <c r="AP53" s="147">
        <f>NOV!$U19</f>
        <v>15281.512000000002</v>
      </c>
      <c r="AQ53" s="147">
        <f>DEZ!$U19</f>
        <v>22429.376</v>
      </c>
      <c r="AR53" s="177">
        <f t="shared" si="16"/>
        <v>257480.97599999997</v>
      </c>
    </row>
    <row r="54" spans="1:44">
      <c r="A54" s="212" t="s">
        <v>102</v>
      </c>
      <c r="B54" s="147">
        <f>$C$229*'Médias por UF'!CG48</f>
        <v>98656.837024968772</v>
      </c>
      <c r="C54" s="147">
        <f>$C$229*'Médias por UF'!CH48</f>
        <v>179252.63659420228</v>
      </c>
      <c r="D54" s="147">
        <f>$C$229*'Médias por UF'!CI48</f>
        <v>241021.17770562647</v>
      </c>
      <c r="E54" s="147">
        <f>$C$229*'Médias por UF'!CJ48</f>
        <v>298892.87995128776</v>
      </c>
      <c r="F54" s="147">
        <f>$C$229*'Médias por UF'!CK48</f>
        <v>351302.13277410588</v>
      </c>
      <c r="G54" s="147">
        <f>$C$229*'Médias por UF'!CL48</f>
        <v>395338.7206143972</v>
      </c>
      <c r="H54" s="147">
        <f>$C$229*'Médias por UF'!CM48</f>
        <v>437160.40725302661</v>
      </c>
      <c r="I54" s="147">
        <f>$C$229*'Médias por UF'!CN48</f>
        <v>479454.69654975255</v>
      </c>
      <c r="J54" s="147">
        <f>$C$229*'Médias por UF'!CO48</f>
        <v>524554.57885608845</v>
      </c>
      <c r="K54" s="147">
        <f>$C$229*'Médias por UF'!CP48</f>
        <v>574325.62787697301</v>
      </c>
      <c r="L54" s="147">
        <f>$C$229*'Médias por UF'!CQ48</f>
        <v>626687.54665216233</v>
      </c>
      <c r="M54" s="147">
        <f>$C$229*'Médias por UF'!CR48</f>
        <v>704597.22</v>
      </c>
      <c r="N54" s="147">
        <f t="shared" si="14"/>
        <v>704597.22</v>
      </c>
      <c r="P54" s="213" t="s">
        <v>102</v>
      </c>
      <c r="Q54" s="147">
        <f>'Médias por UF'!CG48*'Evolução das Receitas'!$R$229</f>
        <v>98656.837024968772</v>
      </c>
      <c r="R54" s="147">
        <f>'Médias por UF'!CH48*'Evolução das Receitas'!$R$229</f>
        <v>179252.63659420228</v>
      </c>
      <c r="S54" s="147">
        <f>'Médias por UF'!CI48*'Evolução das Receitas'!$R$229</f>
        <v>241021.17770562647</v>
      </c>
      <c r="T54" s="147">
        <f>'Médias por UF'!CJ48*'Evolução das Receitas'!$R$229</f>
        <v>298892.87995128776</v>
      </c>
      <c r="U54" s="147">
        <f>'Médias por UF'!CK48*'Evolução das Receitas'!$R$229</f>
        <v>351302.13277410588</v>
      </c>
      <c r="V54" s="147">
        <f>'Médias por UF'!CL48*'Evolução das Receitas'!$R$229</f>
        <v>395338.7206143972</v>
      </c>
      <c r="W54" s="147">
        <f>'Médias por UF'!CM48*'Evolução das Receitas'!$R$229</f>
        <v>437160.40725302661</v>
      </c>
      <c r="X54" s="147">
        <f>'Médias por UF'!CN48*'Evolução das Receitas'!$R$229</f>
        <v>479454.69654975255</v>
      </c>
      <c r="Y54" s="147">
        <f>'Médias por UF'!CO48*'Evolução das Receitas'!$R$229</f>
        <v>524554.57885608845</v>
      </c>
      <c r="Z54" s="147">
        <f>'Médias por UF'!CP48*'Evolução das Receitas'!$R$229</f>
        <v>574325.62787697301</v>
      </c>
      <c r="AA54" s="147">
        <f>'Médias por UF'!CQ48*'Evolução das Receitas'!$R$229</f>
        <v>626687.54665216233</v>
      </c>
      <c r="AB54" s="147">
        <f>'Médias por UF'!CR48*'Evolução das Receitas'!$R$229</f>
        <v>704597.22</v>
      </c>
      <c r="AC54" s="147">
        <f t="shared" si="15"/>
        <v>704597.22</v>
      </c>
      <c r="AE54" s="213" t="s">
        <v>102</v>
      </c>
      <c r="AF54" s="147">
        <f>JAN!$AJ$20</f>
        <v>163800.576</v>
      </c>
      <c r="AG54" s="147">
        <f>FEV!$AJ$20</f>
        <v>115342.728</v>
      </c>
      <c r="AH54" s="147">
        <f>MAR!$AJ20</f>
        <v>108481.66399999999</v>
      </c>
      <c r="AI54" s="147">
        <f>ABR!$AK20</f>
        <v>61886.456000000006</v>
      </c>
      <c r="AJ54" s="147">
        <f>MAI!$U20</f>
        <v>58469.368000000009</v>
      </c>
      <c r="AK54" s="147">
        <f>JUN!$U20</f>
        <v>66993.304000000004</v>
      </c>
      <c r="AL54" s="147">
        <f>JUL!$U20</f>
        <v>58988.439999999995</v>
      </c>
      <c r="AM54" s="147">
        <f>AGO!$U20</f>
        <v>64240.86400000006</v>
      </c>
      <c r="AN54" s="147">
        <f>SET!$U20</f>
        <v>63436</v>
      </c>
      <c r="AO54" s="147">
        <f>OUT!$U20</f>
        <v>107887.91200000001</v>
      </c>
      <c r="AP54" s="147">
        <f>NOV!$U20</f>
        <v>55170.335999999988</v>
      </c>
      <c r="AQ54" s="147">
        <f>DEZ!$U20</f>
        <v>52872.58400000001</v>
      </c>
      <c r="AR54" s="177">
        <f t="shared" si="16"/>
        <v>977570.23200000008</v>
      </c>
    </row>
    <row r="55" spans="1:44">
      <c r="A55" s="212" t="s">
        <v>103</v>
      </c>
      <c r="B55" s="147">
        <f>$C$230*'Médias por UF'!CG49</f>
        <v>47199.715023321231</v>
      </c>
      <c r="C55" s="147">
        <f>$C$230*'Médias por UF'!CH49</f>
        <v>89886.948754053883</v>
      </c>
      <c r="D55" s="147">
        <f>$C$230*'Médias por UF'!CI49</f>
        <v>127321.36537994299</v>
      </c>
      <c r="E55" s="147">
        <f>$C$230*'Médias por UF'!CJ49</f>
        <v>157626.93886077928</v>
      </c>
      <c r="F55" s="147">
        <f>$C$230*'Médias por UF'!CK49</f>
        <v>188656.49672189628</v>
      </c>
      <c r="G55" s="147">
        <f>$C$230*'Médias por UF'!CL49</f>
        <v>214565.62969815891</v>
      </c>
      <c r="H55" s="147">
        <f>$C$230*'Médias por UF'!CM49</f>
        <v>241723.81312221158</v>
      </c>
      <c r="I55" s="147">
        <f>$C$230*'Médias por UF'!CN49</f>
        <v>263794.78808586468</v>
      </c>
      <c r="J55" s="147">
        <f>$C$230*'Médias por UF'!CO49</f>
        <v>280480.2871601131</v>
      </c>
      <c r="K55" s="147">
        <f>$C$230*'Médias por UF'!CP49</f>
        <v>293360.00570564595</v>
      </c>
      <c r="L55" s="147">
        <f>$C$230*'Médias por UF'!CQ49</f>
        <v>306756.05062931398</v>
      </c>
      <c r="M55" s="147">
        <f>$C$230*'Médias por UF'!CR49</f>
        <v>321606.04000000004</v>
      </c>
      <c r="N55" s="147">
        <f t="shared" si="14"/>
        <v>321606.04000000004</v>
      </c>
      <c r="P55" s="213" t="s">
        <v>103</v>
      </c>
      <c r="Q55" s="147">
        <f>'Médias por UF'!CG49*'Evolução das Receitas'!$R$230</f>
        <v>47199.715023321231</v>
      </c>
      <c r="R55" s="147">
        <f>'Médias por UF'!CH49*'Evolução das Receitas'!$R$230</f>
        <v>89886.948754053883</v>
      </c>
      <c r="S55" s="147">
        <f>'Médias por UF'!CI49*'Evolução das Receitas'!$R$230</f>
        <v>127321.36537994299</v>
      </c>
      <c r="T55" s="147">
        <f>'Médias por UF'!CJ49*'Evolução das Receitas'!$R$230</f>
        <v>157626.93886077928</v>
      </c>
      <c r="U55" s="147">
        <f>'Médias por UF'!CK49*'Evolução das Receitas'!$R$230</f>
        <v>188656.49672189628</v>
      </c>
      <c r="V55" s="147">
        <f>'Médias por UF'!CL49*'Evolução das Receitas'!$R$230</f>
        <v>214565.62969815891</v>
      </c>
      <c r="W55" s="147">
        <f>'Médias por UF'!CM49*'Evolução das Receitas'!$R$230</f>
        <v>241723.81312221158</v>
      </c>
      <c r="X55" s="147">
        <f>'Médias por UF'!CN49*'Evolução das Receitas'!$R$230</f>
        <v>263794.78808586468</v>
      </c>
      <c r="Y55" s="147">
        <f>'Médias por UF'!CO49*'Evolução das Receitas'!$R$230</f>
        <v>280480.2871601131</v>
      </c>
      <c r="Z55" s="147">
        <f>'Médias por UF'!CP49*'Evolução das Receitas'!$R$230</f>
        <v>293360.00570564595</v>
      </c>
      <c r="AA55" s="147">
        <f>'Médias por UF'!CQ49*'Evolução das Receitas'!$R$230</f>
        <v>306756.05062931398</v>
      </c>
      <c r="AB55" s="147">
        <f>'Médias por UF'!CR49*'Evolução das Receitas'!$R$230</f>
        <v>321606.04000000004</v>
      </c>
      <c r="AC55" s="147">
        <f t="shared" si="15"/>
        <v>321606.04000000004</v>
      </c>
      <c r="AE55" s="213" t="s">
        <v>103</v>
      </c>
      <c r="AF55" s="147">
        <f>JAN!$AJ$21</f>
        <v>66953.768000000011</v>
      </c>
      <c r="AG55" s="147">
        <f>FEV!$AJ$21</f>
        <v>42619.872000000003</v>
      </c>
      <c r="AH55" s="147">
        <f>MAR!$AJ21</f>
        <v>32370.056</v>
      </c>
      <c r="AI55" s="147">
        <f>ABR!$AK21</f>
        <v>17392.135999999999</v>
      </c>
      <c r="AJ55" s="147">
        <f>MAI!$U21</f>
        <v>14371.872000000001</v>
      </c>
      <c r="AK55" s="147">
        <f>JUN!$U21</f>
        <v>16920</v>
      </c>
      <c r="AL55" s="147">
        <f>JUL!$U21</f>
        <v>26410.552000000003</v>
      </c>
      <c r="AM55" s="147">
        <f>AGO!$U21</f>
        <v>24570.704000000005</v>
      </c>
      <c r="AN55" s="147">
        <f>SET!$U21</f>
        <v>25122.648000000001</v>
      </c>
      <c r="AO55" s="147">
        <f>OUT!$U21</f>
        <v>59329.031999999999</v>
      </c>
      <c r="AP55" s="147">
        <f>NOV!$U21</f>
        <v>21197.632000000001</v>
      </c>
      <c r="AQ55" s="147">
        <f>DEZ!$U21</f>
        <v>15237.856</v>
      </c>
      <c r="AR55" s="177">
        <f t="shared" si="16"/>
        <v>362496.12800000003</v>
      </c>
    </row>
    <row r="56" spans="1:44">
      <c r="A56" s="212" t="s">
        <v>104</v>
      </c>
      <c r="B56" s="147">
        <f>$C$231*'Médias por UF'!CG50</f>
        <v>9439.4347421505718</v>
      </c>
      <c r="C56" s="147">
        <f>$C$231*'Médias por UF'!CH50</f>
        <v>15975.256002378836</v>
      </c>
      <c r="D56" s="147">
        <f>$C$231*'Médias por UF'!CI50</f>
        <v>22154.080800498923</v>
      </c>
      <c r="E56" s="147">
        <f>$C$231*'Médias por UF'!CJ50</f>
        <v>26980.312614758437</v>
      </c>
      <c r="F56" s="147">
        <f>$C$231*'Médias por UF'!CK50</f>
        <v>32418.34137219502</v>
      </c>
      <c r="G56" s="147">
        <f>$C$231*'Médias por UF'!CL50</f>
        <v>36030.878920825846</v>
      </c>
      <c r="H56" s="147">
        <f>$C$231*'Médias por UF'!CM50</f>
        <v>39660.632741833215</v>
      </c>
      <c r="I56" s="147">
        <f>$C$231*'Médias por UF'!CN50</f>
        <v>43532.962510137681</v>
      </c>
      <c r="J56" s="147">
        <f>$C$231*'Médias por UF'!CO50</f>
        <v>46193.564367252278</v>
      </c>
      <c r="K56" s="147">
        <f>$C$231*'Médias por UF'!CP50</f>
        <v>48810.021165141508</v>
      </c>
      <c r="L56" s="147">
        <f>$C$231*'Médias por UF'!CQ50</f>
        <v>52301.327027493026</v>
      </c>
      <c r="M56" s="147">
        <f>$C$231*'Médias por UF'!CR50</f>
        <v>55168.07</v>
      </c>
      <c r="N56" s="147">
        <f t="shared" si="14"/>
        <v>55168.07</v>
      </c>
      <c r="P56" s="213" t="s">
        <v>104</v>
      </c>
      <c r="Q56" s="147">
        <f>'Médias por UF'!CG50*'Evolução das Receitas'!$R$231</f>
        <v>9439.4347421505718</v>
      </c>
      <c r="R56" s="147">
        <f>'Médias por UF'!CH50*'Evolução das Receitas'!$R$231</f>
        <v>15975.256002378836</v>
      </c>
      <c r="S56" s="147">
        <f>'Médias por UF'!CI50*'Evolução das Receitas'!$R$231</f>
        <v>22154.080800498923</v>
      </c>
      <c r="T56" s="147">
        <f>'Médias por UF'!CJ50*'Evolução das Receitas'!$R$231</f>
        <v>26980.312614758437</v>
      </c>
      <c r="U56" s="147">
        <f>'Médias por UF'!CK50*'Evolução das Receitas'!$R$231</f>
        <v>32418.34137219502</v>
      </c>
      <c r="V56" s="147">
        <f>'Médias por UF'!CL50*'Evolução das Receitas'!$R$231</f>
        <v>36030.878920825846</v>
      </c>
      <c r="W56" s="147">
        <f>'Médias por UF'!CM50*'Evolução das Receitas'!$R$231</f>
        <v>39660.632741833215</v>
      </c>
      <c r="X56" s="147">
        <f>'Médias por UF'!CN50*'Evolução das Receitas'!$R$231</f>
        <v>43532.962510137681</v>
      </c>
      <c r="Y56" s="147">
        <f>'Médias por UF'!CO50*'Evolução das Receitas'!$R$231</f>
        <v>46193.564367252278</v>
      </c>
      <c r="Z56" s="147">
        <f>'Médias por UF'!CP50*'Evolução das Receitas'!$R$231</f>
        <v>48810.021165141508</v>
      </c>
      <c r="AA56" s="147">
        <f>'Médias por UF'!CQ50*'Evolução das Receitas'!$R$231</f>
        <v>52301.327027493026</v>
      </c>
      <c r="AB56" s="147">
        <f>'Médias por UF'!CR50*'Evolução das Receitas'!$R$231</f>
        <v>55168.07</v>
      </c>
      <c r="AC56" s="147">
        <f t="shared" si="15"/>
        <v>55168.07</v>
      </c>
      <c r="AE56" s="213" t="s">
        <v>104</v>
      </c>
      <c r="AF56" s="147">
        <f>JAN!$AJ$22</f>
        <v>11724.016000000001</v>
      </c>
      <c r="AG56" s="147">
        <f>FEV!$AJ$22</f>
        <v>8931.0079999999998</v>
      </c>
      <c r="AH56" s="147">
        <f>MAR!$AJ22</f>
        <v>5319.9520000000002</v>
      </c>
      <c r="AI56" s="147">
        <f>ABR!$AK22</f>
        <v>3246.9040000000005</v>
      </c>
      <c r="AJ56" s="147">
        <f>MAI!$U22</f>
        <v>3917.9440000000004</v>
      </c>
      <c r="AK56" s="147">
        <f>JUN!$U22</f>
        <v>2119.9919999999997</v>
      </c>
      <c r="AL56" s="147">
        <f>JUL!$U22</f>
        <v>2514.9840000000027</v>
      </c>
      <c r="AM56" s="147">
        <f>AGO!$U22</f>
        <v>8196.6640000000025</v>
      </c>
      <c r="AN56" s="147">
        <f>SET!$U22</f>
        <v>7317.4720000000007</v>
      </c>
      <c r="AO56" s="147">
        <f>OUT!$U22</f>
        <v>11390.368000000002</v>
      </c>
      <c r="AP56" s="147">
        <f>NOV!$U22</f>
        <v>3505.6400000000003</v>
      </c>
      <c r="AQ56" s="147">
        <f>DEZ!$U22</f>
        <v>13957.855999999998</v>
      </c>
      <c r="AR56" s="177">
        <f t="shared" si="16"/>
        <v>82142.800000000017</v>
      </c>
    </row>
    <row r="57" spans="1:44">
      <c r="A57" s="212" t="s">
        <v>105</v>
      </c>
      <c r="B57" s="147">
        <f>$C$232*'Médias por UF'!CG51</f>
        <v>82921.887547784048</v>
      </c>
      <c r="C57" s="147">
        <f>$C$232*'Médias por UF'!CH51</f>
        <v>148142.53907600738</v>
      </c>
      <c r="D57" s="147">
        <f>$C$232*'Médias por UF'!CI51</f>
        <v>195241.03704387709</v>
      </c>
      <c r="E57" s="147">
        <f>$C$232*'Médias por UF'!CJ51</f>
        <v>248448.28604434643</v>
      </c>
      <c r="F57" s="147">
        <f>$C$232*'Médias por UF'!CK51</f>
        <v>305109.0814561164</v>
      </c>
      <c r="G57" s="147">
        <f>$C$232*'Médias por UF'!CL51</f>
        <v>354882.41427486687</v>
      </c>
      <c r="H57" s="147">
        <f>$C$232*'Médias por UF'!CM51</f>
        <v>420129.16000612057</v>
      </c>
      <c r="I57" s="147">
        <f>$C$232*'Médias por UF'!CN51</f>
        <v>497514.33991397667</v>
      </c>
      <c r="J57" s="147">
        <f>$C$232*'Médias por UF'!CO51</f>
        <v>555493.66580550396</v>
      </c>
      <c r="K57" s="147">
        <f>$C$232*'Médias por UF'!CP51</f>
        <v>618987.45066635183</v>
      </c>
      <c r="L57" s="147">
        <f>$C$232*'Médias por UF'!CQ51</f>
        <v>664609.80961852008</v>
      </c>
      <c r="M57" s="147">
        <f>$C$232*'Médias por UF'!CR51</f>
        <v>720000</v>
      </c>
      <c r="N57" s="147">
        <f t="shared" si="14"/>
        <v>720000</v>
      </c>
      <c r="P57" s="213" t="s">
        <v>105</v>
      </c>
      <c r="Q57" s="147">
        <f>'Médias por UF'!CG51*'Evolução das Receitas'!$R$232</f>
        <v>82921.887547784048</v>
      </c>
      <c r="R57" s="147">
        <f>'Médias por UF'!CH51*'Evolução das Receitas'!$R$232</f>
        <v>148142.53907600738</v>
      </c>
      <c r="S57" s="147">
        <f>'Médias por UF'!CI51*'Evolução das Receitas'!$R$232</f>
        <v>195241.03704387709</v>
      </c>
      <c r="T57" s="147">
        <f>'Médias por UF'!CJ51*'Evolução das Receitas'!$R$232</f>
        <v>248448.28604434643</v>
      </c>
      <c r="U57" s="147">
        <f>'Médias por UF'!CK51*'Evolução das Receitas'!$R$232</f>
        <v>305109.0814561164</v>
      </c>
      <c r="V57" s="147">
        <f>'Médias por UF'!CL51*'Evolução das Receitas'!$R$232</f>
        <v>354882.41427486687</v>
      </c>
      <c r="W57" s="147">
        <f>'Médias por UF'!CM51*'Evolução das Receitas'!$R$232</f>
        <v>420129.16000612057</v>
      </c>
      <c r="X57" s="147">
        <f>'Médias por UF'!CN51*'Evolução das Receitas'!$R$232</f>
        <v>497514.33991397667</v>
      </c>
      <c r="Y57" s="147">
        <f>'Médias por UF'!CO51*'Evolução das Receitas'!$R$232</f>
        <v>555493.66580550396</v>
      </c>
      <c r="Z57" s="147">
        <f>'Médias por UF'!CP51*'Evolução das Receitas'!$R$232</f>
        <v>618987.45066635183</v>
      </c>
      <c r="AA57" s="147">
        <f>'Médias por UF'!CQ51*'Evolução das Receitas'!$R$232</f>
        <v>664609.80961852008</v>
      </c>
      <c r="AB57" s="147">
        <f>'Médias por UF'!CR51*'Evolução das Receitas'!$R$232</f>
        <v>720000</v>
      </c>
      <c r="AC57" s="147">
        <f t="shared" si="15"/>
        <v>720000</v>
      </c>
      <c r="AE57" s="213" t="s">
        <v>105</v>
      </c>
      <c r="AF57" s="147">
        <f>JAN!$AJ$23</f>
        <v>146034.54399999999</v>
      </c>
      <c r="AG57" s="147">
        <f>FEV!$AJ$23</f>
        <v>99699.280000000013</v>
      </c>
      <c r="AH57" s="147">
        <f>MAR!$AJ23</f>
        <v>93884.104000000007</v>
      </c>
      <c r="AI57" s="147">
        <f>ABR!$AK23</f>
        <v>55580.104000000007</v>
      </c>
      <c r="AJ57" s="147">
        <f>MAI!$U23</f>
        <v>44998.815999999999</v>
      </c>
      <c r="AK57" s="147">
        <f>JUN!$U23</f>
        <v>63753.872000000003</v>
      </c>
      <c r="AL57" s="147">
        <f>JUL!$U23</f>
        <v>72585.807999999961</v>
      </c>
      <c r="AM57" s="147">
        <f>AGO!$U23</f>
        <v>69544.880000000077</v>
      </c>
      <c r="AN57" s="147">
        <f>SET!$U23</f>
        <v>76282.559999999983</v>
      </c>
      <c r="AO57" s="147">
        <f>OUT!$U23</f>
        <v>146238.66400000002</v>
      </c>
      <c r="AP57" s="147">
        <f>NOV!$U23</f>
        <v>62151.256000000008</v>
      </c>
      <c r="AQ57" s="147">
        <f>DEZ!$U23</f>
        <v>60651.4</v>
      </c>
      <c r="AR57" s="177">
        <f t="shared" si="16"/>
        <v>991405.28800000006</v>
      </c>
    </row>
    <row r="58" spans="1:44">
      <c r="A58" s="212" t="s">
        <v>106</v>
      </c>
      <c r="B58" s="147">
        <f>$C$233*'Médias por UF'!CG52</f>
        <v>16338.829506854405</v>
      </c>
      <c r="C58" s="147">
        <f>$C$233*'Médias por UF'!CH52</f>
        <v>33156.02391584716</v>
      </c>
      <c r="D58" s="147">
        <f>$C$233*'Médias por UF'!CI52</f>
        <v>45982.793229444367</v>
      </c>
      <c r="E58" s="147">
        <f>$C$233*'Médias por UF'!CJ52</f>
        <v>56098.902931259494</v>
      </c>
      <c r="F58" s="147">
        <f>$C$233*'Médias por UF'!CK52</f>
        <v>67017.375241673042</v>
      </c>
      <c r="G58" s="147">
        <f>$C$233*'Médias por UF'!CL52</f>
        <v>75970.91034285065</v>
      </c>
      <c r="H58" s="147">
        <f>$C$233*'Médias por UF'!CM52</f>
        <v>85127.995225435836</v>
      </c>
      <c r="I58" s="147">
        <f>$C$233*'Médias por UF'!CN52</f>
        <v>94506.635787024497</v>
      </c>
      <c r="J58" s="147">
        <f>$C$233*'Médias por UF'!CO52</f>
        <v>103476.73683635492</v>
      </c>
      <c r="K58" s="147">
        <f>$C$233*'Médias por UF'!CP52</f>
        <v>115149.53662547993</v>
      </c>
      <c r="L58" s="147">
        <f>$C$233*'Médias por UF'!CQ52</f>
        <v>126413.73819894572</v>
      </c>
      <c r="M58" s="147">
        <f>$C$233*'Médias por UF'!CR52</f>
        <v>136881.07</v>
      </c>
      <c r="N58" s="147">
        <f t="shared" si="14"/>
        <v>136881.07</v>
      </c>
      <c r="P58" s="213" t="s">
        <v>106</v>
      </c>
      <c r="Q58" s="147">
        <f>'Médias por UF'!CG52*'Evolução das Receitas'!$R$233</f>
        <v>22954.413786439243</v>
      </c>
      <c r="R58" s="147">
        <f>'Médias por UF'!CH52*'Evolução das Receitas'!$R$233</f>
        <v>46580.882195884784</v>
      </c>
      <c r="S58" s="147">
        <f>'Médias por UF'!CI52*'Evolução das Receitas'!$R$233</f>
        <v>64601.204290805537</v>
      </c>
      <c r="T58" s="147">
        <f>'Médias por UF'!CJ52*'Evolução das Receitas'!$R$233</f>
        <v>78813.321989142569</v>
      </c>
      <c r="U58" s="147">
        <f>'Médias por UF'!CK52*'Evolução das Receitas'!$R$233</f>
        <v>94152.678533861384</v>
      </c>
      <c r="V58" s="147">
        <f>'Médias por UF'!CL52*'Evolução das Receitas'!$R$233</f>
        <v>106731.49572989238</v>
      </c>
      <c r="W58" s="147">
        <f>'Médias por UF'!CM52*'Evolução das Receitas'!$R$233</f>
        <v>119596.27991680293</v>
      </c>
      <c r="X58" s="147">
        <f>'Médias por UF'!CN52*'Evolução das Receitas'!$R$233</f>
        <v>132772.32757154314</v>
      </c>
      <c r="Y58" s="147">
        <f>'Médias por UF'!CO52*'Evolução das Receitas'!$R$233</f>
        <v>145374.41826023802</v>
      </c>
      <c r="Z58" s="147">
        <f>'Médias por UF'!CP52*'Evolução das Receitas'!$R$233</f>
        <v>161773.52912025587</v>
      </c>
      <c r="AA58" s="147">
        <f>'Médias por UF'!CQ52*'Evolução das Receitas'!$R$233</f>
        <v>177598.6005418484</v>
      </c>
      <c r="AB58" s="147">
        <f>'Médias por UF'!CR52*'Evolução das Receitas'!$R$233</f>
        <v>192304.15</v>
      </c>
      <c r="AC58" s="147">
        <f t="shared" si="15"/>
        <v>192304.15</v>
      </c>
      <c r="AE58" s="213" t="s">
        <v>106</v>
      </c>
      <c r="AF58" s="147">
        <f>JAN!$AJ$24</f>
        <v>33630.336000000003</v>
      </c>
      <c r="AG58" s="147">
        <f>FEV!$AJ$24</f>
        <v>26112.800000000003</v>
      </c>
      <c r="AH58" s="147">
        <f>MAR!$AJ24</f>
        <v>31526.624000000007</v>
      </c>
      <c r="AI58" s="147">
        <f>ABR!$AK24</f>
        <v>17326.952000000001</v>
      </c>
      <c r="AJ58" s="147">
        <f>MAI!$U24</f>
        <v>15047.36</v>
      </c>
      <c r="AK58" s="147">
        <f>JUN!$U24</f>
        <v>16622.416000000001</v>
      </c>
      <c r="AL58" s="147">
        <f>JUL!$U24</f>
        <v>20801.49600000001</v>
      </c>
      <c r="AM58" s="147">
        <f>AGO!$U24</f>
        <v>16950.119999999984</v>
      </c>
      <c r="AN58" s="147">
        <f>SET!$U24</f>
        <v>13425.896000000002</v>
      </c>
      <c r="AO58" s="147">
        <f>OUT!$U24</f>
        <v>28207.648000000005</v>
      </c>
      <c r="AP58" s="147">
        <f>NOV!$U24</f>
        <v>12317.112000000001</v>
      </c>
      <c r="AQ58" s="147">
        <f>DEZ!$U24</f>
        <v>17731.344000000001</v>
      </c>
      <c r="AR58" s="177">
        <f t="shared" si="16"/>
        <v>249700.10400000005</v>
      </c>
    </row>
    <row r="59" spans="1:44">
      <c r="A59" s="212" t="s">
        <v>107</v>
      </c>
      <c r="B59" s="147">
        <f>$C$234*'Médias por UF'!CG53</f>
        <v>97001.429711759381</v>
      </c>
      <c r="C59" s="147">
        <f>$C$234*'Médias por UF'!CH53</f>
        <v>173764.51832008036</v>
      </c>
      <c r="D59" s="147">
        <f>$C$234*'Médias por UF'!CI53</f>
        <v>233141.94134144814</v>
      </c>
      <c r="E59" s="147">
        <f>$C$234*'Médias por UF'!CJ53</f>
        <v>296285.9510541255</v>
      </c>
      <c r="F59" s="147">
        <f>$C$234*'Médias por UF'!CK53</f>
        <v>361253.61989653541</v>
      </c>
      <c r="G59" s="147">
        <f>$C$234*'Médias por UF'!CL53</f>
        <v>416181.08145815105</v>
      </c>
      <c r="H59" s="147">
        <f>$C$234*'Médias por UF'!CM53</f>
        <v>483922.46060025197</v>
      </c>
      <c r="I59" s="147">
        <f>$C$234*'Médias por UF'!CN53</f>
        <v>541344.68563602655</v>
      </c>
      <c r="J59" s="147">
        <f>$C$234*'Médias por UF'!CO53</f>
        <v>588116.39175381581</v>
      </c>
      <c r="K59" s="147">
        <f>$C$234*'Médias por UF'!CP53</f>
        <v>646199.39414238848</v>
      </c>
      <c r="L59" s="147">
        <f>$C$234*'Médias por UF'!CQ53</f>
        <v>701890.00921180146</v>
      </c>
      <c r="M59" s="147">
        <f>$C$234*'Médias por UF'!CR53</f>
        <v>763682.25</v>
      </c>
      <c r="N59" s="147">
        <f t="shared" si="14"/>
        <v>763682.25</v>
      </c>
      <c r="P59" s="213" t="s">
        <v>107</v>
      </c>
      <c r="Q59" s="147">
        <f>'Médias por UF'!CG53*'Evolução das Receitas'!$R$234</f>
        <v>97001.429711759381</v>
      </c>
      <c r="R59" s="147">
        <f>'Médias por UF'!CH53*'Evolução das Receitas'!$R$234</f>
        <v>173764.51832008036</v>
      </c>
      <c r="S59" s="147">
        <f>'Médias por UF'!CI53*'Evolução das Receitas'!$R$234</f>
        <v>233141.94134144814</v>
      </c>
      <c r="T59" s="147">
        <f>'Médias por UF'!CJ53*'Evolução das Receitas'!$R$234</f>
        <v>296285.9510541255</v>
      </c>
      <c r="U59" s="147">
        <f>'Médias por UF'!CK53*'Evolução das Receitas'!$R$234</f>
        <v>361253.61989653541</v>
      </c>
      <c r="V59" s="147">
        <f>'Médias por UF'!CL53*'Evolução das Receitas'!$R$234</f>
        <v>416181.08145815105</v>
      </c>
      <c r="W59" s="147">
        <f>'Médias por UF'!CM53*'Evolução das Receitas'!$R$234</f>
        <v>483922.46060025197</v>
      </c>
      <c r="X59" s="147">
        <f>'Médias por UF'!CN53*'Evolução das Receitas'!$R$234</f>
        <v>541344.68563602655</v>
      </c>
      <c r="Y59" s="147">
        <f>'Médias por UF'!CO53*'Evolução das Receitas'!$R$234</f>
        <v>588116.39175381581</v>
      </c>
      <c r="Z59" s="147">
        <f>'Médias por UF'!CP53*'Evolução das Receitas'!$R$234</f>
        <v>646199.39414238848</v>
      </c>
      <c r="AA59" s="147">
        <f>'Médias por UF'!CQ53*'Evolução das Receitas'!$R$234</f>
        <v>701890.00921180146</v>
      </c>
      <c r="AB59" s="147">
        <f>'Médias por UF'!CR53*'Evolução das Receitas'!$R$234</f>
        <v>763682.25</v>
      </c>
      <c r="AC59" s="147">
        <f t="shared" si="15"/>
        <v>763682.25</v>
      </c>
      <c r="AE59" s="213" t="s">
        <v>107</v>
      </c>
      <c r="AF59" s="147">
        <f>JAN!$AJ$25</f>
        <v>131183.56000000003</v>
      </c>
      <c r="AG59" s="147">
        <f>FEV!$AJ$25</f>
        <v>89675.648000000001</v>
      </c>
      <c r="AH59" s="147">
        <f>MAR!$AJ25</f>
        <v>98485.952000000005</v>
      </c>
      <c r="AI59" s="147">
        <f>ABR!$AK25</f>
        <v>55000.512000000002</v>
      </c>
      <c r="AJ59" s="147">
        <f>MAI!$U25</f>
        <v>44244.456000000006</v>
      </c>
      <c r="AK59" s="147">
        <f>JUN!$U25</f>
        <v>58944.072</v>
      </c>
      <c r="AL59" s="147">
        <f>JUL!$U25</f>
        <v>62622.031999999985</v>
      </c>
      <c r="AM59" s="147">
        <f>AGO!$U25</f>
        <v>70627.512000000061</v>
      </c>
      <c r="AN59" s="147">
        <f>SET!$U25</f>
        <v>77108.551999999952</v>
      </c>
      <c r="AO59" s="147">
        <f>OUT!$U25</f>
        <v>127105.67199999998</v>
      </c>
      <c r="AP59" s="147">
        <f>NOV!$U25</f>
        <v>61135.463999999993</v>
      </c>
      <c r="AQ59" s="147">
        <f>DEZ!$U25</f>
        <v>97773.655999999988</v>
      </c>
      <c r="AR59" s="177">
        <f t="shared" si="16"/>
        <v>973907.08799999999</v>
      </c>
    </row>
    <row r="60" spans="1:44">
      <c r="A60" s="212" t="s">
        <v>108</v>
      </c>
      <c r="B60" s="147">
        <f>$C$235*'Médias por UF'!CG54</f>
        <v>7503.3736858056718</v>
      </c>
      <c r="C60" s="147">
        <f>$C$235*'Médias por UF'!CH54</f>
        <v>11476.630890012917</v>
      </c>
      <c r="D60" s="147">
        <f>$C$235*'Médias por UF'!CI54</f>
        <v>16063.320024925079</v>
      </c>
      <c r="E60" s="147">
        <f>$C$235*'Médias por UF'!CJ54</f>
        <v>19127.259032887861</v>
      </c>
      <c r="F60" s="147">
        <f>$C$235*'Médias por UF'!CK54</f>
        <v>22726.895497982096</v>
      </c>
      <c r="G60" s="147">
        <f>$C$235*'Médias por UF'!CL54</f>
        <v>26157.637203383911</v>
      </c>
      <c r="H60" s="147">
        <f>$C$235*'Médias por UF'!CM54</f>
        <v>29173.115998032208</v>
      </c>
      <c r="I60" s="147">
        <f>$C$235*'Médias por UF'!CN54</f>
        <v>31308.708598161753</v>
      </c>
      <c r="J60" s="147">
        <f>$C$235*'Médias por UF'!CO54</f>
        <v>33201.32918174762</v>
      </c>
      <c r="K60" s="147">
        <f>$C$235*'Médias por UF'!CP54</f>
        <v>36401.370405198009</v>
      </c>
      <c r="L60" s="147">
        <f>$C$235*'Médias por UF'!CQ54</f>
        <v>38644.847404272048</v>
      </c>
      <c r="M60" s="147">
        <f>$C$235*'Médias por UF'!CR54</f>
        <v>41619.199999999997</v>
      </c>
      <c r="N60" s="147">
        <f t="shared" si="14"/>
        <v>41619.199999999997</v>
      </c>
      <c r="P60" s="213" t="s">
        <v>108</v>
      </c>
      <c r="Q60" s="147">
        <f>'Médias por UF'!CG54*'Evolução das Receitas'!$R$235</f>
        <v>7503.3736858056718</v>
      </c>
      <c r="R60" s="147">
        <f>'Médias por UF'!CH54*'Evolução das Receitas'!$R$235</f>
        <v>11476.630890012917</v>
      </c>
      <c r="S60" s="147">
        <f>'Médias por UF'!CI54*'Evolução das Receitas'!$R$235</f>
        <v>16063.320024925079</v>
      </c>
      <c r="T60" s="147">
        <f>'Médias por UF'!CJ54*'Evolução das Receitas'!$R$235</f>
        <v>19127.259032887861</v>
      </c>
      <c r="U60" s="147">
        <f>'Médias por UF'!CK54*'Evolução das Receitas'!$R$235</f>
        <v>22726.895497982096</v>
      </c>
      <c r="V60" s="147">
        <f>'Médias por UF'!CL54*'Evolução das Receitas'!$R$235</f>
        <v>26157.637203383911</v>
      </c>
      <c r="W60" s="147">
        <f>'Médias por UF'!CM54*'Evolução das Receitas'!$R$235</f>
        <v>29173.115998032208</v>
      </c>
      <c r="X60" s="147">
        <f>'Médias por UF'!CN54*'Evolução das Receitas'!$R$235</f>
        <v>31308.708598161753</v>
      </c>
      <c r="Y60" s="147">
        <f>'Médias por UF'!CO54*'Evolução das Receitas'!$R$235</f>
        <v>33201.32918174762</v>
      </c>
      <c r="Z60" s="147">
        <f>'Médias por UF'!CP54*'Evolução das Receitas'!$R$235</f>
        <v>36401.370405198009</v>
      </c>
      <c r="AA60" s="147">
        <f>'Médias por UF'!CQ54*'Evolução das Receitas'!$R$235</f>
        <v>38644.847404272048</v>
      </c>
      <c r="AB60" s="147">
        <f>'Médias por UF'!CR54*'Evolução das Receitas'!$R$235</f>
        <v>41619.199999999997</v>
      </c>
      <c r="AC60" s="147">
        <f t="shared" si="15"/>
        <v>41619.199999999997</v>
      </c>
      <c r="AE60" s="213" t="s">
        <v>108</v>
      </c>
      <c r="AF60" s="147">
        <f>JAN!$AJ$26</f>
        <v>10134.36</v>
      </c>
      <c r="AG60" s="147">
        <f>FEV!$AJ$26</f>
        <v>9188.3680000000004</v>
      </c>
      <c r="AH60" s="147">
        <f>MAR!$AJ26</f>
        <v>5198.8960000000006</v>
      </c>
      <c r="AI60" s="147">
        <f>ABR!$AK26</f>
        <v>5218.4480000000003</v>
      </c>
      <c r="AJ60" s="147">
        <f>MAI!$U26</f>
        <v>5513.0160000000005</v>
      </c>
      <c r="AK60" s="147">
        <f>JUN!$U26</f>
        <v>5617.7759999999998</v>
      </c>
      <c r="AL60" s="147">
        <f>JUL!$U26</f>
        <v>4543.4799999999987</v>
      </c>
      <c r="AM60" s="147">
        <f>AGO!$U26</f>
        <v>4806.7280000000028</v>
      </c>
      <c r="AN60" s="147">
        <f>SET!$U26</f>
        <v>4775.4720000000007</v>
      </c>
      <c r="AO60" s="147">
        <f>OUT!$U26</f>
        <v>8793.6880000000001</v>
      </c>
      <c r="AP60" s="147">
        <f>NOV!$U26</f>
        <v>3785.4320000000002</v>
      </c>
      <c r="AQ60" s="147">
        <f>DEZ!$U26</f>
        <v>4790.5440000000017</v>
      </c>
      <c r="AR60" s="177">
        <f t="shared" si="16"/>
        <v>72366.208000000013</v>
      </c>
    </row>
    <row r="61" spans="1:44">
      <c r="A61" s="212" t="s">
        <v>109</v>
      </c>
      <c r="B61" s="147">
        <f>$C$236*'Médias por UF'!CG55</f>
        <v>561.51850840007069</v>
      </c>
      <c r="C61" s="147">
        <f>$C$236*'Médias por UF'!CH55</f>
        <v>864.32694346005712</v>
      </c>
      <c r="D61" s="147">
        <f>$C$236*'Médias por UF'!CI55</f>
        <v>1304.4907224048375</v>
      </c>
      <c r="E61" s="147">
        <f>$C$236*'Médias por UF'!CJ55</f>
        <v>1629.9212572713204</v>
      </c>
      <c r="F61" s="147">
        <f>$C$236*'Médias por UF'!CK55</f>
        <v>1689.8632117868115</v>
      </c>
      <c r="G61" s="147">
        <f>$C$236*'Médias por UF'!CL55</f>
        <v>1928.8072406673361</v>
      </c>
      <c r="H61" s="147">
        <f>$C$236*'Médias por UF'!CM55</f>
        <v>2341.9697197473201</v>
      </c>
      <c r="I61" s="147">
        <f>$C$236*'Médias por UF'!CN55</f>
        <v>2449.4037625906531</v>
      </c>
      <c r="J61" s="147">
        <f>$C$236*'Médias por UF'!CO55</f>
        <v>2549.6805612194075</v>
      </c>
      <c r="K61" s="147">
        <f>$C$236*'Médias por UF'!CP55</f>
        <v>2627.833505695613</v>
      </c>
      <c r="L61" s="147">
        <f>$C$236*'Médias por UF'!CQ55</f>
        <v>2780.241081400954</v>
      </c>
      <c r="M61" s="147">
        <f>$C$236*'Médias por UF'!CR55</f>
        <v>2958.21</v>
      </c>
      <c r="N61" s="147">
        <f t="shared" si="14"/>
        <v>2958.21</v>
      </c>
      <c r="P61" s="213" t="s">
        <v>109</v>
      </c>
      <c r="Q61" s="147">
        <f>'Médias por UF'!CG55*'Evolução das Receitas'!$R$236</f>
        <v>561.51850840007069</v>
      </c>
      <c r="R61" s="147">
        <f>'Médias por UF'!CH55*'Evolução das Receitas'!$R$236</f>
        <v>864.32694346005712</v>
      </c>
      <c r="S61" s="147">
        <f>'Médias por UF'!CI55*'Evolução das Receitas'!$R$236</f>
        <v>1304.4907224048375</v>
      </c>
      <c r="T61" s="147">
        <f>'Médias por UF'!CJ55*'Evolução das Receitas'!$R$236</f>
        <v>1629.9212572713204</v>
      </c>
      <c r="U61" s="147">
        <f>'Médias por UF'!CK55*'Evolução das Receitas'!$R$236</f>
        <v>1689.8632117868115</v>
      </c>
      <c r="V61" s="147">
        <f>'Médias por UF'!CL55*'Evolução das Receitas'!$R$236</f>
        <v>1928.8072406673361</v>
      </c>
      <c r="W61" s="147">
        <f>'Médias por UF'!CM55*'Evolução das Receitas'!$R$236</f>
        <v>2341.9697197473201</v>
      </c>
      <c r="X61" s="147">
        <f>'Médias por UF'!CN55*'Evolução das Receitas'!$R$236</f>
        <v>2449.4037625906531</v>
      </c>
      <c r="Y61" s="147">
        <f>'Médias por UF'!CO55*'Evolução das Receitas'!$R$236</f>
        <v>2549.6805612194075</v>
      </c>
      <c r="Z61" s="147">
        <f>'Médias por UF'!CP55*'Evolução das Receitas'!$R$236</f>
        <v>2627.833505695613</v>
      </c>
      <c r="AA61" s="147">
        <f>'Médias por UF'!CQ55*'Evolução das Receitas'!$R$236</f>
        <v>2780.241081400954</v>
      </c>
      <c r="AB61" s="147">
        <f>'Médias por UF'!CR55*'Evolução das Receitas'!$R$236</f>
        <v>2958.21</v>
      </c>
      <c r="AC61" s="147">
        <f t="shared" si="15"/>
        <v>2958.21</v>
      </c>
      <c r="AE61" s="213" t="s">
        <v>109</v>
      </c>
      <c r="AF61" s="147">
        <f>JAN!$AJ$27</f>
        <v>706.03200000000004</v>
      </c>
      <c r="AG61" s="147">
        <f>FEV!$AJ$27</f>
        <v>1243.6480000000001</v>
      </c>
      <c r="AH61" s="147">
        <f>MAR!$AJ27</f>
        <v>221.11199999999999</v>
      </c>
      <c r="AI61" s="147">
        <f>ABR!$AK27</f>
        <v>0</v>
      </c>
      <c r="AJ61" s="147">
        <f>MAI!$U27</f>
        <v>461.82400000000001</v>
      </c>
      <c r="AK61" s="147">
        <f>JUN!$U27</f>
        <v>400.88000000000005</v>
      </c>
      <c r="AL61" s="147">
        <f>JUL!$U27</f>
        <v>144.87200000000013</v>
      </c>
      <c r="AM61" s="147">
        <f>AGO!$U27</f>
        <v>568.4</v>
      </c>
      <c r="AN61" s="147">
        <f>SET!$U27</f>
        <v>609.39200000000017</v>
      </c>
      <c r="AO61" s="147">
        <f>OUT!$U27</f>
        <v>192.39200000000019</v>
      </c>
      <c r="AP61" s="147">
        <f>NOV!$U27</f>
        <v>928.51200000000017</v>
      </c>
      <c r="AQ61" s="147">
        <f>DEZ!$U27</f>
        <v>489.95999999999987</v>
      </c>
      <c r="AR61" s="177">
        <f t="shared" si="16"/>
        <v>5967.0240000000003</v>
      </c>
    </row>
    <row r="62" spans="1:44">
      <c r="A62" s="212" t="s">
        <v>110</v>
      </c>
      <c r="B62" s="147">
        <f>$C$237*'Médias por UF'!CG56</f>
        <v>47160.008353128324</v>
      </c>
      <c r="C62" s="147">
        <f>$C$237*'Médias por UF'!CH56</f>
        <v>91599.2565250396</v>
      </c>
      <c r="D62" s="147">
        <f>$C$237*'Médias por UF'!CI56</f>
        <v>128268.08111820288</v>
      </c>
      <c r="E62" s="147">
        <f>$C$237*'Médias por UF'!CJ56</f>
        <v>155418.74248025118</v>
      </c>
      <c r="F62" s="147">
        <f>$C$237*'Médias por UF'!CK56</f>
        <v>184669.32752248421</v>
      </c>
      <c r="G62" s="147">
        <f>$C$237*'Médias por UF'!CL56</f>
        <v>212345.39901331108</v>
      </c>
      <c r="H62" s="147">
        <f>$C$237*'Médias por UF'!CM56</f>
        <v>234733.17014226783</v>
      </c>
      <c r="I62" s="147">
        <f>$C$237*'Médias por UF'!CN56</f>
        <v>260873.00199939363</v>
      </c>
      <c r="J62" s="147">
        <f>$C$237*'Médias por UF'!CO56</f>
        <v>277898.41880259971</v>
      </c>
      <c r="K62" s="147">
        <f>$C$237*'Médias por UF'!CP56</f>
        <v>299748.86788482493</v>
      </c>
      <c r="L62" s="147">
        <f>$C$237*'Médias por UF'!CQ56</f>
        <v>314724.16283001419</v>
      </c>
      <c r="M62" s="147">
        <f>$C$237*'Médias por UF'!CR56</f>
        <v>336083.68936591974</v>
      </c>
      <c r="N62" s="147">
        <f t="shared" si="14"/>
        <v>336083.68936591974</v>
      </c>
      <c r="P62" s="213" t="s">
        <v>110</v>
      </c>
      <c r="Q62" s="147">
        <f>'Médias por UF'!CG56*'Evolução das Receitas'!$R$237</f>
        <v>47160.008353128324</v>
      </c>
      <c r="R62" s="147">
        <f>'Médias por UF'!CH56*'Evolução das Receitas'!$R$237</f>
        <v>91599.2565250396</v>
      </c>
      <c r="S62" s="147">
        <f>'Médias por UF'!CI56*'Evolução das Receitas'!$R$237</f>
        <v>128268.08111820288</v>
      </c>
      <c r="T62" s="147">
        <f>'Médias por UF'!CJ56*'Evolução das Receitas'!$R$237</f>
        <v>155418.74248025118</v>
      </c>
      <c r="U62" s="147">
        <f>'Médias por UF'!CK56*'Evolução das Receitas'!$R$237</f>
        <v>184669.32752248421</v>
      </c>
      <c r="V62" s="147">
        <f>'Médias por UF'!CL56*'Evolução das Receitas'!$R$237</f>
        <v>212345.39901331108</v>
      </c>
      <c r="W62" s="147">
        <f>'Médias por UF'!CM56*'Evolução das Receitas'!$R$237</f>
        <v>234733.17014226783</v>
      </c>
      <c r="X62" s="147">
        <f>'Médias por UF'!CN56*'Evolução das Receitas'!$R$237</f>
        <v>260873.00199939363</v>
      </c>
      <c r="Y62" s="147">
        <f>'Médias por UF'!CO56*'Evolução das Receitas'!$R$237</f>
        <v>277898.41880259971</v>
      </c>
      <c r="Z62" s="147">
        <f>'Médias por UF'!CP56*'Evolução das Receitas'!$R$237</f>
        <v>299748.86788482493</v>
      </c>
      <c r="AA62" s="147">
        <f>'Médias por UF'!CQ56*'Evolução das Receitas'!$R$237</f>
        <v>314724.16283001419</v>
      </c>
      <c r="AB62" s="147">
        <f>'Médias por UF'!CR56*'Evolução das Receitas'!$R$237</f>
        <v>336083.68936591974</v>
      </c>
      <c r="AC62" s="147">
        <f t="shared" si="15"/>
        <v>336083.68936591974</v>
      </c>
      <c r="AE62" s="213" t="s">
        <v>110</v>
      </c>
      <c r="AF62" s="147">
        <f>JAN!$AJ$28</f>
        <v>56408.32</v>
      </c>
      <c r="AG62" s="147">
        <f>FEV!$AJ$28</f>
        <v>50157.872000000003</v>
      </c>
      <c r="AH62" s="147">
        <f>MAR!$AJ28</f>
        <v>36179.112000000001</v>
      </c>
      <c r="AI62" s="147">
        <f>ABR!$AK28</f>
        <v>19525.808000000001</v>
      </c>
      <c r="AJ62" s="147">
        <f>MAI!$U28</f>
        <v>20184.176000000003</v>
      </c>
      <c r="AK62" s="147">
        <f>JUN!$U28</f>
        <v>26316.216</v>
      </c>
      <c r="AL62" s="147">
        <f>JUL!$U28</f>
        <v>36762.688000000038</v>
      </c>
      <c r="AM62" s="147">
        <f>AGO!$U28</f>
        <v>36805.032000000028</v>
      </c>
      <c r="AN62" s="147">
        <f>SET!$U28</f>
        <v>40565.167999999983</v>
      </c>
      <c r="AO62" s="147">
        <f>OUT!$U28</f>
        <v>84830.52</v>
      </c>
      <c r="AP62" s="147">
        <f>NOV!$U28</f>
        <v>34924.752</v>
      </c>
      <c r="AQ62" s="147">
        <f>DEZ!$U28</f>
        <v>41731.792000000009</v>
      </c>
      <c r="AR62" s="177">
        <f t="shared" si="16"/>
        <v>484391.45600000006</v>
      </c>
    </row>
    <row r="63" spans="1:44">
      <c r="A63" s="212" t="s">
        <v>111</v>
      </c>
      <c r="B63" s="147">
        <f>$C$238*'Médias por UF'!CG57</f>
        <v>473298.34482446022</v>
      </c>
      <c r="C63" s="147">
        <f>$C$238*'Médias por UF'!CH57</f>
        <v>720082.55415719282</v>
      </c>
      <c r="D63" s="147">
        <f>$C$238*'Médias por UF'!CI57</f>
        <v>933626.178931011</v>
      </c>
      <c r="E63" s="147">
        <f>$C$238*'Médias por UF'!CJ57</f>
        <v>1137075.5786561593</v>
      </c>
      <c r="F63" s="147">
        <f>$C$238*'Médias por UF'!CK57</f>
        <v>1357656.9061789783</v>
      </c>
      <c r="G63" s="147">
        <f>$C$238*'Médias por UF'!CL57</f>
        <v>1537311.548595129</v>
      </c>
      <c r="H63" s="147">
        <f>$C$238*'Médias por UF'!CM57</f>
        <v>1805420.500130258</v>
      </c>
      <c r="I63" s="147">
        <f>$C$238*'Médias por UF'!CN57</f>
        <v>2073887.7261113646</v>
      </c>
      <c r="J63" s="147">
        <f>$C$238*'Médias por UF'!CO57</f>
        <v>2266870.4765914031</v>
      </c>
      <c r="K63" s="147">
        <f>$C$238*'Médias por UF'!CP57</f>
        <v>2544129.6495878948</v>
      </c>
      <c r="L63" s="147">
        <f>$C$238*'Médias por UF'!CQ57</f>
        <v>2740394.67367164</v>
      </c>
      <c r="M63" s="147">
        <f>$C$238*'Médias por UF'!CR57</f>
        <v>2955102.1689929012</v>
      </c>
      <c r="N63" s="147">
        <f t="shared" si="14"/>
        <v>2955102.1689929012</v>
      </c>
      <c r="P63" s="213" t="s">
        <v>111</v>
      </c>
      <c r="Q63" s="147">
        <f>'Médias por UF'!CG57*'Evolução das Receitas'!$R$238</f>
        <v>473298.34482446022</v>
      </c>
      <c r="R63" s="147">
        <f>'Médias por UF'!CH57*'Evolução das Receitas'!$R$238</f>
        <v>720082.55415719282</v>
      </c>
      <c r="S63" s="147">
        <f>'Médias por UF'!CI57*'Evolução das Receitas'!$R$238</f>
        <v>933626.178931011</v>
      </c>
      <c r="T63" s="147">
        <f>'Médias por UF'!CJ57*'Evolução das Receitas'!$R$238</f>
        <v>1137075.5786561593</v>
      </c>
      <c r="U63" s="147">
        <f>'Médias por UF'!CK57*'Evolução das Receitas'!$R$238</f>
        <v>1357656.9061789783</v>
      </c>
      <c r="V63" s="147">
        <f>'Médias por UF'!CL57*'Evolução das Receitas'!$R$238</f>
        <v>1537311.548595129</v>
      </c>
      <c r="W63" s="147">
        <f>'Médias por UF'!CM57*'Evolução das Receitas'!$R$238</f>
        <v>1805420.500130258</v>
      </c>
      <c r="X63" s="147">
        <f>'Médias por UF'!CN57*'Evolução das Receitas'!$R$238</f>
        <v>2073887.7261113646</v>
      </c>
      <c r="Y63" s="147">
        <f>'Médias por UF'!CO57*'Evolução das Receitas'!$R$238</f>
        <v>2266870.4765914031</v>
      </c>
      <c r="Z63" s="147">
        <f>'Médias por UF'!CP57*'Evolução das Receitas'!$R$238</f>
        <v>2544129.6495878948</v>
      </c>
      <c r="AA63" s="147">
        <f>'Médias por UF'!CQ57*'Evolução das Receitas'!$R$238</f>
        <v>2740394.67367164</v>
      </c>
      <c r="AB63" s="147">
        <f>'Médias por UF'!CR57*'Evolução das Receitas'!$R$238</f>
        <v>2955102.1689929012</v>
      </c>
      <c r="AC63" s="147">
        <f t="shared" si="15"/>
        <v>2955102.1689929012</v>
      </c>
      <c r="AE63" s="213" t="s">
        <v>111</v>
      </c>
      <c r="AF63" s="147">
        <f>JAN!$AJ$29</f>
        <v>584707.04800000007</v>
      </c>
      <c r="AG63" s="147">
        <f>FEV!$AJ$29</f>
        <v>454471.14400000009</v>
      </c>
      <c r="AH63" s="147">
        <f>MAR!$AJ29</f>
        <v>406613.31200000003</v>
      </c>
      <c r="AI63" s="147">
        <f>ABR!$AK29</f>
        <v>237978.12000000002</v>
      </c>
      <c r="AJ63" s="147">
        <f>MAI!$U29</f>
        <v>205530.61600000001</v>
      </c>
      <c r="AK63" s="147">
        <f>JUN!$U29</f>
        <v>270693.24800000008</v>
      </c>
      <c r="AL63" s="147">
        <f>JUL!$U29</f>
        <v>345558.27199999988</v>
      </c>
      <c r="AM63" s="147">
        <f>AGO!$U29</f>
        <v>322951.96799999999</v>
      </c>
      <c r="AN63" s="147">
        <f>SET!$U29</f>
        <v>338472.88799999992</v>
      </c>
      <c r="AO63" s="147">
        <f>OUT!$U29</f>
        <v>590811.31999999995</v>
      </c>
      <c r="AP63" s="147">
        <f>NOV!$U29</f>
        <v>266009.68</v>
      </c>
      <c r="AQ63" s="147">
        <f>DEZ!$U29</f>
        <v>314550.08799999993</v>
      </c>
      <c r="AR63" s="177">
        <f t="shared" si="16"/>
        <v>4338347.7039999999</v>
      </c>
    </row>
    <row r="64" spans="1:44">
      <c r="A64" s="212" t="s">
        <v>112</v>
      </c>
      <c r="B64" s="147">
        <f>$C$239*'Médias por UF'!CG58</f>
        <v>6395.5867993949832</v>
      </c>
      <c r="C64" s="147">
        <f>$C$239*'Médias por UF'!CH58</f>
        <v>11543.794796658614</v>
      </c>
      <c r="D64" s="147">
        <f>$C$239*'Médias por UF'!CI58</f>
        <v>16232.288147516203</v>
      </c>
      <c r="E64" s="147">
        <f>$C$239*'Médias por UF'!CJ58</f>
        <v>19429.04735923764</v>
      </c>
      <c r="F64" s="147">
        <f>$C$239*'Médias por UF'!CK58</f>
        <v>23629.499038026956</v>
      </c>
      <c r="G64" s="147">
        <f>$C$239*'Médias por UF'!CL58</f>
        <v>26945.35743483765</v>
      </c>
      <c r="H64" s="147">
        <f>$C$239*'Médias por UF'!CM58</f>
        <v>30424.994366900486</v>
      </c>
      <c r="I64" s="147">
        <f>$C$239*'Médias por UF'!CN58</f>
        <v>32764.555217929359</v>
      </c>
      <c r="J64" s="147">
        <f>$C$239*'Médias por UF'!CO58</f>
        <v>35251.801189405982</v>
      </c>
      <c r="K64" s="147">
        <f>$C$239*'Médias por UF'!CP58</f>
        <v>37488.6636069175</v>
      </c>
      <c r="L64" s="147">
        <f>$C$239*'Médias por UF'!CQ58</f>
        <v>39077.343758143033</v>
      </c>
      <c r="M64" s="147">
        <f>$C$239*'Médias por UF'!CR58</f>
        <v>41425.74</v>
      </c>
      <c r="N64" s="147">
        <f t="shared" si="14"/>
        <v>41425.74</v>
      </c>
      <c r="P64" s="213" t="s">
        <v>112</v>
      </c>
      <c r="Q64" s="147">
        <f>'Médias por UF'!CG58*'Evolução das Receitas'!$R$239</f>
        <v>6395.5867993949832</v>
      </c>
      <c r="R64" s="147">
        <f>'Médias por UF'!CH58*'Evolução das Receitas'!$R$239</f>
        <v>11543.794796658614</v>
      </c>
      <c r="S64" s="147">
        <f>'Médias por UF'!CI58*'Evolução das Receitas'!$R$239</f>
        <v>16232.288147516203</v>
      </c>
      <c r="T64" s="147">
        <f>'Médias por UF'!CJ58*'Evolução das Receitas'!$R$239</f>
        <v>19429.04735923764</v>
      </c>
      <c r="U64" s="147">
        <f>'Médias por UF'!CK58*'Evolução das Receitas'!$R$239</f>
        <v>23629.499038026956</v>
      </c>
      <c r="V64" s="147">
        <f>'Médias por UF'!CL58*'Evolução das Receitas'!$R$239</f>
        <v>26945.35743483765</v>
      </c>
      <c r="W64" s="147">
        <f>'Médias por UF'!CM58*'Evolução das Receitas'!$R$239</f>
        <v>30424.994366900486</v>
      </c>
      <c r="X64" s="147">
        <f>'Médias por UF'!CN58*'Evolução das Receitas'!$R$239</f>
        <v>32764.555217929359</v>
      </c>
      <c r="Y64" s="147">
        <f>'Médias por UF'!CO58*'Evolução das Receitas'!$R$239</f>
        <v>35251.801189405982</v>
      </c>
      <c r="Z64" s="147">
        <f>'Médias por UF'!CP58*'Evolução das Receitas'!$R$239</f>
        <v>37488.6636069175</v>
      </c>
      <c r="AA64" s="147">
        <f>'Médias por UF'!CQ58*'Evolução das Receitas'!$R$239</f>
        <v>39077.343758143033</v>
      </c>
      <c r="AB64" s="147">
        <f>'Médias por UF'!CR58*'Evolução das Receitas'!$R$239</f>
        <v>41425.74</v>
      </c>
      <c r="AC64" s="147">
        <f t="shared" si="15"/>
        <v>41425.74</v>
      </c>
      <c r="AE64" s="213" t="s">
        <v>112</v>
      </c>
      <c r="AF64" s="147">
        <f>JAN!$AJ$30</f>
        <v>10739.464</v>
      </c>
      <c r="AG64" s="147">
        <f>FEV!$AJ$30</f>
        <v>10287.496000000001</v>
      </c>
      <c r="AH64" s="147">
        <f>MAR!$AJ30</f>
        <v>7317.3600000000006</v>
      </c>
      <c r="AI64" s="147">
        <f>ABR!$AK30</f>
        <v>4609.6160000000009</v>
      </c>
      <c r="AJ64" s="147">
        <f>MAI!$U30</f>
        <v>4824.8480000000009</v>
      </c>
      <c r="AK64" s="147">
        <f>JUN!$U30</f>
        <v>10043.416000000001</v>
      </c>
      <c r="AL64" s="147">
        <f>JUL!$U30</f>
        <v>13197.463999999991</v>
      </c>
      <c r="AM64" s="147">
        <f>AGO!$U30</f>
        <v>14934.256000000001</v>
      </c>
      <c r="AN64" s="147">
        <f>SET!$U30</f>
        <v>11504.744000000001</v>
      </c>
      <c r="AO64" s="147">
        <f>OUT!$U30</f>
        <v>18527.680000000004</v>
      </c>
      <c r="AP64" s="147">
        <f>NOV!$U30</f>
        <v>11807.264000000001</v>
      </c>
      <c r="AQ64" s="147">
        <f>DEZ!$U30</f>
        <v>11711.776</v>
      </c>
      <c r="AR64" s="177">
        <f t="shared" si="16"/>
        <v>129505.38399999999</v>
      </c>
    </row>
    <row r="65" spans="1:46">
      <c r="A65" s="212" t="s">
        <v>113</v>
      </c>
      <c r="B65" s="147">
        <f>$C$240*'Médias por UF'!CG59</f>
        <v>5516.780024909277</v>
      </c>
      <c r="C65" s="147">
        <f>$C$240*'Médias por UF'!CH59</f>
        <v>9644.4773239546994</v>
      </c>
      <c r="D65" s="147">
        <f>$C$240*'Médias por UF'!CI59</f>
        <v>12732.867862967731</v>
      </c>
      <c r="E65" s="147">
        <f>$C$240*'Médias por UF'!CJ59</f>
        <v>15923.85031376056</v>
      </c>
      <c r="F65" s="147">
        <f>$C$240*'Médias por UF'!CK59</f>
        <v>19284.946980118661</v>
      </c>
      <c r="G65" s="147">
        <f>$C$240*'Médias por UF'!CL59</f>
        <v>23920.938624243936</v>
      </c>
      <c r="H65" s="147">
        <f>$C$240*'Médias por UF'!CM59</f>
        <v>28421.184432928763</v>
      </c>
      <c r="I65" s="147">
        <f>$C$240*'Médias por UF'!CN59</f>
        <v>36507.869272426913</v>
      </c>
      <c r="J65" s="147">
        <f>$C$240*'Médias por UF'!CO59</f>
        <v>39063.445830365177</v>
      </c>
      <c r="K65" s="147">
        <f>$C$240*'Médias por UF'!CP59</f>
        <v>43200.259199851018</v>
      </c>
      <c r="L65" s="147">
        <f>$C$240*'Médias por UF'!CQ59</f>
        <v>47018.668613718954</v>
      </c>
      <c r="M65" s="147">
        <f>$C$240*'Médias por UF'!CR59</f>
        <v>49993.98</v>
      </c>
      <c r="N65" s="147">
        <f t="shared" si="14"/>
        <v>49993.98</v>
      </c>
      <c r="P65" s="213" t="s">
        <v>113</v>
      </c>
      <c r="Q65" s="147">
        <f>'Médias por UF'!CG59*'Evolução das Receitas'!$R$240</f>
        <v>5516.780024909277</v>
      </c>
      <c r="R65" s="147">
        <f>'Médias por UF'!CH59*'Evolução das Receitas'!$R$240</f>
        <v>9644.4773239546994</v>
      </c>
      <c r="S65" s="147">
        <f>'Médias por UF'!CI59*'Evolução das Receitas'!$R$240</f>
        <v>12732.867862967731</v>
      </c>
      <c r="T65" s="147">
        <f>'Médias por UF'!CJ59*'Evolução das Receitas'!$R$240</f>
        <v>15923.85031376056</v>
      </c>
      <c r="U65" s="147">
        <f>'Médias por UF'!CK59*'Evolução das Receitas'!$R$240</f>
        <v>19284.946980118661</v>
      </c>
      <c r="V65" s="147">
        <f>'Médias por UF'!CL59*'Evolução das Receitas'!$R$240</f>
        <v>23920.938624243936</v>
      </c>
      <c r="W65" s="147">
        <f>'Médias por UF'!CM59*'Evolução das Receitas'!$R$240</f>
        <v>28421.184432928763</v>
      </c>
      <c r="X65" s="147">
        <f>'Médias por UF'!CN59*'Evolução das Receitas'!$R$240</f>
        <v>36507.869272426913</v>
      </c>
      <c r="Y65" s="147">
        <f>'Médias por UF'!CO59*'Evolução das Receitas'!$R$240</f>
        <v>39063.445830365177</v>
      </c>
      <c r="Z65" s="147">
        <f>'Médias por UF'!CP59*'Evolução das Receitas'!$R$240</f>
        <v>43200.259199851018</v>
      </c>
      <c r="AA65" s="147">
        <f>'Médias por UF'!CQ59*'Evolução das Receitas'!$R$240</f>
        <v>47018.668613718954</v>
      </c>
      <c r="AB65" s="147">
        <f>'Médias por UF'!CR59*'Evolução das Receitas'!$R$240</f>
        <v>49993.98</v>
      </c>
      <c r="AC65" s="147">
        <f t="shared" si="15"/>
        <v>49993.98</v>
      </c>
      <c r="AE65" s="213" t="s">
        <v>113</v>
      </c>
      <c r="AF65" s="147">
        <f>JAN!$AJ$31</f>
        <v>5320.0240000000003</v>
      </c>
      <c r="AG65" s="147">
        <f>FEV!$AJ$31</f>
        <v>7799.44</v>
      </c>
      <c r="AH65" s="147">
        <f>MAR!$AJ31</f>
        <v>8371.5120000000006</v>
      </c>
      <c r="AI65" s="147">
        <f>ABR!$AK31</f>
        <v>5174.84</v>
      </c>
      <c r="AJ65" s="147">
        <f>MAI!$U31</f>
        <v>9993.384</v>
      </c>
      <c r="AK65" s="147">
        <f>JUN!$U31</f>
        <v>6381.8559999999998</v>
      </c>
      <c r="AL65" s="147">
        <f>JUL!$U31</f>
        <v>4700.855999999997</v>
      </c>
      <c r="AM65" s="147">
        <f>AGO!$U31</f>
        <v>5635.2960000000021</v>
      </c>
      <c r="AN65" s="147">
        <f>SET!$U31</f>
        <v>3393.2880000000005</v>
      </c>
      <c r="AO65" s="147">
        <f>OUT!$U31</f>
        <v>10021.016000000001</v>
      </c>
      <c r="AP65" s="147">
        <f>NOV!$U31</f>
        <v>2433.5920000000001</v>
      </c>
      <c r="AQ65" s="147">
        <f>DEZ!$U31</f>
        <v>2305.9839999999999</v>
      </c>
      <c r="AR65" s="177">
        <f t="shared" si="16"/>
        <v>71531.088000000003</v>
      </c>
    </row>
    <row r="66" spans="1:46">
      <c r="A66" s="214" t="s">
        <v>37</v>
      </c>
      <c r="B66" s="148">
        <f>SUM(B39:B65)</f>
        <v>1297029.1947720498</v>
      </c>
      <c r="C66" s="148">
        <f t="shared" ref="C66:D66" si="17">SUM(C39:C65)</f>
        <v>2210497.4454337065</v>
      </c>
      <c r="D66" s="148">
        <f t="shared" si="17"/>
        <v>2980737.675839229</v>
      </c>
      <c r="E66" s="148">
        <f>SUM(E39:E65)</f>
        <v>3674409.9698982476</v>
      </c>
      <c r="F66" s="148">
        <f t="shared" ref="F66:N66" si="18">SUM(F39:F65)</f>
        <v>4401343.430910538</v>
      </c>
      <c r="G66" s="148">
        <f t="shared" si="18"/>
        <v>5017760.649855555</v>
      </c>
      <c r="H66" s="148">
        <f t="shared" si="18"/>
        <v>5751370.456957411</v>
      </c>
      <c r="I66" s="148">
        <f t="shared" si="18"/>
        <v>6495067.3504352495</v>
      </c>
      <c r="J66" s="148">
        <f t="shared" si="18"/>
        <v>7092405.1756560262</v>
      </c>
      <c r="K66" s="148">
        <f t="shared" si="18"/>
        <v>7824982.6449649241</v>
      </c>
      <c r="L66" s="148">
        <f t="shared" si="18"/>
        <v>8436177.8052995186</v>
      </c>
      <c r="M66" s="148">
        <f t="shared" si="18"/>
        <v>9135200.6213588212</v>
      </c>
      <c r="N66" s="148">
        <f t="shared" si="18"/>
        <v>9135200.6213588212</v>
      </c>
      <c r="P66" s="215" t="s">
        <v>37</v>
      </c>
      <c r="Q66" s="148">
        <f>SUM(Q39:Q65)</f>
        <v>1353429.1148744912</v>
      </c>
      <c r="R66" s="148">
        <f t="shared" ref="R66:S66" si="19">SUM(R39:R65)</f>
        <v>2319467.6349268872</v>
      </c>
      <c r="S66" s="148">
        <f t="shared" si="19"/>
        <v>3133275.2885807981</v>
      </c>
      <c r="T66" s="148">
        <f>SUM(T39:T65)</f>
        <v>3862296.8085036492</v>
      </c>
      <c r="U66" s="148">
        <f t="shared" ref="U66:AC66" si="20">SUM(U39:U65)</f>
        <v>4626727.8194962693</v>
      </c>
      <c r="V66" s="148">
        <f t="shared" si="20"/>
        <v>5275682.3695750302</v>
      </c>
      <c r="W66" s="148">
        <f t="shared" si="20"/>
        <v>6041811.7983012386</v>
      </c>
      <c r="X66" s="148">
        <f t="shared" si="20"/>
        <v>6814237.7064795066</v>
      </c>
      <c r="Y66" s="148">
        <f t="shared" si="20"/>
        <v>7441235.8159927875</v>
      </c>
      <c r="Z66" s="148">
        <f t="shared" si="20"/>
        <v>8206955.1872487776</v>
      </c>
      <c r="AA66" s="148">
        <f t="shared" si="20"/>
        <v>8852468.0166631639</v>
      </c>
      <c r="AB66" s="148">
        <f t="shared" si="20"/>
        <v>9581237.4213588219</v>
      </c>
      <c r="AC66" s="148">
        <f t="shared" si="20"/>
        <v>9581237.4213588219</v>
      </c>
      <c r="AE66" s="215" t="s">
        <v>37</v>
      </c>
      <c r="AF66" s="148">
        <f>SUM(AF39:AF65)</f>
        <v>1786281.216</v>
      </c>
      <c r="AG66" s="148">
        <f t="shared" ref="AG66:AH66" si="21">SUM(AG39:AG65)</f>
        <v>1381099.8960000002</v>
      </c>
      <c r="AH66" s="148">
        <f t="shared" si="21"/>
        <v>1272599.9920000003</v>
      </c>
      <c r="AI66" s="148">
        <f>SUM(AI39:AI65)</f>
        <v>741900.79999999993</v>
      </c>
      <c r="AJ66" s="148">
        <f t="shared" ref="AJ66:AR66" si="22">SUM(AJ39:AJ65)</f>
        <v>657131.0639999999</v>
      </c>
      <c r="AK66" s="148">
        <f t="shared" si="22"/>
        <v>843723.38400000019</v>
      </c>
      <c r="AL66" s="148">
        <f t="shared" si="22"/>
        <v>983062.47199999983</v>
      </c>
      <c r="AM66" s="148">
        <f t="shared" si="22"/>
        <v>997399.57600000012</v>
      </c>
      <c r="AN66" s="148">
        <f t="shared" si="22"/>
        <v>995147.74399999972</v>
      </c>
      <c r="AO66" s="148">
        <f t="shared" si="22"/>
        <v>1820000.6880000001</v>
      </c>
      <c r="AP66" s="148">
        <f t="shared" si="22"/>
        <v>819956.0399999998</v>
      </c>
      <c r="AQ66" s="148">
        <f t="shared" si="22"/>
        <v>953783.96</v>
      </c>
      <c r="AR66" s="148">
        <f t="shared" si="22"/>
        <v>13252086.831999997</v>
      </c>
      <c r="AS66" s="62" t="b">
        <f>AR66='Anuid PF'!AY34</f>
        <v>1</v>
      </c>
    </row>
    <row r="67" spans="1:46">
      <c r="N67" s="62">
        <f>N66-SUM(C214:C240)</f>
        <v>0</v>
      </c>
      <c r="Q67" s="62">
        <f>Q66</f>
        <v>1353429.1148744912</v>
      </c>
      <c r="R67" s="62">
        <f t="shared" ref="R67:AB67" si="23">R66-Q66</f>
        <v>966038.52005239599</v>
      </c>
      <c r="S67" s="62">
        <f t="shared" si="23"/>
        <v>813807.65365391085</v>
      </c>
      <c r="T67" s="62">
        <f t="shared" si="23"/>
        <v>729021.51992285112</v>
      </c>
      <c r="U67" s="62">
        <f t="shared" si="23"/>
        <v>764431.01099262014</v>
      </c>
      <c r="V67" s="62">
        <f t="shared" si="23"/>
        <v>648954.55007876083</v>
      </c>
      <c r="W67" s="62">
        <f t="shared" si="23"/>
        <v>766129.4287262084</v>
      </c>
      <c r="X67" s="62">
        <f t="shared" si="23"/>
        <v>772425.908178268</v>
      </c>
      <c r="Y67" s="62">
        <f t="shared" si="23"/>
        <v>626998.10951328091</v>
      </c>
      <c r="Z67" s="62">
        <f t="shared" si="23"/>
        <v>765719.37125599012</v>
      </c>
      <c r="AA67" s="62">
        <f t="shared" si="23"/>
        <v>645512.8294143863</v>
      </c>
      <c r="AB67" s="62">
        <f t="shared" si="23"/>
        <v>728769.40469565801</v>
      </c>
      <c r="AC67" s="62">
        <f>SUM(Q67:AB67)</f>
        <v>9581237.4213588219</v>
      </c>
      <c r="AR67" s="62">
        <f>AR66-'TOTAL POR UF'!C32</f>
        <v>0</v>
      </c>
    </row>
    <row r="68" spans="1:46">
      <c r="A68" s="212" t="s">
        <v>241</v>
      </c>
      <c r="B68" s="147">
        <f>B66*0.2/0.8</f>
        <v>324257.29869301245</v>
      </c>
      <c r="C68" s="147">
        <f t="shared" ref="C68:M68" si="24">C66*0.2/0.8</f>
        <v>552624.36135842663</v>
      </c>
      <c r="D68" s="147">
        <f t="shared" si="24"/>
        <v>745184.41895980714</v>
      </c>
      <c r="E68" s="147">
        <f t="shared" si="24"/>
        <v>918602.49247456202</v>
      </c>
      <c r="F68" s="147">
        <f t="shared" si="24"/>
        <v>1100335.8577276345</v>
      </c>
      <c r="G68" s="147">
        <f t="shared" si="24"/>
        <v>1254440.1624638888</v>
      </c>
      <c r="H68" s="147">
        <f t="shared" si="24"/>
        <v>1437842.6142393525</v>
      </c>
      <c r="I68" s="147">
        <f t="shared" si="24"/>
        <v>1623766.8376088124</v>
      </c>
      <c r="J68" s="147">
        <f t="shared" si="24"/>
        <v>1773101.2939140066</v>
      </c>
      <c r="K68" s="147">
        <f t="shared" si="24"/>
        <v>1956245.661241231</v>
      </c>
      <c r="L68" s="147">
        <f t="shared" si="24"/>
        <v>2109044.4513248797</v>
      </c>
      <c r="M68" s="147">
        <f t="shared" si="24"/>
        <v>2283800.1553397053</v>
      </c>
      <c r="N68" s="147">
        <f t="shared" ref="N68" si="25">M68</f>
        <v>2283800.1553397053</v>
      </c>
      <c r="P68" s="212" t="s">
        <v>241</v>
      </c>
      <c r="Q68" s="147">
        <f>'Médias por UF'!CG60*'Evolução das Receitas'!$R$241</f>
        <v>316387.05516852316</v>
      </c>
      <c r="R68" s="147">
        <f>'Médias por UF'!CH60*'Evolução das Receitas'!$R$241</f>
        <v>568806.4519549848</v>
      </c>
      <c r="S68" s="147">
        <f>'Médias por UF'!CI60*'Evolução das Receitas'!$R$241</f>
        <v>786494.68815587705</v>
      </c>
      <c r="T68" s="147">
        <f>'Médias por UF'!CJ60*'Evolução das Receitas'!$R$241</f>
        <v>970452.66946456896</v>
      </c>
      <c r="U68" s="147">
        <f>'Médias por UF'!CK60*'Evolução das Receitas'!$R$241</f>
        <v>1155531.4653426243</v>
      </c>
      <c r="V68" s="147">
        <f>'Médias por UF'!CL60*'Evolução das Receitas'!$R$241</f>
        <v>1320926.37266409</v>
      </c>
      <c r="W68" s="147">
        <f>'Médias por UF'!CM60*'Evolução das Receitas'!$R$241</f>
        <v>1499963.4712199578</v>
      </c>
      <c r="X68" s="147">
        <f>'Médias por UF'!CN60*'Evolução das Receitas'!$R$241</f>
        <v>1678920.8823967762</v>
      </c>
      <c r="Y68" s="147">
        <f>'Médias por UF'!CO60*'Evolução das Receitas'!$R$241</f>
        <v>1817062.8627865911</v>
      </c>
      <c r="Z68" s="147">
        <f>'Médias por UF'!CP60*'Evolução das Receitas'!$R$241</f>
        <v>1975707.1793164983</v>
      </c>
      <c r="AA68" s="147">
        <f>'Médias por UF'!CQ60*'Evolução das Receitas'!$R$241</f>
        <v>2125545.9985493026</v>
      </c>
      <c r="AB68" s="147">
        <f>'Médias por UF'!CR60*'Evolução das Receitas'!$R$241</f>
        <v>2283777.2526982254</v>
      </c>
      <c r="AC68" s="147">
        <f>AB68</f>
        <v>2283777.2526982254</v>
      </c>
      <c r="AE68" s="213" t="s">
        <v>241</v>
      </c>
      <c r="AF68" s="147">
        <f>JAN!$AJ$67</f>
        <v>446570.304</v>
      </c>
      <c r="AG68" s="147">
        <f>FEV!$AJ$67</f>
        <v>345274.97400000005</v>
      </c>
      <c r="AH68" s="147">
        <f>MAR!$AJ$67</f>
        <v>318149.99800000008</v>
      </c>
      <c r="AI68" s="147">
        <f>ABR!$AK$67</f>
        <v>185475.19999999998</v>
      </c>
      <c r="AJ68" s="147">
        <f>MAI!$U$67</f>
        <v>164282.76599999997</v>
      </c>
      <c r="AK68" s="147">
        <f>JUN!$U$67</f>
        <v>210930.84600000005</v>
      </c>
      <c r="AL68" s="147">
        <f>JUL!$U$67</f>
        <v>245765.61799999996</v>
      </c>
      <c r="AM68" s="147">
        <f>AGO!$U$67</f>
        <v>249349.89400000003</v>
      </c>
      <c r="AN68" s="147">
        <f>SET!$U$67</f>
        <v>248786.93599999993</v>
      </c>
      <c r="AO68" s="147">
        <f>OUT!$U$67</f>
        <v>455000.17200000002</v>
      </c>
      <c r="AP68" s="147">
        <f>NOV!$U$67</f>
        <v>204989.00999999995</v>
      </c>
      <c r="AQ68" s="147">
        <f>DEZ!$U$67</f>
        <v>238445.99</v>
      </c>
      <c r="AR68" s="177">
        <f t="shared" ref="AR68" si="26">SUM(AF68:AQ68)</f>
        <v>3313021.7079999996</v>
      </c>
      <c r="AS68" s="62" t="b">
        <f>AR68='Anuid PF'!AY35</f>
        <v>1</v>
      </c>
    </row>
    <row r="69" spans="1:46"/>
    <row r="70" spans="1:46" ht="21" hidden="1">
      <c r="A70" s="216"/>
      <c r="B70" s="216"/>
      <c r="C70" s="216"/>
      <c r="D70" s="216"/>
      <c r="E70" s="216"/>
      <c r="F70" s="216"/>
      <c r="G70" s="216"/>
      <c r="H70" s="216"/>
      <c r="I70" s="216"/>
      <c r="J70" s="216"/>
      <c r="K70" s="216"/>
      <c r="L70" s="216"/>
      <c r="M70" s="216"/>
      <c r="N70" s="216"/>
      <c r="P70" s="992" t="s">
        <v>450</v>
      </c>
      <c r="Q70" s="218">
        <f>Q33+Q67</f>
        <v>11215183.246784644</v>
      </c>
      <c r="R70" s="218">
        <f>R33+R67</f>
        <v>9225585.8806141838</v>
      </c>
      <c r="S70" s="218">
        <f t="shared" ref="S70:AB70" si="27">S33+S67</f>
        <v>4809882.0887091365</v>
      </c>
      <c r="T70" s="218">
        <f t="shared" si="27"/>
        <v>4181486.6713126511</v>
      </c>
      <c r="U70" s="218">
        <f t="shared" si="27"/>
        <v>5446566.0843834616</v>
      </c>
      <c r="V70" s="218">
        <f t="shared" si="27"/>
        <v>4298189.297491882</v>
      </c>
      <c r="W70" s="218">
        <f t="shared" si="27"/>
        <v>2069991.9957737224</v>
      </c>
      <c r="X70" s="218">
        <f t="shared" si="27"/>
        <v>1965182.2580860015</v>
      </c>
      <c r="Y70" s="218">
        <f t="shared" si="27"/>
        <v>1557849.3583517577</v>
      </c>
      <c r="Z70" s="218">
        <f t="shared" si="27"/>
        <v>1832022.811805848</v>
      </c>
      <c r="AA70" s="218">
        <f t="shared" si="27"/>
        <v>1577845.2139300816</v>
      </c>
      <c r="AB70" s="218">
        <f t="shared" si="27"/>
        <v>1633483.1921154466</v>
      </c>
      <c r="AC70" s="218">
        <f>SUM(Q70:AB70)</f>
        <v>49813268.099358834</v>
      </c>
      <c r="AE70" s="216"/>
      <c r="AF70" s="216"/>
      <c r="AG70" s="216"/>
      <c r="AH70" s="216"/>
      <c r="AI70" s="216"/>
      <c r="AJ70" s="216"/>
      <c r="AK70" s="216"/>
      <c r="AL70" s="216"/>
      <c r="AM70" s="216"/>
      <c r="AN70" s="216"/>
      <c r="AO70" s="216"/>
      <c r="AP70" s="216"/>
      <c r="AQ70" s="216"/>
      <c r="AR70" s="216"/>
    </row>
    <row r="71" spans="1:46" ht="21" hidden="1">
      <c r="A71" s="216"/>
      <c r="B71" s="216"/>
      <c r="C71" s="216"/>
      <c r="D71" s="216"/>
      <c r="E71" s="216"/>
      <c r="F71" s="216"/>
      <c r="G71" s="216"/>
      <c r="H71" s="216"/>
      <c r="I71" s="216"/>
      <c r="J71" s="216"/>
      <c r="K71" s="216"/>
      <c r="L71" s="216"/>
      <c r="M71" s="216"/>
      <c r="N71" s="216"/>
      <c r="P71" s="217"/>
      <c r="Q71" s="218"/>
      <c r="R71" s="218"/>
      <c r="S71" s="218"/>
      <c r="T71" s="218"/>
      <c r="U71" s="218"/>
      <c r="V71" s="218"/>
      <c r="W71" s="218"/>
      <c r="X71" s="218"/>
      <c r="Y71" s="218"/>
      <c r="Z71" s="218"/>
      <c r="AA71" s="218"/>
      <c r="AB71" s="218"/>
      <c r="AC71" s="218"/>
      <c r="AE71" s="216"/>
      <c r="AF71" s="216"/>
      <c r="AG71" s="216"/>
      <c r="AH71" s="216"/>
      <c r="AI71" s="216"/>
      <c r="AJ71" s="216"/>
      <c r="AK71" s="216"/>
      <c r="AL71" s="216"/>
      <c r="AM71" s="216"/>
      <c r="AN71" s="216"/>
      <c r="AO71" s="216"/>
      <c r="AP71" s="216"/>
      <c r="AQ71" s="216"/>
      <c r="AR71" s="216"/>
    </row>
    <row r="72" spans="1:46" ht="21">
      <c r="A72" s="1385" t="s">
        <v>290</v>
      </c>
      <c r="B72" s="1385"/>
      <c r="C72" s="1385"/>
      <c r="D72" s="1385"/>
      <c r="E72" s="1385"/>
      <c r="F72" s="1385"/>
      <c r="G72" s="1385"/>
      <c r="H72" s="1385"/>
      <c r="I72" s="1385"/>
      <c r="J72" s="1385"/>
      <c r="K72" s="1385"/>
      <c r="L72" s="1385"/>
      <c r="M72" s="1385"/>
      <c r="N72" s="1385"/>
      <c r="P72" s="1385" t="s">
        <v>129</v>
      </c>
      <c r="Q72" s="1385"/>
      <c r="R72" s="1385"/>
      <c r="S72" s="1385"/>
      <c r="T72" s="1385"/>
      <c r="U72" s="1385"/>
      <c r="V72" s="1385"/>
      <c r="W72" s="1385"/>
      <c r="X72" s="1385"/>
      <c r="Y72" s="1385"/>
      <c r="Z72" s="1385"/>
      <c r="AA72" s="1385"/>
      <c r="AB72" s="1385"/>
      <c r="AC72" s="1385"/>
      <c r="AE72" s="1385" t="s">
        <v>289</v>
      </c>
      <c r="AF72" s="1385"/>
      <c r="AG72" s="1385"/>
      <c r="AH72" s="1385"/>
      <c r="AI72" s="1385"/>
      <c r="AJ72" s="1385"/>
      <c r="AK72" s="1385"/>
      <c r="AL72" s="1385"/>
      <c r="AM72" s="1385"/>
      <c r="AN72" s="1385"/>
      <c r="AO72" s="1385"/>
      <c r="AP72" s="1385"/>
      <c r="AQ72" s="1385"/>
      <c r="AR72" s="1385"/>
    </row>
    <row r="73" spans="1:46" ht="17.25" customHeight="1"/>
    <row r="74" spans="1:46">
      <c r="A74" s="1386" t="s">
        <v>33</v>
      </c>
      <c r="B74" s="1389" t="s">
        <v>29</v>
      </c>
      <c r="C74" s="1390"/>
      <c r="D74" s="1390"/>
      <c r="E74" s="1390"/>
      <c r="F74" s="1390"/>
      <c r="G74" s="1390"/>
      <c r="H74" s="1390"/>
      <c r="I74" s="1390"/>
      <c r="J74" s="1390"/>
      <c r="K74" s="1390"/>
      <c r="L74" s="1390"/>
      <c r="M74" s="1390"/>
      <c r="P74" s="1386" t="s">
        <v>33</v>
      </c>
      <c r="Q74" s="1389" t="s">
        <v>29</v>
      </c>
      <c r="R74" s="1390"/>
      <c r="S74" s="1390"/>
      <c r="T74" s="1390"/>
      <c r="U74" s="1390"/>
      <c r="V74" s="1390"/>
      <c r="W74" s="1390"/>
      <c r="X74" s="1390"/>
      <c r="Y74" s="1390"/>
      <c r="Z74" s="1390"/>
      <c r="AA74" s="1390"/>
      <c r="AB74" s="1390"/>
      <c r="AE74" s="1386" t="s">
        <v>33</v>
      </c>
      <c r="AF74" s="1389" t="s">
        <v>29</v>
      </c>
      <c r="AG74" s="1390"/>
      <c r="AH74" s="1390"/>
      <c r="AI74" s="1390"/>
      <c r="AJ74" s="1390"/>
      <c r="AK74" s="1390"/>
      <c r="AL74" s="1390"/>
      <c r="AM74" s="1390"/>
      <c r="AN74" s="1390"/>
      <c r="AO74" s="1390"/>
      <c r="AP74" s="1390"/>
      <c r="AQ74" s="1390"/>
    </row>
    <row r="75" spans="1:46">
      <c r="A75" s="1387"/>
      <c r="B75" s="211" t="s">
        <v>116</v>
      </c>
      <c r="C75" s="211" t="s">
        <v>117</v>
      </c>
      <c r="D75" s="211" t="s">
        <v>118</v>
      </c>
      <c r="E75" s="211" t="s">
        <v>119</v>
      </c>
      <c r="F75" s="211" t="s">
        <v>120</v>
      </c>
      <c r="G75" s="211" t="s">
        <v>121</v>
      </c>
      <c r="H75" s="211" t="s">
        <v>122</v>
      </c>
      <c r="I75" s="211" t="s">
        <v>123</v>
      </c>
      <c r="J75" s="211" t="s">
        <v>124</v>
      </c>
      <c r="K75" s="211" t="s">
        <v>125</v>
      </c>
      <c r="L75" s="211" t="s">
        <v>126</v>
      </c>
      <c r="M75" s="211" t="s">
        <v>127</v>
      </c>
      <c r="N75" s="211" t="s">
        <v>128</v>
      </c>
      <c r="P75" s="1387"/>
      <c r="Q75" s="211" t="s">
        <v>116</v>
      </c>
      <c r="R75" s="211" t="s">
        <v>117</v>
      </c>
      <c r="S75" s="211" t="s">
        <v>118</v>
      </c>
      <c r="T75" s="211" t="s">
        <v>119</v>
      </c>
      <c r="U75" s="211" t="s">
        <v>120</v>
      </c>
      <c r="V75" s="211" t="s">
        <v>121</v>
      </c>
      <c r="W75" s="211" t="s">
        <v>122</v>
      </c>
      <c r="X75" s="211" t="s">
        <v>123</v>
      </c>
      <c r="Y75" s="211" t="s">
        <v>124</v>
      </c>
      <c r="Z75" s="211" t="s">
        <v>125</v>
      </c>
      <c r="AA75" s="211" t="s">
        <v>126</v>
      </c>
      <c r="AB75" s="211" t="s">
        <v>127</v>
      </c>
      <c r="AC75" s="211" t="s">
        <v>128</v>
      </c>
      <c r="AE75" s="1387"/>
      <c r="AF75" s="211" t="s">
        <v>116</v>
      </c>
      <c r="AG75" s="211" t="s">
        <v>117</v>
      </c>
      <c r="AH75" s="211" t="s">
        <v>118</v>
      </c>
      <c r="AI75" s="211" t="s">
        <v>119</v>
      </c>
      <c r="AJ75" s="211" t="s">
        <v>120</v>
      </c>
      <c r="AK75" s="211" t="s">
        <v>121</v>
      </c>
      <c r="AL75" s="211" t="s">
        <v>122</v>
      </c>
      <c r="AM75" s="211" t="s">
        <v>123</v>
      </c>
      <c r="AN75" s="211" t="s">
        <v>124</v>
      </c>
      <c r="AO75" s="211" t="s">
        <v>125</v>
      </c>
      <c r="AP75" s="211" t="s">
        <v>126</v>
      </c>
      <c r="AQ75" s="211" t="s">
        <v>127</v>
      </c>
      <c r="AR75" s="211" t="s">
        <v>128</v>
      </c>
    </row>
    <row r="76" spans="1:46">
      <c r="A76" s="212" t="s">
        <v>87</v>
      </c>
      <c r="B76" s="147">
        <f>$D$214*'Médias por UF'!CG63</f>
        <v>5962.0704936029042</v>
      </c>
      <c r="C76" s="147">
        <f>$D$214*'Médias por UF'!CH63</f>
        <v>13421.068161965404</v>
      </c>
      <c r="D76" s="147">
        <f>$D$214*'Médias por UF'!CI63</f>
        <v>18292.29072501781</v>
      </c>
      <c r="E76" s="147">
        <f>$D$214*'Médias por UF'!CJ63</f>
        <v>23836.668645689118</v>
      </c>
      <c r="F76" s="147">
        <f>$D$214*'Médias por UF'!CK63</f>
        <v>30681.305455499081</v>
      </c>
      <c r="G76" s="147">
        <f>$D$214*'Médias por UF'!CL63</f>
        <v>36431.688915870342</v>
      </c>
      <c r="H76" s="147">
        <f>$D$214*'Médias por UF'!CM63</f>
        <v>39071.886432905616</v>
      </c>
      <c r="I76" s="147">
        <f>$D$214*'Médias por UF'!CN63</f>
        <v>42834.347577460961</v>
      </c>
      <c r="J76" s="147">
        <f>$D$214*'Médias por UF'!CO63</f>
        <v>44902.876283286671</v>
      </c>
      <c r="K76" s="147">
        <f>$D$214*'Médias por UF'!CP63</f>
        <v>46567.387877601752</v>
      </c>
      <c r="L76" s="147">
        <f>$D$214*'Médias por UF'!CQ63</f>
        <v>48472.801395890136</v>
      </c>
      <c r="M76" s="147">
        <f>$D$214*'Médias por UF'!CR63</f>
        <v>52224.956000000006</v>
      </c>
      <c r="N76" s="147">
        <f>M76</f>
        <v>52224.956000000006</v>
      </c>
      <c r="P76" s="213" t="s">
        <v>87</v>
      </c>
      <c r="Q76" s="147">
        <f>'Médias por UF'!CG63*'Evolução das Receitas'!$S$214</f>
        <v>1737.5868319421527</v>
      </c>
      <c r="R76" s="147">
        <f>'Médias por UF'!CH63*'Evolução das Receitas'!$S$214</f>
        <v>3911.4383726007609</v>
      </c>
      <c r="S76" s="147">
        <f>'Médias por UF'!CI63*'Evolução das Receitas'!$S$214</f>
        <v>5331.1082993654854</v>
      </c>
      <c r="T76" s="147">
        <f>'Médias por UF'!CJ63*'Evolução das Receitas'!$S$214</f>
        <v>6946.962737283664</v>
      </c>
      <c r="U76" s="147">
        <f>'Médias por UF'!CK63*'Evolução das Receitas'!$S$214</f>
        <v>8941.7648455299986</v>
      </c>
      <c r="V76" s="147">
        <f>'Médias por UF'!CL63*'Evolução das Receitas'!$S$214</f>
        <v>10617.657572742784</v>
      </c>
      <c r="W76" s="147">
        <f>'Médias por UF'!CM63*'Evolução das Receitas'!$S$214</f>
        <v>11387.117183166574</v>
      </c>
      <c r="X76" s="147">
        <f>'Médias por UF'!CN63*'Evolução das Receitas'!$S$214</f>
        <v>12483.649494800256</v>
      </c>
      <c r="Y76" s="147">
        <f>'Médias por UF'!CO63*'Evolução das Receitas'!$S$214</f>
        <v>13086.501850302191</v>
      </c>
      <c r="Z76" s="147">
        <f>'Médias por UF'!CP63*'Evolução das Receitas'!$S$214</f>
        <v>13571.607390567138</v>
      </c>
      <c r="AA76" s="147">
        <f>'Médias por UF'!CQ63*'Evolução das Receitas'!$S$214</f>
        <v>14126.921428255027</v>
      </c>
      <c r="AB76" s="147">
        <f>'Médias por UF'!CR63*'Evolução das Receitas'!$S$214</f>
        <v>15220.45</v>
      </c>
      <c r="AC76" s="147">
        <f>AB76</f>
        <v>15220.45</v>
      </c>
      <c r="AE76" s="213" t="s">
        <v>87</v>
      </c>
      <c r="AF76" s="147">
        <f>JAN!$AK$5</f>
        <v>2697.0560000000005</v>
      </c>
      <c r="AG76" s="147">
        <f>FEV!$AK$5</f>
        <v>3304.6559999999999</v>
      </c>
      <c r="AH76" s="147">
        <f>MAR!$AK5</f>
        <v>2255.16</v>
      </c>
      <c r="AI76" s="147">
        <f>ABR!$AL5</f>
        <v>510.45600000000007</v>
      </c>
      <c r="AJ76" s="147">
        <f>MAI!$V5</f>
        <v>1119.96</v>
      </c>
      <c r="AK76" s="147">
        <f>JUN!$V5</f>
        <v>1538.9920000000002</v>
      </c>
      <c r="AL76" s="147">
        <f>JUL!$V5</f>
        <v>1752.328</v>
      </c>
      <c r="AM76" s="147">
        <f>AGO!$V5</f>
        <v>3047.5439999999999</v>
      </c>
      <c r="AN76" s="147">
        <f>SET!$V5</f>
        <v>1310.4480000000001</v>
      </c>
      <c r="AO76" s="147">
        <f>OUT!$V5</f>
        <v>393.13600000000002</v>
      </c>
      <c r="AP76" s="147">
        <f>NOV!$V5</f>
        <v>758.80799999999999</v>
      </c>
      <c r="AQ76" s="147">
        <f>DEZ!$V5</f>
        <v>167.61600000000001</v>
      </c>
      <c r="AR76" s="177">
        <f>SUM(AF76:AQ76)</f>
        <v>18856.16</v>
      </c>
    </row>
    <row r="77" spans="1:46">
      <c r="A77" s="212" t="s">
        <v>88</v>
      </c>
      <c r="B77" s="147">
        <f>$D$215*'Médias por UF'!CG64</f>
        <v>4788.4844871133591</v>
      </c>
      <c r="C77" s="147">
        <f>$D$215*'Médias por UF'!CH64</f>
        <v>13370.626027949977</v>
      </c>
      <c r="D77" s="147">
        <f>$D$215*'Médias por UF'!CI64</f>
        <v>15971.3614807709</v>
      </c>
      <c r="E77" s="147">
        <f>$D$215*'Médias por UF'!CJ64</f>
        <v>17547.563037157062</v>
      </c>
      <c r="F77" s="147">
        <f>$D$215*'Médias por UF'!CK64</f>
        <v>20307.085120735464</v>
      </c>
      <c r="G77" s="147">
        <f>$D$215*'Médias por UF'!CL64</f>
        <v>22547.318453197757</v>
      </c>
      <c r="H77" s="147">
        <f>$D$215*'Médias por UF'!CM64</f>
        <v>24035.758187807682</v>
      </c>
      <c r="I77" s="147">
        <f>$D$215*'Médias por UF'!CN64</f>
        <v>25749.875018478346</v>
      </c>
      <c r="J77" s="147">
        <f>$D$215*'Médias por UF'!CO64</f>
        <v>26776.752143219641</v>
      </c>
      <c r="K77" s="147">
        <f>$D$215*'Médias por UF'!CP64</f>
        <v>27388.460159640574</v>
      </c>
      <c r="L77" s="147">
        <f>$D$215*'Médias por UF'!CQ64</f>
        <v>28182.688819372062</v>
      </c>
      <c r="M77" s="147">
        <f>$D$215*'Médias por UF'!CR64</f>
        <v>29224.520411147998</v>
      </c>
      <c r="N77" s="147">
        <f t="shared" ref="N77:N102" si="28">M77</f>
        <v>29224.520411147998</v>
      </c>
      <c r="P77" s="213" t="s">
        <v>88</v>
      </c>
      <c r="Q77" s="147">
        <f>'Médias por UF'!CG64*'Evolução das Receitas'!$S$215</f>
        <v>4097.5205755866918</v>
      </c>
      <c r="R77" s="147">
        <f>'Médias por UF'!CH64*'Evolução das Receitas'!$S$215</f>
        <v>11441.284900356204</v>
      </c>
      <c r="S77" s="147">
        <f>'Médias por UF'!CI64*'Evolução das Receitas'!$S$215</f>
        <v>13666.742048284777</v>
      </c>
      <c r="T77" s="147">
        <f>'Médias por UF'!CJ64*'Evolução das Receitas'!$S$215</f>
        <v>15015.502460048679</v>
      </c>
      <c r="U77" s="147">
        <f>'Médias por UF'!CK64*'Evolução das Receitas'!$S$215</f>
        <v>17376.833805420683</v>
      </c>
      <c r="V77" s="147">
        <f>'Médias por UF'!CL64*'Evolução das Receitas'!$S$215</f>
        <v>19293.808204853896</v>
      </c>
      <c r="W77" s="147">
        <f>'Médias por UF'!CM64*'Evolução das Receitas'!$S$215</f>
        <v>20567.470561805909</v>
      </c>
      <c r="X77" s="147">
        <f>'Médias por UF'!CN64*'Evolução das Receitas'!$S$215</f>
        <v>22034.245488514833</v>
      </c>
      <c r="Y77" s="147">
        <f>'Médias por UF'!CO64*'Evolução das Receitas'!$S$215</f>
        <v>22912.947332187974</v>
      </c>
      <c r="Z77" s="147">
        <f>'Médias por UF'!CP64*'Evolução das Receitas'!$S$215</f>
        <v>23436.387721371964</v>
      </c>
      <c r="AA77" s="147">
        <f>'Médias por UF'!CQ64*'Evolução das Receitas'!$S$215</f>
        <v>24116.011573914133</v>
      </c>
      <c r="AB77" s="147">
        <f>'Médias por UF'!CR64*'Evolução das Receitas'!$S$215</f>
        <v>25007.51</v>
      </c>
      <c r="AC77" s="147">
        <f t="shared" ref="AC77:AC102" si="29">AB77</f>
        <v>25007.51</v>
      </c>
      <c r="AE77" s="213" t="s">
        <v>88</v>
      </c>
      <c r="AF77" s="147">
        <f>JAN!$AK$6</f>
        <v>3794.1680000000001</v>
      </c>
      <c r="AG77" s="147">
        <f>FEV!$AK$6</f>
        <v>8479.728000000001</v>
      </c>
      <c r="AH77" s="147">
        <f>MAR!$AK6</f>
        <v>1409.472</v>
      </c>
      <c r="AI77" s="147">
        <f>ABR!$AL6</f>
        <v>746.64</v>
      </c>
      <c r="AJ77" s="147">
        <f>MAI!$V6</f>
        <v>959.96800000000007</v>
      </c>
      <c r="AK77" s="147">
        <f>JUN!$V6</f>
        <v>182.84800000000001</v>
      </c>
      <c r="AL77" s="147">
        <f>JUL!$V6</f>
        <v>2392.3040000000001</v>
      </c>
      <c r="AM77" s="147">
        <f>AGO!$V6</f>
        <v>2173.92</v>
      </c>
      <c r="AN77" s="147">
        <f>SET!$V6</f>
        <v>2377.1040000000003</v>
      </c>
      <c r="AO77" s="147">
        <f>OUT!$V6</f>
        <v>253.96</v>
      </c>
      <c r="AP77" s="147">
        <f>NOV!$V6</f>
        <v>1427.248</v>
      </c>
      <c r="AQ77" s="147">
        <f>DEZ!$V6</f>
        <v>1447.5680000000002</v>
      </c>
      <c r="AR77" s="177">
        <f t="shared" ref="AR77:AR102" si="30">SUM(AF77:AQ77)</f>
        <v>25644.928</v>
      </c>
      <c r="AT77" s="253"/>
    </row>
    <row r="78" spans="1:46">
      <c r="A78" s="212" t="s">
        <v>89</v>
      </c>
      <c r="B78" s="147">
        <f>$D$216*'Médias por UF'!CG65</f>
        <v>5044.7123864645009</v>
      </c>
      <c r="C78" s="147">
        <f>$D$216*'Médias por UF'!CH65</f>
        <v>10377.640077007638</v>
      </c>
      <c r="D78" s="147">
        <f>$D$216*'Médias por UF'!CI65</f>
        <v>13273.60489303649</v>
      </c>
      <c r="E78" s="147">
        <f>$D$216*'Médias por UF'!CJ65</f>
        <v>21695.579540399653</v>
      </c>
      <c r="F78" s="147">
        <f>$D$216*'Médias por UF'!CK65</f>
        <v>31257.867880832368</v>
      </c>
      <c r="G78" s="147">
        <f>$D$216*'Médias por UF'!CL65</f>
        <v>43679.189882579296</v>
      </c>
      <c r="H78" s="147">
        <f>$D$216*'Médias por UF'!CM65</f>
        <v>50143.544112934025</v>
      </c>
      <c r="I78" s="147">
        <f>$D$216*'Médias por UF'!CN65</f>
        <v>54083.041330977809</v>
      </c>
      <c r="J78" s="147">
        <f>$D$216*'Médias por UF'!CO65</f>
        <v>58421.690509630847</v>
      </c>
      <c r="K78" s="147">
        <f>$D$216*'Médias por UF'!CP65</f>
        <v>62984.080113977579</v>
      </c>
      <c r="L78" s="147">
        <f>$D$216*'Médias por UF'!CQ65</f>
        <v>66479.076757087008</v>
      </c>
      <c r="M78" s="147">
        <f>$D$216*'Médias por UF'!CR65</f>
        <v>69073.64665855201</v>
      </c>
      <c r="N78" s="147">
        <f t="shared" si="28"/>
        <v>69073.64665855201</v>
      </c>
      <c r="P78" s="213" t="s">
        <v>89</v>
      </c>
      <c r="Q78" s="147">
        <f>'Médias por UF'!CG65*'Evolução das Receitas'!$S$216</f>
        <v>1168.7741232922074</v>
      </c>
      <c r="R78" s="147">
        <f>'Médias por UF'!CH65*'Evolução das Receitas'!$S$216</f>
        <v>2404.3228342195262</v>
      </c>
      <c r="S78" s="147">
        <f>'Médias por UF'!CI65*'Evolução das Receitas'!$S$216</f>
        <v>3075.2686641583718</v>
      </c>
      <c r="T78" s="147">
        <f>'Médias por UF'!CJ65*'Evolução das Receitas'!$S$216</f>
        <v>5026.4970555473301</v>
      </c>
      <c r="U78" s="147">
        <f>'Médias por UF'!CK65*'Evolução das Receitas'!$S$216</f>
        <v>7241.9167495904139</v>
      </c>
      <c r="V78" s="147">
        <f>'Médias por UF'!CL65*'Evolução das Receitas'!$S$216</f>
        <v>10119.725952682857</v>
      </c>
      <c r="W78" s="147">
        <f>'Médias por UF'!CM65*'Evolução das Receitas'!$S$216</f>
        <v>11617.406963894709</v>
      </c>
      <c r="X78" s="147">
        <f>'Médias por UF'!CN65*'Evolução das Receitas'!$S$216</f>
        <v>12530.121516182222</v>
      </c>
      <c r="Y78" s="147">
        <f>'Médias por UF'!CO65*'Evolução das Receitas'!$S$216</f>
        <v>13535.312794015706</v>
      </c>
      <c r="Z78" s="147">
        <f>'Médias por UF'!CP65*'Evolução das Receitas'!$S$216</f>
        <v>14592.340925935623</v>
      </c>
      <c r="AA78" s="147">
        <f>'Médias por UF'!CQ65*'Evolução das Receitas'!$S$216</f>
        <v>15402.0722494536</v>
      </c>
      <c r="AB78" s="147">
        <f>'Médias por UF'!CR65*'Evolução das Receitas'!$S$216</f>
        <v>16003.19</v>
      </c>
      <c r="AC78" s="147">
        <f t="shared" si="29"/>
        <v>16003.19</v>
      </c>
      <c r="AE78" s="213" t="s">
        <v>89</v>
      </c>
      <c r="AF78" s="147">
        <f>JAN!$AK$7</f>
        <v>2392.3040000000001</v>
      </c>
      <c r="AG78" s="147">
        <f>FEV!$AK$7</f>
        <v>3702.7440000000006</v>
      </c>
      <c r="AH78" s="147">
        <f>MAR!$AK7</f>
        <v>2636.096</v>
      </c>
      <c r="AI78" s="147">
        <f>ABR!$AL7</f>
        <v>1828.5119999999999</v>
      </c>
      <c r="AJ78" s="147">
        <f>MAI!$V7</f>
        <v>548.55200000000002</v>
      </c>
      <c r="AK78" s="147">
        <f>JUN!$V7</f>
        <v>2836.8240000000001</v>
      </c>
      <c r="AL78" s="147">
        <f>JUL!$V7</f>
        <v>4015.1120000000005</v>
      </c>
      <c r="AM78" s="147">
        <f>AGO!$V7</f>
        <v>5607.5040000000008</v>
      </c>
      <c r="AN78" s="147">
        <f>SET!$V7</f>
        <v>1447.6000000000001</v>
      </c>
      <c r="AO78" s="147">
        <f>OUT!$V7</f>
        <v>266.64800000000002</v>
      </c>
      <c r="AP78" s="147">
        <f>NOV!$V7</f>
        <v>2079.904</v>
      </c>
      <c r="AQ78" s="147">
        <f>DEZ!$V7</f>
        <v>2064.7040000000002</v>
      </c>
      <c r="AR78" s="177">
        <f t="shared" si="30"/>
        <v>29426.504000000001</v>
      </c>
      <c r="AT78" s="253"/>
    </row>
    <row r="79" spans="1:46">
      <c r="A79" s="212" t="s">
        <v>90</v>
      </c>
      <c r="B79" s="147">
        <f>$D$217*'Médias por UF'!CG66</f>
        <v>8009.362072785384</v>
      </c>
      <c r="C79" s="147">
        <f>$D$217*'Médias por UF'!CH66</f>
        <v>20909.795280753347</v>
      </c>
      <c r="D79" s="147">
        <f>$D$217*'Médias por UF'!CI66</f>
        <v>34200.721871612033</v>
      </c>
      <c r="E79" s="147">
        <f>$D$217*'Médias por UF'!CJ66</f>
        <v>42651.689816317325</v>
      </c>
      <c r="F79" s="147">
        <f>$D$217*'Médias por UF'!CK66</f>
        <v>52278.088170584153</v>
      </c>
      <c r="G79" s="147">
        <f>$D$217*'Médias por UF'!CL66</f>
        <v>61906.755777947001</v>
      </c>
      <c r="H79" s="147">
        <f>$D$217*'Médias por UF'!CM66</f>
        <v>67671.757695204069</v>
      </c>
      <c r="I79" s="147">
        <f>$D$217*'Médias por UF'!CN66</f>
        <v>71411.355606120662</v>
      </c>
      <c r="J79" s="147">
        <f>$D$217*'Médias por UF'!CO66</f>
        <v>73835.285721591586</v>
      </c>
      <c r="K79" s="147">
        <f>$D$217*'Médias por UF'!CP66</f>
        <v>76307.599132108327</v>
      </c>
      <c r="L79" s="147">
        <f>$D$217*'Médias por UF'!CQ66</f>
        <v>77238.988661864554</v>
      </c>
      <c r="M79" s="147">
        <f>$D$217*'Médias por UF'!CR66</f>
        <v>79900.945754652028</v>
      </c>
      <c r="N79" s="147">
        <f t="shared" si="28"/>
        <v>79900.945754652028</v>
      </c>
      <c r="P79" s="213" t="s">
        <v>90</v>
      </c>
      <c r="Q79" s="147">
        <f>'Médias por UF'!CG66*'Evolução das Receitas'!$S$217</f>
        <v>3900.3688128841013</v>
      </c>
      <c r="R79" s="147">
        <f>'Médias por UF'!CH66*'Evolução das Receitas'!$S$217</f>
        <v>10182.572925995733</v>
      </c>
      <c r="S79" s="147">
        <f>'Médias por UF'!CI66*'Evolução das Receitas'!$S$217</f>
        <v>16654.938028013054</v>
      </c>
      <c r="T79" s="147">
        <f>'Médias por UF'!CJ66*'Evolução das Receitas'!$S$217</f>
        <v>20770.358396160893</v>
      </c>
      <c r="U79" s="147">
        <f>'Médias por UF'!CK66*'Evolução das Receitas'!$S$217</f>
        <v>25458.185414115116</v>
      </c>
      <c r="V79" s="147">
        <f>'Médias por UF'!CL66*'Evolução das Receitas'!$S$217</f>
        <v>30147.117504348986</v>
      </c>
      <c r="W79" s="147">
        <f>'Médias por UF'!CM66*'Evolução das Receitas'!$S$217</f>
        <v>32954.536307488044</v>
      </c>
      <c r="X79" s="147">
        <f>'Médias por UF'!CN66*'Evolução das Receitas'!$S$217</f>
        <v>34775.631537284942</v>
      </c>
      <c r="Y79" s="147">
        <f>'Médias por UF'!CO66*'Evolução das Receitas'!$S$217</f>
        <v>35956.027846139215</v>
      </c>
      <c r="Z79" s="147">
        <f>'Médias por UF'!CP66*'Evolução das Receitas'!$S$217</f>
        <v>37159.985668800262</v>
      </c>
      <c r="AA79" s="147">
        <f>'Médias por UF'!CQ66*'Evolução das Receitas'!$S$217</f>
        <v>37613.550215076873</v>
      </c>
      <c r="AB79" s="147">
        <f>'Médias por UF'!CR66*'Evolução das Receitas'!$S$217</f>
        <v>38909.86</v>
      </c>
      <c r="AC79" s="147">
        <f t="shared" si="29"/>
        <v>38909.86</v>
      </c>
      <c r="AE79" s="213" t="s">
        <v>90</v>
      </c>
      <c r="AF79" s="147">
        <f>JAN!$AK$8</f>
        <v>7055.0240000000013</v>
      </c>
      <c r="AG79" s="147">
        <f>FEV!$AK$8</f>
        <v>7854.9759999999997</v>
      </c>
      <c r="AH79" s="147">
        <f>MAR!$AK8</f>
        <v>5015.0640000000003</v>
      </c>
      <c r="AI79" s="147">
        <f>ABR!$AL8</f>
        <v>1211.3920000000001</v>
      </c>
      <c r="AJ79" s="147">
        <f>MAI!$V8</f>
        <v>182.84800000000001</v>
      </c>
      <c r="AK79" s="147">
        <f>JUN!$V8</f>
        <v>2697.0480000000002</v>
      </c>
      <c r="AL79" s="147">
        <f>JUL!$V8</f>
        <v>3146.56</v>
      </c>
      <c r="AM79" s="147">
        <f>AGO!$V8</f>
        <v>5288.9760000000006</v>
      </c>
      <c r="AN79" s="147">
        <f>SET!$V8</f>
        <v>1660.9360000000001</v>
      </c>
      <c r="AO79" s="147">
        <f>OUT!$V8</f>
        <v>777.15200000000004</v>
      </c>
      <c r="AP79" s="147">
        <f>NOV!$V8</f>
        <v>1478.0879999999997</v>
      </c>
      <c r="AQ79" s="147">
        <f>DEZ!$V8</f>
        <v>1577.088</v>
      </c>
      <c r="AR79" s="177">
        <f t="shared" si="30"/>
        <v>37945.152000000002</v>
      </c>
      <c r="AT79" s="253"/>
    </row>
    <row r="80" spans="1:46">
      <c r="A80" s="212" t="s">
        <v>91</v>
      </c>
      <c r="B80" s="147">
        <f>$D$218*'Médias por UF'!CG67</f>
        <v>39591.288606682967</v>
      </c>
      <c r="C80" s="147">
        <f>$D$218*'Médias por UF'!CH67</f>
        <v>123975.59504063636</v>
      </c>
      <c r="D80" s="147">
        <f>$D$218*'Médias por UF'!CI67</f>
        <v>153475.21697773202</v>
      </c>
      <c r="E80" s="147">
        <f>$D$218*'Médias por UF'!CJ67</f>
        <v>181844.45753313511</v>
      </c>
      <c r="F80" s="147">
        <f>$D$218*'Médias por UF'!CK67</f>
        <v>215728.81740844742</v>
      </c>
      <c r="G80" s="147">
        <f>$D$218*'Médias por UF'!CL67</f>
        <v>256741.3177369287</v>
      </c>
      <c r="H80" s="147">
        <f>$D$218*'Médias por UF'!CM67</f>
        <v>270063.91628581507</v>
      </c>
      <c r="I80" s="147">
        <f>$D$218*'Médias por UF'!CN67</f>
        <v>283034.23102277092</v>
      </c>
      <c r="J80" s="147">
        <f>$D$218*'Médias por UF'!CO67</f>
        <v>293562.16320658976</v>
      </c>
      <c r="K80" s="147">
        <f>$D$218*'Médias por UF'!CP67</f>
        <v>301760.76468427648</v>
      </c>
      <c r="L80" s="147">
        <f>$D$218*'Médias por UF'!CQ67</f>
        <v>307575.41024355742</v>
      </c>
      <c r="M80" s="147">
        <f>$D$218*'Médias por UF'!CR67</f>
        <v>312473.80712494807</v>
      </c>
      <c r="N80" s="147">
        <f t="shared" si="28"/>
        <v>312473.80712494807</v>
      </c>
      <c r="P80" s="213" t="s">
        <v>91</v>
      </c>
      <c r="Q80" s="147">
        <f>'Médias por UF'!CG67*'Evolução das Receitas'!$S$218</f>
        <v>21042.226531395434</v>
      </c>
      <c r="R80" s="147">
        <f>'Médias por UF'!CH67*'Evolução das Receitas'!$S$218</f>
        <v>65891.327284792264</v>
      </c>
      <c r="S80" s="147">
        <f>'Médias por UF'!CI67*'Evolução das Receitas'!$S$218</f>
        <v>81569.971482448149</v>
      </c>
      <c r="T80" s="147">
        <f>'Médias por UF'!CJ67*'Evolução das Receitas'!$S$218</f>
        <v>96647.833489437166</v>
      </c>
      <c r="U80" s="147">
        <f>'Médias por UF'!CK67*'Evolução das Receitas'!$S$218</f>
        <v>114656.90572375926</v>
      </c>
      <c r="V80" s="147">
        <f>'Médias por UF'!CL67*'Evolução das Receitas'!$S$218</f>
        <v>136454.48678014247</v>
      </c>
      <c r="W80" s="147">
        <f>'Médias por UF'!CM67*'Evolução das Receitas'!$S$218</f>
        <v>143535.26506542382</v>
      </c>
      <c r="X80" s="147">
        <f>'Médias por UF'!CN67*'Evolução das Receitas'!$S$218</f>
        <v>150428.80933951575</v>
      </c>
      <c r="Y80" s="147">
        <f>'Médias por UF'!CO67*'Evolução das Receitas'!$S$218</f>
        <v>156024.2608066269</v>
      </c>
      <c r="Z80" s="147">
        <f>'Médias por UF'!CP67*'Evolução das Receitas'!$S$218</f>
        <v>160381.7049718819</v>
      </c>
      <c r="AA80" s="147">
        <f>'Médias por UF'!CQ67*'Evolução das Receitas'!$S$218</f>
        <v>163472.10928465056</v>
      </c>
      <c r="AB80" s="147">
        <f>'Médias por UF'!CR67*'Evolução das Receitas'!$S$218</f>
        <v>166075.54</v>
      </c>
      <c r="AC80" s="147">
        <f t="shared" si="29"/>
        <v>166075.54</v>
      </c>
      <c r="AE80" s="213" t="s">
        <v>91</v>
      </c>
      <c r="AF80" s="147">
        <f>JAN!$AK$9</f>
        <v>30840.920000000002</v>
      </c>
      <c r="AG80" s="147">
        <f>FEV!$AK$9</f>
        <v>36066.455999999998</v>
      </c>
      <c r="AH80" s="147">
        <f>MAR!$AK9</f>
        <v>16043.2</v>
      </c>
      <c r="AI80" s="147">
        <f>ABR!$AL9</f>
        <v>8719.68</v>
      </c>
      <c r="AJ80" s="147">
        <f>MAI!$V9</f>
        <v>4533.152</v>
      </c>
      <c r="AK80" s="147">
        <f>JUN!$V9</f>
        <v>11102.448</v>
      </c>
      <c r="AL80" s="147">
        <f>JUL!$V9</f>
        <v>17660.376</v>
      </c>
      <c r="AM80" s="147">
        <f>AGO!$V9</f>
        <v>18569.007999999998</v>
      </c>
      <c r="AN80" s="147">
        <f>SET!$V9</f>
        <v>6823.5119999999997</v>
      </c>
      <c r="AO80" s="147">
        <f>OUT!$V9</f>
        <v>1820.9360000000001</v>
      </c>
      <c r="AP80" s="147">
        <f>NOV!$V9</f>
        <v>6159</v>
      </c>
      <c r="AQ80" s="147">
        <f>DEZ!$V9</f>
        <v>4921.32</v>
      </c>
      <c r="AR80" s="177">
        <f t="shared" si="30"/>
        <v>163260.00799999997</v>
      </c>
      <c r="AT80" s="253"/>
    </row>
    <row r="81" spans="1:46">
      <c r="A81" s="212" t="s">
        <v>92</v>
      </c>
      <c r="B81" s="147">
        <f>$D$219*'Médias por UF'!CG68</f>
        <v>18130.693166895282</v>
      </c>
      <c r="C81" s="147">
        <f>$D$219*'Médias por UF'!CH68</f>
        <v>42167.07057250548</v>
      </c>
      <c r="D81" s="147">
        <f>$D$219*'Médias por UF'!CI68</f>
        <v>53848.633348606614</v>
      </c>
      <c r="E81" s="147">
        <f>$D$219*'Médias por UF'!CJ68</f>
        <v>63616.071955303676</v>
      </c>
      <c r="F81" s="147">
        <f>$D$219*'Médias por UF'!CK68</f>
        <v>74543.669118660051</v>
      </c>
      <c r="G81" s="147">
        <f>$D$219*'Médias por UF'!CL68</f>
        <v>87181.95489193665</v>
      </c>
      <c r="H81" s="147">
        <f>$D$219*'Médias por UF'!CM68</f>
        <v>89695.769448753854</v>
      </c>
      <c r="I81" s="147">
        <f>$D$219*'Médias por UF'!CN68</f>
        <v>92270.604720550778</v>
      </c>
      <c r="J81" s="147">
        <f>$D$219*'Médias por UF'!CO68</f>
        <v>95451.206526042923</v>
      </c>
      <c r="K81" s="147">
        <f>$D$219*'Médias por UF'!CP68</f>
        <v>98645.039588130909</v>
      </c>
      <c r="L81" s="147">
        <f>$D$219*'Médias por UF'!CQ68</f>
        <v>101088.17406653758</v>
      </c>
      <c r="M81" s="147">
        <f>$D$219*'Médias por UF'!CR68</f>
        <v>104154.09572991601</v>
      </c>
      <c r="N81" s="147">
        <f t="shared" si="28"/>
        <v>104154.09572991601</v>
      </c>
      <c r="P81" s="213" t="s">
        <v>92</v>
      </c>
      <c r="Q81" s="147">
        <f>'Médias por UF'!CG68*'Evolução das Receitas'!$S$219</f>
        <v>15085.757207785877</v>
      </c>
      <c r="R81" s="147">
        <f>'Médias por UF'!CH68*'Evolução das Receitas'!$S$219</f>
        <v>35085.376105855772</v>
      </c>
      <c r="S81" s="147">
        <f>'Médias por UF'!CI68*'Evolução das Receitas'!$S$219</f>
        <v>44805.093836755303</v>
      </c>
      <c r="T81" s="147">
        <f>'Médias por UF'!CJ68*'Evolução das Receitas'!$S$219</f>
        <v>52932.152521507087</v>
      </c>
      <c r="U81" s="147">
        <f>'Médias por UF'!CK68*'Evolução das Receitas'!$S$219</f>
        <v>62024.528425363016</v>
      </c>
      <c r="V81" s="147">
        <f>'Médias por UF'!CL68*'Evolução das Receitas'!$S$219</f>
        <v>72540.293539428632</v>
      </c>
      <c r="W81" s="147">
        <f>'Médias por UF'!CM68*'Evolução das Receitas'!$S$219</f>
        <v>74631.928741704571</v>
      </c>
      <c r="X81" s="147">
        <f>'Médias por UF'!CN68*'Evolução das Receitas'!$S$219</f>
        <v>76774.336613417705</v>
      </c>
      <c r="Y81" s="147">
        <f>'Médias por UF'!CO68*'Evolução das Receitas'!$S$219</f>
        <v>79420.776336963929</v>
      </c>
      <c r="Z81" s="147">
        <f>'Médias por UF'!CP68*'Evolução das Receitas'!$S$219</f>
        <v>82078.225210724195</v>
      </c>
      <c r="AA81" s="147">
        <f>'Médias por UF'!CQ68*'Evolução das Receitas'!$S$219</f>
        <v>84111.050609507613</v>
      </c>
      <c r="AB81" s="147">
        <f>'Médias por UF'!CR68*'Evolução das Receitas'!$S$219</f>
        <v>86662.07</v>
      </c>
      <c r="AC81" s="147">
        <f t="shared" si="29"/>
        <v>86662.07</v>
      </c>
      <c r="AE81" s="213" t="s">
        <v>92</v>
      </c>
      <c r="AF81" s="147">
        <f>JAN!$AK$10</f>
        <v>19353.648000000001</v>
      </c>
      <c r="AG81" s="147">
        <f>FEV!$AK$10</f>
        <v>14031.920000000002</v>
      </c>
      <c r="AH81" s="147">
        <f>MAR!$AK10</f>
        <v>7915.2320000000009</v>
      </c>
      <c r="AI81" s="147">
        <f>ABR!$AL10</f>
        <v>1452.6320000000001</v>
      </c>
      <c r="AJ81" s="147">
        <f>MAI!$V10</f>
        <v>3304.0080000000003</v>
      </c>
      <c r="AK81" s="147">
        <f>JUN!$V10</f>
        <v>3276.0480000000002</v>
      </c>
      <c r="AL81" s="147">
        <f>JUL!$V10</f>
        <v>7805.4240000000009</v>
      </c>
      <c r="AM81" s="147">
        <f>AGO!$V10</f>
        <v>9679.7119999999995</v>
      </c>
      <c r="AN81" s="147">
        <f>SET!$V10</f>
        <v>4681.808</v>
      </c>
      <c r="AO81" s="147">
        <f>OUT!$V10</f>
        <v>819</v>
      </c>
      <c r="AP81" s="147">
        <f>NOV!$V10</f>
        <v>1558.0160000000003</v>
      </c>
      <c r="AQ81" s="147">
        <f>DEZ!$V10</f>
        <v>2057.056</v>
      </c>
      <c r="AR81" s="177">
        <f t="shared" si="30"/>
        <v>75934.504000000015</v>
      </c>
      <c r="AT81" s="253"/>
    </row>
    <row r="82" spans="1:46">
      <c r="A82" s="212" t="s">
        <v>93</v>
      </c>
      <c r="B82" s="147">
        <f>$D$220*'Médias por UF'!CG69</f>
        <v>17027.845044291662</v>
      </c>
      <c r="C82" s="147">
        <f>$D$220*'Médias por UF'!CH69</f>
        <v>66986.902534381778</v>
      </c>
      <c r="D82" s="147">
        <f>$D$220*'Médias por UF'!CI69</f>
        <v>86685.654099158695</v>
      </c>
      <c r="E82" s="147">
        <f>$D$220*'Médias por UF'!CJ69</f>
        <v>108156.24085829451</v>
      </c>
      <c r="F82" s="147">
        <f>$D$220*'Médias por UF'!CK69</f>
        <v>125977.48701204166</v>
      </c>
      <c r="G82" s="147">
        <f>$D$220*'Médias por UF'!CL69</f>
        <v>152676.15741355874</v>
      </c>
      <c r="H82" s="147">
        <f>$D$220*'Médias por UF'!CM69</f>
        <v>163404.29726698468</v>
      </c>
      <c r="I82" s="147">
        <f>$D$220*'Médias por UF'!CN69</f>
        <v>170180.48353160772</v>
      </c>
      <c r="J82" s="147">
        <f>$D$220*'Médias por UF'!CO69</f>
        <v>175855.25210127738</v>
      </c>
      <c r="K82" s="147">
        <f>$D$220*'Médias por UF'!CP69</f>
        <v>180672.70293784072</v>
      </c>
      <c r="L82" s="147">
        <f>$D$220*'Médias por UF'!CQ69</f>
        <v>184901.15254877566</v>
      </c>
      <c r="M82" s="147">
        <f>$D$220*'Médias por UF'!CR69</f>
        <v>190337.207747184</v>
      </c>
      <c r="N82" s="147">
        <f t="shared" si="28"/>
        <v>190337.207747184</v>
      </c>
      <c r="P82" s="213" t="s">
        <v>93</v>
      </c>
      <c r="Q82" s="147">
        <f>'Médias por UF'!CG69*'Evolução das Receitas'!$S$220</f>
        <v>9488.5609774969562</v>
      </c>
      <c r="R82" s="147">
        <f>'Médias por UF'!CH69*'Evolução das Receitas'!$S$220</f>
        <v>37327.642325721405</v>
      </c>
      <c r="S82" s="147">
        <f>'Médias por UF'!CI69*'Evolução das Receitas'!$S$220</f>
        <v>48304.533700805252</v>
      </c>
      <c r="T82" s="147">
        <f>'Médias por UF'!CJ69*'Evolução das Receitas'!$S$220</f>
        <v>60268.758836562796</v>
      </c>
      <c r="U82" s="147">
        <f>'Médias por UF'!CK69*'Evolução das Receitas'!$S$220</f>
        <v>70199.432999087003</v>
      </c>
      <c r="V82" s="147">
        <f>'Médias por UF'!CL69*'Evolução das Receitas'!$S$220</f>
        <v>85076.944596352434</v>
      </c>
      <c r="W82" s="147">
        <f>'Médias por UF'!CM69*'Evolução das Receitas'!$S$220</f>
        <v>91055.070948193548</v>
      </c>
      <c r="X82" s="147">
        <f>'Médias por UF'!CN69*'Evolução das Receitas'!$S$220</f>
        <v>94831.01889695102</v>
      </c>
      <c r="Y82" s="147">
        <f>'Médias por UF'!CO69*'Evolução das Receitas'!$S$220</f>
        <v>97993.215138838059</v>
      </c>
      <c r="Z82" s="147">
        <f>'Médias por UF'!CP69*'Evolução das Receitas'!$S$220</f>
        <v>100677.68142919515</v>
      </c>
      <c r="AA82" s="147">
        <f>'Médias por UF'!CQ69*'Evolução das Receitas'!$S$220</f>
        <v>103033.93390091232</v>
      </c>
      <c r="AB82" s="147">
        <f>'Médias por UF'!CR69*'Evolução das Receitas'!$S$220</f>
        <v>106063.11</v>
      </c>
      <c r="AC82" s="147">
        <f t="shared" si="29"/>
        <v>106063.11</v>
      </c>
      <c r="AE82" s="213" t="s">
        <v>93</v>
      </c>
      <c r="AF82" s="147">
        <f>JAN!$AK$11</f>
        <v>17348.032000000003</v>
      </c>
      <c r="AG82" s="147">
        <f>FEV!$AK$11</f>
        <v>34402.688000000002</v>
      </c>
      <c r="AH82" s="147">
        <f>MAR!$AK11</f>
        <v>10359.616000000002</v>
      </c>
      <c r="AI82" s="147">
        <f>ABR!$AL11</f>
        <v>7362.2640000000001</v>
      </c>
      <c r="AJ82" s="147">
        <f>MAI!$V11</f>
        <v>4771.88</v>
      </c>
      <c r="AK82" s="147">
        <f>JUN!$V11</f>
        <v>9762.2000000000007</v>
      </c>
      <c r="AL82" s="147">
        <f>JUL!$V11</f>
        <v>8830.1759999999995</v>
      </c>
      <c r="AM82" s="147">
        <f>AGO!$V11</f>
        <v>17371.68</v>
      </c>
      <c r="AN82" s="147">
        <f>SET!$V11</f>
        <v>3055.16</v>
      </c>
      <c r="AO82" s="147">
        <f>OUT!$V11</f>
        <v>4108.4480000000003</v>
      </c>
      <c r="AP82" s="147">
        <f>NOV!$V11</f>
        <v>4664.6320000000005</v>
      </c>
      <c r="AQ82" s="147">
        <f>DEZ!$V11</f>
        <v>4893.1440000000002</v>
      </c>
      <c r="AR82" s="177">
        <f t="shared" si="30"/>
        <v>126929.92</v>
      </c>
      <c r="AT82" s="253"/>
    </row>
    <row r="83" spans="1:46">
      <c r="A83" s="212" t="s">
        <v>94</v>
      </c>
      <c r="B83" s="147">
        <f>$D$221*'Médias por UF'!CG70</f>
        <v>12418.082180566898</v>
      </c>
      <c r="C83" s="147">
        <f>$D$221*'Médias por UF'!CH70</f>
        <v>41779.5713305104</v>
      </c>
      <c r="D83" s="147">
        <f>$D$221*'Médias por UF'!CI70</f>
        <v>54822.84637512653</v>
      </c>
      <c r="E83" s="147">
        <f>$D$221*'Médias por UF'!CJ70</f>
        <v>65038.516190315961</v>
      </c>
      <c r="F83" s="147">
        <f>$D$221*'Médias por UF'!CK70</f>
        <v>78277.072295340055</v>
      </c>
      <c r="G83" s="147">
        <f>$D$221*'Médias por UF'!CL70</f>
        <v>92869.567432815122</v>
      </c>
      <c r="H83" s="147">
        <f>$D$221*'Médias por UF'!CM70</f>
        <v>99479.5265511732</v>
      </c>
      <c r="I83" s="147">
        <f>$D$221*'Médias por UF'!CN70</f>
        <v>108025.84384802642</v>
      </c>
      <c r="J83" s="147">
        <f>$D$221*'Médias por UF'!CO70</f>
        <v>117730.50588253063</v>
      </c>
      <c r="K83" s="147">
        <f>$D$221*'Médias por UF'!CP70</f>
        <v>125774.19010183081</v>
      </c>
      <c r="L83" s="147">
        <f>$D$221*'Médias por UF'!CQ70</f>
        <v>133076.40222819214</v>
      </c>
      <c r="M83" s="147">
        <f>$D$221*'Médias por UF'!CR70</f>
        <v>137709.53577950402</v>
      </c>
      <c r="N83" s="147">
        <f t="shared" si="28"/>
        <v>137709.53577950402</v>
      </c>
      <c r="P83" s="213" t="s">
        <v>94</v>
      </c>
      <c r="Q83" s="147">
        <f>'Médias por UF'!CG70*'Evolução das Receitas'!$S$221</f>
        <v>10920.344622852905</v>
      </c>
      <c r="R83" s="147">
        <f>'Médias por UF'!CH70*'Evolução das Receitas'!$S$221</f>
        <v>36740.561907234085</v>
      </c>
      <c r="S83" s="147">
        <f>'Médias por UF'!CI70*'Evolução das Receitas'!$S$221</f>
        <v>48210.695252040379</v>
      </c>
      <c r="T83" s="147">
        <f>'Médias por UF'!CJ70*'Evolução das Receitas'!$S$221</f>
        <v>57194.259164165487</v>
      </c>
      <c r="U83" s="147">
        <f>'Médias por UF'!CK70*'Evolução das Receitas'!$S$221</f>
        <v>68836.120836016387</v>
      </c>
      <c r="V83" s="147">
        <f>'Médias por UF'!CL70*'Evolução das Receitas'!$S$221</f>
        <v>81668.623753246895</v>
      </c>
      <c r="W83" s="147">
        <f>'Médias por UF'!CM70*'Evolução das Receitas'!$S$221</f>
        <v>87481.359606162951</v>
      </c>
      <c r="X83" s="147">
        <f>'Médias por UF'!CN70*'Evolução das Receitas'!$S$221</f>
        <v>94996.910621273491</v>
      </c>
      <c r="Y83" s="147">
        <f>'Médias por UF'!CO70*'Evolução das Receitas'!$S$221</f>
        <v>103531.09909934209</v>
      </c>
      <c r="Z83" s="147">
        <f>'Médias por UF'!CP70*'Evolução das Receitas'!$S$221</f>
        <v>110604.6393155296</v>
      </c>
      <c r="AA83" s="147">
        <f>'Médias por UF'!CQ70*'Evolução das Receitas'!$S$221</f>
        <v>117026.13594999629</v>
      </c>
      <c r="AB83" s="147">
        <f>'Médias por UF'!CR70*'Evolução das Receitas'!$S$221</f>
        <v>121100.47</v>
      </c>
      <c r="AC83" s="147">
        <f t="shared" si="29"/>
        <v>121100.47</v>
      </c>
      <c r="AE83" s="213" t="s">
        <v>94</v>
      </c>
      <c r="AF83" s="147">
        <f>JAN!$AK$12</f>
        <v>16850.904000000002</v>
      </c>
      <c r="AG83" s="147">
        <f>FEV!$AK$12</f>
        <v>45672.832000000002</v>
      </c>
      <c r="AH83" s="147">
        <f>MAR!$AK12</f>
        <v>12975.400000000001</v>
      </c>
      <c r="AI83" s="147">
        <f>ABR!$AL12</f>
        <v>3329.384</v>
      </c>
      <c r="AJ83" s="147">
        <f>MAI!$V12</f>
        <v>4197.9279999999999</v>
      </c>
      <c r="AK83" s="147">
        <f>JUN!$V12</f>
        <v>4214.4160000000002</v>
      </c>
      <c r="AL83" s="147">
        <f>JUL!$V12</f>
        <v>6823.92</v>
      </c>
      <c r="AM83" s="147">
        <f>AGO!$V12</f>
        <v>12088.744000000001</v>
      </c>
      <c r="AN83" s="147">
        <f>SET!$V12</f>
        <v>4302.3680000000004</v>
      </c>
      <c r="AO83" s="147">
        <f>OUT!$V12</f>
        <v>2081.4639999999999</v>
      </c>
      <c r="AP83" s="147">
        <f>NOV!$V12</f>
        <v>3269.9920000000002</v>
      </c>
      <c r="AQ83" s="147">
        <f>DEZ!$V12</f>
        <v>4201.9679999999998</v>
      </c>
      <c r="AR83" s="177">
        <f t="shared" si="30"/>
        <v>120009.32</v>
      </c>
      <c r="AT83" s="253"/>
    </row>
    <row r="84" spans="1:46">
      <c r="A84" s="212" t="s">
        <v>95</v>
      </c>
      <c r="B84" s="147">
        <f>$D$222*'Médias por UF'!CG71</f>
        <v>14527.743010916358</v>
      </c>
      <c r="C84" s="147">
        <f>$D$222*'Médias por UF'!CH71</f>
        <v>54454.732557229923</v>
      </c>
      <c r="D84" s="147">
        <f>$D$222*'Médias por UF'!CI71</f>
        <v>70633.831811709213</v>
      </c>
      <c r="E84" s="147">
        <f>$D$222*'Médias por UF'!CJ71</f>
        <v>84388.734296218798</v>
      </c>
      <c r="F84" s="147">
        <f>$D$222*'Médias por UF'!CK71</f>
        <v>103344.14655805251</v>
      </c>
      <c r="G84" s="147">
        <f>$D$222*'Médias por UF'!CL71</f>
        <v>127274.44665797864</v>
      </c>
      <c r="H84" s="147">
        <f>$D$222*'Médias por UF'!CM71</f>
        <v>135974.39210415629</v>
      </c>
      <c r="I84" s="147">
        <f>$D$222*'Médias por UF'!CN71</f>
        <v>140878.95954228222</v>
      </c>
      <c r="J84" s="147">
        <f>$D$222*'Médias por UF'!CO71</f>
        <v>145563.59015459922</v>
      </c>
      <c r="K84" s="147">
        <f>$D$222*'Médias por UF'!CP71</f>
        <v>150289.79525129055</v>
      </c>
      <c r="L84" s="147">
        <f>$D$222*'Médias por UF'!CQ71</f>
        <v>154715.30635154727</v>
      </c>
      <c r="M84" s="147">
        <f>$D$222*'Médias por UF'!CR71</f>
        <v>158947.227516816</v>
      </c>
      <c r="N84" s="147">
        <f t="shared" si="28"/>
        <v>158947.227516816</v>
      </c>
      <c r="P84" s="213" t="s">
        <v>95</v>
      </c>
      <c r="Q84" s="147">
        <f>'Médias por UF'!CG71*'Evolução das Receitas'!$S$222</f>
        <v>10777.450871516736</v>
      </c>
      <c r="R84" s="147">
        <f>'Médias por UF'!CH71*'Evolução das Receitas'!$S$222</f>
        <v>40397.410968526616</v>
      </c>
      <c r="S84" s="147">
        <f>'Médias por UF'!CI71*'Evolução das Receitas'!$S$222</f>
        <v>52399.92555248642</v>
      </c>
      <c r="T84" s="147">
        <f>'Médias por UF'!CJ71*'Evolução das Receitas'!$S$222</f>
        <v>62604.042300553461</v>
      </c>
      <c r="U84" s="147">
        <f>'Médias por UF'!CK71*'Evolução das Receitas'!$S$222</f>
        <v>76666.173234983638</v>
      </c>
      <c r="V84" s="147">
        <f>'Médias por UF'!CL71*'Evolução das Receitas'!$S$222</f>
        <v>94418.940025655145</v>
      </c>
      <c r="W84" s="147">
        <f>'Médias por UF'!CM71*'Evolução das Receitas'!$S$222</f>
        <v>100873.02133481654</v>
      </c>
      <c r="X84" s="147">
        <f>'Médias por UF'!CN71*'Evolução das Receitas'!$S$222</f>
        <v>104511.48978588455</v>
      </c>
      <c r="Y84" s="147">
        <f>'Médias por UF'!CO71*'Evolução das Receitas'!$S$222</f>
        <v>107986.79742572317</v>
      </c>
      <c r="Z84" s="147">
        <f>'Médias por UF'!CP71*'Evolução das Receitas'!$S$222</f>
        <v>111492.94722476824</v>
      </c>
      <c r="AA84" s="147">
        <f>'Médias por UF'!CQ71*'Evolução das Receitas'!$S$222</f>
        <v>114776.02625697096</v>
      </c>
      <c r="AB84" s="147">
        <f>'Médias por UF'!CR71*'Evolução das Receitas'!$S$222</f>
        <v>117915.48999999999</v>
      </c>
      <c r="AC84" s="147">
        <f t="shared" si="29"/>
        <v>117915.48999999999</v>
      </c>
      <c r="AE84" s="213" t="s">
        <v>95</v>
      </c>
      <c r="AF84" s="147">
        <f>JAN!$AK$13</f>
        <v>13953.848000000002</v>
      </c>
      <c r="AG84" s="147">
        <f>FEV!$AK$13</f>
        <v>30779.976000000002</v>
      </c>
      <c r="AH84" s="147">
        <f>MAR!$AK13</f>
        <v>13795.688000000002</v>
      </c>
      <c r="AI84" s="147">
        <f>ABR!$AL13</f>
        <v>6578.8160000000007</v>
      </c>
      <c r="AJ84" s="147">
        <f>MAI!$V13</f>
        <v>8007.344000000001</v>
      </c>
      <c r="AK84" s="147">
        <f>JUN!$V13</f>
        <v>8813.6720000000005</v>
      </c>
      <c r="AL84" s="147">
        <f>JUL!$V13</f>
        <v>11978.008000000002</v>
      </c>
      <c r="AM84" s="147">
        <f>AGO!$V13</f>
        <v>18768.952000000001</v>
      </c>
      <c r="AN84" s="147">
        <f>SET!$V13</f>
        <v>7455.0640000000003</v>
      </c>
      <c r="AO84" s="147">
        <f>OUT!$V13</f>
        <v>3356.056</v>
      </c>
      <c r="AP84" s="147">
        <f>NOV!$V13</f>
        <v>5504.5040000000008</v>
      </c>
      <c r="AQ84" s="147">
        <f>DEZ!$V13</f>
        <v>3931.2960000000003</v>
      </c>
      <c r="AR84" s="177">
        <f t="shared" si="30"/>
        <v>132923.22400000002</v>
      </c>
      <c r="AT84" s="253"/>
    </row>
    <row r="85" spans="1:46">
      <c r="A85" s="212" t="s">
        <v>96</v>
      </c>
      <c r="B85" s="147">
        <f>$D$223*'Médias por UF'!CG72</f>
        <v>9540.243762739914</v>
      </c>
      <c r="C85" s="147">
        <f>$D$223*'Médias por UF'!CH72</f>
        <v>23470.375353139112</v>
      </c>
      <c r="D85" s="147">
        <f>$D$223*'Médias por UF'!CI72</f>
        <v>31724.304747666069</v>
      </c>
      <c r="E85" s="147">
        <f>$D$223*'Médias por UF'!CJ72</f>
        <v>37891.72728779327</v>
      </c>
      <c r="F85" s="147">
        <f>$D$223*'Médias por UF'!CK72</f>
        <v>45427.270336817171</v>
      </c>
      <c r="G85" s="147">
        <f>$D$223*'Médias por UF'!CL72</f>
        <v>52425.252507167053</v>
      </c>
      <c r="H85" s="147">
        <f>$D$223*'Médias por UF'!CM72</f>
        <v>55179.853758880738</v>
      </c>
      <c r="I85" s="147">
        <f>$D$223*'Médias por UF'!CN72</f>
        <v>58288.763548095303</v>
      </c>
      <c r="J85" s="147">
        <f>$D$223*'Médias por UF'!CO72</f>
        <v>61464.860886549206</v>
      </c>
      <c r="K85" s="147">
        <f>$D$223*'Médias por UF'!CP72</f>
        <v>63838.576878699831</v>
      </c>
      <c r="L85" s="147">
        <f>$D$223*'Médias por UF'!CQ72</f>
        <v>65329.359876122588</v>
      </c>
      <c r="M85" s="147">
        <f>$D$223*'Médias por UF'!CR72</f>
        <v>66908.186839332018</v>
      </c>
      <c r="N85" s="147">
        <f t="shared" si="28"/>
        <v>66908.186839332018</v>
      </c>
      <c r="P85" s="213" t="s">
        <v>96</v>
      </c>
      <c r="Q85" s="147">
        <f>'Médias por UF'!CG72*'Evolução das Receitas'!$S$223</f>
        <v>4237.0224793419093</v>
      </c>
      <c r="R85" s="147">
        <f>'Médias por UF'!CH72*'Evolução das Receitas'!$S$223</f>
        <v>10423.686275001712</v>
      </c>
      <c r="S85" s="147">
        <f>'Médias por UF'!CI72*'Evolução das Receitas'!$S$223</f>
        <v>14089.429547107355</v>
      </c>
      <c r="T85" s="147">
        <f>'Médias por UF'!CJ72*'Evolução das Receitas'!$S$223</f>
        <v>16828.511334951956</v>
      </c>
      <c r="U85" s="147">
        <f>'Médias por UF'!CK72*'Evolução das Receitas'!$S$223</f>
        <v>20175.204154003499</v>
      </c>
      <c r="V85" s="147">
        <f>'Médias por UF'!CL72*'Evolução das Receitas'!$S$223</f>
        <v>23283.154904864692</v>
      </c>
      <c r="W85" s="147">
        <f>'Médias por UF'!CM72*'Evolução das Receitas'!$S$223</f>
        <v>24506.531132494987</v>
      </c>
      <c r="X85" s="147">
        <f>'Médias por UF'!CN72*'Evolução das Receitas'!$S$223</f>
        <v>25887.26321762204</v>
      </c>
      <c r="Y85" s="147">
        <f>'Médias por UF'!CO72*'Evolução das Receitas'!$S$223</f>
        <v>27297.834703454009</v>
      </c>
      <c r="Z85" s="147">
        <f>'Médias por UF'!CP72*'Evolução das Receitas'!$S$223</f>
        <v>28352.051793545121</v>
      </c>
      <c r="AA85" s="147">
        <f>'Médias por UF'!CQ72*'Evolução das Receitas'!$S$223</f>
        <v>29014.139810265449</v>
      </c>
      <c r="AB85" s="147">
        <f>'Médias por UF'!CR72*'Evolução das Receitas'!$S$223</f>
        <v>29715.33</v>
      </c>
      <c r="AC85" s="147">
        <f t="shared" si="29"/>
        <v>29715.33</v>
      </c>
      <c r="AE85" s="213" t="s">
        <v>96</v>
      </c>
      <c r="AF85" s="147">
        <f>JAN!$AK$14</f>
        <v>6171.2400000000007</v>
      </c>
      <c r="AG85" s="147">
        <f>FEV!$AK$14</f>
        <v>6721.688000000001</v>
      </c>
      <c r="AH85" s="147">
        <f>MAR!$AK14</f>
        <v>1851.36</v>
      </c>
      <c r="AI85" s="147">
        <f>ABR!$AL14</f>
        <v>319.98400000000004</v>
      </c>
      <c r="AJ85" s="147">
        <f>MAI!$V14</f>
        <v>685.6880000000001</v>
      </c>
      <c r="AK85" s="147">
        <f>JUN!$V14</f>
        <v>2110.4</v>
      </c>
      <c r="AL85" s="147">
        <f>JUL!$V14</f>
        <v>3039.8960000000002</v>
      </c>
      <c r="AM85" s="147">
        <f>AGO!$V14</f>
        <v>4578.9360000000006</v>
      </c>
      <c r="AN85" s="147">
        <f>SET!$V14</f>
        <v>2144.7040000000002</v>
      </c>
      <c r="AO85" s="147">
        <f>OUT!$V14</f>
        <v>982.84799999999996</v>
      </c>
      <c r="AP85" s="147">
        <f>NOV!$V14</f>
        <v>1226.6479999999999</v>
      </c>
      <c r="AQ85" s="147">
        <f>DEZ!$V14</f>
        <v>1679.9360000000001</v>
      </c>
      <c r="AR85" s="177">
        <f t="shared" si="30"/>
        <v>31513.328000000009</v>
      </c>
      <c r="AT85" s="253"/>
    </row>
    <row r="86" spans="1:46">
      <c r="A86" s="212" t="s">
        <v>97</v>
      </c>
      <c r="B86" s="147">
        <f>$D$224*'Médias por UF'!CG73</f>
        <v>16437.837819056971</v>
      </c>
      <c r="C86" s="147">
        <f>$D$224*'Médias por UF'!CH73</f>
        <v>44562.302805650572</v>
      </c>
      <c r="D86" s="147">
        <f>$D$224*'Médias por UF'!CI73</f>
        <v>64199.738335696267</v>
      </c>
      <c r="E86" s="147">
        <f>$D$224*'Médias por UF'!CJ73</f>
        <v>78902.027478802731</v>
      </c>
      <c r="F86" s="147">
        <f>$D$224*'Médias por UF'!CK73</f>
        <v>96298.647693613078</v>
      </c>
      <c r="G86" s="147">
        <f>$D$224*'Médias por UF'!CL73</f>
        <v>114621.7877810236</v>
      </c>
      <c r="H86" s="147">
        <f>$D$224*'Médias por UF'!CM73</f>
        <v>121345.97472742379</v>
      </c>
      <c r="I86" s="147">
        <f>$D$224*'Médias por UF'!CN73</f>
        <v>127139.02272841988</v>
      </c>
      <c r="J86" s="147">
        <f>$D$224*'Médias por UF'!CO73</f>
        <v>134198.03091298457</v>
      </c>
      <c r="K86" s="147">
        <f>$D$224*'Médias por UF'!CP73</f>
        <v>140361.59127699837</v>
      </c>
      <c r="L86" s="147">
        <f>$D$224*'Médias por UF'!CQ73</f>
        <v>143768.88121261136</v>
      </c>
      <c r="M86" s="147">
        <f>$D$224*'Médias por UF'!CR73</f>
        <v>147034.86572422803</v>
      </c>
      <c r="N86" s="147">
        <f t="shared" si="28"/>
        <v>147034.86572422803</v>
      </c>
      <c r="P86" s="213" t="s">
        <v>97</v>
      </c>
      <c r="Q86" s="147">
        <f>'Médias por UF'!CG73*'Evolução das Receitas'!$S$224</f>
        <v>10225.034238859356</v>
      </c>
      <c r="R86" s="147">
        <f>'Médias por UF'!CH73*'Evolução das Receitas'!$S$224</f>
        <v>27719.647618249579</v>
      </c>
      <c r="S86" s="147">
        <f>'Médias por UF'!CI73*'Evolução das Receitas'!$S$224</f>
        <v>39934.967714991471</v>
      </c>
      <c r="T86" s="147">
        <f>'Médias por UF'!CJ73*'Evolução das Receitas'!$S$224</f>
        <v>49080.416863029001</v>
      </c>
      <c r="U86" s="147">
        <f>'Médias por UF'!CK73*'Evolução das Receitas'!$S$224</f>
        <v>59901.854529888376</v>
      </c>
      <c r="V86" s="147">
        <f>'Médias por UF'!CL73*'Evolução das Receitas'!$S$224</f>
        <v>71299.626963193557</v>
      </c>
      <c r="W86" s="147">
        <f>'Médias por UF'!CM73*'Evolução das Receitas'!$S$224</f>
        <v>75482.357229319125</v>
      </c>
      <c r="X86" s="147">
        <f>'Médias por UF'!CN73*'Evolução das Receitas'!$S$224</f>
        <v>79085.879469261694</v>
      </c>
      <c r="Y86" s="147">
        <f>'Médias por UF'!CO73*'Evolução das Receitas'!$S$224</f>
        <v>83476.882785761336</v>
      </c>
      <c r="Z86" s="147">
        <f>'Médias por UF'!CP73*'Evolução das Receitas'!$S$224</f>
        <v>87310.879473710957</v>
      </c>
      <c r="AA86" s="147">
        <f>'Médias por UF'!CQ73*'Evolução das Receitas'!$S$224</f>
        <v>89430.358728639068</v>
      </c>
      <c r="AB86" s="147">
        <f>'Médias por UF'!CR73*'Evolução das Receitas'!$S$224</f>
        <v>91461.94</v>
      </c>
      <c r="AC86" s="147">
        <f t="shared" si="29"/>
        <v>91461.94</v>
      </c>
      <c r="AE86" s="213" t="s">
        <v>97</v>
      </c>
      <c r="AF86" s="147">
        <f>JAN!$AK$15</f>
        <v>13970.344000000001</v>
      </c>
      <c r="AG86" s="147">
        <f>FEV!$AK$15</f>
        <v>26962.615999999998</v>
      </c>
      <c r="AH86" s="147">
        <f>MAR!$AK15</f>
        <v>8617.728000000001</v>
      </c>
      <c r="AI86" s="147">
        <f>ABR!$AL15</f>
        <v>6268.32</v>
      </c>
      <c r="AJ86" s="147">
        <f>MAI!$V15</f>
        <v>4585.2240000000002</v>
      </c>
      <c r="AK86" s="147">
        <f>JUN!$V15</f>
        <v>5546.4480000000003</v>
      </c>
      <c r="AL86" s="147">
        <f>JUL!$V15</f>
        <v>5109.4160000000011</v>
      </c>
      <c r="AM86" s="147">
        <f>AGO!$V15</f>
        <v>17846.264000000003</v>
      </c>
      <c r="AN86" s="147">
        <f>SET!$V15</f>
        <v>3512.3360000000002</v>
      </c>
      <c r="AO86" s="147">
        <f>OUT!$V15</f>
        <v>1691.3680000000002</v>
      </c>
      <c r="AP86" s="147">
        <f>NOV!$V15</f>
        <v>2201.8320000000003</v>
      </c>
      <c r="AQ86" s="147">
        <f>DEZ!$V15</f>
        <v>2565.5840000000003</v>
      </c>
      <c r="AR86" s="177">
        <f t="shared" si="30"/>
        <v>98877.48000000001</v>
      </c>
      <c r="AT86" s="253"/>
    </row>
    <row r="87" spans="1:46">
      <c r="A87" s="212" t="s">
        <v>98</v>
      </c>
      <c r="B87" s="147">
        <f>$D$225*'Médias por UF'!CG74</f>
        <v>22283.919166794814</v>
      </c>
      <c r="C87" s="147">
        <f>$D$225*'Médias por UF'!CH74</f>
        <v>54932.883177275748</v>
      </c>
      <c r="D87" s="147">
        <f>$D$225*'Médias por UF'!CI74</f>
        <v>71278.153207382958</v>
      </c>
      <c r="E87" s="147">
        <f>$D$225*'Médias por UF'!CJ74</f>
        <v>86785.023349307914</v>
      </c>
      <c r="F87" s="147">
        <f>$D$225*'Médias por UF'!CK74</f>
        <v>108131.85871230083</v>
      </c>
      <c r="G87" s="147">
        <f>$D$225*'Médias por UF'!CL74</f>
        <v>126320.39072460662</v>
      </c>
      <c r="H87" s="147">
        <f>$D$225*'Médias por UF'!CM74</f>
        <v>133099.32110273984</v>
      </c>
      <c r="I87" s="147">
        <f>$D$225*'Médias por UF'!CN74</f>
        <v>139600.29228266212</v>
      </c>
      <c r="J87" s="147">
        <f>$D$225*'Médias por UF'!CO74</f>
        <v>143612.40190461147</v>
      </c>
      <c r="K87" s="147">
        <f>$D$225*'Médias por UF'!CP74</f>
        <v>148311.1862133003</v>
      </c>
      <c r="L87" s="147">
        <f>$D$225*'Médias por UF'!CQ74</f>
        <v>152692.72042218994</v>
      </c>
      <c r="M87" s="147">
        <f>$D$225*'Médias por UF'!CR74</f>
        <v>156348.67573375202</v>
      </c>
      <c r="N87" s="147">
        <f t="shared" si="28"/>
        <v>156348.67573375202</v>
      </c>
      <c r="P87" s="213" t="s">
        <v>98</v>
      </c>
      <c r="Q87" s="147">
        <f>'Médias por UF'!CG74*'Evolução das Receitas'!$S$225</f>
        <v>13834.256394497799</v>
      </c>
      <c r="R87" s="147">
        <f>'Médias por UF'!CH74*'Evolução das Receitas'!$S$225</f>
        <v>34103.318391848887</v>
      </c>
      <c r="S87" s="147">
        <f>'Médias por UF'!CI74*'Evolução das Receitas'!$S$225</f>
        <v>44250.754968927817</v>
      </c>
      <c r="T87" s="147">
        <f>'Médias por UF'!CJ74*'Evolução das Receitas'!$S$225</f>
        <v>53877.697869494281</v>
      </c>
      <c r="U87" s="147">
        <f>'Médias por UF'!CK74*'Evolução das Receitas'!$S$225</f>
        <v>67130.19584403497</v>
      </c>
      <c r="V87" s="147">
        <f>'Médias por UF'!CL74*'Evolução das Receitas'!$S$225</f>
        <v>78421.962494881314</v>
      </c>
      <c r="W87" s="147">
        <f>'Médias por UF'!CM74*'Evolução das Receitas'!$S$225</f>
        <v>82630.443966636434</v>
      </c>
      <c r="X87" s="147">
        <f>'Médias por UF'!CN74*'Evolução das Receitas'!$S$225</f>
        <v>86666.363386515644</v>
      </c>
      <c r="Y87" s="147">
        <f>'Médias por UF'!CO74*'Evolução das Receitas'!$S$225</f>
        <v>89157.152945454</v>
      </c>
      <c r="Z87" s="147">
        <f>'Médias por UF'!CP74*'Evolução das Receitas'!$S$225</f>
        <v>92074.242456607259</v>
      </c>
      <c r="AA87" s="147">
        <f>'Médias por UF'!CQ74*'Evolução das Receitas'!$S$225</f>
        <v>94794.377420001169</v>
      </c>
      <c r="AB87" s="147">
        <f>'Médias por UF'!CR74*'Evolução das Receitas'!$S$225</f>
        <v>97064.06</v>
      </c>
      <c r="AC87" s="147">
        <f t="shared" si="29"/>
        <v>97064.06</v>
      </c>
      <c r="AE87" s="213" t="s">
        <v>98</v>
      </c>
      <c r="AF87" s="147">
        <f>JAN!$AK$16</f>
        <v>21671.696</v>
      </c>
      <c r="AG87" s="147">
        <f>FEV!$AK$16</f>
        <v>17017.544000000002</v>
      </c>
      <c r="AH87" s="147">
        <f>MAR!$AK16</f>
        <v>11386.567999999999</v>
      </c>
      <c r="AI87" s="147">
        <f>ABR!$AL16</f>
        <v>5594.3919999999998</v>
      </c>
      <c r="AJ87" s="147">
        <f>MAI!$V16</f>
        <v>7232.4480000000003</v>
      </c>
      <c r="AK87" s="147">
        <f>JUN!$V16</f>
        <v>5240.4480000000012</v>
      </c>
      <c r="AL87" s="147">
        <f>JUL!$V16</f>
        <v>12108.832000000002</v>
      </c>
      <c r="AM87" s="147">
        <f>AGO!$V16</f>
        <v>10908.256000000001</v>
      </c>
      <c r="AN87" s="147">
        <f>SET!$V16</f>
        <v>6697</v>
      </c>
      <c r="AO87" s="147">
        <f>OUT!$V16</f>
        <v>3100.8720000000003</v>
      </c>
      <c r="AP87" s="147">
        <f>NOV!$V16</f>
        <v>3771.3199999999997</v>
      </c>
      <c r="AQ87" s="147">
        <f>DEZ!$V16</f>
        <v>2948.4639999999999</v>
      </c>
      <c r="AR87" s="177">
        <f t="shared" si="30"/>
        <v>107677.84000000003</v>
      </c>
      <c r="AT87" s="253"/>
    </row>
    <row r="88" spans="1:46">
      <c r="A88" s="212" t="s">
        <v>99</v>
      </c>
      <c r="B88" s="147">
        <f>$D$226*'Médias por UF'!CG75</f>
        <v>130115.36688848886</v>
      </c>
      <c r="C88" s="147">
        <f>$D$226*'Médias por UF'!CH75</f>
        <v>231676.63656163632</v>
      </c>
      <c r="D88" s="147">
        <f>$D$226*'Médias por UF'!CI75</f>
        <v>290270.42473733419</v>
      </c>
      <c r="E88" s="147">
        <f>$D$226*'Médias por UF'!CJ75</f>
        <v>323658.92248948949</v>
      </c>
      <c r="F88" s="147">
        <f>$D$226*'Médias por UF'!CK75</f>
        <v>394312.01257931383</v>
      </c>
      <c r="G88" s="147">
        <f>$D$226*'Médias por UF'!CL75</f>
        <v>447794.87251137837</v>
      </c>
      <c r="H88" s="147">
        <f>$D$226*'Médias por UF'!CM75</f>
        <v>465116.91886306636</v>
      </c>
      <c r="I88" s="147">
        <f>$D$226*'Médias por UF'!CN75</f>
        <v>478633.59651248757</v>
      </c>
      <c r="J88" s="147">
        <f>$D$226*'Médias por UF'!CO75</f>
        <v>490915.0267983813</v>
      </c>
      <c r="K88" s="147">
        <f>$D$226*'Médias por UF'!CP75</f>
        <v>510717.72036321048</v>
      </c>
      <c r="L88" s="147">
        <f>$D$226*'Médias por UF'!CQ75</f>
        <v>524131.03156392358</v>
      </c>
      <c r="M88" s="147">
        <f>$D$226*'Médias por UF'!CR75</f>
        <v>537914.5038138961</v>
      </c>
      <c r="N88" s="147">
        <f t="shared" si="28"/>
        <v>537914.5038138961</v>
      </c>
      <c r="P88" s="213" t="s">
        <v>99</v>
      </c>
      <c r="Q88" s="147">
        <f>'Médias por UF'!CG75*'Evolução das Receitas'!$S$226</f>
        <v>93169.575195144236</v>
      </c>
      <c r="R88" s="147">
        <f>'Médias por UF'!CH75*'Evolução das Receitas'!$S$226</f>
        <v>165892.88665332194</v>
      </c>
      <c r="S88" s="147">
        <f>'Médias por UF'!CI75*'Evolução das Receitas'!$S$226</f>
        <v>207849.17885732141</v>
      </c>
      <c r="T88" s="147">
        <f>'Médias por UF'!CJ75*'Evolução das Receitas'!$S$226</f>
        <v>231757.1324400703</v>
      </c>
      <c r="U88" s="147">
        <f>'Médias por UF'!CK75*'Evolução das Receitas'!$S$226</f>
        <v>282348.53103739891</v>
      </c>
      <c r="V88" s="147">
        <f>'Médias por UF'!CL75*'Evolução das Receitas'!$S$226</f>
        <v>320645.12473922007</v>
      </c>
      <c r="W88" s="147">
        <f>'Médias por UF'!CM75*'Evolução das Receitas'!$S$226</f>
        <v>333048.63816496707</v>
      </c>
      <c r="X88" s="147">
        <f>'Médias por UF'!CN75*'Evolução das Receitas'!$S$226</f>
        <v>342727.30368128198</v>
      </c>
      <c r="Y88" s="147">
        <f>'Médias por UF'!CO75*'Evolução das Receitas'!$S$226</f>
        <v>351521.46589200792</v>
      </c>
      <c r="Z88" s="147">
        <f>'Médias por UF'!CP75*'Evolução das Receitas'!$S$226</f>
        <v>365701.25565301254</v>
      </c>
      <c r="AA88" s="147">
        <f>'Médias por UF'!CQ75*'Evolução das Receitas'!$S$226</f>
        <v>375305.90525294596</v>
      </c>
      <c r="AB88" s="147">
        <f>'Médias por UF'!CR75*'Evolução das Receitas'!$S$226</f>
        <v>385175.61</v>
      </c>
      <c r="AC88" s="147">
        <f t="shared" si="29"/>
        <v>385175.61</v>
      </c>
      <c r="AE88" s="213" t="s">
        <v>99</v>
      </c>
      <c r="AF88" s="147">
        <f>JAN!$AK$17</f>
        <v>84454.495999999999</v>
      </c>
      <c r="AG88" s="147">
        <f>FEV!$AK$17</f>
        <v>94701.664000000004</v>
      </c>
      <c r="AH88" s="147">
        <f>MAR!$AK17</f>
        <v>46743.056000000004</v>
      </c>
      <c r="AI88" s="147">
        <f>ABR!$AL17</f>
        <v>14156.248000000001</v>
      </c>
      <c r="AJ88" s="147">
        <f>MAI!$V17</f>
        <v>16198.752</v>
      </c>
      <c r="AK88" s="147">
        <f>JUN!$V17</f>
        <v>25764.096000000005</v>
      </c>
      <c r="AL88" s="147">
        <f>JUL!$V17</f>
        <v>40958.632000000005</v>
      </c>
      <c r="AM88" s="147">
        <f>AGO!$V17</f>
        <v>42586.976000000002</v>
      </c>
      <c r="AN88" s="147">
        <f>SET!$V17</f>
        <v>12176.816000000001</v>
      </c>
      <c r="AO88" s="147">
        <f>OUT!$V17</f>
        <v>5351.4480000000003</v>
      </c>
      <c r="AP88" s="147">
        <f>NOV!$V17</f>
        <v>9232.4399999999987</v>
      </c>
      <c r="AQ88" s="147">
        <f>DEZ!$V17</f>
        <v>14337.936</v>
      </c>
      <c r="AR88" s="177">
        <f t="shared" si="30"/>
        <v>406662.56</v>
      </c>
      <c r="AT88" s="253"/>
    </row>
    <row r="89" spans="1:46">
      <c r="A89" s="212" t="s">
        <v>100</v>
      </c>
      <c r="B89" s="147">
        <f>$D$227*'Médias por UF'!CG76</f>
        <v>13769.605823168817</v>
      </c>
      <c r="C89" s="147">
        <f>$D$227*'Médias por UF'!CH76</f>
        <v>30547.869621072525</v>
      </c>
      <c r="D89" s="147">
        <f>$D$227*'Médias por UF'!CI76</f>
        <v>45411.522170485929</v>
      </c>
      <c r="E89" s="147">
        <f>$D$227*'Médias por UF'!CJ76</f>
        <v>55989.585655247494</v>
      </c>
      <c r="F89" s="147">
        <f>$D$227*'Médias por UF'!CK76</f>
        <v>71655.387840597235</v>
      </c>
      <c r="G89" s="147">
        <f>$D$227*'Médias por UF'!CL76</f>
        <v>84784.491982384628</v>
      </c>
      <c r="H89" s="147">
        <f>$D$227*'Médias por UF'!CM76</f>
        <v>92408.782492036538</v>
      </c>
      <c r="I89" s="147">
        <f>$D$227*'Médias por UF'!CN76</f>
        <v>97993.249160928317</v>
      </c>
      <c r="J89" s="147">
        <f>$D$227*'Médias por UF'!CO76</f>
        <v>103228.91409964873</v>
      </c>
      <c r="K89" s="147">
        <f>$D$227*'Médias por UF'!CP76</f>
        <v>107917.24387419657</v>
      </c>
      <c r="L89" s="147">
        <f>$D$227*'Médias por UF'!CQ76</f>
        <v>111436.04779147942</v>
      </c>
      <c r="M89" s="147">
        <f>$D$227*'Médias por UF'!CR76</f>
        <v>113889.47776808402</v>
      </c>
      <c r="N89" s="147">
        <f t="shared" si="28"/>
        <v>113889.47776808402</v>
      </c>
      <c r="P89" s="213" t="s">
        <v>100</v>
      </c>
      <c r="Q89" s="147">
        <f>'Médias por UF'!CG76*'Evolução das Receitas'!$S$227</f>
        <v>4588.6391118137053</v>
      </c>
      <c r="R89" s="147">
        <f>'Médias por UF'!CH76*'Evolução das Receitas'!$S$227</f>
        <v>10179.895570429691</v>
      </c>
      <c r="S89" s="147">
        <f>'Médias por UF'!CI76*'Evolução das Receitas'!$S$227</f>
        <v>15133.11923627258</v>
      </c>
      <c r="T89" s="147">
        <f>'Médias por UF'!CJ76*'Evolução das Receitas'!$S$227</f>
        <v>18658.195876575053</v>
      </c>
      <c r="U89" s="147">
        <f>'Médias por UF'!CK76*'Evolução das Receitas'!$S$227</f>
        <v>23878.731130001033</v>
      </c>
      <c r="V89" s="147">
        <f>'Médias por UF'!CL76*'Evolução das Receitas'!$S$227</f>
        <v>28253.926872112461</v>
      </c>
      <c r="W89" s="147">
        <f>'Médias por UF'!CM76*'Evolução das Receitas'!$S$227</f>
        <v>30794.676264775004</v>
      </c>
      <c r="X89" s="147">
        <f>'Médias por UF'!CN76*'Evolução das Receitas'!$S$227</f>
        <v>32655.666514211185</v>
      </c>
      <c r="Y89" s="147">
        <f>'Médias por UF'!CO76*'Evolução das Receitas'!$S$227</f>
        <v>34400.420664961115</v>
      </c>
      <c r="Z89" s="147">
        <f>'Médias por UF'!CP76*'Evolução das Receitas'!$S$227</f>
        <v>35962.778632853922</v>
      </c>
      <c r="AA89" s="147">
        <f>'Médias por UF'!CQ76*'Evolução das Receitas'!$S$227</f>
        <v>37135.399075951798</v>
      </c>
      <c r="AB89" s="147">
        <f>'Médias por UF'!CR76*'Evolução das Receitas'!$S$227</f>
        <v>37952.99</v>
      </c>
      <c r="AC89" s="147">
        <f t="shared" si="29"/>
        <v>37952.99</v>
      </c>
      <c r="AE89" s="213" t="s">
        <v>100</v>
      </c>
      <c r="AF89" s="147">
        <f>JAN!$AK$18</f>
        <v>7336.9039999999995</v>
      </c>
      <c r="AG89" s="147">
        <f>FEV!$AK$18</f>
        <v>9211.1200000000008</v>
      </c>
      <c r="AH89" s="147">
        <f>MAR!$AK18</f>
        <v>7409.2479999999996</v>
      </c>
      <c r="AI89" s="147">
        <f>ABR!$AL18</f>
        <v>1417.096</v>
      </c>
      <c r="AJ89" s="147">
        <f>MAI!$V18</f>
        <v>1531.3760000000002</v>
      </c>
      <c r="AK89" s="147">
        <f>JUN!$V18</f>
        <v>4418.88</v>
      </c>
      <c r="AL89" s="147">
        <f>JUL!$V18</f>
        <v>6186.4560000000001</v>
      </c>
      <c r="AM89" s="147">
        <f>AGO!$V18</f>
        <v>9034.8080000000009</v>
      </c>
      <c r="AN89" s="147">
        <f>SET!$V18</f>
        <v>2363.7759999999998</v>
      </c>
      <c r="AO89" s="147">
        <f>OUT!$V18</f>
        <v>1086.4480000000001</v>
      </c>
      <c r="AP89" s="147">
        <f>NOV!$V18</f>
        <v>1657.8480000000004</v>
      </c>
      <c r="AQ89" s="147">
        <f>DEZ!$V18</f>
        <v>463.608</v>
      </c>
      <c r="AR89" s="177">
        <f t="shared" si="30"/>
        <v>52117.567999999999</v>
      </c>
      <c r="AT89" s="253"/>
    </row>
    <row r="90" spans="1:46">
      <c r="A90" s="212" t="s">
        <v>101</v>
      </c>
      <c r="B90" s="147">
        <f>$D$228*'Médias por UF'!CG77</f>
        <v>12742.529836587146</v>
      </c>
      <c r="C90" s="147">
        <f>$D$228*'Médias por UF'!CH77</f>
        <v>40757.896867070478</v>
      </c>
      <c r="D90" s="147">
        <f>$D$228*'Médias por UF'!CI77</f>
        <v>50713.739199485753</v>
      </c>
      <c r="E90" s="147">
        <f>$D$228*'Médias por UF'!CJ77</f>
        <v>60999.948115366809</v>
      </c>
      <c r="F90" s="147">
        <f>$D$228*'Médias por UF'!CK77</f>
        <v>76808.950673924264</v>
      </c>
      <c r="G90" s="147">
        <f>$D$228*'Médias por UF'!CL77</f>
        <v>94050.75127588131</v>
      </c>
      <c r="H90" s="147">
        <f>$D$228*'Médias por UF'!CM77</f>
        <v>101241.63216293395</v>
      </c>
      <c r="I90" s="147">
        <f>$D$228*'Médias por UF'!CN77</f>
        <v>108834.12052230007</v>
      </c>
      <c r="J90" s="147">
        <f>$D$228*'Médias por UF'!CO77</f>
        <v>114434.00474413873</v>
      </c>
      <c r="K90" s="147">
        <f>$D$228*'Médias por UF'!CP77</f>
        <v>122200.38975363759</v>
      </c>
      <c r="L90" s="147">
        <f>$D$228*'Médias por UF'!CQ77</f>
        <v>126679.55085837032</v>
      </c>
      <c r="M90" s="147">
        <f>$D$228*'Médias por UF'!CR77</f>
        <v>129913.88043031201</v>
      </c>
      <c r="N90" s="147">
        <f t="shared" si="28"/>
        <v>129913.88043031201</v>
      </c>
      <c r="P90" s="213" t="s">
        <v>101</v>
      </c>
      <c r="Q90" s="147">
        <f>'Médias por UF'!CG77*'Evolução das Receitas'!$S$228</f>
        <v>3956.8144695710234</v>
      </c>
      <c r="R90" s="147">
        <f>'Médias por UF'!CH77*'Evolução das Receitas'!$S$228</f>
        <v>12656.155264385206</v>
      </c>
      <c r="S90" s="147">
        <f>'Médias por UF'!CI77*'Evolução das Receitas'!$S$228</f>
        <v>15747.646632493261</v>
      </c>
      <c r="T90" s="147">
        <f>'Médias por UF'!CJ77*'Evolução das Receitas'!$S$228</f>
        <v>18941.723538519131</v>
      </c>
      <c r="U90" s="147">
        <f>'Médias por UF'!CK77*'Evolução das Receitas'!$S$228</f>
        <v>23850.740105510293</v>
      </c>
      <c r="V90" s="147">
        <f>'Médias por UF'!CL77*'Evolução das Receitas'!$S$228</f>
        <v>29204.66958248095</v>
      </c>
      <c r="W90" s="147">
        <f>'Médias por UF'!CM77*'Evolução das Receitas'!$S$228</f>
        <v>31437.584231906032</v>
      </c>
      <c r="X90" s="147">
        <f>'Médias por UF'!CN77*'Evolução das Receitas'!$S$228</f>
        <v>33795.206163002535</v>
      </c>
      <c r="Y90" s="147">
        <f>'Médias por UF'!CO77*'Evolução das Receitas'!$S$228</f>
        <v>35534.084015442255</v>
      </c>
      <c r="Z90" s="147">
        <f>'Médias por UF'!CP77*'Evolução das Receitas'!$S$228</f>
        <v>37945.704390354796</v>
      </c>
      <c r="AA90" s="147">
        <f>'Médias por UF'!CQ77*'Evolução das Receitas'!$S$228</f>
        <v>39336.57493945551</v>
      </c>
      <c r="AB90" s="147">
        <f>'Médias por UF'!CR77*'Evolução das Receitas'!$S$228</f>
        <v>40340.9</v>
      </c>
      <c r="AC90" s="147">
        <f t="shared" si="29"/>
        <v>40340.9</v>
      </c>
      <c r="AE90" s="213" t="s">
        <v>101</v>
      </c>
      <c r="AF90" s="147">
        <f>JAN!$AK$19</f>
        <v>6376.9440000000004</v>
      </c>
      <c r="AG90" s="147">
        <f>FEV!$AK$19</f>
        <v>10910.136</v>
      </c>
      <c r="AH90" s="147">
        <f>MAR!$AK19</f>
        <v>6592.1440000000002</v>
      </c>
      <c r="AI90" s="147">
        <f>ABR!$AL19</f>
        <v>2062.1439999999998</v>
      </c>
      <c r="AJ90" s="147">
        <f>MAI!$V19</f>
        <v>2270.4</v>
      </c>
      <c r="AK90" s="147">
        <f>JUN!$V19</f>
        <v>3535.12</v>
      </c>
      <c r="AL90" s="147">
        <f>JUL!$V19</f>
        <v>4223.3919999999998</v>
      </c>
      <c r="AM90" s="147">
        <f>AGO!$V19</f>
        <v>6205.5440000000008</v>
      </c>
      <c r="AN90" s="147">
        <f>SET!$V19</f>
        <v>1295.2080000000001</v>
      </c>
      <c r="AO90" s="147">
        <f>OUT!$V19</f>
        <v>914.24800000000005</v>
      </c>
      <c r="AP90" s="147">
        <f>NOV!$V19</f>
        <v>1447.5599999999995</v>
      </c>
      <c r="AQ90" s="147">
        <f>DEZ!$V19</f>
        <v>3847.4560000000001</v>
      </c>
      <c r="AR90" s="177">
        <f t="shared" si="30"/>
        <v>49680.295999999995</v>
      </c>
      <c r="AT90" s="253"/>
    </row>
    <row r="91" spans="1:46">
      <c r="A91" s="212" t="s">
        <v>102</v>
      </c>
      <c r="B91" s="147">
        <f>$D$229*'Médias por UF'!CG78</f>
        <v>125308.53066922149</v>
      </c>
      <c r="C91" s="147">
        <f>$D$229*'Médias por UF'!CH78</f>
        <v>282158.98857899714</v>
      </c>
      <c r="D91" s="147">
        <f>$D$229*'Médias por UF'!CI78</f>
        <v>359436.08152178692</v>
      </c>
      <c r="E91" s="147">
        <f>$D$229*'Médias por UF'!CJ78</f>
        <v>432557.20514146244</v>
      </c>
      <c r="F91" s="147">
        <f>$D$229*'Médias por UF'!CK78</f>
        <v>537144.54462240718</v>
      </c>
      <c r="G91" s="147">
        <f>$D$229*'Médias por UF'!CL78</f>
        <v>639238.86724919209</v>
      </c>
      <c r="H91" s="147">
        <f>$D$229*'Médias por UF'!CM78</f>
        <v>681802.22491714172</v>
      </c>
      <c r="I91" s="147">
        <f>$D$229*'Médias por UF'!CN78</f>
        <v>711654.00649947836</v>
      </c>
      <c r="J91" s="147">
        <f>$D$229*'Médias por UF'!CO78</f>
        <v>735621.2460396426</v>
      </c>
      <c r="K91" s="147">
        <f>$D$229*'Médias por UF'!CP78</f>
        <v>767080.06530729844</v>
      </c>
      <c r="L91" s="147">
        <f>$D$229*'Médias por UF'!CQ78</f>
        <v>787682.74960433249</v>
      </c>
      <c r="M91" s="147">
        <f>$D$229*'Médias por UF'!CR78</f>
        <v>818327.98567918804</v>
      </c>
      <c r="N91" s="147">
        <f t="shared" si="28"/>
        <v>818327.98567918804</v>
      </c>
      <c r="P91" s="213" t="s">
        <v>102</v>
      </c>
      <c r="Q91" s="147">
        <f>'Médias por UF'!CG78*'Evolução das Receitas'!$S$229</f>
        <v>68580.981136722345</v>
      </c>
      <c r="R91" s="147">
        <f>'Médias por UF'!CH78*'Evolução das Receitas'!$S$229</f>
        <v>154424.76398014155</v>
      </c>
      <c r="S91" s="147">
        <f>'Médias por UF'!CI78*'Evolução das Receitas'!$S$229</f>
        <v>196718.28402308258</v>
      </c>
      <c r="T91" s="147">
        <f>'Médias por UF'!CJ78*'Evolução das Receitas'!$S$229</f>
        <v>236737.25458219257</v>
      </c>
      <c r="U91" s="147">
        <f>'Médias por UF'!CK78*'Evolução das Receitas'!$S$229</f>
        <v>293977.59023832221</v>
      </c>
      <c r="V91" s="147">
        <f>'Médias por UF'!CL78*'Evolução das Receitas'!$S$229</f>
        <v>349853.50528449361</v>
      </c>
      <c r="W91" s="147">
        <f>'Médias por UF'!CM78*'Evolução das Receitas'!$S$229</f>
        <v>373148.30264387396</v>
      </c>
      <c r="X91" s="147">
        <f>'Médias por UF'!CN78*'Evolução das Receitas'!$S$229</f>
        <v>389486.0927261787</v>
      </c>
      <c r="Y91" s="147">
        <f>'Médias por UF'!CO78*'Evolução das Receitas'!$S$229</f>
        <v>402603.29068568716</v>
      </c>
      <c r="Z91" s="147">
        <f>'Médias por UF'!CP78*'Evolução das Receitas'!$S$229</f>
        <v>419820.60764931655</v>
      </c>
      <c r="AA91" s="147">
        <f>'Médias por UF'!CQ78*'Evolução das Receitas'!$S$229</f>
        <v>431096.39466552954</v>
      </c>
      <c r="AB91" s="147">
        <f>'Médias por UF'!CR78*'Evolução das Receitas'!$S$229</f>
        <v>447868.44000000006</v>
      </c>
      <c r="AC91" s="147">
        <f t="shared" si="29"/>
        <v>447868.44000000006</v>
      </c>
      <c r="AE91" s="213" t="s">
        <v>102</v>
      </c>
      <c r="AF91" s="147">
        <f>JAN!$AK$20</f>
        <v>106628.96000000002</v>
      </c>
      <c r="AG91" s="147">
        <f>FEV!$AK$20</f>
        <v>106411.66399999999</v>
      </c>
      <c r="AH91" s="147">
        <f>MAR!$AK20</f>
        <v>78715.504000000015</v>
      </c>
      <c r="AI91" s="147">
        <f>ABR!$AL20</f>
        <v>32472.976000000002</v>
      </c>
      <c r="AJ91" s="147">
        <f>MAI!$V20</f>
        <v>30086.440000000002</v>
      </c>
      <c r="AK91" s="147">
        <f>JUN!$V20</f>
        <v>48530.880000000005</v>
      </c>
      <c r="AL91" s="147">
        <f>JUL!$V20</f>
        <v>56680.959999999999</v>
      </c>
      <c r="AM91" s="147">
        <f>AGO!$V20</f>
        <v>60975.088000000003</v>
      </c>
      <c r="AN91" s="147">
        <f>SET!$V20</f>
        <v>22474.135999999999</v>
      </c>
      <c r="AO91" s="147">
        <f>OUT!$V20</f>
        <v>9027.848</v>
      </c>
      <c r="AP91" s="147">
        <f>NOV!$V20</f>
        <v>15988.839999999997</v>
      </c>
      <c r="AQ91" s="147">
        <f>DEZ!$V20</f>
        <v>13659.264000000003</v>
      </c>
      <c r="AR91" s="177">
        <f t="shared" si="30"/>
        <v>581652.55999999994</v>
      </c>
      <c r="AT91" s="253"/>
    </row>
    <row r="92" spans="1:46">
      <c r="A92" s="212" t="s">
        <v>103</v>
      </c>
      <c r="B92" s="147">
        <f>$D$230*'Médias por UF'!CG79</f>
        <v>27699.194415250699</v>
      </c>
      <c r="C92" s="147">
        <f>$D$230*'Médias por UF'!CH79</f>
        <v>74109.566016617246</v>
      </c>
      <c r="D92" s="147">
        <f>$D$230*'Médias por UF'!CI79</f>
        <v>96823.412573434238</v>
      </c>
      <c r="E92" s="147">
        <f>$D$230*'Médias por UF'!CJ79</f>
        <v>114423.87696146555</v>
      </c>
      <c r="F92" s="147">
        <f>$D$230*'Médias por UF'!CK79</f>
        <v>134890.70122861178</v>
      </c>
      <c r="G92" s="147">
        <f>$D$230*'Médias por UF'!CL79</f>
        <v>156613.10759692805</v>
      </c>
      <c r="H92" s="147">
        <f>$D$230*'Médias por UF'!CM79</f>
        <v>161844.60418980056</v>
      </c>
      <c r="I92" s="147">
        <f>$D$230*'Médias por UF'!CN79</f>
        <v>167282.94145736817</v>
      </c>
      <c r="J92" s="147">
        <f>$D$230*'Médias por UF'!CO79</f>
        <v>172280.08494099585</v>
      </c>
      <c r="K92" s="147">
        <f>$D$230*'Médias por UF'!CP79</f>
        <v>177039.15887540221</v>
      </c>
      <c r="L92" s="147">
        <f>$D$230*'Médias por UF'!CQ79</f>
        <v>181297.03472300948</v>
      </c>
      <c r="M92" s="147">
        <f>$D$230*'Médias por UF'!CR79</f>
        <v>184280.77461481202</v>
      </c>
      <c r="N92" s="147">
        <f t="shared" si="28"/>
        <v>184280.77461481202</v>
      </c>
      <c r="P92" s="213" t="s">
        <v>103</v>
      </c>
      <c r="Q92" s="147">
        <f>'Médias por UF'!CG79*'Evolução das Receitas'!$S$230</f>
        <v>19416.169844913205</v>
      </c>
      <c r="R92" s="147">
        <f>'Médias por UF'!CH79*'Evolução das Receitas'!$S$230</f>
        <v>51948.222729510198</v>
      </c>
      <c r="S92" s="147">
        <f>'Médias por UF'!CI79*'Evolução das Receitas'!$S$230</f>
        <v>67869.837487217374</v>
      </c>
      <c r="T92" s="147">
        <f>'Médias por UF'!CJ79*'Evolução das Receitas'!$S$230</f>
        <v>80207.149568727211</v>
      </c>
      <c r="U92" s="147">
        <f>'Médias por UF'!CK79*'Evolução das Receitas'!$S$230</f>
        <v>94553.680020100466</v>
      </c>
      <c r="V92" s="147">
        <f>'Médias por UF'!CL79*'Evolução das Receitas'!$S$230</f>
        <v>109780.3297617708</v>
      </c>
      <c r="W92" s="147">
        <f>'Médias por UF'!CM79*'Evolução das Receitas'!$S$230</f>
        <v>113447.42653243976</v>
      </c>
      <c r="X92" s="147">
        <f>'Médias por UF'!CN79*'Evolução das Receitas'!$S$230</f>
        <v>117259.51140675208</v>
      </c>
      <c r="Y92" s="147">
        <f>'Médias por UF'!CO79*'Evolução das Receitas'!$S$230</f>
        <v>120762.33481608907</v>
      </c>
      <c r="Z92" s="147">
        <f>'Médias por UF'!CP79*'Evolução das Receitas'!$S$230</f>
        <v>124098.27976920502</v>
      </c>
      <c r="AA92" s="147">
        <f>'Médias por UF'!CQ79*'Evolução das Receitas'!$S$230</f>
        <v>127082.90233245831</v>
      </c>
      <c r="AB92" s="147">
        <f>'Médias por UF'!CR79*'Evolução das Receitas'!$S$230</f>
        <v>129174.40000000001</v>
      </c>
      <c r="AC92" s="147">
        <f t="shared" si="29"/>
        <v>129174.40000000001</v>
      </c>
      <c r="AE92" s="213" t="s">
        <v>103</v>
      </c>
      <c r="AF92" s="147">
        <f>JAN!$AK$21</f>
        <v>22182.168000000001</v>
      </c>
      <c r="AG92" s="147">
        <f>FEV!$AK$21</f>
        <v>28568.576000000001</v>
      </c>
      <c r="AH92" s="147">
        <f>MAR!$AK21</f>
        <v>10928.152000000002</v>
      </c>
      <c r="AI92" s="147">
        <f>ABR!$AL21</f>
        <v>5470.2560000000003</v>
      </c>
      <c r="AJ92" s="147">
        <f>MAI!$V21</f>
        <v>4723.6160000000009</v>
      </c>
      <c r="AK92" s="147">
        <f>JUN!$V21</f>
        <v>5683.5840000000007</v>
      </c>
      <c r="AL92" s="147">
        <f>JUL!$V21</f>
        <v>7561.6320000000014</v>
      </c>
      <c r="AM92" s="147">
        <f>AGO!$V21</f>
        <v>14390.648000000001</v>
      </c>
      <c r="AN92" s="147">
        <f>SET!$V21</f>
        <v>5766.2640000000001</v>
      </c>
      <c r="AO92" s="147">
        <f>OUT!$V21</f>
        <v>1234.232</v>
      </c>
      <c r="AP92" s="147">
        <f>NOV!$V21</f>
        <v>2971.3039999999996</v>
      </c>
      <c r="AQ92" s="147">
        <f>DEZ!$V21</f>
        <v>3954.1360000000004</v>
      </c>
      <c r="AR92" s="177">
        <f t="shared" si="30"/>
        <v>113434.568</v>
      </c>
      <c r="AT92" s="253"/>
    </row>
    <row r="93" spans="1:46">
      <c r="A93" s="212" t="s">
        <v>104</v>
      </c>
      <c r="B93" s="147">
        <f>$D$231*'Médias por UF'!CG80</f>
        <v>10056.848771878076</v>
      </c>
      <c r="C93" s="147">
        <f>$D$231*'Médias por UF'!CH80</f>
        <v>23184.345901746248</v>
      </c>
      <c r="D93" s="147">
        <f>$D$231*'Médias por UF'!CI80</f>
        <v>30022.200563661689</v>
      </c>
      <c r="E93" s="147">
        <f>$D$231*'Médias por UF'!CJ80</f>
        <v>37937.034514968771</v>
      </c>
      <c r="F93" s="147">
        <f>$D$231*'Médias por UF'!CK80</f>
        <v>44865.505730000543</v>
      </c>
      <c r="G93" s="147">
        <f>$D$231*'Médias por UF'!CL80</f>
        <v>54250.482687407821</v>
      </c>
      <c r="H93" s="147">
        <f>$D$231*'Médias por UF'!CM80</f>
        <v>58237.349927389754</v>
      </c>
      <c r="I93" s="147">
        <f>$D$231*'Médias por UF'!CN80</f>
        <v>62398.930990695284</v>
      </c>
      <c r="J93" s="147">
        <f>$D$231*'Médias por UF'!CO80</f>
        <v>65164.261379164825</v>
      </c>
      <c r="K93" s="147">
        <f>$D$231*'Médias por UF'!CP80</f>
        <v>67428.555411085807</v>
      </c>
      <c r="L93" s="147">
        <f>$D$231*'Médias por UF'!CQ80</f>
        <v>68604.16598999167</v>
      </c>
      <c r="M93" s="147">
        <f>$D$231*'Médias por UF'!CR80</f>
        <v>69732.47175264002</v>
      </c>
      <c r="N93" s="147">
        <f t="shared" si="28"/>
        <v>69732.47175264002</v>
      </c>
      <c r="P93" s="213" t="s">
        <v>104</v>
      </c>
      <c r="Q93" s="147">
        <f>'Médias por UF'!CG80*'Evolução das Receitas'!$S$231</f>
        <v>6298.1634954350993</v>
      </c>
      <c r="R93" s="147">
        <f>'Médias por UF'!CH80*'Evolução das Receitas'!$S$231</f>
        <v>14519.33944082269</v>
      </c>
      <c r="S93" s="147">
        <f>'Médias por UF'!CI80*'Evolução das Receitas'!$S$231</f>
        <v>18801.588045295259</v>
      </c>
      <c r="T93" s="147">
        <f>'Médias por UF'!CJ80*'Evolução das Receitas'!$S$231</f>
        <v>23758.301564140736</v>
      </c>
      <c r="U93" s="147">
        <f>'Médias por UF'!CK80*'Evolução das Receitas'!$S$231</f>
        <v>28097.299343217113</v>
      </c>
      <c r="V93" s="147">
        <f>'Médias por UF'!CL80*'Evolução das Receitas'!$S$231</f>
        <v>33974.698975985368</v>
      </c>
      <c r="W93" s="147">
        <f>'Médias por UF'!CM80*'Evolução das Receitas'!$S$231</f>
        <v>36471.499144862835</v>
      </c>
      <c r="X93" s="147">
        <f>'Médias por UF'!CN80*'Evolução das Receitas'!$S$231</f>
        <v>39077.714921866129</v>
      </c>
      <c r="Y93" s="147">
        <f>'Médias por UF'!CO80*'Evolução das Receitas'!$S$231</f>
        <v>40809.520112591272</v>
      </c>
      <c r="Z93" s="147">
        <f>'Médias por UF'!CP80*'Evolução das Receitas'!$S$231</f>
        <v>42227.548198551354</v>
      </c>
      <c r="AA93" s="147">
        <f>'Médias por UF'!CQ80*'Evolução das Receitas'!$S$231</f>
        <v>42963.781565569523</v>
      </c>
      <c r="AB93" s="147">
        <f>'Médias por UF'!CR80*'Evolução das Receitas'!$S$231</f>
        <v>43670.39</v>
      </c>
      <c r="AC93" s="147">
        <f t="shared" si="29"/>
        <v>43670.39</v>
      </c>
      <c r="AE93" s="213" t="s">
        <v>104</v>
      </c>
      <c r="AF93" s="147">
        <f>JAN!$AK$22</f>
        <v>8445.4480000000003</v>
      </c>
      <c r="AG93" s="147">
        <f>FEV!$AK$22</f>
        <v>8008.92</v>
      </c>
      <c r="AH93" s="147">
        <f>MAR!$AK22</f>
        <v>3603.056</v>
      </c>
      <c r="AI93" s="147">
        <f>ABR!$AL22</f>
        <v>914.24800000000005</v>
      </c>
      <c r="AJ93" s="147">
        <f>MAI!$V22</f>
        <v>1024.72</v>
      </c>
      <c r="AK93" s="147">
        <f>JUN!$V22</f>
        <v>1978.7439999999999</v>
      </c>
      <c r="AL93" s="147">
        <f>JUL!$V22</f>
        <v>5601.0879999999997</v>
      </c>
      <c r="AM93" s="147">
        <f>AGO!$V22</f>
        <v>5675.3680000000004</v>
      </c>
      <c r="AN93" s="147">
        <f>SET!$V22</f>
        <v>1573.672</v>
      </c>
      <c r="AO93" s="147">
        <f>OUT!$V22</f>
        <v>1425.48</v>
      </c>
      <c r="AP93" s="147">
        <f>NOV!$V22</f>
        <v>1760.7040000000002</v>
      </c>
      <c r="AQ93" s="147">
        <f>DEZ!$V22</f>
        <v>2059.712</v>
      </c>
      <c r="AR93" s="177">
        <f t="shared" si="30"/>
        <v>42071.16</v>
      </c>
      <c r="AT93" s="253"/>
    </row>
    <row r="94" spans="1:46">
      <c r="A94" s="212" t="s">
        <v>105</v>
      </c>
      <c r="B94" s="147">
        <f>$D$232*'Médias por UF'!CG81</f>
        <v>144675.09694862226</v>
      </c>
      <c r="C94" s="147">
        <f>$D$232*'Médias por UF'!CH81</f>
        <v>318050.2829208888</v>
      </c>
      <c r="D94" s="147">
        <f>$D$232*'Médias por UF'!CI81</f>
        <v>392151.42031542381</v>
      </c>
      <c r="E94" s="147">
        <f>$D$232*'Médias por UF'!CJ81</f>
        <v>456494.46522814146</v>
      </c>
      <c r="F94" s="147">
        <f>$D$232*'Médias por UF'!CK81</f>
        <v>538641.25901119353</v>
      </c>
      <c r="G94" s="147">
        <f>$D$232*'Médias por UF'!CL81</f>
        <v>633105.17569449439</v>
      </c>
      <c r="H94" s="147">
        <f>$D$232*'Médias por UF'!CM81</f>
        <v>682190.92255511053</v>
      </c>
      <c r="I94" s="147">
        <f>$D$232*'Médias por UF'!CN81</f>
        <v>726708.6235077898</v>
      </c>
      <c r="J94" s="147">
        <f>$D$232*'Médias por UF'!CO81</f>
        <v>758751.28758379375</v>
      </c>
      <c r="K94" s="147">
        <f>$D$232*'Médias por UF'!CP81</f>
        <v>790133.12183177343</v>
      </c>
      <c r="L94" s="147">
        <f>$D$232*'Médias por UF'!CQ81</f>
        <v>814017.66094316461</v>
      </c>
      <c r="M94" s="147">
        <f>$D$232*'Médias por UF'!CR81</f>
        <v>832186.92852219602</v>
      </c>
      <c r="N94" s="147">
        <f t="shared" si="28"/>
        <v>832186.92852219602</v>
      </c>
      <c r="P94" s="213" t="s">
        <v>105</v>
      </c>
      <c r="Q94" s="147">
        <f>'Médias por UF'!CG81*'Evolução das Receitas'!$S$232</f>
        <v>98138.734006291532</v>
      </c>
      <c r="R94" s="147">
        <f>'Médias por UF'!CH81*'Evolução das Receitas'!$S$232</f>
        <v>215745.85242741121</v>
      </c>
      <c r="S94" s="147">
        <f>'Médias por UF'!CI81*'Evolução das Receitas'!$S$232</f>
        <v>266011.53025106923</v>
      </c>
      <c r="T94" s="147">
        <f>'Médias por UF'!CJ81*'Evolução das Receitas'!$S$232</f>
        <v>309657.91517166496</v>
      </c>
      <c r="U94" s="147">
        <f>'Médias por UF'!CK81*'Evolução das Receitas'!$S$232</f>
        <v>365381.27402593667</v>
      </c>
      <c r="V94" s="147">
        <f>'Médias por UF'!CL81*'Evolução das Receitas'!$S$232</f>
        <v>429459.81544808036</v>
      </c>
      <c r="W94" s="147">
        <f>'Médias por UF'!CM81*'Evolução das Receitas'!$S$232</f>
        <v>462756.58286870201</v>
      </c>
      <c r="X94" s="147">
        <f>'Médias por UF'!CN81*'Evolução das Receitas'!$S$232</f>
        <v>492954.66743551678</v>
      </c>
      <c r="Y94" s="147">
        <f>'Médias por UF'!CO81*'Evolução das Receitas'!$S$232</f>
        <v>514690.45025461965</v>
      </c>
      <c r="Z94" s="147">
        <f>'Médias por UF'!CP81*'Evolução das Receitas'!$S$232</f>
        <v>535977.96655043191</v>
      </c>
      <c r="AA94" s="147">
        <f>'Médias por UF'!CQ81*'Evolução das Receitas'!$S$232</f>
        <v>552179.77653814584</v>
      </c>
      <c r="AB94" s="147">
        <f>'Médias por UF'!CR81*'Evolução das Receitas'!$S$232</f>
        <v>564504.696</v>
      </c>
      <c r="AC94" s="147">
        <f t="shared" si="29"/>
        <v>564504.696</v>
      </c>
      <c r="AE94" s="213" t="s">
        <v>105</v>
      </c>
      <c r="AF94" s="147">
        <f>JAN!$AK$23</f>
        <v>125810.91200000001</v>
      </c>
      <c r="AG94" s="147">
        <f>FEV!$AK$23</f>
        <v>143578.17600000001</v>
      </c>
      <c r="AH94" s="147">
        <f>MAR!$AK23</f>
        <v>75875.376000000004</v>
      </c>
      <c r="AI94" s="147">
        <f>ABR!$AL23</f>
        <v>23336.848000000002</v>
      </c>
      <c r="AJ94" s="147">
        <f>MAI!$V23</f>
        <v>15936.495999999999</v>
      </c>
      <c r="AK94" s="147">
        <f>JUN!$V23</f>
        <v>34346.624000000003</v>
      </c>
      <c r="AL94" s="147">
        <f>JUL!$V23</f>
        <v>41122.344000000005</v>
      </c>
      <c r="AM94" s="147">
        <f>AGO!$V23</f>
        <v>57174.728000000003</v>
      </c>
      <c r="AN94" s="147">
        <f>SET!$V23</f>
        <v>14805.048000000003</v>
      </c>
      <c r="AO94" s="147">
        <f>OUT!$V23</f>
        <v>8140.3919999999998</v>
      </c>
      <c r="AP94" s="147">
        <f>NOV!$V23</f>
        <v>13376.352000000003</v>
      </c>
      <c r="AQ94" s="147">
        <f>DEZ!$V23</f>
        <v>15631</v>
      </c>
      <c r="AR94" s="177">
        <f t="shared" si="30"/>
        <v>569134.29599999986</v>
      </c>
      <c r="AT94" s="253"/>
    </row>
    <row r="95" spans="1:46">
      <c r="A95" s="212" t="s">
        <v>106</v>
      </c>
      <c r="B95" s="147">
        <f>$D$233*'Médias por UF'!CG82</f>
        <v>4358.228789379662</v>
      </c>
      <c r="C95" s="147">
        <f>$D$233*'Médias por UF'!CH82</f>
        <v>19302.14557237615</v>
      </c>
      <c r="D95" s="147">
        <f>$D$233*'Médias por UF'!CI82</f>
        <v>30128.393566811148</v>
      </c>
      <c r="E95" s="147">
        <f>$D$233*'Médias por UF'!CJ82</f>
        <v>37736.612066506532</v>
      </c>
      <c r="F95" s="147">
        <f>$D$233*'Médias por UF'!CK82</f>
        <v>47204.507771468496</v>
      </c>
      <c r="G95" s="147">
        <f>$D$233*'Médias por UF'!CL82</f>
        <v>59041.354106904277</v>
      </c>
      <c r="H95" s="147">
        <f>$D$233*'Médias por UF'!CM82</f>
        <v>62886.351721027902</v>
      </c>
      <c r="I95" s="147">
        <f>$D$233*'Médias por UF'!CN82</f>
        <v>67652.12024148817</v>
      </c>
      <c r="J95" s="147">
        <f>$D$233*'Médias por UF'!CO82</f>
        <v>71082.626032859058</v>
      </c>
      <c r="K95" s="147">
        <f>$D$233*'Médias por UF'!CP82</f>
        <v>73735.542136711068</v>
      </c>
      <c r="L95" s="147">
        <f>$D$233*'Médias por UF'!CQ82</f>
        <v>75868.244515527942</v>
      </c>
      <c r="M95" s="147">
        <f>$D$233*'Médias por UF'!CR82</f>
        <v>77302.393971588011</v>
      </c>
      <c r="N95" s="147">
        <f t="shared" si="28"/>
        <v>77302.393971588011</v>
      </c>
      <c r="P95" s="213" t="s">
        <v>106</v>
      </c>
      <c r="Q95" s="147">
        <f>'Médias por UF'!CG82*'Evolução das Receitas'!$S$233</f>
        <v>2118.8933755776993</v>
      </c>
      <c r="R95" s="147">
        <f>'Médias por UF'!CH82*'Evolução das Receitas'!$S$233</f>
        <v>9384.3601068877615</v>
      </c>
      <c r="S95" s="147">
        <f>'Médias por UF'!CI82*'Evolução das Receitas'!$S$233</f>
        <v>14647.889459378419</v>
      </c>
      <c r="T95" s="147">
        <f>'Médias por UF'!CJ82*'Evolução das Receitas'!$S$233</f>
        <v>18346.870067793625</v>
      </c>
      <c r="U95" s="147">
        <f>'Médias por UF'!CK82*'Evolução das Receitas'!$S$233</f>
        <v>22949.9926800785</v>
      </c>
      <c r="V95" s="147">
        <f>'Médias por UF'!CL82*'Evolução das Receitas'!$S$233</f>
        <v>28704.856983899503</v>
      </c>
      <c r="W95" s="147">
        <f>'Médias por UF'!CM82*'Evolução das Receitas'!$S$233</f>
        <v>30574.226484080849</v>
      </c>
      <c r="X95" s="147">
        <f>'Médias por UF'!CN82*'Evolução das Receitas'!$S$233</f>
        <v>32891.258433424038</v>
      </c>
      <c r="Y95" s="147">
        <f>'Médias por UF'!CO82*'Evolução das Receitas'!$S$233</f>
        <v>34559.10937643324</v>
      </c>
      <c r="Z95" s="147">
        <f>'Médias por UF'!CP82*'Evolução das Receitas'!$S$233</f>
        <v>35848.91003401082</v>
      </c>
      <c r="AA95" s="147">
        <f>'Médias por UF'!CQ82*'Evolução das Receitas'!$S$233</f>
        <v>36885.792024595146</v>
      </c>
      <c r="AB95" s="147">
        <f>'Médias por UF'!CR82*'Evolução das Receitas'!$S$233</f>
        <v>37583.050000000003</v>
      </c>
      <c r="AC95" s="147">
        <f t="shared" si="29"/>
        <v>37583.050000000003</v>
      </c>
      <c r="AE95" s="213" t="s">
        <v>106</v>
      </c>
      <c r="AF95" s="147">
        <f>JAN!$AK$24</f>
        <v>5005.5519999999997</v>
      </c>
      <c r="AG95" s="147">
        <f>FEV!$AK$24</f>
        <v>9249.2160000000003</v>
      </c>
      <c r="AH95" s="147">
        <f>MAR!$AK24</f>
        <v>5501.384</v>
      </c>
      <c r="AI95" s="147">
        <f>ABR!$AL24</f>
        <v>1932.6320000000001</v>
      </c>
      <c r="AJ95" s="147">
        <f>MAI!$V24</f>
        <v>2811.328</v>
      </c>
      <c r="AK95" s="147">
        <f>JUN!$V24</f>
        <v>2247.5360000000001</v>
      </c>
      <c r="AL95" s="147">
        <f>JUL!$V24</f>
        <v>2294.5360000000001</v>
      </c>
      <c r="AM95" s="147">
        <f>AGO!$V24</f>
        <v>7312.7839999999997</v>
      </c>
      <c r="AN95" s="147">
        <f>SET!$V24</f>
        <v>1536.4880000000001</v>
      </c>
      <c r="AO95" s="147">
        <f>OUT!$V24</f>
        <v>599.35200000000009</v>
      </c>
      <c r="AP95" s="147">
        <f>NOV!$V24</f>
        <v>599.35200000000009</v>
      </c>
      <c r="AQ95" s="147">
        <f>DEZ!$V24</f>
        <v>1249.4560000000001</v>
      </c>
      <c r="AR95" s="177">
        <f t="shared" si="30"/>
        <v>40339.616000000002</v>
      </c>
      <c r="AT95" s="253"/>
    </row>
    <row r="96" spans="1:46">
      <c r="A96" s="212" t="s">
        <v>107</v>
      </c>
      <c r="B96" s="147">
        <f>$D$234*'Médias por UF'!CG83</f>
        <v>115501.65649249768</v>
      </c>
      <c r="C96" s="147">
        <f>$D$234*'Médias por UF'!CH83</f>
        <v>295744.33186303556</v>
      </c>
      <c r="D96" s="147">
        <f>$D$234*'Médias por UF'!CI83</f>
        <v>376415.39849451528</v>
      </c>
      <c r="E96" s="147">
        <f>$D$234*'Médias por UF'!CJ83</f>
        <v>450251.64405630459</v>
      </c>
      <c r="F96" s="147">
        <f>$D$234*'Médias por UF'!CK83</f>
        <v>544992.12410163274</v>
      </c>
      <c r="G96" s="147">
        <f>$D$234*'Médias por UF'!CL83</f>
        <v>650987.88019223453</v>
      </c>
      <c r="H96" s="147">
        <f>$D$234*'Médias por UF'!CM83</f>
        <v>689179.5352197421</v>
      </c>
      <c r="I96" s="147">
        <f>$D$234*'Médias por UF'!CN83</f>
        <v>720084.89160830528</v>
      </c>
      <c r="J96" s="147">
        <f>$D$234*'Médias por UF'!CO83</f>
        <v>743996.05512643058</v>
      </c>
      <c r="K96" s="147">
        <f>$D$234*'Médias por UF'!CP83</f>
        <v>772461.08563829865</v>
      </c>
      <c r="L96" s="147">
        <f>$D$234*'Médias por UF'!CQ83</f>
        <v>791595.41676620615</v>
      </c>
      <c r="M96" s="147">
        <f>$D$234*'Médias por UF'!CR83</f>
        <v>813563.97407690412</v>
      </c>
      <c r="N96" s="147">
        <f t="shared" si="28"/>
        <v>813563.97407690412</v>
      </c>
      <c r="P96" s="213" t="s">
        <v>107</v>
      </c>
      <c r="Q96" s="147">
        <f>'Médias por UF'!CG83*'Evolução das Receitas'!$S$234</f>
        <v>63160.882736514337</v>
      </c>
      <c r="R96" s="147">
        <f>'Médias por UF'!CH83*'Evolução das Receitas'!$S$234</f>
        <v>161724.72007796081</v>
      </c>
      <c r="S96" s="147">
        <f>'Médias por UF'!CI83*'Evolução das Receitas'!$S$234</f>
        <v>205838.8560520313</v>
      </c>
      <c r="T96" s="147">
        <f>'Médias por UF'!CJ83*'Evolução das Receitas'!$S$234</f>
        <v>246215.44102278946</v>
      </c>
      <c r="U96" s="147">
        <f>'Médias por UF'!CK83*'Evolução das Receitas'!$S$234</f>
        <v>298023.28977803845</v>
      </c>
      <c r="V96" s="147">
        <f>'Médias por UF'!CL83*'Evolução das Receitas'!$S$234</f>
        <v>355985.96948593971</v>
      </c>
      <c r="W96" s="147">
        <f>'Médias por UF'!CM83*'Evolução das Receitas'!$S$234</f>
        <v>376870.67986983364</v>
      </c>
      <c r="X96" s="147">
        <f>'Médias por UF'!CN83*'Evolução das Receitas'!$S$234</f>
        <v>393770.95342491474</v>
      </c>
      <c r="Y96" s="147">
        <f>'Médias por UF'!CO83*'Evolução das Receitas'!$S$234</f>
        <v>406846.52516063291</v>
      </c>
      <c r="Z96" s="147">
        <f>'Médias por UF'!CP83*'Evolução das Receitas'!$S$234</f>
        <v>422412.33182391815</v>
      </c>
      <c r="AA96" s="147">
        <f>'Médias por UF'!CQ83*'Evolução das Receitas'!$S$234</f>
        <v>432875.74231786118</v>
      </c>
      <c r="AB96" s="147">
        <f>'Médias por UF'!CR83*'Evolução das Receitas'!$S$234</f>
        <v>444889.02</v>
      </c>
      <c r="AC96" s="147">
        <f t="shared" si="29"/>
        <v>444889.02</v>
      </c>
      <c r="AE96" s="213" t="s">
        <v>107</v>
      </c>
      <c r="AF96" s="147">
        <f>JAN!$AK$25</f>
        <v>98484.488000000012</v>
      </c>
      <c r="AG96" s="147">
        <f>FEV!$AK$25</f>
        <v>116429.144</v>
      </c>
      <c r="AH96" s="147">
        <f>MAR!$AK25</f>
        <v>62860.743999999999</v>
      </c>
      <c r="AI96" s="147">
        <f>ABR!$AL25</f>
        <v>28207.768</v>
      </c>
      <c r="AJ96" s="147">
        <f>MAI!$V25</f>
        <v>25030.760000000002</v>
      </c>
      <c r="AK96" s="147">
        <f>JUN!$V25</f>
        <v>37227.167999999998</v>
      </c>
      <c r="AL96" s="147">
        <f>JUL!$V25</f>
        <v>43995.936000000002</v>
      </c>
      <c r="AM96" s="147">
        <f>AGO!$V25</f>
        <v>66542.248000000007</v>
      </c>
      <c r="AN96" s="147">
        <f>SET!$V25</f>
        <v>23378.2</v>
      </c>
      <c r="AO96" s="147">
        <f>OUT!$V25</f>
        <v>12853.656000000001</v>
      </c>
      <c r="AP96" s="147">
        <f>NOV!$V25</f>
        <v>22386.495999999999</v>
      </c>
      <c r="AQ96" s="147">
        <f>DEZ!$V25</f>
        <v>18873.144</v>
      </c>
      <c r="AR96" s="177">
        <f t="shared" si="30"/>
        <v>556269.75199999998</v>
      </c>
      <c r="AT96" s="253"/>
    </row>
    <row r="97" spans="1:46">
      <c r="A97" s="212" t="s">
        <v>108</v>
      </c>
      <c r="B97" s="147">
        <f>$D$235*'Médias por UF'!CG84</f>
        <v>7731.9615281044735</v>
      </c>
      <c r="C97" s="147">
        <f>$D$235*'Médias por UF'!CH84</f>
        <v>22333.695184850425</v>
      </c>
      <c r="D97" s="147">
        <f>$D$235*'Médias por UF'!CI84</f>
        <v>26428.834683912726</v>
      </c>
      <c r="E97" s="147">
        <f>$D$235*'Médias por UF'!CJ84</f>
        <v>31442.08172321416</v>
      </c>
      <c r="F97" s="147">
        <f>$D$235*'Médias por UF'!CK84</f>
        <v>36042.46358625943</v>
      </c>
      <c r="G97" s="147">
        <f>$D$235*'Médias por UF'!CL84</f>
        <v>45693.827935159134</v>
      </c>
      <c r="H97" s="147">
        <f>$D$235*'Médias por UF'!CM84</f>
        <v>49548.202295869887</v>
      </c>
      <c r="I97" s="147">
        <f>$D$235*'Médias por UF'!CN84</f>
        <v>54168.425879789393</v>
      </c>
      <c r="J97" s="147">
        <f>$D$235*'Médias por UF'!CO84</f>
        <v>57249.769139192365</v>
      </c>
      <c r="K97" s="147">
        <f>$D$235*'Médias por UF'!CP84</f>
        <v>60274.829540820145</v>
      </c>
      <c r="L97" s="147">
        <f>$D$235*'Médias por UF'!CQ84</f>
        <v>62765.09977809713</v>
      </c>
      <c r="M97" s="147">
        <f>$D$235*'Médias por UF'!CR84</f>
        <v>64102.276222668021</v>
      </c>
      <c r="N97" s="147">
        <f t="shared" si="28"/>
        <v>64102.276222668021</v>
      </c>
      <c r="P97" s="213" t="s">
        <v>108</v>
      </c>
      <c r="Q97" s="147">
        <f>'Médias por UF'!CG84*'Evolução das Receitas'!$S$235</f>
        <v>3308.450371115352</v>
      </c>
      <c r="R97" s="147">
        <f>'Médias por UF'!CH84*'Evolução das Receitas'!$S$235</f>
        <v>9556.4265101575056</v>
      </c>
      <c r="S97" s="147">
        <f>'Médias por UF'!CI84*'Evolução das Receitas'!$S$235</f>
        <v>11308.707059691396</v>
      </c>
      <c r="T97" s="147">
        <f>'Médias por UF'!CJ84*'Evolução das Receitas'!$S$235</f>
        <v>13453.839180096027</v>
      </c>
      <c r="U97" s="147">
        <f>'Médias por UF'!CK84*'Evolução das Receitas'!$S$235</f>
        <v>15422.309280049529</v>
      </c>
      <c r="V97" s="147">
        <f>'Médias por UF'!CL84*'Evolução das Receitas'!$S$235</f>
        <v>19552.05822484475</v>
      </c>
      <c r="W97" s="147">
        <f>'Médias por UF'!CM84*'Evolução das Receitas'!$S$235</f>
        <v>21201.31711442399</v>
      </c>
      <c r="X97" s="147">
        <f>'Médias por UF'!CN84*'Evolução das Receitas'!$S$235</f>
        <v>23178.277343117963</v>
      </c>
      <c r="Y97" s="147">
        <f>'Médias por UF'!CO84*'Evolução das Receitas'!$S$235</f>
        <v>24496.761819928954</v>
      </c>
      <c r="Z97" s="147">
        <f>'Médias por UF'!CP84*'Evolução das Receitas'!$S$235</f>
        <v>25791.163269293818</v>
      </c>
      <c r="AA97" s="147">
        <f>'Médias por UF'!CQ84*'Evolução das Receitas'!$S$235</f>
        <v>26856.73187833944</v>
      </c>
      <c r="AB97" s="147">
        <f>'Médias por UF'!CR84*'Evolução das Receitas'!$S$235</f>
        <v>27428.9</v>
      </c>
      <c r="AC97" s="147">
        <f t="shared" si="29"/>
        <v>27428.9</v>
      </c>
      <c r="AE97" s="213" t="s">
        <v>108</v>
      </c>
      <c r="AF97" s="147">
        <f>JAN!$AK$26</f>
        <v>5562.9920000000002</v>
      </c>
      <c r="AG97" s="147">
        <f>FEV!$AK$26</f>
        <v>2956.0880000000002</v>
      </c>
      <c r="AH97" s="147">
        <f>MAR!$AK26</f>
        <v>4883.6320000000005</v>
      </c>
      <c r="AI97" s="147">
        <f>ABR!$AL26</f>
        <v>2232.2959999999998</v>
      </c>
      <c r="AJ97" s="147">
        <f>MAI!$V26</f>
        <v>2095.1680000000001</v>
      </c>
      <c r="AK97" s="147">
        <f>JUN!$V26</f>
        <v>2765.6160000000004</v>
      </c>
      <c r="AL97" s="147">
        <f>JUL!$V26</f>
        <v>2133.2720000000004</v>
      </c>
      <c r="AM97" s="147">
        <f>AGO!$V26</f>
        <v>3429.76</v>
      </c>
      <c r="AN97" s="147">
        <f>SET!$V26</f>
        <v>1517.432</v>
      </c>
      <c r="AO97" s="147">
        <f>OUT!$V26</f>
        <v>322.54400000000004</v>
      </c>
      <c r="AP97" s="147">
        <f>NOV!$V26</f>
        <v>932.04000000000019</v>
      </c>
      <c r="AQ97" s="147">
        <f>DEZ!$V26</f>
        <v>868.5440000000001</v>
      </c>
      <c r="AR97" s="177">
        <f t="shared" si="30"/>
        <v>29699.384000000005</v>
      </c>
      <c r="AT97" s="253"/>
    </row>
    <row r="98" spans="1:46">
      <c r="A98" s="212" t="s">
        <v>109</v>
      </c>
      <c r="B98" s="147">
        <f>$D$236*'Médias por UF'!CG85</f>
        <v>4023.139125366481</v>
      </c>
      <c r="C98" s="147">
        <f>$D$236*'Médias por UF'!CH85</f>
        <v>5858.877308939087</v>
      </c>
      <c r="D98" s="147">
        <f>$D$236*'Médias por UF'!CI85</f>
        <v>6652.542829522894</v>
      </c>
      <c r="E98" s="147">
        <f>$D$236*'Médias por UF'!CJ85</f>
        <v>7292.7847048583235</v>
      </c>
      <c r="F98" s="147">
        <f>$D$236*'Médias por UF'!CK85</f>
        <v>8067.9712123264881</v>
      </c>
      <c r="G98" s="147">
        <f>$D$236*'Médias por UF'!CL85</f>
        <v>8699.4332991798601</v>
      </c>
      <c r="H98" s="147">
        <f>$D$236*'Médias por UF'!CM85</f>
        <v>9722.1567823465466</v>
      </c>
      <c r="I98" s="147">
        <f>$D$236*'Médias por UF'!CN85</f>
        <v>10971.64245490155</v>
      </c>
      <c r="J98" s="147">
        <f>$D$236*'Médias por UF'!CO85</f>
        <v>11821.184339989277</v>
      </c>
      <c r="K98" s="147">
        <f>$D$236*'Médias por UF'!CP85</f>
        <v>11821.184339989277</v>
      </c>
      <c r="L98" s="147">
        <f>$D$236*'Médias por UF'!CQ85</f>
        <v>12285.346415005817</v>
      </c>
      <c r="M98" s="147">
        <f>$D$236*'Médias por UF'!CR85</f>
        <v>12767.025785076001</v>
      </c>
      <c r="N98" s="147">
        <f t="shared" si="28"/>
        <v>12767.025785076001</v>
      </c>
      <c r="P98" s="213" t="s">
        <v>109</v>
      </c>
      <c r="Q98" s="147">
        <f>'Médias por UF'!CG85*'Evolução das Receitas'!$S$236</f>
        <v>2417.6411271425541</v>
      </c>
      <c r="R98" s="147">
        <f>'Médias por UF'!CH85*'Evolução das Receitas'!$S$236</f>
        <v>3520.7986349920525</v>
      </c>
      <c r="S98" s="147">
        <f>'Médias por UF'!CI85*'Evolução das Receitas'!$S$236</f>
        <v>3997.7392388255398</v>
      </c>
      <c r="T98" s="147">
        <f>'Médias por UF'!CJ85*'Evolução das Receitas'!$S$236</f>
        <v>4382.4823563007058</v>
      </c>
      <c r="U98" s="147">
        <f>'Médias por UF'!CK85*'Evolução das Receitas'!$S$236</f>
        <v>4848.3182926829231</v>
      </c>
      <c r="V98" s="147">
        <f>'Médias por UF'!CL85*'Evolução das Receitas'!$S$236</f>
        <v>5227.7853366591635</v>
      </c>
      <c r="W98" s="147">
        <f>'Médias por UF'!CM85*'Evolução das Receitas'!$S$236</f>
        <v>5842.3746604556736</v>
      </c>
      <c r="X98" s="147">
        <f>'Médias por UF'!CN85*'Evolução das Receitas'!$S$236</f>
        <v>6593.2330960234904</v>
      </c>
      <c r="Y98" s="147">
        <f>'Médias por UF'!CO85*'Evolução das Receitas'!$S$236</f>
        <v>7103.7517076390423</v>
      </c>
      <c r="Z98" s="147">
        <f>'Médias por UF'!CP85*'Evolução das Receitas'!$S$236</f>
        <v>7103.7517076390423</v>
      </c>
      <c r="AA98" s="147">
        <f>'Médias por UF'!CQ85*'Evolução das Receitas'!$S$236</f>
        <v>7382.6824846395994</v>
      </c>
      <c r="AB98" s="147">
        <f>'Médias por UF'!CR85*'Evolução das Receitas'!$S$236</f>
        <v>7672.1399999999994</v>
      </c>
      <c r="AC98" s="147">
        <f t="shared" si="29"/>
        <v>7672.1399999999994</v>
      </c>
      <c r="AE98" s="213" t="s">
        <v>109</v>
      </c>
      <c r="AF98" s="147">
        <f>JAN!$AK$27</f>
        <v>2559.92</v>
      </c>
      <c r="AG98" s="147">
        <f>FEV!$AK$27</f>
        <v>1005.68</v>
      </c>
      <c r="AH98" s="147">
        <f>MAR!$AK27</f>
        <v>1500.9120000000003</v>
      </c>
      <c r="AI98" s="147">
        <f>ABR!$AL27</f>
        <v>0</v>
      </c>
      <c r="AJ98" s="147">
        <f>MAI!$V27</f>
        <v>0</v>
      </c>
      <c r="AK98" s="147">
        <f>JUN!$V27</f>
        <v>91.424000000000035</v>
      </c>
      <c r="AL98" s="147">
        <f>JUL!$V27</f>
        <v>548.55200000000002</v>
      </c>
      <c r="AM98" s="147">
        <f>AGO!$V27</f>
        <v>182.85599999999999</v>
      </c>
      <c r="AN98" s="147">
        <f>SET!$V27</f>
        <v>451.03999999999996</v>
      </c>
      <c r="AO98" s="147">
        <f>OUT!$V27</f>
        <v>152.376</v>
      </c>
      <c r="AP98" s="147">
        <f>NOV!$V27</f>
        <v>228.56799999999998</v>
      </c>
      <c r="AQ98" s="147">
        <f>DEZ!$V27</f>
        <v>219.42399999999998</v>
      </c>
      <c r="AR98" s="177">
        <f t="shared" si="30"/>
        <v>6940.7520000000004</v>
      </c>
      <c r="AT98" s="253"/>
    </row>
    <row r="99" spans="1:46">
      <c r="A99" s="212" t="s">
        <v>110</v>
      </c>
      <c r="B99" s="147">
        <f>$D$237*'Médias por UF'!CG86</f>
        <v>61297.75923207272</v>
      </c>
      <c r="C99" s="147">
        <f>$D$237*'Médias por UF'!CH86</f>
        <v>195946.34094137128</v>
      </c>
      <c r="D99" s="147">
        <f>$D$237*'Médias por UF'!CI86</f>
        <v>246895.82765182952</v>
      </c>
      <c r="E99" s="147">
        <f>$D$237*'Médias por UF'!CJ86</f>
        <v>292021.58247075352</v>
      </c>
      <c r="F99" s="147">
        <f>$D$237*'Médias por UF'!CK86</f>
        <v>348435.7310962748</v>
      </c>
      <c r="G99" s="147">
        <f>$D$237*'Médias por UF'!CL86</f>
        <v>409480.88738208741</v>
      </c>
      <c r="H99" s="147">
        <f>$D$237*'Médias por UF'!CM86</f>
        <v>426508.31142175302</v>
      </c>
      <c r="I99" s="147">
        <f>$D$237*'Médias por UF'!CN86</f>
        <v>443147.78217513097</v>
      </c>
      <c r="J99" s="147">
        <f>$D$237*'Médias por UF'!CO86</f>
        <v>455154.17988933704</v>
      </c>
      <c r="K99" s="147">
        <f>$D$237*'Médias por UF'!CP86</f>
        <v>468364.70162045711</v>
      </c>
      <c r="L99" s="147">
        <f>$D$237*'Médias por UF'!CQ86</f>
        <v>478231.82600948989</v>
      </c>
      <c r="M99" s="147">
        <f>$D$237*'Médias por UF'!CR86</f>
        <v>486793.46657134808</v>
      </c>
      <c r="N99" s="147">
        <f t="shared" si="28"/>
        <v>486793.46657134808</v>
      </c>
      <c r="P99" s="213" t="s">
        <v>110</v>
      </c>
      <c r="Q99" s="147">
        <f>'Médias por UF'!CG86*'Evolução das Receitas'!$S$237</f>
        <v>45280.784978246811</v>
      </c>
      <c r="R99" s="147">
        <f>'Médias por UF'!CH86*'Evolução das Receitas'!$S$237</f>
        <v>144745.97836193131</v>
      </c>
      <c r="S99" s="147">
        <f>'Médias por UF'!CI86*'Evolução das Receitas'!$S$237</f>
        <v>182382.4724424718</v>
      </c>
      <c r="T99" s="147">
        <f>'Médias por UF'!CJ86*'Evolução das Receitas'!$S$237</f>
        <v>215716.96340160712</v>
      </c>
      <c r="U99" s="147">
        <f>'Médias por UF'!CK86*'Evolução das Receitas'!$S$237</f>
        <v>257390.21484905179</v>
      </c>
      <c r="V99" s="147">
        <f>'Médias por UF'!CL86*'Evolução das Receitas'!$S$237</f>
        <v>302484.40149421478</v>
      </c>
      <c r="W99" s="147">
        <f>'Médias por UF'!CM86*'Evolução das Receitas'!$S$237</f>
        <v>315062.59580886294</v>
      </c>
      <c r="X99" s="147">
        <f>'Médias por UF'!CN86*'Evolução das Receitas'!$S$237</f>
        <v>327354.20820668305</v>
      </c>
      <c r="Y99" s="147">
        <f>'Médias por UF'!CO86*'Evolução das Receitas'!$S$237</f>
        <v>336223.35970701749</v>
      </c>
      <c r="Z99" s="147">
        <f>'Médias por UF'!CP86*'Evolução das Receitas'!$S$237</f>
        <v>345982.00017693406</v>
      </c>
      <c r="AA99" s="147">
        <f>'Médias por UF'!CQ86*'Evolução das Receitas'!$S$237</f>
        <v>353270.86592685257</v>
      </c>
      <c r="AB99" s="147">
        <f>'Médias por UF'!CR86*'Evolução das Receitas'!$S$237</f>
        <v>359595.36800000002</v>
      </c>
      <c r="AC99" s="147">
        <f t="shared" si="29"/>
        <v>359595.36800000002</v>
      </c>
      <c r="AE99" s="213" t="s">
        <v>110</v>
      </c>
      <c r="AF99" s="147">
        <f>JAN!$AK$28</f>
        <v>57631.528000000006</v>
      </c>
      <c r="AG99" s="147">
        <f>FEV!$AK$28</f>
        <v>89545.631999999998</v>
      </c>
      <c r="AH99" s="147">
        <f>MAR!$AK28</f>
        <v>40676.592000000004</v>
      </c>
      <c r="AI99" s="147">
        <f>ABR!$AL28</f>
        <v>20754.440000000002</v>
      </c>
      <c r="AJ99" s="147">
        <f>MAI!$V28</f>
        <v>14580.064000000002</v>
      </c>
      <c r="AK99" s="147">
        <f>JUN!$V28</f>
        <v>28890.368000000002</v>
      </c>
      <c r="AL99" s="147">
        <f>JUL!$V28</f>
        <v>27032.152000000002</v>
      </c>
      <c r="AM99" s="147">
        <f>AGO!$V28</f>
        <v>43838.928000000007</v>
      </c>
      <c r="AN99" s="147">
        <f>SET!$V28</f>
        <v>10427.992</v>
      </c>
      <c r="AO99" s="147">
        <f>OUT!$V28</f>
        <v>5050.232</v>
      </c>
      <c r="AP99" s="147">
        <f>NOV!$V28</f>
        <v>5332.1360000000004</v>
      </c>
      <c r="AQ99" s="147">
        <f>DEZ!$V28</f>
        <v>8882.6880000000001</v>
      </c>
      <c r="AR99" s="177">
        <f t="shared" si="30"/>
        <v>352642.75200000009</v>
      </c>
      <c r="AT99" s="253"/>
    </row>
    <row r="100" spans="1:46">
      <c r="A100" s="212" t="s">
        <v>111</v>
      </c>
      <c r="B100" s="147">
        <f>$D$238*'Médias por UF'!CG87</f>
        <v>546198.08382546762</v>
      </c>
      <c r="C100" s="147">
        <f>$D$238*'Médias por UF'!CH87</f>
        <v>869169.90415994707</v>
      </c>
      <c r="D100" s="147">
        <f>$D$238*'Médias por UF'!CI87</f>
        <v>1018585.7430498378</v>
      </c>
      <c r="E100" s="147">
        <f>$D$238*'Médias por UF'!CJ87</f>
        <v>1172838.7571611032</v>
      </c>
      <c r="F100" s="147">
        <f>$D$238*'Médias por UF'!CK87</f>
        <v>1381766.5881834419</v>
      </c>
      <c r="G100" s="147">
        <f>$D$238*'Médias por UF'!CL87</f>
        <v>1507054.9298091517</v>
      </c>
      <c r="H100" s="147">
        <f>$D$238*'Médias por UF'!CM87</f>
        <v>1573649.3266262307</v>
      </c>
      <c r="I100" s="147">
        <f>$D$238*'Médias por UF'!CN87</f>
        <v>1629950.625962161</v>
      </c>
      <c r="J100" s="147">
        <f>$D$238*'Médias por UF'!CO87</f>
        <v>1669204.2233742576</v>
      </c>
      <c r="K100" s="147">
        <f>$D$238*'Médias por UF'!CP87</f>
        <v>1719256.4190888994</v>
      </c>
      <c r="L100" s="147">
        <f>$D$238*'Médias por UF'!CQ87</f>
        <v>1765107.139333681</v>
      </c>
      <c r="M100" s="147">
        <f>$D$238*'Médias por UF'!CR87</f>
        <v>1804910.4425216522</v>
      </c>
      <c r="N100" s="147">
        <f t="shared" si="28"/>
        <v>1804910.4425216522</v>
      </c>
      <c r="P100" s="213" t="s">
        <v>111</v>
      </c>
      <c r="Q100" s="147">
        <f>'Médias por UF'!CG87*'Evolução das Receitas'!$S$238</f>
        <v>554452.97336643562</v>
      </c>
      <c r="R100" s="147">
        <f>'Médias por UF'!CH87*'Evolução das Receitas'!$S$238</f>
        <v>882305.98384174041</v>
      </c>
      <c r="S100" s="147">
        <f>'Médias por UF'!CI87*'Evolução das Receitas'!$S$238</f>
        <v>1033979.9984415651</v>
      </c>
      <c r="T100" s="147">
        <f>'Médias por UF'!CJ87*'Evolução das Receitas'!$S$238</f>
        <v>1190564.2942445048</v>
      </c>
      <c r="U100" s="147">
        <f>'Médias por UF'!CK87*'Evolução das Receitas'!$S$238</f>
        <v>1402649.727276437</v>
      </c>
      <c r="V100" s="147">
        <f>'Médias por UF'!CL87*'Evolução das Receitas'!$S$238</f>
        <v>1529831.5970039805</v>
      </c>
      <c r="W100" s="147">
        <f>'Médias por UF'!CM87*'Evolução das Receitas'!$S$238</f>
        <v>1597432.4590688359</v>
      </c>
      <c r="X100" s="147">
        <f>'Médias por UF'!CN87*'Evolução das Receitas'!$S$238</f>
        <v>1654584.6603408842</v>
      </c>
      <c r="Y100" s="147">
        <f>'Médias por UF'!CO87*'Evolução das Receitas'!$S$238</f>
        <v>1694431.51159315</v>
      </c>
      <c r="Z100" s="147">
        <f>'Médias por UF'!CP87*'Evolução das Receitas'!$S$238</f>
        <v>1745240.1642766877</v>
      </c>
      <c r="AA100" s="147">
        <f>'Médias por UF'!CQ87*'Evolução das Receitas'!$S$238</f>
        <v>1791783.843069298</v>
      </c>
      <c r="AB100" s="147">
        <f>'Médias por UF'!CR87*'Evolução das Receitas'!$S$238</f>
        <v>1832188.7080000001</v>
      </c>
      <c r="AC100" s="147">
        <f t="shared" si="29"/>
        <v>1832188.7080000001</v>
      </c>
      <c r="AE100" s="213" t="s">
        <v>111</v>
      </c>
      <c r="AF100" s="147">
        <f>JAN!$AK$29</f>
        <v>385907.76800000004</v>
      </c>
      <c r="AG100" s="147">
        <f>FEV!$AK$29</f>
        <v>467816.91200000001</v>
      </c>
      <c r="AH100" s="147">
        <f>MAR!$AK29</f>
        <v>221627.05600000001</v>
      </c>
      <c r="AI100" s="147">
        <f>ABR!$AL29</f>
        <v>95789.352000000014</v>
      </c>
      <c r="AJ100" s="147">
        <f>MAI!$V29</f>
        <v>72968.072</v>
      </c>
      <c r="AK100" s="147">
        <f>JUN!$V29</f>
        <v>103465.944</v>
      </c>
      <c r="AL100" s="147">
        <f>JUL!$V29</f>
        <v>104462.296</v>
      </c>
      <c r="AM100" s="147">
        <f>AGO!$V29</f>
        <v>141136.82399999999</v>
      </c>
      <c r="AN100" s="147">
        <f>SET!$V29</f>
        <v>54066.128000000004</v>
      </c>
      <c r="AO100" s="147">
        <f>OUT!$V29</f>
        <v>21150.624</v>
      </c>
      <c r="AP100" s="147">
        <f>NOV!$V29</f>
        <v>39511.784000000014</v>
      </c>
      <c r="AQ100" s="147">
        <f>DEZ!$V29</f>
        <v>43030.776000000005</v>
      </c>
      <c r="AR100" s="177">
        <f t="shared" si="30"/>
        <v>1750933.5360000001</v>
      </c>
      <c r="AT100" s="253"/>
    </row>
    <row r="101" spans="1:46">
      <c r="A101" s="212" t="s">
        <v>112</v>
      </c>
      <c r="B101" s="147">
        <f>$D$239*'Médias por UF'!CG88</f>
        <v>8338.9801318984501</v>
      </c>
      <c r="C101" s="147">
        <f>$D$239*'Médias por UF'!CH88</f>
        <v>17889.622572400265</v>
      </c>
      <c r="D101" s="147">
        <f>$D$239*'Médias por UF'!CI88</f>
        <v>23940.698907267128</v>
      </c>
      <c r="E101" s="147">
        <f>$D$239*'Médias por UF'!CJ88</f>
        <v>29267.000841570996</v>
      </c>
      <c r="F101" s="147">
        <f>$D$239*'Médias por UF'!CK88</f>
        <v>33316.563296772612</v>
      </c>
      <c r="G101" s="147">
        <f>$D$239*'Médias por UF'!CL88</f>
        <v>38234.142052514471</v>
      </c>
      <c r="H101" s="147">
        <f>$D$239*'Médias por UF'!CM88</f>
        <v>39440.410803881205</v>
      </c>
      <c r="I101" s="147">
        <f>$D$239*'Médias por UF'!CN88</f>
        <v>41326.427613749984</v>
      </c>
      <c r="J101" s="147">
        <f>$D$239*'Médias por UF'!CO88</f>
        <v>42757.911738165545</v>
      </c>
      <c r="K101" s="147">
        <f>$D$239*'Médias por UF'!CP88</f>
        <v>44033.10502273876</v>
      </c>
      <c r="L101" s="147">
        <f>$D$239*'Médias por UF'!CQ88</f>
        <v>45832.294997971927</v>
      </c>
      <c r="M101" s="147">
        <f>$D$239*'Médias por UF'!CR88</f>
        <v>46345.50570506401</v>
      </c>
      <c r="N101" s="147">
        <f t="shared" si="28"/>
        <v>46345.50570506401</v>
      </c>
      <c r="P101" s="213" t="s">
        <v>112</v>
      </c>
      <c r="Q101" s="147">
        <f>'Médias por UF'!CG88*'Evolução das Receitas'!$S$239</f>
        <v>5100.6076289459415</v>
      </c>
      <c r="R101" s="147">
        <f>'Médias por UF'!CH88*'Evolução das Receitas'!$S$239</f>
        <v>10942.338742684451</v>
      </c>
      <c r="S101" s="147">
        <f>'Médias por UF'!CI88*'Evolução das Receitas'!$S$239</f>
        <v>14643.530690473592</v>
      </c>
      <c r="T101" s="147">
        <f>'Médias por UF'!CJ88*'Evolução das Receitas'!$S$239</f>
        <v>17901.408254692578</v>
      </c>
      <c r="U101" s="147">
        <f>'Médias por UF'!CK88*'Evolução das Receitas'!$S$239</f>
        <v>20378.357333139662</v>
      </c>
      <c r="V101" s="147">
        <f>'Médias por UF'!CL88*'Evolução das Receitas'!$S$239</f>
        <v>23386.235913103264</v>
      </c>
      <c r="W101" s="147">
        <f>'Médias por UF'!CM88*'Evolução das Receitas'!$S$239</f>
        <v>24124.060383057909</v>
      </c>
      <c r="X101" s="147">
        <f>'Médias por UF'!CN88*'Evolução das Receitas'!$S$239</f>
        <v>25277.658494167321</v>
      </c>
      <c r="Y101" s="147">
        <f>'Médias por UF'!CO88*'Evolução das Receitas'!$S$239</f>
        <v>26153.237849222911</v>
      </c>
      <c r="Z101" s="147">
        <f>'Médias por UF'!CP88*'Evolução das Receitas'!$S$239</f>
        <v>26933.220592051919</v>
      </c>
      <c r="AA101" s="147">
        <f>'Médias por UF'!CQ88*'Evolução das Receitas'!$S$239</f>
        <v>28033.710336414475</v>
      </c>
      <c r="AB101" s="147">
        <f>'Médias por UF'!CR88*'Evolução das Receitas'!$S$239</f>
        <v>28347.62</v>
      </c>
      <c r="AC101" s="147">
        <f t="shared" si="29"/>
        <v>28347.62</v>
      </c>
      <c r="AE101" s="213" t="s">
        <v>112</v>
      </c>
      <c r="AF101" s="147">
        <f>JAN!$AK$30</f>
        <v>7274.0560000000005</v>
      </c>
      <c r="AG101" s="147">
        <f>FEV!$AK$30</f>
        <v>5950.2800000000007</v>
      </c>
      <c r="AH101" s="147">
        <f>MAR!$AK30</f>
        <v>4997.9120000000003</v>
      </c>
      <c r="AI101" s="147">
        <f>ABR!$AL30</f>
        <v>967.58400000000006</v>
      </c>
      <c r="AJ101" s="147">
        <f>MAI!$V30</f>
        <v>1005.672</v>
      </c>
      <c r="AK101" s="147">
        <f>JUN!$V30</f>
        <v>1158.056</v>
      </c>
      <c r="AL101" s="147">
        <f>JUL!$V30</f>
        <v>2377.08</v>
      </c>
      <c r="AM101" s="147">
        <f>AGO!$V30</f>
        <v>2927.1680000000001</v>
      </c>
      <c r="AN101" s="147">
        <f>SET!$V30</f>
        <v>1037.7040000000002</v>
      </c>
      <c r="AO101" s="147">
        <f>OUT!$V30</f>
        <v>365.69600000000003</v>
      </c>
      <c r="AP101" s="147">
        <f>NOV!$V30</f>
        <v>717.68000000000006</v>
      </c>
      <c r="AQ101" s="147">
        <f>DEZ!$V30</f>
        <v>1112.3520000000001</v>
      </c>
      <c r="AR101" s="177">
        <f t="shared" si="30"/>
        <v>29891.24</v>
      </c>
      <c r="AT101" s="253"/>
    </row>
    <row r="102" spans="1:46">
      <c r="A102" s="212" t="s">
        <v>113</v>
      </c>
      <c r="B102" s="147">
        <f>$D$240*'Médias por UF'!CG89</f>
        <v>5645.7206090015552</v>
      </c>
      <c r="C102" s="147">
        <f>$D$240*'Médias por UF'!CH89</f>
        <v>13014.257055679409</v>
      </c>
      <c r="D102" s="147">
        <f>$D$240*'Médias por UF'!CI89</f>
        <v>17660.846517583199</v>
      </c>
      <c r="E102" s="147">
        <f>$D$240*'Médias por UF'!CJ89</f>
        <v>20794.900250552306</v>
      </c>
      <c r="F102" s="147">
        <f>$D$240*'Médias por UF'!CK89</f>
        <v>25428.474626331437</v>
      </c>
      <c r="G102" s="147">
        <f>$D$240*'Médias por UF'!CL89</f>
        <v>34948.68441679221</v>
      </c>
      <c r="H102" s="147">
        <f>$D$240*'Médias por UF'!CM89</f>
        <v>39875.484431369281</v>
      </c>
      <c r="I102" s="147">
        <f>$D$240*'Médias por UF'!CN89</f>
        <v>43138.966227846075</v>
      </c>
      <c r="J102" s="147">
        <f>$D$240*'Médias por UF'!CO89</f>
        <v>46046.785024259378</v>
      </c>
      <c r="K102" s="147">
        <f>$D$240*'Médias por UF'!CP89</f>
        <v>49283.906089471908</v>
      </c>
      <c r="L102" s="147">
        <f>$D$240*'Médias por UF'!CQ89</f>
        <v>51257.438824015677</v>
      </c>
      <c r="M102" s="147">
        <f>$D$240*'Médias por UF'!CR89</f>
        <v>53708.069090411998</v>
      </c>
      <c r="N102" s="147">
        <f t="shared" si="28"/>
        <v>53708.069090411998</v>
      </c>
      <c r="P102" s="213" t="s">
        <v>113</v>
      </c>
      <c r="Q102" s="147">
        <f>'Médias por UF'!CG89*'Evolução das Receitas'!$S$240</f>
        <v>2440.6735833994771</v>
      </c>
      <c r="R102" s="147">
        <f>'Médias por UF'!CH89*'Evolução das Receitas'!$S$240</f>
        <v>5626.1291698925161</v>
      </c>
      <c r="S102" s="147">
        <f>'Médias por UF'!CI89*'Evolução das Receitas'!$S$240</f>
        <v>7634.8733033675508</v>
      </c>
      <c r="T102" s="147">
        <f>'Médias por UF'!CJ89*'Evolução das Receitas'!$S$240</f>
        <v>8989.7405886555098</v>
      </c>
      <c r="U102" s="147">
        <f>'Médias por UF'!CK89*'Evolução das Receitas'!$S$240</f>
        <v>10992.858234549936</v>
      </c>
      <c r="V102" s="147">
        <f>'Médias por UF'!CL89*'Evolução das Receitas'!$S$240</f>
        <v>15108.493093800953</v>
      </c>
      <c r="W102" s="147">
        <f>'Médias por UF'!CM89*'Evolução das Receitas'!$S$240</f>
        <v>17238.373666902316</v>
      </c>
      <c r="X102" s="147">
        <f>'Médias por UF'!CN89*'Evolução das Receitas'!$S$240</f>
        <v>18649.193358876873</v>
      </c>
      <c r="Y102" s="147">
        <f>'Médias por UF'!CO89*'Evolução das Receitas'!$S$240</f>
        <v>19906.258136471937</v>
      </c>
      <c r="Z102" s="147">
        <f>'Médias por UF'!CP89*'Evolução das Receitas'!$S$240</f>
        <v>21305.681950950679</v>
      </c>
      <c r="AA102" s="147">
        <f>'Médias por UF'!CQ89*'Evolução das Receitas'!$S$240</f>
        <v>22158.850137044632</v>
      </c>
      <c r="AB102" s="147">
        <f>'Médias por UF'!CR89*'Evolução das Receitas'!$S$240</f>
        <v>23218.27</v>
      </c>
      <c r="AC102" s="147">
        <f t="shared" si="29"/>
        <v>23218.27</v>
      </c>
      <c r="AE102" s="213" t="s">
        <v>113</v>
      </c>
      <c r="AF102" s="147">
        <f>JAN!$AK$31</f>
        <v>2986.5680000000002</v>
      </c>
      <c r="AG102" s="147">
        <f>FEV!$AK$31</f>
        <v>3626.5440000000003</v>
      </c>
      <c r="AH102" s="147">
        <f>MAR!$AK31</f>
        <v>3371.3120000000004</v>
      </c>
      <c r="AI102" s="147">
        <f>ABR!$AL31</f>
        <v>1036.1600000000001</v>
      </c>
      <c r="AJ102" s="147">
        <f>MAI!$V31</f>
        <v>700.928</v>
      </c>
      <c r="AK102" s="147">
        <f>JUN!$V31</f>
        <v>2049.4480000000003</v>
      </c>
      <c r="AL102" s="147">
        <f>JUL!$V31</f>
        <v>2369.4479999999999</v>
      </c>
      <c r="AM102" s="147">
        <f>AGO!$V31</f>
        <v>3923.7040000000002</v>
      </c>
      <c r="AN102" s="147">
        <f>SET!$V31</f>
        <v>901.55200000000013</v>
      </c>
      <c r="AO102" s="147">
        <f>OUT!$V31</f>
        <v>845.68</v>
      </c>
      <c r="AP102" s="147">
        <f>NOV!$V31</f>
        <v>2034.1920000000002</v>
      </c>
      <c r="AQ102" s="147">
        <f>DEZ!$V31</f>
        <v>1119.952</v>
      </c>
      <c r="AR102" s="177">
        <f t="shared" si="30"/>
        <v>24965.488000000001</v>
      </c>
      <c r="AT102" s="253"/>
    </row>
    <row r="103" spans="1:46">
      <c r="A103" s="214" t="s">
        <v>37</v>
      </c>
      <c r="B103" s="148">
        <f>SUM(B76:B102)</f>
        <v>1391224.9852849173</v>
      </c>
      <c r="C103" s="148">
        <f t="shared" ref="C103:D103" si="31">SUM(C76:C102)</f>
        <v>2950153.3240456334</v>
      </c>
      <c r="D103" s="148">
        <f t="shared" si="31"/>
        <v>3679943.4446564084</v>
      </c>
      <c r="E103" s="148">
        <f>SUM(E76:E102)</f>
        <v>4336060.7013697401</v>
      </c>
      <c r="F103" s="148">
        <f t="shared" ref="F103:N103" si="32">SUM(F76:F102)</f>
        <v>5205826.1013234798</v>
      </c>
      <c r="G103" s="148">
        <f t="shared" si="32"/>
        <v>6038654.7163672997</v>
      </c>
      <c r="H103" s="148">
        <f t="shared" si="32"/>
        <v>6382818.2120844787</v>
      </c>
      <c r="I103" s="148">
        <f t="shared" si="32"/>
        <v>6677443.1715718731</v>
      </c>
      <c r="J103" s="148">
        <f t="shared" si="32"/>
        <v>6909082.1764831701</v>
      </c>
      <c r="K103" s="148">
        <f t="shared" si="32"/>
        <v>7164648.4031096855</v>
      </c>
      <c r="L103" s="148">
        <f t="shared" si="32"/>
        <v>7360312.0106980139</v>
      </c>
      <c r="M103" s="148">
        <f t="shared" si="32"/>
        <v>7550076.8475458724</v>
      </c>
      <c r="N103" s="148">
        <f t="shared" si="32"/>
        <v>7550076.8475458724</v>
      </c>
      <c r="P103" s="215" t="s">
        <v>37</v>
      </c>
      <c r="Q103" s="148">
        <f>SUM(Q76:Q102)</f>
        <v>1078944.8880947211</v>
      </c>
      <c r="R103" s="148">
        <f t="shared" ref="R103:S103" si="33">SUM(R76:R102)</f>
        <v>2168802.441422672</v>
      </c>
      <c r="S103" s="148">
        <f t="shared" si="33"/>
        <v>2674858.6803159406</v>
      </c>
      <c r="T103" s="148">
        <f>SUM(T76:T102)</f>
        <v>3132481.7048870721</v>
      </c>
      <c r="U103" s="148">
        <f t="shared" ref="U103:AC103" si="34">SUM(U76:U102)</f>
        <v>3743352.0301863067</v>
      </c>
      <c r="V103" s="148">
        <f t="shared" si="34"/>
        <v>4294795.8104929803</v>
      </c>
      <c r="W103" s="148">
        <f t="shared" si="34"/>
        <v>4526173.3059490863</v>
      </c>
      <c r="X103" s="148">
        <f t="shared" si="34"/>
        <v>4725261.3249141248</v>
      </c>
      <c r="Y103" s="148">
        <f t="shared" si="34"/>
        <v>4880420.8908567037</v>
      </c>
      <c r="Z103" s="148">
        <f t="shared" si="34"/>
        <v>5054084.0582578499</v>
      </c>
      <c r="AA103" s="148">
        <f t="shared" si="34"/>
        <v>5191265.6399727445</v>
      </c>
      <c r="AB103" s="148">
        <f t="shared" si="34"/>
        <v>5320809.5219999989</v>
      </c>
      <c r="AC103" s="148">
        <f t="shared" si="34"/>
        <v>5320809.5219999989</v>
      </c>
      <c r="AE103" s="215" t="s">
        <v>37</v>
      </c>
      <c r="AF103" s="148">
        <f>SUM(AF76:AF102)</f>
        <v>1082747.8880000003</v>
      </c>
      <c r="AG103" s="148">
        <f t="shared" ref="AG103:AH103" si="35">SUM(AG76:AG102)</f>
        <v>1332967.5759999999</v>
      </c>
      <c r="AH103" s="148">
        <f t="shared" si="35"/>
        <v>669546.66400000011</v>
      </c>
      <c r="AI103" s="148">
        <f>SUM(AI76:AI102)</f>
        <v>274672.51999999996</v>
      </c>
      <c r="AJ103" s="148">
        <f t="shared" ref="AJ103:AR103" si="36">SUM(AJ76:AJ102)</f>
        <v>231092.79199999999</v>
      </c>
      <c r="AK103" s="148">
        <f t="shared" si="36"/>
        <v>359475.28</v>
      </c>
      <c r="AL103" s="148">
        <f t="shared" si="36"/>
        <v>432210.12799999997</v>
      </c>
      <c r="AM103" s="148">
        <f t="shared" si="36"/>
        <v>591266.92800000007</v>
      </c>
      <c r="AN103" s="148">
        <f t="shared" si="36"/>
        <v>199239.49599999998</v>
      </c>
      <c r="AO103" s="148">
        <f t="shared" si="36"/>
        <v>88172.143999999986</v>
      </c>
      <c r="AP103" s="148">
        <f t="shared" si="36"/>
        <v>152277.288</v>
      </c>
      <c r="AQ103" s="148">
        <f t="shared" si="36"/>
        <v>161765.19200000001</v>
      </c>
      <c r="AR103" s="148">
        <f t="shared" si="36"/>
        <v>5575433.8960000006</v>
      </c>
      <c r="AS103" s="62" t="b">
        <f>AR103='Anuid PJ'!AQ33</f>
        <v>1</v>
      </c>
      <c r="AT103" s="253"/>
    </row>
    <row r="104" spans="1:46">
      <c r="N104" s="62">
        <f>N103-SUM(D214:D240)</f>
        <v>0</v>
      </c>
      <c r="Q104" s="62">
        <f>Q103</f>
        <v>1078944.8880947211</v>
      </c>
      <c r="R104" s="62">
        <f>R103-Q103</f>
        <v>1089857.5533279509</v>
      </c>
      <c r="S104" s="62">
        <f>S103-R103</f>
        <v>506056.23889326863</v>
      </c>
      <c r="T104" s="62">
        <f t="shared" ref="T104:AB104" si="37">T103-S103</f>
        <v>457623.02457113145</v>
      </c>
      <c r="U104" s="62">
        <f t="shared" si="37"/>
        <v>610870.3252992346</v>
      </c>
      <c r="V104" s="62">
        <f t="shared" si="37"/>
        <v>551443.78030667361</v>
      </c>
      <c r="W104" s="62">
        <f t="shared" si="37"/>
        <v>231377.49545610603</v>
      </c>
      <c r="X104" s="62">
        <f t="shared" si="37"/>
        <v>199088.01896503847</v>
      </c>
      <c r="Y104" s="62">
        <f t="shared" si="37"/>
        <v>155159.56594257895</v>
      </c>
      <c r="Z104" s="62">
        <f t="shared" si="37"/>
        <v>173663.16740114614</v>
      </c>
      <c r="AA104" s="62">
        <f t="shared" si="37"/>
        <v>137181.58171489462</v>
      </c>
      <c r="AB104" s="62">
        <f t="shared" si="37"/>
        <v>129543.88202725444</v>
      </c>
      <c r="AC104" s="62">
        <f>SUM(Q104:AB104)</f>
        <v>5320809.5219999989</v>
      </c>
      <c r="AR104" s="62">
        <f>AR103-'TOTAL POR UF'!D32</f>
        <v>0</v>
      </c>
      <c r="AT104" s="253"/>
    </row>
    <row r="105" spans="1:46">
      <c r="A105" s="212" t="s">
        <v>241</v>
      </c>
      <c r="B105" s="147">
        <f>B103*0.2/0.8</f>
        <v>347806.24632122932</v>
      </c>
      <c r="C105" s="147">
        <f t="shared" ref="C105:M105" si="38">C103*0.2/0.8</f>
        <v>737538.33101140836</v>
      </c>
      <c r="D105" s="147">
        <f t="shared" si="38"/>
        <v>919985.8611641021</v>
      </c>
      <c r="E105" s="147">
        <f t="shared" si="38"/>
        <v>1084015.175342435</v>
      </c>
      <c r="F105" s="147">
        <f t="shared" si="38"/>
        <v>1301456.5253308699</v>
      </c>
      <c r="G105" s="147">
        <f t="shared" si="38"/>
        <v>1509663.6790918249</v>
      </c>
      <c r="H105" s="147">
        <f t="shared" si="38"/>
        <v>1595704.5530211197</v>
      </c>
      <c r="I105" s="147">
        <f t="shared" si="38"/>
        <v>1669360.7928929683</v>
      </c>
      <c r="J105" s="147">
        <f t="shared" si="38"/>
        <v>1727270.5441207928</v>
      </c>
      <c r="K105" s="147">
        <f t="shared" si="38"/>
        <v>1791162.1007774214</v>
      </c>
      <c r="L105" s="147">
        <f t="shared" si="38"/>
        <v>1840078.0026745035</v>
      </c>
      <c r="M105" s="147">
        <f t="shared" si="38"/>
        <v>1887519.2118864681</v>
      </c>
      <c r="N105" s="147">
        <f t="shared" ref="N105" si="39">M105</f>
        <v>1887519.2118864681</v>
      </c>
      <c r="P105" s="212" t="s">
        <v>241</v>
      </c>
      <c r="Q105" s="147">
        <f>'Médias por UF'!CG90*'Evolução das Receitas'!$S$241</f>
        <v>188175.28391562047</v>
      </c>
      <c r="R105" s="147">
        <f>'Médias por UF'!CH90*'Evolução das Receitas'!$S$241</f>
        <v>456420.07583136414</v>
      </c>
      <c r="S105" s="147">
        <f>'Médias por UF'!CI90*'Evolução das Receitas'!$S$241</f>
        <v>590789.6322803715</v>
      </c>
      <c r="T105" s="147">
        <f>'Médias por UF'!CJ90*'Evolução das Receitas'!$S$241</f>
        <v>708874.57676672935</v>
      </c>
      <c r="U105" s="147">
        <f>'Médias por UF'!CK90*'Evolução das Receitas'!$S$241</f>
        <v>854450.49867555685</v>
      </c>
      <c r="V105" s="147">
        <f>'Médias por UF'!CL90*'Evolução das Receitas'!$S$241</f>
        <v>1014850.8846692762</v>
      </c>
      <c r="W105" s="147">
        <f>'Médias por UF'!CM90*'Evolução das Receitas'!$S$241</f>
        <v>1083324.0853798683</v>
      </c>
      <c r="X105" s="147">
        <f>'Médias por UF'!CN90*'Evolução das Receitas'!$S$241</f>
        <v>1147102.5621665495</v>
      </c>
      <c r="Y105" s="147">
        <f>'Médias por UF'!CO90*'Evolução das Receitas'!$S$241</f>
        <v>1198388.7088733574</v>
      </c>
      <c r="Z105" s="147">
        <f>'Médias por UF'!CP90*'Evolução das Receitas'!$S$241</f>
        <v>1245258.9779010774</v>
      </c>
      <c r="AA105" s="147">
        <f>'Médias por UF'!CQ90*'Evolução das Receitas'!$S$241</f>
        <v>1283198.7716020877</v>
      </c>
      <c r="AB105" s="147">
        <f>'Médias por UF'!CR90*'Evolução das Receitas'!$S$241</f>
        <v>1319645.9160000002</v>
      </c>
      <c r="AC105" s="147">
        <f t="shared" ref="AC105" si="40">AB105</f>
        <v>1319645.9160000002</v>
      </c>
      <c r="AE105" s="213" t="s">
        <v>241</v>
      </c>
      <c r="AF105" s="147">
        <f>JAN!$AK$67</f>
        <v>270686.97200000007</v>
      </c>
      <c r="AG105" s="147">
        <f>FEV!$AK$67</f>
        <v>333241.89399999997</v>
      </c>
      <c r="AH105" s="147">
        <f>MAR!$AK$67</f>
        <v>167386.66600000003</v>
      </c>
      <c r="AI105" s="147">
        <f>ABR!$AL$67</f>
        <v>68668.12999999999</v>
      </c>
      <c r="AJ105" s="147">
        <f>MAI!$V$67</f>
        <v>57773.197999999997</v>
      </c>
      <c r="AK105" s="147">
        <f>JUN!$V$67</f>
        <v>89868.82</v>
      </c>
      <c r="AL105" s="147">
        <f>JUL!$V$67</f>
        <v>108052.53199999999</v>
      </c>
      <c r="AM105" s="147">
        <f>AGO!$V$67</f>
        <v>147816.73200000002</v>
      </c>
      <c r="AN105" s="147">
        <f>SET!$V$67</f>
        <v>49809.873999999996</v>
      </c>
      <c r="AO105" s="147">
        <f>OUT!$V$67</f>
        <v>22043.035999999996</v>
      </c>
      <c r="AP105" s="147">
        <f>NOV!$V$67</f>
        <v>38069.322</v>
      </c>
      <c r="AQ105" s="147">
        <f>DEZ!$V$67</f>
        <v>40441.298000000003</v>
      </c>
      <c r="AR105" s="177">
        <f t="shared" ref="AR105" si="41">SUM(AF105:AQ105)</f>
        <v>1393858.4740000002</v>
      </c>
      <c r="AS105" s="62" t="b">
        <f>AR105='Anuid PJ'!AQ34</f>
        <v>1</v>
      </c>
      <c r="AT105" s="253"/>
    </row>
    <row r="106" spans="1:46" ht="21">
      <c r="A106" s="1385" t="s">
        <v>290</v>
      </c>
      <c r="B106" s="1385"/>
      <c r="C106" s="1385"/>
      <c r="D106" s="1385"/>
      <c r="E106" s="1385"/>
      <c r="F106" s="1385"/>
      <c r="G106" s="1385"/>
      <c r="H106" s="1385"/>
      <c r="I106" s="1385"/>
      <c r="J106" s="1385"/>
      <c r="K106" s="1385"/>
      <c r="L106" s="1385"/>
      <c r="M106" s="1385"/>
      <c r="N106" s="1385"/>
      <c r="P106" s="1385" t="s">
        <v>129</v>
      </c>
      <c r="Q106" s="1385"/>
      <c r="R106" s="1385"/>
      <c r="S106" s="1385"/>
      <c r="T106" s="1385"/>
      <c r="U106" s="1385"/>
      <c r="V106" s="1385"/>
      <c r="W106" s="1385"/>
      <c r="X106" s="1385"/>
      <c r="Y106" s="1385"/>
      <c r="Z106" s="1385"/>
      <c r="AA106" s="1385"/>
      <c r="AB106" s="1385"/>
      <c r="AC106" s="1385"/>
      <c r="AE106" s="1385" t="s">
        <v>289</v>
      </c>
      <c r="AF106" s="1385"/>
      <c r="AG106" s="1385"/>
      <c r="AH106" s="1385"/>
      <c r="AI106" s="1385"/>
      <c r="AJ106" s="1385"/>
      <c r="AK106" s="1385"/>
      <c r="AL106" s="1385"/>
      <c r="AM106" s="1385"/>
      <c r="AN106" s="1385"/>
      <c r="AO106" s="1385"/>
      <c r="AP106" s="1385"/>
      <c r="AQ106" s="1385"/>
      <c r="AR106" s="1385"/>
      <c r="AT106" s="253"/>
    </row>
    <row r="107" spans="1:46"/>
    <row r="108" spans="1:46">
      <c r="A108" s="1386" t="s">
        <v>33</v>
      </c>
      <c r="B108" s="1389" t="s">
        <v>292</v>
      </c>
      <c r="C108" s="1390"/>
      <c r="D108" s="1390"/>
      <c r="E108" s="1390"/>
      <c r="F108" s="1390"/>
      <c r="G108" s="1390"/>
      <c r="H108" s="1390"/>
      <c r="I108" s="1390"/>
      <c r="J108" s="1390"/>
      <c r="K108" s="1390"/>
      <c r="L108" s="1390"/>
      <c r="M108" s="1390"/>
      <c r="P108" s="1386" t="s">
        <v>33</v>
      </c>
      <c r="Q108" s="1389" t="s">
        <v>292</v>
      </c>
      <c r="R108" s="1390"/>
      <c r="S108" s="1390"/>
      <c r="T108" s="1390"/>
      <c r="U108" s="1390"/>
      <c r="V108" s="1390"/>
      <c r="W108" s="1390"/>
      <c r="X108" s="1390"/>
      <c r="Y108" s="1390"/>
      <c r="Z108" s="1390"/>
      <c r="AA108" s="1390"/>
      <c r="AB108" s="1390"/>
      <c r="AE108" s="1386" t="s">
        <v>33</v>
      </c>
      <c r="AF108" s="1389" t="s">
        <v>292</v>
      </c>
      <c r="AG108" s="1390"/>
      <c r="AH108" s="1390"/>
      <c r="AI108" s="1390"/>
      <c r="AJ108" s="1390"/>
      <c r="AK108" s="1390"/>
      <c r="AL108" s="1390"/>
      <c r="AM108" s="1390"/>
      <c r="AN108" s="1390"/>
      <c r="AO108" s="1390"/>
      <c r="AP108" s="1390"/>
      <c r="AQ108" s="1390"/>
    </row>
    <row r="109" spans="1:46">
      <c r="A109" s="1387"/>
      <c r="B109" s="211" t="s">
        <v>116</v>
      </c>
      <c r="C109" s="211" t="s">
        <v>117</v>
      </c>
      <c r="D109" s="211" t="s">
        <v>118</v>
      </c>
      <c r="E109" s="211" t="s">
        <v>119</v>
      </c>
      <c r="F109" s="211" t="s">
        <v>120</v>
      </c>
      <c r="G109" s="211" t="s">
        <v>121</v>
      </c>
      <c r="H109" s="211" t="s">
        <v>122</v>
      </c>
      <c r="I109" s="211" t="s">
        <v>123</v>
      </c>
      <c r="J109" s="211" t="s">
        <v>124</v>
      </c>
      <c r="K109" s="211" t="s">
        <v>125</v>
      </c>
      <c r="L109" s="211" t="s">
        <v>126</v>
      </c>
      <c r="M109" s="211" t="s">
        <v>127</v>
      </c>
      <c r="N109" s="211" t="s">
        <v>128</v>
      </c>
      <c r="P109" s="1387"/>
      <c r="Q109" s="211" t="s">
        <v>116</v>
      </c>
      <c r="R109" s="211" t="s">
        <v>117</v>
      </c>
      <c r="S109" s="211" t="s">
        <v>118</v>
      </c>
      <c r="T109" s="211" t="s">
        <v>119</v>
      </c>
      <c r="U109" s="211" t="s">
        <v>120</v>
      </c>
      <c r="V109" s="211" t="s">
        <v>121</v>
      </c>
      <c r="W109" s="211" t="s">
        <v>122</v>
      </c>
      <c r="X109" s="211" t="s">
        <v>123</v>
      </c>
      <c r="Y109" s="211" t="s">
        <v>124</v>
      </c>
      <c r="Z109" s="211" t="s">
        <v>125</v>
      </c>
      <c r="AA109" s="211" t="s">
        <v>126</v>
      </c>
      <c r="AB109" s="211" t="s">
        <v>127</v>
      </c>
      <c r="AC109" s="211" t="s">
        <v>128</v>
      </c>
      <c r="AE109" s="1387"/>
      <c r="AF109" s="211" t="s">
        <v>116</v>
      </c>
      <c r="AG109" s="211" t="s">
        <v>117</v>
      </c>
      <c r="AH109" s="211" t="s">
        <v>118</v>
      </c>
      <c r="AI109" s="211" t="s">
        <v>119</v>
      </c>
      <c r="AJ109" s="211" t="s">
        <v>120</v>
      </c>
      <c r="AK109" s="211" t="s">
        <v>121</v>
      </c>
      <c r="AL109" s="211" t="s">
        <v>122</v>
      </c>
      <c r="AM109" s="211" t="s">
        <v>123</v>
      </c>
      <c r="AN109" s="211" t="s">
        <v>124</v>
      </c>
      <c r="AO109" s="211" t="s">
        <v>125</v>
      </c>
      <c r="AP109" s="211" t="s">
        <v>126</v>
      </c>
      <c r="AQ109" s="211" t="s">
        <v>127</v>
      </c>
      <c r="AR109" s="211" t="s">
        <v>128</v>
      </c>
    </row>
    <row r="110" spans="1:46">
      <c r="A110" s="212" t="s">
        <v>87</v>
      </c>
      <c r="B110" s="147">
        <f>$E$214*'Médias por UF'!CG93</f>
        <v>113.16780269141988</v>
      </c>
      <c r="C110" s="147">
        <f>$E$214*'Médias por UF'!CH93</f>
        <v>425.4521409600008</v>
      </c>
      <c r="D110" s="147">
        <f>$E$214*'Médias por UF'!CI93</f>
        <v>992.65817052011153</v>
      </c>
      <c r="E110" s="147">
        <f>$E$214*'Médias por UF'!CJ93</f>
        <v>1366.3495191893198</v>
      </c>
      <c r="F110" s="147">
        <f>$E$214*'Médias por UF'!CK93</f>
        <v>1625.1679581026121</v>
      </c>
      <c r="G110" s="147">
        <f>$E$214*'Médias por UF'!CL93</f>
        <v>2104.9565456211176</v>
      </c>
      <c r="H110" s="147">
        <f>$E$214*'Médias por UF'!CM93</f>
        <v>2230.6252921853593</v>
      </c>
      <c r="I110" s="147">
        <f>$E$214*'Médias por UF'!CN93</f>
        <v>2284.9028766021315</v>
      </c>
      <c r="J110" s="147">
        <f>$E$214*'Médias por UF'!CO93</f>
        <v>2303.4888920370058</v>
      </c>
      <c r="K110" s="147">
        <f>$E$214*'Médias por UF'!CP93</f>
        <v>2518.8792421838325</v>
      </c>
      <c r="L110" s="147">
        <f>$E$214*'Médias por UF'!CQ93</f>
        <v>2639.671190770347</v>
      </c>
      <c r="M110" s="147">
        <f>$E$214*'Médias por UF'!CR93</f>
        <v>2763.9080000000004</v>
      </c>
      <c r="N110" s="147">
        <f>M110</f>
        <v>2763.9080000000004</v>
      </c>
      <c r="P110" s="213" t="s">
        <v>87</v>
      </c>
      <c r="Q110" s="147">
        <f>'Médias por UF'!CG93*'Evolução das Receitas'!$T$214</f>
        <v>113.16780269141988</v>
      </c>
      <c r="R110" s="147">
        <f>'Médias por UF'!CH93*'Evolução das Receitas'!$T$214</f>
        <v>425.4521409600008</v>
      </c>
      <c r="S110" s="147">
        <f>'Médias por UF'!CI93*'Evolução das Receitas'!$T$214</f>
        <v>992.65817052011153</v>
      </c>
      <c r="T110" s="147">
        <f>'Médias por UF'!CJ93*'Evolução das Receitas'!$T$214</f>
        <v>1366.3495191893198</v>
      </c>
      <c r="U110" s="147">
        <f>'Médias por UF'!CK93*'Evolução das Receitas'!$T$214</f>
        <v>1625.1679581026121</v>
      </c>
      <c r="V110" s="147">
        <f>'Médias por UF'!CL93*'Evolução das Receitas'!$T$214</f>
        <v>2104.9565456211176</v>
      </c>
      <c r="W110" s="147">
        <f>'Médias por UF'!CM93*'Evolução das Receitas'!$T$214</f>
        <v>2230.6252921853593</v>
      </c>
      <c r="X110" s="147">
        <f>'Médias por UF'!CN93*'Evolução das Receitas'!$T$214</f>
        <v>2284.9028766021315</v>
      </c>
      <c r="Y110" s="147">
        <f>'Médias por UF'!CO93*'Evolução das Receitas'!$T$214</f>
        <v>2303.4888920370058</v>
      </c>
      <c r="Z110" s="147">
        <f>'Médias por UF'!CP93*'Evolução das Receitas'!$T$214</f>
        <v>2518.8792421838325</v>
      </c>
      <c r="AA110" s="147">
        <f>'Médias por UF'!CQ93*'Evolução das Receitas'!$T$214</f>
        <v>2639.671190770347</v>
      </c>
      <c r="AB110" s="147">
        <f>'Médias por UF'!CR93*'Evolução das Receitas'!$T$214</f>
        <v>2763.9080000000004</v>
      </c>
      <c r="AC110" s="147">
        <f>AB110</f>
        <v>2763.9080000000004</v>
      </c>
      <c r="AE110" s="213" t="s">
        <v>87</v>
      </c>
      <c r="AF110" s="147">
        <f>JAN!$AL$5</f>
        <v>420.52800000000002</v>
      </c>
      <c r="AG110" s="147">
        <f>FEV!$AL$5</f>
        <v>693.88800000000003</v>
      </c>
      <c r="AH110" s="147">
        <f>MAR!$AL5</f>
        <v>295.952</v>
      </c>
      <c r="AI110" s="147">
        <f>ABR!$AM5</f>
        <v>184.584</v>
      </c>
      <c r="AJ110" s="147">
        <f>MAI!$W5</f>
        <v>439.20000000000005</v>
      </c>
      <c r="AK110" s="147">
        <f>JUN!$W5</f>
        <v>295.49600000000004</v>
      </c>
      <c r="AL110" s="147">
        <f>JUL!$W5</f>
        <v>0</v>
      </c>
      <c r="AM110" s="147">
        <f>AGO!$W5</f>
        <v>0</v>
      </c>
      <c r="AN110" s="147">
        <f>SET!$W5</f>
        <v>527.64800000000002</v>
      </c>
      <c r="AO110" s="147">
        <f>OUT!$W5</f>
        <v>1757.1840000000002</v>
      </c>
      <c r="AP110" s="147">
        <f>NOV!$W5</f>
        <v>568.6</v>
      </c>
      <c r="AQ110" s="147">
        <f>DEZ!$W5</f>
        <v>0</v>
      </c>
      <c r="AR110" s="177">
        <f>SUM(AF110:AQ110)</f>
        <v>5183.0800000000008</v>
      </c>
    </row>
    <row r="111" spans="1:46">
      <c r="A111" s="212" t="s">
        <v>88</v>
      </c>
      <c r="B111" s="147">
        <f>$E$215*'Médias por UF'!CG94</f>
        <v>604.98553900710829</v>
      </c>
      <c r="C111" s="147">
        <f>$E$215*'Médias por UF'!CH94</f>
        <v>1261.3029180614085</v>
      </c>
      <c r="D111" s="147">
        <f>$E$215*'Médias por UF'!CI94</f>
        <v>1642.5695276145887</v>
      </c>
      <c r="E111" s="147">
        <f>$E$215*'Médias por UF'!CJ94</f>
        <v>2166.8176884592031</v>
      </c>
      <c r="F111" s="147">
        <f>$E$215*'Médias por UF'!CK94</f>
        <v>2437.1997692024279</v>
      </c>
      <c r="G111" s="147">
        <f>$E$215*'Médias por UF'!CL94</f>
        <v>2788.5399832239336</v>
      </c>
      <c r="H111" s="147">
        <f>$E$215*'Médias por UF'!CM94</f>
        <v>3137.8626255515405</v>
      </c>
      <c r="I111" s="147">
        <f>$E$215*'Médias por UF'!CN94</f>
        <v>3219.1024224681851</v>
      </c>
      <c r="J111" s="147">
        <f>$E$215*'Médias por UF'!CO94</f>
        <v>3594.3261979427548</v>
      </c>
      <c r="K111" s="147">
        <f>$E$215*'Médias por UF'!CP94</f>
        <v>3910.7147242831725</v>
      </c>
      <c r="L111" s="147">
        <f>$E$215*'Médias por UF'!CQ94</f>
        <v>4018.1905450846843</v>
      </c>
      <c r="M111" s="147">
        <f>$E$215*'Médias por UF'!CR94</f>
        <v>4062.65</v>
      </c>
      <c r="N111" s="147">
        <f t="shared" ref="N111:N136" si="42">M111</f>
        <v>4062.65</v>
      </c>
      <c r="P111" s="213" t="s">
        <v>88</v>
      </c>
      <c r="Q111" s="147">
        <f>'Médias por UF'!CG94*'Evolução das Receitas'!$T$215</f>
        <v>773.28369578154445</v>
      </c>
      <c r="R111" s="147">
        <f>'Médias por UF'!CH94*'Evolução das Receitas'!$T$215</f>
        <v>1612.1790011366086</v>
      </c>
      <c r="S111" s="147">
        <f>'Médias por UF'!CI94*'Evolução das Receitas'!$T$215</f>
        <v>2099.5084229228673</v>
      </c>
      <c r="T111" s="147">
        <f>'Médias por UF'!CJ94*'Evolução das Receitas'!$T$215</f>
        <v>2769.594779019782</v>
      </c>
      <c r="U111" s="147">
        <f>'Médias por UF'!CK94*'Evolução das Receitas'!$T$215</f>
        <v>3115.1932126837778</v>
      </c>
      <c r="V111" s="147">
        <f>'Médias por UF'!CL94*'Evolução das Receitas'!$T$215</f>
        <v>3564.2711520029798</v>
      </c>
      <c r="W111" s="147">
        <f>'Médias por UF'!CM94*'Evolução das Receitas'!$T$215</f>
        <v>4010.7702605975287</v>
      </c>
      <c r="X111" s="147">
        <f>'Médias por UF'!CN94*'Evolução das Receitas'!$T$215</f>
        <v>4114.6097846088733</v>
      </c>
      <c r="Y111" s="147">
        <f>'Médias por UF'!CO94*'Evolução das Receitas'!$T$215</f>
        <v>4594.215343975261</v>
      </c>
      <c r="Z111" s="147">
        <f>'Médias por UF'!CP94*'Evolução das Receitas'!$T$215</f>
        <v>4998.6185456665335</v>
      </c>
      <c r="AA111" s="147">
        <f>'Médias por UF'!CQ94*'Evolução das Receitas'!$T$215</f>
        <v>5135.9925729084835</v>
      </c>
      <c r="AB111" s="147">
        <f>'Médias por UF'!CR94*'Evolução das Receitas'!$T$215</f>
        <v>5192.82</v>
      </c>
      <c r="AC111" s="147">
        <f t="shared" ref="AC111:AC136" si="43">AB111</f>
        <v>5192.82</v>
      </c>
      <c r="AE111" s="213" t="s">
        <v>88</v>
      </c>
      <c r="AF111" s="147">
        <f>JAN!$AL$6</f>
        <v>1131.8399999999999</v>
      </c>
      <c r="AG111" s="147">
        <f>FEV!$AL$6</f>
        <v>568</v>
      </c>
      <c r="AH111" s="147">
        <f>MAR!$AL6</f>
        <v>325.03200000000004</v>
      </c>
      <c r="AI111" s="147">
        <f>ABR!$AM6</f>
        <v>506.52800000000002</v>
      </c>
      <c r="AJ111" s="147">
        <f>MAI!$W6</f>
        <v>233.80799999999999</v>
      </c>
      <c r="AK111" s="147">
        <f>JUN!$W6</f>
        <v>297.44</v>
      </c>
      <c r="AL111" s="147">
        <f>JUL!$W6</f>
        <v>254.14399999999989</v>
      </c>
      <c r="AM111" s="147">
        <f>AGO!$W6</f>
        <v>64.247999999999962</v>
      </c>
      <c r="AN111" s="147">
        <f>SET!$W6</f>
        <v>335.32799999999992</v>
      </c>
      <c r="AO111" s="147">
        <f>OUT!$W6</f>
        <v>335.31200000000007</v>
      </c>
      <c r="AP111" s="147">
        <f>NOV!$W6</f>
        <v>589.48</v>
      </c>
      <c r="AQ111" s="147">
        <f>DEZ!$W6</f>
        <v>760.60799999999983</v>
      </c>
      <c r="AR111" s="177">
        <f t="shared" ref="AR111:AR136" si="44">SUM(AF111:AQ111)</f>
        <v>5401.768</v>
      </c>
    </row>
    <row r="112" spans="1:46">
      <c r="A112" s="212" t="s">
        <v>89</v>
      </c>
      <c r="B112" s="147">
        <f>$E$216*'Médias por UF'!CG95</f>
        <v>1010.5876355533542</v>
      </c>
      <c r="C112" s="147">
        <f>$E$216*'Médias por UF'!CH95</f>
        <v>1489.00163633893</v>
      </c>
      <c r="D112" s="147">
        <f>$E$216*'Médias por UF'!CI95</f>
        <v>2116.8651995024306</v>
      </c>
      <c r="E112" s="147">
        <f>$E$216*'Médias por UF'!CJ95</f>
        <v>2695.2274420828148</v>
      </c>
      <c r="F112" s="147">
        <f>$E$216*'Médias por UF'!CK95</f>
        <v>3290.2837329874251</v>
      </c>
      <c r="G112" s="147">
        <f>$E$216*'Médias por UF'!CL95</f>
        <v>4225.7537152684081</v>
      </c>
      <c r="H112" s="147">
        <f>$E$216*'Médias por UF'!CM95</f>
        <v>5038.7241086808654</v>
      </c>
      <c r="I112" s="147">
        <f>$E$216*'Médias por UF'!CN95</f>
        <v>5241.3101009742595</v>
      </c>
      <c r="J112" s="147">
        <f>$E$216*'Médias por UF'!CO95</f>
        <v>5638.5850397720242</v>
      </c>
      <c r="K112" s="147">
        <f>$E$216*'Médias por UF'!CP95</f>
        <v>6008.0558750133659</v>
      </c>
      <c r="L112" s="147">
        <f>$E$216*'Médias por UF'!CQ95</f>
        <v>6385.1404486296842</v>
      </c>
      <c r="M112" s="147">
        <f>$E$216*'Médias por UF'!CR95</f>
        <v>6948.27</v>
      </c>
      <c r="N112" s="147">
        <f t="shared" si="42"/>
        <v>6948.27</v>
      </c>
      <c r="P112" s="213" t="s">
        <v>89</v>
      </c>
      <c r="Q112" s="147">
        <f>'Médias por UF'!CG95*'Evolução das Receitas'!$T$216</f>
        <v>1010.5876355533542</v>
      </c>
      <c r="R112" s="147">
        <f>'Médias por UF'!CH95*'Evolução das Receitas'!$T$216</f>
        <v>1489.00163633893</v>
      </c>
      <c r="S112" s="147">
        <f>'Médias por UF'!CI95*'Evolução das Receitas'!$T$216</f>
        <v>2116.8651995024306</v>
      </c>
      <c r="T112" s="147">
        <f>'Médias por UF'!CJ95*'Evolução das Receitas'!$T$216</f>
        <v>2695.2274420828148</v>
      </c>
      <c r="U112" s="147">
        <f>'Médias por UF'!CK95*'Evolução das Receitas'!$T$216</f>
        <v>3290.2837329874251</v>
      </c>
      <c r="V112" s="147">
        <f>'Médias por UF'!CL95*'Evolução das Receitas'!$T$216</f>
        <v>4225.7537152684081</v>
      </c>
      <c r="W112" s="147">
        <f>'Médias por UF'!CM95*'Evolução das Receitas'!$T$216</f>
        <v>5038.7241086808654</v>
      </c>
      <c r="X112" s="147">
        <f>'Médias por UF'!CN95*'Evolução das Receitas'!$T$216</f>
        <v>5241.3101009742595</v>
      </c>
      <c r="Y112" s="147">
        <f>'Médias por UF'!CO95*'Evolução das Receitas'!$T$216</f>
        <v>5638.5850397720242</v>
      </c>
      <c r="Z112" s="147">
        <f>'Médias por UF'!CP95*'Evolução das Receitas'!$T$216</f>
        <v>6008.0558750133659</v>
      </c>
      <c r="AA112" s="147">
        <f>'Médias por UF'!CQ95*'Evolução das Receitas'!$T$216</f>
        <v>6385.1404486296842</v>
      </c>
      <c r="AB112" s="147">
        <f>'Médias por UF'!CR95*'Evolução das Receitas'!$T$216</f>
        <v>6948.27</v>
      </c>
      <c r="AC112" s="147">
        <f t="shared" si="43"/>
        <v>6948.27</v>
      </c>
      <c r="AE112" s="213" t="s">
        <v>89</v>
      </c>
      <c r="AF112" s="147">
        <f>JAN!$AL$7</f>
        <v>3040.6640000000002</v>
      </c>
      <c r="AG112" s="147">
        <f>FEV!$AL$7</f>
        <v>793.95200000000011</v>
      </c>
      <c r="AH112" s="147">
        <f>MAR!$AL7</f>
        <v>1394.96</v>
      </c>
      <c r="AI112" s="147">
        <f>ABR!$AM7</f>
        <v>871.51200000000017</v>
      </c>
      <c r="AJ112" s="147">
        <f>MAI!$W7</f>
        <v>311.56799999999998</v>
      </c>
      <c r="AK112" s="147">
        <f>JUN!$W7</f>
        <v>435.63200000000001</v>
      </c>
      <c r="AL112" s="147">
        <f>JUL!$W7</f>
        <v>1225.992</v>
      </c>
      <c r="AM112" s="147">
        <f>AGO!$W7</f>
        <v>659.17599999999948</v>
      </c>
      <c r="AN112" s="147">
        <f>SET!$W7</f>
        <v>511.61599999999999</v>
      </c>
      <c r="AO112" s="147">
        <f>OUT!$W7</f>
        <v>1221.912</v>
      </c>
      <c r="AP112" s="147">
        <f>NOV!$W7</f>
        <v>242.01599999999999</v>
      </c>
      <c r="AQ112" s="147">
        <f>DEZ!$W7</f>
        <v>330.03199999999998</v>
      </c>
      <c r="AR112" s="177">
        <f t="shared" si="44"/>
        <v>11039.032000000001</v>
      </c>
    </row>
    <row r="113" spans="1:44">
      <c r="A113" s="212" t="s">
        <v>90</v>
      </c>
      <c r="B113" s="147">
        <f>$E$217*'Médias por UF'!CG96</f>
        <v>1838.7993570360313</v>
      </c>
      <c r="C113" s="147">
        <f>$E$217*'Médias por UF'!CH96</f>
        <v>2926.5409667677086</v>
      </c>
      <c r="D113" s="147">
        <f>$E$217*'Médias por UF'!CI96</f>
        <v>4464.7988999151894</v>
      </c>
      <c r="E113" s="147">
        <f>$E$217*'Médias por UF'!CJ96</f>
        <v>5984.7930113361717</v>
      </c>
      <c r="F113" s="147">
        <f>$E$217*'Médias por UF'!CK96</f>
        <v>6942.5153989786195</v>
      </c>
      <c r="G113" s="147">
        <f>$E$217*'Médias por UF'!CL96</f>
        <v>7962.4186087655262</v>
      </c>
      <c r="H113" s="147">
        <f>$E$217*'Médias por UF'!CM96</f>
        <v>8382.8070753700067</v>
      </c>
      <c r="I113" s="147">
        <f>$E$217*'Médias por UF'!CN96</f>
        <v>9382.2053513778792</v>
      </c>
      <c r="J113" s="147">
        <f>$E$217*'Médias por UF'!CO96</f>
        <v>10017.461075575824</v>
      </c>
      <c r="K113" s="147">
        <f>$E$217*'Médias por UF'!CP96</f>
        <v>10625.513005622077</v>
      </c>
      <c r="L113" s="147">
        <f>$E$217*'Médias por UF'!CQ96</f>
        <v>11259.140666732601</v>
      </c>
      <c r="M113" s="147">
        <f>$E$217*'Médias por UF'!CR96</f>
        <v>12255.076999999999</v>
      </c>
      <c r="N113" s="147">
        <f t="shared" si="42"/>
        <v>12255.076999999999</v>
      </c>
      <c r="P113" s="213" t="s">
        <v>90</v>
      </c>
      <c r="Q113" s="147">
        <f>'Médias por UF'!CG96*'Evolução das Receitas'!$T$217</f>
        <v>2277.7216818441093</v>
      </c>
      <c r="R113" s="147">
        <f>'Médias por UF'!CH96*'Evolução das Receitas'!$T$217</f>
        <v>3625.1077570293132</v>
      </c>
      <c r="S113" s="147">
        <f>'Médias por UF'!CI96*'Evolução das Receitas'!$T$217</f>
        <v>5530.5486270143838</v>
      </c>
      <c r="T113" s="147">
        <f>'Médias por UF'!CJ96*'Evolução das Receitas'!$T$217</f>
        <v>7413.3660919060148</v>
      </c>
      <c r="U113" s="147">
        <f>'Médias por UF'!CK96*'Evolução das Receitas'!$T$217</f>
        <v>8599.6972917585972</v>
      </c>
      <c r="V113" s="147">
        <f>'Médias por UF'!CL96*'Evolução das Receitas'!$T$217</f>
        <v>9863.0519070541905</v>
      </c>
      <c r="W113" s="147">
        <f>'Médias por UF'!CM96*'Evolução das Receitas'!$T$217</f>
        <v>10383.787310576228</v>
      </c>
      <c r="X113" s="147">
        <f>'Médias por UF'!CN96*'Evolução das Receitas'!$T$217</f>
        <v>11621.742454159712</v>
      </c>
      <c r="Y113" s="147">
        <f>'Médias por UF'!CO96*'Evolução das Receitas'!$T$217</f>
        <v>12408.634036965985</v>
      </c>
      <c r="Z113" s="147">
        <f>'Médias por UF'!CP96*'Evolução das Receitas'!$T$217</f>
        <v>13161.828266371171</v>
      </c>
      <c r="AA113" s="147">
        <f>'Médias por UF'!CQ96*'Evolução das Receitas'!$T$217</f>
        <v>13946.703166618014</v>
      </c>
      <c r="AB113" s="147">
        <f>'Médias por UF'!CR96*'Evolução das Receitas'!$T$217</f>
        <v>15180.37</v>
      </c>
      <c r="AC113" s="147">
        <f t="shared" si="43"/>
        <v>15180.37</v>
      </c>
      <c r="AE113" s="213" t="s">
        <v>90</v>
      </c>
      <c r="AF113" s="147">
        <f>JAN!$AL$8</f>
        <v>1523.9760000000001</v>
      </c>
      <c r="AG113" s="147">
        <f>FEV!$AL$8</f>
        <v>2352.4320000000002</v>
      </c>
      <c r="AH113" s="147">
        <f>MAR!$AL8</f>
        <v>4690.424</v>
      </c>
      <c r="AI113" s="147">
        <f>ABR!$AM8</f>
        <v>824.24</v>
      </c>
      <c r="AJ113" s="147">
        <f>MAI!$W8</f>
        <v>801.37600000000009</v>
      </c>
      <c r="AK113" s="147">
        <f>JUN!$W8</f>
        <v>0</v>
      </c>
      <c r="AL113" s="147">
        <f>JUL!$W8</f>
        <v>1741.2720000000002</v>
      </c>
      <c r="AM113" s="147">
        <f>AGO!$W8</f>
        <v>412.20799999999946</v>
      </c>
      <c r="AN113" s="147">
        <f>SET!$W8</f>
        <v>762.95999999999992</v>
      </c>
      <c r="AO113" s="147">
        <f>OUT!$W8</f>
        <v>1483.1279999999999</v>
      </c>
      <c r="AP113" s="147">
        <f>NOV!$W8</f>
        <v>1795.0560000000003</v>
      </c>
      <c r="AQ113" s="147">
        <f>DEZ!$W8</f>
        <v>1848.4160000000004</v>
      </c>
      <c r="AR113" s="177">
        <f t="shared" si="44"/>
        <v>18235.488000000001</v>
      </c>
    </row>
    <row r="114" spans="1:44">
      <c r="A114" s="212" t="s">
        <v>91</v>
      </c>
      <c r="B114" s="147">
        <f>$E$218*'Médias por UF'!CG97</f>
        <v>2657.8807366012916</v>
      </c>
      <c r="C114" s="147">
        <f>$E$218*'Médias por UF'!CH97</f>
        <v>6130.8255425102925</v>
      </c>
      <c r="D114" s="147">
        <f>$E$218*'Médias por UF'!CI97</f>
        <v>8604.2687122544085</v>
      </c>
      <c r="E114" s="147">
        <f>$E$218*'Médias por UF'!CJ97</f>
        <v>9891.237379508615</v>
      </c>
      <c r="F114" s="147">
        <f>$E$218*'Médias por UF'!CK97</f>
        <v>13001.431265907559</v>
      </c>
      <c r="G114" s="147">
        <f>$E$218*'Médias por UF'!CL97</f>
        <v>15415.827459019005</v>
      </c>
      <c r="H114" s="147">
        <f>$E$218*'Médias por UF'!CM97</f>
        <v>18207.623037556285</v>
      </c>
      <c r="I114" s="147">
        <f>$E$218*'Médias por UF'!CN97</f>
        <v>20219.208501141595</v>
      </c>
      <c r="J114" s="147">
        <f>$E$218*'Médias por UF'!CO97</f>
        <v>21806.408062334507</v>
      </c>
      <c r="K114" s="147">
        <f>$E$218*'Médias por UF'!CP97</f>
        <v>23071.21035853912</v>
      </c>
      <c r="L114" s="147">
        <f>$E$218*'Médias por UF'!CQ97</f>
        <v>24192.983147489445</v>
      </c>
      <c r="M114" s="147">
        <f>$E$218*'Médias por UF'!CR97</f>
        <v>25000</v>
      </c>
      <c r="N114" s="147">
        <f t="shared" si="42"/>
        <v>25000</v>
      </c>
      <c r="P114" s="213" t="s">
        <v>91</v>
      </c>
      <c r="Q114" s="147">
        <f>'Médias por UF'!CG97*'Evolução das Receitas'!$T$218</f>
        <v>2657.8807366012916</v>
      </c>
      <c r="R114" s="147">
        <f>'Médias por UF'!CH97*'Evolução das Receitas'!$T$218</f>
        <v>6130.8255425102925</v>
      </c>
      <c r="S114" s="147">
        <f>'Médias por UF'!CI97*'Evolução das Receitas'!$T$218</f>
        <v>8604.2687122544085</v>
      </c>
      <c r="T114" s="147">
        <f>'Médias por UF'!CJ97*'Evolução das Receitas'!$T$218</f>
        <v>9891.237379508615</v>
      </c>
      <c r="U114" s="147">
        <f>'Médias por UF'!CK97*'Evolução das Receitas'!$T$218</f>
        <v>13001.431265907559</v>
      </c>
      <c r="V114" s="147">
        <f>'Médias por UF'!CL97*'Evolução das Receitas'!$T$218</f>
        <v>15415.827459019005</v>
      </c>
      <c r="W114" s="147">
        <f>'Médias por UF'!CM97*'Evolução das Receitas'!$T$218</f>
        <v>18207.623037556285</v>
      </c>
      <c r="X114" s="147">
        <f>'Médias por UF'!CN97*'Evolução das Receitas'!$T$218</f>
        <v>20219.208501141595</v>
      </c>
      <c r="Y114" s="147">
        <f>'Médias por UF'!CO97*'Evolução das Receitas'!$T$218</f>
        <v>21806.408062334507</v>
      </c>
      <c r="Z114" s="147">
        <f>'Médias por UF'!CP97*'Evolução das Receitas'!$T$218</f>
        <v>23071.21035853912</v>
      </c>
      <c r="AA114" s="147">
        <f>'Médias por UF'!CQ97*'Evolução das Receitas'!$T$218</f>
        <v>24192.983147489445</v>
      </c>
      <c r="AB114" s="147">
        <f>'Médias por UF'!CR97*'Evolução das Receitas'!$T$218</f>
        <v>25000</v>
      </c>
      <c r="AC114" s="147">
        <f t="shared" si="43"/>
        <v>25000</v>
      </c>
      <c r="AE114" s="213" t="s">
        <v>91</v>
      </c>
      <c r="AF114" s="147">
        <f>JAN!$AL$9</f>
        <v>3606.4400000000005</v>
      </c>
      <c r="AG114" s="147">
        <f>FEV!$AL$9</f>
        <v>2710.0320000000002</v>
      </c>
      <c r="AH114" s="147">
        <f>MAR!$AL9</f>
        <v>3676.6080000000002</v>
      </c>
      <c r="AI114" s="147">
        <f>ABR!$AM9</f>
        <v>1494.7920000000001</v>
      </c>
      <c r="AJ114" s="147">
        <f>MAI!$W9</f>
        <v>1919.3440000000001</v>
      </c>
      <c r="AK114" s="147">
        <f>JUN!$W9</f>
        <v>1449.5440000000001</v>
      </c>
      <c r="AL114" s="147">
        <f>JUL!$W9</f>
        <v>1998.8319999999978</v>
      </c>
      <c r="AM114" s="147">
        <f>AGO!$W9</f>
        <v>4831.0880000000006</v>
      </c>
      <c r="AN114" s="147">
        <f>SET!$W9</f>
        <v>1290.3919999999998</v>
      </c>
      <c r="AO114" s="147">
        <f>OUT!$W9</f>
        <v>4229.9040000000005</v>
      </c>
      <c r="AP114" s="147">
        <f>NOV!$W9</f>
        <v>3076.0880000000002</v>
      </c>
      <c r="AQ114" s="147">
        <f>DEZ!$W9</f>
        <v>3087.3120000000013</v>
      </c>
      <c r="AR114" s="177">
        <f t="shared" si="44"/>
        <v>33370.375999999997</v>
      </c>
    </row>
    <row r="115" spans="1:44">
      <c r="A115" s="212" t="s">
        <v>92</v>
      </c>
      <c r="B115" s="147">
        <f>$E$219*'Médias por UF'!CG98</f>
        <v>698.88383728295253</v>
      </c>
      <c r="C115" s="147">
        <f>$E$219*'Médias por UF'!CH98</f>
        <v>1590.7202181628766</v>
      </c>
      <c r="D115" s="147">
        <f>$E$219*'Médias por UF'!CI98</f>
        <v>2920.9446327119849</v>
      </c>
      <c r="E115" s="147">
        <f>$E$219*'Médias por UF'!CJ98</f>
        <v>3833.7055927716137</v>
      </c>
      <c r="F115" s="147">
        <f>$E$219*'Médias por UF'!CK98</f>
        <v>4481.8659531466319</v>
      </c>
      <c r="G115" s="147">
        <f>$E$219*'Médias por UF'!CL98</f>
        <v>5104.539806580633</v>
      </c>
      <c r="H115" s="147">
        <f>$E$219*'Médias por UF'!CM98</f>
        <v>5657.2143806897748</v>
      </c>
      <c r="I115" s="147">
        <f>$E$219*'Médias por UF'!CN98</f>
        <v>6303.3761955306145</v>
      </c>
      <c r="J115" s="147">
        <f>$E$219*'Médias por UF'!CO98</f>
        <v>6833.2435976856004</v>
      </c>
      <c r="K115" s="147">
        <f>$E$219*'Médias por UF'!CP98</f>
        <v>7576.0049264783293</v>
      </c>
      <c r="L115" s="147">
        <f>$E$219*'Médias por UF'!CQ98</f>
        <v>8243.9200958178062</v>
      </c>
      <c r="M115" s="147">
        <f>$E$219*'Médias por UF'!CR98</f>
        <v>8679</v>
      </c>
      <c r="N115" s="147">
        <f t="shared" si="42"/>
        <v>8679</v>
      </c>
      <c r="P115" s="213" t="s">
        <v>92</v>
      </c>
      <c r="Q115" s="147">
        <f>'Médias por UF'!CG98*'Evolução das Receitas'!$T$219</f>
        <v>698.88383728295253</v>
      </c>
      <c r="R115" s="147">
        <f>'Médias por UF'!CH98*'Evolução das Receitas'!$T$219</f>
        <v>1590.7202181628766</v>
      </c>
      <c r="S115" s="147">
        <f>'Médias por UF'!CI98*'Evolução das Receitas'!$T$219</f>
        <v>2920.9446327119849</v>
      </c>
      <c r="T115" s="147">
        <f>'Médias por UF'!CJ98*'Evolução das Receitas'!$T$219</f>
        <v>3833.7055927716137</v>
      </c>
      <c r="U115" s="147">
        <f>'Médias por UF'!CK98*'Evolução das Receitas'!$T$219</f>
        <v>4481.8659531466319</v>
      </c>
      <c r="V115" s="147">
        <f>'Médias por UF'!CL98*'Evolução das Receitas'!$T$219</f>
        <v>5104.539806580633</v>
      </c>
      <c r="W115" s="147">
        <f>'Médias por UF'!CM98*'Evolução das Receitas'!$T$219</f>
        <v>5657.2143806897748</v>
      </c>
      <c r="X115" s="147">
        <f>'Médias por UF'!CN98*'Evolução das Receitas'!$T$219</f>
        <v>6303.3761955306145</v>
      </c>
      <c r="Y115" s="147">
        <f>'Médias por UF'!CO98*'Evolução das Receitas'!$T$219</f>
        <v>6833.2435976856004</v>
      </c>
      <c r="Z115" s="147">
        <f>'Médias por UF'!CP98*'Evolução das Receitas'!$T$219</f>
        <v>7576.0049264783293</v>
      </c>
      <c r="AA115" s="147">
        <f>'Médias por UF'!CQ98*'Evolução das Receitas'!$T$219</f>
        <v>8243.9200958178062</v>
      </c>
      <c r="AB115" s="147">
        <f>'Médias por UF'!CR98*'Evolução das Receitas'!$T$219</f>
        <v>8679</v>
      </c>
      <c r="AC115" s="147">
        <f t="shared" si="43"/>
        <v>8679</v>
      </c>
      <c r="AE115" s="213" t="s">
        <v>92</v>
      </c>
      <c r="AF115" s="147">
        <f>JAN!$AL$10</f>
        <v>1410.6080000000002</v>
      </c>
      <c r="AG115" s="147">
        <f>FEV!$AL$10</f>
        <v>800.73599999999999</v>
      </c>
      <c r="AH115" s="147">
        <f>MAR!$AL10</f>
        <v>655.98400000000004</v>
      </c>
      <c r="AI115" s="147">
        <f>ABR!$AM10</f>
        <v>88.448000000000008</v>
      </c>
      <c r="AJ115" s="147">
        <f>MAI!$W10</f>
        <v>1261.384</v>
      </c>
      <c r="AK115" s="147">
        <f>JUN!$W10</f>
        <v>678.08</v>
      </c>
      <c r="AL115" s="147">
        <f>JUL!$W10</f>
        <v>0</v>
      </c>
      <c r="AM115" s="147">
        <f>AGO!$W10</f>
        <v>36.688000000000464</v>
      </c>
      <c r="AN115" s="147">
        <f>SET!$W10</f>
        <v>788.47200000000021</v>
      </c>
      <c r="AO115" s="147">
        <f>OUT!$W10</f>
        <v>959.5200000000001</v>
      </c>
      <c r="AP115" s="147">
        <f>NOV!$W10</f>
        <v>267.24</v>
      </c>
      <c r="AQ115" s="147">
        <f>DEZ!$W10</f>
        <v>694.87199999999984</v>
      </c>
      <c r="AR115" s="177">
        <f t="shared" si="44"/>
        <v>7642.0319999999992</v>
      </c>
    </row>
    <row r="116" spans="1:44">
      <c r="A116" s="212" t="s">
        <v>93</v>
      </c>
      <c r="B116" s="147">
        <f>$E$220*'Médias por UF'!CG99</f>
        <v>3337.9354003244985</v>
      </c>
      <c r="C116" s="147">
        <f>$E$220*'Médias por UF'!CH99</f>
        <v>5496.4508781103141</v>
      </c>
      <c r="D116" s="147">
        <f>$E$220*'Médias por UF'!CI99</f>
        <v>7934.8113428126899</v>
      </c>
      <c r="E116" s="147">
        <f>$E$220*'Médias por UF'!CJ99</f>
        <v>11294.352492609678</v>
      </c>
      <c r="F116" s="147">
        <f>$E$220*'Médias por UF'!CK99</f>
        <v>14631.559510275527</v>
      </c>
      <c r="G116" s="147">
        <f>$E$220*'Médias por UF'!CL99</f>
        <v>17107.433285021307</v>
      </c>
      <c r="H116" s="147">
        <f>$E$220*'Médias por UF'!CM99</f>
        <v>20242.72770950069</v>
      </c>
      <c r="I116" s="147">
        <f>$E$220*'Médias por UF'!CN99</f>
        <v>21755.969846369266</v>
      </c>
      <c r="J116" s="147">
        <f>$E$220*'Médias por UF'!CO99</f>
        <v>24189.295955801364</v>
      </c>
      <c r="K116" s="147">
        <f>$E$220*'Médias por UF'!CP99</f>
        <v>26654.047697659069</v>
      </c>
      <c r="L116" s="147">
        <f>$E$220*'Médias por UF'!CQ99</f>
        <v>28223.122206410382</v>
      </c>
      <c r="M116" s="147">
        <f>$E$220*'Médias por UF'!CR99</f>
        <v>30000</v>
      </c>
      <c r="N116" s="147">
        <f t="shared" si="42"/>
        <v>30000</v>
      </c>
      <c r="P116" s="213" t="s">
        <v>93</v>
      </c>
      <c r="Q116" s="147">
        <f>'Médias por UF'!CG99*'Evolução das Receitas'!$T$220</f>
        <v>3337.9354003244985</v>
      </c>
      <c r="R116" s="147">
        <f>'Médias por UF'!CH99*'Evolução das Receitas'!$T$220</f>
        <v>5496.4508781103141</v>
      </c>
      <c r="S116" s="147">
        <f>'Médias por UF'!CI99*'Evolução das Receitas'!$T$220</f>
        <v>7934.8113428126899</v>
      </c>
      <c r="T116" s="147">
        <f>'Médias por UF'!CJ99*'Evolução das Receitas'!$T$220</f>
        <v>11294.352492609678</v>
      </c>
      <c r="U116" s="147">
        <f>'Médias por UF'!CK99*'Evolução das Receitas'!$T$220</f>
        <v>14631.559510275527</v>
      </c>
      <c r="V116" s="147">
        <f>'Médias por UF'!CL99*'Evolução das Receitas'!$T$220</f>
        <v>17107.433285021307</v>
      </c>
      <c r="W116" s="147">
        <f>'Médias por UF'!CM99*'Evolução das Receitas'!$T$220</f>
        <v>20242.72770950069</v>
      </c>
      <c r="X116" s="147">
        <f>'Médias por UF'!CN99*'Evolução das Receitas'!$T$220</f>
        <v>21755.969846369266</v>
      </c>
      <c r="Y116" s="147">
        <f>'Médias por UF'!CO99*'Evolução das Receitas'!$T$220</f>
        <v>24189.295955801364</v>
      </c>
      <c r="Z116" s="147">
        <f>'Médias por UF'!CP99*'Evolução das Receitas'!$T$220</f>
        <v>26654.047697659069</v>
      </c>
      <c r="AA116" s="147">
        <f>'Médias por UF'!CQ99*'Evolução das Receitas'!$T$220</f>
        <v>28223.122206410382</v>
      </c>
      <c r="AB116" s="147">
        <f>'Médias por UF'!CR99*'Evolução das Receitas'!$T$220</f>
        <v>30000</v>
      </c>
      <c r="AC116" s="147">
        <f t="shared" si="43"/>
        <v>30000</v>
      </c>
      <c r="AE116" s="213" t="s">
        <v>93</v>
      </c>
      <c r="AF116" s="147">
        <f>JAN!$AL$11</f>
        <v>7419.1759999999995</v>
      </c>
      <c r="AG116" s="147">
        <f>FEV!$AL$11</f>
        <v>3635.1120000000005</v>
      </c>
      <c r="AH116" s="147">
        <f>MAR!$AL11</f>
        <v>1122</v>
      </c>
      <c r="AI116" s="147">
        <f>ABR!$AM11</f>
        <v>1098.0160000000001</v>
      </c>
      <c r="AJ116" s="147">
        <f>MAI!$W11</f>
        <v>619.13599999999997</v>
      </c>
      <c r="AK116" s="147">
        <f>JUN!$W11</f>
        <v>2493.3040000000001</v>
      </c>
      <c r="AL116" s="147">
        <f>JUL!$W11</f>
        <v>353.79199999999986</v>
      </c>
      <c r="AM116" s="147">
        <f>AGO!$W11</f>
        <v>4806.0960000000023</v>
      </c>
      <c r="AN116" s="147">
        <f>SET!$W11</f>
        <v>1762.768</v>
      </c>
      <c r="AO116" s="147">
        <f>OUT!$W11</f>
        <v>962.1519999999997</v>
      </c>
      <c r="AP116" s="147">
        <f>NOV!$W11</f>
        <v>850.36800000000005</v>
      </c>
      <c r="AQ116" s="147">
        <f>DEZ!$W11</f>
        <v>2356.2720000000004</v>
      </c>
      <c r="AR116" s="177">
        <f t="shared" si="44"/>
        <v>27478.191999999999</v>
      </c>
    </row>
    <row r="117" spans="1:44">
      <c r="A117" s="212" t="s">
        <v>94</v>
      </c>
      <c r="B117" s="147">
        <f>$E$221*'Médias por UF'!CG100</f>
        <v>2675.0854837185439</v>
      </c>
      <c r="C117" s="147">
        <f>$E$221*'Médias por UF'!CH100</f>
        <v>4242.5058194845251</v>
      </c>
      <c r="D117" s="147">
        <f>$E$221*'Médias por UF'!CI100</f>
        <v>5359.1431592827648</v>
      </c>
      <c r="E117" s="147">
        <f>$E$221*'Médias por UF'!CJ100</f>
        <v>6390.7411127116784</v>
      </c>
      <c r="F117" s="147">
        <f>$E$221*'Médias por UF'!CK100</f>
        <v>7162.6341217348772</v>
      </c>
      <c r="G117" s="147">
        <f>$E$221*'Médias por UF'!CL100</f>
        <v>8315.8963146076167</v>
      </c>
      <c r="H117" s="147">
        <f>$E$221*'Médias por UF'!CM100</f>
        <v>9956.6579373230506</v>
      </c>
      <c r="I117" s="147">
        <f>$E$221*'Médias por UF'!CN100</f>
        <v>12046.079827762032</v>
      </c>
      <c r="J117" s="147">
        <f>$E$221*'Médias por UF'!CO100</f>
        <v>14634.396465172005</v>
      </c>
      <c r="K117" s="147">
        <f>$E$221*'Médias por UF'!CP100</f>
        <v>17272.226203229256</v>
      </c>
      <c r="L117" s="147">
        <f>$E$221*'Médias por UF'!CQ100</f>
        <v>19739.103569102852</v>
      </c>
      <c r="M117" s="147">
        <f>$E$221*'Médias por UF'!CR100</f>
        <v>22272.57</v>
      </c>
      <c r="N117" s="147">
        <f t="shared" si="42"/>
        <v>22272.57</v>
      </c>
      <c r="P117" s="213" t="s">
        <v>94</v>
      </c>
      <c r="Q117" s="147">
        <f>'Médias por UF'!CG100*'Evolução das Receitas'!$T$221</f>
        <v>3008.0633682099656</v>
      </c>
      <c r="R117" s="147">
        <f>'Médias por UF'!CH100*'Evolução das Receitas'!$T$221</f>
        <v>4770.5863691762715</v>
      </c>
      <c r="S117" s="147">
        <f>'Médias por UF'!CI100*'Evolução das Receitas'!$T$221</f>
        <v>6026.2157305054643</v>
      </c>
      <c r="T117" s="147">
        <f>'Médias por UF'!CJ100*'Evolução das Receitas'!$T$221</f>
        <v>7186.2205353300033</v>
      </c>
      <c r="U117" s="147">
        <f>'Médias por UF'!CK100*'Evolução das Receitas'!$T$221</f>
        <v>8054.1939510402372</v>
      </c>
      <c r="V117" s="147">
        <f>'Médias por UF'!CL100*'Evolução das Receitas'!$T$221</f>
        <v>9351.0069977394869</v>
      </c>
      <c r="W117" s="147">
        <f>'Médias por UF'!CM100*'Evolução das Receitas'!$T$221</f>
        <v>11196.000349650751</v>
      </c>
      <c r="X117" s="147">
        <f>'Médias por UF'!CN100*'Evolução das Receitas'!$T$221</f>
        <v>13545.500389039697</v>
      </c>
      <c r="Y117" s="147">
        <f>'Médias por UF'!CO100*'Evolução das Receitas'!$T$221</f>
        <v>16455.994468465724</v>
      </c>
      <c r="Z117" s="147">
        <f>'Médias por UF'!CP100*'Evolução das Receitas'!$T$221</f>
        <v>19422.164729161494</v>
      </c>
      <c r="AA117" s="147">
        <f>'Médias por UF'!CQ100*'Evolução das Receitas'!$T$221</f>
        <v>22196.103537216197</v>
      </c>
      <c r="AB117" s="147">
        <f>'Médias por UF'!CR100*'Evolução das Receitas'!$T$221</f>
        <v>25044.92</v>
      </c>
      <c r="AC117" s="147">
        <f t="shared" si="43"/>
        <v>25044.92</v>
      </c>
      <c r="AE117" s="213" t="s">
        <v>94</v>
      </c>
      <c r="AF117" s="147">
        <f>JAN!$AL$12</f>
        <v>3367.92</v>
      </c>
      <c r="AG117" s="147">
        <f>FEV!$AL$12</f>
        <v>2910.3919999999998</v>
      </c>
      <c r="AH117" s="147">
        <f>MAR!$AL12</f>
        <v>3004.4639999999999</v>
      </c>
      <c r="AI117" s="147">
        <f>ABR!$AM12</f>
        <v>1503.4</v>
      </c>
      <c r="AJ117" s="147">
        <f>MAI!$W12</f>
        <v>1018.3920000000001</v>
      </c>
      <c r="AK117" s="147">
        <f>JUN!$W12</f>
        <v>519.52</v>
      </c>
      <c r="AL117" s="147">
        <f>JUL!$W12</f>
        <v>2920.7759999999998</v>
      </c>
      <c r="AM117" s="147">
        <f>AGO!$W12</f>
        <v>2770.2320000000009</v>
      </c>
      <c r="AN117" s="147">
        <f>SET!$W12</f>
        <v>1745.6240000000007</v>
      </c>
      <c r="AO117" s="147">
        <f>OUT!$W12</f>
        <v>3201.9840000000004</v>
      </c>
      <c r="AP117" s="147">
        <f>NOV!$W12</f>
        <v>1792.384</v>
      </c>
      <c r="AQ117" s="147">
        <f>DEZ!$W12</f>
        <v>1743.3119999999997</v>
      </c>
      <c r="AR117" s="177">
        <f t="shared" si="44"/>
        <v>26498.400000000001</v>
      </c>
    </row>
    <row r="118" spans="1:44">
      <c r="A118" s="212" t="s">
        <v>95</v>
      </c>
      <c r="B118" s="147">
        <f>$E$222*'Médias por UF'!CG101</f>
        <v>3072.4976601605836</v>
      </c>
      <c r="C118" s="147">
        <f>$E$222*'Médias por UF'!CH101</f>
        <v>7947.5795641443219</v>
      </c>
      <c r="D118" s="147">
        <f>$E$222*'Médias por UF'!CI101</f>
        <v>9950.7943712333217</v>
      </c>
      <c r="E118" s="147">
        <f>$E$222*'Médias por UF'!CJ101</f>
        <v>12367.043930343218</v>
      </c>
      <c r="F118" s="147">
        <f>$E$222*'Médias por UF'!CK101</f>
        <v>15024.940044915944</v>
      </c>
      <c r="G118" s="147">
        <f>$E$222*'Médias por UF'!CL101</f>
        <v>17573.424582180927</v>
      </c>
      <c r="H118" s="147">
        <f>$E$222*'Médias por UF'!CM101</f>
        <v>19850.612507331825</v>
      </c>
      <c r="I118" s="147">
        <f>$E$222*'Médias por UF'!CN101</f>
        <v>22517.413265833835</v>
      </c>
      <c r="J118" s="147">
        <f>$E$222*'Médias por UF'!CO101</f>
        <v>24411.831085868103</v>
      </c>
      <c r="K118" s="147">
        <f>$E$222*'Médias por UF'!CP101</f>
        <v>26266.056998483913</v>
      </c>
      <c r="L118" s="147">
        <f>$E$222*'Médias por UF'!CQ101</f>
        <v>27703.283058580539</v>
      </c>
      <c r="M118" s="147">
        <f>$E$222*'Médias por UF'!CR101</f>
        <v>30000</v>
      </c>
      <c r="N118" s="147">
        <f t="shared" si="42"/>
        <v>30000</v>
      </c>
      <c r="P118" s="213" t="s">
        <v>95</v>
      </c>
      <c r="Q118" s="147">
        <f>'Médias por UF'!CG101*'Evolução das Receitas'!$T$222</f>
        <v>3072.4976601605836</v>
      </c>
      <c r="R118" s="147">
        <f>'Médias por UF'!CH101*'Evolução das Receitas'!$T$222</f>
        <v>7947.5795641443219</v>
      </c>
      <c r="S118" s="147">
        <f>'Médias por UF'!CI101*'Evolução das Receitas'!$T$222</f>
        <v>9950.7943712333217</v>
      </c>
      <c r="T118" s="147">
        <f>'Médias por UF'!CJ101*'Evolução das Receitas'!$T$222</f>
        <v>12367.043930343218</v>
      </c>
      <c r="U118" s="147">
        <f>'Médias por UF'!CK101*'Evolução das Receitas'!$T$222</f>
        <v>15024.940044915944</v>
      </c>
      <c r="V118" s="147">
        <f>'Médias por UF'!CL101*'Evolução das Receitas'!$T$222</f>
        <v>17573.424582180927</v>
      </c>
      <c r="W118" s="147">
        <f>'Médias por UF'!CM101*'Evolução das Receitas'!$T$222</f>
        <v>19850.612507331825</v>
      </c>
      <c r="X118" s="147">
        <f>'Médias por UF'!CN101*'Evolução das Receitas'!$T$222</f>
        <v>22517.413265833835</v>
      </c>
      <c r="Y118" s="147">
        <f>'Médias por UF'!CO101*'Evolução das Receitas'!$T$222</f>
        <v>24411.831085868103</v>
      </c>
      <c r="Z118" s="147">
        <f>'Médias por UF'!CP101*'Evolução das Receitas'!$T$222</f>
        <v>26266.056998483913</v>
      </c>
      <c r="AA118" s="147">
        <f>'Médias por UF'!CQ101*'Evolução das Receitas'!$T$222</f>
        <v>27703.283058580539</v>
      </c>
      <c r="AB118" s="147">
        <f>'Médias por UF'!CR101*'Evolução das Receitas'!$T$222</f>
        <v>30000</v>
      </c>
      <c r="AC118" s="147">
        <f t="shared" si="43"/>
        <v>30000</v>
      </c>
      <c r="AE118" s="213" t="s">
        <v>95</v>
      </c>
      <c r="AF118" s="147">
        <f>JAN!$AL$13</f>
        <v>4949.9440000000004</v>
      </c>
      <c r="AG118" s="147">
        <f>FEV!$AL$13</f>
        <v>6452.7520000000004</v>
      </c>
      <c r="AH118" s="147">
        <f>MAR!$AL13</f>
        <v>3303.0320000000002</v>
      </c>
      <c r="AI118" s="147">
        <f>ABR!$AM13</f>
        <v>3891.4320000000002</v>
      </c>
      <c r="AJ118" s="147">
        <f>MAI!$W13</f>
        <v>2114</v>
      </c>
      <c r="AK118" s="147">
        <f>JUN!$W13</f>
        <v>1812.7919999999999</v>
      </c>
      <c r="AL118" s="147">
        <f>JUL!$W13</f>
        <v>4266.9680000000008</v>
      </c>
      <c r="AM118" s="147">
        <f>AGO!$W13</f>
        <v>1777.1200000000013</v>
      </c>
      <c r="AN118" s="147">
        <f>SET!$W13</f>
        <v>943.23999999999944</v>
      </c>
      <c r="AO118" s="147">
        <f>OUT!$W13</f>
        <v>1828.2560000000005</v>
      </c>
      <c r="AP118" s="147">
        <f>NOV!$W13</f>
        <v>2146.6480000000001</v>
      </c>
      <c r="AQ118" s="147">
        <f>DEZ!$W13</f>
        <v>826.95999999999992</v>
      </c>
      <c r="AR118" s="177">
        <f t="shared" si="44"/>
        <v>34313.144</v>
      </c>
    </row>
    <row r="119" spans="1:44">
      <c r="A119" s="212" t="s">
        <v>96</v>
      </c>
      <c r="B119" s="147">
        <f>$E$223*'Médias por UF'!CG102</f>
        <v>1227.3833670248644</v>
      </c>
      <c r="C119" s="147">
        <f>$E$223*'Médias por UF'!CH102</f>
        <v>2141.3480051156648</v>
      </c>
      <c r="D119" s="147">
        <f>$E$223*'Médias por UF'!CI102</f>
        <v>2944.5592473112974</v>
      </c>
      <c r="E119" s="147">
        <f>$E$223*'Médias por UF'!CJ102</f>
        <v>3579.015227091314</v>
      </c>
      <c r="F119" s="147">
        <f>$E$223*'Médias por UF'!CK102</f>
        <v>4077.0255839265246</v>
      </c>
      <c r="G119" s="147">
        <f>$E$223*'Médias por UF'!CL102</f>
        <v>4441.747895942719</v>
      </c>
      <c r="H119" s="147">
        <f>$E$223*'Médias por UF'!CM102</f>
        <v>4891.3602317700161</v>
      </c>
      <c r="I119" s="147">
        <f>$E$223*'Médias por UF'!CN102</f>
        <v>5227.9435907172874</v>
      </c>
      <c r="J119" s="147">
        <f>$E$223*'Médias por UF'!CO102</f>
        <v>5613.9106810206922</v>
      </c>
      <c r="K119" s="147">
        <f>$E$223*'Médias por UF'!CP102</f>
        <v>6250.3443940393281</v>
      </c>
      <c r="L119" s="147">
        <f>$E$223*'Médias por UF'!CQ102</f>
        <v>6381.674719573557</v>
      </c>
      <c r="M119" s="147">
        <f>$E$223*'Médias por UF'!CR102</f>
        <v>6988.38</v>
      </c>
      <c r="N119" s="147">
        <f t="shared" si="42"/>
        <v>6988.38</v>
      </c>
      <c r="P119" s="213" t="s">
        <v>96</v>
      </c>
      <c r="Q119" s="147">
        <f>'Médias por UF'!CG102*'Evolução das Receitas'!$T$223</f>
        <v>1227.3833670248644</v>
      </c>
      <c r="R119" s="147">
        <f>'Médias por UF'!CH102*'Evolução das Receitas'!$T$223</f>
        <v>2141.3480051156648</v>
      </c>
      <c r="S119" s="147">
        <f>'Médias por UF'!CI102*'Evolução das Receitas'!$T$223</f>
        <v>2944.5592473112974</v>
      </c>
      <c r="T119" s="147">
        <f>'Médias por UF'!CJ102*'Evolução das Receitas'!$T$223</f>
        <v>3579.015227091314</v>
      </c>
      <c r="U119" s="147">
        <f>'Médias por UF'!CK102*'Evolução das Receitas'!$T$223</f>
        <v>4077.0255839265246</v>
      </c>
      <c r="V119" s="147">
        <f>'Médias por UF'!CL102*'Evolução das Receitas'!$T$223</f>
        <v>4441.747895942719</v>
      </c>
      <c r="W119" s="147">
        <f>'Médias por UF'!CM102*'Evolução das Receitas'!$T$223</f>
        <v>4891.3602317700161</v>
      </c>
      <c r="X119" s="147">
        <f>'Médias por UF'!CN102*'Evolução das Receitas'!$T$223</f>
        <v>5227.9435907172874</v>
      </c>
      <c r="Y119" s="147">
        <f>'Médias por UF'!CO102*'Evolução das Receitas'!$T$223</f>
        <v>5613.9106810206922</v>
      </c>
      <c r="Z119" s="147">
        <f>'Médias por UF'!CP102*'Evolução das Receitas'!$T$223</f>
        <v>6250.3443940393281</v>
      </c>
      <c r="AA119" s="147">
        <f>'Médias por UF'!CQ102*'Evolução das Receitas'!$T$223</f>
        <v>6381.674719573557</v>
      </c>
      <c r="AB119" s="147">
        <f>'Médias por UF'!CR102*'Evolução das Receitas'!$T$223</f>
        <v>6988.38</v>
      </c>
      <c r="AC119" s="147">
        <f t="shared" si="43"/>
        <v>6988.38</v>
      </c>
      <c r="AE119" s="213" t="s">
        <v>96</v>
      </c>
      <c r="AF119" s="147">
        <f>JAN!$AL$14</f>
        <v>496.18400000000003</v>
      </c>
      <c r="AG119" s="147">
        <f>FEV!$AL$14</f>
        <v>732.75200000000007</v>
      </c>
      <c r="AH119" s="147">
        <f>MAR!$AL14</f>
        <v>1214.28</v>
      </c>
      <c r="AI119" s="147">
        <f>ABR!$AM14</f>
        <v>189.024</v>
      </c>
      <c r="AJ119" s="147">
        <f>MAI!$W14</f>
        <v>644.32000000000005</v>
      </c>
      <c r="AK119" s="147">
        <f>JUN!$W14</f>
        <v>163.56</v>
      </c>
      <c r="AL119" s="147">
        <f>JUL!$W14</f>
        <v>1868.3120000000004</v>
      </c>
      <c r="AM119" s="147">
        <f>AGO!$W14</f>
        <v>420.9839999999997</v>
      </c>
      <c r="AN119" s="147">
        <f>SET!$W14</f>
        <v>579.27199999999982</v>
      </c>
      <c r="AO119" s="147">
        <f>OUT!$W14</f>
        <v>665.52799999999991</v>
      </c>
      <c r="AP119" s="147">
        <f>NOV!$W14</f>
        <v>1185.568</v>
      </c>
      <c r="AQ119" s="147">
        <f>DEZ!$W14</f>
        <v>820.4079999999999</v>
      </c>
      <c r="AR119" s="177">
        <f t="shared" si="44"/>
        <v>8980.1920000000009</v>
      </c>
    </row>
    <row r="120" spans="1:44">
      <c r="A120" s="212" t="s">
        <v>97</v>
      </c>
      <c r="B120" s="147">
        <f>$E$224*'Médias por UF'!CG103</f>
        <v>1308.1586121181826</v>
      </c>
      <c r="C120" s="147">
        <f>$E$224*'Médias por UF'!CH103</f>
        <v>3283.9248983031257</v>
      </c>
      <c r="D120" s="147">
        <f>$E$224*'Médias por UF'!CI103</f>
        <v>4893.2226260246871</v>
      </c>
      <c r="E120" s="147">
        <f>$E$224*'Médias por UF'!CJ103</f>
        <v>6761.4575094166348</v>
      </c>
      <c r="F120" s="147">
        <f>$E$224*'Médias por UF'!CK103</f>
        <v>8241.7124631471379</v>
      </c>
      <c r="G120" s="147">
        <f>$E$224*'Médias por UF'!CL103</f>
        <v>9239.5283160911731</v>
      </c>
      <c r="H120" s="147">
        <f>$E$224*'Médias por UF'!CM103</f>
        <v>10394.893415918452</v>
      </c>
      <c r="I120" s="147">
        <f>$E$224*'Médias por UF'!CN103</f>
        <v>11466.731849085474</v>
      </c>
      <c r="J120" s="147">
        <f>$E$224*'Médias por UF'!CO103</f>
        <v>12276.360340194336</v>
      </c>
      <c r="K120" s="147">
        <f>$E$224*'Médias por UF'!CP103</f>
        <v>13871.713739732748</v>
      </c>
      <c r="L120" s="147">
        <f>$E$224*'Médias por UF'!CQ103</f>
        <v>14570.416987104931</v>
      </c>
      <c r="M120" s="147">
        <f>$E$224*'Médias por UF'!CR103</f>
        <v>16067.46</v>
      </c>
      <c r="N120" s="147">
        <f t="shared" si="42"/>
        <v>16067.46</v>
      </c>
      <c r="P120" s="213" t="s">
        <v>97</v>
      </c>
      <c r="Q120" s="147">
        <f>'Médias por UF'!CG103*'Evolução das Receitas'!$T$224</f>
        <v>1308.1586121181826</v>
      </c>
      <c r="R120" s="147">
        <f>'Médias por UF'!CH103*'Evolução das Receitas'!$T$224</f>
        <v>3283.9248983031257</v>
      </c>
      <c r="S120" s="147">
        <f>'Médias por UF'!CI103*'Evolução das Receitas'!$T$224</f>
        <v>4893.2226260246871</v>
      </c>
      <c r="T120" s="147">
        <f>'Médias por UF'!CJ103*'Evolução das Receitas'!$T$224</f>
        <v>6761.4575094166348</v>
      </c>
      <c r="U120" s="147">
        <f>'Médias por UF'!CK103*'Evolução das Receitas'!$T$224</f>
        <v>8241.7124631471379</v>
      </c>
      <c r="V120" s="147">
        <f>'Médias por UF'!CL103*'Evolução das Receitas'!$T$224</f>
        <v>9239.5283160911731</v>
      </c>
      <c r="W120" s="147">
        <f>'Médias por UF'!CM103*'Evolução das Receitas'!$T$224</f>
        <v>10394.893415918452</v>
      </c>
      <c r="X120" s="147">
        <f>'Médias por UF'!CN103*'Evolução das Receitas'!$T$224</f>
        <v>11466.731849085474</v>
      </c>
      <c r="Y120" s="147">
        <f>'Médias por UF'!CO103*'Evolução das Receitas'!$T$224</f>
        <v>12276.360340194336</v>
      </c>
      <c r="Z120" s="147">
        <f>'Médias por UF'!CP103*'Evolução das Receitas'!$T$224</f>
        <v>13871.713739732748</v>
      </c>
      <c r="AA120" s="147">
        <f>'Médias por UF'!CQ103*'Evolução das Receitas'!$T$224</f>
        <v>14570.416987104931</v>
      </c>
      <c r="AB120" s="147">
        <f>'Médias por UF'!CR103*'Evolução das Receitas'!$T$224</f>
        <v>16067.46</v>
      </c>
      <c r="AC120" s="147">
        <f t="shared" si="43"/>
        <v>16067.46</v>
      </c>
      <c r="AE120" s="213" t="s">
        <v>97</v>
      </c>
      <c r="AF120" s="147">
        <f>JAN!$AL$15</f>
        <v>5375.1760000000004</v>
      </c>
      <c r="AG120" s="147">
        <f>FEV!$AL$15</f>
        <v>2830.32</v>
      </c>
      <c r="AH120" s="147">
        <f>MAR!$AL15</f>
        <v>1620.5039999999999</v>
      </c>
      <c r="AI120" s="147">
        <f>ABR!$AM15</f>
        <v>1093.08</v>
      </c>
      <c r="AJ120" s="147">
        <f>MAI!$W15</f>
        <v>1615.864</v>
      </c>
      <c r="AK120" s="147">
        <f>JUN!$W15</f>
        <v>3602.7120000000004</v>
      </c>
      <c r="AL120" s="147">
        <f>JUL!$W15</f>
        <v>1996.6240000000007</v>
      </c>
      <c r="AM120" s="147">
        <f>AGO!$W15</f>
        <v>4789.2719999999999</v>
      </c>
      <c r="AN120" s="147">
        <f>SET!$W15</f>
        <v>3597.6880000000006</v>
      </c>
      <c r="AO120" s="147">
        <f>OUT!$W15</f>
        <v>3649.1600000000008</v>
      </c>
      <c r="AP120" s="147">
        <f>NOV!$W15</f>
        <v>1614.5840000000001</v>
      </c>
      <c r="AQ120" s="147">
        <f>DEZ!$W15</f>
        <v>4103.9920000000011</v>
      </c>
      <c r="AR120" s="177">
        <f t="shared" si="44"/>
        <v>35888.976000000002</v>
      </c>
    </row>
    <row r="121" spans="1:44">
      <c r="A121" s="212" t="s">
        <v>98</v>
      </c>
      <c r="B121" s="147">
        <f>$E$225*'Médias por UF'!CG104</f>
        <v>2689.2094611397733</v>
      </c>
      <c r="C121" s="147">
        <f>$E$225*'Médias por UF'!CH104</f>
        <v>5224.5120746515413</v>
      </c>
      <c r="D121" s="147">
        <f>$E$225*'Médias por UF'!CI104</f>
        <v>7761.0217616602358</v>
      </c>
      <c r="E121" s="147">
        <f>$E$225*'Médias por UF'!CJ104</f>
        <v>10189.189715422264</v>
      </c>
      <c r="F121" s="147">
        <f>$E$225*'Médias por UF'!CK104</f>
        <v>12489.420968769395</v>
      </c>
      <c r="G121" s="147">
        <f>$E$225*'Médias por UF'!CL104</f>
        <v>13738.363646533751</v>
      </c>
      <c r="H121" s="147">
        <f>$E$225*'Médias por UF'!CM104</f>
        <v>15559.917949170705</v>
      </c>
      <c r="I121" s="147">
        <f>$E$225*'Médias por UF'!CN104</f>
        <v>18247.765408231011</v>
      </c>
      <c r="J121" s="147">
        <f>$E$225*'Médias por UF'!CO104</f>
        <v>19673.760724962245</v>
      </c>
      <c r="K121" s="147">
        <f>$E$225*'Médias por UF'!CP104</f>
        <v>21532.8026037655</v>
      </c>
      <c r="L121" s="147">
        <f>$E$225*'Médias por UF'!CQ104</f>
        <v>22542.73022474481</v>
      </c>
      <c r="M121" s="147">
        <f>$E$225*'Médias por UF'!CR104</f>
        <v>24717.03</v>
      </c>
      <c r="N121" s="147">
        <f t="shared" si="42"/>
        <v>24717.03</v>
      </c>
      <c r="P121" s="213" t="s">
        <v>98</v>
      </c>
      <c r="Q121" s="147">
        <f>'Médias por UF'!CG104*'Evolução das Receitas'!$T$225</f>
        <v>2689.2094611397733</v>
      </c>
      <c r="R121" s="147">
        <f>'Médias por UF'!CH104*'Evolução das Receitas'!$T$225</f>
        <v>5224.5120746515413</v>
      </c>
      <c r="S121" s="147">
        <f>'Médias por UF'!CI104*'Evolução das Receitas'!$T$225</f>
        <v>7761.0217616602358</v>
      </c>
      <c r="T121" s="147">
        <f>'Médias por UF'!CJ104*'Evolução das Receitas'!$T$225</f>
        <v>10189.189715422264</v>
      </c>
      <c r="U121" s="147">
        <f>'Médias por UF'!CK104*'Evolução das Receitas'!$T$225</f>
        <v>12489.420968769395</v>
      </c>
      <c r="V121" s="147">
        <f>'Médias por UF'!CL104*'Evolução das Receitas'!$T$225</f>
        <v>13738.363646533751</v>
      </c>
      <c r="W121" s="147">
        <f>'Médias por UF'!CM104*'Evolução das Receitas'!$T$225</f>
        <v>15559.917949170705</v>
      </c>
      <c r="X121" s="147">
        <f>'Médias por UF'!CN104*'Evolução das Receitas'!$T$225</f>
        <v>18247.765408231011</v>
      </c>
      <c r="Y121" s="147">
        <f>'Médias por UF'!CO104*'Evolução das Receitas'!$T$225</f>
        <v>19673.760724962245</v>
      </c>
      <c r="Z121" s="147">
        <f>'Médias por UF'!CP104*'Evolução das Receitas'!$T$225</f>
        <v>21532.8026037655</v>
      </c>
      <c r="AA121" s="147">
        <f>'Médias por UF'!CQ104*'Evolução das Receitas'!$T$225</f>
        <v>22542.73022474481</v>
      </c>
      <c r="AB121" s="147">
        <f>'Médias por UF'!CR104*'Evolução das Receitas'!$T$225</f>
        <v>24717.03</v>
      </c>
      <c r="AC121" s="147">
        <f t="shared" si="43"/>
        <v>24717.03</v>
      </c>
      <c r="AE121" s="213" t="s">
        <v>98</v>
      </c>
      <c r="AF121" s="147">
        <f>JAN!$AL$16</f>
        <v>4095.2080000000005</v>
      </c>
      <c r="AG121" s="147">
        <f>FEV!$AL$16</f>
        <v>2218.9680000000003</v>
      </c>
      <c r="AH121" s="147">
        <f>MAR!$AL16</f>
        <v>3617.1760000000004</v>
      </c>
      <c r="AI121" s="147">
        <f>ABR!$AM16</f>
        <v>1956.5840000000001</v>
      </c>
      <c r="AJ121" s="147">
        <f>MAI!$W16</f>
        <v>1447.7440000000001</v>
      </c>
      <c r="AK121" s="147">
        <f>JUN!$W16</f>
        <v>1705.88</v>
      </c>
      <c r="AL121" s="147">
        <f>JUL!$W16</f>
        <v>3067.3919999999985</v>
      </c>
      <c r="AM121" s="147">
        <f>AGO!$W16</f>
        <v>1312.440000000001</v>
      </c>
      <c r="AN121" s="147">
        <f>SET!$W16</f>
        <v>5847.9600000000009</v>
      </c>
      <c r="AO121" s="147">
        <f>OUT!$W16</f>
        <v>3216.5520000000006</v>
      </c>
      <c r="AP121" s="147">
        <f>NOV!$W16</f>
        <v>1536.5040000000001</v>
      </c>
      <c r="AQ121" s="147">
        <f>DEZ!$W16</f>
        <v>2421.288</v>
      </c>
      <c r="AR121" s="177">
        <f t="shared" si="44"/>
        <v>32443.696000000007</v>
      </c>
    </row>
    <row r="122" spans="1:44">
      <c r="A122" s="212" t="s">
        <v>99</v>
      </c>
      <c r="B122" s="147">
        <f>$E$226*'Médias por UF'!CG105</f>
        <v>25980.855804526327</v>
      </c>
      <c r="C122" s="147">
        <f>$E$226*'Médias por UF'!CH105</f>
        <v>40146.385522123455</v>
      </c>
      <c r="D122" s="147">
        <f>$E$226*'Médias por UF'!CI105</f>
        <v>52933.273484090314</v>
      </c>
      <c r="E122" s="147">
        <f>$E$226*'Médias por UF'!CJ105</f>
        <v>63886.399706295946</v>
      </c>
      <c r="F122" s="147">
        <f>$E$226*'Médias por UF'!CK105</f>
        <v>79015.846137509943</v>
      </c>
      <c r="G122" s="147">
        <f>$E$226*'Médias por UF'!CL105</f>
        <v>91218.793265011467</v>
      </c>
      <c r="H122" s="147">
        <f>$E$226*'Médias por UF'!CM105</f>
        <v>98790.366656735408</v>
      </c>
      <c r="I122" s="147">
        <f>$E$226*'Médias por UF'!CN105</f>
        <v>110314.53291641577</v>
      </c>
      <c r="J122" s="147">
        <f>$E$226*'Médias por UF'!CO105</f>
        <v>119369.11579997322</v>
      </c>
      <c r="K122" s="147">
        <f>$E$226*'Médias por UF'!CP105</f>
        <v>137554.45714300667</v>
      </c>
      <c r="L122" s="147">
        <f>$E$226*'Médias por UF'!CQ105</f>
        <v>154065.65831739837</v>
      </c>
      <c r="M122" s="147">
        <f>$E$226*'Médias por UF'!CR105</f>
        <v>169602.58000000002</v>
      </c>
      <c r="N122" s="147">
        <f t="shared" si="42"/>
        <v>169602.58000000002</v>
      </c>
      <c r="P122" s="213" t="s">
        <v>99</v>
      </c>
      <c r="Q122" s="147">
        <f>'Médias por UF'!CG105*'Evolução das Receitas'!$T$226</f>
        <v>25980.855804526327</v>
      </c>
      <c r="R122" s="147">
        <f>'Médias por UF'!CH105*'Evolução das Receitas'!$T$226</f>
        <v>40146.385522123455</v>
      </c>
      <c r="S122" s="147">
        <f>'Médias por UF'!CI105*'Evolução das Receitas'!$T$226</f>
        <v>52933.273484090314</v>
      </c>
      <c r="T122" s="147">
        <f>'Médias por UF'!CJ105*'Evolução das Receitas'!$T$226</f>
        <v>63886.399706295946</v>
      </c>
      <c r="U122" s="147">
        <f>'Médias por UF'!CK105*'Evolução das Receitas'!$T$226</f>
        <v>79015.846137509943</v>
      </c>
      <c r="V122" s="147">
        <f>'Médias por UF'!CL105*'Evolução das Receitas'!$T$226</f>
        <v>91218.793265011467</v>
      </c>
      <c r="W122" s="147">
        <f>'Médias por UF'!CM105*'Evolução das Receitas'!$T$226</f>
        <v>98790.366656735408</v>
      </c>
      <c r="X122" s="147">
        <f>'Médias por UF'!CN105*'Evolução das Receitas'!$T$226</f>
        <v>110314.53291641577</v>
      </c>
      <c r="Y122" s="147">
        <f>'Médias por UF'!CO105*'Evolução das Receitas'!$T$226</f>
        <v>119369.11579997322</v>
      </c>
      <c r="Z122" s="147">
        <f>'Médias por UF'!CP105*'Evolução das Receitas'!$T$226</f>
        <v>137554.45714300667</v>
      </c>
      <c r="AA122" s="147">
        <f>'Médias por UF'!CQ105*'Evolução das Receitas'!$T$226</f>
        <v>154065.65831739837</v>
      </c>
      <c r="AB122" s="147">
        <f>'Médias por UF'!CR105*'Evolução das Receitas'!$T$226</f>
        <v>169602.58000000002</v>
      </c>
      <c r="AC122" s="147">
        <f t="shared" si="43"/>
        <v>169602.58000000002</v>
      </c>
      <c r="AE122" s="213" t="s">
        <v>99</v>
      </c>
      <c r="AF122" s="147">
        <f>JAN!$AL$17</f>
        <v>27282.232000000004</v>
      </c>
      <c r="AG122" s="147">
        <f>FEV!$AL$17</f>
        <v>19393.48</v>
      </c>
      <c r="AH122" s="147">
        <f>MAR!$AL17</f>
        <v>16598.423999999999</v>
      </c>
      <c r="AI122" s="147">
        <f>ABR!$AM17</f>
        <v>9891.9760000000006</v>
      </c>
      <c r="AJ122" s="147">
        <f>MAI!$W17</f>
        <v>11258.352000000001</v>
      </c>
      <c r="AK122" s="147">
        <f>JUN!$W17</f>
        <v>11858.968000000001</v>
      </c>
      <c r="AL122" s="147">
        <f>JUL!$W17</f>
        <v>10326.151999999996</v>
      </c>
      <c r="AM122" s="147">
        <f>AGO!$W17</f>
        <v>11881.240000000003</v>
      </c>
      <c r="AN122" s="147">
        <f>SET!$W17</f>
        <v>9360.2320000000018</v>
      </c>
      <c r="AO122" s="147">
        <f>OUT!$W17</f>
        <v>14109.143999999998</v>
      </c>
      <c r="AP122" s="147">
        <f>NOV!$W17</f>
        <v>9004.0960000000014</v>
      </c>
      <c r="AQ122" s="147">
        <f>DEZ!$W17</f>
        <v>12662.056</v>
      </c>
      <c r="AR122" s="177">
        <f t="shared" si="44"/>
        <v>163626.35200000001</v>
      </c>
    </row>
    <row r="123" spans="1:44">
      <c r="A123" s="212" t="s">
        <v>100</v>
      </c>
      <c r="B123" s="147">
        <f>$E$227*'Médias por UF'!CG106</f>
        <v>0</v>
      </c>
      <c r="C123" s="147">
        <f>$E$227*'Médias por UF'!CH106</f>
        <v>0</v>
      </c>
      <c r="D123" s="147">
        <f>$E$227*'Médias por UF'!CI106</f>
        <v>0</v>
      </c>
      <c r="E123" s="147">
        <f>$E$227*'Médias por UF'!CJ106</f>
        <v>0</v>
      </c>
      <c r="F123" s="147">
        <f>$E$227*'Médias por UF'!CK106</f>
        <v>0</v>
      </c>
      <c r="G123" s="147">
        <f>$E$227*'Médias por UF'!CL106</f>
        <v>0</v>
      </c>
      <c r="H123" s="147">
        <f>$E$227*'Médias por UF'!CM106</f>
        <v>0</v>
      </c>
      <c r="I123" s="147">
        <f>$E$227*'Médias por UF'!CN106</f>
        <v>0</v>
      </c>
      <c r="J123" s="147">
        <f>$E$227*'Médias por UF'!CO106</f>
        <v>0</v>
      </c>
      <c r="K123" s="147">
        <f>$E$227*'Médias por UF'!CP106</f>
        <v>0</v>
      </c>
      <c r="L123" s="147">
        <f>$E$227*'Médias por UF'!CQ106</f>
        <v>0</v>
      </c>
      <c r="M123" s="147">
        <f>$E$227*'Médias por UF'!CR106</f>
        <v>0</v>
      </c>
      <c r="N123" s="147">
        <f t="shared" si="42"/>
        <v>0</v>
      </c>
      <c r="P123" s="213" t="s">
        <v>100</v>
      </c>
      <c r="Q123" s="147">
        <f>'Médias por UF'!CG106*'Evolução das Receitas'!$T$227</f>
        <v>1375.9888135077235</v>
      </c>
      <c r="R123" s="147">
        <f>'Médias por UF'!CH106*'Evolução das Receitas'!$T$227</f>
        <v>4168.4484582252335</v>
      </c>
      <c r="S123" s="147">
        <f>'Médias por UF'!CI106*'Evolução das Receitas'!$T$227</f>
        <v>5865.9377440402259</v>
      </c>
      <c r="T123" s="147">
        <f>'Médias por UF'!CJ106*'Evolução das Receitas'!$T$227</f>
        <v>6857.5110243325707</v>
      </c>
      <c r="U123" s="147">
        <f>'Médias por UF'!CK106*'Evolução das Receitas'!$T$227</f>
        <v>7267.1491727400489</v>
      </c>
      <c r="V123" s="147">
        <f>'Médias por UF'!CL106*'Evolução das Receitas'!$T$227</f>
        <v>7861.8189891313559</v>
      </c>
      <c r="W123" s="147">
        <f>'Médias por UF'!CM106*'Evolução das Receitas'!$T$227</f>
        <v>8633.0425539825301</v>
      </c>
      <c r="X123" s="147">
        <f>'Médias por UF'!CN106*'Evolução das Receitas'!$T$227</f>
        <v>9806.434496482836</v>
      </c>
      <c r="Y123" s="147">
        <f>'Médias por UF'!CO106*'Evolução das Receitas'!$T$227</f>
        <v>10441.127311313656</v>
      </c>
      <c r="Z123" s="147">
        <f>'Médias por UF'!CP106*'Evolução das Receitas'!$T$227</f>
        <v>11684.08225270939</v>
      </c>
      <c r="AA123" s="147">
        <f>'Médias por UF'!CQ106*'Evolução das Receitas'!$T$227</f>
        <v>12356.789832970211</v>
      </c>
      <c r="AB123" s="147">
        <f>'Médias por UF'!CR106*'Evolução das Receitas'!$T$227</f>
        <v>12982.24</v>
      </c>
      <c r="AC123" s="147">
        <f t="shared" si="43"/>
        <v>12982.24</v>
      </c>
      <c r="AE123" s="213" t="s">
        <v>100</v>
      </c>
      <c r="AF123" s="147">
        <f>JAN!$AL$18</f>
        <v>931.16000000000008</v>
      </c>
      <c r="AG123" s="147">
        <f>FEV!$AL$18</f>
        <v>2140.384</v>
      </c>
      <c r="AH123" s="147">
        <f>MAR!$AL18</f>
        <v>3005.5040000000004</v>
      </c>
      <c r="AI123" s="147">
        <f>ABR!$AM18</f>
        <v>259.22399999999999</v>
      </c>
      <c r="AJ123" s="147">
        <f>MAI!$W18</f>
        <v>497.19200000000001</v>
      </c>
      <c r="AK123" s="147">
        <f>JUN!$W18</f>
        <v>1148.7920000000001</v>
      </c>
      <c r="AL123" s="147">
        <f>JUL!$W18</f>
        <v>1601.4639999999999</v>
      </c>
      <c r="AM123" s="147">
        <f>AGO!$W18</f>
        <v>2402.7039999999993</v>
      </c>
      <c r="AN123" s="147">
        <f>SET!$W18</f>
        <v>538.1600000000002</v>
      </c>
      <c r="AO123" s="147">
        <f>OUT!$W18</f>
        <v>502.69600000000014</v>
      </c>
      <c r="AP123" s="147">
        <f>NOV!$W18</f>
        <v>1491.056</v>
      </c>
      <c r="AQ123" s="147">
        <f>DEZ!$W18</f>
        <v>417.36800000000005</v>
      </c>
      <c r="AR123" s="177">
        <f t="shared" si="44"/>
        <v>14935.704000000002</v>
      </c>
    </row>
    <row r="124" spans="1:44">
      <c r="A124" s="212" t="s">
        <v>101</v>
      </c>
      <c r="B124" s="147">
        <f>$E$228*'Médias por UF'!CG107</f>
        <v>1287.1619189853775</v>
      </c>
      <c r="C124" s="147">
        <f>$E$228*'Médias por UF'!CH107</f>
        <v>2406.445530149821</v>
      </c>
      <c r="D124" s="147">
        <f>$E$228*'Médias por UF'!CI107</f>
        <v>4141.0528037225058</v>
      </c>
      <c r="E124" s="147">
        <f>$E$228*'Médias por UF'!CJ107</f>
        <v>4570.420750135534</v>
      </c>
      <c r="F124" s="147">
        <f>$E$228*'Médias por UF'!CK107</f>
        <v>6219.6584307886014</v>
      </c>
      <c r="G124" s="147">
        <f>$E$228*'Médias por UF'!CL107</f>
        <v>7220.6354218098732</v>
      </c>
      <c r="H124" s="147">
        <f>$E$228*'Médias por UF'!CM107</f>
        <v>8818.4971964442666</v>
      </c>
      <c r="I124" s="147">
        <f>$E$228*'Médias por UF'!CN107</f>
        <v>10043.280262645536</v>
      </c>
      <c r="J124" s="147">
        <f>$E$228*'Médias por UF'!CO107</f>
        <v>10856.263176152646</v>
      </c>
      <c r="K124" s="147">
        <f>$E$228*'Médias por UF'!CP107</f>
        <v>12125.366110412044</v>
      </c>
      <c r="L124" s="147">
        <f>$E$228*'Médias por UF'!CQ107</f>
        <v>13336.745540957019</v>
      </c>
      <c r="M124" s="147">
        <f>$E$228*'Médias por UF'!CR107</f>
        <v>14275.61</v>
      </c>
      <c r="N124" s="147">
        <f t="shared" si="42"/>
        <v>14275.61</v>
      </c>
      <c r="P124" s="213" t="s">
        <v>101</v>
      </c>
      <c r="Q124" s="147">
        <f>'Médias por UF'!CG107*'Evolução das Receitas'!$T$228</f>
        <v>1287.1619189853775</v>
      </c>
      <c r="R124" s="147">
        <f>'Médias por UF'!CH107*'Evolução das Receitas'!$T$228</f>
        <v>2406.445530149821</v>
      </c>
      <c r="S124" s="147">
        <f>'Médias por UF'!CI107*'Evolução das Receitas'!$T$228</f>
        <v>4141.0528037225058</v>
      </c>
      <c r="T124" s="147">
        <f>'Médias por UF'!CJ107*'Evolução das Receitas'!$T$228</f>
        <v>4570.420750135534</v>
      </c>
      <c r="U124" s="147">
        <f>'Médias por UF'!CK107*'Evolução das Receitas'!$T$228</f>
        <v>6219.6584307886014</v>
      </c>
      <c r="V124" s="147">
        <f>'Médias por UF'!CL107*'Evolução das Receitas'!$T$228</f>
        <v>7220.6354218098732</v>
      </c>
      <c r="W124" s="147">
        <f>'Médias por UF'!CM107*'Evolução das Receitas'!$T$228</f>
        <v>8818.4971964442666</v>
      </c>
      <c r="X124" s="147">
        <f>'Médias por UF'!CN107*'Evolução das Receitas'!$T$228</f>
        <v>10043.280262645536</v>
      </c>
      <c r="Y124" s="147">
        <f>'Médias por UF'!CO107*'Evolução das Receitas'!$T$228</f>
        <v>10856.263176152646</v>
      </c>
      <c r="Z124" s="147">
        <f>'Médias por UF'!CP107*'Evolução das Receitas'!$T$228</f>
        <v>12125.366110412044</v>
      </c>
      <c r="AA124" s="147">
        <f>'Médias por UF'!CQ107*'Evolução das Receitas'!$T$228</f>
        <v>13336.745540957019</v>
      </c>
      <c r="AB124" s="147">
        <f>'Médias por UF'!CR107*'Evolução das Receitas'!$T$228</f>
        <v>14275.61</v>
      </c>
      <c r="AC124" s="147">
        <f t="shared" si="43"/>
        <v>14275.61</v>
      </c>
      <c r="AE124" s="213" t="s">
        <v>101</v>
      </c>
      <c r="AF124" s="147">
        <f>JAN!$AL$19</f>
        <v>3045.768</v>
      </c>
      <c r="AG124" s="147">
        <f>FEV!$AL$19</f>
        <v>4342.4480000000003</v>
      </c>
      <c r="AH124" s="147">
        <f>MAR!$AL19</f>
        <v>2208.7440000000001</v>
      </c>
      <c r="AI124" s="147">
        <f>ABR!$AM19</f>
        <v>618.30400000000009</v>
      </c>
      <c r="AJ124" s="147">
        <f>MAI!$W19</f>
        <v>546.72799999999995</v>
      </c>
      <c r="AK124" s="147">
        <f>JUN!$W19</f>
        <v>82.00800000000001</v>
      </c>
      <c r="AL124" s="147">
        <f>JUL!$W19</f>
        <v>836.2080000000002</v>
      </c>
      <c r="AM124" s="147">
        <f>AGO!$W19</f>
        <v>1061.8319999999992</v>
      </c>
      <c r="AN124" s="147">
        <f>SET!$W19</f>
        <v>1191.0719999999999</v>
      </c>
      <c r="AO124" s="147">
        <f>OUT!$W19</f>
        <v>3298.7360000000003</v>
      </c>
      <c r="AP124" s="147">
        <f>NOV!$W19</f>
        <v>2816.152</v>
      </c>
      <c r="AQ124" s="147">
        <f>DEZ!$W19</f>
        <v>1333.6480000000004</v>
      </c>
      <c r="AR124" s="177">
        <f t="shared" si="44"/>
        <v>21381.648000000001</v>
      </c>
    </row>
    <row r="125" spans="1:44">
      <c r="A125" s="212" t="s">
        <v>102</v>
      </c>
      <c r="B125" s="147">
        <f>$E$229*'Médias por UF'!CG108</f>
        <v>25227.256978617585</v>
      </c>
      <c r="C125" s="147">
        <f>$E$229*'Médias por UF'!CH108</f>
        <v>44103.611263606756</v>
      </c>
      <c r="D125" s="147">
        <f>$E$229*'Médias por UF'!CI108</f>
        <v>59923.54069913696</v>
      </c>
      <c r="E125" s="147">
        <f>$E$229*'Médias por UF'!CJ108</f>
        <v>76119.284247279633</v>
      </c>
      <c r="F125" s="147">
        <f>$E$229*'Médias por UF'!CK108</f>
        <v>91090.621508957542</v>
      </c>
      <c r="G125" s="147">
        <f>$E$229*'Médias por UF'!CL108</f>
        <v>105239.45167277566</v>
      </c>
      <c r="H125" s="147">
        <f>$E$229*'Médias por UF'!CM108</f>
        <v>118551.65610326831</v>
      </c>
      <c r="I125" s="147">
        <f>$E$229*'Médias por UF'!CN108</f>
        <v>130269.10995032854</v>
      </c>
      <c r="J125" s="147">
        <f>$E$229*'Médias por UF'!CO108</f>
        <v>143262.00939685348</v>
      </c>
      <c r="K125" s="147">
        <f>$E$229*'Médias por UF'!CP108</f>
        <v>155628.88433276347</v>
      </c>
      <c r="L125" s="147">
        <f>$E$229*'Médias por UF'!CQ108</f>
        <v>166455.4789744186</v>
      </c>
      <c r="M125" s="147">
        <f>$E$229*'Médias por UF'!CR108</f>
        <v>187730.11</v>
      </c>
      <c r="N125" s="147">
        <f t="shared" si="42"/>
        <v>187730.11</v>
      </c>
      <c r="P125" s="213" t="s">
        <v>102</v>
      </c>
      <c r="Q125" s="147">
        <f>'Médias por UF'!CG108*'Evolução das Receitas'!$T$229</f>
        <v>25227.256978617585</v>
      </c>
      <c r="R125" s="147">
        <f>'Médias por UF'!CH108*'Evolução das Receitas'!$T$229</f>
        <v>44103.611263606756</v>
      </c>
      <c r="S125" s="147">
        <f>'Médias por UF'!CI108*'Evolução das Receitas'!$T$229</f>
        <v>59923.54069913696</v>
      </c>
      <c r="T125" s="147">
        <f>'Médias por UF'!CJ108*'Evolução das Receitas'!$T$229</f>
        <v>76119.284247279633</v>
      </c>
      <c r="U125" s="147">
        <f>'Médias por UF'!CK108*'Evolução das Receitas'!$T$229</f>
        <v>91090.621508957542</v>
      </c>
      <c r="V125" s="147">
        <f>'Médias por UF'!CL108*'Evolução das Receitas'!$T$229</f>
        <v>105239.45167277566</v>
      </c>
      <c r="W125" s="147">
        <f>'Médias por UF'!CM108*'Evolução das Receitas'!$T$229</f>
        <v>118551.65610326831</v>
      </c>
      <c r="X125" s="147">
        <f>'Médias por UF'!CN108*'Evolução das Receitas'!$T$229</f>
        <v>130269.10995032854</v>
      </c>
      <c r="Y125" s="147">
        <f>'Médias por UF'!CO108*'Evolução das Receitas'!$T$229</f>
        <v>143262.00939685348</v>
      </c>
      <c r="Z125" s="147">
        <f>'Médias por UF'!CP108*'Evolução das Receitas'!$T$229</f>
        <v>155628.88433276347</v>
      </c>
      <c r="AA125" s="147">
        <f>'Médias por UF'!CQ108*'Evolução das Receitas'!$T$229</f>
        <v>166455.4789744186</v>
      </c>
      <c r="AB125" s="147">
        <f>'Médias por UF'!CR108*'Evolução das Receitas'!$T$229</f>
        <v>187730.11</v>
      </c>
      <c r="AC125" s="147">
        <f t="shared" si="43"/>
        <v>187730.11</v>
      </c>
      <c r="AE125" s="213" t="s">
        <v>102</v>
      </c>
      <c r="AF125" s="147">
        <f>JAN!$AL$20</f>
        <v>44301.504000000001</v>
      </c>
      <c r="AG125" s="147">
        <f>FEV!$AL$20</f>
        <v>30599.135999999999</v>
      </c>
      <c r="AH125" s="147">
        <f>MAR!$AL20</f>
        <v>32049.304</v>
      </c>
      <c r="AI125" s="147">
        <f>ABR!$AM20</f>
        <v>17739.04</v>
      </c>
      <c r="AJ125" s="147">
        <f>MAI!$W20</f>
        <v>12153.68</v>
      </c>
      <c r="AK125" s="147">
        <f>JUN!$W20</f>
        <v>16490.952000000001</v>
      </c>
      <c r="AL125" s="147">
        <f>JUL!$W20</f>
        <v>15796.040000000003</v>
      </c>
      <c r="AM125" s="147">
        <f>AGO!$W20</f>
        <v>10409.471999999998</v>
      </c>
      <c r="AN125" s="147">
        <f>SET!$W20</f>
        <v>16162.368000000006</v>
      </c>
      <c r="AO125" s="147">
        <f>OUT!$W20</f>
        <v>17819.439999999999</v>
      </c>
      <c r="AP125" s="147">
        <f>NOV!$W20</f>
        <v>10213.632000000001</v>
      </c>
      <c r="AQ125" s="147">
        <f>DEZ!$W20</f>
        <v>9324.5919999999987</v>
      </c>
      <c r="AR125" s="177">
        <f t="shared" si="44"/>
        <v>233059.16000000003</v>
      </c>
    </row>
    <row r="126" spans="1:44">
      <c r="A126" s="212" t="s">
        <v>103</v>
      </c>
      <c r="B126" s="147">
        <f>$E$230*'Médias por UF'!CG109</f>
        <v>2701.0391526076473</v>
      </c>
      <c r="C126" s="147">
        <f>$E$230*'Médias por UF'!CH109</f>
        <v>5037.7350466151856</v>
      </c>
      <c r="D126" s="147">
        <f>$E$230*'Médias por UF'!CI109</f>
        <v>7389.5407860499599</v>
      </c>
      <c r="E126" s="147">
        <f>$E$230*'Médias por UF'!CJ109</f>
        <v>9774.7479436559315</v>
      </c>
      <c r="F126" s="147">
        <f>$E$230*'Médias por UF'!CK109</f>
        <v>12717.120284788763</v>
      </c>
      <c r="G126" s="147">
        <f>$E$230*'Médias por UF'!CL109</f>
        <v>14784.439338698341</v>
      </c>
      <c r="H126" s="147">
        <f>$E$230*'Médias por UF'!CM109</f>
        <v>17618.895172120774</v>
      </c>
      <c r="I126" s="147">
        <f>$E$230*'Médias por UF'!CN109</f>
        <v>19795.053011403917</v>
      </c>
      <c r="J126" s="147">
        <f>$E$230*'Médias por UF'!CO109</f>
        <v>21152.327382609546</v>
      </c>
      <c r="K126" s="147">
        <f>$E$230*'Médias por UF'!CP109</f>
        <v>22073.459412740351</v>
      </c>
      <c r="L126" s="147">
        <f>$E$230*'Médias por UF'!CQ109</f>
        <v>23811.913988932403</v>
      </c>
      <c r="M126" s="147">
        <f>$E$230*'Médias por UF'!CR109</f>
        <v>24973.199999999997</v>
      </c>
      <c r="N126" s="147">
        <f t="shared" si="42"/>
        <v>24973.199999999997</v>
      </c>
      <c r="P126" s="213" t="s">
        <v>103</v>
      </c>
      <c r="Q126" s="147">
        <f>'Médias por UF'!CG109*'Evolução das Receitas'!$T$230</f>
        <v>2701.0391526076473</v>
      </c>
      <c r="R126" s="147">
        <f>'Médias por UF'!CH109*'Evolução das Receitas'!$T$230</f>
        <v>5037.7350466151856</v>
      </c>
      <c r="S126" s="147">
        <f>'Médias por UF'!CI109*'Evolução das Receitas'!$T$230</f>
        <v>7389.5407860499599</v>
      </c>
      <c r="T126" s="147">
        <f>'Médias por UF'!CJ109*'Evolução das Receitas'!$T$230</f>
        <v>9774.7479436559315</v>
      </c>
      <c r="U126" s="147">
        <f>'Médias por UF'!CK109*'Evolução das Receitas'!$T$230</f>
        <v>12717.120284788763</v>
      </c>
      <c r="V126" s="147">
        <f>'Médias por UF'!CL109*'Evolução das Receitas'!$T$230</f>
        <v>14784.439338698341</v>
      </c>
      <c r="W126" s="147">
        <f>'Médias por UF'!CM109*'Evolução das Receitas'!$T$230</f>
        <v>17618.895172120774</v>
      </c>
      <c r="X126" s="147">
        <f>'Médias por UF'!CN109*'Evolução das Receitas'!$T$230</f>
        <v>19795.053011403917</v>
      </c>
      <c r="Y126" s="147">
        <f>'Médias por UF'!CO109*'Evolução das Receitas'!$T$230</f>
        <v>21152.327382609546</v>
      </c>
      <c r="Z126" s="147">
        <f>'Médias por UF'!CP109*'Evolução das Receitas'!$T$230</f>
        <v>22073.459412740351</v>
      </c>
      <c r="AA126" s="147">
        <f>'Médias por UF'!CQ109*'Evolução das Receitas'!$T$230</f>
        <v>23811.913988932403</v>
      </c>
      <c r="AB126" s="147">
        <f>'Médias por UF'!CR109*'Evolução das Receitas'!$T$230</f>
        <v>24973.199999999997</v>
      </c>
      <c r="AC126" s="147">
        <f t="shared" si="43"/>
        <v>24973.199999999997</v>
      </c>
      <c r="AE126" s="213" t="s">
        <v>103</v>
      </c>
      <c r="AF126" s="147">
        <f>JAN!$AL$21</f>
        <v>5265.0960000000005</v>
      </c>
      <c r="AG126" s="147">
        <f>FEV!$AL$21</f>
        <v>5529.16</v>
      </c>
      <c r="AH126" s="147">
        <f>MAR!$AL21</f>
        <v>2478.6240000000003</v>
      </c>
      <c r="AI126" s="147">
        <f>ABR!$AM21</f>
        <v>746.50400000000002</v>
      </c>
      <c r="AJ126" s="147">
        <f>MAI!$W21</f>
        <v>512.25600000000009</v>
      </c>
      <c r="AK126" s="147">
        <f>JUN!$W21</f>
        <v>993.84</v>
      </c>
      <c r="AL126" s="147">
        <f>JUL!$W21</f>
        <v>1809.12</v>
      </c>
      <c r="AM126" s="147">
        <f>AGO!$W21</f>
        <v>1597.0639999999985</v>
      </c>
      <c r="AN126" s="147">
        <f>SET!$W21</f>
        <v>2842.52</v>
      </c>
      <c r="AO126" s="147">
        <f>OUT!$W21</f>
        <v>5136.344000000001</v>
      </c>
      <c r="AP126" s="147">
        <f>NOV!$W21</f>
        <v>1931.6000000000001</v>
      </c>
      <c r="AQ126" s="147">
        <f>DEZ!$W21</f>
        <v>2184.3840000000005</v>
      </c>
      <c r="AR126" s="177">
        <f t="shared" si="44"/>
        <v>31026.512000000002</v>
      </c>
    </row>
    <row r="127" spans="1:44">
      <c r="A127" s="212" t="s">
        <v>104</v>
      </c>
      <c r="B127" s="147">
        <f>$E$231*'Médias por UF'!CG110</f>
        <v>2632.0833381345178</v>
      </c>
      <c r="C127" s="147">
        <f>$E$231*'Médias por UF'!CH110</f>
        <v>4051.8767227544745</v>
      </c>
      <c r="D127" s="147">
        <f>$E$231*'Médias por UF'!CI110</f>
        <v>4900.7392244240727</v>
      </c>
      <c r="E127" s="147">
        <f>$E$231*'Médias por UF'!CJ110</f>
        <v>6688.7535112255482</v>
      </c>
      <c r="F127" s="147">
        <f>$E$231*'Médias por UF'!CK110</f>
        <v>7874.6029246489288</v>
      </c>
      <c r="G127" s="147">
        <f>$E$231*'Médias por UF'!CL110</f>
        <v>9778.1886624251056</v>
      </c>
      <c r="H127" s="147">
        <f>$E$231*'Médias por UF'!CM110</f>
        <v>10727.695353476551</v>
      </c>
      <c r="I127" s="147">
        <f>$E$231*'Médias por UF'!CN110</f>
        <v>12037.761071301684</v>
      </c>
      <c r="J127" s="147">
        <f>$E$231*'Médias por UF'!CO110</f>
        <v>13013.498136118047</v>
      </c>
      <c r="K127" s="147">
        <f>$E$231*'Médias por UF'!CP110</f>
        <v>14304.31387409329</v>
      </c>
      <c r="L127" s="147">
        <f>$E$231*'Médias por UF'!CQ110</f>
        <v>15792.240400740508</v>
      </c>
      <c r="M127" s="147">
        <f>$E$231*'Médias por UF'!CR110</f>
        <v>16377.880000000001</v>
      </c>
      <c r="N127" s="147">
        <f t="shared" si="42"/>
        <v>16377.880000000001</v>
      </c>
      <c r="P127" s="213" t="s">
        <v>104</v>
      </c>
      <c r="Q127" s="147">
        <f>'Médias por UF'!CG110*'Evolução das Receitas'!$T$231</f>
        <v>2632.0833381345178</v>
      </c>
      <c r="R127" s="147">
        <f>'Médias por UF'!CH110*'Evolução das Receitas'!$T$231</f>
        <v>4051.8767227544745</v>
      </c>
      <c r="S127" s="147">
        <f>'Médias por UF'!CI110*'Evolução das Receitas'!$T$231</f>
        <v>4900.7392244240727</v>
      </c>
      <c r="T127" s="147">
        <f>'Médias por UF'!CJ110*'Evolução das Receitas'!$T$231</f>
        <v>6688.7535112255482</v>
      </c>
      <c r="U127" s="147">
        <f>'Médias por UF'!CK110*'Evolução das Receitas'!$T$231</f>
        <v>7874.6029246489288</v>
      </c>
      <c r="V127" s="147">
        <f>'Médias por UF'!CL110*'Evolução das Receitas'!$T$231</f>
        <v>9778.1886624251056</v>
      </c>
      <c r="W127" s="147">
        <f>'Médias por UF'!CM110*'Evolução das Receitas'!$T$231</f>
        <v>10727.695353476551</v>
      </c>
      <c r="X127" s="147">
        <f>'Médias por UF'!CN110*'Evolução das Receitas'!$T$231</f>
        <v>12037.761071301684</v>
      </c>
      <c r="Y127" s="147">
        <f>'Médias por UF'!CO110*'Evolução das Receitas'!$T$231</f>
        <v>13013.498136118047</v>
      </c>
      <c r="Z127" s="147">
        <f>'Médias por UF'!CP110*'Evolução das Receitas'!$T$231</f>
        <v>14304.31387409329</v>
      </c>
      <c r="AA127" s="147">
        <f>'Médias por UF'!CQ110*'Evolução das Receitas'!$T$231</f>
        <v>15792.240400740508</v>
      </c>
      <c r="AB127" s="147">
        <f>'Médias por UF'!CR110*'Evolução das Receitas'!$T$231</f>
        <v>16377.880000000001</v>
      </c>
      <c r="AC127" s="147">
        <f t="shared" si="43"/>
        <v>16377.880000000001</v>
      </c>
      <c r="AE127" s="213" t="s">
        <v>104</v>
      </c>
      <c r="AF127" s="147">
        <f>JAN!$AL$22</f>
        <v>3252.7520000000004</v>
      </c>
      <c r="AG127" s="147">
        <f>FEV!$AL$22</f>
        <v>1141.4559999999999</v>
      </c>
      <c r="AH127" s="147">
        <f>MAR!$AL22</f>
        <v>536.85600000000011</v>
      </c>
      <c r="AI127" s="147">
        <f>ABR!$AM22</f>
        <v>216.76</v>
      </c>
      <c r="AJ127" s="147">
        <f>MAI!$W22</f>
        <v>278.84000000000003</v>
      </c>
      <c r="AK127" s="147">
        <f>JUN!$W22</f>
        <v>867.35200000000009</v>
      </c>
      <c r="AL127" s="147">
        <f>JUL!$W22</f>
        <v>1663.8879999999999</v>
      </c>
      <c r="AM127" s="147">
        <f>AGO!$W22</f>
        <v>241.51999999999973</v>
      </c>
      <c r="AN127" s="147">
        <f>SET!$W22</f>
        <v>683.74400000000014</v>
      </c>
      <c r="AO127" s="147">
        <f>OUT!$W22</f>
        <v>685.88800000000015</v>
      </c>
      <c r="AP127" s="147">
        <f>NOV!$W22</f>
        <v>419.19200000000001</v>
      </c>
      <c r="AQ127" s="147">
        <f>DEZ!$W22</f>
        <v>2099.7920000000004</v>
      </c>
      <c r="AR127" s="177">
        <f t="shared" si="44"/>
        <v>12088.040000000005</v>
      </c>
    </row>
    <row r="128" spans="1:44">
      <c r="A128" s="212" t="s">
        <v>105</v>
      </c>
      <c r="B128" s="147">
        <f>$E$232*'Médias por UF'!CG111</f>
        <v>14979.256282849303</v>
      </c>
      <c r="C128" s="147">
        <f>$E$232*'Médias por UF'!CH111</f>
        <v>27474.48486742684</v>
      </c>
      <c r="D128" s="147">
        <f>$E$232*'Médias por UF'!CI111</f>
        <v>35999.418974308166</v>
      </c>
      <c r="E128" s="147">
        <f>$E$232*'Médias por UF'!CJ111</f>
        <v>45752.173558409115</v>
      </c>
      <c r="F128" s="147">
        <f>$E$232*'Médias por UF'!CK111</f>
        <v>53902.346520659601</v>
      </c>
      <c r="G128" s="147">
        <f>$E$232*'Médias por UF'!CL111</f>
        <v>66577.09737846705</v>
      </c>
      <c r="H128" s="147">
        <f>$E$232*'Médias por UF'!CM111</f>
        <v>81399.517278685904</v>
      </c>
      <c r="I128" s="147">
        <f>$E$232*'Médias por UF'!CN111</f>
        <v>96703.819652355334</v>
      </c>
      <c r="J128" s="147">
        <f>$E$232*'Médias por UF'!CO111</f>
        <v>107522.19997856244</v>
      </c>
      <c r="K128" s="147">
        <f>$E$232*'Médias por UF'!CP111</f>
        <v>120318.65588322618</v>
      </c>
      <c r="L128" s="147">
        <f>$E$232*'Médias por UF'!CQ111</f>
        <v>129339.25020022583</v>
      </c>
      <c r="M128" s="147">
        <f>$E$232*'Médias por UF'!CR111</f>
        <v>140000</v>
      </c>
      <c r="N128" s="147">
        <f t="shared" si="42"/>
        <v>140000</v>
      </c>
      <c r="P128" s="213" t="s">
        <v>105</v>
      </c>
      <c r="Q128" s="147">
        <f>'Médias por UF'!CG111*'Evolução das Receitas'!$T$232</f>
        <v>14979.256282849303</v>
      </c>
      <c r="R128" s="147">
        <f>'Médias por UF'!CH111*'Evolução das Receitas'!$T$232</f>
        <v>27474.48486742684</v>
      </c>
      <c r="S128" s="147">
        <f>'Médias por UF'!CI111*'Evolução das Receitas'!$T$232</f>
        <v>35999.418974308166</v>
      </c>
      <c r="T128" s="147">
        <f>'Médias por UF'!CJ111*'Evolução das Receitas'!$T$232</f>
        <v>45752.173558409115</v>
      </c>
      <c r="U128" s="147">
        <f>'Médias por UF'!CK111*'Evolução das Receitas'!$T$232</f>
        <v>53902.346520659601</v>
      </c>
      <c r="V128" s="147">
        <f>'Médias por UF'!CL111*'Evolução das Receitas'!$T$232</f>
        <v>66577.09737846705</v>
      </c>
      <c r="W128" s="147">
        <f>'Médias por UF'!CM111*'Evolução das Receitas'!$T$232</f>
        <v>81399.517278685904</v>
      </c>
      <c r="X128" s="147">
        <f>'Médias por UF'!CN111*'Evolução das Receitas'!$T$232</f>
        <v>96703.819652355334</v>
      </c>
      <c r="Y128" s="147">
        <f>'Médias por UF'!CO111*'Evolução das Receitas'!$T$232</f>
        <v>107522.19997856244</v>
      </c>
      <c r="Z128" s="147">
        <f>'Médias por UF'!CP111*'Evolução das Receitas'!$T$232</f>
        <v>120318.65588322618</v>
      </c>
      <c r="AA128" s="147">
        <f>'Médias por UF'!CQ111*'Evolução das Receitas'!$T$232</f>
        <v>129339.25020022583</v>
      </c>
      <c r="AB128" s="147">
        <f>'Médias por UF'!CR111*'Evolução das Receitas'!$T$232</f>
        <v>140000</v>
      </c>
      <c r="AC128" s="147">
        <f t="shared" si="43"/>
        <v>140000</v>
      </c>
      <c r="AE128" s="213" t="s">
        <v>105</v>
      </c>
      <c r="AF128" s="147">
        <f>JAN!$AL$23</f>
        <v>18606</v>
      </c>
      <c r="AG128" s="147">
        <f>FEV!$AL$23</f>
        <v>16482.960000000003</v>
      </c>
      <c r="AH128" s="147">
        <f>MAR!$AL23</f>
        <v>15240.936000000002</v>
      </c>
      <c r="AI128" s="147">
        <f>ABR!$AM23</f>
        <v>8184.8</v>
      </c>
      <c r="AJ128" s="147">
        <f>MAI!$W23</f>
        <v>7156.4240000000009</v>
      </c>
      <c r="AK128" s="147">
        <f>JUN!$W23</f>
        <v>6892.7520000000004</v>
      </c>
      <c r="AL128" s="147">
        <f>JUL!$W23</f>
        <v>7149.4080000000022</v>
      </c>
      <c r="AM128" s="147">
        <f>AGO!$W23</f>
        <v>5840.7599999999984</v>
      </c>
      <c r="AN128" s="147">
        <f>SET!$W23</f>
        <v>7063.5519999999997</v>
      </c>
      <c r="AO128" s="147">
        <f>OUT!$W23</f>
        <v>14351.272000000004</v>
      </c>
      <c r="AP128" s="147">
        <f>NOV!$W23</f>
        <v>6954.9520000000011</v>
      </c>
      <c r="AQ128" s="147">
        <f>DEZ!$W23</f>
        <v>9964.4239999999991</v>
      </c>
      <c r="AR128" s="177">
        <f t="shared" si="44"/>
        <v>123888.24</v>
      </c>
    </row>
    <row r="129" spans="1:46">
      <c r="A129" s="212" t="s">
        <v>106</v>
      </c>
      <c r="B129" s="147">
        <f>$E$233*'Médias por UF'!CG112</f>
        <v>635.30576841680897</v>
      </c>
      <c r="C129" s="147">
        <f>$E$233*'Médias por UF'!CH112</f>
        <v>1749.124659622752</v>
      </c>
      <c r="D129" s="147">
        <f>$E$233*'Médias por UF'!CI112</f>
        <v>2360.8195452607429</v>
      </c>
      <c r="E129" s="147">
        <f>$E$233*'Médias por UF'!CJ112</f>
        <v>2788.0066181834277</v>
      </c>
      <c r="F129" s="147">
        <f>$E$233*'Médias por UF'!CK112</f>
        <v>3482.0619554291911</v>
      </c>
      <c r="G129" s="147">
        <f>$E$233*'Médias por UF'!CL112</f>
        <v>4260.8561121217699</v>
      </c>
      <c r="H129" s="147">
        <f>$E$233*'Médias por UF'!CM112</f>
        <v>4862.4832989935558</v>
      </c>
      <c r="I129" s="147">
        <f>$E$233*'Médias por UF'!CN112</f>
        <v>5601.5242532377033</v>
      </c>
      <c r="J129" s="147">
        <f>$E$233*'Médias por UF'!CO112</f>
        <v>6213.2573893441177</v>
      </c>
      <c r="K129" s="147">
        <f>$E$233*'Médias por UF'!CP112</f>
        <v>6703.9384449404652</v>
      </c>
      <c r="L129" s="147">
        <f>$E$233*'Médias por UF'!CQ112</f>
        <v>7231.9079953615992</v>
      </c>
      <c r="M129" s="147">
        <f>$E$233*'Médias por UF'!CR112</f>
        <v>7574</v>
      </c>
      <c r="N129" s="147">
        <f t="shared" si="42"/>
        <v>7574</v>
      </c>
      <c r="P129" s="213" t="s">
        <v>106</v>
      </c>
      <c r="Q129" s="147">
        <f>'Médias por UF'!CG112*'Evolução das Receitas'!$T$233</f>
        <v>987.60101892520595</v>
      </c>
      <c r="R129" s="147">
        <f>'Médias por UF'!CH112*'Evolução das Receitas'!$T$233</f>
        <v>2719.0643969366629</v>
      </c>
      <c r="S129" s="147">
        <f>'Médias por UF'!CI112*'Evolução das Receitas'!$T$233</f>
        <v>3669.9616221151291</v>
      </c>
      <c r="T129" s="147">
        <f>'Médias por UF'!CJ112*'Evolução das Receitas'!$T$233</f>
        <v>4334.0361661594507</v>
      </c>
      <c r="U129" s="147">
        <f>'Médias por UF'!CK112*'Evolução das Receitas'!$T$233</f>
        <v>5412.965073042421</v>
      </c>
      <c r="V129" s="147">
        <f>'Médias por UF'!CL112*'Evolução das Receitas'!$T$233</f>
        <v>6623.6229025774646</v>
      </c>
      <c r="W129" s="147">
        <f>'Médias por UF'!CM112*'Evolução das Receitas'!$T$233</f>
        <v>7558.8696015777823</v>
      </c>
      <c r="X129" s="147">
        <f>'Médias por UF'!CN112*'Evolução das Receitas'!$T$233</f>
        <v>8707.7299389517721</v>
      </c>
      <c r="Y129" s="147">
        <f>'Médias por UF'!CO112*'Evolução das Receitas'!$T$233</f>
        <v>9658.6866255793029</v>
      </c>
      <c r="Z129" s="147">
        <f>'Médias por UF'!CP112*'Evolução das Receitas'!$T$233</f>
        <v>10421.464384833514</v>
      </c>
      <c r="AA129" s="147">
        <f>'Médias por UF'!CQ112*'Evolução das Receitas'!$T$233</f>
        <v>11242.208177632356</v>
      </c>
      <c r="AB129" s="147">
        <f>'Médias por UF'!CR112*'Evolução das Receitas'!$T$233</f>
        <v>11774</v>
      </c>
      <c r="AC129" s="147">
        <f t="shared" si="43"/>
        <v>11774</v>
      </c>
      <c r="AE129" s="213" t="s">
        <v>106</v>
      </c>
      <c r="AF129" s="147">
        <f>JAN!$AL$24</f>
        <v>1252.672</v>
      </c>
      <c r="AG129" s="147">
        <f>FEV!$AL$24</f>
        <v>2064.616</v>
      </c>
      <c r="AH129" s="147">
        <f>MAR!$AL24</f>
        <v>2341.9919999999997</v>
      </c>
      <c r="AI129" s="147">
        <f>ABR!$AM24</f>
        <v>340.48800000000006</v>
      </c>
      <c r="AJ129" s="147">
        <f>MAI!$W24</f>
        <v>845.12000000000012</v>
      </c>
      <c r="AK129" s="147">
        <f>JUN!$W24</f>
        <v>817.56000000000006</v>
      </c>
      <c r="AL129" s="147">
        <f>JUL!$W24</f>
        <v>644.06399999999996</v>
      </c>
      <c r="AM129" s="147">
        <f>AGO!$W24</f>
        <v>1156.8400000000008</v>
      </c>
      <c r="AN129" s="147">
        <f>SET!$W24</f>
        <v>366.52800000000008</v>
      </c>
      <c r="AO129" s="147">
        <f>OUT!$W24</f>
        <v>850.73599999999988</v>
      </c>
      <c r="AP129" s="147">
        <f>NOV!$W24</f>
        <v>134.56</v>
      </c>
      <c r="AQ129" s="147">
        <f>DEZ!$W24</f>
        <v>126.25600000000014</v>
      </c>
      <c r="AR129" s="177">
        <f t="shared" si="44"/>
        <v>10941.432000000001</v>
      </c>
    </row>
    <row r="130" spans="1:46">
      <c r="A130" s="212" t="s">
        <v>107</v>
      </c>
      <c r="B130" s="147">
        <f>$E$234*'Médias por UF'!CG113</f>
        <v>12102.662183317647</v>
      </c>
      <c r="C130" s="147">
        <f>$E$234*'Médias por UF'!CH113</f>
        <v>24040.373404806662</v>
      </c>
      <c r="D130" s="147">
        <f>$E$234*'Médias por UF'!CI113</f>
        <v>35538.402444773543</v>
      </c>
      <c r="E130" s="147">
        <f>$E$234*'Médias por UF'!CJ113</f>
        <v>45611.382920574833</v>
      </c>
      <c r="F130" s="147">
        <f>$E$234*'Médias por UF'!CK113</f>
        <v>53209.737377740676</v>
      </c>
      <c r="G130" s="147">
        <f>$E$234*'Médias por UF'!CL113</f>
        <v>61346.682667726396</v>
      </c>
      <c r="H130" s="147">
        <f>$E$234*'Médias por UF'!CM113</f>
        <v>70185.91048412009</v>
      </c>
      <c r="I130" s="147">
        <f>$E$234*'Médias por UF'!CN113</f>
        <v>78840.569046639721</v>
      </c>
      <c r="J130" s="147">
        <f>$E$234*'Médias por UF'!CO113</f>
        <v>85998.277752395923</v>
      </c>
      <c r="K130" s="147">
        <f>$E$234*'Médias por UF'!CP113</f>
        <v>94324.383573293817</v>
      </c>
      <c r="L130" s="147">
        <f>$E$234*'Médias por UF'!CQ113</f>
        <v>101848.24779160117</v>
      </c>
      <c r="M130" s="147">
        <f>$E$234*'Médias por UF'!CR113</f>
        <v>114583.78</v>
      </c>
      <c r="N130" s="147">
        <f t="shared" si="42"/>
        <v>114583.78</v>
      </c>
      <c r="P130" s="213" t="s">
        <v>107</v>
      </c>
      <c r="Q130" s="147">
        <f>'Médias por UF'!CG113*'Evolução das Receitas'!$T$234</f>
        <v>12102.662183317647</v>
      </c>
      <c r="R130" s="147">
        <f>'Médias por UF'!CH113*'Evolução das Receitas'!$T$234</f>
        <v>24040.373404806662</v>
      </c>
      <c r="S130" s="147">
        <f>'Médias por UF'!CI113*'Evolução das Receitas'!$T$234</f>
        <v>35538.402444773543</v>
      </c>
      <c r="T130" s="147">
        <f>'Médias por UF'!CJ113*'Evolução das Receitas'!$T$234</f>
        <v>45611.382920574833</v>
      </c>
      <c r="U130" s="147">
        <f>'Médias por UF'!CK113*'Evolução das Receitas'!$T$234</f>
        <v>53209.737377740676</v>
      </c>
      <c r="V130" s="147">
        <f>'Médias por UF'!CL113*'Evolução das Receitas'!$T$234</f>
        <v>61346.682667726396</v>
      </c>
      <c r="W130" s="147">
        <f>'Médias por UF'!CM113*'Evolução das Receitas'!$T$234</f>
        <v>70185.91048412009</v>
      </c>
      <c r="X130" s="147">
        <f>'Médias por UF'!CN113*'Evolução das Receitas'!$T$234</f>
        <v>78840.569046639721</v>
      </c>
      <c r="Y130" s="147">
        <f>'Médias por UF'!CO113*'Evolução das Receitas'!$T$234</f>
        <v>85998.277752395923</v>
      </c>
      <c r="Z130" s="147">
        <f>'Médias por UF'!CP113*'Evolução das Receitas'!$T$234</f>
        <v>94324.383573293817</v>
      </c>
      <c r="AA130" s="147">
        <f>'Médias por UF'!CQ113*'Evolução das Receitas'!$T$234</f>
        <v>101848.24779160117</v>
      </c>
      <c r="AB130" s="147">
        <f>'Médias por UF'!CR113*'Evolução das Receitas'!$T$234</f>
        <v>114583.78</v>
      </c>
      <c r="AC130" s="147">
        <f t="shared" si="43"/>
        <v>114583.78</v>
      </c>
      <c r="AE130" s="213" t="s">
        <v>107</v>
      </c>
      <c r="AF130" s="147">
        <f>JAN!$AL$25</f>
        <v>31813.528000000006</v>
      </c>
      <c r="AG130" s="147">
        <f>FEV!$AL$25</f>
        <v>23029.248000000003</v>
      </c>
      <c r="AH130" s="147">
        <f>MAR!$AL25</f>
        <v>27382.712</v>
      </c>
      <c r="AI130" s="147">
        <f>ABR!$AM25</f>
        <v>11017.24</v>
      </c>
      <c r="AJ130" s="147">
        <f>MAI!$W25</f>
        <v>8636.344000000001</v>
      </c>
      <c r="AK130" s="147">
        <f>JUN!$W25</f>
        <v>12704.704</v>
      </c>
      <c r="AL130" s="147">
        <f>JUL!$W25</f>
        <v>13106.088000000002</v>
      </c>
      <c r="AM130" s="147">
        <f>AGO!$W25</f>
        <v>12905.704000000005</v>
      </c>
      <c r="AN130" s="147">
        <f>SET!$W25</f>
        <v>8145.7280000000028</v>
      </c>
      <c r="AO130" s="147">
        <f>OUT!$W25</f>
        <v>8678.5360000000019</v>
      </c>
      <c r="AP130" s="147">
        <f>NOV!$W25</f>
        <v>8250.4639999999999</v>
      </c>
      <c r="AQ130" s="147">
        <f>DEZ!$W25</f>
        <v>10486.552000000003</v>
      </c>
      <c r="AR130" s="177">
        <f t="shared" si="44"/>
        <v>176156.84800000003</v>
      </c>
    </row>
    <row r="131" spans="1:46">
      <c r="A131" s="212" t="s">
        <v>108</v>
      </c>
      <c r="B131" s="147">
        <f>$E$235*'Médias por UF'!CG114</f>
        <v>818.62535910117674</v>
      </c>
      <c r="C131" s="147">
        <f>$E$235*'Médias por UF'!CH114</f>
        <v>1533.4609970802715</v>
      </c>
      <c r="D131" s="147">
        <f>$E$235*'Médias por UF'!CI114</f>
        <v>1720.3997543356545</v>
      </c>
      <c r="E131" s="147">
        <f>$E$235*'Médias por UF'!CJ114</f>
        <v>2271.2093378146033</v>
      </c>
      <c r="F131" s="147">
        <f>$E$235*'Médias por UF'!CK114</f>
        <v>3104.9224619221477</v>
      </c>
      <c r="G131" s="147">
        <f>$E$235*'Médias por UF'!CL114</f>
        <v>3687.2953943599873</v>
      </c>
      <c r="H131" s="147">
        <f>$E$235*'Médias por UF'!CM114</f>
        <v>4422.8111741591783</v>
      </c>
      <c r="I131" s="147">
        <f>$E$235*'Médias por UF'!CN114</f>
        <v>5011.4137745209637</v>
      </c>
      <c r="J131" s="147">
        <f>$E$235*'Médias por UF'!CO114</f>
        <v>5493.4229953218937</v>
      </c>
      <c r="K131" s="147">
        <f>$E$235*'Médias por UF'!CP114</f>
        <v>5924.3326730478548</v>
      </c>
      <c r="L131" s="147">
        <f>$E$235*'Médias por UF'!CQ114</f>
        <v>6513.6851049695097</v>
      </c>
      <c r="M131" s="147">
        <f>$E$235*'Médias por UF'!CR114</f>
        <v>6861.61</v>
      </c>
      <c r="N131" s="147">
        <f t="shared" si="42"/>
        <v>6861.61</v>
      </c>
      <c r="P131" s="213" t="s">
        <v>108</v>
      </c>
      <c r="Q131" s="147">
        <f>'Médias por UF'!CG114*'Evolução das Receitas'!$T$235</f>
        <v>818.62535910117674</v>
      </c>
      <c r="R131" s="147">
        <f>'Médias por UF'!CH114*'Evolução das Receitas'!$T$235</f>
        <v>1533.4609970802715</v>
      </c>
      <c r="S131" s="147">
        <f>'Médias por UF'!CI114*'Evolução das Receitas'!$T$235</f>
        <v>1720.3997543356545</v>
      </c>
      <c r="T131" s="147">
        <f>'Médias por UF'!CJ114*'Evolução das Receitas'!$T$235</f>
        <v>2271.2093378146033</v>
      </c>
      <c r="U131" s="147">
        <f>'Médias por UF'!CK114*'Evolução das Receitas'!$T$235</f>
        <v>3104.9224619221477</v>
      </c>
      <c r="V131" s="147">
        <f>'Médias por UF'!CL114*'Evolução das Receitas'!$T$235</f>
        <v>3687.2953943599873</v>
      </c>
      <c r="W131" s="147">
        <f>'Médias por UF'!CM114*'Evolução das Receitas'!$T$235</f>
        <v>4422.8111741591783</v>
      </c>
      <c r="X131" s="147">
        <f>'Médias por UF'!CN114*'Evolução das Receitas'!$T$235</f>
        <v>5011.4137745209637</v>
      </c>
      <c r="Y131" s="147">
        <f>'Médias por UF'!CO114*'Evolução das Receitas'!$T$235</f>
        <v>5493.4229953218937</v>
      </c>
      <c r="Z131" s="147">
        <f>'Médias por UF'!CP114*'Evolução das Receitas'!$T$235</f>
        <v>5924.3326730478548</v>
      </c>
      <c r="AA131" s="147">
        <f>'Médias por UF'!CQ114*'Evolução das Receitas'!$T$235</f>
        <v>6513.6851049695097</v>
      </c>
      <c r="AB131" s="147">
        <f>'Médias por UF'!CR114*'Evolução das Receitas'!$T$235</f>
        <v>6861.61</v>
      </c>
      <c r="AC131" s="147">
        <f t="shared" si="43"/>
        <v>6861.61</v>
      </c>
      <c r="AE131" s="213" t="s">
        <v>108</v>
      </c>
      <c r="AF131" s="147">
        <f>JAN!$AL$26</f>
        <v>2103.1840000000002</v>
      </c>
      <c r="AG131" s="147">
        <f>FEV!$AL$26</f>
        <v>1861.864</v>
      </c>
      <c r="AH131" s="147">
        <f>MAR!$AL26</f>
        <v>1007.792</v>
      </c>
      <c r="AI131" s="147">
        <f>ABR!$AM26</f>
        <v>652.77600000000007</v>
      </c>
      <c r="AJ131" s="147">
        <f>MAI!$W26</f>
        <v>311.16000000000003</v>
      </c>
      <c r="AK131" s="147">
        <f>JUN!$W26</f>
        <v>952.39200000000005</v>
      </c>
      <c r="AL131" s="147">
        <f>JUL!$W26</f>
        <v>716.53600000000006</v>
      </c>
      <c r="AM131" s="147">
        <f>AGO!$W26</f>
        <v>671.76000000000067</v>
      </c>
      <c r="AN131" s="147">
        <f>SET!$W26</f>
        <v>742.2</v>
      </c>
      <c r="AO131" s="147">
        <f>OUT!$W26</f>
        <v>2180.4720000000002</v>
      </c>
      <c r="AP131" s="147">
        <f>NOV!$W26</f>
        <v>217.26400000000001</v>
      </c>
      <c r="AQ131" s="147">
        <f>DEZ!$W26</f>
        <v>758.48799999999994</v>
      </c>
      <c r="AR131" s="177">
        <f t="shared" si="44"/>
        <v>12175.887999999999</v>
      </c>
    </row>
    <row r="132" spans="1:46">
      <c r="A132" s="212" t="s">
        <v>109</v>
      </c>
      <c r="B132" s="147">
        <f>$E$236*'Médias por UF'!CG115</f>
        <v>117.28389235297843</v>
      </c>
      <c r="C132" s="147">
        <f>$E$236*'Médias por UF'!CH115</f>
        <v>237.56335073442062</v>
      </c>
      <c r="D132" s="147">
        <f>$E$236*'Médias por UF'!CI115</f>
        <v>237.56335073442062</v>
      </c>
      <c r="E132" s="147">
        <f>$E$236*'Médias por UF'!CJ115</f>
        <v>433.69570171551561</v>
      </c>
      <c r="F132" s="147">
        <f>$E$236*'Médias por UF'!CK115</f>
        <v>703.95570171551549</v>
      </c>
      <c r="G132" s="147">
        <f>$E$236*'Médias por UF'!CL115</f>
        <v>703.95570171551549</v>
      </c>
      <c r="H132" s="147">
        <f>$E$236*'Médias por UF'!CM115</f>
        <v>779.19377951509773</v>
      </c>
      <c r="I132" s="147">
        <f>$E$236*'Médias por UF'!CN115</f>
        <v>779.19377951509773</v>
      </c>
      <c r="J132" s="147">
        <f>$E$236*'Médias por UF'!CO115</f>
        <v>810.78</v>
      </c>
      <c r="K132" s="147">
        <f>$E$236*'Médias por UF'!CP115</f>
        <v>810.78</v>
      </c>
      <c r="L132" s="147">
        <f>$E$236*'Médias por UF'!CQ115</f>
        <v>810.78</v>
      </c>
      <c r="M132" s="147">
        <f>$E$236*'Médias por UF'!CR115</f>
        <v>810.78</v>
      </c>
      <c r="N132" s="147">
        <f t="shared" si="42"/>
        <v>810.78</v>
      </c>
      <c r="P132" s="213" t="s">
        <v>109</v>
      </c>
      <c r="Q132" s="147">
        <f>'Médias por UF'!CG115*'Evolução das Receitas'!$T$236</f>
        <v>117.28389235297843</v>
      </c>
      <c r="R132" s="147">
        <f>'Médias por UF'!CH115*'Evolução das Receitas'!$T$236</f>
        <v>237.56335073442062</v>
      </c>
      <c r="S132" s="147">
        <f>'Médias por UF'!CI115*'Evolução das Receitas'!$T$236</f>
        <v>237.56335073442062</v>
      </c>
      <c r="T132" s="147">
        <f>'Médias por UF'!CJ115*'Evolução das Receitas'!$T$236</f>
        <v>433.69570171551561</v>
      </c>
      <c r="U132" s="147">
        <f>'Médias por UF'!CK115*'Evolução das Receitas'!$T$236</f>
        <v>703.95570171551549</v>
      </c>
      <c r="V132" s="147">
        <f>'Médias por UF'!CL115*'Evolução das Receitas'!$T$236</f>
        <v>703.95570171551549</v>
      </c>
      <c r="W132" s="147">
        <f>'Médias por UF'!CM115*'Evolução das Receitas'!$T$236</f>
        <v>779.19377951509773</v>
      </c>
      <c r="X132" s="147">
        <f>'Médias por UF'!CN115*'Evolução das Receitas'!$T$236</f>
        <v>779.19377951509773</v>
      </c>
      <c r="Y132" s="147">
        <f>'Médias por UF'!CO115*'Evolução das Receitas'!$T$236</f>
        <v>810.78</v>
      </c>
      <c r="Z132" s="147">
        <f>'Médias por UF'!CP115*'Evolução das Receitas'!$T$236</f>
        <v>810.78</v>
      </c>
      <c r="AA132" s="147">
        <f>'Médias por UF'!CQ115*'Evolução das Receitas'!$T$236</f>
        <v>810.78</v>
      </c>
      <c r="AB132" s="147">
        <f>'Médias por UF'!CR115*'Evolução das Receitas'!$T$236</f>
        <v>810.78</v>
      </c>
      <c r="AC132" s="147">
        <f t="shared" si="43"/>
        <v>810.78</v>
      </c>
      <c r="AE132" s="213" t="s">
        <v>109</v>
      </c>
      <c r="AF132" s="147">
        <f>JAN!$AL$27</f>
        <v>0</v>
      </c>
      <c r="AG132" s="147">
        <f>FEV!$AL$27</f>
        <v>368.52800000000002</v>
      </c>
      <c r="AH132" s="147">
        <f>MAR!$AL27</f>
        <v>176.904</v>
      </c>
      <c r="AI132" s="147">
        <f>ABR!$AM27</f>
        <v>0</v>
      </c>
      <c r="AJ132" s="147">
        <f>MAI!$W27</f>
        <v>0</v>
      </c>
      <c r="AK132" s="147">
        <f>JUN!$W27</f>
        <v>265.35200000000003</v>
      </c>
      <c r="AL132" s="147">
        <f>JUL!$W27</f>
        <v>0</v>
      </c>
      <c r="AM132" s="147">
        <f>AGO!$W27</f>
        <v>73.703999999999994</v>
      </c>
      <c r="AN132" s="147">
        <f>SET!$W27</f>
        <v>884.44799999999998</v>
      </c>
      <c r="AO132" s="147">
        <f>OUT!$W27</f>
        <v>53.904000000000025</v>
      </c>
      <c r="AP132" s="147">
        <f>NOV!$W27</f>
        <v>0</v>
      </c>
      <c r="AQ132" s="147">
        <f>DEZ!$W27</f>
        <v>0</v>
      </c>
      <c r="AR132" s="177">
        <f t="shared" si="44"/>
        <v>1822.8400000000001</v>
      </c>
    </row>
    <row r="133" spans="1:46">
      <c r="A133" s="212" t="s">
        <v>110</v>
      </c>
      <c r="B133" s="147">
        <f>$E$237*'Médias por UF'!CG116</f>
        <v>7886.5939613012006</v>
      </c>
      <c r="C133" s="147">
        <f>$E$237*'Médias por UF'!CH116</f>
        <v>15931.132624199518</v>
      </c>
      <c r="D133" s="147">
        <f>$E$237*'Médias por UF'!CI116</f>
        <v>23766.176634484716</v>
      </c>
      <c r="E133" s="147">
        <f>$E$237*'Médias por UF'!CJ116</f>
        <v>34410.671924109447</v>
      </c>
      <c r="F133" s="147">
        <f>$E$237*'Médias por UF'!CK116</f>
        <v>40927.380186032577</v>
      </c>
      <c r="G133" s="147">
        <f>$E$237*'Médias por UF'!CL116</f>
        <v>47682.967842806633</v>
      </c>
      <c r="H133" s="147">
        <f>$E$237*'Médias por UF'!CM116</f>
        <v>53161.691352929804</v>
      </c>
      <c r="I133" s="147">
        <f>$E$237*'Médias por UF'!CN116</f>
        <v>58689.739522010743</v>
      </c>
      <c r="J133" s="147">
        <f>$E$237*'Médias por UF'!CO116</f>
        <v>63361.351624767187</v>
      </c>
      <c r="K133" s="147">
        <f>$E$237*'Médias por UF'!CP116</f>
        <v>66478.718414230447</v>
      </c>
      <c r="L133" s="147">
        <f>$E$237*'Médias por UF'!CQ116</f>
        <v>69832.753097545981</v>
      </c>
      <c r="M133" s="147">
        <f>$E$237*'Médias por UF'!CR116</f>
        <v>73316.311999999947</v>
      </c>
      <c r="N133" s="147">
        <f t="shared" si="42"/>
        <v>73316.311999999947</v>
      </c>
      <c r="P133" s="213" t="s">
        <v>110</v>
      </c>
      <c r="Q133" s="147">
        <f>'Médias por UF'!CG116*'Evolução das Receitas'!$T$237</f>
        <v>7886.5939613012006</v>
      </c>
      <c r="R133" s="147">
        <f>'Médias por UF'!CH116*'Evolução das Receitas'!$T$237</f>
        <v>15931.132624199518</v>
      </c>
      <c r="S133" s="147">
        <f>'Médias por UF'!CI116*'Evolução das Receitas'!$T$237</f>
        <v>23766.176634484716</v>
      </c>
      <c r="T133" s="147">
        <f>'Médias por UF'!CJ116*'Evolução das Receitas'!$T$237</f>
        <v>34410.671924109447</v>
      </c>
      <c r="U133" s="147">
        <f>'Médias por UF'!CK116*'Evolução das Receitas'!$T$237</f>
        <v>40927.380186032577</v>
      </c>
      <c r="V133" s="147">
        <f>'Médias por UF'!CL116*'Evolução das Receitas'!$T$237</f>
        <v>47682.967842806633</v>
      </c>
      <c r="W133" s="147">
        <f>'Médias por UF'!CM116*'Evolução das Receitas'!$T$237</f>
        <v>53161.691352929804</v>
      </c>
      <c r="X133" s="147">
        <f>'Médias por UF'!CN116*'Evolução das Receitas'!$T$237</f>
        <v>58689.739522010743</v>
      </c>
      <c r="Y133" s="147">
        <f>'Médias por UF'!CO116*'Evolução das Receitas'!$T$237</f>
        <v>63361.351624767187</v>
      </c>
      <c r="Z133" s="147">
        <f>'Médias por UF'!CP116*'Evolução das Receitas'!$T$237</f>
        <v>66478.718414230447</v>
      </c>
      <c r="AA133" s="147">
        <f>'Médias por UF'!CQ116*'Evolução das Receitas'!$T$237</f>
        <v>69832.753097545981</v>
      </c>
      <c r="AB133" s="147">
        <f>'Médias por UF'!CR116*'Evolução das Receitas'!$T$237</f>
        <v>73316.311999999947</v>
      </c>
      <c r="AC133" s="147">
        <f t="shared" si="43"/>
        <v>73316.311999999947</v>
      </c>
      <c r="AE133" s="213" t="s">
        <v>110</v>
      </c>
      <c r="AF133" s="147">
        <f>JAN!$AL$28</f>
        <v>9873.8240000000005</v>
      </c>
      <c r="AG133" s="147">
        <f>FEV!$AL$28</f>
        <v>10202.944000000001</v>
      </c>
      <c r="AH133" s="147">
        <f>MAR!$AL28</f>
        <v>6572.04</v>
      </c>
      <c r="AI133" s="147">
        <f>ABR!$AM28</f>
        <v>4669.7120000000004</v>
      </c>
      <c r="AJ133" s="147">
        <f>MAI!$W28</f>
        <v>3281.1040000000003</v>
      </c>
      <c r="AK133" s="147">
        <f>JUN!$W28</f>
        <v>4661.6400000000003</v>
      </c>
      <c r="AL133" s="147">
        <f>JUL!$W28</f>
        <v>3170.8079999999959</v>
      </c>
      <c r="AM133" s="147">
        <f>AGO!$W28</f>
        <v>3901.3119999999999</v>
      </c>
      <c r="AN133" s="147">
        <f>SET!$W28</f>
        <v>2873.3439999999991</v>
      </c>
      <c r="AO133" s="147">
        <f>OUT!$W28</f>
        <v>5789.3840000000009</v>
      </c>
      <c r="AP133" s="147">
        <f>NOV!$W28</f>
        <v>4310.9360000000006</v>
      </c>
      <c r="AQ133" s="147">
        <f>DEZ!$W28</f>
        <v>6651.8480000000018</v>
      </c>
      <c r="AR133" s="177">
        <f t="shared" si="44"/>
        <v>65958.895999999993</v>
      </c>
    </row>
    <row r="134" spans="1:46">
      <c r="A134" s="212" t="s">
        <v>111</v>
      </c>
      <c r="B134" s="147">
        <f>$E$238*'Médias por UF'!CG117</f>
        <v>63823.356764842552</v>
      </c>
      <c r="C134" s="147">
        <f>$E$238*'Médias por UF'!CH117</f>
        <v>104842.70917249957</v>
      </c>
      <c r="D134" s="147">
        <f>$E$238*'Médias por UF'!CI117</f>
        <v>137084.72428139948</v>
      </c>
      <c r="E134" s="147">
        <f>$E$238*'Médias por UF'!CJ117</f>
        <v>166006.87408925471</v>
      </c>
      <c r="F134" s="147">
        <f>$E$238*'Médias por UF'!CK117</f>
        <v>197163.35869303727</v>
      </c>
      <c r="G134" s="147">
        <f>$E$238*'Médias por UF'!CL117</f>
        <v>219689.3438339307</v>
      </c>
      <c r="H134" s="147">
        <f>$E$238*'Médias por UF'!CM117</f>
        <v>255352.70482872555</v>
      </c>
      <c r="I134" s="147">
        <f>$E$238*'Médias por UF'!CN117</f>
        <v>299354.07485842862</v>
      </c>
      <c r="J134" s="147">
        <f>$E$238*'Médias por UF'!CO117</f>
        <v>328841.08126028889</v>
      </c>
      <c r="K134" s="147">
        <f>$E$238*'Médias por UF'!CP117</f>
        <v>365396.40804459178</v>
      </c>
      <c r="L134" s="147">
        <f>$E$238*'Médias por UF'!CQ117</f>
        <v>393978.96935651067</v>
      </c>
      <c r="M134" s="147">
        <f>$E$238*'Médias por UF'!CR117</f>
        <v>421066.2122784832</v>
      </c>
      <c r="N134" s="147">
        <f t="shared" si="42"/>
        <v>421066.2122784832</v>
      </c>
      <c r="P134" s="213" t="s">
        <v>111</v>
      </c>
      <c r="Q134" s="147">
        <f>'Médias por UF'!CG117*'Evolução das Receitas'!$T$238</f>
        <v>63823.356764842552</v>
      </c>
      <c r="R134" s="147">
        <f>'Médias por UF'!CH117*'Evolução das Receitas'!$T$238</f>
        <v>104842.70917249957</v>
      </c>
      <c r="S134" s="147">
        <f>'Médias por UF'!CI117*'Evolução das Receitas'!$T$238</f>
        <v>137084.72428139948</v>
      </c>
      <c r="T134" s="147">
        <f>'Médias por UF'!CJ117*'Evolução das Receitas'!$T$238</f>
        <v>166006.87408925471</v>
      </c>
      <c r="U134" s="147">
        <f>'Médias por UF'!CK117*'Evolução das Receitas'!$T$238</f>
        <v>197163.35869303727</v>
      </c>
      <c r="V134" s="147">
        <f>'Médias por UF'!CL117*'Evolução das Receitas'!$T$238</f>
        <v>219689.3438339307</v>
      </c>
      <c r="W134" s="147">
        <f>'Médias por UF'!CM117*'Evolução das Receitas'!$T$238</f>
        <v>255352.70482872555</v>
      </c>
      <c r="X134" s="147">
        <f>'Médias por UF'!CN117*'Evolução das Receitas'!$T$238</f>
        <v>299354.07485842862</v>
      </c>
      <c r="Y134" s="147">
        <f>'Médias por UF'!CO117*'Evolução das Receitas'!$T$238</f>
        <v>328841.08126028889</v>
      </c>
      <c r="Z134" s="147">
        <f>'Médias por UF'!CP117*'Evolução das Receitas'!$T$238</f>
        <v>365396.40804459178</v>
      </c>
      <c r="AA134" s="147">
        <f>'Médias por UF'!CQ117*'Evolução das Receitas'!$T$238</f>
        <v>393978.96935651067</v>
      </c>
      <c r="AB134" s="147">
        <f>'Médias por UF'!CR117*'Evolução das Receitas'!$T$238</f>
        <v>421066.2122784832</v>
      </c>
      <c r="AC134" s="147">
        <f t="shared" si="43"/>
        <v>421066.2122784832</v>
      </c>
      <c r="AE134" s="213" t="s">
        <v>111</v>
      </c>
      <c r="AF134" s="147">
        <f>JAN!$AL$29</f>
        <v>70190.623999999996</v>
      </c>
      <c r="AG134" s="147">
        <f>FEV!$AL$29</f>
        <v>55168.52</v>
      </c>
      <c r="AH134" s="147">
        <f>MAR!$AL29</f>
        <v>51641.656000000003</v>
      </c>
      <c r="AI134" s="147">
        <f>ABR!$AM29</f>
        <v>24785.312000000002</v>
      </c>
      <c r="AJ134" s="147">
        <f>MAI!$W29</f>
        <v>25577.872000000003</v>
      </c>
      <c r="AK134" s="147">
        <f>JUN!$W29</f>
        <v>41828.04800000001</v>
      </c>
      <c r="AL134" s="147">
        <f>JUL!$W29</f>
        <v>55157.648000000001</v>
      </c>
      <c r="AM134" s="147">
        <f>AGO!$W29</f>
        <v>50839.495999999999</v>
      </c>
      <c r="AN134" s="147">
        <f>SET!$W29</f>
        <v>40324.519999999997</v>
      </c>
      <c r="AO134" s="147">
        <f>OUT!$W29</f>
        <v>66340.639999999999</v>
      </c>
      <c r="AP134" s="147">
        <f>NOV!$W29</f>
        <v>39898.527999999998</v>
      </c>
      <c r="AQ134" s="147">
        <f>DEZ!$W29</f>
        <v>52976.695999999996</v>
      </c>
      <c r="AR134" s="177">
        <f t="shared" si="44"/>
        <v>574729.56000000006</v>
      </c>
    </row>
    <row r="135" spans="1:46">
      <c r="A135" s="212" t="s">
        <v>112</v>
      </c>
      <c r="B135" s="147">
        <f>$E$239*'Médias por UF'!CG118</f>
        <v>576.49513635201151</v>
      </c>
      <c r="C135" s="147">
        <f>$E$239*'Médias por UF'!CH118</f>
        <v>786.30021170667703</v>
      </c>
      <c r="D135" s="147">
        <f>$E$239*'Médias por UF'!CI118</f>
        <v>1172.1700921439676</v>
      </c>
      <c r="E135" s="147">
        <f>$E$239*'Médias por UF'!CJ118</f>
        <v>1412.7135962621483</v>
      </c>
      <c r="F135" s="147">
        <f>$E$239*'Médias por UF'!CK118</f>
        <v>1486.5123266216694</v>
      </c>
      <c r="G135" s="147">
        <f>$E$239*'Médias por UF'!CL118</f>
        <v>1636.6084037969388</v>
      </c>
      <c r="H135" s="147">
        <f>$E$239*'Médias por UF'!CM118</f>
        <v>1787.0842725670902</v>
      </c>
      <c r="I135" s="147">
        <f>$E$239*'Médias por UF'!CN118</f>
        <v>1888.827527906557</v>
      </c>
      <c r="J135" s="147">
        <f>$E$239*'Médias por UF'!CO118</f>
        <v>1947.4035044182031</v>
      </c>
      <c r="K135" s="147">
        <f>$E$239*'Médias por UF'!CP118</f>
        <v>2041.9483726278058</v>
      </c>
      <c r="L135" s="147">
        <f>$E$239*'Médias por UF'!CQ118</f>
        <v>2190.3218251918274</v>
      </c>
      <c r="M135" s="147">
        <f>$E$239*'Médias por UF'!CR118</f>
        <v>2298.14</v>
      </c>
      <c r="N135" s="147">
        <f t="shared" si="42"/>
        <v>2298.14</v>
      </c>
      <c r="P135" s="213" t="s">
        <v>112</v>
      </c>
      <c r="Q135" s="147">
        <f>'Médias por UF'!CG118*'Evolução das Receitas'!$T$239</f>
        <v>576.49513635201151</v>
      </c>
      <c r="R135" s="147">
        <f>'Médias por UF'!CH118*'Evolução das Receitas'!$T$239</f>
        <v>786.30021170667703</v>
      </c>
      <c r="S135" s="147">
        <f>'Médias por UF'!CI118*'Evolução das Receitas'!$T$239</f>
        <v>1172.1700921439676</v>
      </c>
      <c r="T135" s="147">
        <f>'Médias por UF'!CJ118*'Evolução das Receitas'!$T$239</f>
        <v>1412.7135962621483</v>
      </c>
      <c r="U135" s="147">
        <f>'Médias por UF'!CK118*'Evolução das Receitas'!$T$239</f>
        <v>1486.5123266216694</v>
      </c>
      <c r="V135" s="147">
        <f>'Médias por UF'!CL118*'Evolução das Receitas'!$T$239</f>
        <v>1636.6084037969388</v>
      </c>
      <c r="W135" s="147">
        <f>'Médias por UF'!CM118*'Evolução das Receitas'!$T$239</f>
        <v>1787.0842725670902</v>
      </c>
      <c r="X135" s="147">
        <f>'Médias por UF'!CN118*'Evolução das Receitas'!$T$239</f>
        <v>1888.827527906557</v>
      </c>
      <c r="Y135" s="147">
        <f>'Médias por UF'!CO118*'Evolução das Receitas'!$T$239</f>
        <v>1947.4035044182031</v>
      </c>
      <c r="Z135" s="147">
        <f>'Médias por UF'!CP118*'Evolução das Receitas'!$T$239</f>
        <v>2041.9483726278058</v>
      </c>
      <c r="AA135" s="147">
        <f>'Médias por UF'!CQ118*'Evolução das Receitas'!$T$239</f>
        <v>2190.3218251918274</v>
      </c>
      <c r="AB135" s="147">
        <f>'Médias por UF'!CR118*'Evolução das Receitas'!$T$239</f>
        <v>2298.14</v>
      </c>
      <c r="AC135" s="147">
        <f t="shared" si="43"/>
        <v>2298.14</v>
      </c>
      <c r="AE135" s="213" t="s">
        <v>112</v>
      </c>
      <c r="AF135" s="147">
        <f>JAN!$AL$30</f>
        <v>347</v>
      </c>
      <c r="AG135" s="147">
        <f>FEV!$AL$30</f>
        <v>517.10400000000004</v>
      </c>
      <c r="AH135" s="147">
        <f>MAR!$AL30</f>
        <v>684.29599999999994</v>
      </c>
      <c r="AI135" s="147">
        <f>ABR!$AM30</f>
        <v>110.56</v>
      </c>
      <c r="AJ135" s="147">
        <f>MAI!$W30</f>
        <v>639.18400000000008</v>
      </c>
      <c r="AK135" s="147">
        <f>JUN!$W30</f>
        <v>1288.1280000000002</v>
      </c>
      <c r="AL135" s="147">
        <f>JUL!$W30</f>
        <v>343.48799999999977</v>
      </c>
      <c r="AM135" s="147">
        <f>AGO!$W30</f>
        <v>158.07199999999978</v>
      </c>
      <c r="AN135" s="147">
        <f>SET!$W30</f>
        <v>772.33599999999979</v>
      </c>
      <c r="AO135" s="147">
        <f>OUT!$W30</f>
        <v>1251.6080000000002</v>
      </c>
      <c r="AP135" s="147">
        <f>NOV!$W30</f>
        <v>380.32799999999997</v>
      </c>
      <c r="AQ135" s="147">
        <f>DEZ!$W30</f>
        <v>487.37599999999986</v>
      </c>
      <c r="AR135" s="177">
        <f t="shared" si="44"/>
        <v>6979.48</v>
      </c>
    </row>
    <row r="136" spans="1:46">
      <c r="A136" s="212" t="s">
        <v>113</v>
      </c>
      <c r="B136" s="147">
        <f>$E$240*'Médias por UF'!CG119</f>
        <v>1296.7679136277122</v>
      </c>
      <c r="C136" s="147">
        <f>$E$240*'Médias por UF'!CH119</f>
        <v>1972.5740312796581</v>
      </c>
      <c r="D136" s="147">
        <f>$E$240*'Médias por UF'!CI119</f>
        <v>2864.4109321182368</v>
      </c>
      <c r="E136" s="147">
        <f>$E$240*'Médias por UF'!CJ119</f>
        <v>3292.0597662117702</v>
      </c>
      <c r="F136" s="147">
        <f>$E$240*'Médias por UF'!CK119</f>
        <v>3678.2862241513462</v>
      </c>
      <c r="G136" s="147">
        <f>$E$240*'Médias por UF'!CL119</f>
        <v>4739.4364679092514</v>
      </c>
      <c r="H136" s="147">
        <f>$E$240*'Médias por UF'!CM119</f>
        <v>6003.1749745950046</v>
      </c>
      <c r="I136" s="147">
        <f>$E$240*'Médias por UF'!CN119</f>
        <v>7372.2633920040753</v>
      </c>
      <c r="J136" s="147">
        <f>$E$240*'Médias por UF'!CO119</f>
        <v>7770.5831490712862</v>
      </c>
      <c r="K136" s="147">
        <f>$E$240*'Médias por UF'!CP119</f>
        <v>8260.7277093680241</v>
      </c>
      <c r="L136" s="147">
        <f>$E$240*'Médias por UF'!CQ119</f>
        <v>9013.3885170440244</v>
      </c>
      <c r="M136" s="147">
        <f>$E$240*'Médias por UF'!CR119</f>
        <v>9444.98</v>
      </c>
      <c r="N136" s="147">
        <f t="shared" si="42"/>
        <v>9444.98</v>
      </c>
      <c r="P136" s="213" t="s">
        <v>113</v>
      </c>
      <c r="Q136" s="147">
        <f>'Médias por UF'!CG119*'Evolução das Receitas'!$T$240</f>
        <v>1296.7679136277122</v>
      </c>
      <c r="R136" s="147">
        <f>'Médias por UF'!CH119*'Evolução das Receitas'!$T$240</f>
        <v>1972.5740312796581</v>
      </c>
      <c r="S136" s="147">
        <f>'Médias por UF'!CI119*'Evolução das Receitas'!$T$240</f>
        <v>2864.4109321182368</v>
      </c>
      <c r="T136" s="147">
        <f>'Médias por UF'!CJ119*'Evolução das Receitas'!$T$240</f>
        <v>3292.0597662117702</v>
      </c>
      <c r="U136" s="147">
        <f>'Médias por UF'!CK119*'Evolução das Receitas'!$T$240</f>
        <v>3678.2862241513462</v>
      </c>
      <c r="V136" s="147">
        <f>'Médias por UF'!CL119*'Evolução das Receitas'!$T$240</f>
        <v>4739.4364679092514</v>
      </c>
      <c r="W136" s="147">
        <f>'Médias por UF'!CM119*'Evolução das Receitas'!$T$240</f>
        <v>6003.1749745950046</v>
      </c>
      <c r="X136" s="147">
        <f>'Médias por UF'!CN119*'Evolução das Receitas'!$T$240</f>
        <v>7372.2633920040753</v>
      </c>
      <c r="Y136" s="147">
        <f>'Médias por UF'!CO119*'Evolução das Receitas'!$T$240</f>
        <v>7770.5831490712862</v>
      </c>
      <c r="Z136" s="147">
        <f>'Médias por UF'!CP119*'Evolução das Receitas'!$T$240</f>
        <v>8260.7277093680241</v>
      </c>
      <c r="AA136" s="147">
        <f>'Médias por UF'!CQ119*'Evolução das Receitas'!$T$240</f>
        <v>9013.3885170440244</v>
      </c>
      <c r="AB136" s="147">
        <f>'Médias por UF'!CR119*'Evolução das Receitas'!$T$240</f>
        <v>9444.98</v>
      </c>
      <c r="AC136" s="147">
        <f t="shared" si="43"/>
        <v>9444.98</v>
      </c>
      <c r="AE136" s="213" t="s">
        <v>113</v>
      </c>
      <c r="AF136" s="147">
        <f>JAN!$AL$31</f>
        <v>1131.7440000000001</v>
      </c>
      <c r="AG136" s="147">
        <f>FEV!$AL$31</f>
        <v>1490.0320000000002</v>
      </c>
      <c r="AH136" s="147">
        <f>MAR!$AL31</f>
        <v>1767.376</v>
      </c>
      <c r="AI136" s="147">
        <f>ABR!$AM31</f>
        <v>678.67200000000003</v>
      </c>
      <c r="AJ136" s="147">
        <f>MAI!$W31</f>
        <v>1525.3040000000001</v>
      </c>
      <c r="AK136" s="147">
        <f>JUN!$W31</f>
        <v>1653.1279999999999</v>
      </c>
      <c r="AL136" s="147">
        <f>JUL!$W31</f>
        <v>750.98400000000004</v>
      </c>
      <c r="AM136" s="147">
        <f>AGO!$W31</f>
        <v>628.1520000000005</v>
      </c>
      <c r="AN136" s="147">
        <f>SET!$W31</f>
        <v>404.47999999999996</v>
      </c>
      <c r="AO136" s="147">
        <f>OUT!$W31</f>
        <v>1193.8399999999999</v>
      </c>
      <c r="AP136" s="147">
        <f>NOV!$W31</f>
        <v>1059</v>
      </c>
      <c r="AQ136" s="147">
        <f>DEZ!$W31</f>
        <v>1327.248</v>
      </c>
      <c r="AR136" s="177">
        <f t="shared" si="44"/>
        <v>13609.960000000001</v>
      </c>
    </row>
    <row r="137" spans="1:46">
      <c r="A137" s="214" t="s">
        <v>37</v>
      </c>
      <c r="B137" s="148">
        <f>SUM(B110:B136)</f>
        <v>181299.31934769146</v>
      </c>
      <c r="C137" s="148">
        <f t="shared" ref="C137:D137" si="45">SUM(C110:C136)</f>
        <v>316473.94206721673</v>
      </c>
      <c r="D137" s="148">
        <f t="shared" si="45"/>
        <v>429617.89065782644</v>
      </c>
      <c r="E137" s="148">
        <f>SUM(E110:E136)</f>
        <v>539538.32429207081</v>
      </c>
      <c r="F137" s="148">
        <f t="shared" ref="F137:N137" si="46">SUM(F110:F136)</f>
        <v>647982.16750509851</v>
      </c>
      <c r="G137" s="148">
        <f t="shared" si="46"/>
        <v>746584.18232241075</v>
      </c>
      <c r="H137" s="148">
        <f t="shared" si="46"/>
        <v>856012.70819738519</v>
      </c>
      <c r="I137" s="148">
        <f t="shared" si="46"/>
        <v>974613.1722548079</v>
      </c>
      <c r="J137" s="148">
        <f t="shared" si="46"/>
        <v>1066604.6396642434</v>
      </c>
      <c r="K137" s="148">
        <f t="shared" si="46"/>
        <v>1177503.9437573722</v>
      </c>
      <c r="L137" s="148">
        <f t="shared" si="46"/>
        <v>1270120.7179709394</v>
      </c>
      <c r="M137" s="148">
        <f t="shared" si="46"/>
        <v>1378669.539278483</v>
      </c>
      <c r="N137" s="148">
        <f t="shared" si="46"/>
        <v>1378669.539278483</v>
      </c>
      <c r="P137" s="215" t="s">
        <v>37</v>
      </c>
      <c r="Q137" s="148">
        <f>SUM(Q110:Q136)</f>
        <v>183967.80177778151</v>
      </c>
      <c r="R137" s="148">
        <f t="shared" ref="R137:S137" si="47">SUM(R110:R136)</f>
        <v>323189.85368578444</v>
      </c>
      <c r="S137" s="148">
        <f t="shared" si="47"/>
        <v>438982.73167235125</v>
      </c>
      <c r="T137" s="148">
        <f>SUM(T110:T136)</f>
        <v>550768.69445812807</v>
      </c>
      <c r="U137" s="148">
        <f t="shared" ref="U137:AC137" si="48">SUM(U110:U136)</f>
        <v>660406.95496101852</v>
      </c>
      <c r="V137" s="148">
        <f t="shared" si="48"/>
        <v>760520.2432521974</v>
      </c>
      <c r="W137" s="148">
        <f t="shared" si="48"/>
        <v>871455.36733653175</v>
      </c>
      <c r="X137" s="148">
        <f t="shared" si="48"/>
        <v>992160.27746320504</v>
      </c>
      <c r="Y137" s="148">
        <f t="shared" si="48"/>
        <v>1085703.8563225088</v>
      </c>
      <c r="Z137" s="148">
        <f t="shared" si="48"/>
        <v>1198679.7095580392</v>
      </c>
      <c r="AA137" s="148">
        <f t="shared" si="48"/>
        <v>1292750.1724820025</v>
      </c>
      <c r="AB137" s="148">
        <f t="shared" si="48"/>
        <v>1402679.5922784831</v>
      </c>
      <c r="AC137" s="148">
        <f t="shared" si="48"/>
        <v>1402679.5922784831</v>
      </c>
      <c r="AE137" s="215" t="s">
        <v>37</v>
      </c>
      <c r="AF137" s="148">
        <f>SUM(AF110:AF136)</f>
        <v>256234.75199999998</v>
      </c>
      <c r="AG137" s="148">
        <f t="shared" ref="AG137:AH137" si="49">SUM(AG110:AG136)</f>
        <v>201031.21599999999</v>
      </c>
      <c r="AH137" s="148">
        <f t="shared" si="49"/>
        <v>188613.57599999997</v>
      </c>
      <c r="AI137" s="148">
        <f>SUM(AI110:AI136)</f>
        <v>93613.008000000016</v>
      </c>
      <c r="AJ137" s="148">
        <f t="shared" ref="AJ137:AR137" si="50">SUM(AJ110:AJ136)</f>
        <v>85645.696000000011</v>
      </c>
      <c r="AK137" s="148">
        <f t="shared" si="50"/>
        <v>115959.576</v>
      </c>
      <c r="AL137" s="148">
        <f t="shared" si="50"/>
        <v>132766</v>
      </c>
      <c r="AM137" s="148">
        <f t="shared" si="50"/>
        <v>125649.18400000001</v>
      </c>
      <c r="AN137" s="148">
        <f t="shared" si="50"/>
        <v>111048.20000000001</v>
      </c>
      <c r="AO137" s="148">
        <f t="shared" si="50"/>
        <v>165753.23199999999</v>
      </c>
      <c r="AP137" s="148">
        <f t="shared" si="50"/>
        <v>102746.29600000002</v>
      </c>
      <c r="AQ137" s="148">
        <f t="shared" si="50"/>
        <v>129794.2</v>
      </c>
      <c r="AR137" s="148">
        <f t="shared" si="50"/>
        <v>1708854.936</v>
      </c>
      <c r="AS137" s="62" t="b">
        <f>AR137='Anuid PJ'!AR33</f>
        <v>1</v>
      </c>
    </row>
    <row r="138" spans="1:46">
      <c r="N138" s="62">
        <f>N137-SUM(E214:E240)</f>
        <v>0</v>
      </c>
      <c r="Q138" s="62">
        <f>Q137</f>
        <v>183967.80177778151</v>
      </c>
      <c r="R138" s="62">
        <f>R137-Q137</f>
        <v>139222.05190800293</v>
      </c>
      <c r="S138" s="62">
        <f t="shared" ref="S138:AB138" si="51">S137-R137</f>
        <v>115792.8779865668</v>
      </c>
      <c r="T138" s="62">
        <f t="shared" si="51"/>
        <v>111785.96278577682</v>
      </c>
      <c r="U138" s="62">
        <f t="shared" si="51"/>
        <v>109638.26050289045</v>
      </c>
      <c r="V138" s="62">
        <f t="shared" si="51"/>
        <v>100113.28829117888</v>
      </c>
      <c r="W138" s="62">
        <f t="shared" si="51"/>
        <v>110935.12408433435</v>
      </c>
      <c r="X138" s="62">
        <f t="shared" si="51"/>
        <v>120704.91012667329</v>
      </c>
      <c r="Y138" s="62">
        <f t="shared" si="51"/>
        <v>93543.578859303729</v>
      </c>
      <c r="Z138" s="62">
        <f t="shared" si="51"/>
        <v>112975.85323553043</v>
      </c>
      <c r="AA138" s="62">
        <f t="shared" si="51"/>
        <v>94070.462923963321</v>
      </c>
      <c r="AB138" s="62">
        <f t="shared" si="51"/>
        <v>109929.41979648056</v>
      </c>
      <c r="AC138" s="62">
        <f>SUM(Q138:AB138)</f>
        <v>1402679.5922784831</v>
      </c>
      <c r="AR138" s="62">
        <f>AR137-'TOTAL POR UF'!E32</f>
        <v>0</v>
      </c>
    </row>
    <row r="139" spans="1:46">
      <c r="A139" s="212" t="s">
        <v>241</v>
      </c>
      <c r="B139" s="147">
        <f>B137*0.2/0.8</f>
        <v>45324.829836922858</v>
      </c>
      <c r="C139" s="147">
        <f t="shared" ref="C139:M139" si="52">C137*0.2/0.8</f>
        <v>79118.485516804183</v>
      </c>
      <c r="D139" s="147">
        <f t="shared" si="52"/>
        <v>107404.47266445663</v>
      </c>
      <c r="E139" s="147">
        <f t="shared" si="52"/>
        <v>134884.5810730177</v>
      </c>
      <c r="F139" s="147">
        <f t="shared" si="52"/>
        <v>161995.54187627463</v>
      </c>
      <c r="G139" s="147">
        <f t="shared" si="52"/>
        <v>186646.04558060269</v>
      </c>
      <c r="H139" s="147">
        <f t="shared" si="52"/>
        <v>214003.1770493463</v>
      </c>
      <c r="I139" s="147">
        <f t="shared" si="52"/>
        <v>243653.293063702</v>
      </c>
      <c r="J139" s="147">
        <f t="shared" si="52"/>
        <v>266651.15991606086</v>
      </c>
      <c r="K139" s="147">
        <f t="shared" si="52"/>
        <v>294375.98593934305</v>
      </c>
      <c r="L139" s="147">
        <f t="shared" si="52"/>
        <v>317530.17949273484</v>
      </c>
      <c r="M139" s="147">
        <f t="shared" si="52"/>
        <v>344667.38481962075</v>
      </c>
      <c r="N139" s="147">
        <f t="shared" ref="N139" si="53">M139</f>
        <v>344667.38481962075</v>
      </c>
      <c r="P139" s="212" t="s">
        <v>241</v>
      </c>
      <c r="Q139" s="147">
        <f>'Médias por UF'!CG120*'Evolução das Receitas'!$T$241</f>
        <v>42203.536029164912</v>
      </c>
      <c r="R139" s="147">
        <f>'Médias por UF'!CH120*'Evolução das Receitas'!$T$241</f>
        <v>79640.422976042872</v>
      </c>
      <c r="S139" s="147">
        <f>'Médias por UF'!CI120*'Evolução das Receitas'!$T$241</f>
        <v>112013.43531764664</v>
      </c>
      <c r="T139" s="147">
        <f>'Médias por UF'!CJ120*'Evolução das Receitas'!$T$241</f>
        <v>144111.21350057676</v>
      </c>
      <c r="U139" s="147">
        <f>'Médias por UF'!CK120*'Evolução das Receitas'!$T$241</f>
        <v>174852.51258108224</v>
      </c>
      <c r="V139" s="147">
        <f>'Médias por UF'!CL120*'Evolução das Receitas'!$T$241</f>
        <v>202274.94439946464</v>
      </c>
      <c r="W139" s="147">
        <f>'Médias por UF'!CM120*'Evolução das Receitas'!$T$241</f>
        <v>230159.80166742022</v>
      </c>
      <c r="X139" s="147">
        <f>'Médias por UF'!CN120*'Evolução das Receitas'!$T$241</f>
        <v>255149.1214535496</v>
      </c>
      <c r="Y139" s="147">
        <f>'Médias por UF'!CO120*'Evolução das Receitas'!$T$241</f>
        <v>275792.62351004092</v>
      </c>
      <c r="Z139" s="147">
        <f>'Médias por UF'!CP120*'Evolução das Receitas'!$T$241</f>
        <v>299986.35888047039</v>
      </c>
      <c r="AA139" s="147">
        <f>'Médias por UF'!CQ120*'Evolução das Receitas'!$T$241</f>
        <v>320349.95523887652</v>
      </c>
      <c r="AB139" s="147">
        <f>'Médias por UF'!CR120*'Evolução das Receitas'!$T$241</f>
        <v>341968.26831962075</v>
      </c>
      <c r="AC139" s="147">
        <f t="shared" ref="AC139" si="54">AB139</f>
        <v>341968.26831962075</v>
      </c>
      <c r="AE139" s="213" t="s">
        <v>241</v>
      </c>
      <c r="AF139" s="147">
        <f>JAN!$AL$67</f>
        <v>64058.687999999995</v>
      </c>
      <c r="AG139" s="147">
        <f>FEV!$AL$67</f>
        <v>50257.803999999996</v>
      </c>
      <c r="AH139" s="147">
        <f>MAR!$AL$67</f>
        <v>47153.393999999993</v>
      </c>
      <c r="AI139" s="147">
        <f>ABR!$AM$67</f>
        <v>23403.252000000004</v>
      </c>
      <c r="AJ139" s="147">
        <f>MAI!$W$67</f>
        <v>21411.424000000003</v>
      </c>
      <c r="AK139" s="147">
        <f>JUN!$W$67</f>
        <v>28989.894</v>
      </c>
      <c r="AL139" s="147">
        <f>JUL!$W$67</f>
        <v>33191.5</v>
      </c>
      <c r="AM139" s="147">
        <f>AGO!$W$67</f>
        <v>31412.296000000002</v>
      </c>
      <c r="AN139" s="147">
        <f>SET!$W$67</f>
        <v>27762.050000000003</v>
      </c>
      <c r="AO139" s="147">
        <f>OUT!$W$67</f>
        <v>41438.307999999997</v>
      </c>
      <c r="AP139" s="147">
        <f>NOV!$W$67</f>
        <v>25686.574000000004</v>
      </c>
      <c r="AQ139" s="147">
        <f>DEZ!$W$67</f>
        <v>32448.55</v>
      </c>
      <c r="AR139" s="177">
        <f t="shared" ref="AR139" si="55">SUM(AF139:AQ139)</f>
        <v>427213.734</v>
      </c>
      <c r="AS139" s="62" t="b">
        <f>AR139='Anuid PJ'!AR34</f>
        <v>1</v>
      </c>
      <c r="AT139" s="63"/>
    </row>
    <row r="140" spans="1:46" hidden="1">
      <c r="A140" s="219"/>
      <c r="B140" s="200"/>
      <c r="C140" s="200"/>
      <c r="D140" s="200"/>
      <c r="E140" s="200"/>
      <c r="F140" s="200"/>
      <c r="G140" s="200"/>
      <c r="H140" s="200"/>
      <c r="I140" s="200"/>
      <c r="J140" s="200"/>
      <c r="K140" s="200"/>
      <c r="L140" s="200"/>
      <c r="M140" s="200"/>
      <c r="N140" s="200"/>
      <c r="P140" s="219"/>
      <c r="Q140" s="200"/>
      <c r="R140" s="200"/>
      <c r="S140" s="200"/>
      <c r="T140" s="200"/>
      <c r="U140" s="200"/>
      <c r="V140" s="200"/>
      <c r="W140" s="200"/>
      <c r="X140" s="200"/>
      <c r="Y140" s="200"/>
      <c r="Z140" s="200"/>
      <c r="AA140" s="200"/>
      <c r="AB140" s="200"/>
      <c r="AC140" s="200"/>
      <c r="AE140" s="220"/>
      <c r="AF140" s="200"/>
      <c r="AG140" s="200"/>
      <c r="AH140" s="200"/>
      <c r="AI140" s="200"/>
      <c r="AJ140" s="200"/>
      <c r="AK140" s="200"/>
      <c r="AL140" s="200"/>
      <c r="AM140" s="200"/>
      <c r="AN140" s="200"/>
      <c r="AO140" s="200"/>
      <c r="AP140" s="200"/>
      <c r="AQ140" s="200"/>
      <c r="AR140" s="201"/>
    </row>
    <row r="141" spans="1:46" ht="21" hidden="1">
      <c r="A141" s="219"/>
      <c r="B141" s="200"/>
      <c r="C141" s="200"/>
      <c r="D141" s="200"/>
      <c r="E141" s="200"/>
      <c r="F141" s="200"/>
      <c r="G141" s="200"/>
      <c r="H141" s="200"/>
      <c r="I141" s="200"/>
      <c r="J141" s="200"/>
      <c r="K141" s="200"/>
      <c r="L141" s="200"/>
      <c r="M141" s="200"/>
      <c r="N141" s="200"/>
      <c r="P141" s="217" t="s">
        <v>451</v>
      </c>
      <c r="Q141" s="218">
        <f>Q104+Q138</f>
        <v>1262912.6898725026</v>
      </c>
      <c r="R141" s="218">
        <f>R104+R138</f>
        <v>1229079.6052359538</v>
      </c>
      <c r="S141" s="218">
        <f t="shared" ref="S141:AB141" si="56">S104+S138</f>
        <v>621849.11687983549</v>
      </c>
      <c r="T141" s="218">
        <f t="shared" si="56"/>
        <v>569408.98735690827</v>
      </c>
      <c r="U141" s="218">
        <f t="shared" si="56"/>
        <v>720508.58580212505</v>
      </c>
      <c r="V141" s="218">
        <f t="shared" si="56"/>
        <v>651557.06859785249</v>
      </c>
      <c r="W141" s="218">
        <f t="shared" si="56"/>
        <v>342312.61954044038</v>
      </c>
      <c r="X141" s="218">
        <f t="shared" si="56"/>
        <v>319792.92909171176</v>
      </c>
      <c r="Y141" s="218">
        <f t="shared" si="56"/>
        <v>248703.14480188268</v>
      </c>
      <c r="Z141" s="218">
        <f t="shared" si="56"/>
        <v>286639.02063667658</v>
      </c>
      <c r="AA141" s="218">
        <f t="shared" si="56"/>
        <v>231252.04463885794</v>
      </c>
      <c r="AB141" s="218">
        <f t="shared" si="56"/>
        <v>239473.301823735</v>
      </c>
      <c r="AC141" s="218">
        <f>SUM(Q141:AB141)</f>
        <v>6723489.1142784832</v>
      </c>
      <c r="AE141" s="220"/>
      <c r="AF141" s="200"/>
      <c r="AG141" s="200"/>
      <c r="AH141" s="200"/>
      <c r="AI141" s="200"/>
      <c r="AJ141" s="200"/>
      <c r="AK141" s="200"/>
      <c r="AL141" s="200"/>
      <c r="AM141" s="200"/>
      <c r="AN141" s="200"/>
      <c r="AO141" s="200"/>
      <c r="AP141" s="200"/>
      <c r="AQ141" s="200"/>
      <c r="AR141" s="201"/>
    </row>
    <row r="142" spans="1:46" ht="21">
      <c r="A142" s="1385" t="s">
        <v>290</v>
      </c>
      <c r="B142" s="1385"/>
      <c r="C142" s="1385"/>
      <c r="D142" s="1385"/>
      <c r="E142" s="1385"/>
      <c r="F142" s="1385"/>
      <c r="G142" s="1385"/>
      <c r="H142" s="1385"/>
      <c r="I142" s="1385"/>
      <c r="J142" s="1385"/>
      <c r="K142" s="1385"/>
      <c r="L142" s="1385"/>
      <c r="M142" s="1385"/>
      <c r="N142" s="1385"/>
      <c r="P142" s="1385" t="s">
        <v>129</v>
      </c>
      <c r="Q142" s="1385"/>
      <c r="R142" s="1385"/>
      <c r="S142" s="1385"/>
      <c r="T142" s="1385"/>
      <c r="U142" s="1385"/>
      <c r="V142" s="1385"/>
      <c r="W142" s="1385"/>
      <c r="X142" s="1385"/>
      <c r="Y142" s="1385"/>
      <c r="Z142" s="1385"/>
      <c r="AA142" s="1385"/>
      <c r="AB142" s="1385"/>
      <c r="AC142" s="1385"/>
      <c r="AE142" s="1385" t="s">
        <v>289</v>
      </c>
      <c r="AF142" s="1385"/>
      <c r="AG142" s="1385"/>
      <c r="AH142" s="1385"/>
      <c r="AI142" s="1385"/>
      <c r="AJ142" s="1385"/>
      <c r="AK142" s="1385"/>
      <c r="AL142" s="1385"/>
      <c r="AM142" s="1385"/>
      <c r="AN142" s="1385"/>
      <c r="AO142" s="1385"/>
      <c r="AP142" s="1385"/>
      <c r="AQ142" s="1385"/>
      <c r="AR142" s="1385"/>
    </row>
    <row r="143" spans="1:46"/>
    <row r="144" spans="1:46">
      <c r="A144" s="1386" t="s">
        <v>33</v>
      </c>
      <c r="B144" s="1388" t="s">
        <v>28</v>
      </c>
      <c r="C144" s="1388"/>
      <c r="D144" s="1388"/>
      <c r="E144" s="1388"/>
      <c r="F144" s="1388"/>
      <c r="G144" s="1388"/>
      <c r="H144" s="1388"/>
      <c r="I144" s="1388"/>
      <c r="J144" s="1388"/>
      <c r="K144" s="1388"/>
      <c r="L144" s="1388"/>
      <c r="M144" s="1388"/>
      <c r="P144" s="1386" t="s">
        <v>33</v>
      </c>
      <c r="Q144" s="1388" t="s">
        <v>28</v>
      </c>
      <c r="R144" s="1388"/>
      <c r="S144" s="1388"/>
      <c r="T144" s="1388"/>
      <c r="U144" s="1388"/>
      <c r="V144" s="1388"/>
      <c r="W144" s="1388"/>
      <c r="X144" s="1388"/>
      <c r="Y144" s="1388"/>
      <c r="Z144" s="1388"/>
      <c r="AA144" s="1388"/>
      <c r="AB144" s="1388"/>
      <c r="AE144" s="1386" t="s">
        <v>33</v>
      </c>
      <c r="AF144" s="1388" t="s">
        <v>28</v>
      </c>
      <c r="AG144" s="1388"/>
      <c r="AH144" s="1388"/>
      <c r="AI144" s="1388"/>
      <c r="AJ144" s="1388"/>
      <c r="AK144" s="1388"/>
      <c r="AL144" s="1388"/>
      <c r="AM144" s="1388"/>
      <c r="AN144" s="1388"/>
      <c r="AO144" s="1388"/>
      <c r="AP144" s="1388"/>
      <c r="AQ144" s="1388"/>
    </row>
    <row r="145" spans="1:48">
      <c r="A145" s="1387"/>
      <c r="B145" s="211" t="s">
        <v>116</v>
      </c>
      <c r="C145" s="211" t="s">
        <v>117</v>
      </c>
      <c r="D145" s="211" t="s">
        <v>118</v>
      </c>
      <c r="E145" s="211" t="s">
        <v>119</v>
      </c>
      <c r="F145" s="211" t="s">
        <v>120</v>
      </c>
      <c r="G145" s="211" t="s">
        <v>121</v>
      </c>
      <c r="H145" s="211" t="s">
        <v>122</v>
      </c>
      <c r="I145" s="211" t="s">
        <v>123</v>
      </c>
      <c r="J145" s="211" t="s">
        <v>124</v>
      </c>
      <c r="K145" s="211" t="s">
        <v>125</v>
      </c>
      <c r="L145" s="211" t="s">
        <v>126</v>
      </c>
      <c r="M145" s="211" t="s">
        <v>127</v>
      </c>
      <c r="N145" s="211" t="s">
        <v>128</v>
      </c>
      <c r="P145" s="1387"/>
      <c r="Q145" s="211" t="s">
        <v>116</v>
      </c>
      <c r="R145" s="211" t="s">
        <v>117</v>
      </c>
      <c r="S145" s="211" t="s">
        <v>118</v>
      </c>
      <c r="T145" s="211" t="s">
        <v>119</v>
      </c>
      <c r="U145" s="211" t="s">
        <v>120</v>
      </c>
      <c r="V145" s="211" t="s">
        <v>121</v>
      </c>
      <c r="W145" s="211" t="s">
        <v>122</v>
      </c>
      <c r="X145" s="211" t="s">
        <v>123</v>
      </c>
      <c r="Y145" s="211" t="s">
        <v>124</v>
      </c>
      <c r="Z145" s="211" t="s">
        <v>125</v>
      </c>
      <c r="AA145" s="211" t="s">
        <v>126</v>
      </c>
      <c r="AB145" s="211" t="s">
        <v>127</v>
      </c>
      <c r="AC145" s="211" t="s">
        <v>128</v>
      </c>
      <c r="AE145" s="1387"/>
      <c r="AF145" s="211" t="s">
        <v>116</v>
      </c>
      <c r="AG145" s="211" t="s">
        <v>117</v>
      </c>
      <c r="AH145" s="211" t="s">
        <v>118</v>
      </c>
      <c r="AI145" s="211" t="s">
        <v>119</v>
      </c>
      <c r="AJ145" s="211" t="s">
        <v>120</v>
      </c>
      <c r="AK145" s="211" t="s">
        <v>121</v>
      </c>
      <c r="AL145" s="211" t="s">
        <v>122</v>
      </c>
      <c r="AM145" s="211" t="s">
        <v>123</v>
      </c>
      <c r="AN145" s="211" t="s">
        <v>124</v>
      </c>
      <c r="AO145" s="211" t="s">
        <v>125</v>
      </c>
      <c r="AP145" s="211" t="s">
        <v>126</v>
      </c>
      <c r="AQ145" s="211" t="s">
        <v>127</v>
      </c>
      <c r="AR145" s="211" t="s">
        <v>128</v>
      </c>
    </row>
    <row r="146" spans="1:48">
      <c r="A146" s="212" t="s">
        <v>87</v>
      </c>
      <c r="B146" s="147">
        <f>$F$214*'Médias por UF'!CG123</f>
        <v>8027.1156559834344</v>
      </c>
      <c r="C146" s="147">
        <f>$F$214*'Médias por UF'!CH123</f>
        <v>17029.398385151733</v>
      </c>
      <c r="D146" s="147">
        <f>$F$214*'Médias por UF'!CI123</f>
        <v>27676.731913004052</v>
      </c>
      <c r="E146" s="147">
        <f>$F$214*'Médias por UF'!CJ123</f>
        <v>40649.583580470739</v>
      </c>
      <c r="F146" s="147">
        <f>$F$214*'Médias por UF'!CK123</f>
        <v>56040.305301499648</v>
      </c>
      <c r="G146" s="147">
        <f>$F$214*'Médias por UF'!CL123</f>
        <v>69864.028133720378</v>
      </c>
      <c r="H146" s="147">
        <f>$F$214*'Médias por UF'!CM123</f>
        <v>85389.649457902779</v>
      </c>
      <c r="I146" s="147">
        <f>$F$214*'Médias por UF'!CN123</f>
        <v>100545.03767133811</v>
      </c>
      <c r="J146" s="147">
        <f>$F$214*'Médias por UF'!CO123</f>
        <v>114157.8634192773</v>
      </c>
      <c r="K146" s="147">
        <f>$F$214*'Médias por UF'!CP123</f>
        <v>131304.56240567719</v>
      </c>
      <c r="L146" s="147">
        <f>$F$214*'Médias por UF'!CQ123</f>
        <v>144435.97447827351</v>
      </c>
      <c r="M146" s="147">
        <f>$F$214*'Médias por UF'!CR123</f>
        <v>156406.56200000001</v>
      </c>
      <c r="N146" s="147">
        <f>M146</f>
        <v>156406.56200000001</v>
      </c>
      <c r="P146" s="213" t="s">
        <v>87</v>
      </c>
      <c r="Q146" s="147">
        <f>'Médias por UF'!CG123*'Evolução das Receitas'!$U$214</f>
        <v>8027.1156559834344</v>
      </c>
      <c r="R146" s="147">
        <f>'Médias por UF'!CH123*'Evolução das Receitas'!$U$214</f>
        <v>17029.398385151733</v>
      </c>
      <c r="S146" s="147">
        <f>'Médias por UF'!CI123*'Evolução das Receitas'!$U$214</f>
        <v>27676.731913004052</v>
      </c>
      <c r="T146" s="147">
        <f>'Médias por UF'!CJ123*'Evolução das Receitas'!$U$214</f>
        <v>40649.583580470739</v>
      </c>
      <c r="U146" s="147">
        <f>'Médias por UF'!CK123*'Evolução das Receitas'!$U$214</f>
        <v>56040.305301499648</v>
      </c>
      <c r="V146" s="147">
        <f>'Médias por UF'!CL123*'Evolução das Receitas'!$U$214</f>
        <v>69864.028133720378</v>
      </c>
      <c r="W146" s="147">
        <f>'Médias por UF'!CM123*'Evolução das Receitas'!$U$214</f>
        <v>85389.649457902779</v>
      </c>
      <c r="X146" s="147">
        <f>'Médias por UF'!CN123*'Evolução das Receitas'!$U$214</f>
        <v>100545.03767133811</v>
      </c>
      <c r="Y146" s="147">
        <f>'Médias por UF'!CO123*'Evolução das Receitas'!$U$214</f>
        <v>114157.8634192773</v>
      </c>
      <c r="Z146" s="147">
        <f>'Médias por UF'!CP123*'Evolução das Receitas'!$U$214</f>
        <v>131304.56240567719</v>
      </c>
      <c r="AA146" s="147">
        <f>'Médias por UF'!CQ123*'Evolução das Receitas'!$U$214</f>
        <v>144435.97447827351</v>
      </c>
      <c r="AB146" s="147">
        <f>'Médias por UF'!CR123*'Evolução das Receitas'!$U$214</f>
        <v>156406.56200000001</v>
      </c>
      <c r="AC146" s="147">
        <f>AB146</f>
        <v>156406.56200000001</v>
      </c>
      <c r="AE146" s="213" t="s">
        <v>87</v>
      </c>
      <c r="AF146" s="147">
        <f>JAN!$AM$5</f>
        <v>14855.224</v>
      </c>
      <c r="AG146" s="147">
        <f>FEV!$AM$5</f>
        <v>14104.800000000001</v>
      </c>
      <c r="AH146" s="147">
        <f>MAR!$AM5</f>
        <v>14165.448000000002</v>
      </c>
      <c r="AI146" s="147">
        <f>ABR!$AN5</f>
        <v>7836</v>
      </c>
      <c r="AJ146" s="147">
        <f>MAI!$X5</f>
        <v>11048.760000000002</v>
      </c>
      <c r="AK146" s="147">
        <f>JUN!$X5</f>
        <v>13164.48</v>
      </c>
      <c r="AL146" s="147">
        <f>JUL!$X5</f>
        <v>17631</v>
      </c>
      <c r="AM146" s="147">
        <f>AGO!$X5</f>
        <v>23508</v>
      </c>
      <c r="AN146" s="147">
        <f>SET!$X5</f>
        <v>28209.600000000002</v>
      </c>
      <c r="AO146" s="147">
        <f>OUT!$X5</f>
        <v>24056.520000000004</v>
      </c>
      <c r="AP146" s="147">
        <f>NOV!$X5</f>
        <v>20765.400000000001</v>
      </c>
      <c r="AQ146" s="147">
        <f>DEZ!$X5</f>
        <v>19981.800000000003</v>
      </c>
      <c r="AR146" s="177">
        <f>SUM(AF146:AQ146)</f>
        <v>209327.03200000001</v>
      </c>
      <c r="AV146" s="63"/>
    </row>
    <row r="147" spans="1:48">
      <c r="A147" s="212" t="s">
        <v>88</v>
      </c>
      <c r="B147" s="147">
        <f>$F$215*'Médias por UF'!CG124</f>
        <v>30374.702427951706</v>
      </c>
      <c r="C147" s="147">
        <f>$F$215*'Médias por UF'!CH124</f>
        <v>63825.658333167281</v>
      </c>
      <c r="D147" s="147">
        <f>$F$215*'Médias por UF'!CI124</f>
        <v>100122.57885750763</v>
      </c>
      <c r="E147" s="147">
        <f>$F$215*'Médias por UF'!CJ124</f>
        <v>139999.86008708182</v>
      </c>
      <c r="F147" s="147">
        <f>$F$215*'Médias por UF'!CK124</f>
        <v>184215.74561730094</v>
      </c>
      <c r="G147" s="147">
        <f>$F$215*'Médias por UF'!CL124</f>
        <v>221747.32986587789</v>
      </c>
      <c r="H147" s="147">
        <f>$F$215*'Médias por UF'!CM124</f>
        <v>261290.97702581971</v>
      </c>
      <c r="I147" s="147">
        <f>$F$215*'Médias por UF'!CN124</f>
        <v>304948.35614290606</v>
      </c>
      <c r="J147" s="147">
        <f>$F$215*'Médias por UF'!CO124</f>
        <v>342453.44078176247</v>
      </c>
      <c r="K147" s="147">
        <f>$F$215*'Médias por UF'!CP124</f>
        <v>388246.80116757506</v>
      </c>
      <c r="L147" s="147">
        <f>$F$215*'Médias por UF'!CQ124</f>
        <v>424643.44807907322</v>
      </c>
      <c r="M147" s="147">
        <f>$F$215*'Médias por UF'!CR124</f>
        <v>459267.95999999996</v>
      </c>
      <c r="N147" s="147">
        <f t="shared" ref="N147:N172" si="57">M147</f>
        <v>459267.95999999996</v>
      </c>
      <c r="P147" s="213" t="s">
        <v>88</v>
      </c>
      <c r="Q147" s="147">
        <f>'Médias por UF'!CG124*'Evolução das Receitas'!$U$215</f>
        <v>32617.318064625499</v>
      </c>
      <c r="R147" s="147">
        <f>'Médias por UF'!CH124*'Evolução das Receitas'!$U$215</f>
        <v>68538.014601956325</v>
      </c>
      <c r="S147" s="147">
        <f>'Médias por UF'!CI124*'Evolução das Receitas'!$U$215</f>
        <v>107514.79813809312</v>
      </c>
      <c r="T147" s="147">
        <f>'Médias por UF'!CJ124*'Evolução das Receitas'!$U$215</f>
        <v>150336.28646387201</v>
      </c>
      <c r="U147" s="147">
        <f>'Médias por UF'!CK124*'Evolução das Receitas'!$U$215</f>
        <v>197816.70558136338</v>
      </c>
      <c r="V147" s="147">
        <f>'Médias por UF'!CL124*'Evolução das Receitas'!$U$215</f>
        <v>238119.31015202071</v>
      </c>
      <c r="W147" s="147">
        <f>'Médias por UF'!CM124*'Evolução das Receitas'!$U$215</f>
        <v>280582.53164071013</v>
      </c>
      <c r="X147" s="147">
        <f>'Médias por UF'!CN124*'Evolução das Receitas'!$U$215</f>
        <v>327463.20887228526</v>
      </c>
      <c r="Y147" s="147">
        <f>'Médias por UF'!CO124*'Evolução das Receitas'!$U$215</f>
        <v>367737.35732223187</v>
      </c>
      <c r="Z147" s="147">
        <f>'Médias por UF'!CP124*'Evolução das Receitas'!$U$215</f>
        <v>416911.71893104096</v>
      </c>
      <c r="AA147" s="147">
        <f>'Médias por UF'!CQ124*'Evolução das Receitas'!$U$215</f>
        <v>455995.59182211314</v>
      </c>
      <c r="AB147" s="147">
        <f>'Médias por UF'!CR124*'Evolução das Receitas'!$U$215</f>
        <v>493176.49</v>
      </c>
      <c r="AC147" s="147">
        <f t="shared" ref="AC147:AC172" si="58">AB147</f>
        <v>493176.49</v>
      </c>
      <c r="AE147" s="213" t="s">
        <v>88</v>
      </c>
      <c r="AF147" s="147">
        <f>JAN!$AM$6</f>
        <v>37533.688000000002</v>
      </c>
      <c r="AG147" s="147">
        <f>FEV!$AM$6</f>
        <v>39963.600000000006</v>
      </c>
      <c r="AH147" s="147">
        <f>MAR!$AM6</f>
        <v>40903.920000000006</v>
      </c>
      <c r="AI147" s="147">
        <f>ABR!$AN6</f>
        <v>30482.040000000005</v>
      </c>
      <c r="AJ147" s="147">
        <f>MAI!$X6</f>
        <v>30403.68</v>
      </c>
      <c r="AK147" s="147">
        <f>JUN!$X6</f>
        <v>34400.04</v>
      </c>
      <c r="AL147" s="147">
        <f>JUL!$X6</f>
        <v>43489.8</v>
      </c>
      <c r="AM147" s="147">
        <f>AGO!$X6</f>
        <v>50463.840000000011</v>
      </c>
      <c r="AN147" s="147">
        <f>SET!$X6</f>
        <v>45448.800000000003</v>
      </c>
      <c r="AO147" s="147">
        <f>OUT!$X6</f>
        <v>62139.48000000001</v>
      </c>
      <c r="AP147" s="147">
        <f>NOV!$X6</f>
        <v>55635.600000000006</v>
      </c>
      <c r="AQ147" s="147">
        <f>DEZ!$X6</f>
        <v>50542.200000000004</v>
      </c>
      <c r="AR147" s="177">
        <f t="shared" ref="AR147:AR172" si="59">SUM(AF147:AQ147)</f>
        <v>521406.68800000002</v>
      </c>
      <c r="AV147" s="63"/>
    </row>
    <row r="148" spans="1:48">
      <c r="A148" s="212" t="s">
        <v>89</v>
      </c>
      <c r="B148" s="147">
        <f>$F$216*'Médias por UF'!CG125</f>
        <v>13880.772034710975</v>
      </c>
      <c r="C148" s="147">
        <f>$F$216*'Médias por UF'!CH125</f>
        <v>27754.369385872196</v>
      </c>
      <c r="D148" s="147">
        <f>$F$216*'Médias por UF'!CI125</f>
        <v>42770.758961316613</v>
      </c>
      <c r="E148" s="147">
        <f>$F$216*'Médias por UF'!CJ125</f>
        <v>56317.706140072492</v>
      </c>
      <c r="F148" s="147">
        <f>$F$216*'Médias por UF'!CK125</f>
        <v>71289.580258372982</v>
      </c>
      <c r="G148" s="147">
        <f>$F$216*'Médias por UF'!CL125</f>
        <v>88269.383780659875</v>
      </c>
      <c r="H148" s="147">
        <f>$F$216*'Médias por UF'!CM125</f>
        <v>105470.97493327448</v>
      </c>
      <c r="I148" s="147">
        <f>$F$216*'Médias por UF'!CN125</f>
        <v>124681.64942539584</v>
      </c>
      <c r="J148" s="147">
        <f>$F$216*'Médias por UF'!CO125</f>
        <v>141812.1042050992</v>
      </c>
      <c r="K148" s="147">
        <f>$F$216*'Médias por UF'!CP125</f>
        <v>163259.16221772225</v>
      </c>
      <c r="L148" s="147">
        <f>$F$216*'Médias por UF'!CQ125</f>
        <v>183800.8391554495</v>
      </c>
      <c r="M148" s="147">
        <f>$F$216*'Médias por UF'!CR125</f>
        <v>200993.4</v>
      </c>
      <c r="N148" s="147">
        <f t="shared" si="57"/>
        <v>200993.4</v>
      </c>
      <c r="P148" s="213" t="s">
        <v>89</v>
      </c>
      <c r="Q148" s="147">
        <f>'Médias por UF'!CG125*'Evolução das Receitas'!$U$216</f>
        <v>13880.772034710975</v>
      </c>
      <c r="R148" s="147">
        <f>'Médias por UF'!CH125*'Evolução das Receitas'!$U$216</f>
        <v>27754.369385872196</v>
      </c>
      <c r="S148" s="147">
        <f>'Médias por UF'!CI125*'Evolução das Receitas'!$U$216</f>
        <v>42770.758961316613</v>
      </c>
      <c r="T148" s="147">
        <f>'Médias por UF'!CJ125*'Evolução das Receitas'!$U$216</f>
        <v>56317.706140072492</v>
      </c>
      <c r="U148" s="147">
        <f>'Médias por UF'!CK125*'Evolução das Receitas'!$U$216</f>
        <v>71289.580258372982</v>
      </c>
      <c r="V148" s="147">
        <f>'Médias por UF'!CL125*'Evolução das Receitas'!$U$216</f>
        <v>88269.383780659875</v>
      </c>
      <c r="W148" s="147">
        <f>'Médias por UF'!CM125*'Evolução das Receitas'!$U$216</f>
        <v>105470.97493327448</v>
      </c>
      <c r="X148" s="147">
        <f>'Médias por UF'!CN125*'Evolução das Receitas'!$U$216</f>
        <v>124681.64942539584</v>
      </c>
      <c r="Y148" s="147">
        <f>'Médias por UF'!CO125*'Evolução das Receitas'!$U$216</f>
        <v>141812.1042050992</v>
      </c>
      <c r="Z148" s="147">
        <f>'Médias por UF'!CP125*'Evolução das Receitas'!$U$216</f>
        <v>163259.16221772225</v>
      </c>
      <c r="AA148" s="147">
        <f>'Médias por UF'!CQ125*'Evolução das Receitas'!$U$216</f>
        <v>183800.8391554495</v>
      </c>
      <c r="AB148" s="147">
        <f>'Médias por UF'!CR125*'Evolução das Receitas'!$U$216</f>
        <v>200993.4</v>
      </c>
      <c r="AC148" s="147">
        <f t="shared" si="58"/>
        <v>200993.4</v>
      </c>
      <c r="AE148" s="213" t="s">
        <v>89</v>
      </c>
      <c r="AF148" s="147">
        <f>JAN!$AM$7</f>
        <v>22650.392000000003</v>
      </c>
      <c r="AG148" s="147">
        <f>FEV!$AM$7</f>
        <v>23508</v>
      </c>
      <c r="AH148" s="147">
        <f>MAR!$AM7</f>
        <v>22019.160000000003</v>
      </c>
      <c r="AI148" s="147">
        <f>ABR!$AN7</f>
        <v>13481.592000000002</v>
      </c>
      <c r="AJ148" s="147">
        <f>MAI!$X7</f>
        <v>13477.920000000002</v>
      </c>
      <c r="AK148" s="147">
        <f>JUN!$X7</f>
        <v>14888.400000000001</v>
      </c>
      <c r="AL148" s="147">
        <f>JUL!$X7</f>
        <v>26877.48</v>
      </c>
      <c r="AM148" s="147">
        <f>AGO!$X7</f>
        <v>32597.759999999998</v>
      </c>
      <c r="AN148" s="147">
        <f>SET!$X7</f>
        <v>28052.880000000001</v>
      </c>
      <c r="AO148" s="147">
        <f>OUT!$X7</f>
        <v>26093.88</v>
      </c>
      <c r="AP148" s="147">
        <f>NOV!$X7</f>
        <v>14888.400000000001</v>
      </c>
      <c r="AQ148" s="147">
        <f>DEZ!$X7</f>
        <v>21470.639999999999</v>
      </c>
      <c r="AR148" s="177">
        <f t="shared" si="59"/>
        <v>260006.50400000002</v>
      </c>
      <c r="AV148" s="63"/>
    </row>
    <row r="149" spans="1:48">
      <c r="A149" s="212" t="s">
        <v>90</v>
      </c>
      <c r="B149" s="147">
        <f>$F$217*'Médias por UF'!CG126</f>
        <v>25744.597065355392</v>
      </c>
      <c r="C149" s="147">
        <f>$F$217*'Médias por UF'!CH126</f>
        <v>52014.767097164862</v>
      </c>
      <c r="D149" s="147">
        <f>$F$217*'Médias por UF'!CI126</f>
        <v>82827.404840168412</v>
      </c>
      <c r="E149" s="147">
        <f>$F$217*'Médias por UF'!CJ126</f>
        <v>113201.6334757471</v>
      </c>
      <c r="F149" s="147">
        <f>$F$217*'Médias por UF'!CK126</f>
        <v>146295.74492199661</v>
      </c>
      <c r="G149" s="147">
        <f>$F$217*'Médias por UF'!CL126</f>
        <v>177298.05765788237</v>
      </c>
      <c r="H149" s="147">
        <f>$F$217*'Médias por UF'!CM126</f>
        <v>210022.03340678575</v>
      </c>
      <c r="I149" s="147">
        <f>$F$217*'Médias por UF'!CN126</f>
        <v>248759.27796201973</v>
      </c>
      <c r="J149" s="147">
        <f>$F$217*'Médias por UF'!CO126</f>
        <v>280877.73292638658</v>
      </c>
      <c r="K149" s="147">
        <f>$F$217*'Médias por UF'!CP126</f>
        <v>315989.00086543668</v>
      </c>
      <c r="L149" s="147">
        <f>$F$217*'Médias por UF'!CQ126</f>
        <v>349525.05698907113</v>
      </c>
      <c r="M149" s="147">
        <f>$F$217*'Médias por UF'!CR126</f>
        <v>377303.4</v>
      </c>
      <c r="N149" s="147">
        <f t="shared" si="57"/>
        <v>377303.4</v>
      </c>
      <c r="P149" s="213" t="s">
        <v>90</v>
      </c>
      <c r="Q149" s="147">
        <f>'Médias por UF'!CG126*'Evolução das Receitas'!$U$217</f>
        <v>25744.597065355392</v>
      </c>
      <c r="R149" s="147">
        <f>'Médias por UF'!CH126*'Evolução das Receitas'!$U$217</f>
        <v>52014.767097164862</v>
      </c>
      <c r="S149" s="147">
        <f>'Médias por UF'!CI126*'Evolução das Receitas'!$U$217</f>
        <v>82827.404840168412</v>
      </c>
      <c r="T149" s="147">
        <f>'Médias por UF'!CJ126*'Evolução das Receitas'!$U$217</f>
        <v>113201.6334757471</v>
      </c>
      <c r="U149" s="147">
        <f>'Médias por UF'!CK126*'Evolução das Receitas'!$U$217</f>
        <v>146295.74492199661</v>
      </c>
      <c r="V149" s="147">
        <f>'Médias por UF'!CL126*'Evolução das Receitas'!$U$217</f>
        <v>177298.05765788237</v>
      </c>
      <c r="W149" s="147">
        <f>'Médias por UF'!CM126*'Evolução das Receitas'!$U$217</f>
        <v>210022.03340678575</v>
      </c>
      <c r="X149" s="147">
        <f>'Médias por UF'!CN126*'Evolução das Receitas'!$U$217</f>
        <v>248759.27796201973</v>
      </c>
      <c r="Y149" s="147">
        <f>'Médias por UF'!CO126*'Evolução das Receitas'!$U$217</f>
        <v>280877.73292638658</v>
      </c>
      <c r="Z149" s="147">
        <f>'Médias por UF'!CP126*'Evolução das Receitas'!$U$217</f>
        <v>315989.00086543668</v>
      </c>
      <c r="AA149" s="147">
        <f>'Médias por UF'!CQ126*'Evolução das Receitas'!$U$217</f>
        <v>349525.05698907113</v>
      </c>
      <c r="AB149" s="147">
        <f>'Médias por UF'!CR126*'Evolução das Receitas'!$U$217</f>
        <v>377303.4</v>
      </c>
      <c r="AC149" s="147">
        <f t="shared" si="58"/>
        <v>377303.4</v>
      </c>
      <c r="AE149" s="213" t="s">
        <v>90</v>
      </c>
      <c r="AF149" s="147">
        <f>JAN!$AM$8</f>
        <v>33880.640000000007</v>
      </c>
      <c r="AG149" s="147">
        <f>FEV!$AM$8</f>
        <v>37299.360000000001</v>
      </c>
      <c r="AH149" s="147">
        <f>MAR!$AM8</f>
        <v>43959.96</v>
      </c>
      <c r="AI149" s="147">
        <f>ABR!$AN8</f>
        <v>16612.320000000003</v>
      </c>
      <c r="AJ149" s="147">
        <f>MAI!$X8</f>
        <v>21000.48</v>
      </c>
      <c r="AK149" s="147">
        <f>JUN!$X8</f>
        <v>37142.640000000007</v>
      </c>
      <c r="AL149" s="147">
        <f>JUL!$X8</f>
        <v>50150.400000000001</v>
      </c>
      <c r="AM149" s="147">
        <f>AGO!$X8</f>
        <v>55557.240000000005</v>
      </c>
      <c r="AN149" s="147">
        <f>SET!$X8</f>
        <v>46859.28</v>
      </c>
      <c r="AO149" s="147">
        <f>OUT!$X8</f>
        <v>53990.040000000008</v>
      </c>
      <c r="AP149" s="147">
        <f>NOV!$X8</f>
        <v>50934</v>
      </c>
      <c r="AQ149" s="147">
        <f>DEZ!$X8</f>
        <v>41217.360000000001</v>
      </c>
      <c r="AR149" s="177">
        <f t="shared" si="59"/>
        <v>488603.72000000009</v>
      </c>
      <c r="AV149" s="63"/>
    </row>
    <row r="150" spans="1:48">
      <c r="A150" s="212" t="s">
        <v>91</v>
      </c>
      <c r="B150" s="147">
        <f>$F$218*'Médias por UF'!CG127</f>
        <v>69626.513551001452</v>
      </c>
      <c r="C150" s="147">
        <f>$F$218*'Médias por UF'!CH127</f>
        <v>150002.29680661546</v>
      </c>
      <c r="D150" s="147">
        <f>$F$218*'Médias por UF'!CI127</f>
        <v>233387.11650550249</v>
      </c>
      <c r="E150" s="147">
        <f>$F$218*'Médias por UF'!CJ127</f>
        <v>318727.8547209971</v>
      </c>
      <c r="F150" s="147">
        <f>$F$218*'Médias por UF'!CK127</f>
        <v>416922.62552742782</v>
      </c>
      <c r="G150" s="147">
        <f>$F$218*'Médias por UF'!CL127</f>
        <v>501047.93779177463</v>
      </c>
      <c r="H150" s="147">
        <f>$F$218*'Médias por UF'!CM127</f>
        <v>590335.68029710418</v>
      </c>
      <c r="I150" s="147">
        <f>$F$218*'Médias por UF'!CN127</f>
        <v>691443.37961660174</v>
      </c>
      <c r="J150" s="147">
        <f>$F$218*'Médias por UF'!CO127</f>
        <v>786577.1456456827</v>
      </c>
      <c r="K150" s="147">
        <f>$F$218*'Médias por UF'!CP127</f>
        <v>885951.67674915609</v>
      </c>
      <c r="L150" s="147">
        <f>$F$218*'Médias por UF'!CQ127</f>
        <v>976256.75575561076</v>
      </c>
      <c r="M150" s="147">
        <f>$F$218*'Médias por UF'!CR127</f>
        <v>1061850.04</v>
      </c>
      <c r="N150" s="147">
        <f t="shared" si="57"/>
        <v>1061850.04</v>
      </c>
      <c r="P150" s="213" t="s">
        <v>91</v>
      </c>
      <c r="Q150" s="147">
        <f>'Médias por UF'!CG127*'Evolução das Receitas'!$U$218</f>
        <v>69626.513551001452</v>
      </c>
      <c r="R150" s="147">
        <f>'Médias por UF'!CH127*'Evolução das Receitas'!$U$218</f>
        <v>150002.29680661546</v>
      </c>
      <c r="S150" s="147">
        <f>'Médias por UF'!CI127*'Evolução das Receitas'!$U$218</f>
        <v>233387.11650550249</v>
      </c>
      <c r="T150" s="147">
        <f>'Médias por UF'!CJ127*'Evolução das Receitas'!$U$218</f>
        <v>318727.8547209971</v>
      </c>
      <c r="U150" s="147">
        <f>'Médias por UF'!CK127*'Evolução das Receitas'!$U$218</f>
        <v>416922.62552742782</v>
      </c>
      <c r="V150" s="147">
        <f>'Médias por UF'!CL127*'Evolução das Receitas'!$U$218</f>
        <v>501047.93779177463</v>
      </c>
      <c r="W150" s="147">
        <f>'Médias por UF'!CM127*'Evolução das Receitas'!$U$218</f>
        <v>590335.68029710418</v>
      </c>
      <c r="X150" s="147">
        <f>'Médias por UF'!CN127*'Evolução das Receitas'!$U$218</f>
        <v>691443.37961660174</v>
      </c>
      <c r="Y150" s="147">
        <f>'Médias por UF'!CO127*'Evolução das Receitas'!$U$218</f>
        <v>786577.1456456827</v>
      </c>
      <c r="Z150" s="147">
        <f>'Médias por UF'!CP127*'Evolução das Receitas'!$U$218</f>
        <v>885951.67674915609</v>
      </c>
      <c r="AA150" s="147">
        <f>'Médias por UF'!CQ127*'Evolução das Receitas'!$U$218</f>
        <v>976256.75575561076</v>
      </c>
      <c r="AB150" s="147">
        <f>'Médias por UF'!CR127*'Evolução das Receitas'!$U$218</f>
        <v>1061850.04</v>
      </c>
      <c r="AC150" s="147">
        <f t="shared" si="58"/>
        <v>1061850.04</v>
      </c>
      <c r="AE150" s="213" t="s">
        <v>91</v>
      </c>
      <c r="AF150" s="147">
        <f>JAN!$AM$9</f>
        <v>103651.664</v>
      </c>
      <c r="AG150" s="147">
        <f>FEV!$AM$9</f>
        <v>120282.6</v>
      </c>
      <c r="AH150" s="147">
        <f>MAR!$AM9</f>
        <v>110017.44</v>
      </c>
      <c r="AI150" s="147">
        <f>ABR!$AN9</f>
        <v>59396.880000000005</v>
      </c>
      <c r="AJ150" s="147">
        <f>MAI!$X9</f>
        <v>62844.72</v>
      </c>
      <c r="AK150" s="147">
        <f>JUN!$X9</f>
        <v>90819.24</v>
      </c>
      <c r="AL150" s="147">
        <f>JUL!$X9</f>
        <v>119342.28000000001</v>
      </c>
      <c r="AM150" s="147">
        <f>AGO!$X9</f>
        <v>128275.32000000002</v>
      </c>
      <c r="AN150" s="147">
        <f>SET!$X9</f>
        <v>135797.88</v>
      </c>
      <c r="AO150" s="147">
        <f>OUT!$X9</f>
        <v>151783.32</v>
      </c>
      <c r="AP150" s="147">
        <f>NOV!$X9</f>
        <v>146689.92000000001</v>
      </c>
      <c r="AQ150" s="147">
        <f>DEZ!$X9</f>
        <v>153742.32</v>
      </c>
      <c r="AR150" s="177">
        <f t="shared" si="59"/>
        <v>1382643.584</v>
      </c>
      <c r="AV150" s="63"/>
    </row>
    <row r="151" spans="1:48">
      <c r="A151" s="212" t="s">
        <v>92</v>
      </c>
      <c r="B151" s="147">
        <f>$F$219*'Médias por UF'!CG128</f>
        <v>46261.102068691747</v>
      </c>
      <c r="C151" s="147">
        <f>$F$219*'Médias por UF'!CH128</f>
        <v>92875.615746038136</v>
      </c>
      <c r="D151" s="147">
        <f>$F$219*'Médias por UF'!CI128</f>
        <v>145354.29189559876</v>
      </c>
      <c r="E151" s="147">
        <f>$F$219*'Médias por UF'!CJ128</f>
        <v>199692.09767081682</v>
      </c>
      <c r="F151" s="147">
        <f>$F$219*'Médias por UF'!CK128</f>
        <v>260714.43167411728</v>
      </c>
      <c r="G151" s="147">
        <f>$F$219*'Médias por UF'!CL128</f>
        <v>328744.44323259941</v>
      </c>
      <c r="H151" s="147">
        <f>$F$219*'Médias por UF'!CM128</f>
        <v>391392.45626685605</v>
      </c>
      <c r="I151" s="147">
        <f>$F$219*'Médias por UF'!CN128</f>
        <v>456137.53866070241</v>
      </c>
      <c r="J151" s="147">
        <f>$F$219*'Médias por UF'!CO128</f>
        <v>517289.13409297826</v>
      </c>
      <c r="K151" s="147">
        <f>$F$219*'Médias por UF'!CP128</f>
        <v>588185.47252700431</v>
      </c>
      <c r="L151" s="147">
        <f>$F$219*'Médias por UF'!CQ128</f>
        <v>651606.72608089261</v>
      </c>
      <c r="M151" s="147">
        <f>$F$219*'Médias por UF'!CR128</f>
        <v>710881.91999999993</v>
      </c>
      <c r="N151" s="147">
        <f t="shared" si="57"/>
        <v>710881.91999999993</v>
      </c>
      <c r="P151" s="213" t="s">
        <v>92</v>
      </c>
      <c r="Q151" s="147">
        <f>'Médias por UF'!CG128*'Evolução das Receitas'!$U$219</f>
        <v>46261.102068691747</v>
      </c>
      <c r="R151" s="147">
        <f>'Médias por UF'!CH128*'Evolução das Receitas'!$U$219</f>
        <v>92875.615746038136</v>
      </c>
      <c r="S151" s="147">
        <f>'Médias por UF'!CI128*'Evolução das Receitas'!$U$219</f>
        <v>145354.29189559876</v>
      </c>
      <c r="T151" s="147">
        <f>'Médias por UF'!CJ128*'Evolução das Receitas'!$U$219</f>
        <v>199692.09767081682</v>
      </c>
      <c r="U151" s="147">
        <f>'Médias por UF'!CK128*'Evolução das Receitas'!$U$219</f>
        <v>260714.43167411728</v>
      </c>
      <c r="V151" s="147">
        <f>'Médias por UF'!CL128*'Evolução das Receitas'!$U$219</f>
        <v>328744.44323259941</v>
      </c>
      <c r="W151" s="147">
        <f>'Médias por UF'!CM128*'Evolução das Receitas'!$U$219</f>
        <v>391392.45626685605</v>
      </c>
      <c r="X151" s="147">
        <f>'Médias por UF'!CN128*'Evolução das Receitas'!$U$219</f>
        <v>456137.53866070241</v>
      </c>
      <c r="Y151" s="147">
        <f>'Médias por UF'!CO128*'Evolução das Receitas'!$U$219</f>
        <v>517289.13409297826</v>
      </c>
      <c r="Z151" s="147">
        <f>'Médias por UF'!CP128*'Evolução das Receitas'!$U$219</f>
        <v>588185.47252700431</v>
      </c>
      <c r="AA151" s="147">
        <f>'Médias por UF'!CQ128*'Evolução das Receitas'!$U$219</f>
        <v>651606.72608089261</v>
      </c>
      <c r="AB151" s="147">
        <f>'Médias por UF'!CR128*'Evolução das Receitas'!$U$219</f>
        <v>710881.91999999993</v>
      </c>
      <c r="AC151" s="147">
        <f t="shared" si="58"/>
        <v>710881.91999999993</v>
      </c>
      <c r="AE151" s="213" t="s">
        <v>92</v>
      </c>
      <c r="AF151" s="147">
        <f>JAN!$AM$10</f>
        <v>75146.487999999998</v>
      </c>
      <c r="AG151" s="147">
        <f>FEV!$AM$10</f>
        <v>69113.52</v>
      </c>
      <c r="AH151" s="147">
        <f>MAR!$AM10</f>
        <v>57359.519999999997</v>
      </c>
      <c r="AI151" s="147">
        <f>ABR!$AN10</f>
        <v>26642.400000000001</v>
      </c>
      <c r="AJ151" s="147">
        <f>MAI!$X10</f>
        <v>27582.720000000001</v>
      </c>
      <c r="AK151" s="147">
        <f>JUN!$X10</f>
        <v>68016.48000000001</v>
      </c>
      <c r="AL151" s="147">
        <f>JUL!$X10</f>
        <v>85020.6</v>
      </c>
      <c r="AM151" s="147">
        <f>AGO!$X10</f>
        <v>90740.88</v>
      </c>
      <c r="AN151" s="147">
        <f>SET!$X10</f>
        <v>88860.24</v>
      </c>
      <c r="AO151" s="147">
        <f>OUT!$X10</f>
        <v>106334.52</v>
      </c>
      <c r="AP151" s="147">
        <f>NOV!$X10</f>
        <v>94267.080000000016</v>
      </c>
      <c r="AQ151" s="147">
        <f>DEZ!$X10</f>
        <v>90035.640000000014</v>
      </c>
      <c r="AR151" s="177">
        <f t="shared" si="59"/>
        <v>879120.08800000011</v>
      </c>
      <c r="AV151" s="63"/>
    </row>
    <row r="152" spans="1:48">
      <c r="A152" s="212" t="s">
        <v>93</v>
      </c>
      <c r="B152" s="147">
        <f>$F$220*'Médias por UF'!CG129</f>
        <v>73297.57806470916</v>
      </c>
      <c r="C152" s="147">
        <f>$F$220*'Médias por UF'!CH129</f>
        <v>151965.20322663742</v>
      </c>
      <c r="D152" s="147">
        <f>$F$220*'Médias por UF'!CI129</f>
        <v>248087.273490741</v>
      </c>
      <c r="E152" s="147">
        <f>$F$220*'Médias por UF'!CJ129</f>
        <v>349417.76450142887</v>
      </c>
      <c r="F152" s="147">
        <f>$F$220*'Médias por UF'!CK129</f>
        <v>464728.38157828868</v>
      </c>
      <c r="G152" s="147">
        <f>$F$220*'Médias por UF'!CL129</f>
        <v>566783.71239029826</v>
      </c>
      <c r="H152" s="147">
        <f>$F$220*'Médias por UF'!CM129</f>
        <v>672264.56660895247</v>
      </c>
      <c r="I152" s="147">
        <f>$F$220*'Médias por UF'!CN129</f>
        <v>785248.70263452618</v>
      </c>
      <c r="J152" s="147">
        <f>$F$220*'Médias por UF'!CO129</f>
        <v>884171.42897984188</v>
      </c>
      <c r="K152" s="147">
        <f>$F$220*'Médias por UF'!CP129</f>
        <v>995275.7800524215</v>
      </c>
      <c r="L152" s="147">
        <f>$F$220*'Médias por UF'!CQ129</f>
        <v>1098921.1911937166</v>
      </c>
      <c r="M152" s="147">
        <f>$F$220*'Médias por UF'!CR129</f>
        <v>1189583.1599999999</v>
      </c>
      <c r="N152" s="147">
        <f t="shared" si="57"/>
        <v>1189583.1599999999</v>
      </c>
      <c r="P152" s="213" t="s">
        <v>93</v>
      </c>
      <c r="Q152" s="147">
        <f>'Médias por UF'!CG129*'Evolução das Receitas'!$U$220</f>
        <v>73297.57806470916</v>
      </c>
      <c r="R152" s="147">
        <f>'Médias por UF'!CH129*'Evolução das Receitas'!$U$220</f>
        <v>151965.20322663742</v>
      </c>
      <c r="S152" s="147">
        <f>'Médias por UF'!CI129*'Evolução das Receitas'!$U$220</f>
        <v>248087.273490741</v>
      </c>
      <c r="T152" s="147">
        <f>'Médias por UF'!CJ129*'Evolução das Receitas'!$U$220</f>
        <v>349417.76450142887</v>
      </c>
      <c r="U152" s="147">
        <f>'Médias por UF'!CK129*'Evolução das Receitas'!$U$220</f>
        <v>464728.38157828868</v>
      </c>
      <c r="V152" s="147">
        <f>'Médias por UF'!CL129*'Evolução das Receitas'!$U$220</f>
        <v>566783.71239029826</v>
      </c>
      <c r="W152" s="147">
        <f>'Médias por UF'!CM129*'Evolução das Receitas'!$U$220</f>
        <v>672264.56660895247</v>
      </c>
      <c r="X152" s="147">
        <f>'Médias por UF'!CN129*'Evolução das Receitas'!$U$220</f>
        <v>785248.70263452618</v>
      </c>
      <c r="Y152" s="147">
        <f>'Médias por UF'!CO129*'Evolução das Receitas'!$U$220</f>
        <v>884171.42897984188</v>
      </c>
      <c r="Z152" s="147">
        <f>'Médias por UF'!CP129*'Evolução das Receitas'!$U$220</f>
        <v>995275.7800524215</v>
      </c>
      <c r="AA152" s="147">
        <f>'Médias por UF'!CQ129*'Evolução das Receitas'!$U$220</f>
        <v>1098921.1911937166</v>
      </c>
      <c r="AB152" s="147">
        <f>'Médias por UF'!CR129*'Evolução das Receitas'!$U$220</f>
        <v>1189583.1599999999</v>
      </c>
      <c r="AC152" s="147">
        <f t="shared" si="58"/>
        <v>1189583.1599999999</v>
      </c>
      <c r="AE152" s="213" t="s">
        <v>93</v>
      </c>
      <c r="AF152" s="147">
        <f>JAN!$AM$11</f>
        <v>96113.040000000008</v>
      </c>
      <c r="AG152" s="147">
        <f>FEV!$AM$11</f>
        <v>94658.880000000005</v>
      </c>
      <c r="AH152" s="147">
        <f>MAR!$AM11</f>
        <v>93013.32</v>
      </c>
      <c r="AI152" s="147">
        <f>ABR!$AN11</f>
        <v>51952.68</v>
      </c>
      <c r="AJ152" s="147">
        <f>MAI!$X11</f>
        <v>73815.12</v>
      </c>
      <c r="AK152" s="147">
        <f>JUN!$X11</f>
        <v>99047.040000000008</v>
      </c>
      <c r="AL152" s="147">
        <f>JUL!$X11</f>
        <v>116364.6</v>
      </c>
      <c r="AM152" s="147">
        <f>AGO!$X11</f>
        <v>134152.32000000001</v>
      </c>
      <c r="AN152" s="147">
        <f>SET!$X11</f>
        <v>114719.03999999999</v>
      </c>
      <c r="AO152" s="147">
        <f>OUT!$X11</f>
        <v>131174.63999999998</v>
      </c>
      <c r="AP152" s="147">
        <f>NOV!$X11</f>
        <v>126237.96000000002</v>
      </c>
      <c r="AQ152" s="147">
        <f>DEZ!$X11</f>
        <v>106334.52</v>
      </c>
      <c r="AR152" s="177">
        <f t="shared" si="59"/>
        <v>1237583.1600000001</v>
      </c>
      <c r="AV152" s="63"/>
    </row>
    <row r="153" spans="1:48">
      <c r="A153" s="212" t="s">
        <v>94</v>
      </c>
      <c r="B153" s="147">
        <f>$F$221*'Médias por UF'!CG130</f>
        <v>63646.041535038567</v>
      </c>
      <c r="C153" s="147">
        <f>$F$221*'Médias por UF'!CH130</f>
        <v>129664.35671532243</v>
      </c>
      <c r="D153" s="147">
        <f>$F$221*'Médias por UF'!CI130</f>
        <v>206096.06591404267</v>
      </c>
      <c r="E153" s="147">
        <f>$F$221*'Médias por UF'!CJ130</f>
        <v>282834.22527623182</v>
      </c>
      <c r="F153" s="147">
        <f>$F$221*'Médias por UF'!CK130</f>
        <v>372312.65455696662</v>
      </c>
      <c r="G153" s="147">
        <f>$F$221*'Médias por UF'!CL130</f>
        <v>454855.8650368455</v>
      </c>
      <c r="H153" s="147">
        <f>$F$221*'Médias por UF'!CM130</f>
        <v>543131.23856400035</v>
      </c>
      <c r="I153" s="147">
        <f>$F$221*'Médias por UF'!CN130</f>
        <v>643052.75057166698</v>
      </c>
      <c r="J153" s="147">
        <f>$F$221*'Médias por UF'!CO130</f>
        <v>725923.48718963377</v>
      </c>
      <c r="K153" s="147">
        <f>$F$221*'Médias por UF'!CP130</f>
        <v>823234.84218339389</v>
      </c>
      <c r="L153" s="147">
        <f>$F$221*'Médias por UF'!CQ130</f>
        <v>904320.60743020673</v>
      </c>
      <c r="M153" s="147">
        <f>$F$221*'Médias por UF'!CR130</f>
        <v>981772.44000000006</v>
      </c>
      <c r="N153" s="147">
        <f t="shared" si="57"/>
        <v>981772.44000000006</v>
      </c>
      <c r="P153" s="213" t="s">
        <v>94</v>
      </c>
      <c r="Q153" s="147">
        <f>'Médias por UF'!CG130*'Evolução das Receitas'!$U$221</f>
        <v>63646.041535038559</v>
      </c>
      <c r="R153" s="147">
        <f>'Médias por UF'!CH130*'Evolução das Receitas'!$U$221</f>
        <v>129664.35671532241</v>
      </c>
      <c r="S153" s="147">
        <f>'Médias por UF'!CI130*'Evolução das Receitas'!$U$221</f>
        <v>206096.06591404264</v>
      </c>
      <c r="T153" s="147">
        <f>'Médias por UF'!CJ130*'Evolução das Receitas'!$U$221</f>
        <v>282834.22527623177</v>
      </c>
      <c r="U153" s="147">
        <f>'Médias por UF'!CK130*'Evolução das Receitas'!$U$221</f>
        <v>372312.65455696656</v>
      </c>
      <c r="V153" s="147">
        <f>'Médias por UF'!CL130*'Evolução das Receitas'!$U$221</f>
        <v>454855.86503684544</v>
      </c>
      <c r="W153" s="147">
        <f>'Médias por UF'!CM130*'Evolução das Receitas'!$U$221</f>
        <v>543131.23856400023</v>
      </c>
      <c r="X153" s="147">
        <f>'Médias por UF'!CN130*'Evolução das Receitas'!$U$221</f>
        <v>643052.75057166698</v>
      </c>
      <c r="Y153" s="147">
        <f>'Médias por UF'!CO130*'Evolução das Receitas'!$U$221</f>
        <v>725923.48718963366</v>
      </c>
      <c r="Z153" s="147">
        <f>'Médias por UF'!CP130*'Evolução das Receitas'!$U$221</f>
        <v>823234.84218339378</v>
      </c>
      <c r="AA153" s="147">
        <f>'Médias por UF'!CQ130*'Evolução das Receitas'!$U$221</f>
        <v>904320.60743020661</v>
      </c>
      <c r="AB153" s="147">
        <f>'Médias por UF'!CR130*'Evolução das Receitas'!$U$221</f>
        <v>981772.44</v>
      </c>
      <c r="AC153" s="147">
        <f t="shared" si="58"/>
        <v>981772.44</v>
      </c>
      <c r="AE153" s="213" t="s">
        <v>94</v>
      </c>
      <c r="AF153" s="147">
        <f>JAN!$AM$12</f>
        <v>79599.495999999999</v>
      </c>
      <c r="AG153" s="147">
        <f>FEV!$AM$12</f>
        <v>78908.52</v>
      </c>
      <c r="AH153" s="147">
        <f>MAR!$AM12</f>
        <v>81102.600000000006</v>
      </c>
      <c r="AI153" s="147">
        <f>ABR!$AN12</f>
        <v>44351.76</v>
      </c>
      <c r="AJ153" s="147">
        <f>MAI!$X12</f>
        <v>65822.400000000009</v>
      </c>
      <c r="AK153" s="147">
        <f>JUN!$X12</f>
        <v>75460.680000000008</v>
      </c>
      <c r="AL153" s="147">
        <f>JUL!$X12</f>
        <v>97009.680000000008</v>
      </c>
      <c r="AM153" s="147">
        <f>AGO!$X12</f>
        <v>110957.76000000004</v>
      </c>
      <c r="AN153" s="147">
        <f>SET!$X12</f>
        <v>97323.12</v>
      </c>
      <c r="AO153" s="147">
        <f>OUT!$X12</f>
        <v>122711.76000000001</v>
      </c>
      <c r="AP153" s="147">
        <f>NOV!$X12</f>
        <v>102573.24</v>
      </c>
      <c r="AQ153" s="147">
        <f>DEZ!$X12</f>
        <v>98185.080000000016</v>
      </c>
      <c r="AR153" s="177">
        <f t="shared" si="59"/>
        <v>1054006.0960000001</v>
      </c>
      <c r="AV153" s="63"/>
    </row>
    <row r="154" spans="1:48">
      <c r="A154" s="212" t="s">
        <v>95</v>
      </c>
      <c r="B154" s="147">
        <f>$F$222*'Médias por UF'!CG131</f>
        <v>110442.74277105829</v>
      </c>
      <c r="C154" s="147">
        <f>$F$222*'Médias por UF'!CH131</f>
        <v>234294.439450982</v>
      </c>
      <c r="D154" s="147">
        <f>$F$222*'Médias por UF'!CI131</f>
        <v>397685.05631690659</v>
      </c>
      <c r="E154" s="147">
        <f>$F$222*'Médias por UF'!CJ131</f>
        <v>568275.75513068167</v>
      </c>
      <c r="F154" s="147">
        <f>$F$222*'Médias por UF'!CK131</f>
        <v>752983.55743758089</v>
      </c>
      <c r="G154" s="147">
        <f>$F$222*'Médias por UF'!CL131</f>
        <v>928081.61046988086</v>
      </c>
      <c r="H154" s="147">
        <f>$F$222*'Médias por UF'!CM131</f>
        <v>1087414.9553689703</v>
      </c>
      <c r="I154" s="147">
        <f>$F$222*'Médias por UF'!CN131</f>
        <v>1264739.3294735933</v>
      </c>
      <c r="J154" s="147">
        <f>$F$222*'Médias por UF'!CO131</f>
        <v>1422279.9837112874</v>
      </c>
      <c r="K154" s="147">
        <f>$F$222*'Médias por UF'!CP131</f>
        <v>1586377.9721285438</v>
      </c>
      <c r="L154" s="147">
        <f>$F$222*'Médias por UF'!CQ131</f>
        <v>1723859.2158736344</v>
      </c>
      <c r="M154" s="147">
        <f>$F$222*'Médias por UF'!CR131</f>
        <v>1856034.96</v>
      </c>
      <c r="N154" s="147">
        <f t="shared" si="57"/>
        <v>1856034.96</v>
      </c>
      <c r="P154" s="213" t="s">
        <v>95</v>
      </c>
      <c r="Q154" s="147">
        <f>'Médias por UF'!CG131*'Evolução das Receitas'!$U$222</f>
        <v>110442.74277105829</v>
      </c>
      <c r="R154" s="147">
        <f>'Médias por UF'!CH131*'Evolução das Receitas'!$U$222</f>
        <v>234294.439450982</v>
      </c>
      <c r="S154" s="147">
        <f>'Médias por UF'!CI131*'Evolução das Receitas'!$U$222</f>
        <v>397685.05631690659</v>
      </c>
      <c r="T154" s="147">
        <f>'Médias por UF'!CJ131*'Evolução das Receitas'!$U$222</f>
        <v>568275.75513068167</v>
      </c>
      <c r="U154" s="147">
        <f>'Médias por UF'!CK131*'Evolução das Receitas'!$U$222</f>
        <v>752983.55743758089</v>
      </c>
      <c r="V154" s="147">
        <f>'Médias por UF'!CL131*'Evolução das Receitas'!$U$222</f>
        <v>928081.61046988086</v>
      </c>
      <c r="W154" s="147">
        <f>'Médias por UF'!CM131*'Evolução das Receitas'!$U$222</f>
        <v>1087414.9553689703</v>
      </c>
      <c r="X154" s="147">
        <f>'Médias por UF'!CN131*'Evolução das Receitas'!$U$222</f>
        <v>1264739.3294735933</v>
      </c>
      <c r="Y154" s="147">
        <f>'Médias por UF'!CO131*'Evolução das Receitas'!$U$222</f>
        <v>1422279.9837112874</v>
      </c>
      <c r="Z154" s="147">
        <f>'Médias por UF'!CP131*'Evolução das Receitas'!$U$222</f>
        <v>1586377.9721285438</v>
      </c>
      <c r="AA154" s="147">
        <f>'Médias por UF'!CQ131*'Evolução das Receitas'!$U$222</f>
        <v>1723859.2158736344</v>
      </c>
      <c r="AB154" s="147">
        <f>'Médias por UF'!CR131*'Evolução das Receitas'!$U$222</f>
        <v>1856034.96</v>
      </c>
      <c r="AC154" s="147">
        <f t="shared" si="58"/>
        <v>1856034.96</v>
      </c>
      <c r="AE154" s="213" t="s">
        <v>95</v>
      </c>
      <c r="AF154" s="147">
        <f>JAN!$AM$13</f>
        <v>156191.44</v>
      </c>
      <c r="AG154" s="147">
        <f>FEV!$AM$13</f>
        <v>162048.48000000001</v>
      </c>
      <c r="AH154" s="147">
        <f>MAR!$AM13</f>
        <v>160638</v>
      </c>
      <c r="AI154" s="147">
        <f>ABR!$AN13</f>
        <v>110409.23999999999</v>
      </c>
      <c r="AJ154" s="147">
        <f>MAI!$X13</f>
        <v>149197.44</v>
      </c>
      <c r="AK154" s="147">
        <f>JUN!$X13</f>
        <v>187828.92</v>
      </c>
      <c r="AL154" s="147">
        <f>JUL!$X13</f>
        <v>251457.24</v>
      </c>
      <c r="AM154" s="147">
        <f>AGO!$X13</f>
        <v>207262.20000000004</v>
      </c>
      <c r="AN154" s="147">
        <f>SET!$X13</f>
        <v>198642.6</v>
      </c>
      <c r="AO154" s="147">
        <f>OUT!$X13</f>
        <v>238527.84</v>
      </c>
      <c r="AP154" s="147">
        <f>NOV!$X13</f>
        <v>185556.48000000001</v>
      </c>
      <c r="AQ154" s="147">
        <f>DEZ!$X13</f>
        <v>207340.56000000003</v>
      </c>
      <c r="AR154" s="177">
        <f t="shared" si="59"/>
        <v>2215100.4400000004</v>
      </c>
      <c r="AV154" s="63"/>
    </row>
    <row r="155" spans="1:48">
      <c r="A155" s="212" t="s">
        <v>96</v>
      </c>
      <c r="B155" s="147">
        <f>$F$223*'Médias por UF'!CG132</f>
        <v>20918.927029049206</v>
      </c>
      <c r="C155" s="147">
        <f>$F$223*'Médias por UF'!CH132</f>
        <v>42129.154709405833</v>
      </c>
      <c r="D155" s="147">
        <f>$F$223*'Médias por UF'!CI132</f>
        <v>66930.016303162338</v>
      </c>
      <c r="E155" s="147">
        <f>$F$223*'Médias por UF'!CJ132</f>
        <v>92553.891742156469</v>
      </c>
      <c r="F155" s="147">
        <f>$F$223*'Médias por UF'!CK132</f>
        <v>120213.50600240777</v>
      </c>
      <c r="G155" s="147">
        <f>$F$223*'Médias por UF'!CL132</f>
        <v>147592.36744167138</v>
      </c>
      <c r="H155" s="147">
        <f>$F$223*'Médias por UF'!CM132</f>
        <v>174949.31777976212</v>
      </c>
      <c r="I155" s="147">
        <f>$F$223*'Médias por UF'!CN132</f>
        <v>206073.28071065136</v>
      </c>
      <c r="J155" s="147">
        <f>$F$223*'Médias por UF'!CO132</f>
        <v>236172.29271732058</v>
      </c>
      <c r="K155" s="147">
        <f>$F$223*'Médias por UF'!CP132</f>
        <v>267170.23725113203</v>
      </c>
      <c r="L155" s="147">
        <f>$F$223*'Médias por UF'!CQ132</f>
        <v>298345.03806341678</v>
      </c>
      <c r="M155" s="147">
        <f>$F$223*'Médias por UF'!CR132</f>
        <v>324381.13</v>
      </c>
      <c r="N155" s="147">
        <f t="shared" si="57"/>
        <v>324381.13</v>
      </c>
      <c r="P155" s="213" t="s">
        <v>96</v>
      </c>
      <c r="Q155" s="147">
        <f>'Médias por UF'!CG132*'Evolução das Receitas'!$U$223</f>
        <v>20918.927029049206</v>
      </c>
      <c r="R155" s="147">
        <f>'Médias por UF'!CH132*'Evolução das Receitas'!$U$223</f>
        <v>42129.154709405833</v>
      </c>
      <c r="S155" s="147">
        <f>'Médias por UF'!CI132*'Evolução das Receitas'!$U$223</f>
        <v>66930.016303162338</v>
      </c>
      <c r="T155" s="147">
        <f>'Médias por UF'!CJ132*'Evolução das Receitas'!$U$223</f>
        <v>92553.891742156469</v>
      </c>
      <c r="U155" s="147">
        <f>'Médias por UF'!CK132*'Evolução das Receitas'!$U$223</f>
        <v>120213.50600240777</v>
      </c>
      <c r="V155" s="147">
        <f>'Médias por UF'!CL132*'Evolução das Receitas'!$U$223</f>
        <v>147592.36744167138</v>
      </c>
      <c r="W155" s="147">
        <f>'Médias por UF'!CM132*'Evolução das Receitas'!$U$223</f>
        <v>174949.31777976212</v>
      </c>
      <c r="X155" s="147">
        <f>'Médias por UF'!CN132*'Evolução das Receitas'!$U$223</f>
        <v>206073.28071065136</v>
      </c>
      <c r="Y155" s="147">
        <f>'Médias por UF'!CO132*'Evolução das Receitas'!$U$223</f>
        <v>236172.29271732058</v>
      </c>
      <c r="Z155" s="147">
        <f>'Médias por UF'!CP132*'Evolução das Receitas'!$U$223</f>
        <v>267170.23725113203</v>
      </c>
      <c r="AA155" s="147">
        <f>'Médias por UF'!CQ132*'Evolução das Receitas'!$U$223</f>
        <v>298345.03806341678</v>
      </c>
      <c r="AB155" s="147">
        <f>'Médias por UF'!CR132*'Evolução das Receitas'!$U$223</f>
        <v>324381.13</v>
      </c>
      <c r="AC155" s="147">
        <f t="shared" si="58"/>
        <v>324381.13</v>
      </c>
      <c r="AE155" s="213" t="s">
        <v>96</v>
      </c>
      <c r="AF155" s="147">
        <f>JAN!$AM$14</f>
        <v>28570.776000000002</v>
      </c>
      <c r="AG155" s="147">
        <f>FEV!$AM$14</f>
        <v>29933.520000000004</v>
      </c>
      <c r="AH155" s="147">
        <f>MAR!$AM14</f>
        <v>27269.279999999999</v>
      </c>
      <c r="AI155" s="147">
        <f>ABR!$AN14</f>
        <v>14653.320000000002</v>
      </c>
      <c r="AJ155" s="147">
        <f>MAI!$X14</f>
        <v>12537.6</v>
      </c>
      <c r="AK155" s="147">
        <f>JUN!$X14</f>
        <v>27112.559999999998</v>
      </c>
      <c r="AL155" s="147">
        <f>JUL!$X14</f>
        <v>40120.320000000007</v>
      </c>
      <c r="AM155" s="147">
        <f>AGO!$X14</f>
        <v>39180</v>
      </c>
      <c r="AN155" s="147">
        <f>SET!$X14</f>
        <v>42784.56</v>
      </c>
      <c r="AO155" s="147">
        <f>OUT!$X14</f>
        <v>46624.200000000004</v>
      </c>
      <c r="AP155" s="147">
        <f>NOV!$X14</f>
        <v>40825.56</v>
      </c>
      <c r="AQ155" s="147">
        <f>DEZ!$X14</f>
        <v>35340.36</v>
      </c>
      <c r="AR155" s="177">
        <f t="shared" si="59"/>
        <v>384952.05599999998</v>
      </c>
      <c r="AV155" s="63"/>
    </row>
    <row r="156" spans="1:48">
      <c r="A156" s="212" t="s">
        <v>97</v>
      </c>
      <c r="B156" s="147">
        <f>$F$224*'Médias por UF'!CG133</f>
        <v>117114.81673053154</v>
      </c>
      <c r="C156" s="147">
        <f>$F$224*'Médias por UF'!CH133</f>
        <v>274983.97785830003</v>
      </c>
      <c r="D156" s="147">
        <f>$F$224*'Médias por UF'!CI133</f>
        <v>478741.37532684713</v>
      </c>
      <c r="E156" s="147">
        <f>$F$224*'Médias por UF'!CJ133</f>
        <v>670151.82906018873</v>
      </c>
      <c r="F156" s="147">
        <f>$F$224*'Médias por UF'!CK133</f>
        <v>887615.04566243978</v>
      </c>
      <c r="G156" s="147">
        <f>$F$224*'Médias por UF'!CL133</f>
        <v>1099598.6854444863</v>
      </c>
      <c r="H156" s="147">
        <f>$F$224*'Médias por UF'!CM133</f>
        <v>1320651.0360467753</v>
      </c>
      <c r="I156" s="147">
        <f>$F$224*'Médias por UF'!CN133</f>
        <v>1546178.6799554159</v>
      </c>
      <c r="J156" s="147">
        <f>$F$224*'Médias por UF'!CO133</f>
        <v>1739102.4567886861</v>
      </c>
      <c r="K156" s="147">
        <f>$F$224*'Médias por UF'!CP133</f>
        <v>1945763.7093858391</v>
      </c>
      <c r="L156" s="147">
        <f>$F$224*'Médias por UF'!CQ133</f>
        <v>2120541.5773102883</v>
      </c>
      <c r="M156" s="147">
        <f>$F$224*'Médias por UF'!CR133</f>
        <v>2291324.7599999998</v>
      </c>
      <c r="N156" s="147">
        <f t="shared" si="57"/>
        <v>2291324.7599999998</v>
      </c>
      <c r="P156" s="213" t="s">
        <v>97</v>
      </c>
      <c r="Q156" s="147">
        <f>'Médias por UF'!CG133*'Evolução das Receitas'!$U$224</f>
        <v>117114.81673053154</v>
      </c>
      <c r="R156" s="147">
        <f>'Médias por UF'!CH133*'Evolução das Receitas'!$U$224</f>
        <v>274983.97785830003</v>
      </c>
      <c r="S156" s="147">
        <f>'Médias por UF'!CI133*'Evolução das Receitas'!$U$224</f>
        <v>478741.37532684713</v>
      </c>
      <c r="T156" s="147">
        <f>'Médias por UF'!CJ133*'Evolução das Receitas'!$U$224</f>
        <v>670151.82906018873</v>
      </c>
      <c r="U156" s="147">
        <f>'Médias por UF'!CK133*'Evolução das Receitas'!$U$224</f>
        <v>887615.04566243978</v>
      </c>
      <c r="V156" s="147">
        <f>'Médias por UF'!CL133*'Evolução das Receitas'!$U$224</f>
        <v>1099598.6854444863</v>
      </c>
      <c r="W156" s="147">
        <f>'Médias por UF'!CM133*'Evolução das Receitas'!$U$224</f>
        <v>1320651.0360467753</v>
      </c>
      <c r="X156" s="147">
        <f>'Médias por UF'!CN133*'Evolução das Receitas'!$U$224</f>
        <v>1546178.6799554159</v>
      </c>
      <c r="Y156" s="147">
        <f>'Médias por UF'!CO133*'Evolução das Receitas'!$U$224</f>
        <v>1739102.4567886861</v>
      </c>
      <c r="Z156" s="147">
        <f>'Médias por UF'!CP133*'Evolução das Receitas'!$U$224</f>
        <v>1945763.7093858391</v>
      </c>
      <c r="AA156" s="147">
        <f>'Médias por UF'!CQ133*'Evolução das Receitas'!$U$224</f>
        <v>2120541.5773102883</v>
      </c>
      <c r="AB156" s="147">
        <f>'Médias por UF'!CR133*'Evolução das Receitas'!$U$224</f>
        <v>2291324.7599999998</v>
      </c>
      <c r="AC156" s="147">
        <f t="shared" si="58"/>
        <v>2291324.7599999998</v>
      </c>
      <c r="AE156" s="213" t="s">
        <v>97</v>
      </c>
      <c r="AF156" s="147">
        <f>JAN!$AM$15</f>
        <v>136832.16800000001</v>
      </c>
      <c r="AG156" s="147">
        <f>FEV!$AM$15</f>
        <v>171135.68799999999</v>
      </c>
      <c r="AH156" s="147">
        <f>MAR!$AM15</f>
        <v>191982</v>
      </c>
      <c r="AI156" s="147">
        <f>ABR!$AN15</f>
        <v>147316.80000000002</v>
      </c>
      <c r="AJ156" s="147">
        <f>MAI!$X15</f>
        <v>197075.40000000002</v>
      </c>
      <c r="AK156" s="147">
        <f>JUN!$X15</f>
        <v>221288.64</v>
      </c>
      <c r="AL156" s="147">
        <f>JUL!$X15</f>
        <v>222777.47999999998</v>
      </c>
      <c r="AM156" s="147">
        <f>AGO!$X15</f>
        <v>236020.32000000004</v>
      </c>
      <c r="AN156" s="147">
        <f>SET!$X15</f>
        <v>210945.12000000002</v>
      </c>
      <c r="AO156" s="147">
        <f>OUT!$X15</f>
        <v>223404.36000000002</v>
      </c>
      <c r="AP156" s="147">
        <f>NOV!$X15</f>
        <v>197623.92</v>
      </c>
      <c r="AQ156" s="147">
        <f>DEZ!$X15</f>
        <v>181011.6</v>
      </c>
      <c r="AR156" s="177">
        <f t="shared" si="59"/>
        <v>2337413.4960000003</v>
      </c>
      <c r="AV156" s="63"/>
    </row>
    <row r="157" spans="1:48">
      <c r="A157" s="212" t="s">
        <v>98</v>
      </c>
      <c r="B157" s="147">
        <f>$F$225*'Médias por UF'!CG134</f>
        <v>83331.213710849072</v>
      </c>
      <c r="C157" s="147">
        <f>$F$225*'Médias por UF'!CH134</f>
        <v>186732.54177330481</v>
      </c>
      <c r="D157" s="147">
        <f>$F$225*'Médias por UF'!CI134</f>
        <v>314322.86045830313</v>
      </c>
      <c r="E157" s="147">
        <f>$F$225*'Médias por UF'!CJ134</f>
        <v>439858.83392234542</v>
      </c>
      <c r="F157" s="147">
        <f>$F$225*'Médias por UF'!CK134</f>
        <v>584628.93640975666</v>
      </c>
      <c r="G157" s="147">
        <f>$F$225*'Médias por UF'!CL134</f>
        <v>701302.83132294181</v>
      </c>
      <c r="H157" s="147">
        <f>$F$225*'Médias por UF'!CM134</f>
        <v>827025.44663862255</v>
      </c>
      <c r="I157" s="147">
        <f>$F$225*'Médias por UF'!CN134</f>
        <v>959418.00266672322</v>
      </c>
      <c r="J157" s="147">
        <f>$F$225*'Médias por UF'!CO134</f>
        <v>1072918.2966999835</v>
      </c>
      <c r="K157" s="147">
        <f>$F$225*'Médias por UF'!CP134</f>
        <v>1187878.1504534739</v>
      </c>
      <c r="L157" s="147">
        <f>$F$225*'Médias por UF'!CQ134</f>
        <v>1299563.3696199099</v>
      </c>
      <c r="M157" s="147">
        <f>$F$225*'Médias por UF'!CR134</f>
        <v>1397237.1600000001</v>
      </c>
      <c r="N157" s="147">
        <f t="shared" si="57"/>
        <v>1397237.1600000001</v>
      </c>
      <c r="P157" s="213" t="s">
        <v>98</v>
      </c>
      <c r="Q157" s="147">
        <f>'Médias por UF'!CG134*'Evolução das Receitas'!$U$225</f>
        <v>83331.213710849072</v>
      </c>
      <c r="R157" s="147">
        <f>'Médias por UF'!CH134*'Evolução das Receitas'!$U$225</f>
        <v>186732.54177330481</v>
      </c>
      <c r="S157" s="147">
        <f>'Médias por UF'!CI134*'Evolução das Receitas'!$U$225</f>
        <v>314322.86045830313</v>
      </c>
      <c r="T157" s="147">
        <f>'Médias por UF'!CJ134*'Evolução das Receitas'!$U$225</f>
        <v>439858.83392234542</v>
      </c>
      <c r="U157" s="147">
        <f>'Médias por UF'!CK134*'Evolução das Receitas'!$U$225</f>
        <v>584628.93640975666</v>
      </c>
      <c r="V157" s="147">
        <f>'Médias por UF'!CL134*'Evolução das Receitas'!$U$225</f>
        <v>701302.83132294181</v>
      </c>
      <c r="W157" s="147">
        <f>'Médias por UF'!CM134*'Evolução das Receitas'!$U$225</f>
        <v>827025.44663862255</v>
      </c>
      <c r="X157" s="147">
        <f>'Médias por UF'!CN134*'Evolução das Receitas'!$U$225</f>
        <v>959418.00266672322</v>
      </c>
      <c r="Y157" s="147">
        <f>'Médias por UF'!CO134*'Evolução das Receitas'!$U$225</f>
        <v>1072918.2966999835</v>
      </c>
      <c r="Z157" s="147">
        <f>'Médias por UF'!CP134*'Evolução das Receitas'!$U$225</f>
        <v>1187878.1504534739</v>
      </c>
      <c r="AA157" s="147">
        <f>'Médias por UF'!CQ134*'Evolução das Receitas'!$U$225</f>
        <v>1299563.3696199099</v>
      </c>
      <c r="AB157" s="147">
        <f>'Médias por UF'!CR134*'Evolução das Receitas'!$U$225</f>
        <v>1397237.1600000001</v>
      </c>
      <c r="AC157" s="147">
        <f t="shared" si="58"/>
        <v>1397237.1600000001</v>
      </c>
      <c r="AE157" s="213" t="s">
        <v>98</v>
      </c>
      <c r="AF157" s="147">
        <f>JAN!$AM$16</f>
        <v>96885.384000000005</v>
      </c>
      <c r="AG157" s="147">
        <f>FEV!$AM$16</f>
        <v>118480.32000000001</v>
      </c>
      <c r="AH157" s="147">
        <f>MAR!$AM16</f>
        <v>123181.92</v>
      </c>
      <c r="AI157" s="147">
        <f>ABR!$AN16</f>
        <v>93091.680000000008</v>
      </c>
      <c r="AJ157" s="147">
        <f>MAI!$X16</f>
        <v>104297.16</v>
      </c>
      <c r="AK157" s="147">
        <f>JUN!$X16</f>
        <v>133995.6</v>
      </c>
      <c r="AL157" s="147">
        <f>JUL!$X16</f>
        <v>155543.88</v>
      </c>
      <c r="AM157" s="147">
        <f>AGO!$X16</f>
        <v>152723.63999999998</v>
      </c>
      <c r="AN157" s="147">
        <f>SET!$X16</f>
        <v>137600.16</v>
      </c>
      <c r="AO157" s="147">
        <f>OUT!$X16</f>
        <v>152802</v>
      </c>
      <c r="AP157" s="147">
        <f>NOV!$X16</f>
        <v>145906.32</v>
      </c>
      <c r="AQ157" s="147">
        <f>DEZ!$X16</f>
        <v>115972.8</v>
      </c>
      <c r="AR157" s="177">
        <f t="shared" si="59"/>
        <v>1530480.8640000001</v>
      </c>
      <c r="AV157" s="63"/>
    </row>
    <row r="158" spans="1:48">
      <c r="A158" s="212" t="s">
        <v>99</v>
      </c>
      <c r="B158" s="147">
        <f>$F$226*'Médias por UF'!CG135</f>
        <v>245607.7007221597</v>
      </c>
      <c r="C158" s="147">
        <f>$F$226*'Médias por UF'!CH135</f>
        <v>504423.28100837272</v>
      </c>
      <c r="D158" s="147">
        <f>$F$226*'Médias por UF'!CI135</f>
        <v>814616.87705696863</v>
      </c>
      <c r="E158" s="147">
        <f>$F$226*'Médias por UF'!CJ135</f>
        <v>1123185.1145985776</v>
      </c>
      <c r="F158" s="147">
        <f>$F$226*'Médias por UF'!CK135</f>
        <v>1475761.5767970118</v>
      </c>
      <c r="G158" s="147">
        <f>$F$226*'Médias por UF'!CL135</f>
        <v>1801875.3957381309</v>
      </c>
      <c r="H158" s="147">
        <f>$F$226*'Médias por UF'!CM135</f>
        <v>2140891.8802935518</v>
      </c>
      <c r="I158" s="147">
        <f>$F$226*'Médias por UF'!CN135</f>
        <v>2503561.1127741118</v>
      </c>
      <c r="J158" s="147">
        <f>$F$226*'Médias por UF'!CO135</f>
        <v>2828072.1273019696</v>
      </c>
      <c r="K158" s="147">
        <f>$F$226*'Médias por UF'!CP135</f>
        <v>3180851.2625784236</v>
      </c>
      <c r="L158" s="147">
        <f>$F$226*'Médias por UF'!CQ135</f>
        <v>3489334.3036959521</v>
      </c>
      <c r="M158" s="147">
        <f>$F$226*'Médias por UF'!CR135</f>
        <v>3780321.4800000004</v>
      </c>
      <c r="N158" s="147">
        <f t="shared" si="57"/>
        <v>3780321.4800000004</v>
      </c>
      <c r="P158" s="213" t="s">
        <v>99</v>
      </c>
      <c r="Q158" s="147">
        <f>'Médias por UF'!CG135*'Evolução das Receitas'!$U$226</f>
        <v>245607.7007221597</v>
      </c>
      <c r="R158" s="147">
        <f>'Médias por UF'!CH135*'Evolução das Receitas'!$U$226</f>
        <v>504423.28100837272</v>
      </c>
      <c r="S158" s="147">
        <f>'Médias por UF'!CI135*'Evolução das Receitas'!$U$226</f>
        <v>814616.87705696863</v>
      </c>
      <c r="T158" s="147">
        <f>'Médias por UF'!CJ135*'Evolução das Receitas'!$U$226</f>
        <v>1123185.1145985776</v>
      </c>
      <c r="U158" s="147">
        <f>'Médias por UF'!CK135*'Evolução das Receitas'!$U$226</f>
        <v>1475761.5767970118</v>
      </c>
      <c r="V158" s="147">
        <f>'Médias por UF'!CL135*'Evolução das Receitas'!$U$226</f>
        <v>1801875.3957381309</v>
      </c>
      <c r="W158" s="147">
        <f>'Médias por UF'!CM135*'Evolução das Receitas'!$U$226</f>
        <v>2140891.8802935518</v>
      </c>
      <c r="X158" s="147">
        <f>'Médias por UF'!CN135*'Evolução das Receitas'!$U$226</f>
        <v>2503561.1127741118</v>
      </c>
      <c r="Y158" s="147">
        <f>'Médias por UF'!CO135*'Evolução das Receitas'!$U$226</f>
        <v>2828072.1273019696</v>
      </c>
      <c r="Z158" s="147">
        <f>'Médias por UF'!CP135*'Evolução das Receitas'!$U$226</f>
        <v>3180851.2625784236</v>
      </c>
      <c r="AA158" s="147">
        <f>'Médias por UF'!CQ135*'Evolução das Receitas'!$U$226</f>
        <v>3489334.3036959521</v>
      </c>
      <c r="AB158" s="147">
        <f>'Médias por UF'!CR135*'Evolução das Receitas'!$U$226</f>
        <v>3780321.4800000004</v>
      </c>
      <c r="AC158" s="147">
        <f t="shared" si="58"/>
        <v>3780321.4800000004</v>
      </c>
      <c r="AE158" s="213" t="s">
        <v>99</v>
      </c>
      <c r="AF158" s="147">
        <f>JAN!$AM$17</f>
        <v>325183.33600000001</v>
      </c>
      <c r="AG158" s="147">
        <f>FEV!$AM$17</f>
        <v>283506.48</v>
      </c>
      <c r="AH158" s="147">
        <f>MAR!$AM17</f>
        <v>292204.44</v>
      </c>
      <c r="AI158" s="147">
        <f>ABR!$AN17</f>
        <v>193784.28000000003</v>
      </c>
      <c r="AJ158" s="147">
        <f>MAI!$X17</f>
        <v>251457.24</v>
      </c>
      <c r="AK158" s="147">
        <f>JUN!$X17</f>
        <v>317514.72000000003</v>
      </c>
      <c r="AL158" s="147">
        <f>JUL!$X17</f>
        <v>374795.88</v>
      </c>
      <c r="AM158" s="147">
        <f>AGO!$X17</f>
        <v>390075.52</v>
      </c>
      <c r="AN158" s="147">
        <f>SET!$X17</f>
        <v>370407.72000000003</v>
      </c>
      <c r="AO158" s="147">
        <f>OUT!$X17</f>
        <v>386784.96</v>
      </c>
      <c r="AP158" s="147">
        <f>NOV!$X17</f>
        <v>368495.04000000004</v>
      </c>
      <c r="AQ158" s="147">
        <f>DEZ!$X17</f>
        <v>355676.04000000004</v>
      </c>
      <c r="AR158" s="177">
        <f t="shared" si="59"/>
        <v>3909885.6560000004</v>
      </c>
      <c r="AV158" s="63"/>
    </row>
    <row r="159" spans="1:48">
      <c r="A159" s="212" t="s">
        <v>100</v>
      </c>
      <c r="B159" s="147">
        <f>$F$227*'Médias por UF'!CG136</f>
        <v>42806.731514256913</v>
      </c>
      <c r="C159" s="147">
        <f>$F$227*'Médias por UF'!CH136</f>
        <v>94034.324808355697</v>
      </c>
      <c r="D159" s="147">
        <f>$F$227*'Médias por UF'!CI136</f>
        <v>154688.74175429915</v>
      </c>
      <c r="E159" s="147">
        <f>$F$227*'Médias por UF'!CJ136</f>
        <v>213131.39971026641</v>
      </c>
      <c r="F159" s="147">
        <f>$F$227*'Médias por UF'!CK136</f>
        <v>277861.43557446456</v>
      </c>
      <c r="G159" s="147">
        <f>$F$227*'Médias por UF'!CL136</f>
        <v>341632.81148998596</v>
      </c>
      <c r="H159" s="147">
        <f>$F$227*'Médias por UF'!CM136</f>
        <v>407107.71373656311</v>
      </c>
      <c r="I159" s="147">
        <f>$F$227*'Médias por UF'!CN136</f>
        <v>472188.06113719317</v>
      </c>
      <c r="J159" s="147">
        <f>$F$227*'Médias por UF'!CO136</f>
        <v>541496.82124921272</v>
      </c>
      <c r="K159" s="147">
        <f>$F$227*'Médias por UF'!CP136</f>
        <v>615411.40746247082</v>
      </c>
      <c r="L159" s="147">
        <f>$F$227*'Médias por UF'!CQ136</f>
        <v>679681.9042145937</v>
      </c>
      <c r="M159" s="147">
        <f>$F$227*'Médias por UF'!CR136</f>
        <v>734896</v>
      </c>
      <c r="N159" s="147">
        <f t="shared" si="57"/>
        <v>734896</v>
      </c>
      <c r="P159" s="213" t="s">
        <v>100</v>
      </c>
      <c r="Q159" s="147">
        <f>'Médias por UF'!CG136*'Evolução das Receitas'!$U$227</f>
        <v>27925.978097035339</v>
      </c>
      <c r="R159" s="147">
        <f>'Médias por UF'!CH136*'Evolução das Receitas'!$U$227</f>
        <v>61345.503430764154</v>
      </c>
      <c r="S159" s="147">
        <f>'Médias por UF'!CI136*'Evolução das Receitas'!$U$227</f>
        <v>100914.83888812625</v>
      </c>
      <c r="T159" s="147">
        <f>'Médias por UF'!CJ136*'Evolução das Receitas'!$U$227</f>
        <v>139041.28134887113</v>
      </c>
      <c r="U159" s="147">
        <f>'Médias por UF'!CK136*'Evolução das Receitas'!$U$227</f>
        <v>181269.44266415082</v>
      </c>
      <c r="V159" s="147">
        <f>'Médias por UF'!CL136*'Evolução das Receitas'!$U$227</f>
        <v>222872.199614691</v>
      </c>
      <c r="W159" s="147">
        <f>'Médias por UF'!CM136*'Evolução das Receitas'!$U$227</f>
        <v>265586.29203341424</v>
      </c>
      <c r="X159" s="147">
        <f>'Médias por UF'!CN136*'Evolução das Receitas'!$U$227</f>
        <v>308042.98731864395</v>
      </c>
      <c r="Y159" s="147">
        <f>'Médias por UF'!CO136*'Evolução das Receitas'!$U$227</f>
        <v>353258.18708637921</v>
      </c>
      <c r="Z159" s="147">
        <f>'Médias por UF'!CP136*'Evolução das Receitas'!$U$227</f>
        <v>401478.10583806917</v>
      </c>
      <c r="AA159" s="147">
        <f>'Médias por UF'!CQ136*'Evolução das Receitas'!$U$227</f>
        <v>443406.47600544797</v>
      </c>
      <c r="AB159" s="147">
        <f>'Médias por UF'!CR136*'Evolução das Receitas'!$U$227</f>
        <v>479426.69</v>
      </c>
      <c r="AC159" s="147">
        <f t="shared" si="58"/>
        <v>479426.69</v>
      </c>
      <c r="AE159" s="213" t="s">
        <v>100</v>
      </c>
      <c r="AF159" s="147">
        <f>JAN!$AM$18</f>
        <v>42419.328000000009</v>
      </c>
      <c r="AG159" s="147">
        <f>FEV!$AM$18</f>
        <v>43176.36</v>
      </c>
      <c r="AH159" s="147">
        <f>MAR!$AM18</f>
        <v>43724.880000000005</v>
      </c>
      <c r="AI159" s="147">
        <f>ABR!$AN18</f>
        <v>29071.559999999998</v>
      </c>
      <c r="AJ159" s="147">
        <f>MAI!$X18</f>
        <v>20687.04</v>
      </c>
      <c r="AK159" s="147">
        <f>JUN!$X18</f>
        <v>44821.920000000006</v>
      </c>
      <c r="AL159" s="147">
        <f>JUL!$X18</f>
        <v>58064.76</v>
      </c>
      <c r="AM159" s="147">
        <f>AGO!$X18</f>
        <v>71229.24000000002</v>
      </c>
      <c r="AN159" s="147">
        <f>SET!$X18</f>
        <v>59475.240000000005</v>
      </c>
      <c r="AO159" s="147">
        <f>OUT!$X18</f>
        <v>74755.44</v>
      </c>
      <c r="AP159" s="147">
        <f>NOV!$X18</f>
        <v>63941.760000000002</v>
      </c>
      <c r="AQ159" s="147">
        <f>DEZ!$X18</f>
        <v>63393.240000000005</v>
      </c>
      <c r="AR159" s="177">
        <f t="shared" si="59"/>
        <v>614760.76800000004</v>
      </c>
      <c r="AV159" s="63"/>
    </row>
    <row r="160" spans="1:48">
      <c r="A160" s="212" t="s">
        <v>101</v>
      </c>
      <c r="B160" s="147">
        <f>$F$228*'Médias por UF'!CG137</f>
        <v>40196.1785999602</v>
      </c>
      <c r="C160" s="147">
        <f>$F$228*'Médias por UF'!CH137</f>
        <v>84597.07846806015</v>
      </c>
      <c r="D160" s="147">
        <f>$F$228*'Médias por UF'!CI137</f>
        <v>132764.45642067798</v>
      </c>
      <c r="E160" s="147">
        <f>$F$228*'Médias por UF'!CJ137</f>
        <v>177841.09539750929</v>
      </c>
      <c r="F160" s="147">
        <f>$F$228*'Médias por UF'!CK137</f>
        <v>233348.97560465301</v>
      </c>
      <c r="G160" s="147">
        <f>$F$228*'Médias por UF'!CL137</f>
        <v>284756.458557748</v>
      </c>
      <c r="H160" s="147">
        <f>$F$228*'Médias por UF'!CM137</f>
        <v>336157.87471725431</v>
      </c>
      <c r="I160" s="147">
        <f>$F$228*'Médias por UF'!CN137</f>
        <v>395885.28621563705</v>
      </c>
      <c r="J160" s="147">
        <f>$F$228*'Médias por UF'!CO137</f>
        <v>449709.24988997442</v>
      </c>
      <c r="K160" s="147">
        <f>$F$228*'Médias por UF'!CP137</f>
        <v>504468.83802666003</v>
      </c>
      <c r="L160" s="147">
        <f>$F$228*'Médias por UF'!CQ137</f>
        <v>554822.13305359206</v>
      </c>
      <c r="M160" s="147">
        <f>$F$228*'Médias por UF'!CR137</f>
        <v>601804.80000000005</v>
      </c>
      <c r="N160" s="147">
        <f t="shared" si="57"/>
        <v>601804.80000000005</v>
      </c>
      <c r="P160" s="213" t="s">
        <v>101</v>
      </c>
      <c r="Q160" s="147">
        <f>'Médias por UF'!CG137*'Evolução das Receitas'!$U$228</f>
        <v>40196.1785999602</v>
      </c>
      <c r="R160" s="147">
        <f>'Médias por UF'!CH137*'Evolução das Receitas'!$U$228</f>
        <v>84597.07846806015</v>
      </c>
      <c r="S160" s="147">
        <f>'Médias por UF'!CI137*'Evolução das Receitas'!$U$228</f>
        <v>132764.45642067798</v>
      </c>
      <c r="T160" s="147">
        <f>'Médias por UF'!CJ137*'Evolução das Receitas'!$U$228</f>
        <v>177841.09539750929</v>
      </c>
      <c r="U160" s="147">
        <f>'Médias por UF'!CK137*'Evolução das Receitas'!$U$228</f>
        <v>233348.97560465301</v>
      </c>
      <c r="V160" s="147">
        <f>'Médias por UF'!CL137*'Evolução das Receitas'!$U$228</f>
        <v>284756.458557748</v>
      </c>
      <c r="W160" s="147">
        <f>'Médias por UF'!CM137*'Evolução das Receitas'!$U$228</f>
        <v>336157.87471725431</v>
      </c>
      <c r="X160" s="147">
        <f>'Médias por UF'!CN137*'Evolução das Receitas'!$U$228</f>
        <v>395885.28621563705</v>
      </c>
      <c r="Y160" s="147">
        <f>'Médias por UF'!CO137*'Evolução das Receitas'!$U$228</f>
        <v>449709.24988997442</v>
      </c>
      <c r="Z160" s="147">
        <f>'Médias por UF'!CP137*'Evolução das Receitas'!$U$228</f>
        <v>504468.83802666003</v>
      </c>
      <c r="AA160" s="147">
        <f>'Médias por UF'!CQ137*'Evolução das Receitas'!$U$228</f>
        <v>554822.13305359206</v>
      </c>
      <c r="AB160" s="147">
        <f>'Médias por UF'!CR137*'Evolução das Receitas'!$U$228</f>
        <v>601804.80000000005</v>
      </c>
      <c r="AC160" s="147">
        <f t="shared" si="58"/>
        <v>601804.80000000005</v>
      </c>
      <c r="AE160" s="213" t="s">
        <v>101</v>
      </c>
      <c r="AF160" s="147">
        <f>JAN!$AM$19</f>
        <v>58018.072</v>
      </c>
      <c r="AG160" s="147">
        <f>FEV!$AM$19</f>
        <v>58299.840000000004</v>
      </c>
      <c r="AH160" s="147">
        <f>MAR!$AM19</f>
        <v>59631.96</v>
      </c>
      <c r="AI160" s="147">
        <f>ABR!$AN19</f>
        <v>28209.600000000002</v>
      </c>
      <c r="AJ160" s="147">
        <f>MAI!$X19</f>
        <v>36123.96</v>
      </c>
      <c r="AK160" s="147">
        <f>JUN!$X19</f>
        <v>39963.600000000006</v>
      </c>
      <c r="AL160" s="147">
        <f>JUL!$X19</f>
        <v>64960.44</v>
      </c>
      <c r="AM160" s="147">
        <f>AGO!$X19</f>
        <v>76244.280000000013</v>
      </c>
      <c r="AN160" s="147">
        <f>SET!$X19</f>
        <v>76322.64</v>
      </c>
      <c r="AO160" s="147">
        <f>OUT!$X19</f>
        <v>84785.52</v>
      </c>
      <c r="AP160" s="147">
        <f>NOV!$X19</f>
        <v>73971.840000000011</v>
      </c>
      <c r="AQ160" s="147">
        <f>DEZ!$X19</f>
        <v>76165.919999999998</v>
      </c>
      <c r="AR160" s="177">
        <f t="shared" si="59"/>
        <v>732697.67200000002</v>
      </c>
      <c r="AV160" s="63"/>
    </row>
    <row r="161" spans="1:48">
      <c r="A161" s="212" t="s">
        <v>102</v>
      </c>
      <c r="B161" s="147">
        <f>$F$229*'Médias por UF'!CG138</f>
        <v>327828.0260295546</v>
      </c>
      <c r="C161" s="147">
        <f>$F$229*'Médias por UF'!CH138</f>
        <v>716403.97221260681</v>
      </c>
      <c r="D161" s="147">
        <f>$F$229*'Médias por UF'!CI138</f>
        <v>1192324.1362206235</v>
      </c>
      <c r="E161" s="147">
        <f>$F$229*'Médias por UF'!CJ138</f>
        <v>1671943.526051295</v>
      </c>
      <c r="F161" s="147">
        <f>$F$229*'Médias por UF'!CK138</f>
        <v>2186404.0141539485</v>
      </c>
      <c r="G161" s="147">
        <f>$F$229*'Médias por UF'!CL138</f>
        <v>2636099.4428855898</v>
      </c>
      <c r="H161" s="147">
        <f>$F$229*'Médias por UF'!CM138</f>
        <v>3138330.4318768554</v>
      </c>
      <c r="I161" s="147">
        <f>$F$229*'Médias por UF'!CN138</f>
        <v>3650590.1866579358</v>
      </c>
      <c r="J161" s="147">
        <f>$F$229*'Médias por UF'!CO138</f>
        <v>4111980.1658750842</v>
      </c>
      <c r="K161" s="147">
        <f>$F$229*'Médias por UF'!CP138</f>
        <v>4612882.4489540467</v>
      </c>
      <c r="L161" s="147">
        <f>$F$229*'Médias por UF'!CQ138</f>
        <v>5063957.3721956797</v>
      </c>
      <c r="M161" s="147">
        <f>$F$229*'Médias por UF'!CR138</f>
        <v>5482379.04</v>
      </c>
      <c r="N161" s="147">
        <f t="shared" si="57"/>
        <v>5482379.04</v>
      </c>
      <c r="P161" s="213" t="s">
        <v>102</v>
      </c>
      <c r="Q161" s="147">
        <f>'Médias por UF'!CG138*'Evolução das Receitas'!$U$229</f>
        <v>327828.0260295546</v>
      </c>
      <c r="R161" s="147">
        <f>'Médias por UF'!CH138*'Evolução das Receitas'!$U$229</f>
        <v>716403.97221260681</v>
      </c>
      <c r="S161" s="147">
        <f>'Médias por UF'!CI138*'Evolução das Receitas'!$U$229</f>
        <v>1192324.1362206235</v>
      </c>
      <c r="T161" s="147">
        <f>'Médias por UF'!CJ138*'Evolução das Receitas'!$U$229</f>
        <v>1671943.526051295</v>
      </c>
      <c r="U161" s="147">
        <f>'Médias por UF'!CK138*'Evolução das Receitas'!$U$229</f>
        <v>2186404.0141539485</v>
      </c>
      <c r="V161" s="147">
        <f>'Médias por UF'!CL138*'Evolução das Receitas'!$U$229</f>
        <v>2636099.4428855898</v>
      </c>
      <c r="W161" s="147">
        <f>'Médias por UF'!CM138*'Evolução das Receitas'!$U$229</f>
        <v>3138330.4318768554</v>
      </c>
      <c r="X161" s="147">
        <f>'Médias por UF'!CN138*'Evolução das Receitas'!$U$229</f>
        <v>3650590.1866579358</v>
      </c>
      <c r="Y161" s="147">
        <f>'Médias por UF'!CO138*'Evolução das Receitas'!$U$229</f>
        <v>4111980.1658750842</v>
      </c>
      <c r="Z161" s="147">
        <f>'Médias por UF'!CP138*'Evolução das Receitas'!$U$229</f>
        <v>4612882.4489540467</v>
      </c>
      <c r="AA161" s="147">
        <f>'Médias por UF'!CQ138*'Evolução das Receitas'!$U$229</f>
        <v>5063957.3721956797</v>
      </c>
      <c r="AB161" s="147">
        <f>'Médias por UF'!CR138*'Evolução das Receitas'!$U$229</f>
        <v>5482379.04</v>
      </c>
      <c r="AC161" s="147">
        <f t="shared" si="58"/>
        <v>5482379.04</v>
      </c>
      <c r="AE161" s="213" t="s">
        <v>102</v>
      </c>
      <c r="AF161" s="147">
        <f>JAN!$AM$20</f>
        <v>371881.54399999999</v>
      </c>
      <c r="AG161" s="147">
        <f>FEV!$AM$20</f>
        <v>424946.28</v>
      </c>
      <c r="AH161" s="147">
        <f>MAR!$AM20</f>
        <v>453234.24000000005</v>
      </c>
      <c r="AI161" s="147">
        <f>ABR!$AN20</f>
        <v>291264.12000000005</v>
      </c>
      <c r="AJ161" s="147">
        <f>MAI!$X20</f>
        <v>427218.72000000003</v>
      </c>
      <c r="AK161" s="147">
        <f>JUN!$X20</f>
        <v>492335.88</v>
      </c>
      <c r="AL161" s="147">
        <f>JUL!$X20</f>
        <v>559255.32000000007</v>
      </c>
      <c r="AM161" s="147">
        <f>AGO!$X20</f>
        <v>558785.16</v>
      </c>
      <c r="AN161" s="147">
        <f>SET!$X20</f>
        <v>548911.80000000005</v>
      </c>
      <c r="AO161" s="147">
        <f>OUT!$X20</f>
        <v>583703.64</v>
      </c>
      <c r="AP161" s="147">
        <f>NOV!$X20</f>
        <v>505186.92000000004</v>
      </c>
      <c r="AQ161" s="147">
        <f>DEZ!$X20</f>
        <v>482854.32000000007</v>
      </c>
      <c r="AR161" s="177">
        <f t="shared" si="59"/>
        <v>5699577.9440000001</v>
      </c>
      <c r="AV161" s="63"/>
    </row>
    <row r="162" spans="1:48">
      <c r="A162" s="212" t="s">
        <v>103</v>
      </c>
      <c r="B162" s="147">
        <f>$F$230*'Médias por UF'!CG139</f>
        <v>76767.206981364972</v>
      </c>
      <c r="C162" s="147">
        <f>$F$230*'Médias por UF'!CH139</f>
        <v>163362.75670823824</v>
      </c>
      <c r="D162" s="147">
        <f>$F$230*'Médias por UF'!CI139</f>
        <v>249948.85587139093</v>
      </c>
      <c r="E162" s="147">
        <f>$F$230*'Médias por UF'!CJ139</f>
        <v>344723.76191294048</v>
      </c>
      <c r="F162" s="147">
        <f>$F$230*'Médias por UF'!CK139</f>
        <v>454554.66984182806</v>
      </c>
      <c r="G162" s="147">
        <f>$F$230*'Médias por UF'!CL139</f>
        <v>551360.46065129992</v>
      </c>
      <c r="H162" s="147">
        <f>$F$230*'Médias por UF'!CM139</f>
        <v>650479.16810715233</v>
      </c>
      <c r="I162" s="147">
        <f>$F$230*'Médias por UF'!CN139</f>
        <v>764298.44594860624</v>
      </c>
      <c r="J162" s="147">
        <f>$F$230*'Médias por UF'!CO139</f>
        <v>872028.0807395383</v>
      </c>
      <c r="K162" s="147">
        <f>$F$230*'Médias por UF'!CP139</f>
        <v>982156.15037525527</v>
      </c>
      <c r="L162" s="147">
        <f>$F$230*'Médias por UF'!CQ139</f>
        <v>1082948.0105564506</v>
      </c>
      <c r="M162" s="147">
        <f>$F$230*'Médias por UF'!CR139</f>
        <v>1178424.77</v>
      </c>
      <c r="N162" s="147">
        <f t="shared" si="57"/>
        <v>1178424.77</v>
      </c>
      <c r="P162" s="213" t="s">
        <v>103</v>
      </c>
      <c r="Q162" s="147">
        <f>'Médias por UF'!CG139*'Evolução das Receitas'!$U$230</f>
        <v>76767.206981364972</v>
      </c>
      <c r="R162" s="147">
        <f>'Médias por UF'!CH139*'Evolução das Receitas'!$U$230</f>
        <v>163362.75670823824</v>
      </c>
      <c r="S162" s="147">
        <f>'Médias por UF'!CI139*'Evolução das Receitas'!$U$230</f>
        <v>249948.85587139093</v>
      </c>
      <c r="T162" s="147">
        <f>'Médias por UF'!CJ139*'Evolução das Receitas'!$U$230</f>
        <v>344723.76191294048</v>
      </c>
      <c r="U162" s="147">
        <f>'Médias por UF'!CK139*'Evolução das Receitas'!$U$230</f>
        <v>454554.66984182806</v>
      </c>
      <c r="V162" s="147">
        <f>'Médias por UF'!CL139*'Evolução das Receitas'!$U$230</f>
        <v>551360.46065129992</v>
      </c>
      <c r="W162" s="147">
        <f>'Médias por UF'!CM139*'Evolução das Receitas'!$U$230</f>
        <v>650479.16810715233</v>
      </c>
      <c r="X162" s="147">
        <f>'Médias por UF'!CN139*'Evolução das Receitas'!$U$230</f>
        <v>764298.44594860624</v>
      </c>
      <c r="Y162" s="147">
        <f>'Médias por UF'!CO139*'Evolução das Receitas'!$U$230</f>
        <v>872028.0807395383</v>
      </c>
      <c r="Z162" s="147">
        <f>'Médias por UF'!CP139*'Evolução das Receitas'!$U$230</f>
        <v>982156.15037525527</v>
      </c>
      <c r="AA162" s="147">
        <f>'Médias por UF'!CQ139*'Evolução das Receitas'!$U$230</f>
        <v>1082948.0105564506</v>
      </c>
      <c r="AB162" s="147">
        <f>'Médias por UF'!CR139*'Evolução das Receitas'!$U$230</f>
        <v>1178424.77</v>
      </c>
      <c r="AC162" s="147">
        <f t="shared" si="58"/>
        <v>1178424.77</v>
      </c>
      <c r="AE162" s="213" t="s">
        <v>103</v>
      </c>
      <c r="AF162" s="147">
        <f>JAN!$AM$21</f>
        <v>104110.864</v>
      </c>
      <c r="AG162" s="147">
        <f>FEV!$AM$21</f>
        <v>103278.48000000001</v>
      </c>
      <c r="AH162" s="147">
        <f>MAR!$AM21</f>
        <v>94110.36</v>
      </c>
      <c r="AI162" s="147">
        <f>ABR!$AN21</f>
        <v>42471.12</v>
      </c>
      <c r="AJ162" s="147">
        <f>MAI!$X21</f>
        <v>55713.96</v>
      </c>
      <c r="AK162" s="147">
        <f>JUN!$X21</f>
        <v>68721.72</v>
      </c>
      <c r="AL162" s="147">
        <f>JUL!$X21</f>
        <v>107588.28000000001</v>
      </c>
      <c r="AM162" s="147">
        <f>AGO!$X21</f>
        <v>112368.23999999999</v>
      </c>
      <c r="AN162" s="147">
        <f>SET!$X21</f>
        <v>107274.84</v>
      </c>
      <c r="AO162" s="147">
        <f>OUT!$X21</f>
        <v>136346.4</v>
      </c>
      <c r="AP162" s="147">
        <f>NOV!$X21</f>
        <v>127021.56000000001</v>
      </c>
      <c r="AQ162" s="147">
        <f>DEZ!$X21</f>
        <v>125532.72</v>
      </c>
      <c r="AR162" s="177">
        <f t="shared" si="59"/>
        <v>1184538.544</v>
      </c>
      <c r="AV162" s="63"/>
    </row>
    <row r="163" spans="1:48">
      <c r="A163" s="212" t="s">
        <v>104</v>
      </c>
      <c r="B163" s="147">
        <f>$F$231*'Médias por UF'!CG140</f>
        <v>20965.233699939752</v>
      </c>
      <c r="C163" s="147">
        <f>$F$231*'Médias por UF'!CH140</f>
        <v>39552.046288472469</v>
      </c>
      <c r="D163" s="147">
        <f>$F$231*'Médias por UF'!CI140</f>
        <v>63376.019575208316</v>
      </c>
      <c r="E163" s="147">
        <f>$F$231*'Médias por UF'!CJ140</f>
        <v>87278.365097623071</v>
      </c>
      <c r="F163" s="147">
        <f>$F$231*'Médias por UF'!CK140</f>
        <v>113747.66462796985</v>
      </c>
      <c r="G163" s="147">
        <f>$F$231*'Médias por UF'!CL140</f>
        <v>141283.8773774633</v>
      </c>
      <c r="H163" s="147">
        <f>$F$231*'Médias por UF'!CM140</f>
        <v>168408.51050234935</v>
      </c>
      <c r="I163" s="147">
        <f>$F$231*'Médias por UF'!CN140</f>
        <v>199807.97270879484</v>
      </c>
      <c r="J163" s="147">
        <f>$F$231*'Médias por UF'!CO140</f>
        <v>225392.79444480836</v>
      </c>
      <c r="K163" s="147">
        <f>$F$231*'Médias por UF'!CP140</f>
        <v>258527.17938790031</v>
      </c>
      <c r="L163" s="147">
        <f>$F$231*'Médias por UF'!CQ140</f>
        <v>286694.84249574156</v>
      </c>
      <c r="M163" s="147">
        <f>$F$231*'Médias por UF'!CR140</f>
        <v>309541.19999999995</v>
      </c>
      <c r="N163" s="147">
        <f t="shared" si="57"/>
        <v>309541.19999999995</v>
      </c>
      <c r="P163" s="213" t="s">
        <v>104</v>
      </c>
      <c r="Q163" s="147">
        <f>'Médias por UF'!CG140*'Evolução das Receitas'!$U$231</f>
        <v>20965.233699939752</v>
      </c>
      <c r="R163" s="147">
        <f>'Médias por UF'!CH140*'Evolução das Receitas'!$U$231</f>
        <v>39552.046288472469</v>
      </c>
      <c r="S163" s="147">
        <f>'Médias por UF'!CI140*'Evolução das Receitas'!$U$231</f>
        <v>63376.019575208316</v>
      </c>
      <c r="T163" s="147">
        <f>'Médias por UF'!CJ140*'Evolução das Receitas'!$U$231</f>
        <v>87278.365097623071</v>
      </c>
      <c r="U163" s="147">
        <f>'Médias por UF'!CK140*'Evolução das Receitas'!$U$231</f>
        <v>113747.66462796985</v>
      </c>
      <c r="V163" s="147">
        <f>'Médias por UF'!CL140*'Evolução das Receitas'!$U$231</f>
        <v>141283.8773774633</v>
      </c>
      <c r="W163" s="147">
        <f>'Médias por UF'!CM140*'Evolução das Receitas'!$U$231</f>
        <v>168408.51050234935</v>
      </c>
      <c r="X163" s="147">
        <f>'Médias por UF'!CN140*'Evolução das Receitas'!$U$231</f>
        <v>199807.97270879484</v>
      </c>
      <c r="Y163" s="147">
        <f>'Médias por UF'!CO140*'Evolução das Receitas'!$U$231</f>
        <v>225392.79444480836</v>
      </c>
      <c r="Z163" s="147">
        <f>'Médias por UF'!CP140*'Evolução das Receitas'!$U$231</f>
        <v>258527.17938790031</v>
      </c>
      <c r="AA163" s="147">
        <f>'Médias por UF'!CQ140*'Evolução das Receitas'!$U$231</f>
        <v>286694.84249574156</v>
      </c>
      <c r="AB163" s="147">
        <f>'Médias por UF'!CR140*'Evolução das Receitas'!$U$231</f>
        <v>309541.19999999995</v>
      </c>
      <c r="AC163" s="147">
        <f t="shared" si="58"/>
        <v>309541.19999999995</v>
      </c>
      <c r="AE163" s="213" t="s">
        <v>104</v>
      </c>
      <c r="AF163" s="147">
        <f>JAN!$AM$22</f>
        <v>30533.047999999999</v>
      </c>
      <c r="AG163" s="147">
        <f>FEV!$AM$22</f>
        <v>24840.120000000003</v>
      </c>
      <c r="AH163" s="147">
        <f>MAR!$AM22</f>
        <v>23508</v>
      </c>
      <c r="AI163" s="147">
        <f>ABR!$AN22</f>
        <v>12772.68</v>
      </c>
      <c r="AJ163" s="147">
        <f>MAI!$X22</f>
        <v>13477.920000000002</v>
      </c>
      <c r="AK163" s="147">
        <f>JUN!$X22</f>
        <v>22881.120000000003</v>
      </c>
      <c r="AL163" s="147">
        <f>JUL!$X22</f>
        <v>33929.879999999997</v>
      </c>
      <c r="AM163" s="147">
        <f>AGO!$X22</f>
        <v>37691.160000000003</v>
      </c>
      <c r="AN163" s="147">
        <f>SET!$X22</f>
        <v>33067.920000000006</v>
      </c>
      <c r="AO163" s="147">
        <f>OUT!$X22</f>
        <v>44508.480000000003</v>
      </c>
      <c r="AP163" s="147">
        <f>NOV!$X22</f>
        <v>37221</v>
      </c>
      <c r="AQ163" s="147">
        <f>DEZ!$X22</f>
        <v>34556.76</v>
      </c>
      <c r="AR163" s="177">
        <f t="shared" si="59"/>
        <v>348988.08800000005</v>
      </c>
      <c r="AV163" s="63"/>
    </row>
    <row r="164" spans="1:48">
      <c r="A164" s="212" t="s">
        <v>105</v>
      </c>
      <c r="B164" s="147">
        <f>$F$232*'Médias por UF'!CG141</f>
        <v>189870.42126029654</v>
      </c>
      <c r="C164" s="147">
        <f>$F$232*'Médias por UF'!CH141</f>
        <v>381781.13422025816</v>
      </c>
      <c r="D164" s="147">
        <f>$F$232*'Médias por UF'!CI141</f>
        <v>610364.05035540042</v>
      </c>
      <c r="E164" s="147">
        <f>$F$232*'Médias por UF'!CJ141</f>
        <v>831094.97673161502</v>
      </c>
      <c r="F164" s="147">
        <f>$F$232*'Médias por UF'!CK141</f>
        <v>1091649.4295295633</v>
      </c>
      <c r="G164" s="147">
        <f>$F$232*'Médias por UF'!CL141</f>
        <v>1345453.6173744854</v>
      </c>
      <c r="H164" s="147">
        <f>$F$232*'Médias por UF'!CM141</f>
        <v>1610166.0437055256</v>
      </c>
      <c r="I164" s="147">
        <f>$F$232*'Médias por UF'!CN141</f>
        <v>1904868.8832083757</v>
      </c>
      <c r="J164" s="147">
        <f>$F$232*'Médias por UF'!CO141</f>
        <v>2165924.3592286459</v>
      </c>
      <c r="K164" s="147">
        <f>$F$232*'Médias por UF'!CP141</f>
        <v>2448540.9125597966</v>
      </c>
      <c r="L164" s="147">
        <f>$F$232*'Médias por UF'!CQ141</f>
        <v>2685073.3760766219</v>
      </c>
      <c r="M164" s="147">
        <f>$F$232*'Médias por UF'!CR141</f>
        <v>2909820.24</v>
      </c>
      <c r="N164" s="147">
        <f t="shared" si="57"/>
        <v>2909820.24</v>
      </c>
      <c r="P164" s="213" t="s">
        <v>105</v>
      </c>
      <c r="Q164" s="147">
        <f>'Médias por UF'!CG141*'Evolução das Receitas'!$U$232</f>
        <v>189870.42126029654</v>
      </c>
      <c r="R164" s="147">
        <f>'Médias por UF'!CH141*'Evolução das Receitas'!$U$232</f>
        <v>381781.13422025816</v>
      </c>
      <c r="S164" s="147">
        <f>'Médias por UF'!CI141*'Evolução das Receitas'!$U$232</f>
        <v>610364.05035540042</v>
      </c>
      <c r="T164" s="147">
        <f>'Médias por UF'!CJ141*'Evolução das Receitas'!$U$232</f>
        <v>831094.97673161502</v>
      </c>
      <c r="U164" s="147">
        <f>'Médias por UF'!CK141*'Evolução das Receitas'!$U$232</f>
        <v>1091649.4295295633</v>
      </c>
      <c r="V164" s="147">
        <f>'Médias por UF'!CL141*'Evolução das Receitas'!$U$232</f>
        <v>1345453.6173744854</v>
      </c>
      <c r="W164" s="147">
        <f>'Médias por UF'!CM141*'Evolução das Receitas'!$U$232</f>
        <v>1610166.0437055256</v>
      </c>
      <c r="X164" s="147">
        <f>'Médias por UF'!CN141*'Evolução das Receitas'!$U$232</f>
        <v>1904868.8832083757</v>
      </c>
      <c r="Y164" s="147">
        <f>'Médias por UF'!CO141*'Evolução das Receitas'!$U$232</f>
        <v>2165924.3592286459</v>
      </c>
      <c r="Z164" s="147">
        <f>'Médias por UF'!CP141*'Evolução das Receitas'!$U$232</f>
        <v>2448540.9125597966</v>
      </c>
      <c r="AA164" s="147">
        <f>'Médias por UF'!CQ141*'Evolução das Receitas'!$U$232</f>
        <v>2685073.3760766219</v>
      </c>
      <c r="AB164" s="147">
        <f>'Médias por UF'!CR141*'Evolução das Receitas'!$U$232</f>
        <v>2909820.24</v>
      </c>
      <c r="AC164" s="147">
        <f t="shared" si="58"/>
        <v>2909820.24</v>
      </c>
      <c r="AE164" s="213" t="s">
        <v>105</v>
      </c>
      <c r="AF164" s="147">
        <f>JAN!$AM$23</f>
        <v>344969.68</v>
      </c>
      <c r="AG164" s="147">
        <f>FEV!$AM$23</f>
        <v>335759.84</v>
      </c>
      <c r="AH164" s="147">
        <f>MAR!$AM23</f>
        <v>299724.44800000003</v>
      </c>
      <c r="AI164" s="147">
        <f>ABR!$AN23</f>
        <v>123649.52800000001</v>
      </c>
      <c r="AJ164" s="147">
        <f>MAI!$X23</f>
        <v>149824.32000000001</v>
      </c>
      <c r="AK164" s="147">
        <f>JUN!$X23</f>
        <v>233277.72000000003</v>
      </c>
      <c r="AL164" s="147">
        <f>JUL!$X23</f>
        <v>324410.40000000002</v>
      </c>
      <c r="AM164" s="147">
        <f>AGO!$X23</f>
        <v>371578.01600000006</v>
      </c>
      <c r="AN164" s="147">
        <f>SET!$X23</f>
        <v>405748.08</v>
      </c>
      <c r="AO164" s="147">
        <f>OUT!$X23</f>
        <v>447513.95999999996</v>
      </c>
      <c r="AP164" s="147">
        <f>NOV!$X23</f>
        <v>407942.16000000003</v>
      </c>
      <c r="AQ164" s="147">
        <f>DEZ!$X23</f>
        <v>368056.92000000004</v>
      </c>
      <c r="AR164" s="177">
        <f t="shared" si="59"/>
        <v>3812455.0720000006</v>
      </c>
      <c r="AV164" s="63"/>
    </row>
    <row r="165" spans="1:48">
      <c r="A165" s="212" t="s">
        <v>106</v>
      </c>
      <c r="B165" s="147">
        <f>$F$233*'Médias por UF'!CG142</f>
        <v>37728.876491559015</v>
      </c>
      <c r="C165" s="147">
        <f>$F$233*'Médias por UF'!CH142</f>
        <v>78929.029548954582</v>
      </c>
      <c r="D165" s="147">
        <f>$F$233*'Médias por UF'!CI142</f>
        <v>120924.41505130994</v>
      </c>
      <c r="E165" s="147">
        <f>$F$233*'Médias por UF'!CJ142</f>
        <v>168679.93761377651</v>
      </c>
      <c r="F165" s="147">
        <f>$F$233*'Médias por UF'!CK142</f>
        <v>219748.88532222863</v>
      </c>
      <c r="G165" s="147">
        <f>$F$233*'Médias por UF'!CL142</f>
        <v>270238.97776484169</v>
      </c>
      <c r="H165" s="147">
        <f>$F$233*'Médias por UF'!CM142</f>
        <v>320578.75421631965</v>
      </c>
      <c r="I165" s="147">
        <f>$F$233*'Médias por UF'!CN142</f>
        <v>375116.35497696308</v>
      </c>
      <c r="J165" s="147">
        <f>$F$233*'Médias por UF'!CO142</f>
        <v>424131.71540574165</v>
      </c>
      <c r="K165" s="147">
        <f>$F$233*'Médias por UF'!CP142</f>
        <v>474276.33708921674</v>
      </c>
      <c r="L165" s="147">
        <f>$F$233*'Médias por UF'!CQ142</f>
        <v>522526.99823517539</v>
      </c>
      <c r="M165" s="147">
        <f>$F$233*'Médias por UF'!CR142</f>
        <v>564975.6</v>
      </c>
      <c r="N165" s="147">
        <f t="shared" si="57"/>
        <v>564975.6</v>
      </c>
      <c r="P165" s="213" t="s">
        <v>106</v>
      </c>
      <c r="Q165" s="147">
        <f>'Médias por UF'!CG142*'Evolução das Receitas'!$U$233</f>
        <v>37728.876491559015</v>
      </c>
      <c r="R165" s="147">
        <f>'Médias por UF'!CH142*'Evolução das Receitas'!$U$233</f>
        <v>78929.029548954582</v>
      </c>
      <c r="S165" s="147">
        <f>'Médias por UF'!CI142*'Evolução das Receitas'!$U$233</f>
        <v>120924.41505130994</v>
      </c>
      <c r="T165" s="147">
        <f>'Médias por UF'!CJ142*'Evolução das Receitas'!$U$233</f>
        <v>168679.93761377651</v>
      </c>
      <c r="U165" s="147">
        <f>'Médias por UF'!CK142*'Evolução das Receitas'!$U$233</f>
        <v>219748.88532222863</v>
      </c>
      <c r="V165" s="147">
        <f>'Médias por UF'!CL142*'Evolução das Receitas'!$U$233</f>
        <v>270238.97776484169</v>
      </c>
      <c r="W165" s="147">
        <f>'Médias por UF'!CM142*'Evolução das Receitas'!$U$233</f>
        <v>320578.75421631965</v>
      </c>
      <c r="X165" s="147">
        <f>'Médias por UF'!CN142*'Evolução das Receitas'!$U$233</f>
        <v>375116.35497696308</v>
      </c>
      <c r="Y165" s="147">
        <f>'Médias por UF'!CO142*'Evolução das Receitas'!$U$233</f>
        <v>424131.71540574165</v>
      </c>
      <c r="Z165" s="147">
        <f>'Médias por UF'!CP142*'Evolução das Receitas'!$U$233</f>
        <v>474276.33708921674</v>
      </c>
      <c r="AA165" s="147">
        <f>'Médias por UF'!CQ142*'Evolução das Receitas'!$U$233</f>
        <v>522526.99823517539</v>
      </c>
      <c r="AB165" s="147">
        <f>'Médias por UF'!CR142*'Evolução das Receitas'!$U$233</f>
        <v>564975.6</v>
      </c>
      <c r="AC165" s="147">
        <f t="shared" si="58"/>
        <v>564975.6</v>
      </c>
      <c r="AE165" s="213" t="s">
        <v>106</v>
      </c>
      <c r="AF165" s="147">
        <f>JAN!$AM$24</f>
        <v>41903.984000000004</v>
      </c>
      <c r="AG165" s="147">
        <f>FEV!$AM$24</f>
        <v>44586.840000000004</v>
      </c>
      <c r="AH165" s="147">
        <f>MAR!$AM24</f>
        <v>49680.240000000005</v>
      </c>
      <c r="AI165" s="147">
        <f>ABR!$AN24</f>
        <v>28758.120000000003</v>
      </c>
      <c r="AJ165" s="147">
        <f>MAI!$X24</f>
        <v>38082.959999999999</v>
      </c>
      <c r="AK165" s="147">
        <f>JUN!$X24</f>
        <v>37299.360000000001</v>
      </c>
      <c r="AL165" s="147">
        <f>JUL!$X24</f>
        <v>59318.52</v>
      </c>
      <c r="AM165" s="147">
        <f>AGO!$X24</f>
        <v>65665.680000000008</v>
      </c>
      <c r="AN165" s="147">
        <f>SET!$X24</f>
        <v>68486.64</v>
      </c>
      <c r="AO165" s="147">
        <f>OUT!$X24</f>
        <v>67389.600000000006</v>
      </c>
      <c r="AP165" s="147">
        <f>NOV!$X24</f>
        <v>64176.840000000004</v>
      </c>
      <c r="AQ165" s="147">
        <f>DEZ!$X24</f>
        <v>63706.680000000008</v>
      </c>
      <c r="AR165" s="177">
        <f t="shared" si="59"/>
        <v>629055.46400000004</v>
      </c>
      <c r="AV165" s="63"/>
    </row>
    <row r="166" spans="1:48">
      <c r="A166" s="212" t="s">
        <v>107</v>
      </c>
      <c r="B166" s="147">
        <f>$F$234*'Médias por UF'!CG143</f>
        <v>406676.82925484044</v>
      </c>
      <c r="C166" s="147">
        <f>$F$234*'Médias por UF'!CH143</f>
        <v>840723.16940482729</v>
      </c>
      <c r="D166" s="147">
        <f>$F$234*'Médias por UF'!CI143</f>
        <v>1348300.2606174841</v>
      </c>
      <c r="E166" s="147">
        <f>$F$234*'Médias por UF'!CJ143</f>
        <v>1855975.1341904986</v>
      </c>
      <c r="F166" s="147">
        <f>$F$234*'Médias por UF'!CK143</f>
        <v>2414996.0099392552</v>
      </c>
      <c r="G166" s="147">
        <f>$F$234*'Médias por UF'!CL143</f>
        <v>2911446.1747217509</v>
      </c>
      <c r="H166" s="147">
        <f>$F$234*'Médias por UF'!CM143</f>
        <v>3460771.8178010094</v>
      </c>
      <c r="I166" s="147">
        <f>$F$234*'Médias por UF'!CN143</f>
        <v>4058851.4618125255</v>
      </c>
      <c r="J166" s="147">
        <f>$F$234*'Médias por UF'!CO143</f>
        <v>4584169.3316480843</v>
      </c>
      <c r="K166" s="147">
        <f>$F$234*'Médias por UF'!CP143</f>
        <v>5174244.6303427406</v>
      </c>
      <c r="L166" s="147">
        <f>$F$234*'Médias por UF'!CQ143</f>
        <v>5707871.4255672386</v>
      </c>
      <c r="M166" s="147">
        <f>$F$234*'Médias por UF'!CR143</f>
        <v>6208149.3599999994</v>
      </c>
      <c r="N166" s="147">
        <f t="shared" si="57"/>
        <v>6208149.3599999994</v>
      </c>
      <c r="P166" s="213" t="s">
        <v>107</v>
      </c>
      <c r="Q166" s="147">
        <f>'Médias por UF'!CG143*'Evolução das Receitas'!$U$234</f>
        <v>406676.82925484044</v>
      </c>
      <c r="R166" s="147">
        <f>'Médias por UF'!CH143*'Evolução das Receitas'!$U$234</f>
        <v>840723.16940482729</v>
      </c>
      <c r="S166" s="147">
        <f>'Médias por UF'!CI143*'Evolução das Receitas'!$U$234</f>
        <v>1348300.2606174841</v>
      </c>
      <c r="T166" s="147">
        <f>'Médias por UF'!CJ143*'Evolução das Receitas'!$U$234</f>
        <v>1855975.1341904986</v>
      </c>
      <c r="U166" s="147">
        <f>'Médias por UF'!CK143*'Evolução das Receitas'!$U$234</f>
        <v>2414996.0099392552</v>
      </c>
      <c r="V166" s="147">
        <f>'Médias por UF'!CL143*'Evolução das Receitas'!$U$234</f>
        <v>2911446.1747217509</v>
      </c>
      <c r="W166" s="147">
        <f>'Médias por UF'!CM143*'Evolução das Receitas'!$U$234</f>
        <v>3460771.8178010094</v>
      </c>
      <c r="X166" s="147">
        <f>'Médias por UF'!CN143*'Evolução das Receitas'!$U$234</f>
        <v>4058851.4618125255</v>
      </c>
      <c r="Y166" s="147">
        <f>'Médias por UF'!CO143*'Evolução das Receitas'!$U$234</f>
        <v>4584169.3316480843</v>
      </c>
      <c r="Z166" s="147">
        <f>'Médias por UF'!CP143*'Evolução das Receitas'!$U$234</f>
        <v>5174244.6303427406</v>
      </c>
      <c r="AA166" s="147">
        <f>'Médias por UF'!CQ143*'Evolução das Receitas'!$U$234</f>
        <v>5707871.4255672386</v>
      </c>
      <c r="AB166" s="147">
        <f>'Médias por UF'!CR143*'Evolução das Receitas'!$U$234</f>
        <v>6208149.3599999994</v>
      </c>
      <c r="AC166" s="147">
        <f t="shared" si="58"/>
        <v>6208149.3599999994</v>
      </c>
      <c r="AE166" s="213" t="s">
        <v>107</v>
      </c>
      <c r="AF166" s="147">
        <f>JAN!$AM$25</f>
        <v>544917.83200000005</v>
      </c>
      <c r="AG166" s="147">
        <f>FEV!$AM$25</f>
        <v>556669.44000000006</v>
      </c>
      <c r="AH166" s="147">
        <f>MAR!$AM25</f>
        <v>538725</v>
      </c>
      <c r="AI166" s="147">
        <f>ABR!$AN25</f>
        <v>314145.24</v>
      </c>
      <c r="AJ166" s="147">
        <f>MAI!$X25</f>
        <v>446652</v>
      </c>
      <c r="AK166" s="147">
        <f>JUN!$X25</f>
        <v>527206.07999999996</v>
      </c>
      <c r="AL166" s="147">
        <f>JUL!$X25</f>
        <v>549068.52</v>
      </c>
      <c r="AM166" s="147">
        <f>AGO!$X25</f>
        <v>633854.04000000015</v>
      </c>
      <c r="AN166" s="147">
        <f>SET!$X25</f>
        <v>633227.16</v>
      </c>
      <c r="AO166" s="147">
        <f>OUT!$X25</f>
        <v>712135.68000000005</v>
      </c>
      <c r="AP166" s="147">
        <f>NOV!$X25</f>
        <v>628603.92000000004</v>
      </c>
      <c r="AQ166" s="147">
        <f>DEZ!$X25</f>
        <v>630562.92000000004</v>
      </c>
      <c r="AR166" s="177">
        <f t="shared" si="59"/>
        <v>6715767.8319999995</v>
      </c>
      <c r="AV166" s="63"/>
    </row>
    <row r="167" spans="1:48">
      <c r="A167" s="212" t="s">
        <v>108</v>
      </c>
      <c r="B167" s="147">
        <f>$F$235*'Médias por UF'!CG144</f>
        <v>34251.050286244623</v>
      </c>
      <c r="C167" s="147">
        <f>$F$235*'Médias por UF'!CH144</f>
        <v>75252.253333571192</v>
      </c>
      <c r="D167" s="147">
        <f>$F$235*'Médias por UF'!CI144</f>
        <v>130296.08614256955</v>
      </c>
      <c r="E167" s="147">
        <f>$F$235*'Médias por UF'!CJ144</f>
        <v>184648.26452243741</v>
      </c>
      <c r="F167" s="147">
        <f>$F$235*'Médias por UF'!CK144</f>
        <v>245009.31236757853</v>
      </c>
      <c r="G167" s="147">
        <f>$F$235*'Médias por UF'!CL144</f>
        <v>309114.08713040821</v>
      </c>
      <c r="H167" s="147">
        <f>$F$235*'Médias por UF'!CM144</f>
        <v>375325.68571852596</v>
      </c>
      <c r="I167" s="147">
        <f>$F$235*'Médias por UF'!CN144</f>
        <v>445152.90680546686</v>
      </c>
      <c r="J167" s="147">
        <f>$F$235*'Médias por UF'!CO144</f>
        <v>504431.22932861396</v>
      </c>
      <c r="K167" s="147">
        <f>$F$235*'Médias por UF'!CP144</f>
        <v>564734.15118795622</v>
      </c>
      <c r="L167" s="147">
        <f>$F$235*'Médias por UF'!CQ144</f>
        <v>620894.63586792629</v>
      </c>
      <c r="M167" s="147">
        <f>$F$235*'Médias por UF'!CR144</f>
        <v>673739.28</v>
      </c>
      <c r="N167" s="147">
        <f t="shared" si="57"/>
        <v>673739.28</v>
      </c>
      <c r="P167" s="213" t="s">
        <v>108</v>
      </c>
      <c r="Q167" s="147">
        <f>'Médias por UF'!CG144*'Evolução das Receitas'!$U$235</f>
        <v>34251.050286244623</v>
      </c>
      <c r="R167" s="147">
        <f>'Médias por UF'!CH144*'Evolução das Receitas'!$U$235</f>
        <v>75252.253333571192</v>
      </c>
      <c r="S167" s="147">
        <f>'Médias por UF'!CI144*'Evolução das Receitas'!$U$235</f>
        <v>130296.08614256955</v>
      </c>
      <c r="T167" s="147">
        <f>'Médias por UF'!CJ144*'Evolução das Receitas'!$U$235</f>
        <v>184648.26452243741</v>
      </c>
      <c r="U167" s="147">
        <f>'Médias por UF'!CK144*'Evolução das Receitas'!$U$235</f>
        <v>245009.31236757853</v>
      </c>
      <c r="V167" s="147">
        <f>'Médias por UF'!CL144*'Evolução das Receitas'!$U$235</f>
        <v>309114.08713040821</v>
      </c>
      <c r="W167" s="147">
        <f>'Médias por UF'!CM144*'Evolução das Receitas'!$U$235</f>
        <v>375325.68571852596</v>
      </c>
      <c r="X167" s="147">
        <f>'Médias por UF'!CN144*'Evolução das Receitas'!$U$235</f>
        <v>445152.90680546686</v>
      </c>
      <c r="Y167" s="147">
        <f>'Médias por UF'!CO144*'Evolução das Receitas'!$U$235</f>
        <v>504431.22932861396</v>
      </c>
      <c r="Z167" s="147">
        <f>'Médias por UF'!CP144*'Evolução das Receitas'!$U$235</f>
        <v>564734.15118795622</v>
      </c>
      <c r="AA167" s="147">
        <f>'Médias por UF'!CQ144*'Evolução das Receitas'!$U$235</f>
        <v>620894.63586792629</v>
      </c>
      <c r="AB167" s="147">
        <f>'Médias por UF'!CR144*'Evolução das Receitas'!$U$235</f>
        <v>673739.28</v>
      </c>
      <c r="AC167" s="147">
        <f t="shared" si="58"/>
        <v>673739.28</v>
      </c>
      <c r="AE167" s="213" t="s">
        <v>108</v>
      </c>
      <c r="AF167" s="147">
        <f>JAN!$AM$26</f>
        <v>52359.040000000008</v>
      </c>
      <c r="AG167" s="147">
        <f>FEV!$AM$26</f>
        <v>56105.760000000002</v>
      </c>
      <c r="AH167" s="147">
        <f>MAR!$AM26</f>
        <v>47486.16</v>
      </c>
      <c r="AI167" s="147">
        <f>ABR!$AN26</f>
        <v>40355.4</v>
      </c>
      <c r="AJ167" s="147">
        <f>MAI!$X26</f>
        <v>53519.880000000005</v>
      </c>
      <c r="AK167" s="147">
        <f>JUN!$X26</f>
        <v>66762.720000000001</v>
      </c>
      <c r="AL167" s="147">
        <f>JUL!$X26</f>
        <v>87214.680000000008</v>
      </c>
      <c r="AM167" s="147">
        <f>AGO!$X26</f>
        <v>76087.56</v>
      </c>
      <c r="AN167" s="147">
        <f>SET!$X26</f>
        <v>71777.759999999995</v>
      </c>
      <c r="AO167" s="147">
        <f>OUT!$X26</f>
        <v>66370.92</v>
      </c>
      <c r="AP167" s="147">
        <f>NOV!$X26</f>
        <v>65665.680000000008</v>
      </c>
      <c r="AQ167" s="147">
        <f>DEZ!$X26</f>
        <v>58064.76</v>
      </c>
      <c r="AR167" s="177">
        <f t="shared" si="59"/>
        <v>741770.32000000007</v>
      </c>
      <c r="AV167" s="63"/>
    </row>
    <row r="168" spans="1:48">
      <c r="A168" s="212" t="s">
        <v>109</v>
      </c>
      <c r="B168" s="147">
        <f>$F$236*'Médias por UF'!CG145</f>
        <v>6463.7657430695899</v>
      </c>
      <c r="C168" s="147">
        <f>$F$236*'Médias por UF'!CH145</f>
        <v>11834.177340948667</v>
      </c>
      <c r="D168" s="147">
        <f>$F$236*'Médias por UF'!CI145</f>
        <v>19622.113278926474</v>
      </c>
      <c r="E168" s="147">
        <f>$F$236*'Médias por UF'!CJ145</f>
        <v>26850.058026198942</v>
      </c>
      <c r="F168" s="147">
        <f>$F$236*'Médias por UF'!CK145</f>
        <v>34846.88413683838</v>
      </c>
      <c r="G168" s="147">
        <f>$F$236*'Médias por UF'!CL145</f>
        <v>40891.172770088844</v>
      </c>
      <c r="H168" s="147">
        <f>$F$236*'Médias por UF'!CM145</f>
        <v>49411.176801002017</v>
      </c>
      <c r="I168" s="147">
        <f>$F$236*'Médias por UF'!CN145</f>
        <v>56987.442881108887</v>
      </c>
      <c r="J168" s="147">
        <f>$F$236*'Médias por UF'!CO145</f>
        <v>63182.977766006348</v>
      </c>
      <c r="K168" s="147">
        <f>$F$236*'Médias por UF'!CP145</f>
        <v>69615.514855597256</v>
      </c>
      <c r="L168" s="147">
        <f>$F$236*'Médias por UF'!CQ145</f>
        <v>75912.889444218716</v>
      </c>
      <c r="M168" s="147">
        <f>$F$236*'Médias por UF'!CR145</f>
        <v>81729.48</v>
      </c>
      <c r="N168" s="147">
        <f t="shared" si="57"/>
        <v>81729.48</v>
      </c>
      <c r="P168" s="213" t="s">
        <v>109</v>
      </c>
      <c r="Q168" s="147">
        <f>'Médias por UF'!CG145*'Evolução das Receitas'!$U$236</f>
        <v>6463.7657430695899</v>
      </c>
      <c r="R168" s="147">
        <f>'Médias por UF'!CH145*'Evolução das Receitas'!$U$236</f>
        <v>11834.177340948667</v>
      </c>
      <c r="S168" s="147">
        <f>'Médias por UF'!CI145*'Evolução das Receitas'!$U$236</f>
        <v>19622.113278926474</v>
      </c>
      <c r="T168" s="147">
        <f>'Médias por UF'!CJ145*'Evolução das Receitas'!$U$236</f>
        <v>26850.058026198942</v>
      </c>
      <c r="U168" s="147">
        <f>'Médias por UF'!CK145*'Evolução das Receitas'!$U$236</f>
        <v>34846.88413683838</v>
      </c>
      <c r="V168" s="147">
        <f>'Médias por UF'!CL145*'Evolução das Receitas'!$U$236</f>
        <v>40891.172770088844</v>
      </c>
      <c r="W168" s="147">
        <f>'Médias por UF'!CM145*'Evolução das Receitas'!$U$236</f>
        <v>49411.176801002017</v>
      </c>
      <c r="X168" s="147">
        <f>'Médias por UF'!CN145*'Evolução das Receitas'!$U$236</f>
        <v>56987.442881108887</v>
      </c>
      <c r="Y168" s="147">
        <f>'Médias por UF'!CO145*'Evolução das Receitas'!$U$236</f>
        <v>63182.977766006348</v>
      </c>
      <c r="Z168" s="147">
        <f>'Médias por UF'!CP145*'Evolução das Receitas'!$U$236</f>
        <v>69615.514855597256</v>
      </c>
      <c r="AA168" s="147">
        <f>'Médias por UF'!CQ145*'Evolução das Receitas'!$U$236</f>
        <v>75912.889444218716</v>
      </c>
      <c r="AB168" s="147">
        <f>'Médias por UF'!CR145*'Evolução das Receitas'!$U$236</f>
        <v>81729.48</v>
      </c>
      <c r="AC168" s="147">
        <f t="shared" si="58"/>
        <v>81729.48</v>
      </c>
      <c r="AE168" s="213" t="s">
        <v>109</v>
      </c>
      <c r="AF168" s="147">
        <f>JAN!$AM$27</f>
        <v>8680.0960000000014</v>
      </c>
      <c r="AG168" s="147">
        <f>FEV!$AM$27</f>
        <v>7522.5600000000013</v>
      </c>
      <c r="AH168" s="147">
        <f>MAR!$AM27</f>
        <v>7992.72</v>
      </c>
      <c r="AI168" s="147">
        <f>ABR!$AN27</f>
        <v>4153.0800000000008</v>
      </c>
      <c r="AJ168" s="147">
        <f>MAI!$X27</f>
        <v>5877</v>
      </c>
      <c r="AK168" s="147">
        <f>JUN!$X27</f>
        <v>5641.92</v>
      </c>
      <c r="AL168" s="147">
        <f>JUL!$X27</f>
        <v>6503.880000000001</v>
      </c>
      <c r="AM168" s="147">
        <f>AGO!$X27</f>
        <v>9403.2000000000007</v>
      </c>
      <c r="AN168" s="147">
        <f>SET!$X27</f>
        <v>8619.6</v>
      </c>
      <c r="AO168" s="147">
        <f>OUT!$X27</f>
        <v>7836</v>
      </c>
      <c r="AP168" s="147">
        <f>NOV!$X27</f>
        <v>11283.84</v>
      </c>
      <c r="AQ168" s="147">
        <f>DEZ!$X27</f>
        <v>11283.84</v>
      </c>
      <c r="AR168" s="177">
        <f t="shared" si="59"/>
        <v>94797.736000000004</v>
      </c>
      <c r="AV168" s="63"/>
    </row>
    <row r="169" spans="1:48">
      <c r="A169" s="212" t="s">
        <v>110</v>
      </c>
      <c r="B169" s="147">
        <f>$F$237*'Médias por UF'!CG146</f>
        <v>192181.25707532951</v>
      </c>
      <c r="C169" s="147">
        <f>$F$237*'Médias por UF'!CH146</f>
        <v>471067.25715578854</v>
      </c>
      <c r="D169" s="147">
        <f>$F$237*'Médias por UF'!CI146</f>
        <v>812695.08596047666</v>
      </c>
      <c r="E169" s="147">
        <f>$F$237*'Médias por UF'!CJ146</f>
        <v>1142882.8268831484</v>
      </c>
      <c r="F169" s="147">
        <f>$F$237*'Médias por UF'!CK146</f>
        <v>1507331.4745401605</v>
      </c>
      <c r="G169" s="147">
        <f>$F$237*'Médias por UF'!CL146</f>
        <v>1835278.3169820684</v>
      </c>
      <c r="H169" s="147">
        <f>$F$237*'Médias por UF'!CM146</f>
        <v>2200371.6168936314</v>
      </c>
      <c r="I169" s="147">
        <f>$F$237*'Médias por UF'!CN146</f>
        <v>2587758.253075195</v>
      </c>
      <c r="J169" s="147">
        <f>$F$237*'Médias por UF'!CO146</f>
        <v>2947907.7425255938</v>
      </c>
      <c r="K169" s="147">
        <f>$F$237*'Médias por UF'!CP146</f>
        <v>3335698.5246441811</v>
      </c>
      <c r="L169" s="147">
        <f>$F$237*'Médias por UF'!CQ146</f>
        <v>3679081.537482183</v>
      </c>
      <c r="M169" s="147">
        <f>$F$237*'Médias por UF'!CR146</f>
        <v>4019319.4799999995</v>
      </c>
      <c r="N169" s="147">
        <f t="shared" si="57"/>
        <v>4019319.4799999995</v>
      </c>
      <c r="P169" s="213" t="s">
        <v>110</v>
      </c>
      <c r="Q169" s="147">
        <f>'Médias por UF'!CG146*'Evolução das Receitas'!$U$237</f>
        <v>192181.25707532951</v>
      </c>
      <c r="R169" s="147">
        <f>'Médias por UF'!CH146*'Evolução das Receitas'!$U$237</f>
        <v>471067.25715578854</v>
      </c>
      <c r="S169" s="147">
        <f>'Médias por UF'!CI146*'Evolução das Receitas'!$U$237</f>
        <v>812695.08596047666</v>
      </c>
      <c r="T169" s="147">
        <f>'Médias por UF'!CJ146*'Evolução das Receitas'!$U$237</f>
        <v>1142882.8268831484</v>
      </c>
      <c r="U169" s="147">
        <f>'Médias por UF'!CK146*'Evolução das Receitas'!$U$237</f>
        <v>1507331.4745401605</v>
      </c>
      <c r="V169" s="147">
        <f>'Médias por UF'!CL146*'Evolução das Receitas'!$U$237</f>
        <v>1835278.3169820684</v>
      </c>
      <c r="W169" s="147">
        <f>'Médias por UF'!CM146*'Evolução das Receitas'!$U$237</f>
        <v>2200371.6168936314</v>
      </c>
      <c r="X169" s="147">
        <f>'Médias por UF'!CN146*'Evolução das Receitas'!$U$237</f>
        <v>2587758.253075195</v>
      </c>
      <c r="Y169" s="147">
        <f>'Médias por UF'!CO146*'Evolução das Receitas'!$U$237</f>
        <v>2947907.7425255938</v>
      </c>
      <c r="Z169" s="147">
        <f>'Médias por UF'!CP146*'Evolução das Receitas'!$U$237</f>
        <v>3335698.5246441811</v>
      </c>
      <c r="AA169" s="147">
        <f>'Médias por UF'!CQ146*'Evolução das Receitas'!$U$237</f>
        <v>3679081.537482183</v>
      </c>
      <c r="AB169" s="147">
        <f>'Médias por UF'!CR146*'Evolução das Receitas'!$U$237</f>
        <v>4019319.4799999995</v>
      </c>
      <c r="AC169" s="147">
        <f t="shared" si="58"/>
        <v>4019319.4799999995</v>
      </c>
      <c r="AE169" s="213" t="s">
        <v>110</v>
      </c>
      <c r="AF169" s="147">
        <f>JAN!$AM$28</f>
        <v>244161.64800000002</v>
      </c>
      <c r="AG169" s="147">
        <f>FEV!$AM$28</f>
        <v>328328.40000000002</v>
      </c>
      <c r="AH169" s="147">
        <f>MAR!$AM28</f>
        <v>322294.68</v>
      </c>
      <c r="AI169" s="147">
        <f>ABR!$AN28</f>
        <v>238998</v>
      </c>
      <c r="AJ169" s="147">
        <f>MAI!$X28</f>
        <v>322529.76</v>
      </c>
      <c r="AK169" s="147">
        <f>JUN!$X28</f>
        <v>352933.44</v>
      </c>
      <c r="AL169" s="147">
        <f>JUL!$X28</f>
        <v>385221.76</v>
      </c>
      <c r="AM169" s="147">
        <f>AGO!$X28</f>
        <v>424162.68</v>
      </c>
      <c r="AN169" s="147">
        <f>SET!$X28</f>
        <v>420714.84000000008</v>
      </c>
      <c r="AO169" s="147">
        <f>OUT!$X28</f>
        <v>459424.68</v>
      </c>
      <c r="AP169" s="147">
        <f>NOV!$X28</f>
        <v>398538.96</v>
      </c>
      <c r="AQ169" s="147">
        <f>DEZ!$X28</f>
        <v>396423.24</v>
      </c>
      <c r="AR169" s="177">
        <f t="shared" si="59"/>
        <v>4293732.0880000005</v>
      </c>
      <c r="AV169" s="63"/>
    </row>
    <row r="170" spans="1:48">
      <c r="A170" s="212" t="s">
        <v>111</v>
      </c>
      <c r="B170" s="147">
        <f>$F$238*'Médias por UF'!CG147</f>
        <v>1146976.1774754701</v>
      </c>
      <c r="C170" s="147">
        <f>$F$238*'Médias por UF'!CH147</f>
        <v>2422838.038755348</v>
      </c>
      <c r="D170" s="147">
        <f>$F$238*'Médias por UF'!CI147</f>
        <v>4000046.6212152001</v>
      </c>
      <c r="E170" s="147">
        <f>$F$238*'Médias por UF'!CJ147</f>
        <v>5543333.1474298658</v>
      </c>
      <c r="F170" s="147">
        <f>$F$238*'Médias por UF'!CK147</f>
        <v>7244180.4833021145</v>
      </c>
      <c r="G170" s="147">
        <f>$F$238*'Médias por UF'!CL147</f>
        <v>8740242.2646136787</v>
      </c>
      <c r="H170" s="147">
        <f>$F$238*'Médias por UF'!CM147</f>
        <v>10348166.044797337</v>
      </c>
      <c r="I170" s="147">
        <f>$F$238*'Médias por UF'!CN147</f>
        <v>12138148.550380869</v>
      </c>
      <c r="J170" s="147">
        <f>$F$238*'Médias por UF'!CO147</f>
        <v>13702392.034564981</v>
      </c>
      <c r="K170" s="147">
        <f>$F$238*'Médias por UF'!CP147</f>
        <v>15358936.029503562</v>
      </c>
      <c r="L170" s="147">
        <f>$F$238*'Médias por UF'!CQ147</f>
        <v>16772256.567091763</v>
      </c>
      <c r="M170" s="147">
        <f>$F$238*'Médias por UF'!CR147</f>
        <v>18080943.120000001</v>
      </c>
      <c r="N170" s="147">
        <f t="shared" si="57"/>
        <v>18080943.120000001</v>
      </c>
      <c r="P170" s="213" t="s">
        <v>111</v>
      </c>
      <c r="Q170" s="147">
        <f>'Médias por UF'!CG147*'Evolução das Receitas'!$U$238</f>
        <v>1146976.1774754701</v>
      </c>
      <c r="R170" s="147">
        <f>'Médias por UF'!CH147*'Evolução das Receitas'!$U$238</f>
        <v>2422838.038755348</v>
      </c>
      <c r="S170" s="147">
        <f>'Médias por UF'!CI147*'Evolução das Receitas'!$U$238</f>
        <v>4000046.6212152001</v>
      </c>
      <c r="T170" s="147">
        <f>'Médias por UF'!CJ147*'Evolução das Receitas'!$U$238</f>
        <v>5543333.1474298658</v>
      </c>
      <c r="U170" s="147">
        <f>'Médias por UF'!CK147*'Evolução das Receitas'!$U$238</f>
        <v>7244180.4833021145</v>
      </c>
      <c r="V170" s="147">
        <f>'Médias por UF'!CL147*'Evolução das Receitas'!$U$238</f>
        <v>8740242.2646136787</v>
      </c>
      <c r="W170" s="147">
        <f>'Médias por UF'!CM147*'Evolução das Receitas'!$U$238</f>
        <v>10348166.044797337</v>
      </c>
      <c r="X170" s="147">
        <f>'Médias por UF'!CN147*'Evolução das Receitas'!$U$238</f>
        <v>12138148.550380869</v>
      </c>
      <c r="Y170" s="147">
        <f>'Médias por UF'!CO147*'Evolução das Receitas'!$U$238</f>
        <v>13702392.034564981</v>
      </c>
      <c r="Z170" s="147">
        <f>'Médias por UF'!CP147*'Evolução das Receitas'!$U$238</f>
        <v>15358936.029503562</v>
      </c>
      <c r="AA170" s="147">
        <f>'Médias por UF'!CQ147*'Evolução das Receitas'!$U$238</f>
        <v>16772256.567091763</v>
      </c>
      <c r="AB170" s="147">
        <f>'Médias por UF'!CR147*'Evolução das Receitas'!$U$238</f>
        <v>18080943.120000001</v>
      </c>
      <c r="AC170" s="147">
        <f t="shared" si="58"/>
        <v>18080943.120000001</v>
      </c>
      <c r="AE170" s="213" t="s">
        <v>111</v>
      </c>
      <c r="AF170" s="147">
        <f>JAN!$AM$29</f>
        <v>1756131.4960000003</v>
      </c>
      <c r="AG170" s="147">
        <f>FEV!$AM$29</f>
        <v>1895763.4800000002</v>
      </c>
      <c r="AH170" s="147">
        <f>MAR!$AM29</f>
        <v>1992773.1600000001</v>
      </c>
      <c r="AI170" s="147">
        <f>ABR!$AN29</f>
        <v>1007239.4400000001</v>
      </c>
      <c r="AJ170" s="147">
        <f>MAI!$X29</f>
        <v>1204236.4800000002</v>
      </c>
      <c r="AK170" s="147">
        <f>JUN!$X29</f>
        <v>1710833.8800000001</v>
      </c>
      <c r="AL170" s="147">
        <f>JUL!$X29</f>
        <v>2136798.84</v>
      </c>
      <c r="AM170" s="147">
        <f>AGO!$X29</f>
        <v>2246267.2000000002</v>
      </c>
      <c r="AN170" s="147">
        <f>SET!$X29</f>
        <v>2268992.16</v>
      </c>
      <c r="AO170" s="147">
        <f>OUT!$X29</f>
        <v>2507441.64</v>
      </c>
      <c r="AP170" s="147">
        <f>NOV!$X29</f>
        <v>2160820.9760000003</v>
      </c>
      <c r="AQ170" s="147">
        <f>DEZ!$X29</f>
        <v>2086570.08</v>
      </c>
      <c r="AR170" s="177">
        <f t="shared" si="59"/>
        <v>22973868.832000002</v>
      </c>
      <c r="AV170" s="63"/>
    </row>
    <row r="171" spans="1:48">
      <c r="A171" s="212" t="s">
        <v>112</v>
      </c>
      <c r="B171" s="147">
        <f>$F$239*'Médias por UF'!CG148</f>
        <v>26968.9810264351</v>
      </c>
      <c r="C171" s="147">
        <f>$F$239*'Médias por UF'!CH148</f>
        <v>59208.224120227758</v>
      </c>
      <c r="D171" s="147">
        <f>$F$239*'Médias por UF'!CI148</f>
        <v>94205.493300882314</v>
      </c>
      <c r="E171" s="147">
        <f>$F$239*'Médias por UF'!CJ148</f>
        <v>129758.94084655987</v>
      </c>
      <c r="F171" s="147">
        <f>$F$239*'Médias por UF'!CK148</f>
        <v>168733.02453843018</v>
      </c>
      <c r="G171" s="147">
        <f>$F$239*'Médias por UF'!CL148</f>
        <v>205278.29413194655</v>
      </c>
      <c r="H171" s="147">
        <f>$F$239*'Médias por UF'!CM148</f>
        <v>242126.78394738256</v>
      </c>
      <c r="I171" s="147">
        <f>$F$239*'Médias por UF'!CN148</f>
        <v>283266.99794571858</v>
      </c>
      <c r="J171" s="147">
        <f>$F$239*'Médias por UF'!CO148</f>
        <v>322339.5502899912</v>
      </c>
      <c r="K171" s="147">
        <f>$F$239*'Médias por UF'!CP148</f>
        <v>362034.41138430772</v>
      </c>
      <c r="L171" s="147">
        <f>$F$239*'Médias por UF'!CQ148</f>
        <v>395521.89222866227</v>
      </c>
      <c r="M171" s="147">
        <f>$F$239*'Médias por UF'!CR148</f>
        <v>428707.56</v>
      </c>
      <c r="N171" s="147">
        <f t="shared" si="57"/>
        <v>428707.56</v>
      </c>
      <c r="P171" s="213" t="s">
        <v>112</v>
      </c>
      <c r="Q171" s="147">
        <f>'Médias por UF'!CG148*'Evolução das Receitas'!$U$239</f>
        <v>26968.9810264351</v>
      </c>
      <c r="R171" s="147">
        <f>'Médias por UF'!CH148*'Evolução das Receitas'!$U$239</f>
        <v>59208.224120227758</v>
      </c>
      <c r="S171" s="147">
        <f>'Médias por UF'!CI148*'Evolução das Receitas'!$U$239</f>
        <v>94205.493300882314</v>
      </c>
      <c r="T171" s="147">
        <f>'Médias por UF'!CJ148*'Evolução das Receitas'!$U$239</f>
        <v>129758.94084655987</v>
      </c>
      <c r="U171" s="147">
        <f>'Médias por UF'!CK148*'Evolução das Receitas'!$U$239</f>
        <v>168733.02453843018</v>
      </c>
      <c r="V171" s="147">
        <f>'Médias por UF'!CL148*'Evolução das Receitas'!$U$239</f>
        <v>205278.29413194655</v>
      </c>
      <c r="W171" s="147">
        <f>'Médias por UF'!CM148*'Evolução das Receitas'!$U$239</f>
        <v>242126.78394738256</v>
      </c>
      <c r="X171" s="147">
        <f>'Médias por UF'!CN148*'Evolução das Receitas'!$U$239</f>
        <v>283266.99794571858</v>
      </c>
      <c r="Y171" s="147">
        <f>'Médias por UF'!CO148*'Evolução das Receitas'!$U$239</f>
        <v>322339.5502899912</v>
      </c>
      <c r="Z171" s="147">
        <f>'Médias por UF'!CP148*'Evolução das Receitas'!$U$239</f>
        <v>362034.41138430772</v>
      </c>
      <c r="AA171" s="147">
        <f>'Médias por UF'!CQ148*'Evolução das Receitas'!$U$239</f>
        <v>395521.89222866227</v>
      </c>
      <c r="AB171" s="147">
        <f>'Médias por UF'!CR148*'Evolução das Receitas'!$U$239</f>
        <v>428707.56</v>
      </c>
      <c r="AC171" s="147">
        <f t="shared" si="58"/>
        <v>428707.56</v>
      </c>
      <c r="AE171" s="213" t="s">
        <v>112</v>
      </c>
      <c r="AF171" s="147">
        <f>JAN!$AM$30</f>
        <v>47771.528000000006</v>
      </c>
      <c r="AG171" s="147">
        <f>FEV!$AM$30</f>
        <v>40825.56</v>
      </c>
      <c r="AH171" s="147">
        <f>MAR!$AM30</f>
        <v>41452.44</v>
      </c>
      <c r="AI171" s="147">
        <f>ABR!$AN30</f>
        <v>28601.4</v>
      </c>
      <c r="AJ171" s="147">
        <f>MAI!$X30</f>
        <v>27739.440000000002</v>
      </c>
      <c r="AK171" s="147">
        <f>JUN!$X30</f>
        <v>36515.760000000002</v>
      </c>
      <c r="AL171" s="147">
        <f>JUL!$X30</f>
        <v>44978.640000000007</v>
      </c>
      <c r="AM171" s="147">
        <f>AGO!$X30</f>
        <v>45292.08</v>
      </c>
      <c r="AN171" s="147">
        <f>SET!$X30</f>
        <v>51560.880000000005</v>
      </c>
      <c r="AO171" s="147">
        <f>OUT!$X30</f>
        <v>59945.4</v>
      </c>
      <c r="AP171" s="147">
        <f>NOV!$X30</f>
        <v>51169.08</v>
      </c>
      <c r="AQ171" s="147">
        <f>DEZ!$X30</f>
        <v>47407.8</v>
      </c>
      <c r="AR171" s="177">
        <f t="shared" si="59"/>
        <v>523260.00800000009</v>
      </c>
      <c r="AV171" s="63"/>
    </row>
    <row r="172" spans="1:48">
      <c r="A172" s="212" t="s">
        <v>113</v>
      </c>
      <c r="B172" s="147">
        <f>$F$240*'Médias por UF'!CG149</f>
        <v>20474.290013235179</v>
      </c>
      <c r="C172" s="147">
        <f>$F$240*'Médias por UF'!CH149</f>
        <v>46528.935153494582</v>
      </c>
      <c r="D172" s="147">
        <f>$F$240*'Médias por UF'!CI149</f>
        <v>75786.547999917952</v>
      </c>
      <c r="E172" s="147">
        <f>$F$240*'Médias por UF'!CJ149</f>
        <v>103903.38781942028</v>
      </c>
      <c r="F172" s="147">
        <f>$F$240*'Médias por UF'!CK149</f>
        <v>141159.94748451046</v>
      </c>
      <c r="G172" s="147">
        <f>$F$240*'Médias por UF'!CL149</f>
        <v>174419.12532480326</v>
      </c>
      <c r="H172" s="147">
        <f>$F$240*'Médias por UF'!CM149</f>
        <v>208117.92456280428</v>
      </c>
      <c r="I172" s="147">
        <f>$F$240*'Médias por UF'!CN149</f>
        <v>242867.30268991191</v>
      </c>
      <c r="J172" s="147">
        <f>$F$240*'Médias por UF'!CO149</f>
        <v>270855.26998047333</v>
      </c>
      <c r="K172" s="147">
        <f>$F$240*'Médias por UF'!CP149</f>
        <v>304108.09512016946</v>
      </c>
      <c r="L172" s="147">
        <f>$F$240*'Médias por UF'!CQ149</f>
        <v>332873.6658599049</v>
      </c>
      <c r="M172" s="147">
        <f>$F$240*'Médias por UF'!CR149</f>
        <v>358810.44</v>
      </c>
      <c r="N172" s="147">
        <f t="shared" si="57"/>
        <v>358810.44</v>
      </c>
      <c r="P172" s="213" t="s">
        <v>113</v>
      </c>
      <c r="Q172" s="147">
        <f>'Médias por UF'!CG149*'Evolução das Receitas'!$U$240</f>
        <v>20474.290013235179</v>
      </c>
      <c r="R172" s="147">
        <f>'Médias por UF'!CH149*'Evolução das Receitas'!$U$240</f>
        <v>46528.935153494582</v>
      </c>
      <c r="S172" s="147">
        <f>'Médias por UF'!CI149*'Evolução das Receitas'!$U$240</f>
        <v>75786.547999917952</v>
      </c>
      <c r="T172" s="147">
        <f>'Médias por UF'!CJ149*'Evolução das Receitas'!$U$240</f>
        <v>103903.38781942028</v>
      </c>
      <c r="U172" s="147">
        <f>'Médias por UF'!CK149*'Evolução das Receitas'!$U$240</f>
        <v>141159.94748451046</v>
      </c>
      <c r="V172" s="147">
        <f>'Médias por UF'!CL149*'Evolução das Receitas'!$U$240</f>
        <v>174419.12532480326</v>
      </c>
      <c r="W172" s="147">
        <f>'Médias por UF'!CM149*'Evolução das Receitas'!$U$240</f>
        <v>208117.92456280428</v>
      </c>
      <c r="X172" s="147">
        <f>'Médias por UF'!CN149*'Evolução das Receitas'!$U$240</f>
        <v>242867.30268991191</v>
      </c>
      <c r="Y172" s="147">
        <f>'Médias por UF'!CO149*'Evolução das Receitas'!$U$240</f>
        <v>270855.26998047333</v>
      </c>
      <c r="Z172" s="147">
        <f>'Médias por UF'!CP149*'Evolução das Receitas'!$U$240</f>
        <v>304108.09512016946</v>
      </c>
      <c r="AA172" s="147">
        <f>'Médias por UF'!CQ149*'Evolução das Receitas'!$U$240</f>
        <v>332873.6658599049</v>
      </c>
      <c r="AB172" s="147">
        <f>'Médias por UF'!CR149*'Evolução das Receitas'!$U$240</f>
        <v>358810.44</v>
      </c>
      <c r="AC172" s="147">
        <f t="shared" si="58"/>
        <v>358810.44</v>
      </c>
      <c r="AE172" s="213" t="s">
        <v>113</v>
      </c>
      <c r="AF172" s="147">
        <f>JAN!$AM$31</f>
        <v>21652.128000000001</v>
      </c>
      <c r="AG172" s="147">
        <f>FEV!$AM$31</f>
        <v>26328.959999999999</v>
      </c>
      <c r="AH172" s="147">
        <f>MAR!$AM31</f>
        <v>27504.36</v>
      </c>
      <c r="AI172" s="147">
        <f>ABR!$AN31</f>
        <v>14810.04</v>
      </c>
      <c r="AJ172" s="147">
        <f>MAI!$X31</f>
        <v>26093.88</v>
      </c>
      <c r="AK172" s="147">
        <f>JUN!$X31</f>
        <v>28601.4</v>
      </c>
      <c r="AL172" s="147">
        <f>JUL!$X31</f>
        <v>37064.28</v>
      </c>
      <c r="AM172" s="147">
        <f>AGO!$X31</f>
        <v>38004.6</v>
      </c>
      <c r="AN172" s="147">
        <f>SET!$X31</f>
        <v>31657.440000000002</v>
      </c>
      <c r="AO172" s="147">
        <f>OUT!$X31</f>
        <v>35653.800000000003</v>
      </c>
      <c r="AP172" s="147">
        <f>NOV!$X31</f>
        <v>34713.480000000003</v>
      </c>
      <c r="AQ172" s="147">
        <f>DEZ!$X31</f>
        <v>32911.200000000004</v>
      </c>
      <c r="AR172" s="177">
        <f t="shared" si="59"/>
        <v>354995.56800000003</v>
      </c>
      <c r="AV172" s="63"/>
    </row>
    <row r="173" spans="1:48">
      <c r="A173" s="214" t="s">
        <v>37</v>
      </c>
      <c r="B173" s="148">
        <f>SUM(B146:B172)</f>
        <v>3478428.8488186467</v>
      </c>
      <c r="C173" s="148">
        <f t="shared" ref="C173:D173" si="60">SUM(C146:C172)</f>
        <v>7413807.4580154875</v>
      </c>
      <c r="D173" s="148">
        <f t="shared" si="60"/>
        <v>12163961.291604439</v>
      </c>
      <c r="E173" s="148">
        <f>SUM(E146:E172)</f>
        <v>16876910.972139951</v>
      </c>
      <c r="F173" s="148">
        <f t="shared" ref="F173:N173" si="61">SUM(F146:F172)</f>
        <v>22127294.302708715</v>
      </c>
      <c r="G173" s="148">
        <f t="shared" si="61"/>
        <v>26874556.730082929</v>
      </c>
      <c r="H173" s="148">
        <f t="shared" si="61"/>
        <v>31925749.760072086</v>
      </c>
      <c r="I173" s="148">
        <f t="shared" si="61"/>
        <v>37410575.204709947</v>
      </c>
      <c r="J173" s="148">
        <f t="shared" si="61"/>
        <v>42277748.817396656</v>
      </c>
      <c r="K173" s="148">
        <f t="shared" si="61"/>
        <v>47525123.260859661</v>
      </c>
      <c r="L173" s="148">
        <f t="shared" si="61"/>
        <v>52125271.35409525</v>
      </c>
      <c r="M173" s="148">
        <f t="shared" si="61"/>
        <v>56420598.741999999</v>
      </c>
      <c r="N173" s="148">
        <f t="shared" si="61"/>
        <v>56420598.741999999</v>
      </c>
      <c r="P173" s="215" t="s">
        <v>37</v>
      </c>
      <c r="Q173" s="148">
        <f>SUM(Q146:Q172)</f>
        <v>3465790.7110380987</v>
      </c>
      <c r="R173" s="148">
        <f t="shared" ref="R173:S173" si="62">SUM(R146:R172)</f>
        <v>7385830.992906685</v>
      </c>
      <c r="S173" s="148">
        <f t="shared" si="62"/>
        <v>12117579.608018851</v>
      </c>
      <c r="T173" s="148">
        <f>SUM(T146:T172)</f>
        <v>16813157.280155346</v>
      </c>
      <c r="U173" s="148">
        <f t="shared" ref="U173:AC173" si="63">SUM(U146:U172)</f>
        <v>22044303.269762464</v>
      </c>
      <c r="V173" s="148">
        <f t="shared" si="63"/>
        <v>26772168.098493777</v>
      </c>
      <c r="W173" s="148">
        <f t="shared" si="63"/>
        <v>31803519.892983828</v>
      </c>
      <c r="X173" s="148">
        <f t="shared" si="63"/>
        <v>37268944.983620778</v>
      </c>
      <c r="Y173" s="148">
        <f t="shared" si="63"/>
        <v>42114794.099774286</v>
      </c>
      <c r="Z173" s="148">
        <f t="shared" si="63"/>
        <v>47339854.876998723</v>
      </c>
      <c r="AA173" s="148">
        <f t="shared" si="63"/>
        <v>51920348.069629148</v>
      </c>
      <c r="AB173" s="148">
        <f t="shared" si="63"/>
        <v>56199037.961999997</v>
      </c>
      <c r="AC173" s="148">
        <f t="shared" si="63"/>
        <v>56199037.961999997</v>
      </c>
      <c r="AE173" s="215" t="s">
        <v>37</v>
      </c>
      <c r="AF173" s="148">
        <f>SUM(AF146:AF172)</f>
        <v>4876604.0240000002</v>
      </c>
      <c r="AG173" s="148">
        <f t="shared" ref="AG173:AH173" si="64">SUM(AG146:AG172)</f>
        <v>5189375.6879999992</v>
      </c>
      <c r="AH173" s="148">
        <f t="shared" si="64"/>
        <v>5259659.6560000014</v>
      </c>
      <c r="AI173" s="148">
        <f>SUM(AI146:AI172)</f>
        <v>3014510.3200000003</v>
      </c>
      <c r="AJ173" s="148">
        <f t="shared" ref="AJ173:AR173" si="65">SUM(AJ146:AJ172)</f>
        <v>3848337.9600000004</v>
      </c>
      <c r="AK173" s="148">
        <f t="shared" si="65"/>
        <v>4988475.96</v>
      </c>
      <c r="AL173" s="148">
        <f t="shared" si="65"/>
        <v>6054958.8399999999</v>
      </c>
      <c r="AM173" s="148">
        <f t="shared" si="65"/>
        <v>6418147.9360000007</v>
      </c>
      <c r="AN173" s="148">
        <f t="shared" si="65"/>
        <v>6331488</v>
      </c>
      <c r="AO173" s="148">
        <f t="shared" si="65"/>
        <v>7014238.6800000006</v>
      </c>
      <c r="AP173" s="148">
        <f t="shared" si="65"/>
        <v>6180656.9360000007</v>
      </c>
      <c r="AQ173" s="148">
        <f t="shared" si="65"/>
        <v>5954341.3200000003</v>
      </c>
      <c r="AR173" s="148">
        <f t="shared" si="65"/>
        <v>65130795.320000008</v>
      </c>
      <c r="AS173" s="62" t="b">
        <f>AR173=RRT!U32</f>
        <v>1</v>
      </c>
    </row>
    <row r="174" spans="1:48">
      <c r="N174" s="62">
        <f>N173-SUM(F214:F240)</f>
        <v>0</v>
      </c>
      <c r="Q174" s="62">
        <f>Q173</f>
        <v>3465790.7110380987</v>
      </c>
      <c r="R174" s="62">
        <f>R173-Q173</f>
        <v>3920040.2818685863</v>
      </c>
      <c r="S174" s="62">
        <f t="shared" ref="S174:AB174" si="66">S173-R173</f>
        <v>4731748.6151121659</v>
      </c>
      <c r="T174" s="62">
        <f t="shared" si="66"/>
        <v>4695577.6721364949</v>
      </c>
      <c r="U174" s="62">
        <f t="shared" si="66"/>
        <v>5231145.9896071181</v>
      </c>
      <c r="V174" s="62">
        <f t="shared" si="66"/>
        <v>4727864.8287313133</v>
      </c>
      <c r="W174" s="62">
        <f t="shared" si="66"/>
        <v>5031351.7944900505</v>
      </c>
      <c r="X174" s="62">
        <f t="shared" si="66"/>
        <v>5465425.09063695</v>
      </c>
      <c r="Y174" s="62">
        <f t="shared" si="66"/>
        <v>4845849.1161535084</v>
      </c>
      <c r="Z174" s="62">
        <f t="shared" si="66"/>
        <v>5225060.7772244364</v>
      </c>
      <c r="AA174" s="62">
        <f t="shared" si="66"/>
        <v>4580493.1926304251</v>
      </c>
      <c r="AB174" s="62">
        <f t="shared" si="66"/>
        <v>4278689.8923708498</v>
      </c>
      <c r="AC174" s="62">
        <f>AC173-SUM(U214:U240)</f>
        <v>0</v>
      </c>
      <c r="AR174" s="62">
        <f>AR173-'TOTAL POR UF'!F32</f>
        <v>0</v>
      </c>
    </row>
    <row r="175" spans="1:48">
      <c r="A175" s="212" t="s">
        <v>241</v>
      </c>
      <c r="B175" s="147">
        <f>B173*0.2/0.8</f>
        <v>869607.21220466169</v>
      </c>
      <c r="C175" s="147">
        <f t="shared" ref="C175:M175" si="67">C173*0.2/0.8</f>
        <v>1853451.8645038719</v>
      </c>
      <c r="D175" s="147">
        <f t="shared" si="67"/>
        <v>3040990.3229011097</v>
      </c>
      <c r="E175" s="147">
        <f t="shared" si="67"/>
        <v>4219227.7430349877</v>
      </c>
      <c r="F175" s="147">
        <f t="shared" si="67"/>
        <v>5531823.5756771788</v>
      </c>
      <c r="G175" s="147">
        <f t="shared" si="67"/>
        <v>6718639.1825207323</v>
      </c>
      <c r="H175" s="147">
        <f t="shared" si="67"/>
        <v>7981437.4400180215</v>
      </c>
      <c r="I175" s="147">
        <f t="shared" si="67"/>
        <v>9352643.8011774868</v>
      </c>
      <c r="J175" s="147">
        <f t="shared" si="67"/>
        <v>10569437.204349164</v>
      </c>
      <c r="K175" s="147">
        <f t="shared" si="67"/>
        <v>11881280.815214915</v>
      </c>
      <c r="L175" s="147">
        <f t="shared" si="67"/>
        <v>13031317.838523813</v>
      </c>
      <c r="M175" s="147">
        <f t="shared" si="67"/>
        <v>14105149.6855</v>
      </c>
      <c r="N175" s="147">
        <f t="shared" ref="N175" si="68">M175</f>
        <v>14105149.6855</v>
      </c>
      <c r="P175" s="212" t="s">
        <v>241</v>
      </c>
      <c r="Q175" s="147">
        <f>'Médias por UF'!CG150*'Evolução das Receitas'!$U$241</f>
        <v>877010.28707011894</v>
      </c>
      <c r="R175" s="147">
        <f>'Médias por UF'!CH150*'Evolução das Receitas'!$U$241</f>
        <v>1842467.889858346</v>
      </c>
      <c r="S175" s="147">
        <f>'Médias por UF'!CI150*'Evolução das Receitas'!$U$241</f>
        <v>2979355.8572158664</v>
      </c>
      <c r="T175" s="147">
        <f>'Médias por UF'!CJ150*'Evolução das Receitas'!$U$241</f>
        <v>4124155.9298632178</v>
      </c>
      <c r="U175" s="147">
        <f>'Médias por UF'!CK150*'Evolução das Receitas'!$U$241</f>
        <v>5417683.2707981467</v>
      </c>
      <c r="V175" s="147">
        <f>'Médias por UF'!CL150*'Evolução das Receitas'!$U$241</f>
        <v>6620921.2024328625</v>
      </c>
      <c r="W175" s="147">
        <f>'Médias por UF'!CM150*'Evolução das Receitas'!$U$241</f>
        <v>7880026.9540099893</v>
      </c>
      <c r="X175" s="147">
        <f>'Médias por UF'!CN150*'Evolução das Receitas'!$U$241</f>
        <v>9237040.7951085549</v>
      </c>
      <c r="Y175" s="147">
        <f>'Médias por UF'!CO150*'Evolução das Receitas'!$U$241</f>
        <v>10444155.059706248</v>
      </c>
      <c r="Z175" s="147">
        <f>'Médias por UF'!CP150*'Evolução das Receitas'!$U$241</f>
        <v>11769389.825573334</v>
      </c>
      <c r="AA175" s="147">
        <f>'Médias por UF'!CQ150*'Evolução das Receitas'!$U$241</f>
        <v>12949400.307863209</v>
      </c>
      <c r="AB175" s="147">
        <f>'Médias por UF'!CR150*'Evolução das Receitas'!$U$241</f>
        <v>14028394.402500002</v>
      </c>
      <c r="AC175" s="147">
        <f t="shared" ref="AC175" si="69">AB175</f>
        <v>14028394.402500002</v>
      </c>
      <c r="AE175" s="213" t="s">
        <v>241</v>
      </c>
      <c r="AF175" s="147">
        <f>JAN!$AM$67</f>
        <v>1219151.0060000001</v>
      </c>
      <c r="AG175" s="147">
        <f>FEV!$AM$67</f>
        <v>1297343.9219999998</v>
      </c>
      <c r="AH175" s="147">
        <f>MAR!$AM$67</f>
        <v>1314914.9140000003</v>
      </c>
      <c r="AI175" s="147">
        <f>ABR!$AN$67</f>
        <v>753627.58000000007</v>
      </c>
      <c r="AJ175" s="147">
        <f>MAI!$X$67</f>
        <v>962084.49000000011</v>
      </c>
      <c r="AK175" s="147">
        <f>JUN!$X$67</f>
        <v>1247118.99</v>
      </c>
      <c r="AL175" s="147">
        <f>JUL!$X$67</f>
        <v>1513739.71</v>
      </c>
      <c r="AM175" s="147">
        <f>AGO!$X$67</f>
        <v>1604536.9840000002</v>
      </c>
      <c r="AN175" s="147">
        <f>SET!$X$67</f>
        <v>1582872</v>
      </c>
      <c r="AO175" s="147">
        <f>OUT!$X$67</f>
        <v>1753559.6700000002</v>
      </c>
      <c r="AP175" s="147">
        <f>NOV!$X$67</f>
        <v>1545164.2340000002</v>
      </c>
      <c r="AQ175" s="147">
        <f>DEZ!$X$67</f>
        <v>1488585.33</v>
      </c>
      <c r="AR175" s="177">
        <f t="shared" ref="AR175" si="70">SUM(AF175:AQ175)</f>
        <v>16282698.83</v>
      </c>
    </row>
    <row r="176" spans="1:48" ht="21">
      <c r="A176" s="1385" t="s">
        <v>290</v>
      </c>
      <c r="B176" s="1385"/>
      <c r="C176" s="1385"/>
      <c r="D176" s="1385"/>
      <c r="E176" s="1385"/>
      <c r="F176" s="1385"/>
      <c r="G176" s="1385"/>
      <c r="H176" s="1385"/>
      <c r="I176" s="1385"/>
      <c r="J176" s="1385"/>
      <c r="K176" s="1385"/>
      <c r="L176" s="1385"/>
      <c r="M176" s="1385"/>
      <c r="N176" s="1385"/>
      <c r="P176" s="1385" t="s">
        <v>129</v>
      </c>
      <c r="Q176" s="1385"/>
      <c r="R176" s="1385"/>
      <c r="S176" s="1385"/>
      <c r="T176" s="1385"/>
      <c r="U176" s="1385"/>
      <c r="V176" s="1385"/>
      <c r="W176" s="1385"/>
      <c r="X176" s="1385"/>
      <c r="Y176" s="1385"/>
      <c r="Z176" s="1385"/>
      <c r="AA176" s="1385"/>
      <c r="AB176" s="1385"/>
      <c r="AC176" s="1385"/>
      <c r="AE176" s="1385" t="s">
        <v>289</v>
      </c>
      <c r="AF176" s="1385"/>
      <c r="AG176" s="1385"/>
      <c r="AH176" s="1385"/>
      <c r="AI176" s="1385"/>
      <c r="AJ176" s="1385"/>
      <c r="AK176" s="1385"/>
      <c r="AL176" s="1385"/>
      <c r="AM176" s="1385"/>
      <c r="AN176" s="1385"/>
      <c r="AO176" s="1385"/>
      <c r="AP176" s="1385"/>
      <c r="AQ176" s="1385"/>
      <c r="AR176" s="1385"/>
    </row>
    <row r="177" spans="1:49"/>
    <row r="178" spans="1:49" ht="15" customHeight="1">
      <c r="A178" s="1386" t="s">
        <v>33</v>
      </c>
      <c r="B178" s="1388" t="s">
        <v>279</v>
      </c>
      <c r="C178" s="1388"/>
      <c r="D178" s="1388"/>
      <c r="E178" s="1388"/>
      <c r="F178" s="1388"/>
      <c r="G178" s="1388"/>
      <c r="H178" s="1388"/>
      <c r="I178" s="1388"/>
      <c r="J178" s="1388"/>
      <c r="K178" s="1388"/>
      <c r="L178" s="1388"/>
      <c r="M178" s="1388"/>
      <c r="P178" s="1386" t="s">
        <v>33</v>
      </c>
      <c r="Q178" s="1388" t="s">
        <v>279</v>
      </c>
      <c r="R178" s="1388"/>
      <c r="S178" s="1388"/>
      <c r="T178" s="1388"/>
      <c r="U178" s="1388"/>
      <c r="V178" s="1388"/>
      <c r="W178" s="1388"/>
      <c r="X178" s="1388"/>
      <c r="Y178" s="1388"/>
      <c r="Z178" s="1388"/>
      <c r="AA178" s="1388"/>
      <c r="AB178" s="1388"/>
      <c r="AE178" s="1386" t="s">
        <v>33</v>
      </c>
      <c r="AF178" s="1388" t="s">
        <v>279</v>
      </c>
      <c r="AG178" s="1388"/>
      <c r="AH178" s="1388"/>
      <c r="AI178" s="1388"/>
      <c r="AJ178" s="1388"/>
      <c r="AK178" s="1388"/>
      <c r="AL178" s="1388"/>
      <c r="AM178" s="1388"/>
      <c r="AN178" s="1388"/>
      <c r="AO178" s="1388"/>
      <c r="AP178" s="1388"/>
      <c r="AQ178" s="1388"/>
    </row>
    <row r="179" spans="1:49">
      <c r="A179" s="1387"/>
      <c r="B179" s="211" t="s">
        <v>116</v>
      </c>
      <c r="C179" s="211" t="s">
        <v>117</v>
      </c>
      <c r="D179" s="211" t="s">
        <v>118</v>
      </c>
      <c r="E179" s="211" t="s">
        <v>119</v>
      </c>
      <c r="F179" s="211" t="s">
        <v>120</v>
      </c>
      <c r="G179" s="211" t="s">
        <v>121</v>
      </c>
      <c r="H179" s="211" t="s">
        <v>122</v>
      </c>
      <c r="I179" s="211" t="s">
        <v>123</v>
      </c>
      <c r="J179" s="211" t="s">
        <v>124</v>
      </c>
      <c r="K179" s="211" t="s">
        <v>125</v>
      </c>
      <c r="L179" s="211" t="s">
        <v>126</v>
      </c>
      <c r="M179" s="211" t="s">
        <v>127</v>
      </c>
      <c r="N179" s="211" t="s">
        <v>128</v>
      </c>
      <c r="P179" s="1387"/>
      <c r="Q179" s="211" t="s">
        <v>116</v>
      </c>
      <c r="R179" s="211" t="s">
        <v>117</v>
      </c>
      <c r="S179" s="211" t="s">
        <v>118</v>
      </c>
      <c r="T179" s="211" t="s">
        <v>119</v>
      </c>
      <c r="U179" s="211" t="s">
        <v>120</v>
      </c>
      <c r="V179" s="211" t="s">
        <v>121</v>
      </c>
      <c r="W179" s="211" t="s">
        <v>122</v>
      </c>
      <c r="X179" s="211" t="s">
        <v>123</v>
      </c>
      <c r="Y179" s="211" t="s">
        <v>124</v>
      </c>
      <c r="Z179" s="211" t="s">
        <v>125</v>
      </c>
      <c r="AA179" s="211" t="s">
        <v>126</v>
      </c>
      <c r="AB179" s="211" t="s">
        <v>127</v>
      </c>
      <c r="AC179" s="211" t="s">
        <v>128</v>
      </c>
      <c r="AE179" s="1387"/>
      <c r="AF179" s="211" t="s">
        <v>116</v>
      </c>
      <c r="AG179" s="211" t="s">
        <v>117</v>
      </c>
      <c r="AH179" s="211" t="s">
        <v>118</v>
      </c>
      <c r="AI179" s="211" t="s">
        <v>119</v>
      </c>
      <c r="AJ179" s="211" t="s">
        <v>120</v>
      </c>
      <c r="AK179" s="211" t="s">
        <v>121</v>
      </c>
      <c r="AL179" s="211" t="s">
        <v>122</v>
      </c>
      <c r="AM179" s="211" t="s">
        <v>123</v>
      </c>
      <c r="AN179" s="211" t="s">
        <v>124</v>
      </c>
      <c r="AO179" s="211" t="s">
        <v>125</v>
      </c>
      <c r="AP179" s="211" t="s">
        <v>126</v>
      </c>
      <c r="AQ179" s="211" t="s">
        <v>127</v>
      </c>
      <c r="AR179" s="211" t="s">
        <v>128</v>
      </c>
    </row>
    <row r="180" spans="1:49">
      <c r="A180" s="212" t="s">
        <v>87</v>
      </c>
      <c r="B180" s="147">
        <f>$G$214*'Médias por UF'!CG153</f>
        <v>1158.3569599444306</v>
      </c>
      <c r="C180" s="147">
        <f>$G$214*'Médias por UF'!CH153</f>
        <v>2201.2337819153204</v>
      </c>
      <c r="D180" s="147">
        <f>$G$214*'Médias por UF'!CI153</f>
        <v>3266.541463183647</v>
      </c>
      <c r="E180" s="147">
        <f>$G$214*'Médias por UF'!CJ153</f>
        <v>4778.6346241089223</v>
      </c>
      <c r="F180" s="147">
        <f>$G$214*'Médias por UF'!CK153</f>
        <v>6248.947960502539</v>
      </c>
      <c r="G180" s="147">
        <f>$G$214*'Médias por UF'!CL153</f>
        <v>7223.4714044978746</v>
      </c>
      <c r="H180" s="147">
        <f>$G$214*'Médias por UF'!CM153</f>
        <v>9346.213273778978</v>
      </c>
      <c r="I180" s="147">
        <f>$G$214*'Médias por UF'!CN153</f>
        <v>10803.882464877393</v>
      </c>
      <c r="J180" s="147">
        <f>$G$214*'Médias por UF'!CO153</f>
        <v>12120.698555042884</v>
      </c>
      <c r="K180" s="147">
        <f>$G$214*'Médias por UF'!CP153</f>
        <v>14054.086818656831</v>
      </c>
      <c r="L180" s="147">
        <f>$G$214*'Médias por UF'!CQ153</f>
        <v>16953.644702022604</v>
      </c>
      <c r="M180" s="147">
        <f>$G$214*'Médias por UF'!CR153</f>
        <v>19116.236204800007</v>
      </c>
      <c r="N180" s="147">
        <f>M180</f>
        <v>19116.236204800007</v>
      </c>
      <c r="P180" s="213" t="s">
        <v>87</v>
      </c>
      <c r="Q180" s="147">
        <f>'Médias por UF'!CG153*'Evolução das Receitas'!$V$214</f>
        <v>1425.2039238051864</v>
      </c>
      <c r="R180" s="147">
        <f>'Médias por UF'!CH153*'Evolução das Receitas'!$V$214</f>
        <v>2708.3249220074131</v>
      </c>
      <c r="S180" s="147">
        <f>'Médias por UF'!CI153*'Evolução das Receitas'!$V$214</f>
        <v>4019.0441043536389</v>
      </c>
      <c r="T180" s="147">
        <f>'Médias por UF'!CJ153*'Evolução das Receitas'!$V$214</f>
        <v>5879.4732990062721</v>
      </c>
      <c r="U180" s="147">
        <f>'Médias por UF'!CK153*'Evolução das Receitas'!$V$214</f>
        <v>7688.4979854481826</v>
      </c>
      <c r="V180" s="147">
        <f>'Médias por UF'!CL153*'Evolução das Receitas'!$V$214</f>
        <v>8887.5192580349358</v>
      </c>
      <c r="W180" s="147">
        <f>'Médias por UF'!CM153*'Evolução das Receitas'!$V$214</f>
        <v>11499.270338177035</v>
      </c>
      <c r="X180" s="147">
        <f>'Médias por UF'!CN153*'Evolução das Receitas'!$V$214</f>
        <v>13292.738088276326</v>
      </c>
      <c r="Y180" s="147">
        <f>'Médias por UF'!CO153*'Evolução das Receitas'!$V$214</f>
        <v>14912.904862017378</v>
      </c>
      <c r="Z180" s="147">
        <f>'Médias por UF'!CP153*'Evolução das Receitas'!$V$214</f>
        <v>17291.681555924999</v>
      </c>
      <c r="AA180" s="147">
        <f>'Médias por UF'!CQ153*'Evolução das Receitas'!$V$214</f>
        <v>20859.201254577656</v>
      </c>
      <c r="AB180" s="147">
        <f>'Médias por UF'!CR153*'Evolução das Receitas'!$V$214</f>
        <v>23519.982000000004</v>
      </c>
      <c r="AC180" s="147">
        <f>AB180</f>
        <v>23519.982000000004</v>
      </c>
      <c r="AE180" s="213" t="s">
        <v>87</v>
      </c>
      <c r="AF180" s="147">
        <f>JAN!$AN$5</f>
        <v>1657.2000000000003</v>
      </c>
      <c r="AG180" s="147">
        <f>FEV!$AN5</f>
        <v>1784.0319999999999</v>
      </c>
      <c r="AH180" s="147">
        <f>MAR!$AN5</f>
        <v>1948.992</v>
      </c>
      <c r="AI180" s="147">
        <f>ABR!$AO5</f>
        <v>693.32800000000009</v>
      </c>
      <c r="AJ180" s="147">
        <f>MAI!$Y5</f>
        <v>2495.7440000000001</v>
      </c>
      <c r="AK180" s="147">
        <f>JUN!$Y5</f>
        <v>2931.6960000000004</v>
      </c>
      <c r="AL180" s="147">
        <f>JUL!$Y5</f>
        <v>1272.9040000000002</v>
      </c>
      <c r="AM180" s="147">
        <f>AGO!$Y5</f>
        <v>2230.2800000000002</v>
      </c>
      <c r="AN180" s="147">
        <f>SET!$Y5</f>
        <v>2638.5440000000008</v>
      </c>
      <c r="AO180" s="147">
        <f>OUT!$Y5</f>
        <v>2950.1840000000002</v>
      </c>
      <c r="AP180" s="147">
        <f>NOV!$Y5</f>
        <v>1446.4240000000004</v>
      </c>
      <c r="AQ180" s="147">
        <f>DEZ!$Y5</f>
        <v>2589.6640000000007</v>
      </c>
      <c r="AR180" s="177">
        <f>SUM(AF180:AQ180)</f>
        <v>24638.992000000002</v>
      </c>
      <c r="AT180" s="63"/>
      <c r="AV180" s="63"/>
      <c r="AW180" s="63"/>
    </row>
    <row r="181" spans="1:49">
      <c r="A181" s="212" t="s">
        <v>88</v>
      </c>
      <c r="B181" s="147">
        <f>$G$215*'Médias por UF'!CG154</f>
        <v>4710.0642534038607</v>
      </c>
      <c r="C181" s="147">
        <f>$G$215*'Médias por UF'!CH154</f>
        <v>10174.274964784394</v>
      </c>
      <c r="D181" s="147">
        <f>$G$215*'Médias por UF'!CI154</f>
        <v>13841.015417907647</v>
      </c>
      <c r="E181" s="147">
        <f>$G$215*'Médias por UF'!CJ154</f>
        <v>17367.406276706213</v>
      </c>
      <c r="F181" s="147">
        <f>$G$215*'Médias por UF'!CK154</f>
        <v>23024.648552392217</v>
      </c>
      <c r="G181" s="147">
        <f>$G$215*'Médias por UF'!CL154</f>
        <v>26386.680511597679</v>
      </c>
      <c r="H181" s="147">
        <f>$G$215*'Médias por UF'!CM154</f>
        <v>30843.861213977078</v>
      </c>
      <c r="I181" s="147">
        <f>$G$215*'Médias por UF'!CN154</f>
        <v>35744.833332906601</v>
      </c>
      <c r="J181" s="147">
        <f>$G$215*'Médias por UF'!CO154</f>
        <v>40729.901836376041</v>
      </c>
      <c r="K181" s="147">
        <f>$G$215*'Médias por UF'!CP154</f>
        <v>47651.024003190912</v>
      </c>
      <c r="L181" s="147">
        <f>$G$215*'Médias por UF'!CQ154</f>
        <v>53712.878599195807</v>
      </c>
      <c r="M181" s="147">
        <f>$G$215*'Médias por UF'!CR154</f>
        <v>59266.378236800017</v>
      </c>
      <c r="N181" s="147">
        <f t="shared" ref="N181:N206" si="71">M181</f>
        <v>59266.378236800017</v>
      </c>
      <c r="P181" s="213" t="s">
        <v>88</v>
      </c>
      <c r="Q181" s="147">
        <f>'Médias por UF'!CG154*'Evolução das Receitas'!$V$215</f>
        <v>6113.3153934490192</v>
      </c>
      <c r="R181" s="147">
        <f>'Médias por UF'!CH154*'Evolução das Receitas'!$V$215</f>
        <v>13205.457168540721</v>
      </c>
      <c r="S181" s="147">
        <f>'Médias por UF'!CI154*'Evolução das Receitas'!$V$215</f>
        <v>17964.615356172897</v>
      </c>
      <c r="T181" s="147">
        <f>'Médias por UF'!CJ154*'Evolução das Receitas'!$V$215</f>
        <v>22541.610140231678</v>
      </c>
      <c r="U181" s="147">
        <f>'Médias por UF'!CK154*'Evolução das Receitas'!$V$215</f>
        <v>29884.29262347558</v>
      </c>
      <c r="V181" s="147">
        <f>'Médias por UF'!CL154*'Evolução das Receitas'!$V$215</f>
        <v>34247.961699672363</v>
      </c>
      <c r="W181" s="147">
        <f>'Médias por UF'!CM154*'Evolução das Receitas'!$V$215</f>
        <v>40033.052928427525</v>
      </c>
      <c r="X181" s="147">
        <f>'Médias por UF'!CN154*'Evolução das Receitas'!$V$215</f>
        <v>46394.152625924013</v>
      </c>
      <c r="Y181" s="147">
        <f>'Médias por UF'!CO154*'Evolução das Receitas'!$V$215</f>
        <v>52864.403217013882</v>
      </c>
      <c r="Z181" s="147">
        <f>'Médias por UF'!CP154*'Evolução das Receitas'!$V$215</f>
        <v>61847.508416004181</v>
      </c>
      <c r="AA181" s="147">
        <f>'Médias por UF'!CQ154*'Evolução das Receitas'!$V$215</f>
        <v>69715.347795865149</v>
      </c>
      <c r="AB181" s="147">
        <f>'Médias por UF'!CR154*'Evolução das Receitas'!$V$215</f>
        <v>76923.38</v>
      </c>
      <c r="AC181" s="147">
        <f t="shared" ref="AC181:AC206" si="72">AB181</f>
        <v>76923.38</v>
      </c>
      <c r="AE181" s="213" t="s">
        <v>88</v>
      </c>
      <c r="AF181" s="147">
        <f>JAN!$AN$6</f>
        <v>8492.5360000000001</v>
      </c>
      <c r="AG181" s="147">
        <f>FEV!$AN6</f>
        <v>5033.6800000000012</v>
      </c>
      <c r="AH181" s="147">
        <f>MAR!$AN6</f>
        <v>4618.384</v>
      </c>
      <c r="AI181" s="147">
        <f>ABR!$AO6</f>
        <v>3787.4720000000002</v>
      </c>
      <c r="AJ181" s="147">
        <f>MAI!$Y6</f>
        <v>2855.6959999999999</v>
      </c>
      <c r="AK181" s="147">
        <f>JUN!$Y6</f>
        <v>3645.5840000000003</v>
      </c>
      <c r="AL181" s="147">
        <f>JUL!$Y6</f>
        <v>4303.6480000000001</v>
      </c>
      <c r="AM181" s="147">
        <f>AGO!$Y6</f>
        <v>5400.9439999999995</v>
      </c>
      <c r="AN181" s="147">
        <f>SET!$Y6</f>
        <v>7119.5039999999999</v>
      </c>
      <c r="AO181" s="147">
        <f>OUT!$Y6</f>
        <v>6219.424</v>
      </c>
      <c r="AP181" s="147">
        <f>NOV!$Y6</f>
        <v>6028.7920000000004</v>
      </c>
      <c r="AQ181" s="147">
        <f>DEZ!$Y6</f>
        <v>7661.6080000000002</v>
      </c>
      <c r="AR181" s="177">
        <f t="shared" ref="AR181:AR206" si="73">SUM(AF181:AQ181)</f>
        <v>65167.272000000004</v>
      </c>
      <c r="AT181" s="63"/>
      <c r="AV181" s="63"/>
      <c r="AW181" s="63"/>
    </row>
    <row r="182" spans="1:49">
      <c r="A182" s="212" t="s">
        <v>89</v>
      </c>
      <c r="B182" s="147">
        <f>$G$216*'Médias por UF'!CG155</f>
        <v>1918.4233321668933</v>
      </c>
      <c r="C182" s="147">
        <f>$G$216*'Médias por UF'!CH155</f>
        <v>4339.7335621169477</v>
      </c>
      <c r="D182" s="147">
        <f>$G$216*'Médias por UF'!CI155</f>
        <v>6462.3878426451611</v>
      </c>
      <c r="E182" s="147">
        <f>$G$216*'Médias por UF'!CJ155</f>
        <v>7816.6590279931133</v>
      </c>
      <c r="F182" s="147">
        <f>$G$216*'Médias por UF'!CK155</f>
        <v>9874.5954425144901</v>
      </c>
      <c r="G182" s="147">
        <f>$G$216*'Médias por UF'!CL155</f>
        <v>12017.308349034445</v>
      </c>
      <c r="H182" s="147">
        <f>$G$216*'Médias por UF'!CM155</f>
        <v>13979.866375297295</v>
      </c>
      <c r="I182" s="147">
        <f>$G$216*'Médias por UF'!CN155</f>
        <v>17530.177707697956</v>
      </c>
      <c r="J182" s="147">
        <f>$G$216*'Médias por UF'!CO155</f>
        <v>19913.805457291997</v>
      </c>
      <c r="K182" s="147">
        <f>$G$216*'Médias por UF'!CP155</f>
        <v>22229.887522522597</v>
      </c>
      <c r="L182" s="147">
        <f>$G$216*'Médias por UF'!CQ155</f>
        <v>24581.781831854194</v>
      </c>
      <c r="M182" s="147">
        <f>$G$216*'Médias por UF'!CR155</f>
        <v>26968.972312799997</v>
      </c>
      <c r="N182" s="147">
        <f t="shared" si="71"/>
        <v>26968.972312799997</v>
      </c>
      <c r="P182" s="213" t="s">
        <v>89</v>
      </c>
      <c r="Q182" s="147">
        <f>'Médias por UF'!CG155*'Evolução das Receitas'!$V$216</f>
        <v>1639.9360175650572</v>
      </c>
      <c r="R182" s="147">
        <f>'Médias por UF'!CH155*'Evolução das Receitas'!$V$216</f>
        <v>3709.7575158830241</v>
      </c>
      <c r="S182" s="147">
        <f>'Médias por UF'!CI155*'Evolução das Receitas'!$V$216</f>
        <v>5524.2773609606948</v>
      </c>
      <c r="T182" s="147">
        <f>'Médias por UF'!CJ155*'Evolução das Receitas'!$V$216</f>
        <v>6681.9561991835726</v>
      </c>
      <c r="U182" s="147">
        <f>'Médias por UF'!CK155*'Evolução das Receitas'!$V$216</f>
        <v>8441.1529267485512</v>
      </c>
      <c r="V182" s="147">
        <f>'Médias por UF'!CL155*'Evolução das Receitas'!$V$216</f>
        <v>10272.8195937373</v>
      </c>
      <c r="W182" s="147">
        <f>'Médias por UF'!CM155*'Evolução das Receitas'!$V$216</f>
        <v>11950.483506526829</v>
      </c>
      <c r="X182" s="147">
        <f>'Médias por UF'!CN155*'Evolução das Receitas'!$V$216</f>
        <v>14985.41502031157</v>
      </c>
      <c r="Y182" s="147">
        <f>'Médias por UF'!CO155*'Evolução das Receitas'!$V$216</f>
        <v>17023.024203583715</v>
      </c>
      <c r="Z182" s="147">
        <f>'Médias por UF'!CP155*'Evolução das Receitas'!$V$216</f>
        <v>19002.89295034148</v>
      </c>
      <c r="AA182" s="147">
        <f>'Médias por UF'!CQ155*'Evolução das Receitas'!$V$216</f>
        <v>21013.375268142878</v>
      </c>
      <c r="AB182" s="147">
        <f>'Médias por UF'!CR155*'Evolução das Receitas'!$V$216</f>
        <v>23054.03</v>
      </c>
      <c r="AC182" s="147">
        <f t="shared" si="72"/>
        <v>23054.03</v>
      </c>
      <c r="AE182" s="213" t="s">
        <v>89</v>
      </c>
      <c r="AF182" s="147">
        <f>JAN!$AN$7</f>
        <v>3571.6000000000004</v>
      </c>
      <c r="AG182" s="147">
        <f>FEV!$AN7</f>
        <v>2668.4560000000001</v>
      </c>
      <c r="AH182" s="147">
        <f>MAR!$AN7</f>
        <v>2375.1439999999998</v>
      </c>
      <c r="AI182" s="147">
        <f>ABR!$AO7</f>
        <v>2837.9839999999999</v>
      </c>
      <c r="AJ182" s="147">
        <f>MAI!$Y7</f>
        <v>1129.0880000000002</v>
      </c>
      <c r="AK182" s="147">
        <f>JUN!$Y7</f>
        <v>1714.6480000000001</v>
      </c>
      <c r="AL182" s="147">
        <f>JUL!$Y7</f>
        <v>2666.7040000000006</v>
      </c>
      <c r="AM182" s="147">
        <f>AGO!$Y7</f>
        <v>2978.6320000000001</v>
      </c>
      <c r="AN182" s="147">
        <f>SET!$Y7</f>
        <v>3262.84</v>
      </c>
      <c r="AO182" s="147">
        <f>OUT!$Y7</f>
        <v>3230.12</v>
      </c>
      <c r="AP182" s="147">
        <f>NOV!$Y7</f>
        <v>3264.0560000000005</v>
      </c>
      <c r="AQ182" s="147">
        <f>DEZ!$Y7</f>
        <v>2923.9840000000004</v>
      </c>
      <c r="AR182" s="177">
        <f t="shared" si="73"/>
        <v>32623.256000000005</v>
      </c>
      <c r="AT182" s="63"/>
      <c r="AV182" s="63"/>
      <c r="AW182" s="63"/>
    </row>
    <row r="183" spans="1:49">
      <c r="A183" s="212" t="s">
        <v>90</v>
      </c>
      <c r="B183" s="147">
        <f>$G$217*'Médias por UF'!CG156</f>
        <v>4633.8125665562329</v>
      </c>
      <c r="C183" s="147">
        <f>$G$217*'Médias por UF'!CH156</f>
        <v>9559.8519588237523</v>
      </c>
      <c r="D183" s="147">
        <f>$G$217*'Médias por UF'!CI156</f>
        <v>13720.570711396356</v>
      </c>
      <c r="E183" s="147">
        <f>$G$217*'Médias por UF'!CJ156</f>
        <v>17504.055114987405</v>
      </c>
      <c r="F183" s="147">
        <f>$G$217*'Médias por UF'!CK156</f>
        <v>21425.885697586404</v>
      </c>
      <c r="G183" s="147">
        <f>$G$217*'Médias por UF'!CL156</f>
        <v>24957.644040243191</v>
      </c>
      <c r="H183" s="147">
        <f>$G$217*'Médias por UF'!CM156</f>
        <v>29163.304003743131</v>
      </c>
      <c r="I183" s="147">
        <f>$G$217*'Médias por UF'!CN156</f>
        <v>34860.929055450586</v>
      </c>
      <c r="J183" s="147">
        <f>$G$217*'Médias por UF'!CO156</f>
        <v>39372.560356932379</v>
      </c>
      <c r="K183" s="147">
        <f>$G$217*'Médias por UF'!CP156</f>
        <v>45089.345874088409</v>
      </c>
      <c r="L183" s="147">
        <f>$G$217*'Médias por UF'!CQ156</f>
        <v>49937.220767872052</v>
      </c>
      <c r="M183" s="147">
        <f>$G$217*'Médias por UF'!CR156</f>
        <v>55554.839748800005</v>
      </c>
      <c r="N183" s="147">
        <f t="shared" si="71"/>
        <v>55554.839748800005</v>
      </c>
      <c r="P183" s="213" t="s">
        <v>90</v>
      </c>
      <c r="Q183" s="147">
        <f>'Médias por UF'!CG156*'Evolução das Receitas'!$V$217</f>
        <v>4860.5168181454555</v>
      </c>
      <c r="R183" s="147">
        <f>'Médias por UF'!CH156*'Evolução das Receitas'!$V$217</f>
        <v>10027.557342349777</v>
      </c>
      <c r="S183" s="147">
        <f>'Médias por UF'!CI156*'Evolução das Receitas'!$V$217</f>
        <v>14391.834745024671</v>
      </c>
      <c r="T183" s="147">
        <f>'Médias por UF'!CJ156*'Evolução das Receitas'!$V$217</f>
        <v>18360.422017537552</v>
      </c>
      <c r="U183" s="147">
        <f>'Médias por UF'!CK156*'Evolução das Receitas'!$V$217</f>
        <v>22474.123905744538</v>
      </c>
      <c r="V183" s="147">
        <f>'Médias por UF'!CL156*'Evolução das Receitas'!$V$217</f>
        <v>26178.669692944219</v>
      </c>
      <c r="W183" s="147">
        <f>'Médias por UF'!CM156*'Evolução das Receitas'!$V$217</f>
        <v>30590.087006524587</v>
      </c>
      <c r="X183" s="147">
        <f>'Médias por UF'!CN156*'Evolução das Receitas'!$V$217</f>
        <v>36566.462181296105</v>
      </c>
      <c r="Y183" s="147">
        <f>'Médias por UF'!CO156*'Evolução das Receitas'!$V$217</f>
        <v>41298.82014855434</v>
      </c>
      <c r="Z183" s="147">
        <f>'Médias por UF'!CP156*'Evolução das Receitas'!$V$217</f>
        <v>47295.293193755155</v>
      </c>
      <c r="AA183" s="147">
        <f>'Médias por UF'!CQ156*'Evolução das Receitas'!$V$217</f>
        <v>52380.345106204913</v>
      </c>
      <c r="AB183" s="147">
        <f>'Médias por UF'!CR156*'Evolução das Receitas'!$V$217</f>
        <v>58272.800000000003</v>
      </c>
      <c r="AC183" s="147">
        <f t="shared" si="72"/>
        <v>58272.800000000003</v>
      </c>
      <c r="AE183" s="213" t="s">
        <v>90</v>
      </c>
      <c r="AF183" s="147">
        <f>JAN!$AN$8</f>
        <v>5780.9679999999998</v>
      </c>
      <c r="AG183" s="147">
        <f>FEV!$AN8</f>
        <v>4908.24</v>
      </c>
      <c r="AH183" s="147">
        <f>MAR!$AN8</f>
        <v>5436.768</v>
      </c>
      <c r="AI183" s="147">
        <f>ABR!$AO8</f>
        <v>2440.4080000000008</v>
      </c>
      <c r="AJ183" s="147">
        <f>MAI!$Y8</f>
        <v>3558.9120000000007</v>
      </c>
      <c r="AK183" s="147">
        <f>JUN!$Y8</f>
        <v>7074.5399999999991</v>
      </c>
      <c r="AL183" s="147">
        <f>JUL!$Y8</f>
        <v>4988.6559999999999</v>
      </c>
      <c r="AM183" s="147">
        <f>AGO!$Y8</f>
        <v>7398.1819999999998</v>
      </c>
      <c r="AN183" s="147">
        <f>SET!$Y8</f>
        <v>7821.0080000000007</v>
      </c>
      <c r="AO183" s="147">
        <f>OUT!$Y8</f>
        <v>8012.9119999999994</v>
      </c>
      <c r="AP183" s="147">
        <f>NOV!$Y8</f>
        <v>7795.6</v>
      </c>
      <c r="AQ183" s="147">
        <f>DEZ!$Y8</f>
        <v>10237.296000000002</v>
      </c>
      <c r="AR183" s="177">
        <f t="shared" si="73"/>
        <v>75453.489999999991</v>
      </c>
      <c r="AT183" s="63"/>
      <c r="AV183" s="63"/>
      <c r="AW183" s="63"/>
    </row>
    <row r="184" spans="1:49">
      <c r="A184" s="212" t="s">
        <v>91</v>
      </c>
      <c r="B184" s="147">
        <f>$G$218*'Médias por UF'!CG157</f>
        <v>15989.47880004089</v>
      </c>
      <c r="C184" s="147">
        <f>$G$218*'Médias por UF'!CH157</f>
        <v>30922.917112490137</v>
      </c>
      <c r="D184" s="147">
        <f>$G$218*'Médias por UF'!CI157</f>
        <v>42565.572426190971</v>
      </c>
      <c r="E184" s="147">
        <f>$G$218*'Médias por UF'!CJ157</f>
        <v>53171.982232269962</v>
      </c>
      <c r="F184" s="147">
        <f>$G$218*'Médias por UF'!CK157</f>
        <v>63712.616246980317</v>
      </c>
      <c r="G184" s="147">
        <f>$G$218*'Médias por UF'!CL157</f>
        <v>73820.246195981017</v>
      </c>
      <c r="H184" s="147">
        <f>$G$218*'Médias por UF'!CM157</f>
        <v>86914.508193936941</v>
      </c>
      <c r="I184" s="147">
        <f>$G$218*'Médias por UF'!CN157</f>
        <v>102180.61212525131</v>
      </c>
      <c r="J184" s="147">
        <f>$G$218*'Médias por UF'!CO157</f>
        <v>113351.71961806566</v>
      </c>
      <c r="K184" s="147">
        <f>$G$218*'Médias por UF'!CP157</f>
        <v>128276.54466617132</v>
      </c>
      <c r="L184" s="147">
        <f>$G$218*'Médias por UF'!CQ157</f>
        <v>144633.68524904081</v>
      </c>
      <c r="M184" s="147">
        <f>$G$218*'Médias por UF'!CR157</f>
        <v>162439.32839119999</v>
      </c>
      <c r="N184" s="147">
        <f t="shared" si="71"/>
        <v>162439.32839119999</v>
      </c>
      <c r="P184" s="213" t="s">
        <v>91</v>
      </c>
      <c r="Q184" s="147">
        <f>'Médias por UF'!CG157*'Evolução das Receitas'!$V$218</f>
        <v>10605.888565240521</v>
      </c>
      <c r="R184" s="147">
        <f>'Médias por UF'!CH157*'Evolução das Receitas'!$V$218</f>
        <v>20511.301031675957</v>
      </c>
      <c r="S184" s="147">
        <f>'Médias por UF'!CI157*'Evolução das Receitas'!$V$218</f>
        <v>28233.923288775462</v>
      </c>
      <c r="T184" s="147">
        <f>'Médias por UF'!CJ157*'Evolução das Receitas'!$V$218</f>
        <v>35269.199540573012</v>
      </c>
      <c r="U184" s="147">
        <f>'Médias por UF'!CK157*'Evolução das Receitas'!$V$218</f>
        <v>42260.846433198181</v>
      </c>
      <c r="V184" s="147">
        <f>'Médias por UF'!CL157*'Evolução das Receitas'!$V$218</f>
        <v>48965.279907134485</v>
      </c>
      <c r="W184" s="147">
        <f>'Médias por UF'!CM157*'Evolução das Receitas'!$V$218</f>
        <v>57650.758985666369</v>
      </c>
      <c r="X184" s="147">
        <f>'Médias por UF'!CN157*'Evolução das Receitas'!$V$218</f>
        <v>67776.829956815622</v>
      </c>
      <c r="Y184" s="147">
        <f>'Médias por UF'!CO157*'Evolução das Receitas'!$V$218</f>
        <v>75186.672560241161</v>
      </c>
      <c r="Z184" s="147">
        <f>'Médias por UF'!CP157*'Evolução das Receitas'!$V$218</f>
        <v>85086.371812196405</v>
      </c>
      <c r="AA184" s="147">
        <f>'Médias por UF'!CQ157*'Evolução das Receitas'!$V$218</f>
        <v>95936.131984957246</v>
      </c>
      <c r="AB184" s="147">
        <f>'Médias por UF'!CR157*'Evolução das Receitas'!$V$218</f>
        <v>107746.69</v>
      </c>
      <c r="AC184" s="147">
        <f t="shared" si="72"/>
        <v>107746.69</v>
      </c>
      <c r="AE184" s="213" t="s">
        <v>91</v>
      </c>
      <c r="AF184" s="147">
        <f>JAN!$AN$9</f>
        <v>17829.168000000001</v>
      </c>
      <c r="AG184" s="147">
        <f>FEV!$AN9</f>
        <v>18188.568000000007</v>
      </c>
      <c r="AH184" s="147">
        <f>MAR!$AN9</f>
        <v>11901.512000000002</v>
      </c>
      <c r="AI184" s="147">
        <f>ABR!$AO9</f>
        <v>7733.0240000000003</v>
      </c>
      <c r="AJ184" s="147">
        <f>MAI!$Y9</f>
        <v>6517.1679999999997</v>
      </c>
      <c r="AK184" s="147">
        <f>JUN!$Y9</f>
        <v>6651.72</v>
      </c>
      <c r="AL184" s="147">
        <f>JUL!$Y9</f>
        <v>9969.4959999999992</v>
      </c>
      <c r="AM184" s="147">
        <f>AGO!$Y9</f>
        <v>10353.472</v>
      </c>
      <c r="AN184" s="147">
        <f>SET!$Y9</f>
        <v>15934.376000000004</v>
      </c>
      <c r="AO184" s="147">
        <f>OUT!$Y9</f>
        <v>15001.344000000003</v>
      </c>
      <c r="AP184" s="147">
        <f>NOV!$Y9</f>
        <v>18513.511999999999</v>
      </c>
      <c r="AQ184" s="147">
        <f>DEZ!$Y9</f>
        <v>16964.896000000001</v>
      </c>
      <c r="AR184" s="177">
        <f t="shared" si="73"/>
        <v>155558.25599999999</v>
      </c>
      <c r="AT184" s="63"/>
      <c r="AV184" s="63"/>
      <c r="AW184" s="63"/>
    </row>
    <row r="185" spans="1:49">
      <c r="A185" s="212" t="s">
        <v>92</v>
      </c>
      <c r="B185" s="147">
        <f>$G$219*'Médias por UF'!CG158</f>
        <v>6939.6806292930796</v>
      </c>
      <c r="C185" s="147">
        <f>$G$219*'Médias por UF'!CH158</f>
        <v>19163.109373815521</v>
      </c>
      <c r="D185" s="147">
        <f>$G$219*'Médias por UF'!CI158</f>
        <v>26977.68291379666</v>
      </c>
      <c r="E185" s="147">
        <f>$G$219*'Médias por UF'!CJ158</f>
        <v>32438.707454491196</v>
      </c>
      <c r="F185" s="147">
        <f>$G$219*'Médias por UF'!CK158</f>
        <v>38409.978599146365</v>
      </c>
      <c r="G185" s="147">
        <f>$G$219*'Médias por UF'!CL158</f>
        <v>45126.864443070299</v>
      </c>
      <c r="H185" s="147">
        <f>$G$219*'Médias por UF'!CM158</f>
        <v>53215.138131493994</v>
      </c>
      <c r="I185" s="147">
        <f>$G$219*'Médias por UF'!CN158</f>
        <v>61387.908649905883</v>
      </c>
      <c r="J185" s="147">
        <f>$G$219*'Médias por UF'!CO158</f>
        <v>68308.256963364198</v>
      </c>
      <c r="K185" s="147">
        <f>$G$219*'Médias por UF'!CP158</f>
        <v>77839.015150469291</v>
      </c>
      <c r="L185" s="147">
        <f>$G$219*'Médias por UF'!CQ158</f>
        <v>86239.876296187082</v>
      </c>
      <c r="M185" s="147">
        <f>$G$219*'Médias por UF'!CR158</f>
        <v>94672.456894400006</v>
      </c>
      <c r="N185" s="147">
        <f t="shared" si="71"/>
        <v>94672.456894400006</v>
      </c>
      <c r="P185" s="213" t="s">
        <v>92</v>
      </c>
      <c r="Q185" s="147">
        <f>'Médias por UF'!CG158*'Evolução das Receitas'!$V$219</f>
        <v>4206.3452261411094</v>
      </c>
      <c r="R185" s="147">
        <f>'Médias por UF'!CH158*'Evolução das Receitas'!$V$219</f>
        <v>11615.326113469861</v>
      </c>
      <c r="S185" s="147">
        <f>'Médias por UF'!CI158*'Evolução das Receitas'!$V$219</f>
        <v>16351.969751719926</v>
      </c>
      <c r="T185" s="147">
        <f>'Médias por UF'!CJ158*'Evolução das Receitas'!$V$219</f>
        <v>19662.057885981787</v>
      </c>
      <c r="U185" s="147">
        <f>'Médias por UF'!CK158*'Evolução das Receitas'!$V$219</f>
        <v>23281.421544777859</v>
      </c>
      <c r="V185" s="147">
        <f>'Médias por UF'!CL158*'Evolução das Receitas'!$V$219</f>
        <v>27352.724276615871</v>
      </c>
      <c r="W185" s="147">
        <f>'Médias por UF'!CM158*'Evolução das Receitas'!$V$219</f>
        <v>32255.265651994614</v>
      </c>
      <c r="X185" s="147">
        <f>'Médias por UF'!CN158*'Evolução das Receitas'!$V$219</f>
        <v>37209.023049612864</v>
      </c>
      <c r="Y185" s="147">
        <f>'Médias por UF'!CO158*'Evolução das Receitas'!$V$219</f>
        <v>41403.65038861108</v>
      </c>
      <c r="Z185" s="147">
        <f>'Médias por UF'!CP158*'Evolução das Receitas'!$V$219</f>
        <v>47180.524187761475</v>
      </c>
      <c r="AA185" s="147">
        <f>'Médias por UF'!CQ158*'Evolução das Receitas'!$V$219</f>
        <v>52272.534045766137</v>
      </c>
      <c r="AB185" s="147">
        <f>'Médias por UF'!CR158*'Evolução das Receitas'!$V$219</f>
        <v>57383.770000000004</v>
      </c>
      <c r="AC185" s="147">
        <f t="shared" si="72"/>
        <v>57383.770000000004</v>
      </c>
      <c r="AE185" s="213" t="s">
        <v>92</v>
      </c>
      <c r="AF185" s="147">
        <f>JAN!$AN$10</f>
        <v>8037.68</v>
      </c>
      <c r="AG185" s="147">
        <f>FEV!$AN10</f>
        <v>10542.575999999999</v>
      </c>
      <c r="AH185" s="147">
        <f>MAR!$AN10</f>
        <v>4848.1360000000004</v>
      </c>
      <c r="AI185" s="147">
        <f>ABR!$AO10</f>
        <v>3931.44</v>
      </c>
      <c r="AJ185" s="147">
        <f>MAI!$Y10</f>
        <v>4578.5120000000006</v>
      </c>
      <c r="AK185" s="147">
        <f>JUN!$Y10</f>
        <v>9590.1839999999993</v>
      </c>
      <c r="AL185" s="147">
        <f>JUL!$Y10</f>
        <v>5997.9920000000011</v>
      </c>
      <c r="AM185" s="147">
        <f>AGO!$Y10</f>
        <v>8096.8880000000017</v>
      </c>
      <c r="AN185" s="147">
        <f>SET!$Y10</f>
        <v>13045.264000000003</v>
      </c>
      <c r="AO185" s="147">
        <f>OUT!$Y10</f>
        <v>9985.2560000000012</v>
      </c>
      <c r="AP185" s="147">
        <f>NOV!$Y10</f>
        <v>9812.7599999999984</v>
      </c>
      <c r="AQ185" s="147">
        <f>DEZ!$Y10</f>
        <v>11043.496000000001</v>
      </c>
      <c r="AR185" s="177">
        <f t="shared" si="73"/>
        <v>99510.183999999979</v>
      </c>
      <c r="AT185" s="63"/>
      <c r="AV185" s="63"/>
      <c r="AW185" s="63"/>
    </row>
    <row r="186" spans="1:49">
      <c r="A186" s="212" t="s">
        <v>93</v>
      </c>
      <c r="B186" s="147">
        <f>$G$220*'Médias por UF'!CG159</f>
        <v>14008.295444231371</v>
      </c>
      <c r="C186" s="147">
        <f>$G$220*'Médias por UF'!CH159</f>
        <v>28691.053781884868</v>
      </c>
      <c r="D186" s="147">
        <f>$G$220*'Médias por UF'!CI159</f>
        <v>41655.992833155251</v>
      </c>
      <c r="E186" s="147">
        <f>$G$220*'Médias por UF'!CJ159</f>
        <v>52802.253755818951</v>
      </c>
      <c r="F186" s="147">
        <f>$G$220*'Médias por UF'!CK159</f>
        <v>64578.834451089118</v>
      </c>
      <c r="G186" s="147">
        <f>$G$220*'Médias por UF'!CL159</f>
        <v>77542.442713248151</v>
      </c>
      <c r="H186" s="147">
        <f>$G$220*'Médias por UF'!CM159</f>
        <v>92260.908252291993</v>
      </c>
      <c r="I186" s="147">
        <f>$G$220*'Médias por UF'!CN159</f>
        <v>107429.81558058034</v>
      </c>
      <c r="J186" s="147">
        <f>$G$220*'Médias por UF'!CO159</f>
        <v>119974.19974538984</v>
      </c>
      <c r="K186" s="147">
        <f>$G$220*'Médias por UF'!CP159</f>
        <v>136122.58986301537</v>
      </c>
      <c r="L186" s="147">
        <f>$G$220*'Médias por UF'!CQ159</f>
        <v>152580.96602126764</v>
      </c>
      <c r="M186" s="147">
        <f>$G$220*'Médias por UF'!CR159</f>
        <v>170383.82998000004</v>
      </c>
      <c r="N186" s="147">
        <f t="shared" si="71"/>
        <v>170383.82998000004</v>
      </c>
      <c r="P186" s="213" t="s">
        <v>93</v>
      </c>
      <c r="Q186" s="147">
        <f>'Médias por UF'!CG159*'Evolução das Receitas'!$V$220</f>
        <v>15310.18423458072</v>
      </c>
      <c r="R186" s="147">
        <f>'Médias por UF'!CH159*'Evolução das Receitas'!$V$220</f>
        <v>31357.513912644605</v>
      </c>
      <c r="S186" s="147">
        <f>'Médias por UF'!CI159*'Evolução das Receitas'!$V$220</f>
        <v>45527.375353338335</v>
      </c>
      <c r="T186" s="147">
        <f>'Médias por UF'!CJ159*'Evolução das Receitas'!$V$220</f>
        <v>57709.536197394729</v>
      </c>
      <c r="U186" s="147">
        <f>'Médias por UF'!CK159*'Evolução das Receitas'!$V$220</f>
        <v>70580.596835414137</v>
      </c>
      <c r="V186" s="147">
        <f>'Médias por UF'!CL159*'Evolução das Receitas'!$V$220</f>
        <v>84749.003807464396</v>
      </c>
      <c r="W186" s="147">
        <f>'Médias por UF'!CM159*'Evolução das Receitas'!$V$220</f>
        <v>100835.35920667784</v>
      </c>
      <c r="X186" s="147">
        <f>'Médias por UF'!CN159*'Evolução das Receitas'!$V$220</f>
        <v>117414.01909845023</v>
      </c>
      <c r="Y186" s="147">
        <f>'Médias por UF'!CO159*'Evolução das Receitas'!$V$220</f>
        <v>131124.24054810414</v>
      </c>
      <c r="Z186" s="147">
        <f>'Médias por UF'!CP159*'Evolução das Receitas'!$V$220</f>
        <v>148773.41340978455</v>
      </c>
      <c r="AA186" s="147">
        <f>'Médias por UF'!CQ159*'Evolução das Receitas'!$V$220</f>
        <v>166761.38148113465</v>
      </c>
      <c r="AB186" s="147">
        <f>'Médias por UF'!CR159*'Evolução das Receitas'!$V$220</f>
        <v>186218.79</v>
      </c>
      <c r="AC186" s="147">
        <f t="shared" si="72"/>
        <v>186218.79</v>
      </c>
      <c r="AE186" s="213" t="s">
        <v>93</v>
      </c>
      <c r="AF186" s="147">
        <f>JAN!$AN$11</f>
        <v>22522.968000000004</v>
      </c>
      <c r="AG186" s="147">
        <f>FEV!$AN11</f>
        <v>16258.056000000002</v>
      </c>
      <c r="AH186" s="147">
        <f>MAR!$AN11</f>
        <v>16483.400000000001</v>
      </c>
      <c r="AI186" s="147">
        <f>ABR!$AO11</f>
        <v>10684.04</v>
      </c>
      <c r="AJ186" s="147">
        <f>MAI!$Y11</f>
        <v>14942.055999999999</v>
      </c>
      <c r="AK186" s="147">
        <f>JUN!$Y11</f>
        <v>10220.784000000001</v>
      </c>
      <c r="AL186" s="147">
        <f>JUL!$Y11</f>
        <v>9663.52</v>
      </c>
      <c r="AM186" s="147">
        <f>AGO!$Y11</f>
        <v>17413.232</v>
      </c>
      <c r="AN186" s="147">
        <f>SET!$Y11</f>
        <v>16664.072</v>
      </c>
      <c r="AO186" s="147">
        <f>OUT!$Y11</f>
        <v>20630.543999999998</v>
      </c>
      <c r="AP186" s="147">
        <f>NOV!$Y11</f>
        <v>22226.432000000004</v>
      </c>
      <c r="AQ186" s="147">
        <f>DEZ!$Y11</f>
        <v>15818.215999999999</v>
      </c>
      <c r="AR186" s="177">
        <f t="shared" si="73"/>
        <v>193527.32</v>
      </c>
      <c r="AT186" s="63"/>
      <c r="AV186" s="63"/>
      <c r="AW186" s="63"/>
    </row>
    <row r="187" spans="1:49">
      <c r="A187" s="212" t="s">
        <v>94</v>
      </c>
      <c r="B187" s="147">
        <f>$G$221*'Médias por UF'!CG160</f>
        <v>7484.8566794222706</v>
      </c>
      <c r="C187" s="147">
        <f>$G$221*'Médias por UF'!CH160</f>
        <v>13803.761789148499</v>
      </c>
      <c r="D187" s="147">
        <f>$G$221*'Médias por UF'!CI160</f>
        <v>20603.026123730695</v>
      </c>
      <c r="E187" s="147">
        <f>$G$221*'Médias por UF'!CJ160</f>
        <v>26003.034034427121</v>
      </c>
      <c r="F187" s="147">
        <f>$G$221*'Médias por UF'!CK160</f>
        <v>31697.413818319383</v>
      </c>
      <c r="G187" s="147">
        <f>$G$221*'Médias por UF'!CL160</f>
        <v>37876.115690651081</v>
      </c>
      <c r="H187" s="147">
        <f>$G$221*'Médias por UF'!CM160</f>
        <v>45880.596427729259</v>
      </c>
      <c r="I187" s="147">
        <f>$G$221*'Médias por UF'!CN160</f>
        <v>57150.113936937232</v>
      </c>
      <c r="J187" s="147">
        <f>$G$221*'Médias por UF'!CO160</f>
        <v>67502.263493434002</v>
      </c>
      <c r="K187" s="147">
        <f>$G$221*'Médias por UF'!CP160</f>
        <v>79270.623593035183</v>
      </c>
      <c r="L187" s="147">
        <f>$G$221*'Médias por UF'!CQ160</f>
        <v>92827.829008753164</v>
      </c>
      <c r="M187" s="147">
        <f>$G$221*'Médias por UF'!CR160</f>
        <v>107111.25277440001</v>
      </c>
      <c r="N187" s="147">
        <f t="shared" si="71"/>
        <v>107111.25277440001</v>
      </c>
      <c r="P187" s="213" t="s">
        <v>94</v>
      </c>
      <c r="Q187" s="147">
        <f>'Médias por UF'!CG160*'Evolução das Receitas'!$V$221</f>
        <v>7785.2514161880017</v>
      </c>
      <c r="R187" s="147">
        <f>'Médias por UF'!CH160*'Evolução das Receitas'!$V$221</f>
        <v>14357.757352006514</v>
      </c>
      <c r="S187" s="147">
        <f>'Médias por UF'!CI160*'Evolução das Receitas'!$V$221</f>
        <v>21429.901089290259</v>
      </c>
      <c r="T187" s="147">
        <f>'Médias por UF'!CJ160*'Evolução das Receitas'!$V$221</f>
        <v>27046.631112959956</v>
      </c>
      <c r="U187" s="147">
        <f>'Médias por UF'!CK160*'Evolução das Receitas'!$V$221</f>
        <v>32969.547232214412</v>
      </c>
      <c r="V187" s="147">
        <f>'Médias por UF'!CL160*'Evolução das Receitas'!$V$221</f>
        <v>39396.223060760371</v>
      </c>
      <c r="W187" s="147">
        <f>'Médias por UF'!CM160*'Evolução das Receitas'!$V$221</f>
        <v>47721.952952892047</v>
      </c>
      <c r="X187" s="147">
        <f>'Médias por UF'!CN160*'Evolução das Receitas'!$V$221</f>
        <v>59443.75751189248</v>
      </c>
      <c r="Y187" s="147">
        <f>'Médias por UF'!CO160*'Evolução das Receitas'!$V$221</f>
        <v>70211.376779323429</v>
      </c>
      <c r="Z187" s="147">
        <f>'Médias por UF'!CP160*'Evolução das Receitas'!$V$221</f>
        <v>82452.044310542246</v>
      </c>
      <c r="AA187" s="147">
        <f>'Médias por UF'!CQ160*'Evolução das Receitas'!$V$221</f>
        <v>96553.350078018455</v>
      </c>
      <c r="AB187" s="147">
        <f>'Médias por UF'!CR160*'Evolução das Receitas'!$V$221</f>
        <v>111410.01999999999</v>
      </c>
      <c r="AC187" s="147">
        <f t="shared" si="72"/>
        <v>111410.01999999999</v>
      </c>
      <c r="AE187" s="213" t="s">
        <v>94</v>
      </c>
      <c r="AF187" s="147">
        <f>JAN!$AN$12</f>
        <v>12693.168</v>
      </c>
      <c r="AG187" s="147">
        <f>FEV!$AN12</f>
        <v>11108.432000000001</v>
      </c>
      <c r="AH187" s="147">
        <f>MAR!$AN12</f>
        <v>9799.7920000000013</v>
      </c>
      <c r="AI187" s="147">
        <f>ABR!$AO12</f>
        <v>6983.8159999999998</v>
      </c>
      <c r="AJ187" s="147">
        <f>MAI!$Y12</f>
        <v>4861.9359999999997</v>
      </c>
      <c r="AK187" s="147">
        <f>JUN!$Y12</f>
        <v>4955.6320000000005</v>
      </c>
      <c r="AL187" s="147">
        <f>JUL!$Y12</f>
        <v>4963.3040000000001</v>
      </c>
      <c r="AM187" s="147">
        <f>AGO!$Y12</f>
        <v>6655.6</v>
      </c>
      <c r="AN187" s="147">
        <f>SET!$Y12</f>
        <v>7214.0720000000001</v>
      </c>
      <c r="AO187" s="147">
        <f>OUT!$Y12</f>
        <v>8883.7200000000012</v>
      </c>
      <c r="AP187" s="147">
        <f>NOV!$Y12</f>
        <v>9636.3040000000001</v>
      </c>
      <c r="AQ187" s="147">
        <f>DEZ!$Y12</f>
        <v>15517.103999999999</v>
      </c>
      <c r="AR187" s="177">
        <f t="shared" si="73"/>
        <v>103272.88</v>
      </c>
      <c r="AT187" s="63"/>
      <c r="AV187" s="63"/>
      <c r="AW187" s="63"/>
    </row>
    <row r="188" spans="1:49">
      <c r="A188" s="212" t="s">
        <v>95</v>
      </c>
      <c r="B188" s="147">
        <f>$G$222*'Médias por UF'!CG161</f>
        <v>12763.048936215231</v>
      </c>
      <c r="C188" s="147">
        <f>$G$222*'Médias por UF'!CH161</f>
        <v>27108.375559336284</v>
      </c>
      <c r="D188" s="147">
        <f>$G$222*'Médias por UF'!CI161</f>
        <v>41550.031533411013</v>
      </c>
      <c r="E188" s="147">
        <f>$G$222*'Médias por UF'!CJ161</f>
        <v>54765.499622562878</v>
      </c>
      <c r="F188" s="147">
        <f>$G$222*'Médias por UF'!CK161</f>
        <v>65405.630492851204</v>
      </c>
      <c r="G188" s="147">
        <f>$G$222*'Médias por UF'!CL161</f>
        <v>75612.803524075556</v>
      </c>
      <c r="H188" s="147">
        <f>$G$222*'Médias por UF'!CM161</f>
        <v>92073.123234170765</v>
      </c>
      <c r="I188" s="147">
        <f>$G$222*'Médias por UF'!CN161</f>
        <v>109627.94824403898</v>
      </c>
      <c r="J188" s="147">
        <f>$G$222*'Médias por UF'!CO161</f>
        <v>123682.96806953543</v>
      </c>
      <c r="K188" s="147">
        <f>$G$222*'Médias por UF'!CP161</f>
        <v>139357.22216147801</v>
      </c>
      <c r="L188" s="147">
        <f>$G$222*'Médias por UF'!CQ161</f>
        <v>153755.96118123177</v>
      </c>
      <c r="M188" s="147">
        <f>$G$222*'Médias por UF'!CR161</f>
        <v>172600.93269440005</v>
      </c>
      <c r="N188" s="147">
        <f t="shared" si="71"/>
        <v>172600.93269440005</v>
      </c>
      <c r="P188" s="213" t="s">
        <v>95</v>
      </c>
      <c r="Q188" s="147">
        <f>'Médias por UF'!CG161*'Evolução das Receitas'!$V$222</f>
        <v>8265.9151373877376</v>
      </c>
      <c r="R188" s="147">
        <f>'Médias por UF'!CH161*'Evolução das Receitas'!$V$222</f>
        <v>17556.583305897529</v>
      </c>
      <c r="S188" s="147">
        <f>'Médias por UF'!CI161*'Evolução das Receitas'!$V$222</f>
        <v>26909.638623763411</v>
      </c>
      <c r="T188" s="147">
        <f>'Médias por UF'!CJ161*'Evolução das Receitas'!$V$222</f>
        <v>35468.560419935617</v>
      </c>
      <c r="U188" s="147">
        <f>'Médias por UF'!CK161*'Evolução das Receitas'!$V$222</f>
        <v>42359.579898435222</v>
      </c>
      <c r="V188" s="147">
        <f>'Médias por UF'!CL161*'Evolução das Receitas'!$V$222</f>
        <v>48970.19672599656</v>
      </c>
      <c r="W188" s="147">
        <f>'Médias por UF'!CM161*'Evolução das Receitas'!$V$222</f>
        <v>59630.627986418018</v>
      </c>
      <c r="X188" s="147">
        <f>'Médias por UF'!CN161*'Evolução das Receitas'!$V$222</f>
        <v>70999.909300659594</v>
      </c>
      <c r="Y188" s="147">
        <f>'Médias por UF'!CO161*'Evolução das Receitas'!$V$222</f>
        <v>80102.561943650027</v>
      </c>
      <c r="Z188" s="147">
        <f>'Médias por UF'!CP161*'Evolução das Receitas'!$V$222</f>
        <v>90253.902333657985</v>
      </c>
      <c r="AA188" s="147">
        <f>'Médias por UF'!CQ161*'Evolução das Receitas'!$V$222</f>
        <v>99579.16273322927</v>
      </c>
      <c r="AB188" s="147">
        <f>'Médias por UF'!CR161*'Evolução das Receitas'!$V$222</f>
        <v>111784</v>
      </c>
      <c r="AC188" s="147">
        <f t="shared" si="72"/>
        <v>111784</v>
      </c>
      <c r="AE188" s="213" t="s">
        <v>95</v>
      </c>
      <c r="AF188" s="147">
        <f>JAN!$AN$13</f>
        <v>13902</v>
      </c>
      <c r="AG188" s="147">
        <f>FEV!$AN13</f>
        <v>13566.871999999999</v>
      </c>
      <c r="AH188" s="147">
        <f>MAR!$AN13</f>
        <v>12007.431999999999</v>
      </c>
      <c r="AI188" s="147">
        <f>ABR!$AO13</f>
        <v>10820.216000000002</v>
      </c>
      <c r="AJ188" s="147">
        <f>MAI!$Y13</f>
        <v>6865.0559999999996</v>
      </c>
      <c r="AK188" s="147">
        <f>JUN!$Y13</f>
        <v>11446.232</v>
      </c>
      <c r="AL188" s="147">
        <f>JUL!$Y13</f>
        <v>11317.624</v>
      </c>
      <c r="AM188" s="147">
        <f>AGO!$Y13</f>
        <v>13906.760000000002</v>
      </c>
      <c r="AN188" s="147">
        <f>SET!$Y13</f>
        <v>18807.912</v>
      </c>
      <c r="AO188" s="147">
        <f>OUT!$Y13</f>
        <v>19051.335999999999</v>
      </c>
      <c r="AP188" s="147">
        <f>NOV!$Y13</f>
        <v>17154.072</v>
      </c>
      <c r="AQ188" s="147">
        <f>DEZ!$Y13</f>
        <v>17181.68</v>
      </c>
      <c r="AR188" s="177">
        <f t="shared" si="73"/>
        <v>166027.19199999998</v>
      </c>
      <c r="AT188" s="63"/>
      <c r="AV188" s="63"/>
      <c r="AW188" s="63"/>
    </row>
    <row r="189" spans="1:49">
      <c r="A189" s="212" t="s">
        <v>96</v>
      </c>
      <c r="B189" s="147">
        <f>$G$223*'Médias por UF'!CG162</f>
        <v>3974.2748171150984</v>
      </c>
      <c r="C189" s="147">
        <f>$G$223*'Médias por UF'!CH162</f>
        <v>6734.1543344784759</v>
      </c>
      <c r="D189" s="147">
        <f>$G$223*'Médias por UF'!CI162</f>
        <v>10642.218898394411</v>
      </c>
      <c r="E189" s="147">
        <f>$G$223*'Médias por UF'!CJ162</f>
        <v>13095.6114004869</v>
      </c>
      <c r="F189" s="147">
        <f>$G$223*'Médias por UF'!CK162</f>
        <v>15784.943675989281</v>
      </c>
      <c r="G189" s="147">
        <f>$G$223*'Médias por UF'!CL162</f>
        <v>18964.683930269333</v>
      </c>
      <c r="H189" s="147">
        <f>$G$223*'Médias por UF'!CM162</f>
        <v>24399.82332533555</v>
      </c>
      <c r="I189" s="147">
        <f>$G$223*'Médias por UF'!CN162</f>
        <v>29028.985088961246</v>
      </c>
      <c r="J189" s="147">
        <f>$G$223*'Médias por UF'!CO162</f>
        <v>33543.083163928066</v>
      </c>
      <c r="K189" s="147">
        <f>$G$223*'Médias por UF'!CP162</f>
        <v>38630.735492226617</v>
      </c>
      <c r="L189" s="147">
        <f>$G$223*'Médias por UF'!CQ162</f>
        <v>43829.130729677636</v>
      </c>
      <c r="M189" s="147">
        <f>$G$223*'Médias por UF'!CR162</f>
        <v>48954.62729360001</v>
      </c>
      <c r="N189" s="147">
        <f t="shared" si="71"/>
        <v>48954.62729360001</v>
      </c>
      <c r="P189" s="213" t="s">
        <v>96</v>
      </c>
      <c r="Q189" s="147">
        <f>'Médias por UF'!CG162*'Evolução das Receitas'!$V$223</f>
        <v>4306.4532270513873</v>
      </c>
      <c r="R189" s="147">
        <f>'Médias por UF'!CH162*'Evolução das Receitas'!$V$223</f>
        <v>7297.0093915719881</v>
      </c>
      <c r="S189" s="147">
        <f>'Médias por UF'!CI162*'Evolução das Receitas'!$V$223</f>
        <v>11531.718370509099</v>
      </c>
      <c r="T189" s="147">
        <f>'Médias por UF'!CJ162*'Evolução das Receitas'!$V$223</f>
        <v>14190.170677923827</v>
      </c>
      <c r="U189" s="147">
        <f>'Médias por UF'!CK162*'Evolução das Receitas'!$V$223</f>
        <v>17104.283110857592</v>
      </c>
      <c r="V189" s="147">
        <f>'Médias por UF'!CL162*'Evolução das Receitas'!$V$223</f>
        <v>20549.792872854749</v>
      </c>
      <c r="W189" s="147">
        <f>'Médias por UF'!CM162*'Evolução das Receitas'!$V$223</f>
        <v>26439.212871330703</v>
      </c>
      <c r="X189" s="147">
        <f>'Médias por UF'!CN162*'Evolução das Receitas'!$V$223</f>
        <v>31455.289899939322</v>
      </c>
      <c r="Y189" s="147">
        <f>'Médias por UF'!CO162*'Evolução das Receitas'!$V$223</f>
        <v>36346.685970097984</v>
      </c>
      <c r="Z189" s="147">
        <f>'Médias por UF'!CP162*'Evolução das Receitas'!$V$223</f>
        <v>41859.575187764349</v>
      </c>
      <c r="AA189" s="147">
        <f>'Médias por UF'!CQ162*'Evolução das Receitas'!$V$223</f>
        <v>47492.463444359506</v>
      </c>
      <c r="AB189" s="147">
        <f>'Médias por UF'!CR162*'Evolução das Receitas'!$V$223</f>
        <v>53046.36</v>
      </c>
      <c r="AC189" s="147">
        <f t="shared" si="72"/>
        <v>53046.36</v>
      </c>
      <c r="AE189" s="213" t="s">
        <v>96</v>
      </c>
      <c r="AF189" s="147">
        <f>JAN!$AN$14</f>
        <v>5276.0319999999992</v>
      </c>
      <c r="AG189" s="147">
        <f>FEV!$AN14</f>
        <v>6220.6720000000005</v>
      </c>
      <c r="AH189" s="147">
        <f>MAR!$AN14</f>
        <v>9229.4959999999992</v>
      </c>
      <c r="AI189" s="147">
        <f>ABR!$AO14</f>
        <v>4121.576</v>
      </c>
      <c r="AJ189" s="147">
        <f>MAI!$Y14</f>
        <v>2310.3680000000004</v>
      </c>
      <c r="AK189" s="147">
        <f>JUN!$Y14</f>
        <v>3687.5280000000007</v>
      </c>
      <c r="AL189" s="147">
        <f>JUL!$Y14</f>
        <v>3787.5279999999998</v>
      </c>
      <c r="AM189" s="147">
        <f>AGO!$Y14</f>
        <v>4394.3920000000007</v>
      </c>
      <c r="AN189" s="147">
        <f>SET!$Y14</f>
        <v>7201.6239999999998</v>
      </c>
      <c r="AO189" s="147">
        <f>OUT!$Y14</f>
        <v>6232.1200000000008</v>
      </c>
      <c r="AP189" s="147">
        <f>NOV!$Y14</f>
        <v>6177.0640000000003</v>
      </c>
      <c r="AQ189" s="147">
        <f>DEZ!$Y14</f>
        <v>8216.2160000000003</v>
      </c>
      <c r="AR189" s="177">
        <f t="shared" si="73"/>
        <v>66854.616000000009</v>
      </c>
      <c r="AT189" s="63"/>
      <c r="AV189" s="63"/>
      <c r="AW189" s="63"/>
    </row>
    <row r="190" spans="1:49">
      <c r="A190" s="212" t="s">
        <v>97</v>
      </c>
      <c r="B190" s="147">
        <f>$G$224*'Médias por UF'!CG163</f>
        <v>13071.710947561642</v>
      </c>
      <c r="C190" s="147">
        <f>$G$224*'Médias por UF'!CH163</f>
        <v>29725.589768962709</v>
      </c>
      <c r="D190" s="147">
        <f>$G$224*'Médias por UF'!CI163</f>
        <v>44463.938688027389</v>
      </c>
      <c r="E190" s="147">
        <f>$G$224*'Médias por UF'!CJ163</f>
        <v>54757.261105149599</v>
      </c>
      <c r="F190" s="147">
        <f>$G$224*'Médias por UF'!CK163</f>
        <v>66954.270592012472</v>
      </c>
      <c r="G190" s="147">
        <f>$G$224*'Médias por UF'!CL163</f>
        <v>78083.638317718927</v>
      </c>
      <c r="H190" s="147">
        <f>$G$224*'Médias por UF'!CM163</f>
        <v>88048.474424138869</v>
      </c>
      <c r="I190" s="147">
        <f>$G$224*'Médias por UF'!CN163</f>
        <v>101415.04699229715</v>
      </c>
      <c r="J190" s="147">
        <f>$G$224*'Médias por UF'!CO163</f>
        <v>113298.72172322846</v>
      </c>
      <c r="K190" s="147">
        <f>$G$224*'Médias por UF'!CP163</f>
        <v>130209.75270114242</v>
      </c>
      <c r="L190" s="147">
        <f>$G$224*'Médias por UF'!CQ163</f>
        <v>147884.94311870501</v>
      </c>
      <c r="M190" s="147">
        <f>$G$224*'Médias por UF'!CR163</f>
        <v>163778.80255520003</v>
      </c>
      <c r="N190" s="147">
        <f t="shared" si="71"/>
        <v>163778.80255520003</v>
      </c>
      <c r="P190" s="213" t="s">
        <v>97</v>
      </c>
      <c r="Q190" s="147">
        <f>'Médias por UF'!CG163*'Evolução das Receitas'!$V$224</f>
        <v>8922.4473509453783</v>
      </c>
      <c r="R190" s="147">
        <f>'Médias por UF'!CH163*'Evolução das Receitas'!$V$224</f>
        <v>20289.999584089997</v>
      </c>
      <c r="S190" s="147">
        <f>'Médias por UF'!CI163*'Evolução das Receitas'!$V$224</f>
        <v>30350.055440415934</v>
      </c>
      <c r="T190" s="147">
        <f>'Médias por UF'!CJ163*'Evolução das Receitas'!$V$224</f>
        <v>37376.039085671699</v>
      </c>
      <c r="U190" s="147">
        <f>'Médias por UF'!CK163*'Evolução das Receitas'!$V$224</f>
        <v>45701.435464316033</v>
      </c>
      <c r="V190" s="147">
        <f>'Médias por UF'!CL163*'Evolução das Receitas'!$V$224</f>
        <v>53298.084287127553</v>
      </c>
      <c r="W190" s="147">
        <f>'Médias por UF'!CM163*'Evolução das Receitas'!$V$224</f>
        <v>60099.850779440989</v>
      </c>
      <c r="X190" s="147">
        <f>'Médias por UF'!CN163*'Evolução das Receitas'!$V$224</f>
        <v>69223.563848098609</v>
      </c>
      <c r="Y190" s="147">
        <f>'Médias por UF'!CO163*'Evolução das Receitas'!$V$224</f>
        <v>77335.085174407723</v>
      </c>
      <c r="Z190" s="147">
        <f>'Médias por UF'!CP163*'Evolução das Receitas'!$V$224</f>
        <v>88878.163517858236</v>
      </c>
      <c r="AA190" s="147">
        <f>'Médias por UF'!CQ163*'Evolução das Receitas'!$V$224</f>
        <v>100942.83940851159</v>
      </c>
      <c r="AB190" s="147">
        <f>'Médias por UF'!CR163*'Evolução das Receitas'!$V$224</f>
        <v>111791.62</v>
      </c>
      <c r="AC190" s="147">
        <f t="shared" si="72"/>
        <v>111791.62</v>
      </c>
      <c r="AE190" s="213" t="s">
        <v>97</v>
      </c>
      <c r="AF190" s="147">
        <f>JAN!$AN$15</f>
        <v>5504.3360000000002</v>
      </c>
      <c r="AG190" s="147">
        <f>FEV!$AN15</f>
        <v>6385.3919999999998</v>
      </c>
      <c r="AH190" s="147">
        <f>MAR!$AN15</f>
        <v>7158.5920000000006</v>
      </c>
      <c r="AI190" s="147">
        <f>ABR!$AO15</f>
        <v>3672.288</v>
      </c>
      <c r="AJ190" s="147">
        <f>MAI!$Y15</f>
        <v>8091.4160000000011</v>
      </c>
      <c r="AK190" s="147">
        <f>JUN!$Y15</f>
        <v>13183.984</v>
      </c>
      <c r="AL190" s="147">
        <f>JUL!$Y15</f>
        <v>9734.0879999999997</v>
      </c>
      <c r="AM190" s="147">
        <f>AGO!$Y15</f>
        <v>14512.743999999999</v>
      </c>
      <c r="AN190" s="147">
        <f>SET!$Y15</f>
        <v>11351.584000000001</v>
      </c>
      <c r="AO190" s="147">
        <f>OUT!$Y15</f>
        <v>9614.0560000000005</v>
      </c>
      <c r="AP190" s="147">
        <f>NOV!$Y15</f>
        <v>11433.784000000001</v>
      </c>
      <c r="AQ190" s="147">
        <f>DEZ!$Y15</f>
        <v>12366.672000000002</v>
      </c>
      <c r="AR190" s="177">
        <f t="shared" si="73"/>
        <v>113008.936</v>
      </c>
      <c r="AT190" s="63"/>
      <c r="AV190" s="63"/>
      <c r="AW190" s="63"/>
    </row>
    <row r="191" spans="1:49">
      <c r="A191" s="212" t="s">
        <v>98</v>
      </c>
      <c r="B191" s="147">
        <f>$G$225*'Médias por UF'!CG164</f>
        <v>8500.2442520451877</v>
      </c>
      <c r="C191" s="147">
        <f>$G$225*'Médias por UF'!CH164</f>
        <v>18262.635806093789</v>
      </c>
      <c r="D191" s="147">
        <f>$G$225*'Médias por UF'!CI164</f>
        <v>26068.64817603882</v>
      </c>
      <c r="E191" s="147">
        <f>$G$225*'Médias por UF'!CJ164</f>
        <v>35736.053691444467</v>
      </c>
      <c r="F191" s="147">
        <f>$G$225*'Médias por UF'!CK164</f>
        <v>46018.461722026201</v>
      </c>
      <c r="G191" s="147">
        <f>$G$225*'Médias por UF'!CL164</f>
        <v>58194.116356894927</v>
      </c>
      <c r="H191" s="147">
        <f>$G$225*'Médias por UF'!CM164</f>
        <v>67942.071902285039</v>
      </c>
      <c r="I191" s="147">
        <f>$G$225*'Médias por UF'!CN164</f>
        <v>78845.738541160244</v>
      </c>
      <c r="J191" s="147">
        <f>$G$225*'Médias por UF'!CO164</f>
        <v>92490.273439592842</v>
      </c>
      <c r="K191" s="147">
        <f>$G$225*'Médias por UF'!CP164</f>
        <v>104421.58999756016</v>
      </c>
      <c r="L191" s="147">
        <f>$G$225*'Médias por UF'!CQ164</f>
        <v>115903.19975131925</v>
      </c>
      <c r="M191" s="147">
        <f>$G$225*'Médias por UF'!CR164</f>
        <v>130233.97456160001</v>
      </c>
      <c r="N191" s="147">
        <f t="shared" si="71"/>
        <v>130233.97456160001</v>
      </c>
      <c r="P191" s="213" t="s">
        <v>98</v>
      </c>
      <c r="Q191" s="147">
        <f>'Médias por UF'!CG164*'Evolução das Receitas'!$V$225</f>
        <v>7695.0611397942612</v>
      </c>
      <c r="R191" s="147">
        <f>'Médias por UF'!CH164*'Evolução das Receitas'!$V$225</f>
        <v>16532.713053260213</v>
      </c>
      <c r="S191" s="147">
        <f>'Médias por UF'!CI164*'Evolução das Receitas'!$V$225</f>
        <v>23599.303219803347</v>
      </c>
      <c r="T191" s="147">
        <f>'Médias por UF'!CJ164*'Evolução das Receitas'!$V$225</f>
        <v>32350.966618926486</v>
      </c>
      <c r="U191" s="147">
        <f>'Médias por UF'!CK164*'Evolução das Receitas'!$V$225</f>
        <v>41659.376602627897</v>
      </c>
      <c r="V191" s="147">
        <f>'Médias por UF'!CL164*'Evolução das Receitas'!$V$225</f>
        <v>52681.695968308661</v>
      </c>
      <c r="W191" s="147">
        <f>'Médias por UF'!CM164*'Evolução das Receitas'!$V$225</f>
        <v>61506.279319748879</v>
      </c>
      <c r="X191" s="147">
        <f>'Médias por UF'!CN164*'Evolução das Receitas'!$V$225</f>
        <v>71377.099374583428</v>
      </c>
      <c r="Y191" s="147">
        <f>'Médias por UF'!CO164*'Evolução das Receitas'!$V$225</f>
        <v>83729.159757111032</v>
      </c>
      <c r="Z191" s="147">
        <f>'Médias por UF'!CP164*'Evolução das Receitas'!$V$225</f>
        <v>94530.285897657857</v>
      </c>
      <c r="AA191" s="147">
        <f>'Médias por UF'!CQ164*'Evolução das Receitas'!$V$225</f>
        <v>104924.30357746471</v>
      </c>
      <c r="AB191" s="147">
        <f>'Médias por UF'!CR164*'Evolução das Receitas'!$V$225</f>
        <v>117897.60000000001</v>
      </c>
      <c r="AC191" s="147">
        <f t="shared" si="72"/>
        <v>117897.60000000001</v>
      </c>
      <c r="AE191" s="213" t="s">
        <v>98</v>
      </c>
      <c r="AF191" s="147">
        <f>JAN!$AN$16</f>
        <v>10979.584000000004</v>
      </c>
      <c r="AG191" s="147">
        <f>FEV!$AN16</f>
        <v>8976.1439999999984</v>
      </c>
      <c r="AH191" s="147">
        <f>MAR!$AN16</f>
        <v>9400.9600000000009</v>
      </c>
      <c r="AI191" s="147">
        <f>ABR!$AO16</f>
        <v>8330.2720000000008</v>
      </c>
      <c r="AJ191" s="147">
        <f>MAI!$Y16</f>
        <v>5320.5519999999997</v>
      </c>
      <c r="AK191" s="147">
        <f>JUN!$Y16</f>
        <v>6491.9439999999995</v>
      </c>
      <c r="AL191" s="147">
        <f>JUL!$Y16</f>
        <v>6688.52</v>
      </c>
      <c r="AM191" s="147">
        <f>AGO!$Y16</f>
        <v>8384.9840000000004</v>
      </c>
      <c r="AN191" s="147">
        <f>SET!$Y16</f>
        <v>14644.839999999998</v>
      </c>
      <c r="AO191" s="147">
        <f>OUT!$Y16</f>
        <v>13006.72</v>
      </c>
      <c r="AP191" s="147">
        <f>NOV!$Y16</f>
        <v>11097.816000000001</v>
      </c>
      <c r="AQ191" s="147">
        <f>DEZ!$Y16</f>
        <v>9135.0879999999997</v>
      </c>
      <c r="AR191" s="177">
        <f t="shared" si="73"/>
        <v>112457.42400000001</v>
      </c>
      <c r="AT191" s="63"/>
      <c r="AV191" s="63"/>
      <c r="AW191" s="63"/>
    </row>
    <row r="192" spans="1:49">
      <c r="A192" s="212" t="s">
        <v>99</v>
      </c>
      <c r="B192" s="147">
        <f>$G$226*'Médias por UF'!CG165</f>
        <v>51476.763425723526</v>
      </c>
      <c r="C192" s="147">
        <f>$G$226*'Médias por UF'!CH165</f>
        <v>89088.688820339637</v>
      </c>
      <c r="D192" s="147">
        <f>$G$226*'Médias por UF'!CI165</f>
        <v>125991.56755896602</v>
      </c>
      <c r="E192" s="147">
        <f>$G$226*'Médias por UF'!CJ165</f>
        <v>156683.34502594118</v>
      </c>
      <c r="F192" s="147">
        <f>$G$226*'Médias por UF'!CK165</f>
        <v>192325.64612005037</v>
      </c>
      <c r="G192" s="147">
        <f>$G$226*'Médias por UF'!CL165</f>
        <v>224054.62754421181</v>
      </c>
      <c r="H192" s="147">
        <f>$G$226*'Médias por UF'!CM165</f>
        <v>258458.33670815206</v>
      </c>
      <c r="I192" s="147">
        <f>$G$226*'Médias por UF'!CN165</f>
        <v>292627.74594340695</v>
      </c>
      <c r="J192" s="147">
        <f>$G$226*'Médias por UF'!CO165</f>
        <v>328644.34280441439</v>
      </c>
      <c r="K192" s="147">
        <f>$G$226*'Médias por UF'!CP165</f>
        <v>375588.5639034324</v>
      </c>
      <c r="L192" s="147">
        <f>$G$226*'Médias por UF'!CQ165</f>
        <v>426075.12169553089</v>
      </c>
      <c r="M192" s="147">
        <f>$G$226*'Médias por UF'!CR165</f>
        <v>473826.30025920004</v>
      </c>
      <c r="N192" s="147">
        <f t="shared" si="71"/>
        <v>473826.30025920004</v>
      </c>
      <c r="P192" s="213" t="s">
        <v>99</v>
      </c>
      <c r="Q192" s="147">
        <f>'Médias por UF'!CG165*'Evolução das Receitas'!$V$226</f>
        <v>50309.114013855964</v>
      </c>
      <c r="R192" s="147">
        <f>'Médias por UF'!CH165*'Evolução das Receitas'!$V$226</f>
        <v>87067.886652868096</v>
      </c>
      <c r="S192" s="147">
        <f>'Médias por UF'!CI165*'Evolução das Receitas'!$V$226</f>
        <v>123133.6959685586</v>
      </c>
      <c r="T192" s="147">
        <f>'Médias por UF'!CJ165*'Evolução das Receitas'!$V$226</f>
        <v>153129.29066250075</v>
      </c>
      <c r="U192" s="147">
        <f>'Médias por UF'!CK165*'Evolução das Receitas'!$V$226</f>
        <v>187963.11606504489</v>
      </c>
      <c r="V192" s="147">
        <f>'Médias por UF'!CL165*'Evolução das Receitas'!$V$226</f>
        <v>218972.38777877478</v>
      </c>
      <c r="W192" s="147">
        <f>'Médias por UF'!CM165*'Evolução das Receitas'!$V$226</f>
        <v>252595.71627971352</v>
      </c>
      <c r="X192" s="147">
        <f>'Médias por UF'!CN165*'Evolução das Receitas'!$V$226</f>
        <v>285990.05948629364</v>
      </c>
      <c r="Y192" s="147">
        <f>'Médias por UF'!CO165*'Evolução das Receitas'!$V$226</f>
        <v>321189.69049040711</v>
      </c>
      <c r="Z192" s="147">
        <f>'Médias por UF'!CP165*'Evolução das Receitas'!$V$226</f>
        <v>367069.07401011727</v>
      </c>
      <c r="AA192" s="147">
        <f>'Médias por UF'!CQ165*'Evolução das Receitas'!$V$226</f>
        <v>416410.44326295913</v>
      </c>
      <c r="AB192" s="147">
        <f>'Médias por UF'!CR165*'Evolução das Receitas'!$V$226</f>
        <v>463078.48</v>
      </c>
      <c r="AC192" s="147">
        <f t="shared" si="72"/>
        <v>463078.48</v>
      </c>
      <c r="AE192" s="213" t="s">
        <v>99</v>
      </c>
      <c r="AF192" s="147">
        <f>JAN!$AN$17</f>
        <v>60622.336000000003</v>
      </c>
      <c r="AG192" s="147">
        <f>FEV!$AN17</f>
        <v>47805.136000000006</v>
      </c>
      <c r="AH192" s="147">
        <f>MAR!$AN17</f>
        <v>45276.992000000006</v>
      </c>
      <c r="AI192" s="147">
        <f>ABR!$AO17</f>
        <v>30131.295999999998</v>
      </c>
      <c r="AJ192" s="147">
        <f>MAI!$Y17</f>
        <v>33399.288</v>
      </c>
      <c r="AK192" s="147">
        <f>JUN!$Y17</f>
        <v>35544.544000000002</v>
      </c>
      <c r="AL192" s="147">
        <f>JUL!$Y17</f>
        <v>34341.623999999996</v>
      </c>
      <c r="AM192" s="147">
        <f>AGO!$Y17</f>
        <v>37508.744000000006</v>
      </c>
      <c r="AN192" s="147">
        <f>SET!$Y17</f>
        <v>45116.671999999999</v>
      </c>
      <c r="AO192" s="147">
        <f>OUT!$Y17</f>
        <v>48610.376000000004</v>
      </c>
      <c r="AP192" s="147">
        <f>NOV!$Y17</f>
        <v>54979.184000000001</v>
      </c>
      <c r="AQ192" s="147">
        <f>DEZ!$Y17</f>
        <v>55572.216000000008</v>
      </c>
      <c r="AR192" s="177">
        <f t="shared" si="73"/>
        <v>528908.40800000005</v>
      </c>
      <c r="AT192" s="63"/>
      <c r="AV192" s="63"/>
      <c r="AW192" s="63"/>
    </row>
    <row r="193" spans="1:49">
      <c r="A193" s="212" t="s">
        <v>100</v>
      </c>
      <c r="B193" s="147">
        <f>$G$227*'Médias por UF'!CG166</f>
        <v>7444.9176536041759</v>
      </c>
      <c r="C193" s="147">
        <f>$G$227*'Médias por UF'!CH166</f>
        <v>14638.015851232471</v>
      </c>
      <c r="D193" s="147">
        <f>$G$227*'Médias por UF'!CI166</f>
        <v>20527.984530743357</v>
      </c>
      <c r="E193" s="147">
        <f>$G$227*'Médias por UF'!CJ166</f>
        <v>25745.718894380319</v>
      </c>
      <c r="F193" s="147">
        <f>$G$227*'Médias por UF'!CK166</f>
        <v>31310.903132066363</v>
      </c>
      <c r="G193" s="147">
        <f>$G$227*'Médias por UF'!CL166</f>
        <v>36826.817652654179</v>
      </c>
      <c r="H193" s="147">
        <f>$G$227*'Médias por UF'!CM166</f>
        <v>42683.32946697541</v>
      </c>
      <c r="I193" s="147">
        <f>$G$227*'Médias por UF'!CN166</f>
        <v>48604.612337367311</v>
      </c>
      <c r="J193" s="147">
        <f>$G$227*'Médias por UF'!CO166</f>
        <v>55310.238457271807</v>
      </c>
      <c r="K193" s="147">
        <f>$G$227*'Médias por UF'!CP166</f>
        <v>62648.436432694762</v>
      </c>
      <c r="L193" s="147">
        <f>$G$227*'Médias por UF'!CQ166</f>
        <v>71449.826856330081</v>
      </c>
      <c r="M193" s="147">
        <f>$G$227*'Médias por UF'!CR166</f>
        <v>79281.64509440001</v>
      </c>
      <c r="N193" s="147">
        <f t="shared" si="71"/>
        <v>79281.64509440001</v>
      </c>
      <c r="P193" s="213" t="s">
        <v>100</v>
      </c>
      <c r="Q193" s="147">
        <f>'Médias por UF'!CG166*'Evolução das Receitas'!$V$227</f>
        <v>7229.1561440769592</v>
      </c>
      <c r="R193" s="147">
        <f>'Médias por UF'!CH166*'Evolução das Receitas'!$V$227</f>
        <v>14213.790823704296</v>
      </c>
      <c r="S193" s="147">
        <f>'Médias por UF'!CI166*'Evolução das Receitas'!$V$227</f>
        <v>19933.06204321788</v>
      </c>
      <c r="T193" s="147">
        <f>'Médias por UF'!CJ166*'Evolução das Receitas'!$V$227</f>
        <v>24999.581001259947</v>
      </c>
      <c r="U193" s="147">
        <f>'Médias por UF'!CK166*'Evolução das Receitas'!$V$227</f>
        <v>30403.480372169943</v>
      </c>
      <c r="V193" s="147">
        <f>'Médias por UF'!CL166*'Evolução das Receitas'!$V$227</f>
        <v>35759.537913975866</v>
      </c>
      <c r="W193" s="147">
        <f>'Médias por UF'!CM166*'Evolução das Receitas'!$V$227</f>
        <v>41446.321883287266</v>
      </c>
      <c r="X193" s="147">
        <f>'Médias por UF'!CN166*'Evolução das Receitas'!$V$227</f>
        <v>47195.999775639561</v>
      </c>
      <c r="Y193" s="147">
        <f>'Médias por UF'!CO166*'Evolução das Receitas'!$V$227</f>
        <v>53707.289828810623</v>
      </c>
      <c r="Z193" s="147">
        <f>'Médias por UF'!CP166*'Evolução das Receitas'!$V$227</f>
        <v>60832.819142731285</v>
      </c>
      <c r="AA193" s="147">
        <f>'Médias por UF'!CQ166*'Evolução das Receitas'!$V$227</f>
        <v>69379.136055537019</v>
      </c>
      <c r="AB193" s="147">
        <f>'Médias por UF'!CR166*'Evolução das Receitas'!$V$227</f>
        <v>76983.98</v>
      </c>
      <c r="AC193" s="147">
        <f t="shared" si="72"/>
        <v>76983.98</v>
      </c>
      <c r="AE193" s="213" t="s">
        <v>100</v>
      </c>
      <c r="AF193" s="147">
        <f>JAN!$AN$18</f>
        <v>13758.328000000001</v>
      </c>
      <c r="AG193" s="147">
        <f>FEV!$AN18</f>
        <v>8869.112000000001</v>
      </c>
      <c r="AH193" s="147">
        <f>MAR!$AN18</f>
        <v>12402.455999999998</v>
      </c>
      <c r="AI193" s="147">
        <f>ABR!$AO18</f>
        <v>5258.56</v>
      </c>
      <c r="AJ193" s="147">
        <f>MAI!$Y18</f>
        <v>4842.3840000000009</v>
      </c>
      <c r="AK193" s="147">
        <f>JUN!$Y18</f>
        <v>5226.0880000000006</v>
      </c>
      <c r="AL193" s="147">
        <f>JUL!$Y18</f>
        <v>7211.3680000000013</v>
      </c>
      <c r="AM193" s="147">
        <f>AGO!$Y18</f>
        <v>10368.808000000001</v>
      </c>
      <c r="AN193" s="147">
        <f>SET!$Y18</f>
        <v>9060.2480000000014</v>
      </c>
      <c r="AO193" s="147">
        <f>OUT!$Y18</f>
        <v>11953.336000000001</v>
      </c>
      <c r="AP193" s="147">
        <f>NOV!$Y18</f>
        <v>11905.6</v>
      </c>
      <c r="AQ193" s="147">
        <f>DEZ!$Y18</f>
        <v>9030.9840000000004</v>
      </c>
      <c r="AR193" s="177">
        <f t="shared" si="73"/>
        <v>109887.27200000001</v>
      </c>
      <c r="AT193" s="63"/>
      <c r="AV193" s="63"/>
      <c r="AW193" s="63"/>
    </row>
    <row r="194" spans="1:49">
      <c r="A194" s="212" t="s">
        <v>101</v>
      </c>
      <c r="B194" s="147">
        <f>$G$228*'Médias por UF'!CG167</f>
        <v>6979.8386308775607</v>
      </c>
      <c r="C194" s="147">
        <f>$G$228*'Médias por UF'!CH167</f>
        <v>12749.634077704817</v>
      </c>
      <c r="D194" s="147">
        <f>$G$228*'Médias por UF'!CI167</f>
        <v>19750.640968811782</v>
      </c>
      <c r="E194" s="147">
        <f>$G$228*'Médias por UF'!CJ167</f>
        <v>26432.646981527545</v>
      </c>
      <c r="F194" s="147">
        <f>$G$228*'Médias por UF'!CK167</f>
        <v>32337.962351556303</v>
      </c>
      <c r="G194" s="147">
        <f>$G$228*'Médias por UF'!CL167</f>
        <v>38968.629196318492</v>
      </c>
      <c r="H194" s="147">
        <f>$G$228*'Médias por UF'!CM167</f>
        <v>44828.75663705029</v>
      </c>
      <c r="I194" s="147">
        <f>$G$228*'Médias por UF'!CN167</f>
        <v>51699.522438104796</v>
      </c>
      <c r="J194" s="147">
        <f>$G$228*'Médias por UF'!CO167</f>
        <v>57794.792049158648</v>
      </c>
      <c r="K194" s="147">
        <f>$G$228*'Médias por UF'!CP167</f>
        <v>65370.615758723172</v>
      </c>
      <c r="L194" s="147">
        <f>$G$228*'Médias por UF'!CQ167</f>
        <v>73540.363170928322</v>
      </c>
      <c r="M194" s="147">
        <f>$G$228*'Médias por UF'!CR167</f>
        <v>81284.131857600005</v>
      </c>
      <c r="N194" s="147">
        <f t="shared" si="71"/>
        <v>81284.131857600005</v>
      </c>
      <c r="P194" s="213" t="s">
        <v>101</v>
      </c>
      <c r="Q194" s="147">
        <f>'Médias por UF'!CG167*'Evolução das Receitas'!$V$228</f>
        <v>5768.0659501486361</v>
      </c>
      <c r="R194" s="147">
        <f>'Médias por UF'!CH167*'Evolução das Receitas'!$V$228</f>
        <v>10536.16481549198</v>
      </c>
      <c r="S194" s="147">
        <f>'Médias por UF'!CI167*'Evolução das Receitas'!$V$228</f>
        <v>16321.723995428618</v>
      </c>
      <c r="T194" s="147">
        <f>'Médias por UF'!CJ167*'Evolução das Receitas'!$V$228</f>
        <v>21843.664171829001</v>
      </c>
      <c r="U194" s="147">
        <f>'Médias por UF'!CK167*'Evolução das Receitas'!$V$228</f>
        <v>26723.755290277924</v>
      </c>
      <c r="V194" s="147">
        <f>'Médias por UF'!CL167*'Evolução das Receitas'!$V$228</f>
        <v>32203.269312974418</v>
      </c>
      <c r="W194" s="147">
        <f>'Médias por UF'!CM167*'Evolução das Receitas'!$V$228</f>
        <v>37046.017597280661</v>
      </c>
      <c r="X194" s="147">
        <f>'Médias por UF'!CN167*'Evolução das Receitas'!$V$228</f>
        <v>42723.946896847505</v>
      </c>
      <c r="Y194" s="147">
        <f>'Médias por UF'!CO167*'Evolução das Receitas'!$V$228</f>
        <v>47761.014221722762</v>
      </c>
      <c r="Z194" s="147">
        <f>'Médias por UF'!CP167*'Evolução das Receitas'!$V$228</f>
        <v>54021.596033765869</v>
      </c>
      <c r="AA194" s="147">
        <f>'Médias por UF'!CQ167*'Evolução das Receitas'!$V$228</f>
        <v>60772.990208007788</v>
      </c>
      <c r="AB194" s="147">
        <f>'Médias por UF'!CR167*'Evolução das Receitas'!$V$228</f>
        <v>67172.36</v>
      </c>
      <c r="AC194" s="147">
        <f t="shared" si="72"/>
        <v>67172.36</v>
      </c>
      <c r="AE194" s="213" t="s">
        <v>101</v>
      </c>
      <c r="AF194" s="147">
        <f>JAN!$AN$19</f>
        <v>9565.0160000000014</v>
      </c>
      <c r="AG194" s="147">
        <f>FEV!$AN19</f>
        <v>9103.5119999999988</v>
      </c>
      <c r="AH194" s="147">
        <f>MAR!$AN19</f>
        <v>7063.2400000000007</v>
      </c>
      <c r="AI194" s="147">
        <f>ABR!$AO19</f>
        <v>5017.9760000000006</v>
      </c>
      <c r="AJ194" s="147">
        <f>MAI!$Y19</f>
        <v>2705.8160000000003</v>
      </c>
      <c r="AK194" s="147">
        <f>JUN!$Y19</f>
        <v>3374.2639999999997</v>
      </c>
      <c r="AL194" s="147">
        <f>JUL!$Y19</f>
        <v>4833.1680000000006</v>
      </c>
      <c r="AM194" s="147">
        <f>AGO!$Y19</f>
        <v>6454.7920000000004</v>
      </c>
      <c r="AN194" s="147">
        <f>SET!$Y19</f>
        <v>9255.76</v>
      </c>
      <c r="AO194" s="147">
        <f>OUT!$Y19</f>
        <v>11961.128000000002</v>
      </c>
      <c r="AP194" s="147">
        <f>NOV!$Y19</f>
        <v>8985.5519999999997</v>
      </c>
      <c r="AQ194" s="147">
        <f>DEZ!$Y19</f>
        <v>12253.576000000001</v>
      </c>
      <c r="AR194" s="177">
        <f t="shared" si="73"/>
        <v>90573.8</v>
      </c>
      <c r="AT194" s="63"/>
      <c r="AV194" s="63"/>
      <c r="AW194" s="63"/>
    </row>
    <row r="195" spans="1:49">
      <c r="A195" s="212" t="s">
        <v>102</v>
      </c>
      <c r="B195" s="147">
        <f>$G$229*'Médias por UF'!CG168</f>
        <v>43582.142896856094</v>
      </c>
      <c r="C195" s="147">
        <f>$G$229*'Médias por UF'!CH168</f>
        <v>84108.974317072716</v>
      </c>
      <c r="D195" s="147">
        <f>$G$229*'Médias por UF'!CI168</f>
        <v>117601.30168098136</v>
      </c>
      <c r="E195" s="147">
        <f>$G$229*'Médias por UF'!CJ168</f>
        <v>155025.38447375188</v>
      </c>
      <c r="F195" s="147">
        <f>$G$229*'Médias por UF'!CK168</f>
        <v>185784.71426469725</v>
      </c>
      <c r="G195" s="147">
        <f>$G$229*'Médias por UF'!CL168</f>
        <v>219292.86614797101</v>
      </c>
      <c r="H195" s="147">
        <f>$G$229*'Médias por UF'!CM168</f>
        <v>257607.9866431113</v>
      </c>
      <c r="I195" s="147">
        <f>$G$229*'Médias por UF'!CN168</f>
        <v>298451.99176493596</v>
      </c>
      <c r="J195" s="147">
        <f>$G$229*'Médias por UF'!CO168</f>
        <v>333890.64737010212</v>
      </c>
      <c r="K195" s="147">
        <f>$G$229*'Médias por UF'!CP168</f>
        <v>387712.22491153487</v>
      </c>
      <c r="L195" s="147">
        <f>$G$229*'Médias por UF'!CQ168</f>
        <v>443946.92436076427</v>
      </c>
      <c r="M195" s="147">
        <f>$G$229*'Médias por UF'!CR168</f>
        <v>518056.50788639998</v>
      </c>
      <c r="N195" s="147">
        <f t="shared" si="71"/>
        <v>518056.50788639998</v>
      </c>
      <c r="P195" s="213" t="s">
        <v>102</v>
      </c>
      <c r="Q195" s="147">
        <f>'Médias por UF'!CG168*'Evolução das Receitas'!$V$229</f>
        <v>31129.968916199119</v>
      </c>
      <c r="R195" s="147">
        <f>'Médias por UF'!CH168*'Evolução das Receitas'!$V$229</f>
        <v>60077.58182658664</v>
      </c>
      <c r="S195" s="147">
        <f>'Médias por UF'!CI168*'Evolução das Receitas'!$V$229</f>
        <v>84000.570474417749</v>
      </c>
      <c r="T195" s="147">
        <f>'Médias por UF'!CJ168*'Evolução das Receitas'!$V$229</f>
        <v>110731.94384477695</v>
      </c>
      <c r="U195" s="147">
        <f>'Médias por UF'!CK168*'Evolução das Receitas'!$V$229</f>
        <v>132702.79971896851</v>
      </c>
      <c r="V195" s="147">
        <f>'Médias por UF'!CL168*'Evolução das Receitas'!$V$229</f>
        <v>156637.09154657021</v>
      </c>
      <c r="W195" s="147">
        <f>'Médias por UF'!CM168*'Evolução das Receitas'!$V$229</f>
        <v>184004.91769630692</v>
      </c>
      <c r="X195" s="147">
        <f>'Médias por UF'!CN168*'Evolução das Receitas'!$V$229</f>
        <v>213179.08228166512</v>
      </c>
      <c r="Y195" s="147">
        <f>'Médias por UF'!CO168*'Evolução das Receitas'!$V$229</f>
        <v>238492.29944107859</v>
      </c>
      <c r="Z195" s="147">
        <f>'Médias por UF'!CP168*'Evolução das Receitas'!$V$229</f>
        <v>276936.11896254745</v>
      </c>
      <c r="AA195" s="147">
        <f>'Médias por UF'!CQ168*'Evolução das Receitas'!$V$229</f>
        <v>317103.58961696987</v>
      </c>
      <c r="AB195" s="147">
        <f>'Médias por UF'!CR168*'Evolução das Receitas'!$V$229</f>
        <v>370038.78</v>
      </c>
      <c r="AC195" s="147">
        <f t="shared" si="72"/>
        <v>370038.78</v>
      </c>
      <c r="AE195" s="213" t="s">
        <v>102</v>
      </c>
      <c r="AF195" s="147">
        <f>JAN!$AN$20</f>
        <v>61992.088000000003</v>
      </c>
      <c r="AG195" s="147">
        <f>FEV!$AN20</f>
        <v>46965.248</v>
      </c>
      <c r="AH195" s="147">
        <f>MAR!$AN20</f>
        <v>46103.76</v>
      </c>
      <c r="AI195" s="147">
        <f>ABR!$AO20</f>
        <v>25708.336000000003</v>
      </c>
      <c r="AJ195" s="147">
        <f>MAI!$Y20</f>
        <v>26532.560000000001</v>
      </c>
      <c r="AK195" s="147">
        <f>JUN!$Y20</f>
        <v>27349.384000000002</v>
      </c>
      <c r="AL195" s="147">
        <f>JUL!$Y20</f>
        <v>27767.824000000001</v>
      </c>
      <c r="AM195" s="147">
        <f>AGO!$Y20</f>
        <v>34528.207999999999</v>
      </c>
      <c r="AN195" s="147">
        <f>SET!$Y20</f>
        <v>44242.504000000001</v>
      </c>
      <c r="AO195" s="147">
        <f>OUT!$Y20</f>
        <v>37896.19200000001</v>
      </c>
      <c r="AP195" s="147">
        <f>NOV!$Y20</f>
        <v>44387.752000000008</v>
      </c>
      <c r="AQ195" s="147">
        <f>DEZ!$Y20</f>
        <v>38493.807999999997</v>
      </c>
      <c r="AR195" s="177">
        <f t="shared" si="73"/>
        <v>461967.66400000005</v>
      </c>
      <c r="AT195" s="63"/>
      <c r="AV195" s="63"/>
      <c r="AW195" s="63"/>
    </row>
    <row r="196" spans="1:49">
      <c r="A196" s="212" t="s">
        <v>103</v>
      </c>
      <c r="B196" s="147">
        <f>$G$230*'Médias por UF'!CG169</f>
        <v>12776.874948577886</v>
      </c>
      <c r="C196" s="147">
        <f>$G$230*'Médias por UF'!CH169</f>
        <v>24622.056709222899</v>
      </c>
      <c r="D196" s="147">
        <f>$G$230*'Médias por UF'!CI169</f>
        <v>35357.687386810678</v>
      </c>
      <c r="E196" s="147">
        <f>$G$230*'Médias por UF'!CJ169</f>
        <v>45471.546844671298</v>
      </c>
      <c r="F196" s="147">
        <f>$G$230*'Médias por UF'!CK169</f>
        <v>56884.23775609654</v>
      </c>
      <c r="G196" s="147">
        <f>$G$230*'Médias por UF'!CL169</f>
        <v>65878.767699827702</v>
      </c>
      <c r="H196" s="147">
        <f>$G$230*'Médias por UF'!CM169</f>
        <v>79451.651119387461</v>
      </c>
      <c r="I196" s="147">
        <f>$G$230*'Médias por UF'!CN169</f>
        <v>92173.526510521871</v>
      </c>
      <c r="J196" s="147">
        <f>$G$230*'Médias por UF'!CO169</f>
        <v>101309.27891571172</v>
      </c>
      <c r="K196" s="147">
        <f>$G$230*'Médias por UF'!CP169</f>
        <v>110816.20529011291</v>
      </c>
      <c r="L196" s="147">
        <f>$G$230*'Médias por UF'!CQ169</f>
        <v>121337.6147303886</v>
      </c>
      <c r="M196" s="147">
        <f>$G$230*'Médias por UF'!CR169</f>
        <v>133032.1161288</v>
      </c>
      <c r="N196" s="147">
        <f t="shared" si="71"/>
        <v>133032.1161288</v>
      </c>
      <c r="P196" s="213" t="s">
        <v>103</v>
      </c>
      <c r="Q196" s="147">
        <f>'Médias por UF'!CG169*'Evolução das Receitas'!$V$230</f>
        <v>11273.368495701679</v>
      </c>
      <c r="R196" s="147">
        <f>'Médias por UF'!CH169*'Evolução das Receitas'!$V$230</f>
        <v>21724.67990195275</v>
      </c>
      <c r="S196" s="147">
        <f>'Médias por UF'!CI169*'Evolução das Receitas'!$V$230</f>
        <v>31197.005580124722</v>
      </c>
      <c r="T196" s="147">
        <f>'Médias por UF'!CJ169*'Evolução das Receitas'!$V$230</f>
        <v>40120.726367960327</v>
      </c>
      <c r="U196" s="147">
        <f>'Médias por UF'!CK169*'Evolução das Receitas'!$V$230</f>
        <v>50190.439869097972</v>
      </c>
      <c r="V196" s="147">
        <f>'Médias por UF'!CL169*'Evolução das Receitas'!$V$230</f>
        <v>58126.547165240081</v>
      </c>
      <c r="W196" s="147">
        <f>'Médias por UF'!CM169*'Evolução das Receitas'!$V$230</f>
        <v>70102.254601816938</v>
      </c>
      <c r="X196" s="147">
        <f>'Médias por UF'!CN169*'Evolução das Receitas'!$V$230</f>
        <v>81327.095560021669</v>
      </c>
      <c r="Y196" s="147">
        <f>'Médias por UF'!CO169*'Evolução das Receitas'!$V$230</f>
        <v>89387.80710049592</v>
      </c>
      <c r="Z196" s="147">
        <f>'Médias por UF'!CP169*'Evolução das Receitas'!$V$230</f>
        <v>97776.01507086966</v>
      </c>
      <c r="AA196" s="147">
        <f>'Médias por UF'!CQ169*'Evolução das Receitas'!$V$230</f>
        <v>107059.32778949216</v>
      </c>
      <c r="AB196" s="147">
        <f>'Médias por UF'!CR169*'Evolução das Receitas'!$V$230</f>
        <v>117377.69</v>
      </c>
      <c r="AC196" s="147">
        <f t="shared" si="72"/>
        <v>117377.69</v>
      </c>
      <c r="AE196" s="213" t="s">
        <v>103</v>
      </c>
      <c r="AF196" s="147">
        <f>JAN!$AN$21</f>
        <v>22886.712000000003</v>
      </c>
      <c r="AG196" s="147">
        <f>FEV!$AN21</f>
        <v>16196.048000000001</v>
      </c>
      <c r="AH196" s="147">
        <f>MAR!$AN21</f>
        <v>13074.576000000001</v>
      </c>
      <c r="AI196" s="147">
        <f>ABR!$AO21</f>
        <v>6821.4960000000001</v>
      </c>
      <c r="AJ196" s="147">
        <f>MAI!$Y21</f>
        <v>6117.3360000000002</v>
      </c>
      <c r="AK196" s="147">
        <f>JUN!$Y21</f>
        <v>6669.2720000000008</v>
      </c>
      <c r="AL196" s="147">
        <f>JUL!$Y21</f>
        <v>10192.831999999999</v>
      </c>
      <c r="AM196" s="147">
        <f>AGO!$Y21</f>
        <v>10544.544000000004</v>
      </c>
      <c r="AN196" s="147">
        <f>SET!$Y21</f>
        <v>16730.688000000002</v>
      </c>
      <c r="AO196" s="147">
        <f>OUT!$Y21</f>
        <v>18254.448000000004</v>
      </c>
      <c r="AP196" s="147">
        <f>NOV!$Y21</f>
        <v>16075.903999999999</v>
      </c>
      <c r="AQ196" s="147">
        <f>DEZ!$Y21</f>
        <v>15879.288</v>
      </c>
      <c r="AR196" s="177">
        <f t="shared" si="73"/>
        <v>159443.14400000003</v>
      </c>
      <c r="AT196" s="63"/>
      <c r="AV196" s="63"/>
      <c r="AW196" s="63"/>
    </row>
    <row r="197" spans="1:49">
      <c r="A197" s="212" t="s">
        <v>104</v>
      </c>
      <c r="B197" s="147">
        <f>$G$231*'Médias por UF'!CG170</f>
        <v>3579.5732432519421</v>
      </c>
      <c r="C197" s="147">
        <f>$G$231*'Médias por UF'!CH170</f>
        <v>7572.4116272294787</v>
      </c>
      <c r="D197" s="147">
        <f>$G$231*'Médias por UF'!CI170</f>
        <v>10326.774030363562</v>
      </c>
      <c r="E197" s="147">
        <f>$G$231*'Médias por UF'!CJ170</f>
        <v>13942.724603551233</v>
      </c>
      <c r="F197" s="147">
        <f>$G$231*'Médias por UF'!CK170</f>
        <v>17311.186664070956</v>
      </c>
      <c r="G197" s="147">
        <f>$G$231*'Médias por UF'!CL170</f>
        <v>20135.370491164107</v>
      </c>
      <c r="H197" s="147">
        <f>$G$231*'Médias por UF'!CM170</f>
        <v>23049.622482029947</v>
      </c>
      <c r="I197" s="147">
        <f>$G$231*'Médias por UF'!CN170</f>
        <v>26404.747568546631</v>
      </c>
      <c r="J197" s="147">
        <f>$G$231*'Médias por UF'!CO170</f>
        <v>29050.027842032141</v>
      </c>
      <c r="K197" s="147">
        <f>$G$231*'Médias por UF'!CP170</f>
        <v>31563.52383641047</v>
      </c>
      <c r="L197" s="147">
        <f>$G$231*'Médias por UF'!CQ170</f>
        <v>35016.13098134652</v>
      </c>
      <c r="M197" s="147">
        <f>$G$231*'Médias por UF'!CR170</f>
        <v>37905.823004000005</v>
      </c>
      <c r="N197" s="147">
        <f t="shared" si="71"/>
        <v>37905.823004000005</v>
      </c>
      <c r="P197" s="213" t="s">
        <v>104</v>
      </c>
      <c r="Q197" s="147">
        <f>'Médias por UF'!CG170*'Evolução das Receitas'!$V$231</f>
        <v>2978.4783475035929</v>
      </c>
      <c r="R197" s="147">
        <f>'Médias por UF'!CH170*'Evolução das Receitas'!$V$231</f>
        <v>6300.8248574339923</v>
      </c>
      <c r="S197" s="147">
        <f>'Médias por UF'!CI170*'Evolução das Receitas'!$V$231</f>
        <v>8592.6647560527163</v>
      </c>
      <c r="T197" s="147">
        <f>'Médias por UF'!CJ170*'Evolução das Receitas'!$V$231</f>
        <v>11601.411820576646</v>
      </c>
      <c r="U197" s="147">
        <f>'Médias por UF'!CK170*'Evolução das Receitas'!$V$231</f>
        <v>14404.229539297421</v>
      </c>
      <c r="V197" s="147">
        <f>'Médias por UF'!CL170*'Evolução das Receitas'!$V$231</f>
        <v>16754.166195636073</v>
      </c>
      <c r="W197" s="147">
        <f>'Médias por UF'!CM170*'Evolução das Receitas'!$V$231</f>
        <v>19179.046443673007</v>
      </c>
      <c r="X197" s="147">
        <f>'Médias por UF'!CN170*'Evolução das Receitas'!$V$231</f>
        <v>21970.766781340288</v>
      </c>
      <c r="Y197" s="147">
        <f>'Médias por UF'!CO170*'Evolução das Receitas'!$V$231</f>
        <v>24171.842016358303</v>
      </c>
      <c r="Z197" s="147">
        <f>'Médias por UF'!CP170*'Evolução das Receitas'!$V$231</f>
        <v>26263.262665427545</v>
      </c>
      <c r="AA197" s="147">
        <f>'Médias por UF'!CQ170*'Evolução das Receitas'!$V$231</f>
        <v>29136.095521415133</v>
      </c>
      <c r="AB197" s="147">
        <f>'Médias por UF'!CR170*'Evolução das Receitas'!$V$231</f>
        <v>31540.54</v>
      </c>
      <c r="AC197" s="147">
        <f t="shared" si="72"/>
        <v>31540.54</v>
      </c>
      <c r="AE197" s="213" t="s">
        <v>104</v>
      </c>
      <c r="AF197" s="147">
        <f>JAN!$AN$22</f>
        <v>4178.4480000000003</v>
      </c>
      <c r="AG197" s="147">
        <f>FEV!$AN22</f>
        <v>3586.0960000000005</v>
      </c>
      <c r="AH197" s="147">
        <f>MAR!$AN22</f>
        <v>2315.424</v>
      </c>
      <c r="AI197" s="147">
        <f>ABR!$AO22</f>
        <v>2167.52</v>
      </c>
      <c r="AJ197" s="147">
        <f>MAI!$Y22</f>
        <v>1431.3200000000002</v>
      </c>
      <c r="AK197" s="147">
        <f>JUN!$Y22</f>
        <v>1027.9440000000002</v>
      </c>
      <c r="AL197" s="147">
        <f>JUL!$Y22</f>
        <v>1362.44</v>
      </c>
      <c r="AM197" s="147">
        <f>AGO!$Y22</f>
        <v>5693.4080000000004</v>
      </c>
      <c r="AN197" s="147">
        <f>SET!$Y22</f>
        <v>3805.5280000000002</v>
      </c>
      <c r="AO197" s="147">
        <f>OUT!$Y22</f>
        <v>4369.6399999999994</v>
      </c>
      <c r="AP197" s="147">
        <f>NOV!$Y22</f>
        <v>4494.5120000000006</v>
      </c>
      <c r="AQ197" s="147">
        <f>DEZ!$Y22</f>
        <v>8478.6080000000002</v>
      </c>
      <c r="AR197" s="177">
        <f t="shared" si="73"/>
        <v>42910.888000000006</v>
      </c>
      <c r="AT197" s="63"/>
      <c r="AV197" s="63"/>
      <c r="AW197" s="63"/>
    </row>
    <row r="198" spans="1:49">
      <c r="A198" s="212" t="s">
        <v>105</v>
      </c>
      <c r="B198" s="147">
        <f>$G$232*'Médias por UF'!CG171</f>
        <v>39577.180928271802</v>
      </c>
      <c r="C198" s="147">
        <f>$G$232*'Médias por UF'!CH171</f>
        <v>74246.449685449857</v>
      </c>
      <c r="D198" s="147">
        <f>$G$232*'Médias por UF'!CI171</f>
        <v>102211.89040948171</v>
      </c>
      <c r="E198" s="147">
        <f>$G$232*'Médias por UF'!CJ171</f>
        <v>133738.17316107851</v>
      </c>
      <c r="F198" s="147">
        <f>$G$232*'Médias por UF'!CK171</f>
        <v>165587.89610159816</v>
      </c>
      <c r="G198" s="147">
        <f>$G$232*'Médias por UF'!CL171</f>
        <v>199442.42673370044</v>
      </c>
      <c r="H198" s="147">
        <f>$G$232*'Médias por UF'!CM171</f>
        <v>245812.64898221986</v>
      </c>
      <c r="I198" s="147">
        <f>$G$232*'Médias por UF'!CN171</f>
        <v>301185.15212834295</v>
      </c>
      <c r="J198" s="147">
        <f>$G$232*'Médias por UF'!CO171</f>
        <v>343449.66519370151</v>
      </c>
      <c r="K198" s="147">
        <f>$G$232*'Médias por UF'!CP171</f>
        <v>396996.03230509092</v>
      </c>
      <c r="L198" s="147">
        <f>$G$232*'Médias por UF'!CQ171</f>
        <v>440104.98398499755</v>
      </c>
      <c r="M198" s="147">
        <f>$G$232*'Médias por UF'!CR171</f>
        <v>489442.93180720008</v>
      </c>
      <c r="N198" s="147">
        <f t="shared" si="71"/>
        <v>489442.93180720008</v>
      </c>
      <c r="P198" s="213" t="s">
        <v>105</v>
      </c>
      <c r="Q198" s="147">
        <f>'Médias por UF'!CG171*'Evolução das Receitas'!$V$232</f>
        <v>42848.422359593293</v>
      </c>
      <c r="R198" s="147">
        <f>'Médias por UF'!CH171*'Evolução das Receitas'!$V$232</f>
        <v>80383.270364511191</v>
      </c>
      <c r="S198" s="147">
        <f>'Médias por UF'!CI171*'Evolução das Receitas'!$V$232</f>
        <v>110660.18720169563</v>
      </c>
      <c r="T198" s="147">
        <f>'Médias por UF'!CJ171*'Evolução das Receitas'!$V$232</f>
        <v>144792.26652327774</v>
      </c>
      <c r="U198" s="147">
        <f>'Médias por UF'!CK171*'Evolução das Receitas'!$V$232</f>
        <v>179274.5198971288</v>
      </c>
      <c r="V198" s="147">
        <f>'Médias por UF'!CL171*'Evolução das Receitas'!$V$232</f>
        <v>215927.28781253804</v>
      </c>
      <c r="W198" s="147">
        <f>'Médias por UF'!CM171*'Evolução das Receitas'!$V$232</f>
        <v>266130.22852763685</v>
      </c>
      <c r="X198" s="147">
        <f>'Médias por UF'!CN171*'Evolução das Receitas'!$V$232</f>
        <v>326079.5312890702</v>
      </c>
      <c r="Y198" s="147">
        <f>'Médias por UF'!CO171*'Evolução das Receitas'!$V$232</f>
        <v>371837.40651341126</v>
      </c>
      <c r="Z198" s="147">
        <f>'Médias por UF'!CP171*'Evolução das Receitas'!$V$232</f>
        <v>429809.63444871799</v>
      </c>
      <c r="AA198" s="147">
        <f>'Médias por UF'!CQ171*'Evolução das Receitas'!$V$232</f>
        <v>476481.74513814901</v>
      </c>
      <c r="AB198" s="147">
        <f>'Médias por UF'!CR171*'Evolução das Receitas'!$V$232</f>
        <v>529897.70799999963</v>
      </c>
      <c r="AC198" s="147">
        <f t="shared" si="72"/>
        <v>529897.70799999963</v>
      </c>
      <c r="AE198" s="213" t="s">
        <v>105</v>
      </c>
      <c r="AF198" s="147">
        <f>JAN!$AN$23</f>
        <v>61254.712000000014</v>
      </c>
      <c r="AG198" s="147">
        <f>FEV!$AN23</f>
        <v>51662.624000000003</v>
      </c>
      <c r="AH198" s="147">
        <f>MAR!$AN23</f>
        <v>51521.655999999995</v>
      </c>
      <c r="AI198" s="147">
        <f>ABR!$AO23</f>
        <v>31526.144000000004</v>
      </c>
      <c r="AJ198" s="147">
        <f>MAI!$Y23</f>
        <v>22940.631999999994</v>
      </c>
      <c r="AK198" s="147">
        <f>JUN!$Y23</f>
        <v>31326.879999999997</v>
      </c>
      <c r="AL198" s="147">
        <f>JUL!$Y23</f>
        <v>32968.655999999995</v>
      </c>
      <c r="AM198" s="147">
        <f>AGO!$Y23</f>
        <v>36844.568000000007</v>
      </c>
      <c r="AN198" s="147">
        <f>SET!$Y23</f>
        <v>49235.631999999998</v>
      </c>
      <c r="AO198" s="147">
        <f>OUT!$Y23</f>
        <v>49797.240000000005</v>
      </c>
      <c r="AP198" s="147">
        <f>NOV!$Y23</f>
        <v>52169.176000000007</v>
      </c>
      <c r="AQ198" s="147">
        <f>DEZ!$Y23</f>
        <v>47482.96</v>
      </c>
      <c r="AR198" s="177">
        <f t="shared" si="73"/>
        <v>518730.88000000006</v>
      </c>
      <c r="AT198" s="63"/>
      <c r="AV198" s="63"/>
      <c r="AW198" s="63"/>
    </row>
    <row r="199" spans="1:49">
      <c r="A199" s="212" t="s">
        <v>106</v>
      </c>
      <c r="B199" s="147">
        <f>$G$233*'Médias por UF'!CG172</f>
        <v>6427.6033233047501</v>
      </c>
      <c r="C199" s="147">
        <f>$G$233*'Médias por UF'!CH172</f>
        <v>13834.769920862145</v>
      </c>
      <c r="D199" s="147">
        <f>$G$233*'Médias por UF'!CI172</f>
        <v>20584.154796130795</v>
      </c>
      <c r="E199" s="147">
        <f>$G$233*'Médias por UF'!CJ172</f>
        <v>25296.775300080742</v>
      </c>
      <c r="F199" s="147">
        <f>$G$233*'Médias por UF'!CK172</f>
        <v>30301.604858534582</v>
      </c>
      <c r="G199" s="147">
        <f>$G$233*'Médias por UF'!CL172</f>
        <v>34984.749254630158</v>
      </c>
      <c r="H199" s="147">
        <f>$G$233*'Médias por UF'!CM172</f>
        <v>41083.370432277479</v>
      </c>
      <c r="I199" s="147">
        <f>$G$233*'Médias por UF'!CN172</f>
        <v>47026.718720102683</v>
      </c>
      <c r="J199" s="147">
        <f>$G$233*'Médias por UF'!CO172</f>
        <v>53059.673454390482</v>
      </c>
      <c r="K199" s="147">
        <f>$G$233*'Médias por UF'!CP172</f>
        <v>59829.411893074946</v>
      </c>
      <c r="L199" s="147">
        <f>$G$233*'Médias por UF'!CQ172</f>
        <v>68243.812785388669</v>
      </c>
      <c r="M199" s="147">
        <f>$G$233*'Médias por UF'!CR172</f>
        <v>75153.982371999999</v>
      </c>
      <c r="N199" s="147">
        <f t="shared" si="71"/>
        <v>75153.982371999999</v>
      </c>
      <c r="P199" s="213" t="s">
        <v>106</v>
      </c>
      <c r="Q199" s="147">
        <f>'Médias por UF'!CG172*'Evolução das Receitas'!$V$233</f>
        <v>7893.8819775478441</v>
      </c>
      <c r="R199" s="147">
        <f>'Médias por UF'!CH172*'Evolução das Receitas'!$V$233</f>
        <v>16990.787304164936</v>
      </c>
      <c r="S199" s="147">
        <f>'Médias por UF'!CI172*'Evolução das Receitas'!$V$233</f>
        <v>25279.856331378007</v>
      </c>
      <c r="T199" s="147">
        <f>'Médias por UF'!CJ172*'Evolução das Receitas'!$V$233</f>
        <v>31067.529931003024</v>
      </c>
      <c r="U199" s="147">
        <f>'Médias por UF'!CK172*'Evolução das Receitas'!$V$233</f>
        <v>37214.071941293842</v>
      </c>
      <c r="V199" s="147">
        <f>'Médias por UF'!CL172*'Evolução das Receitas'!$V$233</f>
        <v>42965.545280128608</v>
      </c>
      <c r="W199" s="147">
        <f>'Médias por UF'!CM172*'Evolução das Receitas'!$V$233</f>
        <v>50455.396999442506</v>
      </c>
      <c r="X199" s="147">
        <f>'Médias por UF'!CN172*'Evolução das Receitas'!$V$233</f>
        <v>57754.554644322081</v>
      </c>
      <c r="Y199" s="147">
        <f>'Médias por UF'!CO172*'Evolução das Receitas'!$V$233</f>
        <v>65163.759950394204</v>
      </c>
      <c r="Z199" s="147">
        <f>'Médias por UF'!CP172*'Evolução das Receitas'!$V$233</f>
        <v>73477.825639558156</v>
      </c>
      <c r="AA199" s="147">
        <f>'Médias por UF'!CQ172*'Evolução das Receitas'!$V$233</f>
        <v>83811.737708286557</v>
      </c>
      <c r="AB199" s="147">
        <f>'Médias por UF'!CR172*'Evolução das Receitas'!$V$233</f>
        <v>92298.27</v>
      </c>
      <c r="AC199" s="147">
        <f t="shared" si="72"/>
        <v>92298.27</v>
      </c>
      <c r="AE199" s="213" t="s">
        <v>106</v>
      </c>
      <c r="AF199" s="147">
        <f>JAN!$AN$24</f>
        <v>11183.976000000001</v>
      </c>
      <c r="AG199" s="147">
        <f>FEV!$AN24</f>
        <v>8972.84</v>
      </c>
      <c r="AH199" s="147">
        <f>MAR!$AN24</f>
        <v>10645.76</v>
      </c>
      <c r="AI199" s="147">
        <f>ABR!$AO24</f>
        <v>5703.8720000000012</v>
      </c>
      <c r="AJ199" s="147">
        <f>MAI!$Y24</f>
        <v>3906.3119999999999</v>
      </c>
      <c r="AK199" s="147">
        <f>JUN!$Y24</f>
        <v>5248.7120000000004</v>
      </c>
      <c r="AL199" s="147">
        <f>JUL!$Y24</f>
        <v>4668.8959999999997</v>
      </c>
      <c r="AM199" s="147">
        <f>AGO!$Y24</f>
        <v>5809.6319999999996</v>
      </c>
      <c r="AN199" s="147">
        <f>SET!$Y24</f>
        <v>6459.9999999999991</v>
      </c>
      <c r="AO199" s="147">
        <f>OUT!$Y24</f>
        <v>7041.9199999999992</v>
      </c>
      <c r="AP199" s="147">
        <f>NOV!$Y24</f>
        <v>8210.0320000000011</v>
      </c>
      <c r="AQ199" s="147">
        <f>DEZ!$Y24</f>
        <v>12275.888000000001</v>
      </c>
      <c r="AR199" s="177">
        <f t="shared" si="73"/>
        <v>90127.840000000011</v>
      </c>
      <c r="AT199" s="63"/>
      <c r="AV199" s="63"/>
      <c r="AW199" s="63"/>
    </row>
    <row r="200" spans="1:49">
      <c r="A200" s="212" t="s">
        <v>107</v>
      </c>
      <c r="B200" s="147">
        <f>$G$234*'Médias por UF'!CG173</f>
        <v>54750.61434286867</v>
      </c>
      <c r="C200" s="147">
        <f>$G$234*'Médias por UF'!CH173</f>
        <v>100125.16437028763</v>
      </c>
      <c r="D200" s="147">
        <f>$G$234*'Médias por UF'!CI173</f>
        <v>139580.71606299354</v>
      </c>
      <c r="E200" s="147">
        <f>$G$234*'Médias por UF'!CJ173</f>
        <v>182787.46447001043</v>
      </c>
      <c r="F200" s="147">
        <f>$G$234*'Médias por UF'!CK173</f>
        <v>228108.29044455642</v>
      </c>
      <c r="G200" s="147">
        <f>$G$234*'Médias por UF'!CL173</f>
        <v>268818.21947902808</v>
      </c>
      <c r="H200" s="147">
        <f>$G$234*'Médias por UF'!CM173</f>
        <v>323352.03389150026</v>
      </c>
      <c r="I200" s="147">
        <f>$G$234*'Médias por UF'!CN173</f>
        <v>372989.4973325397</v>
      </c>
      <c r="J200" s="147">
        <f>$G$234*'Médias por UF'!CO173</f>
        <v>416630.55965575209</v>
      </c>
      <c r="K200" s="147">
        <f>$G$234*'Médias por UF'!CP173</f>
        <v>478165.59673628438</v>
      </c>
      <c r="L200" s="147">
        <f>$G$234*'Médias por UF'!CQ173</f>
        <v>535791.78839540354</v>
      </c>
      <c r="M200" s="147">
        <f>$G$234*'Médias por UF'!CR173</f>
        <v>601883.88564640016</v>
      </c>
      <c r="N200" s="147">
        <f t="shared" si="71"/>
        <v>601883.88564640016</v>
      </c>
      <c r="P200" s="213" t="s">
        <v>107</v>
      </c>
      <c r="Q200" s="147">
        <f>'Médias por UF'!CG173*'Evolução das Receitas'!$V$234</f>
        <v>39962.237978252771</v>
      </c>
      <c r="R200" s="147">
        <f>'Médias por UF'!CH173*'Evolução das Receitas'!$V$234</f>
        <v>73080.926930243179</v>
      </c>
      <c r="S200" s="147">
        <f>'Médias por UF'!CI173*'Evolução das Receitas'!$V$234</f>
        <v>101879.36444973997</v>
      </c>
      <c r="T200" s="147">
        <f>'Médias por UF'!CJ173*'Evolução das Receitas'!$V$234</f>
        <v>133415.78432066325</v>
      </c>
      <c r="U200" s="147">
        <f>'Médias por UF'!CK173*'Evolução das Receitas'!$V$234</f>
        <v>166495.26031747804</v>
      </c>
      <c r="V200" s="147">
        <f>'Médias por UF'!CL173*'Evolução das Receitas'!$V$234</f>
        <v>196209.26246483915</v>
      </c>
      <c r="W200" s="147">
        <f>'Médias por UF'!CM173*'Evolução das Receitas'!$V$234</f>
        <v>236013.25910614693</v>
      </c>
      <c r="X200" s="147">
        <f>'Médias por UF'!CN173*'Evolução das Receitas'!$V$234</f>
        <v>272243.43022798037</v>
      </c>
      <c r="Y200" s="147">
        <f>'Médias por UF'!CO173*'Evolução das Receitas'!$V$234</f>
        <v>304096.85395876144</v>
      </c>
      <c r="Z200" s="147">
        <f>'Médias por UF'!CP173*'Evolução das Receitas'!$V$234</f>
        <v>349011.01291984966</v>
      </c>
      <c r="AA200" s="147">
        <f>'Médias por UF'!CQ173*'Evolução das Receitas'!$V$234</f>
        <v>391072.1224160954</v>
      </c>
      <c r="AB200" s="147">
        <f>'Médias por UF'!CR173*'Evolução das Receitas'!$V$234</f>
        <v>439312.46</v>
      </c>
      <c r="AC200" s="147">
        <f t="shared" si="72"/>
        <v>439312.46</v>
      </c>
      <c r="AE200" s="213" t="s">
        <v>107</v>
      </c>
      <c r="AF200" s="147">
        <f>JAN!$AN$25</f>
        <v>47822.792000000001</v>
      </c>
      <c r="AG200" s="147">
        <f>FEV!$AN25</f>
        <v>33525.144</v>
      </c>
      <c r="AH200" s="147">
        <f>MAR!$AN25</f>
        <v>38866.096000000005</v>
      </c>
      <c r="AI200" s="147">
        <f>ABR!$AO25</f>
        <v>24445.903999999999</v>
      </c>
      <c r="AJ200" s="147">
        <f>MAI!$Y25</f>
        <v>17703.04</v>
      </c>
      <c r="AK200" s="147">
        <f>JUN!$Y25</f>
        <v>22149.696000000004</v>
      </c>
      <c r="AL200" s="147">
        <f>JUL!$Y25</f>
        <v>29538.544000000002</v>
      </c>
      <c r="AM200" s="147">
        <f>AGO!$Y25</f>
        <v>36322.584000000003</v>
      </c>
      <c r="AN200" s="147">
        <f>SET!$Y25</f>
        <v>41373.880000000005</v>
      </c>
      <c r="AO200" s="147">
        <f>OUT!$Y25</f>
        <v>40667.632000000005</v>
      </c>
      <c r="AP200" s="147">
        <f>NOV!$Y25</f>
        <v>45341.112000000001</v>
      </c>
      <c r="AQ200" s="147">
        <f>DEZ!$Y25</f>
        <v>52777.376000000004</v>
      </c>
      <c r="AR200" s="177">
        <f t="shared" si="73"/>
        <v>430533.80000000005</v>
      </c>
      <c r="AT200" s="63"/>
      <c r="AV200" s="63"/>
      <c r="AW200" s="63"/>
    </row>
    <row r="201" spans="1:49">
      <c r="A201" s="212" t="s">
        <v>108</v>
      </c>
      <c r="B201" s="147">
        <f>$G$235*'Médias por UF'!CG174</f>
        <v>4720.4756130443702</v>
      </c>
      <c r="C201" s="147">
        <f>$G$235*'Médias por UF'!CH174</f>
        <v>7418.9761835134714</v>
      </c>
      <c r="D201" s="147">
        <f>$G$235*'Médias por UF'!CI174</f>
        <v>10578.288527824174</v>
      </c>
      <c r="E201" s="147">
        <f>$G$235*'Médias por UF'!CJ174</f>
        <v>13165.801193028015</v>
      </c>
      <c r="F201" s="147">
        <f>$G$235*'Médias por UF'!CK174</f>
        <v>16691.016813679522</v>
      </c>
      <c r="G201" s="147">
        <f>$G$235*'Médias por UF'!CL174</f>
        <v>21244.271170915967</v>
      </c>
      <c r="H201" s="147">
        <f>$G$235*'Médias por UF'!CM174</f>
        <v>25499.407763239236</v>
      </c>
      <c r="I201" s="147">
        <f>$G$235*'Médias por UF'!CN174</f>
        <v>30513.887258951861</v>
      </c>
      <c r="J201" s="147">
        <f>$G$235*'Médias por UF'!CO174</f>
        <v>35397.223686310273</v>
      </c>
      <c r="K201" s="147">
        <f>$G$235*'Médias por UF'!CP174</f>
        <v>42585.245642478614</v>
      </c>
      <c r="L201" s="147">
        <f>$G$235*'Médias por UF'!CQ174</f>
        <v>47538.851488908862</v>
      </c>
      <c r="M201" s="147">
        <f>$G$235*'Médias por UF'!CR174</f>
        <v>53753.338038399997</v>
      </c>
      <c r="N201" s="147">
        <f t="shared" si="71"/>
        <v>53753.338038399997</v>
      </c>
      <c r="P201" s="213" t="s">
        <v>108</v>
      </c>
      <c r="Q201" s="147">
        <f>'Médias por UF'!CG174*'Evolução das Receitas'!$V$235</f>
        <v>2375.6630098961859</v>
      </c>
      <c r="R201" s="147">
        <f>'Médias por UF'!CH174*'Evolução das Receitas'!$V$235</f>
        <v>3733.7312455909228</v>
      </c>
      <c r="S201" s="147">
        <f>'Médias por UF'!CI174*'Evolução das Receitas'!$V$235</f>
        <v>5323.711173110737</v>
      </c>
      <c r="T201" s="147">
        <f>'Médias por UF'!CJ174*'Evolução das Receitas'!$V$235</f>
        <v>6625.9227785210333</v>
      </c>
      <c r="U201" s="147">
        <f>'Médias por UF'!CK174*'Evolução das Receitas'!$V$235</f>
        <v>8400.0500145028545</v>
      </c>
      <c r="V201" s="147">
        <f>'Médias por UF'!CL174*'Evolução das Receitas'!$V$235</f>
        <v>10691.555963870333</v>
      </c>
      <c r="W201" s="147">
        <f>'Médias por UF'!CM174*'Evolução das Receitas'!$V$235</f>
        <v>12833.028864716156</v>
      </c>
      <c r="X201" s="147">
        <f>'Médias por UF'!CN174*'Evolução das Receitas'!$V$235</f>
        <v>15356.654538986828</v>
      </c>
      <c r="Y201" s="147">
        <f>'Médias por UF'!CO174*'Evolução das Receitas'!$V$235</f>
        <v>17814.280139952923</v>
      </c>
      <c r="Z201" s="147">
        <f>'Médias por UF'!CP174*'Evolução das Receitas'!$V$235</f>
        <v>21431.779577594916</v>
      </c>
      <c r="AA201" s="147">
        <f>'Médias por UF'!CQ174*'Evolução das Receitas'!$V$235</f>
        <v>23924.769509043843</v>
      </c>
      <c r="AB201" s="147">
        <f>'Médias por UF'!CR174*'Evolução das Receitas'!$V$235</f>
        <v>27052.32</v>
      </c>
      <c r="AC201" s="147">
        <f t="shared" si="72"/>
        <v>27052.32</v>
      </c>
      <c r="AE201" s="213" t="s">
        <v>108</v>
      </c>
      <c r="AF201" s="147">
        <f>JAN!$AN$26</f>
        <v>3342.6960000000004</v>
      </c>
      <c r="AG201" s="147">
        <f>FEV!$AN26</f>
        <v>3575.0400000000004</v>
      </c>
      <c r="AH201" s="147">
        <f>MAR!$AN26</f>
        <v>2399.5680000000007</v>
      </c>
      <c r="AI201" s="147">
        <f>ABR!$AO26</f>
        <v>2987.5360000000001</v>
      </c>
      <c r="AJ201" s="147">
        <f>MAI!$Y26</f>
        <v>1842.8880000000001</v>
      </c>
      <c r="AK201" s="147">
        <f>JUN!$Y26</f>
        <v>3936.4320000000007</v>
      </c>
      <c r="AL201" s="147">
        <f>JUL!$Y26</f>
        <v>3056.84</v>
      </c>
      <c r="AM201" s="147">
        <f>AGO!$Y26</f>
        <v>2463.44</v>
      </c>
      <c r="AN201" s="147">
        <f>SET!$Y26</f>
        <v>3250.3520000000003</v>
      </c>
      <c r="AO201" s="147">
        <f>OUT!$Y26</f>
        <v>4280.72</v>
      </c>
      <c r="AP201" s="147">
        <f>NOV!$Y26</f>
        <v>3615.4480000000003</v>
      </c>
      <c r="AQ201" s="147">
        <f>DEZ!$Y26</f>
        <v>4403.1359999999995</v>
      </c>
      <c r="AR201" s="177">
        <f t="shared" si="73"/>
        <v>39154.096000000005</v>
      </c>
      <c r="AT201" s="63"/>
      <c r="AV201" s="63"/>
      <c r="AW201" s="63"/>
    </row>
    <row r="202" spans="1:49">
      <c r="A202" s="212" t="s">
        <v>109</v>
      </c>
      <c r="B202" s="147">
        <f>$G$236*'Médias por UF'!CG175</f>
        <v>872.94230129464324</v>
      </c>
      <c r="C202" s="147">
        <f>$G$236*'Médias por UF'!CH175</f>
        <v>1534.5349218905112</v>
      </c>
      <c r="D202" s="147">
        <f>$G$236*'Médias por UF'!CI175</f>
        <v>2211.0959734420458</v>
      </c>
      <c r="E202" s="147">
        <f>$G$236*'Médias por UF'!CJ175</f>
        <v>2755.3499479589195</v>
      </c>
      <c r="F202" s="147">
        <f>$G$236*'Médias por UF'!CK175</f>
        <v>2905.2206256474828</v>
      </c>
      <c r="G202" s="147">
        <f>$G$236*'Médias por UF'!CL175</f>
        <v>4006.3584059442733</v>
      </c>
      <c r="H202" s="147">
        <f>$G$236*'Médias por UF'!CM175</f>
        <v>5375.7102312233246</v>
      </c>
      <c r="I202" s="147">
        <f>$G$236*'Médias por UF'!CN175</f>
        <v>5797.3814132850121</v>
      </c>
      <c r="J202" s="147">
        <f>$G$236*'Médias por UF'!CO175</f>
        <v>6312.9065983962209</v>
      </c>
      <c r="K202" s="147">
        <f>$G$236*'Médias por UF'!CP175</f>
        <v>6870.3525525644218</v>
      </c>
      <c r="L202" s="147">
        <f>$G$236*'Médias por UF'!CQ175</f>
        <v>7812.6211761613267</v>
      </c>
      <c r="M202" s="147">
        <f>$G$236*'Médias por UF'!CR175</f>
        <v>8618.5994160000009</v>
      </c>
      <c r="N202" s="147">
        <f t="shared" si="71"/>
        <v>8618.5994160000009</v>
      </c>
      <c r="P202" s="213" t="s">
        <v>109</v>
      </c>
      <c r="Q202" s="147">
        <f>'Médias por UF'!CG175*'Evolução das Receitas'!$V$236</f>
        <v>267.45140501916825</v>
      </c>
      <c r="R202" s="147">
        <f>'Médias por UF'!CH175*'Evolução das Receitas'!$V$236</f>
        <v>470.14965399422243</v>
      </c>
      <c r="S202" s="147">
        <f>'Médias por UF'!CI175*'Evolução das Receitas'!$V$236</f>
        <v>677.43391957551535</v>
      </c>
      <c r="T202" s="147">
        <f>'Médias por UF'!CJ175*'Evolução das Receitas'!$V$236</f>
        <v>844.18204251093175</v>
      </c>
      <c r="U202" s="147">
        <f>'Médias por UF'!CK175*'Evolução das Receitas'!$V$236</f>
        <v>890.09930790124986</v>
      </c>
      <c r="V202" s="147">
        <f>'Médias por UF'!CL175*'Evolução das Receitas'!$V$236</f>
        <v>1227.4650719652625</v>
      </c>
      <c r="W202" s="147">
        <f>'Médias por UF'!CM175*'Evolução das Receitas'!$V$236</f>
        <v>1647.0060531885219</v>
      </c>
      <c r="X202" s="147">
        <f>'Médias por UF'!CN175*'Evolução das Receitas'!$V$236</f>
        <v>1776.1973524659602</v>
      </c>
      <c r="Y202" s="147">
        <f>'Médias por UF'!CO175*'Evolução das Receitas'!$V$236</f>
        <v>1934.1435705336096</v>
      </c>
      <c r="Z202" s="147">
        <f>'Médias por UF'!CP175*'Evolução das Receitas'!$V$236</f>
        <v>2104.9334422621582</v>
      </c>
      <c r="AA202" s="147">
        <f>'Médias por UF'!CQ175*'Evolução das Receitas'!$V$236</f>
        <v>2393.6249937114549</v>
      </c>
      <c r="AB202" s="147">
        <f>'Médias por UF'!CR175*'Evolução das Receitas'!$V$236</f>
        <v>2640.56</v>
      </c>
      <c r="AC202" s="147">
        <f t="shared" si="72"/>
        <v>2640.56</v>
      </c>
      <c r="AE202" s="213" t="s">
        <v>109</v>
      </c>
      <c r="AF202" s="147">
        <f>JAN!$AN$27</f>
        <v>240.66400000000002</v>
      </c>
      <c r="AG202" s="147">
        <f>FEV!$AN27</f>
        <v>320.06400000000002</v>
      </c>
      <c r="AH202" s="147">
        <f>MAR!$AN27</f>
        <v>103.864</v>
      </c>
      <c r="AI202" s="147">
        <f>ABR!$AO27</f>
        <v>0</v>
      </c>
      <c r="AJ202" s="147">
        <f>MAI!$Y27</f>
        <v>369.17600000000004</v>
      </c>
      <c r="AK202" s="147">
        <f>JUN!$Y27</f>
        <v>207.18400000000003</v>
      </c>
      <c r="AL202" s="147">
        <f>JUL!$Y27</f>
        <v>248.46400000000006</v>
      </c>
      <c r="AM202" s="147">
        <f>AGO!$Y27</f>
        <v>669.00800000000004</v>
      </c>
      <c r="AN202" s="147">
        <f>SET!$Y27</f>
        <v>700.024</v>
      </c>
      <c r="AO202" s="147">
        <f>OUT!$Y27</f>
        <v>538.62400000000002</v>
      </c>
      <c r="AP202" s="147">
        <f>NOV!$Y27</f>
        <v>762.23200000000008</v>
      </c>
      <c r="AQ202" s="147">
        <f>DEZ!$Y27</f>
        <v>1045.04</v>
      </c>
      <c r="AR202" s="177">
        <f t="shared" si="73"/>
        <v>5204.3440000000001</v>
      </c>
      <c r="AT202" s="63"/>
      <c r="AV202" s="63"/>
      <c r="AW202" s="63"/>
    </row>
    <row r="203" spans="1:49">
      <c r="A203" s="212" t="s">
        <v>110</v>
      </c>
      <c r="B203" s="147">
        <f>$G$237*'Médias por UF'!CG176</f>
        <v>34667.579130484541</v>
      </c>
      <c r="C203" s="147">
        <f>$G$237*'Médias por UF'!CH176</f>
        <v>66247.508636698563</v>
      </c>
      <c r="D203" s="147">
        <f>$G$237*'Médias por UF'!CI176</f>
        <v>95735.773209254359</v>
      </c>
      <c r="E203" s="147">
        <f>$G$237*'Médias por UF'!CJ176</f>
        <v>120930.9377393746</v>
      </c>
      <c r="F203" s="147">
        <f>$G$237*'Médias por UF'!CK176</f>
        <v>145947.75698431663</v>
      </c>
      <c r="G203" s="147">
        <f>$G$237*'Médias por UF'!CL176</f>
        <v>175302.10260812074</v>
      </c>
      <c r="H203" s="147">
        <f>$G$237*'Médias por UF'!CM176</f>
        <v>206189.07887448664</v>
      </c>
      <c r="I203" s="147">
        <f>$G$237*'Médias por UF'!CN176</f>
        <v>240292.92283650799</v>
      </c>
      <c r="J203" s="147">
        <f>$G$237*'Médias por UF'!CO176</f>
        <v>268529.28962272796</v>
      </c>
      <c r="K203" s="147">
        <f>$G$237*'Médias por UF'!CP176</f>
        <v>304522.24692253419</v>
      </c>
      <c r="L203" s="147">
        <f>$G$237*'Médias por UF'!CQ176</f>
        <v>338254.75007493439</v>
      </c>
      <c r="M203" s="147">
        <f>$G$237*'Médias por UF'!CR176</f>
        <v>379281.93638160004</v>
      </c>
      <c r="N203" s="147">
        <f t="shared" si="71"/>
        <v>379281.93638160004</v>
      </c>
      <c r="P203" s="213" t="s">
        <v>110</v>
      </c>
      <c r="Q203" s="147">
        <f>'Médias por UF'!CG176*'Evolução das Receitas'!$V$237</f>
        <v>19331.43077489654</v>
      </c>
      <c r="R203" s="147">
        <f>'Médias por UF'!CH176*'Evolução das Receitas'!$V$237</f>
        <v>36941.117878449317</v>
      </c>
      <c r="S203" s="147">
        <f>'Médias por UF'!CI176*'Evolução das Receitas'!$V$237</f>
        <v>53384.445031770192</v>
      </c>
      <c r="T203" s="147">
        <f>'Médias por UF'!CJ176*'Evolução das Receitas'!$V$237</f>
        <v>67433.841937822348</v>
      </c>
      <c r="U203" s="147">
        <f>'Médias por UF'!CK176*'Evolução das Receitas'!$V$237</f>
        <v>81383.789455687511</v>
      </c>
      <c r="V203" s="147">
        <f>'Médias por UF'!CL176*'Evolução das Receitas'!$V$237</f>
        <v>97752.440356666193</v>
      </c>
      <c r="W203" s="147">
        <f>'Médias por UF'!CM176*'Evolução das Receitas'!$V$237</f>
        <v>114975.7209697068</v>
      </c>
      <c r="X203" s="147">
        <f>'Médias por UF'!CN176*'Evolução das Receitas'!$V$237</f>
        <v>133992.80019027347</v>
      </c>
      <c r="Y203" s="147">
        <f>'Médias por UF'!CO176*'Evolução das Receitas'!$V$237</f>
        <v>149738.04065854757</v>
      </c>
      <c r="Z203" s="147">
        <f>'Médias por UF'!CP176*'Evolução das Receitas'!$V$237</f>
        <v>169808.53245164687</v>
      </c>
      <c r="AA203" s="147">
        <f>'Médias por UF'!CQ176*'Evolução das Receitas'!$V$237</f>
        <v>188618.54358914765</v>
      </c>
      <c r="AB203" s="147">
        <f>'Médias por UF'!CR176*'Evolução das Receitas'!$V$237</f>
        <v>211496.23599999945</v>
      </c>
      <c r="AC203" s="147">
        <f t="shared" si="72"/>
        <v>211496.23599999945</v>
      </c>
      <c r="AE203" s="213" t="s">
        <v>110</v>
      </c>
      <c r="AF203" s="147">
        <f>JAN!$AN$28</f>
        <v>22701.640000000003</v>
      </c>
      <c r="AG203" s="147">
        <f>FEV!$AN28</f>
        <v>17646.007999999998</v>
      </c>
      <c r="AH203" s="147">
        <f>MAR!$AN28</f>
        <v>15142.216</v>
      </c>
      <c r="AI203" s="147">
        <f>ABR!$AO28</f>
        <v>9664.5759999999991</v>
      </c>
      <c r="AJ203" s="147">
        <f>MAI!$Y28</f>
        <v>9642.4159999999993</v>
      </c>
      <c r="AK203" s="147">
        <f>JUN!$Y28</f>
        <v>14790.656000000003</v>
      </c>
      <c r="AL203" s="147">
        <f>JUL!$Y28</f>
        <v>14193.432000000001</v>
      </c>
      <c r="AM203" s="147">
        <f>AGO!$Y28</f>
        <v>17491.504000000001</v>
      </c>
      <c r="AN203" s="147">
        <f>SET!$Y28</f>
        <v>26991.728000000003</v>
      </c>
      <c r="AO203" s="147">
        <f>OUT!$Y28</f>
        <v>28090.088000000011</v>
      </c>
      <c r="AP203" s="147">
        <f>NOV!$Y28</f>
        <v>26978.432000000001</v>
      </c>
      <c r="AQ203" s="147">
        <f>DEZ!$Y28</f>
        <v>27771.512000000002</v>
      </c>
      <c r="AR203" s="177">
        <f t="shared" si="73"/>
        <v>231104.20800000004</v>
      </c>
      <c r="AT203" s="63"/>
      <c r="AV203" s="63"/>
      <c r="AW203" s="63"/>
    </row>
    <row r="204" spans="1:49">
      <c r="A204" s="212" t="s">
        <v>111</v>
      </c>
      <c r="B204" s="147">
        <f>$G$238*'Médias por UF'!CG177</f>
        <v>236254.53474683678</v>
      </c>
      <c r="C204" s="147">
        <f>$G$238*'Médias por UF'!CH177</f>
        <v>374341.12488454109</v>
      </c>
      <c r="D204" s="147">
        <f>$G$238*'Médias por UF'!CI177</f>
        <v>498386.71684384934</v>
      </c>
      <c r="E204" s="147">
        <f>$G$238*'Médias por UF'!CJ177</f>
        <v>627157.62789379619</v>
      </c>
      <c r="F204" s="147">
        <f>$G$238*'Médias por UF'!CK177</f>
        <v>758321.66739413468</v>
      </c>
      <c r="G204" s="147">
        <f>$G$238*'Médias por UF'!CL177</f>
        <v>880385.57139851828</v>
      </c>
      <c r="H204" s="147">
        <f>$G$238*'Médias por UF'!CM177</f>
        <v>1062920.696543172</v>
      </c>
      <c r="I204" s="147">
        <f>$G$238*'Médias por UF'!CN177</f>
        <v>1256563.4380344325</v>
      </c>
      <c r="J204" s="147">
        <f>$G$238*'Médias por UF'!CO177</f>
        <v>1412867.0126661139</v>
      </c>
      <c r="K204" s="147">
        <f>$G$238*'Médias por UF'!CP177</f>
        <v>1649588.3083713991</v>
      </c>
      <c r="L204" s="147">
        <f>$G$238*'Médias por UF'!CQ177</f>
        <v>1840394.1808243799</v>
      </c>
      <c r="M204" s="147">
        <f>$G$238*'Médias por UF'!CR177</f>
        <v>2031066.0525848004</v>
      </c>
      <c r="N204" s="147">
        <f t="shared" si="71"/>
        <v>2031066.0525848004</v>
      </c>
      <c r="P204" s="213" t="s">
        <v>111</v>
      </c>
      <c r="Q204" s="147">
        <f>'Médias por UF'!CG177*'Evolução das Receitas'!$V$238</f>
        <v>165521.01685688403</v>
      </c>
      <c r="R204" s="147">
        <f>'Médias por UF'!CH177*'Evolução das Receitas'!$V$238</f>
        <v>262265.11888389755</v>
      </c>
      <c r="S204" s="147">
        <f>'Médias por UF'!CI177*'Evolução das Receitas'!$V$238</f>
        <v>349172.0328177209</v>
      </c>
      <c r="T204" s="147">
        <f>'Médias por UF'!CJ177*'Evolução das Receitas'!$V$238</f>
        <v>439389.52710376424</v>
      </c>
      <c r="U204" s="147">
        <f>'Médias por UF'!CK177*'Evolução das Receitas'!$V$238</f>
        <v>531283.65822136053</v>
      </c>
      <c r="V204" s="147">
        <f>'Médias por UF'!CL177*'Evolução das Receitas'!$V$238</f>
        <v>616802.1924326797</v>
      </c>
      <c r="W204" s="147">
        <f>'Médias por UF'!CM177*'Evolução das Receitas'!$V$238</f>
        <v>744687.1431212133</v>
      </c>
      <c r="X204" s="147">
        <f>'Médias por UF'!CN177*'Evolução das Receitas'!$V$238</f>
        <v>880354.14106025407</v>
      </c>
      <c r="Y204" s="147">
        <f>'Médias por UF'!CO177*'Evolução das Receitas'!$V$238</f>
        <v>989861.14645646757</v>
      </c>
      <c r="Z204" s="147">
        <f>'Médias por UF'!CP177*'Evolução das Receitas'!$V$238</f>
        <v>1155709.1781939517</v>
      </c>
      <c r="AA204" s="147">
        <f>'Médias por UF'!CQ177*'Evolução das Receitas'!$V$238</f>
        <v>1289388.6525986444</v>
      </c>
      <c r="AB204" s="147">
        <f>'Médias por UF'!CR177*'Evolução das Receitas'!$V$238</f>
        <v>1422974.2455000002</v>
      </c>
      <c r="AC204" s="147">
        <f t="shared" si="72"/>
        <v>1422974.2455000002</v>
      </c>
      <c r="AE204" s="213" t="s">
        <v>111</v>
      </c>
      <c r="AF204" s="147">
        <f>JAN!$AN$29</f>
        <v>215271.36400000006</v>
      </c>
      <c r="AG204" s="147">
        <f>FEV!$AN29</f>
        <v>175661.73</v>
      </c>
      <c r="AH204" s="147">
        <f>MAR!$AN29</f>
        <v>163064.07399999999</v>
      </c>
      <c r="AI204" s="147">
        <f>ABR!$AO29</f>
        <v>91893.760000000009</v>
      </c>
      <c r="AJ204" s="147">
        <f>MAI!$Y29</f>
        <v>83124.637999999992</v>
      </c>
      <c r="AK204" s="147">
        <f>JUN!$Y29</f>
        <v>115013.57800000001</v>
      </c>
      <c r="AL204" s="147">
        <f>JUL!$Y29</f>
        <v>167383.5</v>
      </c>
      <c r="AM204" s="147">
        <f>AGO!$Y29</f>
        <v>173812.962</v>
      </c>
      <c r="AN204" s="147">
        <f>SET!$Y29</f>
        <v>210014.35400000005</v>
      </c>
      <c r="AO204" s="147">
        <f>OUT!$Y29</f>
        <v>221841.60400000005</v>
      </c>
      <c r="AP204" s="147">
        <f>NOV!$Y29</f>
        <v>207006.27</v>
      </c>
      <c r="AQ204" s="147">
        <f>DEZ!$Y29</f>
        <v>203150.78199999998</v>
      </c>
      <c r="AR204" s="177">
        <f t="shared" si="73"/>
        <v>2027238.6160000002</v>
      </c>
      <c r="AT204" s="63"/>
      <c r="AV204" s="63"/>
      <c r="AW204" s="63"/>
    </row>
    <row r="205" spans="1:49">
      <c r="A205" s="212" t="s">
        <v>112</v>
      </c>
      <c r="B205" s="147">
        <f>$G$239*'Médias por UF'!CG178</f>
        <v>5188.8277491029794</v>
      </c>
      <c r="C205" s="147">
        <f>$G$239*'Médias por UF'!CH178</f>
        <v>9396.408066358068</v>
      </c>
      <c r="D205" s="147">
        <f>$G$239*'Médias por UF'!CI178</f>
        <v>13862.210598293492</v>
      </c>
      <c r="E205" s="147">
        <f>$G$239*'Médias por UF'!CJ178</f>
        <v>16984.393755802434</v>
      </c>
      <c r="F205" s="147">
        <f>$G$239*'Médias por UF'!CK178</f>
        <v>19728.798652772584</v>
      </c>
      <c r="G205" s="147">
        <f>$G$239*'Médias por UF'!CL178</f>
        <v>23464.873582534507</v>
      </c>
      <c r="H205" s="147">
        <f>$G$239*'Médias por UF'!CM178</f>
        <v>27718.039976939886</v>
      </c>
      <c r="I205" s="147">
        <f>$G$239*'Médias por UF'!CN178</f>
        <v>30918.487944113396</v>
      </c>
      <c r="J205" s="147">
        <f>$G$239*'Médias por UF'!CO178</f>
        <v>33824.066456154047</v>
      </c>
      <c r="K205" s="147">
        <f>$G$239*'Médias por UF'!CP178</f>
        <v>38192.598429956925</v>
      </c>
      <c r="L205" s="147">
        <f>$G$239*'Médias por UF'!CQ178</f>
        <v>41683.696365694224</v>
      </c>
      <c r="M205" s="147">
        <f>$G$239*'Médias por UF'!CR178</f>
        <v>46324.602917600001</v>
      </c>
      <c r="N205" s="147">
        <f t="shared" si="71"/>
        <v>46324.602917600001</v>
      </c>
      <c r="P205" s="213" t="s">
        <v>112</v>
      </c>
      <c r="Q205" s="147">
        <f>'Médias por UF'!CG178*'Evolução das Receitas'!$V$239</f>
        <v>3968.4696405699551</v>
      </c>
      <c r="R205" s="147">
        <f>'Médias por UF'!CH178*'Evolução das Receitas'!$V$239</f>
        <v>7186.4709997735117</v>
      </c>
      <c r="S205" s="147">
        <f>'Médias por UF'!CI178*'Evolução das Receitas'!$V$239</f>
        <v>10601.963404937653</v>
      </c>
      <c r="T205" s="147">
        <f>'Médias por UF'!CJ178*'Evolução das Receitas'!$V$239</f>
        <v>12989.841683420698</v>
      </c>
      <c r="U205" s="147">
        <f>'Médias por UF'!CK178*'Evolução das Receitas'!$V$239</f>
        <v>15088.791203751249</v>
      </c>
      <c r="V205" s="147">
        <f>'Médias por UF'!CL178*'Evolução das Receitas'!$V$239</f>
        <v>17946.180319475479</v>
      </c>
      <c r="W205" s="147">
        <f>'Médias por UF'!CM178*'Evolução das Receitas'!$V$239</f>
        <v>21199.046386461039</v>
      </c>
      <c r="X205" s="147">
        <f>'Médias por UF'!CN178*'Evolução das Receitas'!$V$239</f>
        <v>23646.782408561132</v>
      </c>
      <c r="Y205" s="147">
        <f>'Médias por UF'!CO178*'Evolução das Receitas'!$V$239</f>
        <v>25868.99919255808</v>
      </c>
      <c r="Z205" s="147">
        <f>'Médias por UF'!CP178*'Evolução das Receitas'!$V$239</f>
        <v>29210.098059232329</v>
      </c>
      <c r="AA205" s="147">
        <f>'Médias por UF'!CQ178*'Evolução das Receitas'!$V$239</f>
        <v>31880.126212050658</v>
      </c>
      <c r="AB205" s="147">
        <f>'Médias por UF'!CR178*'Evolução das Receitas'!$V$239</f>
        <v>35429.54</v>
      </c>
      <c r="AC205" s="147">
        <f t="shared" si="72"/>
        <v>35429.54</v>
      </c>
      <c r="AE205" s="213" t="s">
        <v>112</v>
      </c>
      <c r="AF205" s="147">
        <f>JAN!$AN$30</f>
        <v>4694.9279999999999</v>
      </c>
      <c r="AG205" s="147">
        <f>FEV!$AN30</f>
        <v>4659.9920000000002</v>
      </c>
      <c r="AH205" s="147">
        <f>MAR!$AN30</f>
        <v>3558.9360000000001</v>
      </c>
      <c r="AI205" s="147">
        <f>ABR!$AO30</f>
        <v>2073.8240000000001</v>
      </c>
      <c r="AJ205" s="147">
        <f>MAI!$Y30</f>
        <v>1719.0239999999999</v>
      </c>
      <c r="AK205" s="147">
        <f>JUN!$Y30</f>
        <v>3492.4560000000001</v>
      </c>
      <c r="AL205" s="147">
        <f>JUL!$Y30</f>
        <v>4263.6719999999996</v>
      </c>
      <c r="AM205" s="147">
        <f>AGO!$Y30</f>
        <v>6630.8480000000009</v>
      </c>
      <c r="AN205" s="147">
        <f>SET!$Y30</f>
        <v>5975.648000000001</v>
      </c>
      <c r="AO205" s="147">
        <f>OUT!$Y30</f>
        <v>7528.4720000000016</v>
      </c>
      <c r="AP205" s="147">
        <f>NOV!$Y30</f>
        <v>7383.1200000000008</v>
      </c>
      <c r="AQ205" s="147">
        <f>DEZ!$Y30</f>
        <v>5616.2080000000005</v>
      </c>
      <c r="AR205" s="177">
        <f t="shared" si="73"/>
        <v>57597.128000000012</v>
      </c>
      <c r="AT205" s="63"/>
      <c r="AV205" s="63"/>
      <c r="AW205" s="63"/>
    </row>
    <row r="206" spans="1:49">
      <c r="A206" s="212" t="s">
        <v>113</v>
      </c>
      <c r="B206" s="147">
        <f>$G$240*'Médias por UF'!CG179</f>
        <v>2125.8019144728414</v>
      </c>
      <c r="C206" s="147">
        <f>$G$240*'Médias por UF'!CH179</f>
        <v>4049.0169949991168</v>
      </c>
      <c r="D206" s="147">
        <f>$G$240*'Médias por UF'!CI179</f>
        <v>5874.846656120747</v>
      </c>
      <c r="E206" s="147">
        <f>$G$240*'Médias por UF'!CJ179</f>
        <v>7330.9790067496269</v>
      </c>
      <c r="F206" s="147">
        <f>$G$240*'Médias por UF'!CK179</f>
        <v>8938.9511062576967</v>
      </c>
      <c r="G206" s="147">
        <f>$G$240*'Médias por UF'!CL179</f>
        <v>11240.050564900888</v>
      </c>
      <c r="H206" s="147">
        <f>$G$240*'Médias por UF'!CM179</f>
        <v>14100.504828155004</v>
      </c>
      <c r="I206" s="147">
        <f>$G$240*'Médias por UF'!CN179</f>
        <v>18727.143979199082</v>
      </c>
      <c r="J206" s="147">
        <f>$G$240*'Médias por UF'!CO179</f>
        <v>21256.789707671629</v>
      </c>
      <c r="K206" s="147">
        <f>$G$240*'Médias por UF'!CP179</f>
        <v>25564.003716158833</v>
      </c>
      <c r="L206" s="147">
        <f>$G$240*'Médias por UF'!CQ179</f>
        <v>29108.033478498241</v>
      </c>
      <c r="M206" s="147">
        <f>$G$240*'Médias por UF'!CR179</f>
        <v>32448.492608</v>
      </c>
      <c r="N206" s="147">
        <f t="shared" si="71"/>
        <v>32448.492608</v>
      </c>
      <c r="P206" s="213" t="s">
        <v>113</v>
      </c>
      <c r="Q206" s="147">
        <f>'Médias por UF'!CG179*'Evolução das Receitas'!$V$240</f>
        <v>2325.2904971850253</v>
      </c>
      <c r="R206" s="147">
        <f>'Médias por UF'!CH179*'Evolução das Receitas'!$V$240</f>
        <v>4428.9830944793794</v>
      </c>
      <c r="S206" s="147">
        <f>'Médias por UF'!CI179*'Evolução das Receitas'!$V$240</f>
        <v>6426.1514720125733</v>
      </c>
      <c r="T206" s="147">
        <f>'Médias por UF'!CJ179*'Evolução das Receitas'!$V$240</f>
        <v>8018.929564133482</v>
      </c>
      <c r="U206" s="147">
        <f>'Médias por UF'!CK179*'Evolução das Receitas'!$V$240</f>
        <v>9777.7962850960375</v>
      </c>
      <c r="V206" s="147">
        <f>'Médias por UF'!CL179*'Evolução das Receitas'!$V$240</f>
        <v>12294.834522681547</v>
      </c>
      <c r="W206" s="147">
        <f>'Médias por UF'!CM179*'Evolução das Receitas'!$V$240</f>
        <v>15423.718296232293</v>
      </c>
      <c r="X206" s="147">
        <f>'Médias por UF'!CN179*'Evolução das Receitas'!$V$240</f>
        <v>20484.528514993825</v>
      </c>
      <c r="Y206" s="147">
        <f>'Médias por UF'!CO179*'Evolução das Receitas'!$V$240</f>
        <v>23251.560162493577</v>
      </c>
      <c r="Z206" s="147">
        <f>'Médias por UF'!CP179*'Evolução das Receitas'!$V$240</f>
        <v>27962.969882792553</v>
      </c>
      <c r="AA206" s="147">
        <f>'Médias por UF'!CQ179*'Evolução das Receitas'!$V$240</f>
        <v>31839.576951401912</v>
      </c>
      <c r="AB206" s="147">
        <f>'Médias por UF'!CR179*'Evolução das Receitas'!$V$240</f>
        <v>35493.51</v>
      </c>
      <c r="AC206" s="147">
        <f t="shared" si="72"/>
        <v>35493.51</v>
      </c>
      <c r="AE206" s="213" t="s">
        <v>113</v>
      </c>
      <c r="AF206" s="147">
        <f>JAN!$AN$31</f>
        <v>2259.5600000000004</v>
      </c>
      <c r="AG206" s="147">
        <f>FEV!$AN31</f>
        <v>2598.3679999999999</v>
      </c>
      <c r="AH206" s="147">
        <f>MAR!$AN31</f>
        <v>3263.1760000000004</v>
      </c>
      <c r="AI206" s="147">
        <f>ABR!$AO31</f>
        <v>1619.3200000000002</v>
      </c>
      <c r="AJ206" s="147">
        <f>MAI!$Y31</f>
        <v>3903.3120000000004</v>
      </c>
      <c r="AK206" s="147">
        <f>JUN!$Y31</f>
        <v>3467.904</v>
      </c>
      <c r="AL206" s="147">
        <f>JUL!$Y31</f>
        <v>2088.6400000000003</v>
      </c>
      <c r="AM206" s="147">
        <f>AGO!$Y31</f>
        <v>3464.1519999999996</v>
      </c>
      <c r="AN206" s="147">
        <f>SET!$Y31</f>
        <v>1780.7920000000004</v>
      </c>
      <c r="AO206" s="147">
        <f>OUT!$Y31</f>
        <v>3636.0080000000003</v>
      </c>
      <c r="AP206" s="147">
        <f>NOV!$Y31</f>
        <v>3054.136</v>
      </c>
      <c r="AQ206" s="147">
        <f>DEZ!$Y31</f>
        <v>3579.1280000000002</v>
      </c>
      <c r="AR206" s="177">
        <f t="shared" si="73"/>
        <v>34714.495999999999</v>
      </c>
      <c r="AT206" s="63"/>
      <c r="AV206" s="63"/>
      <c r="AW206" s="63"/>
    </row>
    <row r="207" spans="1:49">
      <c r="A207" s="214" t="s">
        <v>37</v>
      </c>
      <c r="B207" s="148">
        <f>SUM(B180:B206)</f>
        <v>605577.91846656869</v>
      </c>
      <c r="C207" s="148">
        <f t="shared" ref="C207:D207" si="74">SUM(C180:C206)</f>
        <v>1084660.4268612533</v>
      </c>
      <c r="D207" s="148">
        <f t="shared" si="74"/>
        <v>1510399.276261945</v>
      </c>
      <c r="E207" s="148">
        <f>SUM(E180:E206)</f>
        <v>1923686.0276321494</v>
      </c>
      <c r="F207" s="148">
        <f t="shared" ref="F207:N207" si="75">SUM(F180:F206)</f>
        <v>2345622.0805214457</v>
      </c>
      <c r="G207" s="148">
        <f t="shared" si="75"/>
        <v>2759851.717407723</v>
      </c>
      <c r="H207" s="148">
        <f t="shared" si="75"/>
        <v>3292199.0633380995</v>
      </c>
      <c r="I207" s="148">
        <f t="shared" si="75"/>
        <v>3859982.7679304243</v>
      </c>
      <c r="J207" s="148">
        <f t="shared" si="75"/>
        <v>4341614.9669020902</v>
      </c>
      <c r="K207" s="148">
        <f t="shared" si="75"/>
        <v>4999165.7845460065</v>
      </c>
      <c r="L207" s="148">
        <f t="shared" si="75"/>
        <v>5603139.8176267827</v>
      </c>
      <c r="M207" s="148">
        <f t="shared" si="75"/>
        <v>6252441.9776504003</v>
      </c>
      <c r="N207" s="148">
        <f t="shared" si="75"/>
        <v>6252441.9776504003</v>
      </c>
      <c r="P207" s="215" t="s">
        <v>37</v>
      </c>
      <c r="Q207" s="148">
        <f>SUM(Q180:Q206)</f>
        <v>474318.53481762449</v>
      </c>
      <c r="R207" s="148">
        <f t="shared" ref="R207:S207" si="76">SUM(R180:R206)</f>
        <v>854570.78592653957</v>
      </c>
      <c r="S207" s="148">
        <f t="shared" si="76"/>
        <v>1192417.525323869</v>
      </c>
      <c r="T207" s="148">
        <f>SUM(T180:T206)</f>
        <v>1519541.0669493466</v>
      </c>
      <c r="U207" s="148">
        <f t="shared" ref="U207:AC207" si="77">SUM(U180:U206)</f>
        <v>1856601.0120623151</v>
      </c>
      <c r="V207" s="148">
        <f t="shared" si="77"/>
        <v>2185819.7352886675</v>
      </c>
      <c r="W207" s="148">
        <f t="shared" si="77"/>
        <v>2607951.0243606484</v>
      </c>
      <c r="X207" s="148">
        <f t="shared" si="77"/>
        <v>3060213.8309645755</v>
      </c>
      <c r="Y207" s="148">
        <f t="shared" si="77"/>
        <v>3445814.7192547093</v>
      </c>
      <c r="Z207" s="148">
        <f t="shared" si="77"/>
        <v>3965876.5072743134</v>
      </c>
      <c r="AA207" s="148">
        <f t="shared" si="77"/>
        <v>4447702.9177491441</v>
      </c>
      <c r="AB207" s="148">
        <f t="shared" si="77"/>
        <v>4961835.7214999991</v>
      </c>
      <c r="AC207" s="148">
        <f t="shared" si="77"/>
        <v>4961835.7214999991</v>
      </c>
      <c r="AE207" s="215" t="s">
        <v>37</v>
      </c>
      <c r="AF207" s="148">
        <f>SUM(AF180:AF206)</f>
        <v>658022.50000000012</v>
      </c>
      <c r="AG207" s="148">
        <f t="shared" ref="AG207:AH207" si="78">SUM(AG180:AG206)</f>
        <v>536788.08199999994</v>
      </c>
      <c r="AH207" s="148">
        <f t="shared" si="78"/>
        <v>510010.402</v>
      </c>
      <c r="AI207" s="148">
        <f>SUM(AI180:AI206)</f>
        <v>311055.98400000005</v>
      </c>
      <c r="AJ207" s="148">
        <f t="shared" ref="AJ207:AQ207" si="79">SUM(AJ180:AJ206)</f>
        <v>283706.64599999995</v>
      </c>
      <c r="AK207" s="148">
        <f t="shared" si="79"/>
        <v>360419.47</v>
      </c>
      <c r="AL207" s="148">
        <f t="shared" si="79"/>
        <v>419473.88400000002</v>
      </c>
      <c r="AM207" s="148">
        <f t="shared" si="79"/>
        <v>490333.31200000003</v>
      </c>
      <c r="AN207" s="148">
        <f t="shared" si="79"/>
        <v>599699.45000000007</v>
      </c>
      <c r="AO207" s="148">
        <f t="shared" si="79"/>
        <v>619285.16399999999</v>
      </c>
      <c r="AP207" s="148">
        <f t="shared" si="79"/>
        <v>619935.07800000021</v>
      </c>
      <c r="AQ207" s="148">
        <f t="shared" si="79"/>
        <v>627466.42999999993</v>
      </c>
      <c r="AR207" s="148">
        <f t="shared" ref="AR207" si="80">SUM(AR180:AR206)</f>
        <v>6036196.4019999998</v>
      </c>
      <c r="AS207" s="62" t="b">
        <f>AR207='TAXAS E MULTAS.'!O31</f>
        <v>1</v>
      </c>
    </row>
    <row r="208" spans="1:49">
      <c r="N208" s="62">
        <f>N207-SUM(G214:G240)</f>
        <v>0</v>
      </c>
      <c r="Q208" s="62">
        <f>Q207</f>
        <v>474318.53481762449</v>
      </c>
      <c r="R208" s="62">
        <f>R207-Q207</f>
        <v>380252.25110891508</v>
      </c>
      <c r="S208" s="62">
        <f t="shared" ref="S208:AB208" si="81">S207-R207</f>
        <v>337846.73939732939</v>
      </c>
      <c r="T208" s="62">
        <f t="shared" si="81"/>
        <v>327123.54162547761</v>
      </c>
      <c r="U208" s="62">
        <f t="shared" si="81"/>
        <v>337059.94511296856</v>
      </c>
      <c r="V208" s="62">
        <f t="shared" si="81"/>
        <v>329218.72322635236</v>
      </c>
      <c r="W208" s="62">
        <f t="shared" si="81"/>
        <v>422131.28907198086</v>
      </c>
      <c r="X208" s="62">
        <f t="shared" si="81"/>
        <v>452262.80660392717</v>
      </c>
      <c r="Y208" s="62">
        <f t="shared" si="81"/>
        <v>385600.88829013379</v>
      </c>
      <c r="Z208" s="62">
        <f t="shared" si="81"/>
        <v>520061.78801960405</v>
      </c>
      <c r="AA208" s="62">
        <f t="shared" si="81"/>
        <v>481826.41047483077</v>
      </c>
      <c r="AB208" s="62">
        <f t="shared" si="81"/>
        <v>514132.80375085492</v>
      </c>
      <c r="AC208" s="62">
        <f>AC207-SUM(V214:V240)</f>
        <v>0</v>
      </c>
      <c r="AF208" s="62">
        <f>AF207-JAN!AN32</f>
        <v>0</v>
      </c>
      <c r="AG208" s="62">
        <f>AG207-FEV!AN32</f>
        <v>0</v>
      </c>
      <c r="AH208" s="62">
        <f>AH207-MAR!AN32</f>
        <v>0</v>
      </c>
      <c r="AI208" s="62">
        <f>AI207-ABR!AO32</f>
        <v>0</v>
      </c>
      <c r="AJ208" s="62">
        <f>AJ207-MAI!Y32</f>
        <v>0</v>
      </c>
      <c r="AK208" s="62">
        <f>AK207-JUN!Y32</f>
        <v>0</v>
      </c>
      <c r="AL208" s="62">
        <f>AL207-JUL!Y32</f>
        <v>0</v>
      </c>
      <c r="AM208" s="62">
        <f>AM207-AGO!Y32</f>
        <v>0</v>
      </c>
      <c r="AR208" s="62">
        <f>AR207-'TOTAL POR UF'!G33</f>
        <v>0</v>
      </c>
    </row>
    <row r="209" spans="1:45">
      <c r="A209" s="212" t="s">
        <v>241</v>
      </c>
      <c r="B209" s="147">
        <f>B207*0.2/0.8</f>
        <v>151394.47961664217</v>
      </c>
      <c r="C209" s="147">
        <f t="shared" ref="C209:M209" si="82">C207*0.2/0.8</f>
        <v>271165.10671531333</v>
      </c>
      <c r="D209" s="147">
        <f t="shared" si="82"/>
        <v>377599.81906548626</v>
      </c>
      <c r="E209" s="147">
        <f t="shared" si="82"/>
        <v>480921.50690803741</v>
      </c>
      <c r="F209" s="147">
        <f t="shared" si="82"/>
        <v>586405.52013036143</v>
      </c>
      <c r="G209" s="147">
        <f t="shared" si="82"/>
        <v>689962.92935193074</v>
      </c>
      <c r="H209" s="147">
        <f t="shared" si="82"/>
        <v>823049.76583452488</v>
      </c>
      <c r="I209" s="147">
        <f t="shared" si="82"/>
        <v>964995.69198260608</v>
      </c>
      <c r="J209" s="147">
        <f t="shared" si="82"/>
        <v>1085403.7417255226</v>
      </c>
      <c r="K209" s="147">
        <f t="shared" si="82"/>
        <v>1249791.4461365016</v>
      </c>
      <c r="L209" s="147">
        <f t="shared" si="82"/>
        <v>1400784.9544066954</v>
      </c>
      <c r="M209" s="147">
        <f t="shared" si="82"/>
        <v>1563110.4944126001</v>
      </c>
      <c r="N209" s="147">
        <f t="shared" ref="N209" si="83">M209</f>
        <v>1563110.4944126001</v>
      </c>
      <c r="P209" s="212" t="s">
        <v>241</v>
      </c>
      <c r="Q209" s="147">
        <f>'Médias por UF'!CG180*'Evolução das Receitas'!$V$241</f>
        <v>105899.90806309509</v>
      </c>
      <c r="R209" s="147">
        <f>'Médias por UF'!CH180*'Evolução das Receitas'!$V$241</f>
        <v>206350.75106929307</v>
      </c>
      <c r="S209" s="147">
        <f>'Médias por UF'!CI180*'Evolução das Receitas'!$V$241</f>
        <v>296806.45157804061</v>
      </c>
      <c r="T209" s="147">
        <f>'Médias por UF'!CJ180*'Evolução das Receitas'!$V$241</f>
        <v>377751.45315396995</v>
      </c>
      <c r="U209" s="147">
        <f>'Médias por UF'!CK180*'Evolução das Receitas'!$V$241</f>
        <v>461106.64888648462</v>
      </c>
      <c r="V209" s="147">
        <f>'Médias por UF'!CL180*'Evolução das Receitas'!$V$241</f>
        <v>549400.1262516334</v>
      </c>
      <c r="W209" s="147">
        <f>'Médias por UF'!CM180*'Evolução das Receitas'!$V$241</f>
        <v>656116.80712838878</v>
      </c>
      <c r="X209" s="147">
        <f>'Médias por UF'!CN180*'Evolução das Receitas'!$V$241</f>
        <v>767696.16365340492</v>
      </c>
      <c r="Y209" s="147">
        <f>'Médias por UF'!CO180*'Evolução das Receitas'!$V$241</f>
        <v>864287.4670649952</v>
      </c>
      <c r="Z209" s="147">
        <f>'Médias por UF'!CP180*'Evolução das Receitas'!$V$241</f>
        <v>985991.55212184519</v>
      </c>
      <c r="AA209" s="147">
        <f>'Médias por UF'!CQ180*'Evolução das Receitas'!$V$241</f>
        <v>1109052.2556658071</v>
      </c>
      <c r="AB209" s="147">
        <f>'Médias por UF'!CR180*'Evolução das Receitas'!$V$241</f>
        <v>1235985.3869538163</v>
      </c>
      <c r="AC209" s="147">
        <f t="shared" ref="AC209" si="84">AB209</f>
        <v>1235985.3869538163</v>
      </c>
      <c r="AE209" s="213" t="s">
        <v>241</v>
      </c>
      <c r="AF209" s="147">
        <f>JAN!$AN$67</f>
        <v>163138.07000000004</v>
      </c>
      <c r="AG209" s="147">
        <f>FEV!$AN$67</f>
        <v>133738.47799999997</v>
      </c>
      <c r="AH209" s="147">
        <f>MAR!$AN$67</f>
        <v>125955.788</v>
      </c>
      <c r="AI209" s="147">
        <f>ABR!$AO$67</f>
        <v>77524.896000000008</v>
      </c>
      <c r="AJ209" s="147">
        <f>MAI!$Y$67</f>
        <v>70690.393999999986</v>
      </c>
      <c r="AK209" s="147">
        <f>JUN!$Y$67</f>
        <v>88802.46</v>
      </c>
      <c r="AL209" s="147">
        <f>JUL!$Y$67</f>
        <v>101532.75599999999</v>
      </c>
      <c r="AM209" s="147">
        <f>AGO!$Y$67</f>
        <v>118738.098</v>
      </c>
      <c r="AN209" s="147">
        <f>SET!$Y$67</f>
        <v>145690.24000000002</v>
      </c>
      <c r="AO209" s="147">
        <f>OUT!$Y67</f>
        <v>151103.64600000001</v>
      </c>
      <c r="AP209" s="147">
        <f>NOV!$Y$67</f>
        <v>151649.60200000004</v>
      </c>
      <c r="AQ209" s="147">
        <f>DEZ!$Y$67</f>
        <v>154557.87999999998</v>
      </c>
      <c r="AR209" s="177">
        <f>SUM(AF209:AQ209)</f>
        <v>1483122.3079999997</v>
      </c>
    </row>
    <row r="210" spans="1:45" s="232" customFormat="1" ht="21" customHeight="1" thickBot="1">
      <c r="A210" s="1374" t="s">
        <v>179</v>
      </c>
      <c r="B210" s="1376" t="s">
        <v>293</v>
      </c>
      <c r="C210" s="1377"/>
      <c r="D210" s="1377"/>
      <c r="E210" s="1377"/>
      <c r="F210" s="1377"/>
      <c r="G210" s="1377"/>
      <c r="H210" s="1378"/>
      <c r="I210" s="231"/>
      <c r="J210" s="231"/>
      <c r="K210" s="231"/>
      <c r="L210" s="231"/>
      <c r="M210" s="231"/>
      <c r="N210" s="231"/>
      <c r="O210" s="231"/>
      <c r="P210" s="1374" t="s">
        <v>179</v>
      </c>
      <c r="Q210" s="1376" t="s">
        <v>293</v>
      </c>
      <c r="R210" s="1377"/>
      <c r="S210" s="1377"/>
      <c r="T210" s="1377"/>
      <c r="U210" s="1377"/>
      <c r="V210" s="1377"/>
      <c r="W210" s="1378"/>
      <c r="X210" s="231"/>
      <c r="Y210" s="231"/>
      <c r="Z210" s="231"/>
      <c r="AA210" s="231"/>
      <c r="AB210" s="231"/>
      <c r="AC210" s="231"/>
      <c r="AD210" s="231"/>
      <c r="AE210" s="231"/>
      <c r="AF210" s="231">
        <f>JAN!AN67-AF209</f>
        <v>0</v>
      </c>
      <c r="AG210" s="231">
        <f>FEV!AN67-'Evolução das Receitas'!AG209</f>
        <v>0</v>
      </c>
      <c r="AH210" s="231">
        <f>AH209-MAR!AN67</f>
        <v>0</v>
      </c>
      <c r="AI210" s="231">
        <f>AI209-ABR!AO67</f>
        <v>0</v>
      </c>
      <c r="AJ210" s="231">
        <f>AJ209-MAI!Y67</f>
        <v>0</v>
      </c>
      <c r="AK210" s="231">
        <f>AK209-JUN!Y67</f>
        <v>0</v>
      </c>
      <c r="AL210" s="231">
        <f>AL209-JUL!Y67</f>
        <v>0</v>
      </c>
      <c r="AM210" s="231">
        <f>AM209-AGO!Y67</f>
        <v>0</v>
      </c>
      <c r="AN210" s="231"/>
      <c r="AO210" s="231"/>
      <c r="AP210" s="231"/>
      <c r="AQ210" s="231"/>
      <c r="AR210" s="231"/>
      <c r="AS210" s="231"/>
    </row>
    <row r="211" spans="1:45" s="232" customFormat="1" ht="21" customHeight="1" thickBot="1">
      <c r="A211" s="1375"/>
      <c r="B211" s="1379" t="s">
        <v>1114</v>
      </c>
      <c r="C211" s="1380"/>
      <c r="D211" s="1380"/>
      <c r="E211" s="1380"/>
      <c r="F211" s="1380"/>
      <c r="G211" s="1380"/>
      <c r="H211" s="1381"/>
      <c r="I211" s="1392" t="s">
        <v>1136</v>
      </c>
      <c r="J211" s="1392"/>
      <c r="K211" s="231"/>
      <c r="L211" s="231"/>
      <c r="M211" s="231"/>
      <c r="N211" s="231"/>
      <c r="O211" s="231"/>
      <c r="P211" s="1375"/>
      <c r="Q211" s="1379" t="s">
        <v>1114</v>
      </c>
      <c r="R211" s="1380"/>
      <c r="S211" s="1380"/>
      <c r="T211" s="1380"/>
      <c r="U211" s="1380"/>
      <c r="V211" s="1380"/>
      <c r="W211" s="1381"/>
      <c r="X211" s="231"/>
      <c r="Y211" s="231"/>
      <c r="Z211" s="231"/>
      <c r="AA211" s="231"/>
      <c r="AB211" s="231"/>
      <c r="AC211" s="231"/>
      <c r="AD211" s="231"/>
      <c r="AE211" s="231"/>
      <c r="AF211" s="993">
        <f t="shared" ref="AF211:AQ211" si="85">AF32+AF34+AF66+AF68+AF103+AF105+AF137+AF139+AF173+AF175+AF207+AF209</f>
        <v>22576388.02</v>
      </c>
      <c r="AG211" s="993">
        <f t="shared" si="85"/>
        <v>21791063.839999992</v>
      </c>
      <c r="AH211" s="993">
        <f t="shared" si="85"/>
        <v>15811503.190000003</v>
      </c>
      <c r="AI211" s="993">
        <f t="shared" si="85"/>
        <v>8141870.1900000004</v>
      </c>
      <c r="AJ211" s="993">
        <f t="shared" si="85"/>
        <v>8658705.8900000006</v>
      </c>
      <c r="AK211" s="993">
        <f t="shared" si="85"/>
        <v>11852236.880000003</v>
      </c>
      <c r="AL211" s="993">
        <f t="shared" si="85"/>
        <v>15414639.369999999</v>
      </c>
      <c r="AM211" s="993">
        <f t="shared" si="85"/>
        <v>16518182.860000003</v>
      </c>
      <c r="AN211" s="993">
        <f t="shared" si="85"/>
        <v>12575439.829999998</v>
      </c>
      <c r="AO211" s="993">
        <f t="shared" si="85"/>
        <v>13091764.560000002</v>
      </c>
      <c r="AP211" s="993">
        <f t="shared" si="85"/>
        <v>11490553.48</v>
      </c>
      <c r="AQ211" s="993">
        <f t="shared" si="85"/>
        <v>11503465.950000001</v>
      </c>
      <c r="AR211" s="993">
        <f>AR32+AR34+AR66+AR68+AR103+AR105+AR137+AR139+AR173+AR175+AR207+AR209</f>
        <v>169425814.06000006</v>
      </c>
      <c r="AS211" s="231"/>
    </row>
    <row r="212" spans="1:45" s="232" customFormat="1" ht="21" customHeight="1" thickBot="1">
      <c r="A212" s="1375"/>
      <c r="B212" s="1382" t="s">
        <v>294</v>
      </c>
      <c r="C212" s="1383"/>
      <c r="D212" s="1382" t="s">
        <v>295</v>
      </c>
      <c r="E212" s="1383"/>
      <c r="F212" s="1384" t="s">
        <v>28</v>
      </c>
      <c r="G212" s="1384" t="s">
        <v>296</v>
      </c>
      <c r="H212" s="1384" t="s">
        <v>180</v>
      </c>
      <c r="I212" s="1392"/>
      <c r="J212" s="1392"/>
      <c r="K212" s="231"/>
      <c r="L212" s="231"/>
      <c r="M212" s="231"/>
      <c r="N212" s="231"/>
      <c r="O212" s="231"/>
      <c r="P212" s="1375"/>
      <c r="Q212" s="1382" t="s">
        <v>294</v>
      </c>
      <c r="R212" s="1383"/>
      <c r="S212" s="1382" t="s">
        <v>295</v>
      </c>
      <c r="T212" s="1383"/>
      <c r="U212" s="1384" t="s">
        <v>28</v>
      </c>
      <c r="V212" s="1384" t="s">
        <v>296</v>
      </c>
      <c r="W212" s="1384" t="s">
        <v>180</v>
      </c>
      <c r="X212" s="231"/>
      <c r="Y212" s="231"/>
      <c r="Z212" s="231"/>
      <c r="AA212" s="231"/>
      <c r="AB212" s="231"/>
      <c r="AC212" s="231"/>
      <c r="AD212" s="231"/>
      <c r="AE212" s="231"/>
      <c r="AF212" s="994" t="b">
        <f>AF211='ARRECADAÇÃO MENSAL POR RECEITA'!R5</f>
        <v>1</v>
      </c>
      <c r="AG212" s="994" t="b">
        <f>AG211='ARRECADAÇÃO MENSAL POR RECEITA'!R6</f>
        <v>1</v>
      </c>
      <c r="AH212" s="994" t="b">
        <f>AH211='ARRECADAÇÃO MENSAL POR RECEITA'!R7</f>
        <v>1</v>
      </c>
      <c r="AI212" s="994" t="b">
        <f>AI211='ARRECADAÇÃO MENSAL POR RECEITA'!R8</f>
        <v>1</v>
      </c>
      <c r="AJ212" s="994" t="b">
        <f>AJ211='ARRECADAÇÃO MENSAL POR RECEITA'!R9</f>
        <v>1</v>
      </c>
      <c r="AK212" s="994" t="b">
        <f>AK211='ARRECADAÇÃO MENSAL POR RECEITA'!R10</f>
        <v>1</v>
      </c>
      <c r="AL212" s="994" t="b">
        <f>AL211='ARRECADAÇÃO MENSAL POR RECEITA'!R11</f>
        <v>1</v>
      </c>
      <c r="AM212" s="994" t="b">
        <f>AM211='ARRECADAÇÃO MENSAL POR RECEITA'!R12</f>
        <v>1</v>
      </c>
      <c r="AN212" s="994" t="b">
        <f>AN211='ARRECADAÇÃO MENSAL POR RECEITA'!R13</f>
        <v>1</v>
      </c>
      <c r="AO212" s="994" t="b">
        <f>AO211='ARRECADAÇÃO MENSAL POR RECEITA'!R14</f>
        <v>1</v>
      </c>
      <c r="AP212" s="994" t="b">
        <f>'ARRECADAÇÃO MENSAL POR RECEITA'!R15=AP211</f>
        <v>1</v>
      </c>
      <c r="AQ212" s="994" t="b">
        <f>AQ211='ARRECADAÇÃO MENSAL POR RECEITA'!R16</f>
        <v>1</v>
      </c>
      <c r="AR212" s="994" t="b">
        <f>AR211='ARRECADAÇÃO MENSAL POR RECEITA'!R17</f>
        <v>1</v>
      </c>
      <c r="AS212" s="231"/>
    </row>
    <row r="213" spans="1:45" s="232" customFormat="1" ht="21" customHeight="1" thickBot="1">
      <c r="A213" s="1375"/>
      <c r="B213" s="233" t="s">
        <v>297</v>
      </c>
      <c r="C213" s="233" t="s">
        <v>298</v>
      </c>
      <c r="D213" s="233" t="s">
        <v>297</v>
      </c>
      <c r="E213" s="233" t="s">
        <v>298</v>
      </c>
      <c r="F213" s="1374"/>
      <c r="G213" s="1374"/>
      <c r="H213" s="1374"/>
      <c r="I213" s="1392"/>
      <c r="J213" s="1392"/>
      <c r="K213" s="231"/>
      <c r="L213" s="231"/>
      <c r="M213" s="231"/>
      <c r="N213" s="231"/>
      <c r="O213" s="231"/>
      <c r="P213" s="1375"/>
      <c r="Q213" s="233" t="s">
        <v>297</v>
      </c>
      <c r="R213" s="233" t="s">
        <v>298</v>
      </c>
      <c r="S213" s="233" t="s">
        <v>297</v>
      </c>
      <c r="T213" s="233" t="s">
        <v>298</v>
      </c>
      <c r="U213" s="1374"/>
      <c r="V213" s="1374"/>
      <c r="W213" s="1374"/>
      <c r="X213" s="231"/>
      <c r="Y213" s="231"/>
      <c r="Z213" s="231"/>
      <c r="AA213" s="231"/>
      <c r="AB213" s="231"/>
      <c r="AC213" s="231"/>
      <c r="AD213" s="231"/>
      <c r="AE213" s="231"/>
      <c r="AF213" s="231"/>
      <c r="AG213" s="231"/>
      <c r="AH213" s="231"/>
      <c r="AI213" s="231"/>
      <c r="AJ213" s="231"/>
      <c r="AK213" s="231"/>
      <c r="AL213" s="231"/>
      <c r="AM213" s="231"/>
      <c r="AN213" s="231"/>
      <c r="AO213" s="231">
        <f>AO211-OUT!S102</f>
        <v>0</v>
      </c>
      <c r="AP213" s="231"/>
      <c r="AQ213" s="231"/>
      <c r="AR213" s="231"/>
      <c r="AS213" s="231"/>
    </row>
    <row r="214" spans="1:45" ht="21" customHeight="1" thickBot="1">
      <c r="A214" s="221" t="s">
        <v>87</v>
      </c>
      <c r="B214" s="144">
        <v>214863.66800000001</v>
      </c>
      <c r="C214" s="198">
        <v>19126.64</v>
      </c>
      <c r="D214" s="144">
        <v>52224.956000000006</v>
      </c>
      <c r="E214" s="198">
        <v>2763.9080000000004</v>
      </c>
      <c r="F214" s="198">
        <v>156406.56200000001</v>
      </c>
      <c r="G214" s="144">
        <v>19116.236204800007</v>
      </c>
      <c r="H214" s="145">
        <f>B214+C214+D214+E214+F214+G214</f>
        <v>464501.97020480008</v>
      </c>
      <c r="I214" s="1392"/>
      <c r="J214" s="1392"/>
      <c r="P214" s="221" t="s">
        <v>87</v>
      </c>
      <c r="Q214" s="144">
        <v>92896.567999999999</v>
      </c>
      <c r="R214" s="144">
        <v>19126.64</v>
      </c>
      <c r="S214" s="144">
        <v>15220.45</v>
      </c>
      <c r="T214" s="144">
        <v>2763.9080000000004</v>
      </c>
      <c r="U214" s="144">
        <v>156406.56200000001</v>
      </c>
      <c r="V214" s="144">
        <v>23519.982000000004</v>
      </c>
      <c r="W214" s="145">
        <f>Q214+R214+S214+T214+U214+V214</f>
        <v>309934.11000000004</v>
      </c>
      <c r="X214" s="62">
        <f>W214-AC5-AC39-AC76-AC110-AC146-AC180</f>
        <v>4.3655745685100555E-11</v>
      </c>
    </row>
    <row r="215" spans="1:45" ht="21" customHeight="1" thickBot="1">
      <c r="A215" s="222" t="s">
        <v>88</v>
      </c>
      <c r="B215" s="144">
        <v>754927.88400000008</v>
      </c>
      <c r="C215" s="198">
        <v>89069.3</v>
      </c>
      <c r="D215" s="144">
        <v>29224.520411147998</v>
      </c>
      <c r="E215" s="198">
        <v>4062.65</v>
      </c>
      <c r="F215" s="198">
        <v>459267.95999999996</v>
      </c>
      <c r="G215" s="144">
        <v>59266.378236800017</v>
      </c>
      <c r="H215" s="145">
        <f t="shared" ref="H215:H241" si="86">B215+C215+D215+E215+F215+G215</f>
        <v>1395818.6926479479</v>
      </c>
      <c r="I215" s="1392"/>
      <c r="J215" s="1392"/>
      <c r="P215" s="222" t="s">
        <v>88</v>
      </c>
      <c r="Q215" s="144">
        <v>412238.73000000004</v>
      </c>
      <c r="R215" s="144">
        <v>144042.57</v>
      </c>
      <c r="S215" s="144">
        <v>25007.51</v>
      </c>
      <c r="T215" s="144">
        <v>5192.82</v>
      </c>
      <c r="U215" s="144">
        <v>493176.49</v>
      </c>
      <c r="V215" s="144">
        <v>76923.38</v>
      </c>
      <c r="W215" s="145">
        <f t="shared" ref="W215:W241" si="87">Q215+R215+S215+T215+U215+V215</f>
        <v>1156581.5</v>
      </c>
      <c r="X215" s="62">
        <f t="shared" ref="X215:X240" si="88">W215-AC6-AC40-AC77-AC111-AC147-AC181</f>
        <v>0</v>
      </c>
    </row>
    <row r="216" spans="1:45" ht="21" customHeight="1" thickBot="1">
      <c r="A216" s="222" t="s">
        <v>89</v>
      </c>
      <c r="B216" s="144">
        <v>282078.08399999997</v>
      </c>
      <c r="C216" s="198">
        <v>28698.84</v>
      </c>
      <c r="D216" s="144">
        <v>69073.64665855201</v>
      </c>
      <c r="E216" s="198">
        <v>6948.27</v>
      </c>
      <c r="F216" s="198">
        <v>200993.4</v>
      </c>
      <c r="G216" s="144">
        <v>26968.972312799997</v>
      </c>
      <c r="H216" s="145">
        <f t="shared" si="86"/>
        <v>614761.21297135204</v>
      </c>
      <c r="I216" s="1392"/>
      <c r="J216" s="1392"/>
      <c r="P216" s="222" t="s">
        <v>89</v>
      </c>
      <c r="Q216" s="144">
        <v>101798.44</v>
      </c>
      <c r="R216" s="144">
        <v>28698.84</v>
      </c>
      <c r="S216" s="144">
        <v>16003.19</v>
      </c>
      <c r="T216" s="144">
        <v>6948.27</v>
      </c>
      <c r="U216" s="144">
        <v>200993.4</v>
      </c>
      <c r="V216" s="144">
        <v>23054.03</v>
      </c>
      <c r="W216" s="145">
        <f t="shared" si="87"/>
        <v>377496.17000000004</v>
      </c>
      <c r="X216" s="62">
        <f t="shared" si="88"/>
        <v>5.8207660913467407E-11</v>
      </c>
    </row>
    <row r="217" spans="1:45" ht="21" customHeight="1" thickBot="1">
      <c r="A217" s="222" t="s">
        <v>90</v>
      </c>
      <c r="B217" s="144">
        <v>715271.02399999998</v>
      </c>
      <c r="C217" s="198">
        <v>134347.413</v>
      </c>
      <c r="D217" s="144">
        <v>79900.945754652028</v>
      </c>
      <c r="E217" s="198">
        <v>12255.076999999999</v>
      </c>
      <c r="F217" s="198">
        <v>377303.4</v>
      </c>
      <c r="G217" s="144">
        <v>55554.839748800005</v>
      </c>
      <c r="H217" s="145">
        <f t="shared" si="86"/>
        <v>1374632.6995034521</v>
      </c>
      <c r="P217" s="221" t="s">
        <v>90</v>
      </c>
      <c r="Q217" s="144">
        <v>392979.95</v>
      </c>
      <c r="R217" s="144">
        <v>134347.413</v>
      </c>
      <c r="S217" s="144">
        <v>38909.86</v>
      </c>
      <c r="T217" s="144">
        <v>15180.37</v>
      </c>
      <c r="U217" s="144">
        <v>377303.4</v>
      </c>
      <c r="V217" s="144">
        <v>58272.800000000003</v>
      </c>
      <c r="W217" s="145">
        <f t="shared" si="87"/>
        <v>1016993.7930000001</v>
      </c>
      <c r="X217" s="62">
        <f t="shared" si="88"/>
        <v>1.0186340659856796E-10</v>
      </c>
    </row>
    <row r="218" spans="1:45" ht="21" customHeight="1" thickBot="1">
      <c r="A218" s="222" t="s">
        <v>91</v>
      </c>
      <c r="B218" s="144">
        <v>2066516.2520000003</v>
      </c>
      <c r="C218" s="198">
        <v>300000</v>
      </c>
      <c r="D218" s="144">
        <v>312473.80712494807</v>
      </c>
      <c r="E218" s="198">
        <v>25000</v>
      </c>
      <c r="F218" s="198">
        <v>1061850.04</v>
      </c>
      <c r="G218" s="144">
        <v>162439.32839119999</v>
      </c>
      <c r="H218" s="145">
        <f t="shared" si="86"/>
        <v>3928279.4275161484</v>
      </c>
      <c r="P218" s="221" t="s">
        <v>91</v>
      </c>
      <c r="Q218" s="144">
        <v>1122504.2</v>
      </c>
      <c r="R218" s="144">
        <v>300000</v>
      </c>
      <c r="S218" s="144">
        <v>166075.54</v>
      </c>
      <c r="T218" s="144">
        <v>25000</v>
      </c>
      <c r="U218" s="144">
        <v>1061850.04</v>
      </c>
      <c r="V218" s="144">
        <v>107746.69</v>
      </c>
      <c r="W218" s="145">
        <f t="shared" si="87"/>
        <v>2783176.47</v>
      </c>
      <c r="X218" s="62">
        <f t="shared" si="88"/>
        <v>1.7462298274040222E-10</v>
      </c>
    </row>
    <row r="219" spans="1:45" ht="21" customHeight="1" thickBot="1">
      <c r="A219" s="222" t="s">
        <v>92</v>
      </c>
      <c r="B219" s="144">
        <v>1246278.416</v>
      </c>
      <c r="C219" s="198">
        <v>103088.01</v>
      </c>
      <c r="D219" s="144">
        <v>104154.09572991601</v>
      </c>
      <c r="E219" s="198">
        <v>8679</v>
      </c>
      <c r="F219" s="198">
        <v>710881.91999999993</v>
      </c>
      <c r="G219" s="144">
        <v>94672.456894400006</v>
      </c>
      <c r="H219" s="145">
        <f t="shared" si="86"/>
        <v>2267753.8986243159</v>
      </c>
      <c r="P219" s="221" t="s">
        <v>92</v>
      </c>
      <c r="Q219" s="144">
        <v>948653.19</v>
      </c>
      <c r="R219" s="144">
        <v>172305.77</v>
      </c>
      <c r="S219" s="144">
        <v>86662.07</v>
      </c>
      <c r="T219" s="144">
        <v>8679</v>
      </c>
      <c r="U219" s="144">
        <v>710881.91999999993</v>
      </c>
      <c r="V219" s="144">
        <v>57383.770000000004</v>
      </c>
      <c r="W219" s="145">
        <f t="shared" si="87"/>
        <v>1984565.72</v>
      </c>
      <c r="X219" s="62">
        <f t="shared" si="88"/>
        <v>0</v>
      </c>
    </row>
    <row r="220" spans="1:45" ht="21" customHeight="1" thickBot="1">
      <c r="A220" s="222" t="s">
        <v>93</v>
      </c>
      <c r="B220" s="144">
        <v>2176105.9759999998</v>
      </c>
      <c r="C220" s="198">
        <v>320000</v>
      </c>
      <c r="D220" s="144">
        <v>190337.207747184</v>
      </c>
      <c r="E220" s="198">
        <v>30000</v>
      </c>
      <c r="F220" s="198">
        <v>1189583.1599999999</v>
      </c>
      <c r="G220" s="144">
        <v>170383.82998000004</v>
      </c>
      <c r="H220" s="145">
        <f t="shared" si="86"/>
        <v>4076410.1737271836</v>
      </c>
      <c r="P220" s="221" t="s">
        <v>93</v>
      </c>
      <c r="Q220" s="144">
        <v>1291106.17</v>
      </c>
      <c r="R220" s="144">
        <v>320000</v>
      </c>
      <c r="S220" s="144">
        <v>106063.11</v>
      </c>
      <c r="T220" s="144">
        <v>30000</v>
      </c>
      <c r="U220" s="144">
        <v>1189583.1599999999</v>
      </c>
      <c r="V220" s="144">
        <v>186218.79</v>
      </c>
      <c r="W220" s="145">
        <f t="shared" si="87"/>
        <v>3122971.23</v>
      </c>
      <c r="X220" s="62">
        <f t="shared" si="88"/>
        <v>0</v>
      </c>
    </row>
    <row r="221" spans="1:45" ht="21" customHeight="1" thickBot="1">
      <c r="A221" s="222" t="s">
        <v>94</v>
      </c>
      <c r="B221" s="144">
        <v>1197502.6680000001</v>
      </c>
      <c r="C221" s="198">
        <v>127208.04</v>
      </c>
      <c r="D221" s="144">
        <v>137709.53577950402</v>
      </c>
      <c r="E221" s="198">
        <v>22272.57</v>
      </c>
      <c r="F221" s="198">
        <v>981772.44000000006</v>
      </c>
      <c r="G221" s="144">
        <v>107111.25277440001</v>
      </c>
      <c r="H221" s="145">
        <f t="shared" si="86"/>
        <v>2573576.5065539046</v>
      </c>
      <c r="P221" s="221" t="s">
        <v>94</v>
      </c>
      <c r="Q221" s="144">
        <v>1024414.12</v>
      </c>
      <c r="R221" s="144">
        <v>127208.3</v>
      </c>
      <c r="S221" s="144">
        <v>121100.47</v>
      </c>
      <c r="T221" s="144">
        <v>25044.92</v>
      </c>
      <c r="U221" s="144">
        <v>981772.44</v>
      </c>
      <c r="V221" s="144">
        <v>111410.01999999999</v>
      </c>
      <c r="W221" s="145">
        <f t="shared" si="87"/>
        <v>2390950.27</v>
      </c>
      <c r="X221" s="62">
        <f t="shared" si="88"/>
        <v>0</v>
      </c>
    </row>
    <row r="222" spans="1:45" ht="21" customHeight="1" thickBot="1">
      <c r="A222" s="222" t="s">
        <v>95</v>
      </c>
      <c r="B222" s="144">
        <v>1680646.4160000002</v>
      </c>
      <c r="C222" s="198">
        <v>200000</v>
      </c>
      <c r="D222" s="144">
        <v>158947.227516816</v>
      </c>
      <c r="E222" s="198">
        <v>30000</v>
      </c>
      <c r="F222" s="198">
        <v>1856034.96</v>
      </c>
      <c r="G222" s="144">
        <v>172600.93269440005</v>
      </c>
      <c r="H222" s="145">
        <f t="shared" si="86"/>
        <v>4098229.5362112164</v>
      </c>
      <c r="P222" s="221" t="s">
        <v>95</v>
      </c>
      <c r="Q222" s="144">
        <v>887072.21</v>
      </c>
      <c r="R222" s="144">
        <v>200000</v>
      </c>
      <c r="S222" s="144">
        <v>117915.48999999999</v>
      </c>
      <c r="T222" s="144">
        <v>30000</v>
      </c>
      <c r="U222" s="144">
        <v>1856034.96</v>
      </c>
      <c r="V222" s="144">
        <v>111784</v>
      </c>
      <c r="W222" s="145">
        <f t="shared" si="87"/>
        <v>3202806.66</v>
      </c>
      <c r="X222" s="62">
        <f t="shared" si="88"/>
        <v>2.3283064365386963E-10</v>
      </c>
    </row>
    <row r="223" spans="1:45" ht="21" customHeight="1" thickBot="1">
      <c r="A223" s="222" t="s">
        <v>96</v>
      </c>
      <c r="B223" s="144">
        <v>621395.30799999996</v>
      </c>
      <c r="C223" s="198">
        <v>149286.31</v>
      </c>
      <c r="D223" s="144">
        <v>66908.186839332018</v>
      </c>
      <c r="E223" s="198">
        <v>6988.38</v>
      </c>
      <c r="F223" s="198">
        <v>324381.13</v>
      </c>
      <c r="G223" s="144">
        <v>48954.62729360001</v>
      </c>
      <c r="H223" s="145">
        <f t="shared" si="86"/>
        <v>1217913.9421329319</v>
      </c>
      <c r="P223" s="221" t="s">
        <v>96</v>
      </c>
      <c r="Q223" s="144">
        <v>369035.8</v>
      </c>
      <c r="R223" s="144">
        <v>149286.31</v>
      </c>
      <c r="S223" s="144">
        <v>29715.33</v>
      </c>
      <c r="T223" s="144">
        <v>6988.38</v>
      </c>
      <c r="U223" s="144">
        <v>324381.13</v>
      </c>
      <c r="V223" s="144">
        <v>53046.36</v>
      </c>
      <c r="W223" s="145">
        <f t="shared" si="87"/>
        <v>932453.30999999994</v>
      </c>
      <c r="X223" s="62">
        <f t="shared" si="88"/>
        <v>0</v>
      </c>
    </row>
    <row r="224" spans="1:45" ht="21" customHeight="1" thickBot="1">
      <c r="A224" s="222" t="s">
        <v>97</v>
      </c>
      <c r="B224" s="144">
        <v>1128321.9240000001</v>
      </c>
      <c r="C224" s="198">
        <v>101619.48</v>
      </c>
      <c r="D224" s="144">
        <v>147034.86572422803</v>
      </c>
      <c r="E224" s="198">
        <v>16067.46</v>
      </c>
      <c r="F224" s="198">
        <v>2291324.7599999998</v>
      </c>
      <c r="G224" s="144">
        <v>163778.80255520003</v>
      </c>
      <c r="H224" s="145">
        <f t="shared" si="86"/>
        <v>3848147.2922794283</v>
      </c>
      <c r="P224" s="221" t="s">
        <v>97</v>
      </c>
      <c r="Q224" s="144">
        <v>755762.61</v>
      </c>
      <c r="R224" s="144">
        <v>101619.48</v>
      </c>
      <c r="S224" s="144">
        <v>91461.94</v>
      </c>
      <c r="T224" s="144">
        <v>16067.46</v>
      </c>
      <c r="U224" s="144">
        <v>2291324.7599999998</v>
      </c>
      <c r="V224" s="144">
        <v>111791.62</v>
      </c>
      <c r="W224" s="145">
        <f t="shared" si="87"/>
        <v>3368027.87</v>
      </c>
      <c r="X224" s="62">
        <f t="shared" si="88"/>
        <v>5.8207660913467407E-10</v>
      </c>
    </row>
    <row r="225" spans="1:24" ht="21" customHeight="1" thickBot="1">
      <c r="A225" s="222" t="s">
        <v>98</v>
      </c>
      <c r="B225" s="144">
        <v>1217730.1840000001</v>
      </c>
      <c r="C225" s="198">
        <v>181697.13</v>
      </c>
      <c r="D225" s="144">
        <v>156348.67573375202</v>
      </c>
      <c r="E225" s="198">
        <v>24717.03</v>
      </c>
      <c r="F225" s="198">
        <v>1397237.1600000001</v>
      </c>
      <c r="G225" s="144">
        <v>130233.97456160001</v>
      </c>
      <c r="H225" s="145">
        <f t="shared" si="86"/>
        <v>3107964.1542953523</v>
      </c>
      <c r="P225" s="221" t="s">
        <v>98</v>
      </c>
      <c r="Q225" s="144">
        <v>563580.01</v>
      </c>
      <c r="R225" s="144">
        <v>181697.13</v>
      </c>
      <c r="S225" s="144">
        <v>97064.06</v>
      </c>
      <c r="T225" s="144">
        <v>24717.03</v>
      </c>
      <c r="U225" s="144">
        <v>1397237.1600000001</v>
      </c>
      <c r="V225" s="144">
        <v>117897.60000000001</v>
      </c>
      <c r="W225" s="145">
        <f t="shared" si="87"/>
        <v>2382192.9900000002</v>
      </c>
      <c r="X225" s="62">
        <f t="shared" si="88"/>
        <v>-1.4551915228366852E-10</v>
      </c>
    </row>
    <row r="226" spans="1:24" ht="21" customHeight="1" thickBot="1">
      <c r="A226" s="222" t="s">
        <v>99</v>
      </c>
      <c r="B226" s="144">
        <v>5627375.1559999995</v>
      </c>
      <c r="C226" s="198">
        <v>1098934.42</v>
      </c>
      <c r="D226" s="144">
        <v>537914.5038138961</v>
      </c>
      <c r="E226" s="198">
        <v>169602.58000000002</v>
      </c>
      <c r="F226" s="198">
        <v>3780321.4800000004</v>
      </c>
      <c r="G226" s="144">
        <v>473826.30025920004</v>
      </c>
      <c r="H226" s="145">
        <f t="shared" si="86"/>
        <v>11687974.440073097</v>
      </c>
      <c r="P226" s="221" t="s">
        <v>99</v>
      </c>
      <c r="Q226" s="144">
        <v>3094886.04</v>
      </c>
      <c r="R226" s="144">
        <v>1098934.42</v>
      </c>
      <c r="S226" s="144">
        <v>385175.61</v>
      </c>
      <c r="T226" s="144">
        <v>169602.58000000002</v>
      </c>
      <c r="U226" s="144">
        <v>3780321.4800000004</v>
      </c>
      <c r="V226" s="144">
        <v>463078.48</v>
      </c>
      <c r="W226" s="145">
        <f t="shared" si="87"/>
        <v>8991998.6100000013</v>
      </c>
      <c r="X226" s="62">
        <f t="shared" si="88"/>
        <v>4.6566128730773926E-10</v>
      </c>
    </row>
    <row r="227" spans="1:24" ht="21" customHeight="1" thickBot="1">
      <c r="A227" s="222" t="s">
        <v>100</v>
      </c>
      <c r="B227" s="144">
        <v>1060774.9240000001</v>
      </c>
      <c r="C227" s="198">
        <v>0</v>
      </c>
      <c r="D227" s="144">
        <v>113889.47776808402</v>
      </c>
      <c r="E227" s="198">
        <v>0</v>
      </c>
      <c r="F227" s="198">
        <v>734896</v>
      </c>
      <c r="G227" s="144">
        <v>79281.64509440001</v>
      </c>
      <c r="H227" s="145">
        <f t="shared" si="86"/>
        <v>1988842.0468624842</v>
      </c>
      <c r="P227" s="221" t="s">
        <v>100</v>
      </c>
      <c r="Q227" s="144">
        <v>386565.75</v>
      </c>
      <c r="R227" s="144">
        <v>266422.43</v>
      </c>
      <c r="S227" s="144">
        <v>37952.99</v>
      </c>
      <c r="T227" s="144">
        <v>12982.24</v>
      </c>
      <c r="U227" s="144">
        <v>479426.69</v>
      </c>
      <c r="V227" s="144">
        <v>76983.98</v>
      </c>
      <c r="W227" s="145">
        <f t="shared" si="87"/>
        <v>1260334.0799999998</v>
      </c>
      <c r="X227" s="62">
        <f t="shared" si="88"/>
        <v>0</v>
      </c>
    </row>
    <row r="228" spans="1:24" ht="21" customHeight="1" thickBot="1">
      <c r="A228" s="222" t="s">
        <v>101</v>
      </c>
      <c r="B228" s="144">
        <v>939014.81600000011</v>
      </c>
      <c r="C228" s="198">
        <v>153007.4</v>
      </c>
      <c r="D228" s="144">
        <v>129913.88043031201</v>
      </c>
      <c r="E228" s="198">
        <v>14275.61</v>
      </c>
      <c r="F228" s="198">
        <v>601804.80000000005</v>
      </c>
      <c r="G228" s="144">
        <v>81284.131857600005</v>
      </c>
      <c r="H228" s="145">
        <f t="shared" si="86"/>
        <v>1919300.6382879121</v>
      </c>
      <c r="P228" s="221" t="s">
        <v>101</v>
      </c>
      <c r="Q228" s="144">
        <v>416936.32200000004</v>
      </c>
      <c r="R228" s="144">
        <v>153007.4</v>
      </c>
      <c r="S228" s="144">
        <v>40340.9</v>
      </c>
      <c r="T228" s="144">
        <v>14275.61</v>
      </c>
      <c r="U228" s="144">
        <v>601804.80000000005</v>
      </c>
      <c r="V228" s="144">
        <v>67172.36</v>
      </c>
      <c r="W228" s="145">
        <f t="shared" si="87"/>
        <v>1293537.3920000002</v>
      </c>
      <c r="X228" s="62">
        <f t="shared" si="88"/>
        <v>0</v>
      </c>
    </row>
    <row r="229" spans="1:24" ht="21" customHeight="1" thickBot="1">
      <c r="A229" s="222" t="s">
        <v>102</v>
      </c>
      <c r="B229" s="144">
        <v>4626182.8199999994</v>
      </c>
      <c r="C229" s="198">
        <v>704597.22</v>
      </c>
      <c r="D229" s="144">
        <v>818327.98567918804</v>
      </c>
      <c r="E229" s="198">
        <v>187730.11</v>
      </c>
      <c r="F229" s="198">
        <v>5482379.04</v>
      </c>
      <c r="G229" s="144">
        <v>518056.50788639998</v>
      </c>
      <c r="H229" s="145">
        <f t="shared" si="86"/>
        <v>12337273.683565589</v>
      </c>
      <c r="P229" s="221" t="s">
        <v>102</v>
      </c>
      <c r="Q229" s="144">
        <v>2702588.2</v>
      </c>
      <c r="R229" s="144">
        <v>704597.22</v>
      </c>
      <c r="S229" s="144">
        <v>447868.44000000006</v>
      </c>
      <c r="T229" s="144">
        <v>187730.11</v>
      </c>
      <c r="U229" s="144">
        <v>5482379.04</v>
      </c>
      <c r="V229" s="144">
        <v>370038.78</v>
      </c>
      <c r="W229" s="145">
        <f t="shared" si="87"/>
        <v>9895201.7899999991</v>
      </c>
      <c r="X229" s="62">
        <f t="shared" si="88"/>
        <v>-1.6298145055770874E-9</v>
      </c>
    </row>
    <row r="230" spans="1:24" ht="21" customHeight="1" thickBot="1">
      <c r="A230" s="222" t="s">
        <v>103</v>
      </c>
      <c r="B230" s="144">
        <v>1613916.3479999998</v>
      </c>
      <c r="C230" s="198">
        <v>321606.04000000004</v>
      </c>
      <c r="D230" s="144">
        <v>184280.77461481202</v>
      </c>
      <c r="E230" s="198">
        <v>24973.199999999997</v>
      </c>
      <c r="F230" s="198">
        <v>1178424.77</v>
      </c>
      <c r="G230" s="144">
        <v>133032.1161288</v>
      </c>
      <c r="H230" s="145">
        <f t="shared" si="86"/>
        <v>3456233.2487436119</v>
      </c>
      <c r="P230" s="221" t="s">
        <v>103</v>
      </c>
      <c r="Q230" s="144">
        <v>1037353.97</v>
      </c>
      <c r="R230" s="144">
        <v>321606.04000000004</v>
      </c>
      <c r="S230" s="144">
        <v>129174.40000000001</v>
      </c>
      <c r="T230" s="144">
        <v>24973.199999999997</v>
      </c>
      <c r="U230" s="144">
        <v>1178424.77</v>
      </c>
      <c r="V230" s="144">
        <v>117377.69</v>
      </c>
      <c r="W230" s="145">
        <f t="shared" si="87"/>
        <v>2808910.07</v>
      </c>
      <c r="X230" s="62">
        <f t="shared" si="88"/>
        <v>0</v>
      </c>
    </row>
    <row r="231" spans="1:24" ht="21" customHeight="1" thickBot="1">
      <c r="A231" s="222" t="s">
        <v>104</v>
      </c>
      <c r="B231" s="144">
        <v>449647.592</v>
      </c>
      <c r="C231" s="198">
        <v>55168.07</v>
      </c>
      <c r="D231" s="144">
        <v>69732.47175264002</v>
      </c>
      <c r="E231" s="198">
        <v>16377.880000000001</v>
      </c>
      <c r="F231" s="198">
        <v>309541.19999999995</v>
      </c>
      <c r="G231" s="144">
        <v>37905.823004000005</v>
      </c>
      <c r="H231" s="145">
        <f t="shared" si="86"/>
        <v>938373.03675663995</v>
      </c>
      <c r="P231" s="221" t="s">
        <v>104</v>
      </c>
      <c r="Q231" s="144">
        <v>310782.46000000002</v>
      </c>
      <c r="R231" s="144">
        <v>55168.07</v>
      </c>
      <c r="S231" s="144">
        <v>43670.39</v>
      </c>
      <c r="T231" s="144">
        <v>16377.880000000001</v>
      </c>
      <c r="U231" s="144">
        <v>309541.19999999995</v>
      </c>
      <c r="V231" s="144">
        <v>31540.54</v>
      </c>
      <c r="W231" s="145">
        <f t="shared" si="87"/>
        <v>767080.54</v>
      </c>
      <c r="X231" s="62">
        <f t="shared" si="88"/>
        <v>3.637978807091713E-11</v>
      </c>
    </row>
    <row r="232" spans="1:24" ht="21" customHeight="1" thickBot="1">
      <c r="A232" s="222" t="s">
        <v>105</v>
      </c>
      <c r="B232" s="144">
        <v>6629396.3080000002</v>
      </c>
      <c r="C232" s="198">
        <v>720000</v>
      </c>
      <c r="D232" s="144">
        <v>832186.92852219602</v>
      </c>
      <c r="E232" s="198">
        <v>140000</v>
      </c>
      <c r="F232" s="198">
        <v>2909820.24</v>
      </c>
      <c r="G232" s="144">
        <v>489442.93180720008</v>
      </c>
      <c r="H232" s="145">
        <f t="shared" si="86"/>
        <v>11720846.408329396</v>
      </c>
      <c r="P232" s="221" t="s">
        <v>105</v>
      </c>
      <c r="Q232" s="144">
        <v>3576099.3560000006</v>
      </c>
      <c r="R232" s="144">
        <v>720000</v>
      </c>
      <c r="S232" s="144">
        <v>564504.696</v>
      </c>
      <c r="T232" s="144">
        <v>140000</v>
      </c>
      <c r="U232" s="144">
        <v>2909820.24</v>
      </c>
      <c r="V232" s="144">
        <v>529897.70799999963</v>
      </c>
      <c r="W232" s="145">
        <f t="shared" si="87"/>
        <v>8440322</v>
      </c>
      <c r="X232" s="62">
        <f t="shared" si="88"/>
        <v>0</v>
      </c>
    </row>
    <row r="233" spans="1:24" ht="21" customHeight="1" thickBot="1">
      <c r="A233" s="222" t="s">
        <v>106</v>
      </c>
      <c r="B233" s="144">
        <v>898797.68799999985</v>
      </c>
      <c r="C233" s="198">
        <v>136881.07</v>
      </c>
      <c r="D233" s="144">
        <v>77302.393971588011</v>
      </c>
      <c r="E233" s="198">
        <v>7574</v>
      </c>
      <c r="F233" s="198">
        <v>564975.6</v>
      </c>
      <c r="G233" s="144">
        <v>75153.982371999999</v>
      </c>
      <c r="H233" s="145">
        <f t="shared" si="86"/>
        <v>1760684.7343435879</v>
      </c>
      <c r="P233" s="221" t="s">
        <v>106</v>
      </c>
      <c r="Q233" s="144">
        <v>487662.72</v>
      </c>
      <c r="R233" s="144">
        <v>192304.15</v>
      </c>
      <c r="S233" s="144">
        <v>37583.050000000003</v>
      </c>
      <c r="T233" s="144">
        <v>11774</v>
      </c>
      <c r="U233" s="144">
        <v>564975.6</v>
      </c>
      <c r="V233" s="144">
        <v>92298.27</v>
      </c>
      <c r="W233" s="145">
        <f t="shared" si="87"/>
        <v>1386597.79</v>
      </c>
      <c r="X233" s="62">
        <f t="shared" si="88"/>
        <v>0</v>
      </c>
    </row>
    <row r="234" spans="1:24" ht="21" customHeight="1" thickBot="1">
      <c r="A234" s="222" t="s">
        <v>107</v>
      </c>
      <c r="B234" s="144">
        <v>5955871.4440000001</v>
      </c>
      <c r="C234" s="198">
        <v>763682.25</v>
      </c>
      <c r="D234" s="144">
        <v>813563.97407690412</v>
      </c>
      <c r="E234" s="198">
        <v>114583.78</v>
      </c>
      <c r="F234" s="198">
        <v>6208149.3599999994</v>
      </c>
      <c r="G234" s="144">
        <v>601883.88564640016</v>
      </c>
      <c r="H234" s="145">
        <f t="shared" si="86"/>
        <v>14457734.693723304</v>
      </c>
      <c r="P234" s="221" t="s">
        <v>107</v>
      </c>
      <c r="Q234" s="144">
        <v>3229102.92</v>
      </c>
      <c r="R234" s="144">
        <v>763682.25</v>
      </c>
      <c r="S234" s="144">
        <v>444889.02</v>
      </c>
      <c r="T234" s="144">
        <v>114583.78</v>
      </c>
      <c r="U234" s="144">
        <v>6208149.3599999994</v>
      </c>
      <c r="V234" s="144">
        <v>439312.46</v>
      </c>
      <c r="W234" s="145">
        <f t="shared" si="87"/>
        <v>11199719.789999999</v>
      </c>
      <c r="X234" s="62">
        <f t="shared" si="88"/>
        <v>0</v>
      </c>
    </row>
    <row r="235" spans="1:24" ht="21" customHeight="1" thickBot="1">
      <c r="A235" s="222" t="s">
        <v>108</v>
      </c>
      <c r="B235" s="144">
        <v>431196.924</v>
      </c>
      <c r="C235" s="198">
        <v>41619.199999999997</v>
      </c>
      <c r="D235" s="144">
        <v>64102.276222668021</v>
      </c>
      <c r="E235" s="198">
        <v>6861.61</v>
      </c>
      <c r="F235" s="198">
        <v>673739.28</v>
      </c>
      <c r="G235" s="144">
        <v>53753.338038399997</v>
      </c>
      <c r="H235" s="145">
        <f t="shared" si="86"/>
        <v>1271272.6282610681</v>
      </c>
      <c r="P235" s="221" t="s">
        <v>108</v>
      </c>
      <c r="Q235" s="144">
        <v>225946.45</v>
      </c>
      <c r="R235" s="144">
        <v>41619.199999999997</v>
      </c>
      <c r="S235" s="144">
        <v>27428.9</v>
      </c>
      <c r="T235" s="144">
        <v>6861.61</v>
      </c>
      <c r="U235" s="144">
        <v>673739.28</v>
      </c>
      <c r="V235" s="144">
        <v>27052.32</v>
      </c>
      <c r="W235" s="145">
        <f t="shared" si="87"/>
        <v>1002647.76</v>
      </c>
      <c r="X235" s="62">
        <f t="shared" si="88"/>
        <v>6.5483618527650833E-11</v>
      </c>
    </row>
    <row r="236" spans="1:24" ht="21" customHeight="1" thickBot="1">
      <c r="A236" s="222" t="s">
        <v>109</v>
      </c>
      <c r="B236" s="144">
        <v>88958.02</v>
      </c>
      <c r="C236" s="198">
        <v>2958.21</v>
      </c>
      <c r="D236" s="144">
        <v>12767.025785076001</v>
      </c>
      <c r="E236" s="198">
        <v>810.78</v>
      </c>
      <c r="F236" s="198">
        <v>81729.48</v>
      </c>
      <c r="G236" s="144">
        <v>8618.5994160000009</v>
      </c>
      <c r="H236" s="145">
        <f t="shared" si="86"/>
        <v>195842.11520107603</v>
      </c>
      <c r="P236" s="221" t="s">
        <v>109</v>
      </c>
      <c r="Q236" s="144">
        <v>40502.449999999997</v>
      </c>
      <c r="R236" s="144">
        <v>2958.21</v>
      </c>
      <c r="S236" s="144">
        <v>7672.1399999999994</v>
      </c>
      <c r="T236" s="144">
        <v>810.78</v>
      </c>
      <c r="U236" s="144">
        <v>81729.48</v>
      </c>
      <c r="V236" s="144">
        <v>2640.56</v>
      </c>
      <c r="W236" s="145">
        <f t="shared" si="87"/>
        <v>136313.62</v>
      </c>
      <c r="X236" s="62">
        <f t="shared" si="88"/>
        <v>0</v>
      </c>
    </row>
    <row r="237" spans="1:24" ht="21" customHeight="1" thickBot="1">
      <c r="A237" s="222" t="s">
        <v>110</v>
      </c>
      <c r="B237" s="144">
        <v>3761206.3</v>
      </c>
      <c r="C237" s="198">
        <v>336083.68936591974</v>
      </c>
      <c r="D237" s="144">
        <v>486793.46657134808</v>
      </c>
      <c r="E237" s="198">
        <v>73316.311999999947</v>
      </c>
      <c r="F237" s="198">
        <v>4019319.4799999995</v>
      </c>
      <c r="G237" s="144">
        <v>379281.93638160004</v>
      </c>
      <c r="H237" s="145">
        <f t="shared" si="86"/>
        <v>9056001.1843188666</v>
      </c>
      <c r="P237" s="221" t="s">
        <v>110</v>
      </c>
      <c r="Q237" s="144">
        <v>2429073.9160000002</v>
      </c>
      <c r="R237" s="144">
        <v>336083.68936591974</v>
      </c>
      <c r="S237" s="144">
        <v>359595.36800000002</v>
      </c>
      <c r="T237" s="144">
        <v>73316.311999999947</v>
      </c>
      <c r="U237" s="144">
        <v>4019319.4799999995</v>
      </c>
      <c r="V237" s="144">
        <v>211496.23599999945</v>
      </c>
      <c r="W237" s="145">
        <f t="shared" si="87"/>
        <v>7428885.0013659187</v>
      </c>
      <c r="X237" s="62">
        <f t="shared" si="88"/>
        <v>0</v>
      </c>
    </row>
    <row r="238" spans="1:24" ht="21" customHeight="1" thickBot="1">
      <c r="A238" s="222" t="s">
        <v>111</v>
      </c>
      <c r="B238" s="144">
        <v>22935423.736000001</v>
      </c>
      <c r="C238" s="198">
        <v>2955102.1689929012</v>
      </c>
      <c r="D238" s="144">
        <v>1804910.4425216522</v>
      </c>
      <c r="E238" s="198">
        <v>421066.2122784832</v>
      </c>
      <c r="F238" s="198">
        <v>18080943.120000001</v>
      </c>
      <c r="G238" s="144">
        <v>2031066.0525848004</v>
      </c>
      <c r="H238" s="145">
        <f t="shared" si="86"/>
        <v>48228511.732377835</v>
      </c>
      <c r="P238" s="221" t="s">
        <v>111</v>
      </c>
      <c r="Q238" s="144">
        <v>13929347.976</v>
      </c>
      <c r="R238" s="144">
        <v>2955102.1689929012</v>
      </c>
      <c r="S238" s="144">
        <v>1832188.7080000001</v>
      </c>
      <c r="T238" s="144">
        <v>421066.2122784832</v>
      </c>
      <c r="U238" s="144">
        <v>18080943.120000001</v>
      </c>
      <c r="V238" s="144">
        <v>1422974.2455000002</v>
      </c>
      <c r="W238" s="145">
        <f t="shared" si="87"/>
        <v>38641622.430771381</v>
      </c>
      <c r="X238" s="62">
        <f t="shared" si="88"/>
        <v>-5.5879354476928711E-9</v>
      </c>
    </row>
    <row r="239" spans="1:24" ht="21" customHeight="1" thickBot="1">
      <c r="A239" s="222" t="s">
        <v>112</v>
      </c>
      <c r="B239" s="144">
        <v>527752.21600000001</v>
      </c>
      <c r="C239" s="198">
        <v>41425.74</v>
      </c>
      <c r="D239" s="144">
        <v>46345.50570506401</v>
      </c>
      <c r="E239" s="198">
        <v>2298.14</v>
      </c>
      <c r="F239" s="198">
        <v>428707.56</v>
      </c>
      <c r="G239" s="144">
        <v>46324.602917600001</v>
      </c>
      <c r="H239" s="145">
        <f t="shared" si="86"/>
        <v>1092853.7646226641</v>
      </c>
      <c r="P239" s="221" t="s">
        <v>112</v>
      </c>
      <c r="Q239" s="144">
        <v>249818.4</v>
      </c>
      <c r="R239" s="144">
        <v>41425.74</v>
      </c>
      <c r="S239" s="144">
        <v>28347.62</v>
      </c>
      <c r="T239" s="144">
        <v>2298.14</v>
      </c>
      <c r="U239" s="144">
        <v>428707.56</v>
      </c>
      <c r="V239" s="144">
        <v>35429.54</v>
      </c>
      <c r="W239" s="145">
        <f t="shared" si="87"/>
        <v>786027</v>
      </c>
      <c r="X239" s="62">
        <f t="shared" si="88"/>
        <v>0</v>
      </c>
    </row>
    <row r="240" spans="1:24" ht="21" customHeight="1" thickBot="1">
      <c r="A240" s="222" t="s">
        <v>113</v>
      </c>
      <c r="B240" s="144">
        <v>258918.32</v>
      </c>
      <c r="C240" s="198">
        <v>49993.98</v>
      </c>
      <c r="D240" s="144">
        <v>53708.069090411998</v>
      </c>
      <c r="E240" s="198">
        <v>9444.98</v>
      </c>
      <c r="F240" s="198">
        <v>358810.44</v>
      </c>
      <c r="G240" s="144">
        <v>32448.492608</v>
      </c>
      <c r="H240" s="145">
        <f t="shared" si="86"/>
        <v>763324.28169841203</v>
      </c>
      <c r="P240" s="222" t="s">
        <v>113</v>
      </c>
      <c r="Q240" s="144">
        <v>153321.75</v>
      </c>
      <c r="R240" s="144">
        <v>49993.98</v>
      </c>
      <c r="S240" s="144">
        <v>23218.27</v>
      </c>
      <c r="T240" s="144">
        <v>9444.98</v>
      </c>
      <c r="U240" s="144">
        <v>358810.44</v>
      </c>
      <c r="V240" s="144">
        <v>35493.51</v>
      </c>
      <c r="W240" s="145">
        <f t="shared" si="87"/>
        <v>630282.93000000005</v>
      </c>
      <c r="X240" s="62">
        <f t="shared" si="88"/>
        <v>6.5483618527650833E-11</v>
      </c>
    </row>
    <row r="241" spans="1:37" ht="21" customHeight="1" thickBot="1">
      <c r="A241" s="222" t="s">
        <v>241</v>
      </c>
      <c r="B241" s="146">
        <v>17276517.603999987</v>
      </c>
      <c r="C241" s="198">
        <v>2283777.2526982254</v>
      </c>
      <c r="D241" s="146">
        <v>2918423.8929999974</v>
      </c>
      <c r="E241" s="198">
        <v>341968.26831962075</v>
      </c>
      <c r="F241" s="198">
        <v>14028394.402500002</v>
      </c>
      <c r="G241" s="146">
        <v>1563110.4944125982</v>
      </c>
      <c r="H241" s="145">
        <f t="shared" si="86"/>
        <v>38412191.914930433</v>
      </c>
      <c r="P241" s="222" t="s">
        <v>241</v>
      </c>
      <c r="Q241" s="146">
        <v>9890494.6805000007</v>
      </c>
      <c r="R241" s="146">
        <v>2283777.2526982254</v>
      </c>
      <c r="S241" s="146">
        <v>1319645.9160000002</v>
      </c>
      <c r="T241" s="146">
        <v>341968.26831962075</v>
      </c>
      <c r="U241" s="146">
        <v>14028394.402500002</v>
      </c>
      <c r="V241" s="146">
        <v>1235985.3869538163</v>
      </c>
      <c r="W241" s="145">
        <f t="shared" si="87"/>
        <v>29100265.906971663</v>
      </c>
      <c r="X241" s="62">
        <f>W241-AC34-AC68-AC105-AC139-AC175-AC209</f>
        <v>-2.3283064365386963E-9</v>
      </c>
    </row>
    <row r="242" spans="1:37" ht="16.5" customHeight="1">
      <c r="B242" s="62">
        <f>SUM(B214:B241)</f>
        <v>86382588.019999981</v>
      </c>
      <c r="D242" s="62">
        <f>SUM(D214:D241)</f>
        <v>10468500.740545869</v>
      </c>
      <c r="F242" s="62">
        <f>SUM(F214:F241)</f>
        <v>70448993.144500002</v>
      </c>
      <c r="G242" s="62">
        <f>SUM(G214:G241)</f>
        <v>7815552.4720629985</v>
      </c>
      <c r="P242" s="223"/>
      <c r="Q242" s="223">
        <f>SUM(Q214:Q241)</f>
        <v>50122525.358499996</v>
      </c>
      <c r="R242" s="223">
        <f t="shared" ref="R242:W242" si="89">SUM(R214:R241)</f>
        <v>11865014.674057048</v>
      </c>
      <c r="S242" s="223">
        <f t="shared" si="89"/>
        <v>6640455.4379999992</v>
      </c>
      <c r="T242" s="223">
        <f t="shared" si="89"/>
        <v>1744647.8605981038</v>
      </c>
      <c r="U242" s="223">
        <f t="shared" si="89"/>
        <v>70227432.364500001</v>
      </c>
      <c r="V242" s="223">
        <f t="shared" si="89"/>
        <v>6197821.1084538158</v>
      </c>
      <c r="W242" s="223">
        <f t="shared" si="89"/>
        <v>146797896.80410898</v>
      </c>
      <c r="X242" s="223"/>
      <c r="Y242" s="223"/>
      <c r="Z242" s="223"/>
      <c r="AA242" s="223"/>
      <c r="AB242" s="223"/>
      <c r="AC242" s="223"/>
      <c r="AD242" s="223"/>
      <c r="AE242" s="223"/>
      <c r="AF242" s="223"/>
      <c r="AG242" s="223"/>
      <c r="AH242" s="223"/>
      <c r="AI242" s="223"/>
      <c r="AJ242" s="223"/>
      <c r="AK242" s="223"/>
    </row>
    <row r="243" spans="1:37">
      <c r="P243" s="224"/>
      <c r="Q243" s="225"/>
      <c r="R243" s="225"/>
      <c r="S243" s="225"/>
      <c r="T243" s="225"/>
      <c r="U243" s="225"/>
      <c r="V243" s="225"/>
      <c r="W243" s="226"/>
    </row>
    <row r="245" spans="1:37" hidden="1">
      <c r="A245" s="211" t="s">
        <v>182</v>
      </c>
      <c r="B245" s="211" t="s">
        <v>116</v>
      </c>
      <c r="C245" s="211" t="s">
        <v>117</v>
      </c>
      <c r="D245" s="211" t="s">
        <v>118</v>
      </c>
      <c r="E245" s="211" t="s">
        <v>119</v>
      </c>
      <c r="F245" s="211" t="s">
        <v>120</v>
      </c>
      <c r="G245" s="211" t="s">
        <v>121</v>
      </c>
      <c r="H245" s="211" t="s">
        <v>122</v>
      </c>
      <c r="I245" s="211" t="s">
        <v>123</v>
      </c>
      <c r="J245" s="211" t="s">
        <v>124</v>
      </c>
      <c r="K245" s="211" t="s">
        <v>125</v>
      </c>
      <c r="L245" s="211" t="s">
        <v>126</v>
      </c>
      <c r="M245" s="211" t="s">
        <v>127</v>
      </c>
      <c r="N245" s="211" t="s">
        <v>299</v>
      </c>
      <c r="O245" s="227" t="s">
        <v>300</v>
      </c>
    </row>
    <row r="246" spans="1:37" hidden="1">
      <c r="A246" s="212" t="s">
        <v>87</v>
      </c>
      <c r="B246" s="147">
        <f t="shared" ref="B246:B272" si="90">AF5</f>
        <v>14560.495999999999</v>
      </c>
      <c r="C246" s="147">
        <f t="shared" ref="C246:C272" si="91">AG5</f>
        <v>19304.727999999999</v>
      </c>
      <c r="D246" s="147">
        <f t="shared" ref="D246:D272" si="92">AH5</f>
        <v>14407.112000000001</v>
      </c>
      <c r="E246" s="147">
        <f t="shared" ref="E246:E272" si="93">AI5</f>
        <v>6038.5120000000006</v>
      </c>
      <c r="F246" s="147">
        <f t="shared" ref="F246:F272" si="94">AJ5</f>
        <v>5366.7760000000007</v>
      </c>
      <c r="G246" s="147">
        <f t="shared" ref="G246:G272" si="95">AK5</f>
        <v>9320.3120000000017</v>
      </c>
      <c r="H246" s="147">
        <f t="shared" ref="H246:H272" si="96">AL5</f>
        <v>14005.264000000003</v>
      </c>
      <c r="I246" s="147">
        <f t="shared" ref="I246:I272" si="97">AM5</f>
        <v>19565.816000000003</v>
      </c>
      <c r="J246" s="147">
        <f t="shared" ref="J246:J272" si="98">AN5</f>
        <v>7479.9120000000003</v>
      </c>
      <c r="K246" s="147">
        <f t="shared" ref="K246:K272" si="99">AO5</f>
        <v>2464.5439999999999</v>
      </c>
      <c r="L246" s="147">
        <f t="shared" ref="L246:L272" si="100">AP5</f>
        <v>3617.5360000000001</v>
      </c>
      <c r="M246" s="147">
        <f t="shared" ref="M246:M272" si="101">AQ5</f>
        <v>6135.9440000000004</v>
      </c>
      <c r="N246" s="147" t="s">
        <v>177</v>
      </c>
      <c r="O246" s="34" t="s">
        <v>197</v>
      </c>
    </row>
    <row r="247" spans="1:37" hidden="1">
      <c r="A247" s="212" t="s">
        <v>88</v>
      </c>
      <c r="B247" s="147">
        <f t="shared" si="90"/>
        <v>82619.016000000003</v>
      </c>
      <c r="C247" s="147">
        <f t="shared" si="91"/>
        <v>76937.648000000001</v>
      </c>
      <c r="D247" s="147">
        <f t="shared" si="92"/>
        <v>41772.520000000004</v>
      </c>
      <c r="E247" s="147">
        <f t="shared" si="93"/>
        <v>17309.544000000002</v>
      </c>
      <c r="F247" s="147">
        <f t="shared" si="94"/>
        <v>17241.904000000002</v>
      </c>
      <c r="G247" s="147">
        <f t="shared" si="95"/>
        <v>22298.959999999999</v>
      </c>
      <c r="H247" s="147">
        <f t="shared" si="96"/>
        <v>46785.784000000007</v>
      </c>
      <c r="I247" s="147">
        <f t="shared" si="97"/>
        <v>51631.240000000005</v>
      </c>
      <c r="J247" s="147">
        <f t="shared" si="98"/>
        <v>18370.256000000001</v>
      </c>
      <c r="K247" s="147">
        <f t="shared" si="99"/>
        <v>7539.1840000000002</v>
      </c>
      <c r="L247" s="147">
        <f t="shared" si="100"/>
        <v>13876.696000000004</v>
      </c>
      <c r="M247" s="147">
        <f t="shared" si="101"/>
        <v>21301.232000000004</v>
      </c>
      <c r="N247" s="147" t="s">
        <v>177</v>
      </c>
      <c r="O247" s="34" t="s">
        <v>197</v>
      </c>
    </row>
    <row r="248" spans="1:37" hidden="1">
      <c r="A248" s="212" t="s">
        <v>89</v>
      </c>
      <c r="B248" s="147">
        <f t="shared" si="90"/>
        <v>16939.752</v>
      </c>
      <c r="C248" s="147">
        <f t="shared" si="91"/>
        <v>22377.328000000001</v>
      </c>
      <c r="D248" s="147">
        <f t="shared" si="92"/>
        <v>14640.120000000003</v>
      </c>
      <c r="E248" s="147">
        <f t="shared" si="93"/>
        <v>8337.8240000000005</v>
      </c>
      <c r="F248" s="147">
        <f t="shared" si="94"/>
        <v>4209.384</v>
      </c>
      <c r="G248" s="147">
        <f t="shared" si="95"/>
        <v>11290.143999999998</v>
      </c>
      <c r="H248" s="147">
        <f t="shared" si="96"/>
        <v>23954.448000000004</v>
      </c>
      <c r="I248" s="147">
        <f t="shared" si="97"/>
        <v>24375.440000000002</v>
      </c>
      <c r="J248" s="147">
        <f t="shared" si="98"/>
        <v>7634.4480000000003</v>
      </c>
      <c r="K248" s="147">
        <f t="shared" si="99"/>
        <v>2324.5520000000001</v>
      </c>
      <c r="L248" s="147">
        <f t="shared" si="100"/>
        <v>4392.5760000000009</v>
      </c>
      <c r="M248" s="147">
        <f t="shared" si="101"/>
        <v>6185.6080000000002</v>
      </c>
      <c r="N248" s="147" t="s">
        <v>177</v>
      </c>
      <c r="O248" s="34" t="s">
        <v>197</v>
      </c>
    </row>
    <row r="249" spans="1:37" hidden="1">
      <c r="A249" s="212" t="s">
        <v>90</v>
      </c>
      <c r="B249" s="147">
        <f t="shared" si="90"/>
        <v>56159.095999999998</v>
      </c>
      <c r="C249" s="147">
        <f t="shared" si="91"/>
        <v>65980.911999999997</v>
      </c>
      <c r="D249" s="147">
        <f t="shared" si="92"/>
        <v>47458.544000000002</v>
      </c>
      <c r="E249" s="147">
        <f t="shared" si="93"/>
        <v>17888.84</v>
      </c>
      <c r="F249" s="147">
        <f t="shared" si="94"/>
        <v>19643.088</v>
      </c>
      <c r="G249" s="147">
        <f t="shared" si="95"/>
        <v>35431.775999999991</v>
      </c>
      <c r="H249" s="147">
        <f t="shared" si="96"/>
        <v>40861.856</v>
      </c>
      <c r="I249" s="147">
        <f t="shared" si="97"/>
        <v>53688.128000000004</v>
      </c>
      <c r="J249" s="147">
        <f t="shared" si="98"/>
        <v>20534.320000000003</v>
      </c>
      <c r="K249" s="147">
        <f t="shared" si="99"/>
        <v>7970.0479999999998</v>
      </c>
      <c r="L249" s="147">
        <f t="shared" si="100"/>
        <v>15815.928000000004</v>
      </c>
      <c r="M249" s="147">
        <f t="shared" si="101"/>
        <v>15140.256000000001</v>
      </c>
      <c r="N249" s="147" t="s">
        <v>177</v>
      </c>
      <c r="O249" s="34" t="s">
        <v>197</v>
      </c>
    </row>
    <row r="250" spans="1:37" hidden="1">
      <c r="A250" s="212" t="s">
        <v>91</v>
      </c>
      <c r="B250" s="147">
        <f t="shared" si="90"/>
        <v>240394.49600000001</v>
      </c>
      <c r="C250" s="147">
        <f t="shared" si="91"/>
        <v>232154.37599999999</v>
      </c>
      <c r="D250" s="147">
        <f t="shared" si="92"/>
        <v>150004.91200000001</v>
      </c>
      <c r="E250" s="147">
        <f t="shared" si="93"/>
        <v>53443.19200000001</v>
      </c>
      <c r="F250" s="147">
        <f t="shared" si="94"/>
        <v>49621.16</v>
      </c>
      <c r="G250" s="147">
        <f t="shared" si="95"/>
        <v>78866.736000000004</v>
      </c>
      <c r="H250" s="147">
        <f t="shared" si="96"/>
        <v>144233.67199999999</v>
      </c>
      <c r="I250" s="147">
        <f t="shared" si="97"/>
        <v>164233.23200000002</v>
      </c>
      <c r="J250" s="147">
        <f t="shared" si="98"/>
        <v>70406.216</v>
      </c>
      <c r="K250" s="147">
        <f t="shared" si="99"/>
        <v>24346.512000000002</v>
      </c>
      <c r="L250" s="147">
        <f t="shared" si="100"/>
        <v>42854.840000000004</v>
      </c>
      <c r="M250" s="147">
        <f t="shared" si="101"/>
        <v>43961.96</v>
      </c>
      <c r="N250" s="147" t="s">
        <v>177</v>
      </c>
      <c r="O250" s="34" t="s">
        <v>197</v>
      </c>
    </row>
    <row r="251" spans="1:37" hidden="1">
      <c r="A251" s="212" t="s">
        <v>92</v>
      </c>
      <c r="B251" s="147">
        <f t="shared" si="90"/>
        <v>187853.024</v>
      </c>
      <c r="C251" s="147">
        <f t="shared" si="91"/>
        <v>123844.62400000001</v>
      </c>
      <c r="D251" s="147">
        <f t="shared" si="92"/>
        <v>80019.960000000006</v>
      </c>
      <c r="E251" s="147">
        <f t="shared" si="93"/>
        <v>24080.440000000002</v>
      </c>
      <c r="F251" s="147">
        <f t="shared" si="94"/>
        <v>23167.584000000003</v>
      </c>
      <c r="G251" s="147">
        <f t="shared" si="95"/>
        <v>51427.80000000001</v>
      </c>
      <c r="H251" s="147">
        <f t="shared" si="96"/>
        <v>100681.424</v>
      </c>
      <c r="I251" s="147">
        <f t="shared" si="97"/>
        <v>91472.576000000001</v>
      </c>
      <c r="J251" s="147">
        <f t="shared" si="98"/>
        <v>44046.592000000004</v>
      </c>
      <c r="K251" s="147">
        <f t="shared" si="99"/>
        <v>15217.560000000001</v>
      </c>
      <c r="L251" s="147">
        <f t="shared" si="100"/>
        <v>24076.272000000004</v>
      </c>
      <c r="M251" s="147">
        <f t="shared" si="101"/>
        <v>20529.264000000003</v>
      </c>
      <c r="N251" s="147" t="s">
        <v>177</v>
      </c>
      <c r="O251" s="34" t="s">
        <v>197</v>
      </c>
    </row>
    <row r="252" spans="1:37" hidden="1">
      <c r="A252" s="212" t="s">
        <v>93</v>
      </c>
      <c r="B252" s="147">
        <f t="shared" si="90"/>
        <v>256441</v>
      </c>
      <c r="C252" s="147">
        <f t="shared" si="91"/>
        <v>393662.38400000002</v>
      </c>
      <c r="D252" s="147">
        <f t="shared" si="92"/>
        <v>152089.4</v>
      </c>
      <c r="E252" s="147">
        <f t="shared" si="93"/>
        <v>72820.504000000001</v>
      </c>
      <c r="F252" s="147">
        <f t="shared" si="94"/>
        <v>59736.216000000008</v>
      </c>
      <c r="G252" s="147">
        <f t="shared" si="95"/>
        <v>85062.576000000001</v>
      </c>
      <c r="H252" s="147">
        <f t="shared" si="96"/>
        <v>109989.77600000001</v>
      </c>
      <c r="I252" s="147">
        <f t="shared" si="97"/>
        <v>144259.75200000001</v>
      </c>
      <c r="J252" s="147">
        <f t="shared" si="98"/>
        <v>48831.288</v>
      </c>
      <c r="K252" s="147">
        <f t="shared" si="99"/>
        <v>21576.407999999999</v>
      </c>
      <c r="L252" s="147">
        <f t="shared" si="100"/>
        <v>36527.928000000007</v>
      </c>
      <c r="M252" s="147">
        <f t="shared" si="101"/>
        <v>33431.760000000002</v>
      </c>
      <c r="N252" s="147" t="s">
        <v>177</v>
      </c>
      <c r="O252" s="34" t="s">
        <v>197</v>
      </c>
    </row>
    <row r="253" spans="1:37" hidden="1">
      <c r="A253" s="212" t="s">
        <v>94</v>
      </c>
      <c r="B253" s="147">
        <f t="shared" si="90"/>
        <v>196303.32800000001</v>
      </c>
      <c r="C253" s="147">
        <f t="shared" si="91"/>
        <v>274147.38400000002</v>
      </c>
      <c r="D253" s="147">
        <f t="shared" si="92"/>
        <v>101387.68800000001</v>
      </c>
      <c r="E253" s="147">
        <f t="shared" si="93"/>
        <v>42986.024000000005</v>
      </c>
      <c r="F253" s="147">
        <f t="shared" si="94"/>
        <v>38097.896000000001</v>
      </c>
      <c r="G253" s="147">
        <f t="shared" si="95"/>
        <v>50946.192000000003</v>
      </c>
      <c r="H253" s="147">
        <f t="shared" si="96"/>
        <v>97065.48000000001</v>
      </c>
      <c r="I253" s="147">
        <f t="shared" si="97"/>
        <v>128604.024</v>
      </c>
      <c r="J253" s="147">
        <f t="shared" si="98"/>
        <v>29862.335999999999</v>
      </c>
      <c r="K253" s="147">
        <f t="shared" si="99"/>
        <v>13485.400000000001</v>
      </c>
      <c r="L253" s="147">
        <f t="shared" si="100"/>
        <v>20271.847999999998</v>
      </c>
      <c r="M253" s="147">
        <f t="shared" si="101"/>
        <v>31194.768</v>
      </c>
      <c r="N253" s="147" t="s">
        <v>177</v>
      </c>
      <c r="O253" s="34" t="s">
        <v>197</v>
      </c>
    </row>
    <row r="254" spans="1:37" hidden="1">
      <c r="A254" s="212" t="s">
        <v>95</v>
      </c>
      <c r="B254" s="147">
        <f t="shared" si="90"/>
        <v>163799.96799999999</v>
      </c>
      <c r="C254" s="147">
        <f t="shared" si="91"/>
        <v>210842.74400000001</v>
      </c>
      <c r="D254" s="147">
        <f t="shared" si="92"/>
        <v>113464.82400000001</v>
      </c>
      <c r="E254" s="147">
        <f t="shared" si="93"/>
        <v>52267.320000000007</v>
      </c>
      <c r="F254" s="147">
        <f t="shared" si="94"/>
        <v>45166.648000000001</v>
      </c>
      <c r="G254" s="147">
        <f t="shared" si="95"/>
        <v>70346.64</v>
      </c>
      <c r="H254" s="147">
        <f t="shared" si="96"/>
        <v>104491.17600000001</v>
      </c>
      <c r="I254" s="147">
        <f t="shared" si="97"/>
        <v>125827.288</v>
      </c>
      <c r="J254" s="147">
        <f t="shared" si="98"/>
        <v>52867.983999999997</v>
      </c>
      <c r="K254" s="147">
        <f t="shared" si="99"/>
        <v>19614.752</v>
      </c>
      <c r="L254" s="147">
        <f t="shared" si="100"/>
        <v>33858.735999999997</v>
      </c>
      <c r="M254" s="147">
        <f t="shared" si="101"/>
        <v>34910.064000000006</v>
      </c>
      <c r="N254" s="147" t="s">
        <v>177</v>
      </c>
      <c r="O254" s="34" t="s">
        <v>197</v>
      </c>
    </row>
    <row r="255" spans="1:37" hidden="1">
      <c r="A255" s="212" t="s">
        <v>96</v>
      </c>
      <c r="B255" s="147">
        <f t="shared" si="90"/>
        <v>66259.423999999999</v>
      </c>
      <c r="C255" s="147">
        <f t="shared" si="91"/>
        <v>57314.552000000003</v>
      </c>
      <c r="D255" s="147">
        <f t="shared" si="92"/>
        <v>36106</v>
      </c>
      <c r="E255" s="147">
        <f t="shared" si="93"/>
        <v>16393.696</v>
      </c>
      <c r="F255" s="147">
        <f t="shared" si="94"/>
        <v>11440.864000000001</v>
      </c>
      <c r="G255" s="147">
        <f t="shared" si="95"/>
        <v>23737.912000000004</v>
      </c>
      <c r="H255" s="147">
        <f t="shared" si="96"/>
        <v>45941.408000000003</v>
      </c>
      <c r="I255" s="147">
        <f t="shared" si="97"/>
        <v>39359.312000000005</v>
      </c>
      <c r="J255" s="147">
        <f t="shared" si="98"/>
        <v>20340.976000000002</v>
      </c>
      <c r="K255" s="147">
        <f t="shared" si="99"/>
        <v>5853.2720000000008</v>
      </c>
      <c r="L255" s="147">
        <f t="shared" si="100"/>
        <v>12190.168</v>
      </c>
      <c r="M255" s="147">
        <f t="shared" si="101"/>
        <v>9415.7440000000006</v>
      </c>
      <c r="N255" s="147" t="s">
        <v>177</v>
      </c>
      <c r="O255" s="34" t="s">
        <v>197</v>
      </c>
    </row>
    <row r="256" spans="1:37" hidden="1">
      <c r="A256" s="212" t="s">
        <v>97</v>
      </c>
      <c r="B256" s="147">
        <f t="shared" si="90"/>
        <v>112503.58400000002</v>
      </c>
      <c r="C256" s="147">
        <f t="shared" si="91"/>
        <v>159482.152</v>
      </c>
      <c r="D256" s="147">
        <f t="shared" si="92"/>
        <v>96224.847999999998</v>
      </c>
      <c r="E256" s="147">
        <f t="shared" si="93"/>
        <v>48535.088000000003</v>
      </c>
      <c r="F256" s="147">
        <f t="shared" si="94"/>
        <v>35019.336000000003</v>
      </c>
      <c r="G256" s="147">
        <f t="shared" si="95"/>
        <v>59305.888000000006</v>
      </c>
      <c r="H256" s="147">
        <f t="shared" si="96"/>
        <v>75994.296000000002</v>
      </c>
      <c r="I256" s="147">
        <f t="shared" si="97"/>
        <v>122473.848</v>
      </c>
      <c r="J256" s="147">
        <f t="shared" si="98"/>
        <v>32784.384000000005</v>
      </c>
      <c r="K256" s="147">
        <f t="shared" si="99"/>
        <v>13640.351999999999</v>
      </c>
      <c r="L256" s="147">
        <f t="shared" si="100"/>
        <v>24398.687999999998</v>
      </c>
      <c r="M256" s="147">
        <f t="shared" si="101"/>
        <v>22283.448000000004</v>
      </c>
      <c r="N256" s="147" t="s">
        <v>177</v>
      </c>
      <c r="O256" s="34" t="s">
        <v>197</v>
      </c>
    </row>
    <row r="257" spans="1:15" hidden="1">
      <c r="A257" s="212" t="s">
        <v>98</v>
      </c>
      <c r="B257" s="147">
        <f t="shared" si="90"/>
        <v>141702.24</v>
      </c>
      <c r="C257" s="147">
        <f t="shared" si="91"/>
        <v>112600.264</v>
      </c>
      <c r="D257" s="147">
        <f t="shared" si="92"/>
        <v>71643.19200000001</v>
      </c>
      <c r="E257" s="147">
        <f t="shared" si="93"/>
        <v>35176.056000000004</v>
      </c>
      <c r="F257" s="147">
        <f t="shared" si="94"/>
        <v>30022.096000000005</v>
      </c>
      <c r="G257" s="147">
        <f t="shared" si="95"/>
        <v>42391.167999999998</v>
      </c>
      <c r="H257" s="147">
        <f t="shared" si="96"/>
        <v>70911.368000000002</v>
      </c>
      <c r="I257" s="147">
        <f t="shared" si="97"/>
        <v>62978.559999999998</v>
      </c>
      <c r="J257" s="147">
        <f t="shared" si="98"/>
        <v>36028.488000000005</v>
      </c>
      <c r="K257" s="147">
        <f t="shared" si="99"/>
        <v>12267.744000000001</v>
      </c>
      <c r="L257" s="147">
        <f t="shared" si="100"/>
        <v>21576.736000000001</v>
      </c>
      <c r="M257" s="147">
        <f t="shared" si="101"/>
        <v>20971.504000000001</v>
      </c>
      <c r="N257" s="147" t="s">
        <v>177</v>
      </c>
      <c r="O257" s="34" t="s">
        <v>197</v>
      </c>
    </row>
    <row r="258" spans="1:15" hidden="1">
      <c r="A258" s="212" t="s">
        <v>99</v>
      </c>
      <c r="B258" s="147">
        <f t="shared" si="90"/>
        <v>829661.576</v>
      </c>
      <c r="C258" s="147">
        <f t="shared" si="91"/>
        <v>654690.59200000006</v>
      </c>
      <c r="D258" s="147">
        <f t="shared" si="92"/>
        <v>362506.23200000002</v>
      </c>
      <c r="E258" s="147">
        <f t="shared" si="93"/>
        <v>160160.76800000001</v>
      </c>
      <c r="F258" s="147">
        <f t="shared" si="94"/>
        <v>150660.78400000001</v>
      </c>
      <c r="G258" s="147">
        <f t="shared" si="95"/>
        <v>234616.93599999999</v>
      </c>
      <c r="H258" s="147">
        <f t="shared" si="96"/>
        <v>399205.88800000004</v>
      </c>
      <c r="I258" s="147">
        <f t="shared" si="97"/>
        <v>403442.89600000001</v>
      </c>
      <c r="J258" s="147">
        <f t="shared" si="98"/>
        <v>163912.32000000001</v>
      </c>
      <c r="K258" s="147">
        <f t="shared" si="99"/>
        <v>72964.688000000009</v>
      </c>
      <c r="L258" s="147">
        <f t="shared" si="100"/>
        <v>119049.76000000001</v>
      </c>
      <c r="M258" s="147">
        <f t="shared" si="101"/>
        <v>113260.73600000002</v>
      </c>
      <c r="N258" s="147" t="s">
        <v>177</v>
      </c>
      <c r="O258" s="34" t="s">
        <v>197</v>
      </c>
    </row>
    <row r="259" spans="1:15" hidden="1">
      <c r="A259" s="212" t="s">
        <v>100</v>
      </c>
      <c r="B259" s="147">
        <f t="shared" si="90"/>
        <v>84695.631999999998</v>
      </c>
      <c r="C259" s="147">
        <f t="shared" si="91"/>
        <v>90843.080000000016</v>
      </c>
      <c r="D259" s="147">
        <f t="shared" si="92"/>
        <v>61631.352000000006</v>
      </c>
      <c r="E259" s="147">
        <f t="shared" si="93"/>
        <v>25953.616000000002</v>
      </c>
      <c r="F259" s="147">
        <f t="shared" si="94"/>
        <v>21439.800000000003</v>
      </c>
      <c r="G259" s="147">
        <f t="shared" si="95"/>
        <v>41889.936000000002</v>
      </c>
      <c r="H259" s="147">
        <f t="shared" si="96"/>
        <v>63045.144</v>
      </c>
      <c r="I259" s="147">
        <f t="shared" si="97"/>
        <v>62900.824000000001</v>
      </c>
      <c r="J259" s="147">
        <f t="shared" si="98"/>
        <v>27420.064000000002</v>
      </c>
      <c r="K259" s="147">
        <f t="shared" si="99"/>
        <v>13065.072</v>
      </c>
      <c r="L259" s="147">
        <f t="shared" si="100"/>
        <v>22207.592000000004</v>
      </c>
      <c r="M259" s="147">
        <f t="shared" si="101"/>
        <v>17888.232</v>
      </c>
      <c r="N259" s="147" t="s">
        <v>177</v>
      </c>
      <c r="O259" s="34" t="s">
        <v>197</v>
      </c>
    </row>
    <row r="260" spans="1:15" hidden="1">
      <c r="A260" s="212" t="s">
        <v>101</v>
      </c>
      <c r="B260" s="147">
        <f t="shared" si="90"/>
        <v>93676.256000000008</v>
      </c>
      <c r="C260" s="147">
        <f t="shared" si="91"/>
        <v>100608.296</v>
      </c>
      <c r="D260" s="147">
        <f t="shared" si="92"/>
        <v>57602.336000000003</v>
      </c>
      <c r="E260" s="147">
        <f t="shared" si="93"/>
        <v>26024.184000000001</v>
      </c>
      <c r="F260" s="147">
        <f t="shared" si="94"/>
        <v>18356.448</v>
      </c>
      <c r="G260" s="147">
        <f t="shared" si="95"/>
        <v>34712.400000000001</v>
      </c>
      <c r="H260" s="147">
        <f t="shared" si="96"/>
        <v>64099.216000000008</v>
      </c>
      <c r="I260" s="147">
        <f t="shared" si="97"/>
        <v>82877.056000000011</v>
      </c>
      <c r="J260" s="147">
        <f t="shared" si="98"/>
        <v>31390.384000000005</v>
      </c>
      <c r="K260" s="147">
        <f t="shared" si="99"/>
        <v>9966.264000000001</v>
      </c>
      <c r="L260" s="147">
        <f t="shared" si="100"/>
        <v>17378.136000000002</v>
      </c>
      <c r="M260" s="147">
        <f t="shared" si="101"/>
        <v>21644.792000000001</v>
      </c>
      <c r="N260" s="147" t="s">
        <v>177</v>
      </c>
      <c r="O260" s="34" t="s">
        <v>197</v>
      </c>
    </row>
    <row r="261" spans="1:15" hidden="1">
      <c r="A261" s="212" t="s">
        <v>102</v>
      </c>
      <c r="B261" s="147">
        <f t="shared" si="90"/>
        <v>662450.64000000013</v>
      </c>
      <c r="C261" s="147">
        <f t="shared" si="91"/>
        <v>563936.01600000006</v>
      </c>
      <c r="D261" s="147">
        <f t="shared" si="92"/>
        <v>344323.32000000007</v>
      </c>
      <c r="E261" s="147">
        <f t="shared" si="93"/>
        <v>149972.90400000001</v>
      </c>
      <c r="F261" s="147">
        <f t="shared" si="94"/>
        <v>155391.22400000002</v>
      </c>
      <c r="G261" s="147">
        <f t="shared" si="95"/>
        <v>214869.16000000003</v>
      </c>
      <c r="H261" s="147">
        <f t="shared" si="96"/>
        <v>333465.31200000003</v>
      </c>
      <c r="I261" s="147">
        <f t="shared" si="97"/>
        <v>320284.08</v>
      </c>
      <c r="J261" s="147">
        <f t="shared" si="98"/>
        <v>116131.152</v>
      </c>
      <c r="K261" s="147">
        <f t="shared" si="99"/>
        <v>52082.144</v>
      </c>
      <c r="L261" s="147">
        <f t="shared" si="100"/>
        <v>87188.944000000018</v>
      </c>
      <c r="M261" s="147">
        <f t="shared" si="101"/>
        <v>94481.104000000007</v>
      </c>
      <c r="N261" s="147" t="s">
        <v>177</v>
      </c>
      <c r="O261" s="34" t="s">
        <v>197</v>
      </c>
    </row>
    <row r="262" spans="1:15" hidden="1">
      <c r="A262" s="212" t="s">
        <v>103</v>
      </c>
      <c r="B262" s="147">
        <f t="shared" si="90"/>
        <v>203282.79200000002</v>
      </c>
      <c r="C262" s="147">
        <f t="shared" si="91"/>
        <v>221314.696</v>
      </c>
      <c r="D262" s="147">
        <f t="shared" si="92"/>
        <v>114693.97600000001</v>
      </c>
      <c r="E262" s="147">
        <f t="shared" si="93"/>
        <v>46351.528000000006</v>
      </c>
      <c r="F262" s="147">
        <f t="shared" si="94"/>
        <v>39281.784000000007</v>
      </c>
      <c r="G262" s="147">
        <f t="shared" si="95"/>
        <v>52520.056000000011</v>
      </c>
      <c r="H262" s="147">
        <f t="shared" si="96"/>
        <v>107163.20800000001</v>
      </c>
      <c r="I262" s="147">
        <f t="shared" si="97"/>
        <v>119480.992</v>
      </c>
      <c r="J262" s="147">
        <f t="shared" si="98"/>
        <v>58027.936000000002</v>
      </c>
      <c r="K262" s="147">
        <f t="shared" si="99"/>
        <v>25052.712</v>
      </c>
      <c r="L262" s="147">
        <f t="shared" si="100"/>
        <v>37330.328000000001</v>
      </c>
      <c r="M262" s="147">
        <f t="shared" si="101"/>
        <v>41523.808000000005</v>
      </c>
      <c r="N262" s="147" t="s">
        <v>177</v>
      </c>
      <c r="O262" s="34" t="s">
        <v>197</v>
      </c>
    </row>
    <row r="263" spans="1:15" hidden="1">
      <c r="A263" s="212" t="s">
        <v>104</v>
      </c>
      <c r="B263" s="147">
        <f t="shared" si="90"/>
        <v>64615.952000000005</v>
      </c>
      <c r="C263" s="147">
        <f t="shared" si="91"/>
        <v>41620.016000000003</v>
      </c>
      <c r="D263" s="147">
        <f t="shared" si="92"/>
        <v>28510.400000000001</v>
      </c>
      <c r="E263" s="147">
        <f t="shared" si="93"/>
        <v>12301.304</v>
      </c>
      <c r="F263" s="147">
        <f t="shared" si="94"/>
        <v>13853.008</v>
      </c>
      <c r="G263" s="147">
        <f t="shared" si="95"/>
        <v>14661.528000000004</v>
      </c>
      <c r="H263" s="147">
        <f t="shared" si="96"/>
        <v>30025.335999999999</v>
      </c>
      <c r="I263" s="147">
        <f t="shared" si="97"/>
        <v>39957.271999999997</v>
      </c>
      <c r="J263" s="147">
        <f t="shared" si="98"/>
        <v>18491.184000000001</v>
      </c>
      <c r="K263" s="147">
        <f t="shared" si="99"/>
        <v>6063.2640000000001</v>
      </c>
      <c r="L263" s="147">
        <f t="shared" si="100"/>
        <v>10168.584000000001</v>
      </c>
      <c r="M263" s="147">
        <f t="shared" si="101"/>
        <v>14427.848000000002</v>
      </c>
      <c r="N263" s="147" t="s">
        <v>177</v>
      </c>
      <c r="O263" s="34" t="s">
        <v>197</v>
      </c>
    </row>
    <row r="264" spans="1:15" hidden="1">
      <c r="A264" s="212" t="s">
        <v>105</v>
      </c>
      <c r="B264" s="147">
        <f t="shared" si="90"/>
        <v>926093.58400000003</v>
      </c>
      <c r="C264" s="147">
        <f t="shared" si="91"/>
        <v>789365.62400000007</v>
      </c>
      <c r="D264" s="147">
        <f t="shared" si="92"/>
        <v>445397.48</v>
      </c>
      <c r="E264" s="147">
        <f t="shared" si="93"/>
        <v>166387.23200000002</v>
      </c>
      <c r="F264" s="147">
        <f t="shared" si="94"/>
        <v>140905.04</v>
      </c>
      <c r="G264" s="147">
        <f t="shared" si="95"/>
        <v>233695.52800000005</v>
      </c>
      <c r="H264" s="147">
        <f t="shared" si="96"/>
        <v>370268.76</v>
      </c>
      <c r="I264" s="147">
        <f t="shared" si="97"/>
        <v>389682.48800000001</v>
      </c>
      <c r="J264" s="147">
        <f t="shared" si="98"/>
        <v>179660.33600000001</v>
      </c>
      <c r="K264" s="147">
        <f t="shared" si="99"/>
        <v>67916.248000000007</v>
      </c>
      <c r="L264" s="147">
        <f t="shared" si="100"/>
        <v>121086.984</v>
      </c>
      <c r="M264" s="147">
        <f t="shared" si="101"/>
        <v>122128.76000000001</v>
      </c>
      <c r="N264" s="147" t="s">
        <v>177</v>
      </c>
      <c r="O264" s="34" t="s">
        <v>197</v>
      </c>
    </row>
    <row r="265" spans="1:15" hidden="1">
      <c r="A265" s="212" t="s">
        <v>106</v>
      </c>
      <c r="B265" s="147">
        <f t="shared" si="90"/>
        <v>93402.648000000001</v>
      </c>
      <c r="C265" s="147">
        <f t="shared" si="91"/>
        <v>103318.424</v>
      </c>
      <c r="D265" s="147">
        <f t="shared" si="92"/>
        <v>73981.464000000007</v>
      </c>
      <c r="E265" s="147">
        <f t="shared" si="93"/>
        <v>26968.224000000002</v>
      </c>
      <c r="F265" s="147">
        <f t="shared" si="94"/>
        <v>20763.696</v>
      </c>
      <c r="G265" s="147">
        <f t="shared" si="95"/>
        <v>30129.712</v>
      </c>
      <c r="H265" s="147">
        <f t="shared" si="96"/>
        <v>54233.8</v>
      </c>
      <c r="I265" s="147">
        <f t="shared" si="97"/>
        <v>62992.256000000008</v>
      </c>
      <c r="J265" s="147">
        <f t="shared" si="98"/>
        <v>28472.544000000002</v>
      </c>
      <c r="K265" s="147">
        <f t="shared" si="99"/>
        <v>8783.503999999999</v>
      </c>
      <c r="L265" s="147">
        <f t="shared" si="100"/>
        <v>15955.847999999998</v>
      </c>
      <c r="M265" s="147">
        <f t="shared" si="101"/>
        <v>19058.832000000002</v>
      </c>
      <c r="N265" s="147" t="s">
        <v>177</v>
      </c>
      <c r="O265" s="34" t="s">
        <v>197</v>
      </c>
    </row>
    <row r="266" spans="1:15" hidden="1">
      <c r="A266" s="212" t="s">
        <v>107</v>
      </c>
      <c r="B266" s="147">
        <f t="shared" si="90"/>
        <v>861931.18400000001</v>
      </c>
      <c r="C266" s="147">
        <f t="shared" si="91"/>
        <v>797194.24800000014</v>
      </c>
      <c r="D266" s="147">
        <f t="shared" si="92"/>
        <v>402252.84</v>
      </c>
      <c r="E266" s="147">
        <f t="shared" si="93"/>
        <v>173775.40000000002</v>
      </c>
      <c r="F266" s="147">
        <f t="shared" si="94"/>
        <v>163836.448</v>
      </c>
      <c r="G266" s="147">
        <f t="shared" si="95"/>
        <v>256787.51200000002</v>
      </c>
      <c r="H266" s="147">
        <f t="shared" si="96"/>
        <v>353290.50400000002</v>
      </c>
      <c r="I266" s="147">
        <f t="shared" si="97"/>
        <v>412251.95200000005</v>
      </c>
      <c r="J266" s="147">
        <f t="shared" si="98"/>
        <v>158552.85600000003</v>
      </c>
      <c r="K266" s="147">
        <f t="shared" si="99"/>
        <v>75680.639999999999</v>
      </c>
      <c r="L266" s="147">
        <f t="shared" si="100"/>
        <v>129152.29600000003</v>
      </c>
      <c r="M266" s="147">
        <f t="shared" si="101"/>
        <v>178814.13600000003</v>
      </c>
      <c r="N266" s="147" t="s">
        <v>177</v>
      </c>
      <c r="O266" s="34" t="s">
        <v>197</v>
      </c>
    </row>
    <row r="267" spans="1:15" hidden="1">
      <c r="A267" s="212" t="s">
        <v>108</v>
      </c>
      <c r="B267" s="147">
        <f t="shared" si="90"/>
        <v>47562.847999999998</v>
      </c>
      <c r="C267" s="147">
        <f t="shared" si="91"/>
        <v>32643.615999999998</v>
      </c>
      <c r="D267" s="147">
        <f t="shared" si="92"/>
        <v>26662.688000000002</v>
      </c>
      <c r="E267" s="147">
        <f t="shared" si="93"/>
        <v>12444.976000000001</v>
      </c>
      <c r="F267" s="147">
        <f t="shared" si="94"/>
        <v>12404.936000000002</v>
      </c>
      <c r="G267" s="147">
        <f t="shared" si="95"/>
        <v>20772.952000000005</v>
      </c>
      <c r="H267" s="147">
        <f t="shared" si="96"/>
        <v>39303.864000000001</v>
      </c>
      <c r="I267" s="147">
        <f t="shared" si="97"/>
        <v>25069.656000000003</v>
      </c>
      <c r="J267" s="147">
        <f t="shared" si="98"/>
        <v>12119.784</v>
      </c>
      <c r="K267" s="147">
        <f t="shared" si="99"/>
        <v>5265.0400000000009</v>
      </c>
      <c r="L267" s="147">
        <f t="shared" si="100"/>
        <v>7833.1920000000018</v>
      </c>
      <c r="M267" s="147">
        <f t="shared" si="101"/>
        <v>9373.4639999999999</v>
      </c>
      <c r="N267" s="147" t="s">
        <v>177</v>
      </c>
      <c r="O267" s="34" t="s">
        <v>197</v>
      </c>
    </row>
    <row r="268" spans="1:15" hidden="1">
      <c r="A268" s="212" t="s">
        <v>109</v>
      </c>
      <c r="B268" s="147">
        <f t="shared" si="90"/>
        <v>9237.7839999999997</v>
      </c>
      <c r="C268" s="147">
        <f t="shared" si="91"/>
        <v>9443.4800000000014</v>
      </c>
      <c r="D268" s="147">
        <f t="shared" si="92"/>
        <v>4625.5600000000004</v>
      </c>
      <c r="E268" s="147">
        <f t="shared" si="93"/>
        <v>1356.152</v>
      </c>
      <c r="F268" s="147">
        <f t="shared" si="94"/>
        <v>2464.6720000000005</v>
      </c>
      <c r="G268" s="147">
        <f t="shared" si="95"/>
        <v>1123.7759999999998</v>
      </c>
      <c r="H268" s="147">
        <f t="shared" si="96"/>
        <v>4822.6959999999999</v>
      </c>
      <c r="I268" s="147">
        <f t="shared" si="97"/>
        <v>2845.6320000000001</v>
      </c>
      <c r="J268" s="147">
        <f t="shared" si="98"/>
        <v>3180.8880000000004</v>
      </c>
      <c r="K268" s="147">
        <f t="shared" si="99"/>
        <v>1813.28</v>
      </c>
      <c r="L268" s="147">
        <f t="shared" si="100"/>
        <v>2908.4799999999996</v>
      </c>
      <c r="M268" s="147">
        <f t="shared" si="101"/>
        <v>1173.3040000000001</v>
      </c>
      <c r="N268" s="147" t="s">
        <v>177</v>
      </c>
      <c r="O268" s="34" t="s">
        <v>197</v>
      </c>
    </row>
    <row r="269" spans="1:15" hidden="1">
      <c r="A269" s="212" t="s">
        <v>110</v>
      </c>
      <c r="B269" s="147">
        <f t="shared" si="90"/>
        <v>499567.94400000008</v>
      </c>
      <c r="C269" s="147">
        <f t="shared" si="91"/>
        <v>592718.48</v>
      </c>
      <c r="D269" s="147">
        <f t="shared" si="92"/>
        <v>282166.728</v>
      </c>
      <c r="E269" s="147">
        <f t="shared" si="93"/>
        <v>138726.52800000002</v>
      </c>
      <c r="F269" s="147">
        <f t="shared" si="94"/>
        <v>118827.63200000001</v>
      </c>
      <c r="G269" s="147">
        <f t="shared" si="95"/>
        <v>183298.66400000002</v>
      </c>
      <c r="H269" s="147">
        <f t="shared" si="96"/>
        <v>241949.53599999999</v>
      </c>
      <c r="I269" s="147">
        <f t="shared" si="97"/>
        <v>297526.68</v>
      </c>
      <c r="J269" s="147">
        <f t="shared" si="98"/>
        <v>93282.816000000006</v>
      </c>
      <c r="K269" s="147">
        <f t="shared" si="99"/>
        <v>35460.752</v>
      </c>
      <c r="L269" s="147">
        <f t="shared" si="100"/>
        <v>65740.432000000015</v>
      </c>
      <c r="M269" s="147">
        <f t="shared" si="101"/>
        <v>65009.616000000009</v>
      </c>
      <c r="N269" s="147" t="s">
        <v>177</v>
      </c>
      <c r="O269" s="34" t="s">
        <v>197</v>
      </c>
    </row>
    <row r="270" spans="1:15" hidden="1">
      <c r="A270" s="212" t="s">
        <v>111</v>
      </c>
      <c r="B270" s="147">
        <f t="shared" si="90"/>
        <v>3419659.3920000005</v>
      </c>
      <c r="C270" s="147">
        <f t="shared" si="91"/>
        <v>2968615.3440000005</v>
      </c>
      <c r="D270" s="147">
        <f t="shared" si="92"/>
        <v>1570889.5520000001</v>
      </c>
      <c r="E270" s="147">
        <f t="shared" si="93"/>
        <v>719121.79200000002</v>
      </c>
      <c r="F270" s="147">
        <f t="shared" si="94"/>
        <v>603814.90399999998</v>
      </c>
      <c r="G270" s="147">
        <f t="shared" si="95"/>
        <v>917268.54399999999</v>
      </c>
      <c r="H270" s="147">
        <f t="shared" si="96"/>
        <v>1305496.1359999999</v>
      </c>
      <c r="I270" s="147">
        <f t="shared" si="97"/>
        <v>1273103.0160000001</v>
      </c>
      <c r="J270" s="147">
        <f t="shared" si="98"/>
        <v>522277.60000000003</v>
      </c>
      <c r="K270" s="147">
        <f t="shared" si="99"/>
        <v>238277.96000000002</v>
      </c>
      <c r="L270" s="147">
        <f t="shared" si="100"/>
        <v>413061.50400000002</v>
      </c>
      <c r="M270" s="147">
        <f t="shared" si="101"/>
        <v>395220.50400000002</v>
      </c>
      <c r="N270" s="147" t="s">
        <v>177</v>
      </c>
      <c r="O270" s="34" t="s">
        <v>197</v>
      </c>
    </row>
    <row r="271" spans="1:15" hidden="1">
      <c r="A271" s="212" t="s">
        <v>112</v>
      </c>
      <c r="B271" s="147">
        <f t="shared" si="90"/>
        <v>53316.256000000008</v>
      </c>
      <c r="C271" s="147">
        <f t="shared" si="91"/>
        <v>51482.008000000002</v>
      </c>
      <c r="D271" s="147">
        <f t="shared" si="92"/>
        <v>33554.768000000004</v>
      </c>
      <c r="E271" s="147">
        <f t="shared" si="93"/>
        <v>17529.223999999998</v>
      </c>
      <c r="F271" s="147">
        <f t="shared" si="94"/>
        <v>13182.032000000001</v>
      </c>
      <c r="G271" s="147">
        <f t="shared" si="95"/>
        <v>24239.119999999999</v>
      </c>
      <c r="H271" s="147">
        <f t="shared" si="96"/>
        <v>47235</v>
      </c>
      <c r="I271" s="147">
        <f t="shared" si="97"/>
        <v>41985.216</v>
      </c>
      <c r="J271" s="147">
        <f t="shared" si="98"/>
        <v>17703.135999999999</v>
      </c>
      <c r="K271" s="147">
        <f t="shared" si="99"/>
        <v>7342.4000000000005</v>
      </c>
      <c r="L271" s="147">
        <f t="shared" si="100"/>
        <v>11989.376000000004</v>
      </c>
      <c r="M271" s="147">
        <f t="shared" si="101"/>
        <v>9627.0240000000013</v>
      </c>
      <c r="N271" s="147" t="s">
        <v>177</v>
      </c>
      <c r="O271" s="34" t="s">
        <v>197</v>
      </c>
    </row>
    <row r="272" spans="1:15" hidden="1">
      <c r="A272" s="212" t="s">
        <v>113</v>
      </c>
      <c r="B272" s="147">
        <f t="shared" si="90"/>
        <v>17624.168000000001</v>
      </c>
      <c r="C272" s="147">
        <f t="shared" si="91"/>
        <v>25512.432000000001</v>
      </c>
      <c r="D272" s="147">
        <f t="shared" si="92"/>
        <v>21991.896000000001</v>
      </c>
      <c r="E272" s="147">
        <f t="shared" si="93"/>
        <v>5583.9279999999999</v>
      </c>
      <c r="F272" s="147">
        <f t="shared" si="94"/>
        <v>7324.2080000000005</v>
      </c>
      <c r="G272" s="147">
        <f t="shared" si="95"/>
        <v>13765.832000000002</v>
      </c>
      <c r="H272" s="147">
        <f t="shared" si="96"/>
        <v>23388.392000000003</v>
      </c>
      <c r="I272" s="147">
        <f t="shared" si="97"/>
        <v>31956.304</v>
      </c>
      <c r="J272" s="147">
        <f t="shared" si="98"/>
        <v>7306.4720000000007</v>
      </c>
      <c r="K272" s="147">
        <f t="shared" si="99"/>
        <v>2901.56</v>
      </c>
      <c r="L272" s="147">
        <f t="shared" si="100"/>
        <v>5029.0720000000001</v>
      </c>
      <c r="M272" s="147">
        <f t="shared" si="101"/>
        <v>8374.9279999999999</v>
      </c>
      <c r="N272" s="147" t="s">
        <v>177</v>
      </c>
      <c r="O272" s="34" t="s">
        <v>197</v>
      </c>
    </row>
    <row r="273" spans="1:15" hidden="1">
      <c r="A273" s="212" t="s">
        <v>87</v>
      </c>
      <c r="B273" s="147">
        <f t="shared" ref="B273:B299" si="102">Q5</f>
        <v>14020.237106083476</v>
      </c>
      <c r="C273" s="147">
        <f t="shared" ref="C273:C299" si="103">R5</f>
        <v>30352.173875986358</v>
      </c>
      <c r="D273" s="147">
        <f t="shared" ref="D273:D299" si="104">S5</f>
        <v>40264.443452410829</v>
      </c>
      <c r="E273" s="147">
        <f t="shared" ref="E273:E299" si="105">T5</f>
        <v>50650.646984757943</v>
      </c>
      <c r="F273" s="147">
        <f t="shared" ref="F273:F299" si="106">U5</f>
        <v>62908.235839114626</v>
      </c>
      <c r="G273" s="147">
        <f t="shared" ref="G273:G299" si="107">V5</f>
        <v>72701.886779984226</v>
      </c>
      <c r="H273" s="147">
        <f t="shared" ref="H273:H299" si="108">W5</f>
        <v>77147.191511707686</v>
      </c>
      <c r="I273" s="147">
        <f t="shared" ref="I273:I299" si="109">X5</f>
        <v>81266.16252411509</v>
      </c>
      <c r="J273" s="147">
        <f t="shared" ref="J273:J299" si="110">Y5</f>
        <v>84838.669995525532</v>
      </c>
      <c r="K273" s="147">
        <f t="shared" ref="K273:K299" si="111">Z5</f>
        <v>88018.922601022568</v>
      </c>
      <c r="L273" s="147">
        <f t="shared" ref="L273:L299" si="112">AA5</f>
        <v>90500.538993470953</v>
      </c>
      <c r="M273" s="147">
        <f t="shared" ref="M273:M299" si="113">AB5</f>
        <v>92896.567999999999</v>
      </c>
      <c r="N273" s="147" t="s">
        <v>176</v>
      </c>
      <c r="O273" s="34" t="s">
        <v>197</v>
      </c>
    </row>
    <row r="274" spans="1:15" hidden="1">
      <c r="A274" s="212" t="s">
        <v>88</v>
      </c>
      <c r="B274" s="147">
        <f t="shared" si="102"/>
        <v>73372.19199101119</v>
      </c>
      <c r="C274" s="147">
        <f t="shared" si="103"/>
        <v>165913.44570913789</v>
      </c>
      <c r="D274" s="147">
        <f t="shared" si="104"/>
        <v>210365.17065219677</v>
      </c>
      <c r="E274" s="147">
        <f t="shared" si="105"/>
        <v>248938.04215726303</v>
      </c>
      <c r="F274" s="147">
        <f t="shared" si="106"/>
        <v>298035.21650993242</v>
      </c>
      <c r="G274" s="147">
        <f t="shared" si="107"/>
        <v>341653.50334075605</v>
      </c>
      <c r="H274" s="147">
        <f t="shared" si="108"/>
        <v>356097.63530514197</v>
      </c>
      <c r="I274" s="147">
        <f t="shared" si="109"/>
        <v>369493.177268103</v>
      </c>
      <c r="J274" s="147">
        <f t="shared" si="110"/>
        <v>380757.60350516991</v>
      </c>
      <c r="K274" s="147">
        <f t="shared" si="111"/>
        <v>391150.00487683376</v>
      </c>
      <c r="L274" s="147">
        <f t="shared" si="112"/>
        <v>401413.88961867068</v>
      </c>
      <c r="M274" s="147">
        <f t="shared" si="113"/>
        <v>412238.73000000004</v>
      </c>
      <c r="N274" s="147" t="s">
        <v>176</v>
      </c>
      <c r="O274" s="34" t="s">
        <v>197</v>
      </c>
    </row>
    <row r="275" spans="1:15" hidden="1">
      <c r="A275" s="212" t="s">
        <v>89</v>
      </c>
      <c r="B275" s="147">
        <f t="shared" si="102"/>
        <v>12632.391829999775</v>
      </c>
      <c r="C275" s="147">
        <f t="shared" si="103"/>
        <v>28411.444192212526</v>
      </c>
      <c r="D275" s="147">
        <f t="shared" si="104"/>
        <v>40068.963409766067</v>
      </c>
      <c r="E275" s="147">
        <f t="shared" si="105"/>
        <v>50091.662859017786</v>
      </c>
      <c r="F275" s="147">
        <f t="shared" si="106"/>
        <v>62031.535605260295</v>
      </c>
      <c r="G275" s="147">
        <f t="shared" si="107"/>
        <v>76687.042040627421</v>
      </c>
      <c r="H275" s="147">
        <f t="shared" si="108"/>
        <v>81936.572005065784</v>
      </c>
      <c r="I275" s="147">
        <f t="shared" si="109"/>
        <v>87336.459107167655</v>
      </c>
      <c r="J275" s="147">
        <f t="shared" si="110"/>
        <v>91979.180101310398</v>
      </c>
      <c r="K275" s="147">
        <f t="shared" si="111"/>
        <v>95667.74390192685</v>
      </c>
      <c r="L275" s="147">
        <f t="shared" si="112"/>
        <v>98163.884071081135</v>
      </c>
      <c r="M275" s="147">
        <f t="shared" si="113"/>
        <v>101798.44</v>
      </c>
      <c r="N275" s="147" t="s">
        <v>176</v>
      </c>
      <c r="O275" s="34" t="s">
        <v>197</v>
      </c>
    </row>
    <row r="276" spans="1:15" hidden="1">
      <c r="A276" s="212" t="s">
        <v>90</v>
      </c>
      <c r="B276" s="147">
        <f t="shared" si="102"/>
        <v>46246.172947726554</v>
      </c>
      <c r="C276" s="147">
        <f t="shared" si="103"/>
        <v>109397.85226628638</v>
      </c>
      <c r="D276" s="147">
        <f t="shared" si="104"/>
        <v>154919.56669614982</v>
      </c>
      <c r="E276" s="147">
        <f t="shared" si="105"/>
        <v>196352.93188647993</v>
      </c>
      <c r="F276" s="147">
        <f t="shared" si="106"/>
        <v>249429.76054711439</v>
      </c>
      <c r="G276" s="147">
        <f t="shared" si="107"/>
        <v>292598.45919735043</v>
      </c>
      <c r="H276" s="147">
        <f t="shared" si="108"/>
        <v>312195.76767765422</v>
      </c>
      <c r="I276" s="147">
        <f t="shared" si="109"/>
        <v>331949.4958075899</v>
      </c>
      <c r="J276" s="147">
        <f t="shared" si="110"/>
        <v>348103.90851922933</v>
      </c>
      <c r="K276" s="147">
        <f t="shared" si="111"/>
        <v>367213.29186040215</v>
      </c>
      <c r="L276" s="147">
        <f t="shared" si="112"/>
        <v>379750.75498679664</v>
      </c>
      <c r="M276" s="147">
        <f t="shared" si="113"/>
        <v>392979.95</v>
      </c>
      <c r="N276" s="147" t="s">
        <v>176</v>
      </c>
      <c r="O276" s="34" t="s">
        <v>197</v>
      </c>
    </row>
    <row r="277" spans="1:15" hidden="1">
      <c r="A277" s="212" t="s">
        <v>91</v>
      </c>
      <c r="B277" s="147">
        <f t="shared" si="102"/>
        <v>181202.11314106014</v>
      </c>
      <c r="C277" s="147">
        <f t="shared" si="103"/>
        <v>465555.30876331258</v>
      </c>
      <c r="D277" s="147">
        <f t="shared" si="104"/>
        <v>586308.19870902738</v>
      </c>
      <c r="E277" s="147">
        <f t="shared" si="105"/>
        <v>679490.20105478133</v>
      </c>
      <c r="F277" s="147">
        <f t="shared" si="106"/>
        <v>798124.35887087998</v>
      </c>
      <c r="G277" s="147">
        <f t="shared" si="107"/>
        <v>926455.93843134446</v>
      </c>
      <c r="H277" s="147">
        <f t="shared" si="108"/>
        <v>962994.43861514609</v>
      </c>
      <c r="I277" s="147">
        <f t="shared" si="109"/>
        <v>1001480.5681787105</v>
      </c>
      <c r="J277" s="147">
        <f t="shared" si="110"/>
        <v>1032026.1136209907</v>
      </c>
      <c r="K277" s="147">
        <f t="shared" si="111"/>
        <v>1061510.4168638049</v>
      </c>
      <c r="L277" s="147">
        <f t="shared" si="112"/>
        <v>1093935.9256594621</v>
      </c>
      <c r="M277" s="147">
        <f t="shared" si="113"/>
        <v>1122504.2</v>
      </c>
      <c r="N277" s="147" t="s">
        <v>176</v>
      </c>
      <c r="O277" s="34" t="s">
        <v>197</v>
      </c>
    </row>
    <row r="278" spans="1:15" hidden="1">
      <c r="A278" s="212" t="s">
        <v>92</v>
      </c>
      <c r="B278" s="147">
        <f t="shared" si="102"/>
        <v>187811.96189930357</v>
      </c>
      <c r="C278" s="147">
        <f t="shared" si="103"/>
        <v>402299.45160819852</v>
      </c>
      <c r="D278" s="147">
        <f t="shared" si="104"/>
        <v>508619.49485681305</v>
      </c>
      <c r="E278" s="147">
        <f t="shared" si="105"/>
        <v>582176.15622643533</v>
      </c>
      <c r="F278" s="147">
        <f t="shared" si="106"/>
        <v>682266.02444332896</v>
      </c>
      <c r="G278" s="147">
        <f t="shared" si="107"/>
        <v>784676.3337976191</v>
      </c>
      <c r="H278" s="147">
        <f t="shared" si="108"/>
        <v>818342.21358876897</v>
      </c>
      <c r="I278" s="147">
        <f t="shared" si="109"/>
        <v>846859.41265549068</v>
      </c>
      <c r="J278" s="147">
        <f t="shared" si="110"/>
        <v>872586.93538788136</v>
      </c>
      <c r="K278" s="147">
        <f t="shared" si="111"/>
        <v>902783.1801502083</v>
      </c>
      <c r="L278" s="147">
        <f t="shared" si="112"/>
        <v>926173.59284514282</v>
      </c>
      <c r="M278" s="147">
        <f t="shared" si="113"/>
        <v>948653.19</v>
      </c>
      <c r="N278" s="147" t="s">
        <v>176</v>
      </c>
      <c r="O278" s="34" t="s">
        <v>197</v>
      </c>
    </row>
    <row r="279" spans="1:15" hidden="1">
      <c r="A279" s="212" t="s">
        <v>93</v>
      </c>
      <c r="B279" s="147">
        <f t="shared" si="102"/>
        <v>221796.16829832131</v>
      </c>
      <c r="C279" s="147">
        <f t="shared" si="103"/>
        <v>563586.17305828666</v>
      </c>
      <c r="D279" s="147">
        <f t="shared" si="104"/>
        <v>705554.12126517843</v>
      </c>
      <c r="E279" s="147">
        <f t="shared" si="105"/>
        <v>811862.50816758722</v>
      </c>
      <c r="F279" s="147">
        <f t="shared" si="106"/>
        <v>946013.20715156279</v>
      </c>
      <c r="G279" s="147">
        <f t="shared" si="107"/>
        <v>1081908.2034460441</v>
      </c>
      <c r="H279" s="147">
        <f t="shared" si="108"/>
        <v>1123016.4024655102</v>
      </c>
      <c r="I279" s="147">
        <f t="shared" si="109"/>
        <v>1161365.9840944079</v>
      </c>
      <c r="J279" s="147">
        <f t="shared" si="110"/>
        <v>1193086.1646286382</v>
      </c>
      <c r="K279" s="147">
        <f t="shared" si="111"/>
        <v>1221219.159493024</v>
      </c>
      <c r="L279" s="147">
        <f t="shared" si="112"/>
        <v>1258097.0043060074</v>
      </c>
      <c r="M279" s="147">
        <f t="shared" si="113"/>
        <v>1291106.17</v>
      </c>
      <c r="N279" s="147" t="s">
        <v>176</v>
      </c>
      <c r="O279" s="34" t="s">
        <v>197</v>
      </c>
    </row>
    <row r="280" spans="1:15" hidden="1">
      <c r="A280" s="212" t="s">
        <v>94</v>
      </c>
      <c r="B280" s="147">
        <f t="shared" si="102"/>
        <v>151767.93560748524</v>
      </c>
      <c r="C280" s="147">
        <f t="shared" si="103"/>
        <v>421810.69294168556</v>
      </c>
      <c r="D280" s="147">
        <f t="shared" si="104"/>
        <v>540543.62848054746</v>
      </c>
      <c r="E280" s="147">
        <f t="shared" si="105"/>
        <v>622747.9313469599</v>
      </c>
      <c r="F280" s="147">
        <f t="shared" si="106"/>
        <v>734840.80687479873</v>
      </c>
      <c r="G280" s="147">
        <f t="shared" si="107"/>
        <v>846477.20104519615</v>
      </c>
      <c r="H280" s="147">
        <f t="shared" si="108"/>
        <v>881593.19633131695</v>
      </c>
      <c r="I280" s="147">
        <f t="shared" si="109"/>
        <v>916125.77642378025</v>
      </c>
      <c r="J280" s="147">
        <f t="shared" si="110"/>
        <v>945069.32879167004</v>
      </c>
      <c r="K280" s="147">
        <f t="shared" si="111"/>
        <v>974197.86798236193</v>
      </c>
      <c r="L280" s="147">
        <f t="shared" si="112"/>
        <v>999620.32621250022</v>
      </c>
      <c r="M280" s="147">
        <f t="shared" si="113"/>
        <v>1024414.12</v>
      </c>
      <c r="N280" s="147" t="s">
        <v>176</v>
      </c>
      <c r="O280" s="34" t="s">
        <v>197</v>
      </c>
    </row>
    <row r="281" spans="1:15" hidden="1">
      <c r="A281" s="212" t="s">
        <v>95</v>
      </c>
      <c r="B281" s="147">
        <f t="shared" si="102"/>
        <v>130403.55829819705</v>
      </c>
      <c r="C281" s="147">
        <f t="shared" si="103"/>
        <v>333612.69110665133</v>
      </c>
      <c r="D281" s="147">
        <f t="shared" si="104"/>
        <v>437049.22973540641</v>
      </c>
      <c r="E281" s="147">
        <f t="shared" si="105"/>
        <v>522218.28543570242</v>
      </c>
      <c r="F281" s="147">
        <f t="shared" si="106"/>
        <v>631060.7993218964</v>
      </c>
      <c r="G281" s="147">
        <f t="shared" si="107"/>
        <v>740393.75701459323</v>
      </c>
      <c r="H281" s="147">
        <f t="shared" si="108"/>
        <v>770664.8910410282</v>
      </c>
      <c r="I281" s="147">
        <f t="shared" si="109"/>
        <v>798402.21583815303</v>
      </c>
      <c r="J281" s="147">
        <f t="shared" si="110"/>
        <v>822245.17628185311</v>
      </c>
      <c r="K281" s="147">
        <f t="shared" si="111"/>
        <v>845991.4056248751</v>
      </c>
      <c r="L281" s="147">
        <f t="shared" si="112"/>
        <v>865751.0321987879</v>
      </c>
      <c r="M281" s="147">
        <f t="shared" si="113"/>
        <v>887072.21</v>
      </c>
      <c r="N281" s="147" t="s">
        <v>176</v>
      </c>
      <c r="O281" s="34" t="s">
        <v>197</v>
      </c>
    </row>
    <row r="282" spans="1:15" hidden="1">
      <c r="A282" s="212" t="s">
        <v>96</v>
      </c>
      <c r="B282" s="147">
        <f t="shared" si="102"/>
        <v>56389.543749687895</v>
      </c>
      <c r="C282" s="147">
        <f t="shared" si="103"/>
        <v>130921.39685318692</v>
      </c>
      <c r="D282" s="147">
        <f t="shared" si="104"/>
        <v>174014.30032783543</v>
      </c>
      <c r="E282" s="147">
        <f t="shared" si="105"/>
        <v>210323.15013298308</v>
      </c>
      <c r="F282" s="147">
        <f t="shared" si="106"/>
        <v>251946.81692896879</v>
      </c>
      <c r="G282" s="147">
        <f t="shared" si="107"/>
        <v>289023.57135898649</v>
      </c>
      <c r="H282" s="147">
        <f t="shared" si="108"/>
        <v>305438.66746081074</v>
      </c>
      <c r="I282" s="147">
        <f t="shared" si="109"/>
        <v>321502.59926470387</v>
      </c>
      <c r="J282" s="147">
        <f t="shared" si="110"/>
        <v>334425.17332083621</v>
      </c>
      <c r="K282" s="147">
        <f t="shared" si="111"/>
        <v>346819.38974275021</v>
      </c>
      <c r="L282" s="147">
        <f t="shared" si="112"/>
        <v>358661.00056968408</v>
      </c>
      <c r="M282" s="147">
        <f t="shared" si="113"/>
        <v>369035.8</v>
      </c>
      <c r="N282" s="147" t="s">
        <v>176</v>
      </c>
      <c r="O282" s="34" t="s">
        <v>197</v>
      </c>
    </row>
    <row r="283" spans="1:15" hidden="1">
      <c r="A283" s="212" t="s">
        <v>97</v>
      </c>
      <c r="B283" s="147">
        <f t="shared" si="102"/>
        <v>107963.93666416683</v>
      </c>
      <c r="C283" s="147">
        <f t="shared" si="103"/>
        <v>259964.41847432702</v>
      </c>
      <c r="D283" s="147">
        <f t="shared" si="104"/>
        <v>352886.92915383569</v>
      </c>
      <c r="E283" s="147">
        <f t="shared" si="105"/>
        <v>427622.09028905234</v>
      </c>
      <c r="F283" s="147">
        <f t="shared" si="106"/>
        <v>530217.15924049029</v>
      </c>
      <c r="G283" s="147">
        <f t="shared" si="107"/>
        <v>617721.22098637768</v>
      </c>
      <c r="H283" s="147">
        <f t="shared" si="108"/>
        <v>646124.1273015358</v>
      </c>
      <c r="I283" s="147">
        <f t="shared" si="109"/>
        <v>671292.05881740234</v>
      </c>
      <c r="J283" s="147">
        <f t="shared" si="110"/>
        <v>690477.86622693832</v>
      </c>
      <c r="K283" s="147">
        <f t="shared" si="111"/>
        <v>713523.65826947149</v>
      </c>
      <c r="L283" s="147">
        <f t="shared" si="112"/>
        <v>737615.07904940518</v>
      </c>
      <c r="M283" s="147">
        <f t="shared" si="113"/>
        <v>755762.61</v>
      </c>
      <c r="N283" s="147" t="s">
        <v>176</v>
      </c>
      <c r="O283" s="34" t="s">
        <v>197</v>
      </c>
    </row>
    <row r="284" spans="1:15" hidden="1">
      <c r="A284" s="212" t="s">
        <v>98</v>
      </c>
      <c r="B284" s="147">
        <f t="shared" si="102"/>
        <v>120463.59370226</v>
      </c>
      <c r="C284" s="147">
        <f t="shared" si="103"/>
        <v>238632.71171632977</v>
      </c>
      <c r="D284" s="147">
        <f t="shared" si="104"/>
        <v>293698.87871182297</v>
      </c>
      <c r="E284" s="147">
        <f t="shared" si="105"/>
        <v>344417.17402333993</v>
      </c>
      <c r="F284" s="147">
        <f t="shared" si="106"/>
        <v>411937.09216286073</v>
      </c>
      <c r="G284" s="147">
        <f t="shared" si="107"/>
        <v>467118.93281358277</v>
      </c>
      <c r="H284" s="147">
        <f t="shared" si="108"/>
        <v>487152.79407158965</v>
      </c>
      <c r="I284" s="147">
        <f t="shared" si="109"/>
        <v>505794.73778018571</v>
      </c>
      <c r="J284" s="147">
        <f t="shared" si="110"/>
        <v>520749.02110338514</v>
      </c>
      <c r="K284" s="147">
        <f t="shared" si="111"/>
        <v>536965.16179706051</v>
      </c>
      <c r="L284" s="147">
        <f t="shared" si="112"/>
        <v>549292.06408134615</v>
      </c>
      <c r="M284" s="147">
        <f t="shared" si="113"/>
        <v>563580.01</v>
      </c>
      <c r="N284" s="147" t="s">
        <v>176</v>
      </c>
      <c r="O284" s="34" t="s">
        <v>197</v>
      </c>
    </row>
    <row r="285" spans="1:15" hidden="1">
      <c r="A285" s="212" t="s">
        <v>99</v>
      </c>
      <c r="B285" s="147">
        <f t="shared" si="102"/>
        <v>916110.56696697592</v>
      </c>
      <c r="C285" s="147">
        <f t="shared" si="103"/>
        <v>1434059.1879715247</v>
      </c>
      <c r="D285" s="147">
        <f t="shared" si="104"/>
        <v>1774395.8211150686</v>
      </c>
      <c r="E285" s="147">
        <f t="shared" si="105"/>
        <v>1993921.8161187079</v>
      </c>
      <c r="F285" s="147">
        <f t="shared" si="106"/>
        <v>2379765.6353860004</v>
      </c>
      <c r="G285" s="147">
        <f t="shared" si="107"/>
        <v>2625920.2108418578</v>
      </c>
      <c r="H285" s="147">
        <f t="shared" si="108"/>
        <v>2716038.8840884771</v>
      </c>
      <c r="I285" s="147">
        <f t="shared" si="109"/>
        <v>2799757.7952525262</v>
      </c>
      <c r="J285" s="147">
        <f t="shared" si="110"/>
        <v>2873059.6728255572</v>
      </c>
      <c r="K285" s="147">
        <f t="shared" si="111"/>
        <v>2950257.9296111329</v>
      </c>
      <c r="L285" s="147">
        <f t="shared" si="112"/>
        <v>3024025.7400955725</v>
      </c>
      <c r="M285" s="147">
        <f t="shared" si="113"/>
        <v>3094886.04</v>
      </c>
      <c r="N285" s="147" t="s">
        <v>176</v>
      </c>
      <c r="O285" s="34" t="s">
        <v>197</v>
      </c>
    </row>
    <row r="286" spans="1:15" hidden="1">
      <c r="A286" s="212" t="s">
        <v>100</v>
      </c>
      <c r="B286" s="147">
        <f t="shared" si="102"/>
        <v>65508.781102604582</v>
      </c>
      <c r="C286" s="147">
        <f t="shared" si="103"/>
        <v>146860.80960993524</v>
      </c>
      <c r="D286" s="147">
        <f t="shared" si="104"/>
        <v>194423.24293339037</v>
      </c>
      <c r="E286" s="147">
        <f t="shared" si="105"/>
        <v>230197.06739292937</v>
      </c>
      <c r="F286" s="147">
        <f t="shared" si="106"/>
        <v>282829.80891733669</v>
      </c>
      <c r="G286" s="147">
        <f t="shared" si="107"/>
        <v>317935.67963165476</v>
      </c>
      <c r="H286" s="147">
        <f t="shared" si="108"/>
        <v>331089.25358196424</v>
      </c>
      <c r="I286" s="147">
        <f t="shared" si="109"/>
        <v>342922.92846835125</v>
      </c>
      <c r="J286" s="147">
        <f t="shared" si="110"/>
        <v>354245.82138850848</v>
      </c>
      <c r="K286" s="147">
        <f t="shared" si="111"/>
        <v>365540.96215309686</v>
      </c>
      <c r="L286" s="147">
        <f t="shared" si="112"/>
        <v>376418.29131520906</v>
      </c>
      <c r="M286" s="147">
        <f t="shared" si="113"/>
        <v>386565.75</v>
      </c>
      <c r="N286" s="147" t="s">
        <v>176</v>
      </c>
      <c r="O286" s="34" t="s">
        <v>197</v>
      </c>
    </row>
    <row r="287" spans="1:15" hidden="1">
      <c r="A287" s="212" t="s">
        <v>101</v>
      </c>
      <c r="B287" s="147">
        <f t="shared" si="102"/>
        <v>76638.838458002268</v>
      </c>
      <c r="C287" s="147">
        <f t="shared" si="103"/>
        <v>172431.23637908668</v>
      </c>
      <c r="D287" s="147">
        <f t="shared" si="104"/>
        <v>218684.55093752069</v>
      </c>
      <c r="E287" s="147">
        <f t="shared" si="105"/>
        <v>255988.03881482501</v>
      </c>
      <c r="F287" s="147">
        <f t="shared" si="106"/>
        <v>299933.07337652135</v>
      </c>
      <c r="G287" s="147">
        <f t="shared" si="107"/>
        <v>346189.05831505882</v>
      </c>
      <c r="H287" s="147">
        <f t="shared" si="108"/>
        <v>358921.10134877177</v>
      </c>
      <c r="I287" s="147">
        <f t="shared" si="109"/>
        <v>371538.79415178497</v>
      </c>
      <c r="J287" s="147">
        <f t="shared" si="110"/>
        <v>384115.5566358795</v>
      </c>
      <c r="K287" s="147">
        <f t="shared" si="111"/>
        <v>396088.50177208154</v>
      </c>
      <c r="L287" s="147">
        <f t="shared" si="112"/>
        <v>406747.85214775486</v>
      </c>
      <c r="M287" s="147">
        <f t="shared" si="113"/>
        <v>416936.32200000004</v>
      </c>
      <c r="N287" s="147" t="s">
        <v>176</v>
      </c>
      <c r="O287" s="34" t="s">
        <v>197</v>
      </c>
    </row>
    <row r="288" spans="1:15" hidden="1">
      <c r="A288" s="212" t="s">
        <v>102</v>
      </c>
      <c r="B288" s="147">
        <f t="shared" si="102"/>
        <v>593367.64915252314</v>
      </c>
      <c r="C288" s="147">
        <f t="shared" si="103"/>
        <v>1184696.8200177683</v>
      </c>
      <c r="D288" s="147">
        <f t="shared" si="104"/>
        <v>1474089.5671722873</v>
      </c>
      <c r="E288" s="147">
        <f t="shared" si="105"/>
        <v>1712225.9132063871</v>
      </c>
      <c r="F288" s="147">
        <f t="shared" si="106"/>
        <v>2034253.8113012391</v>
      </c>
      <c r="G288" s="147">
        <f t="shared" si="107"/>
        <v>2306927.2556054257</v>
      </c>
      <c r="H288" s="147">
        <f t="shared" si="108"/>
        <v>2390773.1130907545</v>
      </c>
      <c r="I288" s="147">
        <f t="shared" si="109"/>
        <v>2462545.9461858049</v>
      </c>
      <c r="J288" s="147">
        <f t="shared" si="110"/>
        <v>2515513.2762656114</v>
      </c>
      <c r="K288" s="147">
        <f t="shared" si="111"/>
        <v>2578290.5461211153</v>
      </c>
      <c r="L288" s="147">
        <f t="shared" si="112"/>
        <v>2637377.2520365352</v>
      </c>
      <c r="M288" s="147">
        <f t="shared" si="113"/>
        <v>2702588.2</v>
      </c>
      <c r="N288" s="147" t="s">
        <v>176</v>
      </c>
      <c r="O288" s="34" t="s">
        <v>197</v>
      </c>
    </row>
    <row r="289" spans="1:15" hidden="1">
      <c r="A289" s="212" t="s">
        <v>103</v>
      </c>
      <c r="B289" s="147">
        <f t="shared" si="102"/>
        <v>179809.0641420013</v>
      </c>
      <c r="C289" s="147">
        <f t="shared" si="103"/>
        <v>430376.86179973331</v>
      </c>
      <c r="D289" s="147">
        <f t="shared" si="104"/>
        <v>551424.29143562901</v>
      </c>
      <c r="E289" s="147">
        <f t="shared" si="105"/>
        <v>647632.60111776844</v>
      </c>
      <c r="F289" s="147">
        <f t="shared" si="106"/>
        <v>758801.55084246455</v>
      </c>
      <c r="G289" s="147">
        <f t="shared" si="107"/>
        <v>867322.70606834453</v>
      </c>
      <c r="H289" s="147">
        <f t="shared" si="108"/>
        <v>902887.8393978721</v>
      </c>
      <c r="I289" s="147">
        <f t="shared" si="109"/>
        <v>936703.93941822485</v>
      </c>
      <c r="J289" s="147">
        <f t="shared" si="110"/>
        <v>963050.20094271679</v>
      </c>
      <c r="K289" s="147">
        <f t="shared" si="111"/>
        <v>990640.74050251546</v>
      </c>
      <c r="L289" s="147">
        <f t="shared" si="112"/>
        <v>1016243.3070377253</v>
      </c>
      <c r="M289" s="147">
        <f t="shared" si="113"/>
        <v>1037353.97</v>
      </c>
      <c r="N289" s="147" t="s">
        <v>176</v>
      </c>
      <c r="O289" s="34" t="s">
        <v>197</v>
      </c>
    </row>
    <row r="290" spans="1:15" hidden="1">
      <c r="A290" s="212" t="s">
        <v>104</v>
      </c>
      <c r="B290" s="147">
        <f t="shared" si="102"/>
        <v>60687.522410912075</v>
      </c>
      <c r="C290" s="147">
        <f t="shared" si="103"/>
        <v>132695.37298707166</v>
      </c>
      <c r="D290" s="147">
        <f t="shared" si="104"/>
        <v>165693.1351163373</v>
      </c>
      <c r="E290" s="147">
        <f t="shared" si="105"/>
        <v>193104.5757875288</v>
      </c>
      <c r="F290" s="147">
        <f t="shared" si="106"/>
        <v>226054.86000799719</v>
      </c>
      <c r="G290" s="147">
        <f t="shared" si="107"/>
        <v>257682.65477457363</v>
      </c>
      <c r="H290" s="147">
        <f t="shared" si="108"/>
        <v>268232.61169874505</v>
      </c>
      <c r="I290" s="147">
        <f t="shared" si="109"/>
        <v>278754.40386499494</v>
      </c>
      <c r="J290" s="147">
        <f t="shared" si="110"/>
        <v>289471.86797894776</v>
      </c>
      <c r="K290" s="147">
        <f t="shared" si="111"/>
        <v>296874.07250031404</v>
      </c>
      <c r="L290" s="147">
        <f t="shared" si="112"/>
        <v>305483.12832741486</v>
      </c>
      <c r="M290" s="147">
        <f t="shared" si="113"/>
        <v>310782.46000000002</v>
      </c>
      <c r="N290" s="147" t="s">
        <v>176</v>
      </c>
      <c r="O290" s="34" t="s">
        <v>197</v>
      </c>
    </row>
    <row r="291" spans="1:15" hidden="1">
      <c r="A291" s="212" t="s">
        <v>105</v>
      </c>
      <c r="B291" s="147">
        <f t="shared" si="102"/>
        <v>814545.23219935631</v>
      </c>
      <c r="C291" s="147">
        <f t="shared" si="103"/>
        <v>1589054.6332304261</v>
      </c>
      <c r="D291" s="147">
        <f t="shared" si="104"/>
        <v>1935025.4648301161</v>
      </c>
      <c r="E291" s="147">
        <f t="shared" si="105"/>
        <v>2194886.9560549892</v>
      </c>
      <c r="F291" s="147">
        <f t="shared" si="106"/>
        <v>2542683.7316882438</v>
      </c>
      <c r="G291" s="147">
        <f t="shared" si="107"/>
        <v>2866235.1938152816</v>
      </c>
      <c r="H291" s="147">
        <f t="shared" si="108"/>
        <v>3032777.6467952784</v>
      </c>
      <c r="I291" s="147">
        <f t="shared" si="109"/>
        <v>3189649.2598332232</v>
      </c>
      <c r="J291" s="147">
        <f t="shared" si="110"/>
        <v>3299991.6346324449</v>
      </c>
      <c r="K291" s="147">
        <f t="shared" si="111"/>
        <v>3407559.4251499437</v>
      </c>
      <c r="L291" s="147">
        <f t="shared" si="112"/>
        <v>3486721.024747394</v>
      </c>
      <c r="M291" s="147">
        <f t="shared" si="113"/>
        <v>3576099.3560000006</v>
      </c>
      <c r="N291" s="147" t="s">
        <v>176</v>
      </c>
      <c r="O291" s="34" t="s">
        <v>197</v>
      </c>
    </row>
    <row r="292" spans="1:15" hidden="1">
      <c r="A292" s="212" t="s">
        <v>106</v>
      </c>
      <c r="B292" s="147">
        <f t="shared" si="102"/>
        <v>72891.776188444841</v>
      </c>
      <c r="C292" s="147">
        <f t="shared" si="103"/>
        <v>190078.86633303954</v>
      </c>
      <c r="D292" s="147">
        <f t="shared" si="104"/>
        <v>246677.7467276784</v>
      </c>
      <c r="E292" s="147">
        <f t="shared" si="105"/>
        <v>292227.27683855593</v>
      </c>
      <c r="F292" s="147">
        <f t="shared" si="106"/>
        <v>350796.01349449228</v>
      </c>
      <c r="G292" s="147">
        <f t="shared" si="107"/>
        <v>409450.96222082269</v>
      </c>
      <c r="H292" s="147">
        <f t="shared" si="108"/>
        <v>426520.87953322427</v>
      </c>
      <c r="I292" s="147">
        <f t="shared" si="109"/>
        <v>440425.78600307863</v>
      </c>
      <c r="J292" s="147">
        <f t="shared" si="110"/>
        <v>453544.68190696865</v>
      </c>
      <c r="K292" s="147">
        <f t="shared" si="111"/>
        <v>465107.98226888338</v>
      </c>
      <c r="L292" s="147">
        <f t="shared" si="112"/>
        <v>477058.98774386541</v>
      </c>
      <c r="M292" s="147">
        <f t="shared" si="113"/>
        <v>487662.72</v>
      </c>
      <c r="N292" s="147" t="s">
        <v>176</v>
      </c>
      <c r="O292" s="34" t="s">
        <v>197</v>
      </c>
    </row>
    <row r="293" spans="1:15" hidden="1">
      <c r="A293" s="212" t="s">
        <v>107</v>
      </c>
      <c r="B293" s="147">
        <f t="shared" si="102"/>
        <v>716209.24566330318</v>
      </c>
      <c r="C293" s="147">
        <f t="shared" si="103"/>
        <v>1485429.71606917</v>
      </c>
      <c r="D293" s="147">
        <f t="shared" si="104"/>
        <v>1813126.8060505171</v>
      </c>
      <c r="E293" s="147">
        <f t="shared" si="105"/>
        <v>2096582.7426847522</v>
      </c>
      <c r="F293" s="147">
        <f t="shared" si="106"/>
        <v>2464709.4997268957</v>
      </c>
      <c r="G293" s="147">
        <f t="shared" si="107"/>
        <v>2805576.7678608163</v>
      </c>
      <c r="H293" s="147">
        <f t="shared" si="108"/>
        <v>2890836.3321442381</v>
      </c>
      <c r="I293" s="147">
        <f t="shared" si="109"/>
        <v>2963599.7312781359</v>
      </c>
      <c r="J293" s="147">
        <f t="shared" si="110"/>
        <v>3026887.0348247699</v>
      </c>
      <c r="K293" s="147">
        <f t="shared" si="111"/>
        <v>3100081.548915749</v>
      </c>
      <c r="L293" s="147">
        <f t="shared" si="112"/>
        <v>3163254.3451781929</v>
      </c>
      <c r="M293" s="147">
        <f t="shared" si="113"/>
        <v>3229102.92</v>
      </c>
      <c r="N293" s="147" t="s">
        <v>176</v>
      </c>
      <c r="O293" s="34" t="s">
        <v>197</v>
      </c>
    </row>
    <row r="294" spans="1:15" hidden="1">
      <c r="A294" s="212" t="s">
        <v>108</v>
      </c>
      <c r="B294" s="147">
        <f t="shared" si="102"/>
        <v>31817.346317212767</v>
      </c>
      <c r="C294" s="147">
        <f t="shared" si="103"/>
        <v>74719.141007686776</v>
      </c>
      <c r="D294" s="147">
        <f t="shared" si="104"/>
        <v>100532.97882635165</v>
      </c>
      <c r="E294" s="147">
        <f t="shared" si="105"/>
        <v>122094.97986497411</v>
      </c>
      <c r="F294" s="147">
        <f t="shared" si="106"/>
        <v>151060.64342401305</v>
      </c>
      <c r="G294" s="147">
        <f t="shared" si="107"/>
        <v>184391.46336554733</v>
      </c>
      <c r="H294" s="147">
        <f t="shared" si="108"/>
        <v>192218.97566185152</v>
      </c>
      <c r="I294" s="147">
        <f t="shared" si="109"/>
        <v>199575.69765308293</v>
      </c>
      <c r="J294" s="147">
        <f t="shared" si="110"/>
        <v>207065.739594037</v>
      </c>
      <c r="K294" s="147">
        <f t="shared" si="111"/>
        <v>213969.47427556911</v>
      </c>
      <c r="L294" s="147">
        <f t="shared" si="112"/>
        <v>219196.87319114391</v>
      </c>
      <c r="M294" s="147">
        <f t="shared" si="113"/>
        <v>225946.45</v>
      </c>
      <c r="N294" s="147" t="s">
        <v>176</v>
      </c>
      <c r="O294" s="34" t="s">
        <v>197</v>
      </c>
    </row>
    <row r="295" spans="1:15" hidden="1">
      <c r="A295" s="212" t="s">
        <v>109</v>
      </c>
      <c r="B295" s="147">
        <f t="shared" si="102"/>
        <v>8654.6689567476678</v>
      </c>
      <c r="C295" s="147">
        <f t="shared" si="103"/>
        <v>15998.825699005005</v>
      </c>
      <c r="D295" s="147">
        <f t="shared" si="104"/>
        <v>20787.887597379184</v>
      </c>
      <c r="E295" s="147">
        <f t="shared" si="105"/>
        <v>24733.994356117957</v>
      </c>
      <c r="F295" s="147">
        <f t="shared" si="106"/>
        <v>28861.475529601517</v>
      </c>
      <c r="G295" s="147">
        <f t="shared" si="107"/>
        <v>32517.158524059832</v>
      </c>
      <c r="H295" s="147">
        <f t="shared" si="108"/>
        <v>34845.449611243814</v>
      </c>
      <c r="I295" s="147">
        <f t="shared" si="109"/>
        <v>36168.980154067765</v>
      </c>
      <c r="J295" s="147">
        <f t="shared" si="110"/>
        <v>37035.512271145126</v>
      </c>
      <c r="K295" s="147">
        <f t="shared" si="111"/>
        <v>38362.730825669794</v>
      </c>
      <c r="L295" s="147">
        <f t="shared" si="112"/>
        <v>39565.454205364273</v>
      </c>
      <c r="M295" s="147">
        <f t="shared" si="113"/>
        <v>40502.449999999997</v>
      </c>
      <c r="N295" s="147" t="s">
        <v>176</v>
      </c>
      <c r="O295" s="34" t="s">
        <v>197</v>
      </c>
    </row>
    <row r="296" spans="1:15" hidden="1">
      <c r="A296" s="212" t="s">
        <v>110</v>
      </c>
      <c r="B296" s="147">
        <f t="shared" si="102"/>
        <v>447245.48103032226</v>
      </c>
      <c r="C296" s="147">
        <f t="shared" si="103"/>
        <v>1082994.3533456498</v>
      </c>
      <c r="D296" s="147">
        <f t="shared" si="104"/>
        <v>1360150.2626998804</v>
      </c>
      <c r="E296" s="147">
        <f t="shared" si="105"/>
        <v>1585259.3767304344</v>
      </c>
      <c r="F296" s="147">
        <f t="shared" si="106"/>
        <v>1861016.6428169226</v>
      </c>
      <c r="G296" s="147">
        <f t="shared" si="107"/>
        <v>2136782.1141720656</v>
      </c>
      <c r="H296" s="147">
        <f t="shared" si="108"/>
        <v>2200289.9363028845</v>
      </c>
      <c r="I296" s="147">
        <f t="shared" si="109"/>
        <v>2252334.6885341336</v>
      </c>
      <c r="J296" s="147">
        <f t="shared" si="110"/>
        <v>2296885.0364528485</v>
      </c>
      <c r="K296" s="147">
        <f t="shared" si="111"/>
        <v>2346488.9650254254</v>
      </c>
      <c r="L296" s="147">
        <f t="shared" si="112"/>
        <v>2388374.0067732548</v>
      </c>
      <c r="M296" s="147">
        <f t="shared" si="113"/>
        <v>2429073.9160000002</v>
      </c>
      <c r="N296" s="147" t="s">
        <v>176</v>
      </c>
      <c r="O296" s="34" t="s">
        <v>197</v>
      </c>
    </row>
    <row r="297" spans="1:15" hidden="1">
      <c r="A297" s="212" t="s">
        <v>111</v>
      </c>
      <c r="B297" s="147">
        <f t="shared" si="102"/>
        <v>4513648.6476769941</v>
      </c>
      <c r="C297" s="147">
        <f t="shared" si="103"/>
        <v>6882321.6798486533</v>
      </c>
      <c r="D297" s="147">
        <f t="shared" si="104"/>
        <v>8020379.5991087155</v>
      </c>
      <c r="E297" s="147">
        <f t="shared" si="105"/>
        <v>9239103.0987654049</v>
      </c>
      <c r="F297" s="147">
        <f t="shared" si="106"/>
        <v>10932539.03001399</v>
      </c>
      <c r="G297" s="147">
        <f t="shared" si="107"/>
        <v>11881673.641889939</v>
      </c>
      <c r="H297" s="147">
        <f t="shared" si="108"/>
        <v>12296830.547646325</v>
      </c>
      <c r="I297" s="147">
        <f t="shared" si="109"/>
        <v>12676324.617373765</v>
      </c>
      <c r="J297" s="147">
        <f t="shared" si="110"/>
        <v>12943258.596360585</v>
      </c>
      <c r="K297" s="147">
        <f t="shared" si="111"/>
        <v>13318143.63156019</v>
      </c>
      <c r="L297" s="147">
        <f t="shared" si="112"/>
        <v>13635402.290602475</v>
      </c>
      <c r="M297" s="147">
        <f t="shared" si="113"/>
        <v>13929347.976</v>
      </c>
      <c r="N297" s="147" t="s">
        <v>176</v>
      </c>
      <c r="O297" s="34" t="s">
        <v>197</v>
      </c>
    </row>
    <row r="298" spans="1:15" hidden="1">
      <c r="A298" s="212" t="s">
        <v>112</v>
      </c>
      <c r="B298" s="147">
        <f t="shared" si="102"/>
        <v>43401.461964446869</v>
      </c>
      <c r="C298" s="147">
        <f t="shared" si="103"/>
        <v>101525.66295070475</v>
      </c>
      <c r="D298" s="147">
        <f t="shared" si="104"/>
        <v>130395.18626155764</v>
      </c>
      <c r="E298" s="147">
        <f t="shared" si="105"/>
        <v>152234.50876307426</v>
      </c>
      <c r="F298" s="147">
        <f t="shared" si="106"/>
        <v>179237.43593278868</v>
      </c>
      <c r="G298" s="147">
        <f t="shared" si="107"/>
        <v>207768.08074912161</v>
      </c>
      <c r="H298" s="147">
        <f t="shared" si="108"/>
        <v>216453.57791212163</v>
      </c>
      <c r="I298" s="147">
        <f t="shared" si="109"/>
        <v>224362.49633275584</v>
      </c>
      <c r="J298" s="147">
        <f t="shared" si="110"/>
        <v>231707.11416480993</v>
      </c>
      <c r="K298" s="147">
        <f t="shared" si="111"/>
        <v>238458.56076941805</v>
      </c>
      <c r="L298" s="147">
        <f t="shared" si="112"/>
        <v>243486.00168914435</v>
      </c>
      <c r="M298" s="147">
        <f t="shared" si="113"/>
        <v>249818.4</v>
      </c>
      <c r="N298" s="147" t="s">
        <v>176</v>
      </c>
      <c r="O298" s="34" t="s">
        <v>197</v>
      </c>
    </row>
    <row r="299" spans="1:15" hidden="1">
      <c r="A299" s="212" t="s">
        <v>113</v>
      </c>
      <c r="B299" s="147">
        <f t="shared" si="102"/>
        <v>17148.044445001928</v>
      </c>
      <c r="C299" s="147">
        <f t="shared" si="103"/>
        <v>47600.564656884591</v>
      </c>
      <c r="D299" s="147">
        <f t="shared" si="104"/>
        <v>67296.461263748657</v>
      </c>
      <c r="E299" s="147">
        <f t="shared" si="105"/>
        <v>82757.351856156558</v>
      </c>
      <c r="F299" s="147">
        <f t="shared" si="106"/>
        <v>100621.92635309453</v>
      </c>
      <c r="G299" s="147">
        <f t="shared" si="107"/>
        <v>117421.90163389681</v>
      </c>
      <c r="H299" s="147">
        <f t="shared" si="108"/>
        <v>123653.42057942113</v>
      </c>
      <c r="I299" s="147">
        <f t="shared" si="109"/>
        <v>130296.10441243826</v>
      </c>
      <c r="J299" s="147">
        <f t="shared" si="110"/>
        <v>136504.17778639885</v>
      </c>
      <c r="K299" s="147">
        <f t="shared" si="111"/>
        <v>144059.231449663</v>
      </c>
      <c r="L299" s="147">
        <f t="shared" si="112"/>
        <v>148987.24289680249</v>
      </c>
      <c r="M299" s="147">
        <f t="shared" si="113"/>
        <v>153321.75</v>
      </c>
      <c r="N299" s="147" t="s">
        <v>176</v>
      </c>
      <c r="O299" s="34" t="s">
        <v>197</v>
      </c>
    </row>
    <row r="300" spans="1:15" hidden="1">
      <c r="A300" s="212" t="s">
        <v>87</v>
      </c>
      <c r="B300" s="147">
        <f t="shared" ref="B300:M300" si="114">B5</f>
        <v>32427.888733659147</v>
      </c>
      <c r="C300" s="147">
        <f t="shared" si="114"/>
        <v>70202.587147979531</v>
      </c>
      <c r="D300" s="147">
        <f t="shared" si="114"/>
        <v>93129.01645799847</v>
      </c>
      <c r="E300" s="147">
        <f t="shared" si="114"/>
        <v>117151.62391917677</v>
      </c>
      <c r="F300" s="147">
        <f t="shared" si="114"/>
        <v>145502.62287193674</v>
      </c>
      <c r="G300" s="147">
        <f t="shared" si="114"/>
        <v>168154.695059005</v>
      </c>
      <c r="H300" s="147">
        <f t="shared" si="114"/>
        <v>178436.39330253814</v>
      </c>
      <c r="I300" s="147">
        <f t="shared" si="114"/>
        <v>187963.30305997425</v>
      </c>
      <c r="J300" s="147">
        <f t="shared" si="114"/>
        <v>196226.27849373466</v>
      </c>
      <c r="K300" s="147">
        <f t="shared" si="114"/>
        <v>203581.99415358173</v>
      </c>
      <c r="L300" s="147">
        <f t="shared" si="114"/>
        <v>209321.81008144669</v>
      </c>
      <c r="M300" s="147">
        <f t="shared" si="114"/>
        <v>214863.66800000001</v>
      </c>
      <c r="N300" s="147" t="s">
        <v>224</v>
      </c>
      <c r="O300" s="34" t="s">
        <v>197</v>
      </c>
    </row>
    <row r="301" spans="1:15" hidden="1">
      <c r="A301" s="212" t="s">
        <v>88</v>
      </c>
      <c r="B301" s="147">
        <f t="shared" ref="B301:M301" si="115">B6</f>
        <v>134365.62266775811</v>
      </c>
      <c r="C301" s="147">
        <f t="shared" si="115"/>
        <v>303835.32012227073</v>
      </c>
      <c r="D301" s="147">
        <f t="shared" si="115"/>
        <v>385239.23540071509</v>
      </c>
      <c r="E301" s="147">
        <f t="shared" si="115"/>
        <v>455877.27628814831</v>
      </c>
      <c r="F301" s="147">
        <f t="shared" si="115"/>
        <v>545788.34782778693</v>
      </c>
      <c r="G301" s="147">
        <f t="shared" si="115"/>
        <v>625665.99780235079</v>
      </c>
      <c r="H301" s="147">
        <f t="shared" si="115"/>
        <v>652117.36490240623</v>
      </c>
      <c r="I301" s="147">
        <f t="shared" si="115"/>
        <v>676648.46160244558</v>
      </c>
      <c r="J301" s="147">
        <f t="shared" si="115"/>
        <v>697276.87141639728</v>
      </c>
      <c r="K301" s="147">
        <f t="shared" si="115"/>
        <v>716308.35246425727</v>
      </c>
      <c r="L301" s="147">
        <f t="shared" si="115"/>
        <v>735104.48253620567</v>
      </c>
      <c r="M301" s="147">
        <f t="shared" si="115"/>
        <v>754927.88400000008</v>
      </c>
      <c r="N301" s="147" t="s">
        <v>224</v>
      </c>
      <c r="O301" s="34" t="s">
        <v>197</v>
      </c>
    </row>
    <row r="302" spans="1:15" hidden="1">
      <c r="A302" s="212" t="s">
        <v>89</v>
      </c>
      <c r="B302" s="147">
        <f t="shared" ref="B302:M302" si="116">B7</f>
        <v>35003.688501941579</v>
      </c>
      <c r="C302" s="147">
        <f t="shared" si="116"/>
        <v>78726.606629848524</v>
      </c>
      <c r="D302" s="147">
        <f t="shared" si="116"/>
        <v>111028.97477105659</v>
      </c>
      <c r="E302" s="147">
        <f t="shared" si="116"/>
        <v>138801.34394638755</v>
      </c>
      <c r="F302" s="147">
        <f t="shared" si="116"/>
        <v>171886.09875661752</v>
      </c>
      <c r="G302" s="147">
        <f t="shared" si="116"/>
        <v>212495.73064624201</v>
      </c>
      <c r="H302" s="147">
        <f t="shared" si="116"/>
        <v>227041.90005973561</v>
      </c>
      <c r="I302" s="147">
        <f t="shared" si="116"/>
        <v>242004.70113583468</v>
      </c>
      <c r="J302" s="147">
        <f t="shared" si="116"/>
        <v>254869.43504113189</v>
      </c>
      <c r="K302" s="147">
        <f t="shared" si="116"/>
        <v>265090.24991402822</v>
      </c>
      <c r="L302" s="147">
        <f t="shared" si="116"/>
        <v>272006.92207826249</v>
      </c>
      <c r="M302" s="147">
        <f t="shared" si="116"/>
        <v>282078.08399999997</v>
      </c>
      <c r="N302" s="147" t="s">
        <v>224</v>
      </c>
      <c r="O302" s="34" t="s">
        <v>197</v>
      </c>
    </row>
    <row r="303" spans="1:15" hidden="1">
      <c r="A303" s="212" t="s">
        <v>90</v>
      </c>
      <c r="B303" s="147">
        <f t="shared" ref="B303:M303" si="117">B8</f>
        <v>84173.626365420088</v>
      </c>
      <c r="C303" s="147">
        <f t="shared" si="117"/>
        <v>199117.31836168072</v>
      </c>
      <c r="D303" s="147">
        <f t="shared" si="117"/>
        <v>281972.34263068985</v>
      </c>
      <c r="E303" s="147">
        <f t="shared" si="117"/>
        <v>357386.07696358231</v>
      </c>
      <c r="F303" s="147">
        <f t="shared" si="117"/>
        <v>453992.32261750073</v>
      </c>
      <c r="G303" s="147">
        <f t="shared" si="117"/>
        <v>532564.57366568199</v>
      </c>
      <c r="H303" s="147">
        <f t="shared" si="117"/>
        <v>568234.04460014263</v>
      </c>
      <c r="I303" s="147">
        <f t="shared" si="117"/>
        <v>604188.2182095513</v>
      </c>
      <c r="J303" s="147">
        <f t="shared" si="117"/>
        <v>633591.20256631786</v>
      </c>
      <c r="K303" s="147">
        <f t="shared" si="117"/>
        <v>668372.59075278696</v>
      </c>
      <c r="L303" s="147">
        <f t="shared" si="117"/>
        <v>691192.28954092728</v>
      </c>
      <c r="M303" s="147">
        <f t="shared" si="117"/>
        <v>715271.02399999998</v>
      </c>
      <c r="N303" s="147" t="s">
        <v>224</v>
      </c>
      <c r="O303" s="34" t="s">
        <v>197</v>
      </c>
    </row>
    <row r="304" spans="1:15" hidden="1">
      <c r="A304" s="212" t="s">
        <v>91</v>
      </c>
      <c r="B304" s="147">
        <f t="shared" ref="B304:M304" si="118">B9</f>
        <v>333590.83351558383</v>
      </c>
      <c r="C304" s="147">
        <f t="shared" si="118"/>
        <v>857081.52518651041</v>
      </c>
      <c r="D304" s="147">
        <f t="shared" si="118"/>
        <v>1079386.0916627757</v>
      </c>
      <c r="E304" s="147">
        <f t="shared" si="118"/>
        <v>1250932.9974484313</v>
      </c>
      <c r="F304" s="147">
        <f t="shared" si="118"/>
        <v>1469337.0044617688</v>
      </c>
      <c r="G304" s="147">
        <f t="shared" si="118"/>
        <v>1705593.8441301915</v>
      </c>
      <c r="H304" s="147">
        <f t="shared" si="118"/>
        <v>1772860.7679007491</v>
      </c>
      <c r="I304" s="147">
        <f t="shared" si="118"/>
        <v>1843713.2531027498</v>
      </c>
      <c r="J304" s="147">
        <f t="shared" si="118"/>
        <v>1899947.2218332689</v>
      </c>
      <c r="K304" s="147">
        <f t="shared" si="118"/>
        <v>1954227.4568917854</v>
      </c>
      <c r="L304" s="147">
        <f t="shared" si="118"/>
        <v>2013922.4147419161</v>
      </c>
      <c r="M304" s="147">
        <f t="shared" si="118"/>
        <v>2066516.2520000003</v>
      </c>
      <c r="N304" s="147" t="s">
        <v>224</v>
      </c>
      <c r="O304" s="34" t="s">
        <v>197</v>
      </c>
    </row>
    <row r="305" spans="1:15" hidden="1">
      <c r="A305" s="212" t="s">
        <v>92</v>
      </c>
      <c r="B305" s="147">
        <f t="shared" ref="B305:M305" si="119">B10</f>
        <v>246735.05222885133</v>
      </c>
      <c r="C305" s="147">
        <f t="shared" si="119"/>
        <v>528514.66541522334</v>
      </c>
      <c r="D305" s="147">
        <f t="shared" si="119"/>
        <v>668190.97334914259</v>
      </c>
      <c r="E305" s="147">
        <f t="shared" si="119"/>
        <v>764824.89645647036</v>
      </c>
      <c r="F305" s="147">
        <f t="shared" si="119"/>
        <v>896316.40856428188</v>
      </c>
      <c r="G305" s="147">
        <f t="shared" si="119"/>
        <v>1030856.3642293598</v>
      </c>
      <c r="H305" s="147">
        <f t="shared" si="119"/>
        <v>1075084.3916914933</v>
      </c>
      <c r="I305" s="147">
        <f t="shared" si="119"/>
        <v>1112548.4197011718</v>
      </c>
      <c r="J305" s="147">
        <f t="shared" si="119"/>
        <v>1146347.5536908312</v>
      </c>
      <c r="K305" s="147">
        <f t="shared" si="119"/>
        <v>1186017.4019433218</v>
      </c>
      <c r="L305" s="147">
        <f t="shared" si="119"/>
        <v>1216746.193866774</v>
      </c>
      <c r="M305" s="147">
        <f t="shared" si="119"/>
        <v>1246278.416</v>
      </c>
      <c r="N305" s="147" t="s">
        <v>224</v>
      </c>
      <c r="O305" s="34" t="s">
        <v>197</v>
      </c>
    </row>
    <row r="306" spans="1:15" hidden="1">
      <c r="A306" s="212" t="s">
        <v>93</v>
      </c>
      <c r="B306" s="147">
        <f t="shared" ref="B306:M306" si="120">B11</f>
        <v>373828.25557086349</v>
      </c>
      <c r="C306" s="147">
        <f t="shared" si="120"/>
        <v>949901.15273255005</v>
      </c>
      <c r="D306" s="147">
        <f t="shared" si="120"/>
        <v>1189182.2495717632</v>
      </c>
      <c r="E306" s="147">
        <f t="shared" si="120"/>
        <v>1368360.6327385418</v>
      </c>
      <c r="F306" s="147">
        <f t="shared" si="120"/>
        <v>1594466.0797782738</v>
      </c>
      <c r="G306" s="147">
        <f t="shared" si="120"/>
        <v>1823511.4676915843</v>
      </c>
      <c r="H306" s="147">
        <f t="shared" si="120"/>
        <v>1892797.634567278</v>
      </c>
      <c r="I306" s="147">
        <f t="shared" si="120"/>
        <v>1957434.2660843779</v>
      </c>
      <c r="J306" s="147">
        <f t="shared" si="120"/>
        <v>2010897.3166252463</v>
      </c>
      <c r="K306" s="147">
        <f t="shared" si="120"/>
        <v>2058314.3142894795</v>
      </c>
      <c r="L306" s="147">
        <f t="shared" si="120"/>
        <v>2120470.3943580412</v>
      </c>
      <c r="M306" s="147">
        <f t="shared" si="120"/>
        <v>2176105.9759999998</v>
      </c>
      <c r="N306" s="147" t="s">
        <v>224</v>
      </c>
      <c r="O306" s="34" t="s">
        <v>197</v>
      </c>
    </row>
    <row r="307" spans="1:15" hidden="1">
      <c r="A307" s="212" t="s">
        <v>94</v>
      </c>
      <c r="B307" s="147">
        <f t="shared" ref="B307:M307" si="121">B12</f>
        <v>177411.17020801685</v>
      </c>
      <c r="C307" s="147">
        <f t="shared" si="121"/>
        <v>493081.28453812917</v>
      </c>
      <c r="D307" s="147">
        <f t="shared" si="121"/>
        <v>631875.7469643784</v>
      </c>
      <c r="E307" s="147">
        <f t="shared" si="121"/>
        <v>727969.57277342619</v>
      </c>
      <c r="F307" s="147">
        <f t="shared" si="121"/>
        <v>859002.04771469207</v>
      </c>
      <c r="G307" s="147">
        <f t="shared" si="121"/>
        <v>989500.91263169516</v>
      </c>
      <c r="H307" s="147">
        <f t="shared" si="121"/>
        <v>1030550.2277705816</v>
      </c>
      <c r="I307" s="147">
        <f t="shared" si="121"/>
        <v>1070917.5518695978</v>
      </c>
      <c r="J307" s="147">
        <f t="shared" si="121"/>
        <v>1104751.5068154216</v>
      </c>
      <c r="K307" s="147">
        <f t="shared" si="121"/>
        <v>1138801.7045965651</v>
      </c>
      <c r="L307" s="147">
        <f t="shared" si="121"/>
        <v>1168519.6291774067</v>
      </c>
      <c r="M307" s="147">
        <f t="shared" si="121"/>
        <v>1197502.6680000001</v>
      </c>
      <c r="N307" s="147" t="s">
        <v>224</v>
      </c>
      <c r="O307" s="34" t="s">
        <v>197</v>
      </c>
    </row>
    <row r="308" spans="1:15" hidden="1">
      <c r="A308" s="212" t="s">
        <v>95</v>
      </c>
      <c r="B308" s="147">
        <f t="shared" ref="B308:M308" si="122">B13</f>
        <v>247062.49436842572</v>
      </c>
      <c r="C308" s="147">
        <f t="shared" si="122"/>
        <v>632062.38152867928</v>
      </c>
      <c r="D308" s="147">
        <f t="shared" si="122"/>
        <v>828033.17846060311</v>
      </c>
      <c r="E308" s="147">
        <f t="shared" si="122"/>
        <v>989394.41444927966</v>
      </c>
      <c r="F308" s="147">
        <f t="shared" si="122"/>
        <v>1195607.3684896976</v>
      </c>
      <c r="G308" s="147">
        <f t="shared" si="122"/>
        <v>1402749.5170380224</v>
      </c>
      <c r="H308" s="147">
        <f t="shared" si="122"/>
        <v>1460101.187326266</v>
      </c>
      <c r="I308" s="147">
        <f t="shared" si="122"/>
        <v>1512652.3043426764</v>
      </c>
      <c r="J308" s="147">
        <f t="shared" si="122"/>
        <v>1557825.1612587264</v>
      </c>
      <c r="K308" s="147">
        <f t="shared" si="122"/>
        <v>1602814.7514961029</v>
      </c>
      <c r="L308" s="147">
        <f t="shared" si="122"/>
        <v>1640251.3267924308</v>
      </c>
      <c r="M308" s="147">
        <f t="shared" si="122"/>
        <v>1680646.4160000002</v>
      </c>
      <c r="N308" s="147" t="s">
        <v>224</v>
      </c>
      <c r="O308" s="34" t="s">
        <v>197</v>
      </c>
    </row>
    <row r="309" spans="1:15" hidden="1">
      <c r="A309" s="212" t="s">
        <v>96</v>
      </c>
      <c r="B309" s="147">
        <f t="shared" ref="B309:M309" si="123">B14</f>
        <v>94950.673908376324</v>
      </c>
      <c r="C309" s="147">
        <f t="shared" si="123"/>
        <v>220449.99894692143</v>
      </c>
      <c r="D309" s="147">
        <f t="shared" si="123"/>
        <v>293011.32775904069</v>
      </c>
      <c r="E309" s="147">
        <f t="shared" si="123"/>
        <v>354149.43118368258</v>
      </c>
      <c r="F309" s="147">
        <f t="shared" si="123"/>
        <v>424236.8082045053</v>
      </c>
      <c r="G309" s="147">
        <f t="shared" si="123"/>
        <v>486667.93612944166</v>
      </c>
      <c r="H309" s="147">
        <f t="shared" si="123"/>
        <v>514308.2455466924</v>
      </c>
      <c r="I309" s="147">
        <f t="shared" si="123"/>
        <v>541357.25231235358</v>
      </c>
      <c r="J309" s="147">
        <f t="shared" si="123"/>
        <v>563116.73170639388</v>
      </c>
      <c r="K309" s="147">
        <f t="shared" si="123"/>
        <v>583986.54414983117</v>
      </c>
      <c r="L309" s="147">
        <f t="shared" si="123"/>
        <v>603925.86008345813</v>
      </c>
      <c r="M309" s="147">
        <f t="shared" si="123"/>
        <v>621395.30799999996</v>
      </c>
      <c r="N309" s="147" t="s">
        <v>224</v>
      </c>
      <c r="O309" s="34" t="s">
        <v>197</v>
      </c>
    </row>
    <row r="310" spans="1:15" hidden="1">
      <c r="A310" s="212" t="s">
        <v>97</v>
      </c>
      <c r="B310" s="147">
        <f t="shared" ref="B310:M310" si="124">B15</f>
        <v>161185.63571109567</v>
      </c>
      <c r="C310" s="147">
        <f t="shared" si="124"/>
        <v>388115.98899354634</v>
      </c>
      <c r="D310" s="147">
        <f t="shared" si="124"/>
        <v>526845.40567216952</v>
      </c>
      <c r="E310" s="147">
        <f t="shared" si="124"/>
        <v>638421.87120085931</v>
      </c>
      <c r="F310" s="147">
        <f t="shared" si="124"/>
        <v>791592.0122749185</v>
      </c>
      <c r="G310" s="147">
        <f t="shared" si="124"/>
        <v>922231.91163026565</v>
      </c>
      <c r="H310" s="147">
        <f t="shared" si="124"/>
        <v>964636.26119277044</v>
      </c>
      <c r="I310" s="147">
        <f t="shared" si="124"/>
        <v>1002210.9288666354</v>
      </c>
      <c r="J310" s="147">
        <f t="shared" si="124"/>
        <v>1030854.5357921236</v>
      </c>
      <c r="K310" s="147">
        <f t="shared" si="124"/>
        <v>1065260.9381114114</v>
      </c>
      <c r="L310" s="147">
        <f t="shared" si="124"/>
        <v>1101228.4203427809</v>
      </c>
      <c r="M310" s="147">
        <f t="shared" si="124"/>
        <v>1128321.9240000001</v>
      </c>
      <c r="N310" s="147" t="s">
        <v>224</v>
      </c>
      <c r="O310" s="34" t="s">
        <v>197</v>
      </c>
    </row>
    <row r="311" spans="1:15" hidden="1">
      <c r="A311" s="212" t="s">
        <v>98</v>
      </c>
      <c r="B311" s="147">
        <f t="shared" ref="B311:M311" si="125">B16</f>
        <v>260286.29745819821</v>
      </c>
      <c r="C311" s="147">
        <f t="shared" si="125"/>
        <v>515614.90966783086</v>
      </c>
      <c r="D311" s="147">
        <f t="shared" si="125"/>
        <v>634596.65578688984</v>
      </c>
      <c r="E311" s="147">
        <f t="shared" si="125"/>
        <v>744183.93352205982</v>
      </c>
      <c r="F311" s="147">
        <f t="shared" si="125"/>
        <v>890074.5628573756</v>
      </c>
      <c r="G311" s="147">
        <f t="shared" si="125"/>
        <v>1009306.2456295564</v>
      </c>
      <c r="H311" s="147">
        <f t="shared" si="125"/>
        <v>1052593.5111873662</v>
      </c>
      <c r="I311" s="147">
        <f t="shared" si="125"/>
        <v>1092873.2534415075</v>
      </c>
      <c r="J311" s="147">
        <f t="shared" si="125"/>
        <v>1125185.0492107503</v>
      </c>
      <c r="K311" s="147">
        <f t="shared" si="125"/>
        <v>1160223.3465958531</v>
      </c>
      <c r="L311" s="147">
        <f t="shared" si="125"/>
        <v>1186858.1468379574</v>
      </c>
      <c r="M311" s="147">
        <f t="shared" si="125"/>
        <v>1217730.1840000001</v>
      </c>
      <c r="N311" s="147" t="s">
        <v>224</v>
      </c>
      <c r="O311" s="34" t="s">
        <v>197</v>
      </c>
    </row>
    <row r="312" spans="1:15" hidden="1">
      <c r="A312" s="212" t="s">
        <v>99</v>
      </c>
      <c r="B312" s="147">
        <f t="shared" ref="B312:M312" si="126">B17</f>
        <v>1665747.2288378782</v>
      </c>
      <c r="C312" s="147">
        <f t="shared" si="126"/>
        <v>2607523.8126133042</v>
      </c>
      <c r="D312" s="147">
        <f t="shared" si="126"/>
        <v>3226351.7401284208</v>
      </c>
      <c r="E312" s="147">
        <f t="shared" si="126"/>
        <v>3625511.8754010135</v>
      </c>
      <c r="F312" s="147">
        <f t="shared" si="126"/>
        <v>4327084.6941019287</v>
      </c>
      <c r="G312" s="147">
        <f t="shared" si="126"/>
        <v>4774663.0942604113</v>
      </c>
      <c r="H312" s="147">
        <f t="shared" si="126"/>
        <v>4938524.2433835976</v>
      </c>
      <c r="I312" s="147">
        <f t="shared" si="126"/>
        <v>5090748.8211816028</v>
      </c>
      <c r="J312" s="147">
        <f t="shared" si="126"/>
        <v>5224032.295730032</v>
      </c>
      <c r="K312" s="147">
        <f t="shared" si="126"/>
        <v>5364400.4859337835</v>
      </c>
      <c r="L312" s="147">
        <f t="shared" si="126"/>
        <v>5498531.1578446152</v>
      </c>
      <c r="M312" s="147">
        <f t="shared" si="126"/>
        <v>5627375.1559999995</v>
      </c>
      <c r="N312" s="147" t="s">
        <v>224</v>
      </c>
      <c r="O312" s="34" t="s">
        <v>197</v>
      </c>
    </row>
    <row r="313" spans="1:15" hidden="1">
      <c r="A313" s="212" t="s">
        <v>100</v>
      </c>
      <c r="B313" s="147">
        <f t="shared" ref="B313:M313" si="127">B18</f>
        <v>179762.62070669225</v>
      </c>
      <c r="C313" s="147">
        <f t="shared" si="127"/>
        <v>403000.69044543535</v>
      </c>
      <c r="D313" s="147">
        <f t="shared" si="127"/>
        <v>533516.74520182074</v>
      </c>
      <c r="E313" s="147">
        <f t="shared" si="127"/>
        <v>631683.68296662997</v>
      </c>
      <c r="F313" s="147">
        <f t="shared" si="127"/>
        <v>776113.16848226299</v>
      </c>
      <c r="G313" s="147">
        <f t="shared" si="127"/>
        <v>872447.17463499273</v>
      </c>
      <c r="H313" s="147">
        <f t="shared" si="127"/>
        <v>908541.89178846008</v>
      </c>
      <c r="I313" s="147">
        <f t="shared" si="127"/>
        <v>941014.6744347444</v>
      </c>
      <c r="J313" s="147">
        <f t="shared" si="127"/>
        <v>972085.8204864572</v>
      </c>
      <c r="K313" s="147">
        <f t="shared" si="127"/>
        <v>1003080.8118588836</v>
      </c>
      <c r="L313" s="147">
        <f t="shared" si="127"/>
        <v>1032929.2865757011</v>
      </c>
      <c r="M313" s="147">
        <f t="shared" si="127"/>
        <v>1060774.9240000001</v>
      </c>
      <c r="N313" s="147" t="s">
        <v>224</v>
      </c>
      <c r="O313" s="34" t="s">
        <v>197</v>
      </c>
    </row>
    <row r="314" spans="1:15" hidden="1">
      <c r="A314" s="212" t="s">
        <v>101</v>
      </c>
      <c r="B314" s="147">
        <f t="shared" ref="B314:M314" si="128">B19</f>
        <v>172604.30669097407</v>
      </c>
      <c r="C314" s="147">
        <f t="shared" si="128"/>
        <v>388345.83881890861</v>
      </c>
      <c r="D314" s="147">
        <f t="shared" si="128"/>
        <v>492516.53675939178</v>
      </c>
      <c r="E314" s="147">
        <f t="shared" si="128"/>
        <v>576530.63185486582</v>
      </c>
      <c r="F314" s="147">
        <f t="shared" si="128"/>
        <v>675502.6723456555</v>
      </c>
      <c r="G314" s="147">
        <f t="shared" si="128"/>
        <v>779679.3844574861</v>
      </c>
      <c r="H314" s="147">
        <f t="shared" si="128"/>
        <v>808354.21180103929</v>
      </c>
      <c r="I314" s="147">
        <f t="shared" si="128"/>
        <v>836771.50206956593</v>
      </c>
      <c r="J314" s="147">
        <f t="shared" si="128"/>
        <v>865096.60997387988</v>
      </c>
      <c r="K314" s="147">
        <f t="shared" si="128"/>
        <v>892061.81372518279</v>
      </c>
      <c r="L314" s="147">
        <f t="shared" si="128"/>
        <v>916068.5682427045</v>
      </c>
      <c r="M314" s="147">
        <f t="shared" si="128"/>
        <v>939014.81600000011</v>
      </c>
      <c r="N314" s="147" t="s">
        <v>224</v>
      </c>
      <c r="O314" s="34" t="s">
        <v>197</v>
      </c>
    </row>
    <row r="315" spans="1:15" hidden="1">
      <c r="A315" s="212" t="s">
        <v>102</v>
      </c>
      <c r="B315" s="147">
        <f t="shared" ref="B315:M315" si="129">B20</f>
        <v>1015703.1043253979</v>
      </c>
      <c r="C315" s="147">
        <f t="shared" si="129"/>
        <v>2027916.8227237987</v>
      </c>
      <c r="D315" s="147">
        <f t="shared" si="129"/>
        <v>2523287.7990045506</v>
      </c>
      <c r="E315" s="147">
        <f t="shared" si="129"/>
        <v>2930920.1097060209</v>
      </c>
      <c r="F315" s="147">
        <f t="shared" si="129"/>
        <v>3482154.6373070497</v>
      </c>
      <c r="G315" s="147">
        <f t="shared" si="129"/>
        <v>3948906.1770015745</v>
      </c>
      <c r="H315" s="147">
        <f t="shared" si="129"/>
        <v>4092430.1757472204</v>
      </c>
      <c r="I315" s="147">
        <f t="shared" si="129"/>
        <v>4215288.0522846254</v>
      </c>
      <c r="J315" s="147">
        <f t="shared" si="129"/>
        <v>4305955.4178997315</v>
      </c>
      <c r="K315" s="147">
        <f t="shared" si="129"/>
        <v>4413415.0476324577</v>
      </c>
      <c r="L315" s="147">
        <f t="shared" si="129"/>
        <v>4514557.3170304773</v>
      </c>
      <c r="M315" s="147">
        <f t="shared" si="129"/>
        <v>4626182.8199999994</v>
      </c>
      <c r="N315" s="147" t="s">
        <v>224</v>
      </c>
      <c r="O315" s="34" t="s">
        <v>197</v>
      </c>
    </row>
    <row r="316" spans="1:15" hidden="1">
      <c r="A316" s="212" t="s">
        <v>103</v>
      </c>
      <c r="B316" s="147">
        <f t="shared" ref="B316:M316" si="130">B21</f>
        <v>279747.12251533242</v>
      </c>
      <c r="C316" s="147">
        <f t="shared" si="130"/>
        <v>669580.7536742026</v>
      </c>
      <c r="D316" s="147">
        <f t="shared" si="130"/>
        <v>857906.46622991946</v>
      </c>
      <c r="E316" s="147">
        <f t="shared" si="130"/>
        <v>1007587.4510238095</v>
      </c>
      <c r="F316" s="147">
        <f t="shared" si="130"/>
        <v>1180544.2146159681</v>
      </c>
      <c r="G316" s="147">
        <f t="shared" si="130"/>
        <v>1349381.5368685578</v>
      </c>
      <c r="H316" s="147">
        <f t="shared" si="130"/>
        <v>1404713.8070090234</v>
      </c>
      <c r="I316" s="147">
        <f t="shared" si="130"/>
        <v>1457324.9293710946</v>
      </c>
      <c r="J316" s="147">
        <f t="shared" si="130"/>
        <v>1498314.4695017992</v>
      </c>
      <c r="K316" s="147">
        <f t="shared" si="130"/>
        <v>1541239.8586490543</v>
      </c>
      <c r="L316" s="147">
        <f t="shared" si="130"/>
        <v>1581072.3573687852</v>
      </c>
      <c r="M316" s="147">
        <f t="shared" si="130"/>
        <v>1613916.3479999998</v>
      </c>
      <c r="N316" s="147" t="s">
        <v>224</v>
      </c>
      <c r="O316" s="34" t="s">
        <v>197</v>
      </c>
    </row>
    <row r="317" spans="1:15" hidden="1">
      <c r="A317" s="212" t="s">
        <v>104</v>
      </c>
      <c r="B317" s="147">
        <f t="shared" ref="B317:M317" si="131">B22</f>
        <v>87804.177611930369</v>
      </c>
      <c r="C317" s="147">
        <f t="shared" si="131"/>
        <v>191986.88025437025</v>
      </c>
      <c r="D317" s="147">
        <f t="shared" si="131"/>
        <v>239728.8418915009</v>
      </c>
      <c r="E317" s="147">
        <f t="shared" si="131"/>
        <v>279388.3783114524</v>
      </c>
      <c r="F317" s="147">
        <f t="shared" si="131"/>
        <v>327061.64775995736</v>
      </c>
      <c r="G317" s="147">
        <f t="shared" si="131"/>
        <v>372821.50742855412</v>
      </c>
      <c r="H317" s="147">
        <f t="shared" si="131"/>
        <v>388085.44068481773</v>
      </c>
      <c r="I317" s="147">
        <f t="shared" si="131"/>
        <v>403308.62448701402</v>
      </c>
      <c r="J317" s="147">
        <f t="shared" si="131"/>
        <v>418814.911203405</v>
      </c>
      <c r="K317" s="147">
        <f t="shared" si="131"/>
        <v>429524.60002729762</v>
      </c>
      <c r="L317" s="147">
        <f t="shared" si="131"/>
        <v>441980.39055694803</v>
      </c>
      <c r="M317" s="147">
        <f t="shared" si="131"/>
        <v>449647.592</v>
      </c>
      <c r="N317" s="147" t="s">
        <v>224</v>
      </c>
      <c r="O317" s="34" t="s">
        <v>197</v>
      </c>
    </row>
    <row r="318" spans="1:15" hidden="1">
      <c r="A318" s="212" t="s">
        <v>105</v>
      </c>
      <c r="B318" s="147">
        <f t="shared" ref="B318:M318" si="132">B23</f>
        <v>1510009.2635797041</v>
      </c>
      <c r="C318" s="147">
        <f t="shared" si="132"/>
        <v>2945799.8422424369</v>
      </c>
      <c r="D318" s="147">
        <f t="shared" si="132"/>
        <v>3587162.8261412191</v>
      </c>
      <c r="E318" s="147">
        <f t="shared" si="132"/>
        <v>4068895.7532835118</v>
      </c>
      <c r="F318" s="147">
        <f t="shared" si="132"/>
        <v>4713643.6841397714</v>
      </c>
      <c r="G318" s="147">
        <f t="shared" si="132"/>
        <v>5313445.4947002567</v>
      </c>
      <c r="H318" s="147">
        <f t="shared" si="132"/>
        <v>5622182.9801558638</v>
      </c>
      <c r="I318" s="147">
        <f t="shared" si="132"/>
        <v>5912992.5994576588</v>
      </c>
      <c r="J318" s="147">
        <f t="shared" si="132"/>
        <v>6117546.0134679805</v>
      </c>
      <c r="K318" s="147">
        <f t="shared" si="132"/>
        <v>6316955.8850421477</v>
      </c>
      <c r="L318" s="147">
        <f t="shared" si="132"/>
        <v>6463706.174635252</v>
      </c>
      <c r="M318" s="147">
        <f t="shared" si="132"/>
        <v>6629396.3080000002</v>
      </c>
      <c r="N318" s="147" t="s">
        <v>224</v>
      </c>
      <c r="O318" s="34" t="s">
        <v>197</v>
      </c>
    </row>
    <row r="319" spans="1:15" hidden="1">
      <c r="A319" s="212" t="s">
        <v>106</v>
      </c>
      <c r="B319" s="147">
        <f t="shared" ref="B319:M319" si="133">B24</f>
        <v>134344.8191249634</v>
      </c>
      <c r="C319" s="147">
        <f t="shared" si="133"/>
        <v>350329.10778539104</v>
      </c>
      <c r="D319" s="147">
        <f t="shared" si="133"/>
        <v>454644.94074898097</v>
      </c>
      <c r="E319" s="147">
        <f t="shared" si="133"/>
        <v>538596.02143266157</v>
      </c>
      <c r="F319" s="147">
        <f t="shared" si="133"/>
        <v>646542.44205598999</v>
      </c>
      <c r="G319" s="147">
        <f t="shared" si="133"/>
        <v>754647.75776473281</v>
      </c>
      <c r="H319" s="147">
        <f t="shared" si="133"/>
        <v>786108.85082252836</v>
      </c>
      <c r="I319" s="147">
        <f t="shared" si="133"/>
        <v>811736.59982692508</v>
      </c>
      <c r="J319" s="147">
        <f t="shared" si="133"/>
        <v>835915.67447000835</v>
      </c>
      <c r="K319" s="147">
        <f t="shared" si="133"/>
        <v>857227.67394156626</v>
      </c>
      <c r="L319" s="147">
        <f t="shared" si="133"/>
        <v>879254.241997023</v>
      </c>
      <c r="M319" s="147">
        <f t="shared" si="133"/>
        <v>898797.68799999985</v>
      </c>
      <c r="N319" s="147" t="s">
        <v>224</v>
      </c>
      <c r="O319" s="34" t="s">
        <v>197</v>
      </c>
    </row>
    <row r="320" spans="1:15" hidden="1">
      <c r="A320" s="212" t="s">
        <v>107</v>
      </c>
      <c r="B320" s="147">
        <f t="shared" ref="B320:M320" si="134">B25</f>
        <v>1321001.6217677102</v>
      </c>
      <c r="C320" s="147">
        <f t="shared" si="134"/>
        <v>2739779.0182560668</v>
      </c>
      <c r="D320" s="147">
        <f t="shared" si="134"/>
        <v>3344195.1018728139</v>
      </c>
      <c r="E320" s="147">
        <f t="shared" si="134"/>
        <v>3867011.2401184528</v>
      </c>
      <c r="F320" s="147">
        <f t="shared" si="134"/>
        <v>4545997.22921775</v>
      </c>
      <c r="G320" s="147">
        <f t="shared" si="134"/>
        <v>5174704.8544529062</v>
      </c>
      <c r="H320" s="147">
        <f t="shared" si="134"/>
        <v>5331960.6052988758</v>
      </c>
      <c r="I320" s="147">
        <f t="shared" si="134"/>
        <v>5466167.9879083959</v>
      </c>
      <c r="J320" s="147">
        <f t="shared" si="134"/>
        <v>5582897.3252195632</v>
      </c>
      <c r="K320" s="147">
        <f t="shared" si="134"/>
        <v>5717899.8714784225</v>
      </c>
      <c r="L320" s="147">
        <f t="shared" si="134"/>
        <v>5834418.007511423</v>
      </c>
      <c r="M320" s="147">
        <f t="shared" si="134"/>
        <v>5955871.4440000001</v>
      </c>
      <c r="N320" s="147" t="s">
        <v>224</v>
      </c>
      <c r="O320" s="34" t="s">
        <v>197</v>
      </c>
    </row>
    <row r="321" spans="1:15" hidden="1">
      <c r="A321" s="212" t="s">
        <v>108</v>
      </c>
      <c r="B321" s="147">
        <f t="shared" ref="B321:M321" si="135">B26</f>
        <v>60720.324934624434</v>
      </c>
      <c r="C321" s="147">
        <f t="shared" si="135"/>
        <v>142594.24640854856</v>
      </c>
      <c r="D321" s="147">
        <f t="shared" si="135"/>
        <v>191857.45662514263</v>
      </c>
      <c r="E321" s="147">
        <f t="shared" si="135"/>
        <v>233006.44800402381</v>
      </c>
      <c r="F321" s="147">
        <f t="shared" si="135"/>
        <v>288284.61249068199</v>
      </c>
      <c r="G321" s="147">
        <f t="shared" si="135"/>
        <v>351893.25530488614</v>
      </c>
      <c r="H321" s="147">
        <f t="shared" si="135"/>
        <v>366831.30467339157</v>
      </c>
      <c r="I321" s="147">
        <f t="shared" si="135"/>
        <v>380870.89632593642</v>
      </c>
      <c r="J321" s="147">
        <f t="shared" si="135"/>
        <v>395164.91619467252</v>
      </c>
      <c r="K321" s="147">
        <f t="shared" si="135"/>
        <v>408340.02542426548</v>
      </c>
      <c r="L321" s="147">
        <f t="shared" si="135"/>
        <v>418316.01014505565</v>
      </c>
      <c r="M321" s="147">
        <f t="shared" si="135"/>
        <v>431196.924</v>
      </c>
      <c r="N321" s="147" t="s">
        <v>224</v>
      </c>
      <c r="O321" s="34" t="s">
        <v>197</v>
      </c>
    </row>
    <row r="322" spans="1:15" hidden="1">
      <c r="A322" s="212" t="s">
        <v>109</v>
      </c>
      <c r="B322" s="147">
        <f t="shared" ref="B322:M322" si="136">B27</f>
        <v>19008.781299593931</v>
      </c>
      <c r="C322" s="147">
        <f t="shared" si="136"/>
        <v>35139.204085397338</v>
      </c>
      <c r="D322" s="147">
        <f t="shared" si="136"/>
        <v>45657.715043050717</v>
      </c>
      <c r="E322" s="147">
        <f t="shared" si="136"/>
        <v>54324.791823986663</v>
      </c>
      <c r="F322" s="147">
        <f t="shared" si="136"/>
        <v>63390.23237833273</v>
      </c>
      <c r="G322" s="147">
        <f t="shared" si="136"/>
        <v>71419.43359788075</v>
      </c>
      <c r="H322" s="147">
        <f t="shared" si="136"/>
        <v>76533.202397040674</v>
      </c>
      <c r="I322" s="147">
        <f t="shared" si="136"/>
        <v>79440.153865387489</v>
      </c>
      <c r="J322" s="147">
        <f t="shared" si="136"/>
        <v>81343.371606576242</v>
      </c>
      <c r="K322" s="147">
        <f t="shared" si="136"/>
        <v>84258.423281666925</v>
      </c>
      <c r="L322" s="147">
        <f t="shared" si="136"/>
        <v>86900.038553467253</v>
      </c>
      <c r="M322" s="147">
        <f t="shared" si="136"/>
        <v>88958.02</v>
      </c>
      <c r="N322" s="147" t="s">
        <v>224</v>
      </c>
      <c r="O322" s="34" t="s">
        <v>197</v>
      </c>
    </row>
    <row r="323" spans="1:15" hidden="1">
      <c r="A323" s="212" t="s">
        <v>110</v>
      </c>
      <c r="B323" s="147">
        <f t="shared" ref="B323:M323" si="137">B28</f>
        <v>692520.10398590867</v>
      </c>
      <c r="C323" s="147">
        <f t="shared" si="137"/>
        <v>1676921.0512028253</v>
      </c>
      <c r="D323" s="147">
        <f t="shared" si="137"/>
        <v>2106072.4843802755</v>
      </c>
      <c r="E323" s="147">
        <f t="shared" si="137"/>
        <v>2454634.0544099696</v>
      </c>
      <c r="F323" s="147">
        <f t="shared" si="137"/>
        <v>2881619.8120863847</v>
      </c>
      <c r="G323" s="147">
        <f t="shared" si="137"/>
        <v>3308618.2748962063</v>
      </c>
      <c r="H323" s="147">
        <f t="shared" si="137"/>
        <v>3406954.525236031</v>
      </c>
      <c r="I323" s="147">
        <f t="shared" si="137"/>
        <v>3487541.224835712</v>
      </c>
      <c r="J323" s="147">
        <f t="shared" si="137"/>
        <v>3556523.5016430775</v>
      </c>
      <c r="K323" s="147">
        <f t="shared" si="137"/>
        <v>3633330.8015045635</v>
      </c>
      <c r="L323" s="147">
        <f t="shared" si="137"/>
        <v>3698186.087241245</v>
      </c>
      <c r="M323" s="147">
        <f t="shared" si="137"/>
        <v>3761206.3</v>
      </c>
      <c r="N323" s="147" t="s">
        <v>224</v>
      </c>
      <c r="O323" s="34" t="s">
        <v>197</v>
      </c>
    </row>
    <row r="324" spans="1:15" hidden="1">
      <c r="A324" s="212" t="s">
        <v>111</v>
      </c>
      <c r="B324" s="147">
        <f t="shared" ref="B324:M324" si="138">B29</f>
        <v>7431966.2706583571</v>
      </c>
      <c r="C324" s="147">
        <f t="shared" si="138"/>
        <v>11332114.344961369</v>
      </c>
      <c r="D324" s="147">
        <f t="shared" si="138"/>
        <v>13205988.173033794</v>
      </c>
      <c r="E324" s="147">
        <f t="shared" si="138"/>
        <v>15212682.23580024</v>
      </c>
      <c r="F324" s="147">
        <f t="shared" si="138"/>
        <v>18001015.95535941</v>
      </c>
      <c r="G324" s="147">
        <f t="shared" si="138"/>
        <v>19563817.354490656</v>
      </c>
      <c r="H324" s="147">
        <f t="shared" si="138"/>
        <v>20247395.621531956</v>
      </c>
      <c r="I324" s="147">
        <f t="shared" si="138"/>
        <v>20872253.102980085</v>
      </c>
      <c r="J324" s="147">
        <f t="shared" si="138"/>
        <v>21311774.3159003</v>
      </c>
      <c r="K324" s="147">
        <f t="shared" si="138"/>
        <v>21929042.773074511</v>
      </c>
      <c r="L324" s="147">
        <f t="shared" si="138"/>
        <v>22451426.289631579</v>
      </c>
      <c r="M324" s="147">
        <f t="shared" si="138"/>
        <v>22935423.736000001</v>
      </c>
      <c r="N324" s="147" t="s">
        <v>224</v>
      </c>
      <c r="O324" s="34" t="s">
        <v>197</v>
      </c>
    </row>
    <row r="325" spans="1:15" hidden="1">
      <c r="A325" s="212" t="s">
        <v>112</v>
      </c>
      <c r="B325" s="147">
        <f t="shared" ref="B325:M325" si="139">B30</f>
        <v>91687.472697673787</v>
      </c>
      <c r="C325" s="147">
        <f t="shared" si="139"/>
        <v>214477.37077454475</v>
      </c>
      <c r="D325" s="147">
        <f t="shared" si="139"/>
        <v>275465.49215458031</v>
      </c>
      <c r="E325" s="147">
        <f t="shared" si="139"/>
        <v>321602.00910494925</v>
      </c>
      <c r="F325" s="147">
        <f t="shared" si="139"/>
        <v>378646.86509755591</v>
      </c>
      <c r="G325" s="147">
        <f t="shared" si="139"/>
        <v>438919.0909453262</v>
      </c>
      <c r="H325" s="147">
        <f t="shared" si="139"/>
        <v>457267.58078768756</v>
      </c>
      <c r="I325" s="147">
        <f t="shared" si="139"/>
        <v>473975.51432121801</v>
      </c>
      <c r="J325" s="147">
        <f t="shared" si="139"/>
        <v>489491.33836195985</v>
      </c>
      <c r="K325" s="147">
        <f t="shared" si="139"/>
        <v>503754.06243187468</v>
      </c>
      <c r="L325" s="147">
        <f t="shared" si="139"/>
        <v>514374.74964384403</v>
      </c>
      <c r="M325" s="147">
        <f t="shared" si="139"/>
        <v>527752.21600000001</v>
      </c>
      <c r="N325" s="147" t="s">
        <v>224</v>
      </c>
      <c r="O325" s="34" t="s">
        <v>197</v>
      </c>
    </row>
    <row r="326" spans="1:15" hidden="1">
      <c r="A326" s="212" t="s">
        <v>113</v>
      </c>
      <c r="B326" s="147">
        <f t="shared" ref="B326:M326" si="140">B31</f>
        <v>28958.336693816967</v>
      </c>
      <c r="C326" s="147">
        <f t="shared" si="140"/>
        <v>80384.278368932879</v>
      </c>
      <c r="D326" s="147">
        <f t="shared" si="140"/>
        <v>113645.23749797326</v>
      </c>
      <c r="E326" s="147">
        <f t="shared" si="140"/>
        <v>139754.43477683328</v>
      </c>
      <c r="F326" s="147">
        <f t="shared" si="140"/>
        <v>169922.79390567201</v>
      </c>
      <c r="G326" s="147">
        <f t="shared" si="140"/>
        <v>198293.33739181701</v>
      </c>
      <c r="H326" s="147">
        <f t="shared" si="140"/>
        <v>208816.66116305839</v>
      </c>
      <c r="I326" s="147">
        <f t="shared" si="140"/>
        <v>220034.32948693255</v>
      </c>
      <c r="J326" s="147">
        <f t="shared" si="140"/>
        <v>230518.06012803604</v>
      </c>
      <c r="K326" s="147">
        <f t="shared" si="140"/>
        <v>243276.47047752791</v>
      </c>
      <c r="L326" s="147">
        <f t="shared" si="140"/>
        <v>251598.52814275885</v>
      </c>
      <c r="M326" s="147">
        <f t="shared" si="140"/>
        <v>258918.32</v>
      </c>
      <c r="N326" s="147" t="s">
        <v>224</v>
      </c>
      <c r="O326" s="34" t="s">
        <v>197</v>
      </c>
    </row>
    <row r="327" spans="1:15" hidden="1">
      <c r="A327" s="212" t="s">
        <v>87</v>
      </c>
      <c r="B327" s="147">
        <f t="shared" ref="B327:B353" si="141">AF39</f>
        <v>3850.3919999999998</v>
      </c>
      <c r="C327" s="147">
        <f t="shared" ref="C327:C353" si="142">AG39</f>
        <v>3351.2480000000005</v>
      </c>
      <c r="D327" s="147">
        <f t="shared" ref="D327:D353" si="143">AH39</f>
        <v>3421.1040000000003</v>
      </c>
      <c r="E327" s="147">
        <f t="shared" ref="E327:E353" si="144">AI39</f>
        <v>1214.288</v>
      </c>
      <c r="F327" s="147">
        <f t="shared" ref="F327:F353" si="145">AJ39</f>
        <v>1032.5040000000001</v>
      </c>
      <c r="G327" s="147">
        <f t="shared" ref="G327:G353" si="146">AK39</f>
        <v>1915.1120000000001</v>
      </c>
      <c r="H327" s="147">
        <f t="shared" ref="H327:H353" si="147">AL39</f>
        <v>1261.7439999999974</v>
      </c>
      <c r="I327" s="147">
        <f t="shared" ref="I327:I353" si="148">AM39</f>
        <v>4474.0639999999985</v>
      </c>
      <c r="J327" s="147">
        <f t="shared" ref="J327:J353" si="149">AN39</f>
        <v>3106.2000000000016</v>
      </c>
      <c r="K327" s="147">
        <f t="shared" ref="K327:K353" si="150">AO39</f>
        <v>8339.1119999999992</v>
      </c>
      <c r="L327" s="147">
        <f t="shared" ref="L327:L353" si="151">AP39</f>
        <v>1325.3760000000002</v>
      </c>
      <c r="M327" s="147">
        <f t="shared" ref="M327:M353" si="152">AQ39</f>
        <v>2157.559999999999</v>
      </c>
      <c r="N327" s="147" t="s">
        <v>177</v>
      </c>
      <c r="O327" s="34" t="s">
        <v>199</v>
      </c>
    </row>
    <row r="328" spans="1:15" hidden="1">
      <c r="A328" s="212" t="s">
        <v>88</v>
      </c>
      <c r="B328" s="147">
        <f t="shared" si="141"/>
        <v>25126.440000000002</v>
      </c>
      <c r="C328" s="147">
        <f t="shared" si="142"/>
        <v>16464.688000000002</v>
      </c>
      <c r="D328" s="147">
        <f t="shared" si="143"/>
        <v>13770.735999999999</v>
      </c>
      <c r="E328" s="147">
        <f t="shared" si="144"/>
        <v>10478.880000000001</v>
      </c>
      <c r="F328" s="147">
        <f t="shared" si="145"/>
        <v>8710.2320000000018</v>
      </c>
      <c r="G328" s="147">
        <f t="shared" si="146"/>
        <v>10994.336000000001</v>
      </c>
      <c r="H328" s="147">
        <f t="shared" si="147"/>
        <v>14140.256000000001</v>
      </c>
      <c r="I328" s="147">
        <f t="shared" si="148"/>
        <v>14468.976000000002</v>
      </c>
      <c r="J328" s="147">
        <f t="shared" si="149"/>
        <v>13769.927999999998</v>
      </c>
      <c r="K328" s="147">
        <f t="shared" si="150"/>
        <v>26093.544000000005</v>
      </c>
      <c r="L328" s="147">
        <f t="shared" si="151"/>
        <v>11461.576000000001</v>
      </c>
      <c r="M328" s="147">
        <f t="shared" si="152"/>
        <v>17132.072000000004</v>
      </c>
      <c r="N328" s="147" t="s">
        <v>177</v>
      </c>
      <c r="O328" s="34" t="s">
        <v>199</v>
      </c>
    </row>
    <row r="329" spans="1:15" hidden="1">
      <c r="A329" s="212" t="s">
        <v>89</v>
      </c>
      <c r="B329" s="147">
        <f t="shared" si="141"/>
        <v>6473.5680000000002</v>
      </c>
      <c r="C329" s="147">
        <f t="shared" si="142"/>
        <v>5700.0400000000009</v>
      </c>
      <c r="D329" s="147">
        <f t="shared" si="143"/>
        <v>3919.8559999999998</v>
      </c>
      <c r="E329" s="147">
        <f t="shared" si="144"/>
        <v>3079.4400000000005</v>
      </c>
      <c r="F329" s="147">
        <f t="shared" si="145"/>
        <v>3016.1759999999999</v>
      </c>
      <c r="G329" s="147">
        <f t="shared" si="146"/>
        <v>3764.2160000000003</v>
      </c>
      <c r="H329" s="147">
        <f t="shared" si="147"/>
        <v>6781.24</v>
      </c>
      <c r="I329" s="147">
        <f t="shared" si="148"/>
        <v>7456.7600000000011</v>
      </c>
      <c r="J329" s="147">
        <f t="shared" si="149"/>
        <v>4516.3840000000009</v>
      </c>
      <c r="K329" s="147">
        <f t="shared" si="150"/>
        <v>10084.023999999999</v>
      </c>
      <c r="L329" s="147">
        <f t="shared" si="151"/>
        <v>4774.5280000000002</v>
      </c>
      <c r="M329" s="147">
        <f t="shared" si="152"/>
        <v>2685.7280000000001</v>
      </c>
      <c r="N329" s="147" t="s">
        <v>177</v>
      </c>
      <c r="O329" s="34" t="s">
        <v>199</v>
      </c>
    </row>
    <row r="330" spans="1:15" hidden="1">
      <c r="A330" s="212" t="s">
        <v>90</v>
      </c>
      <c r="B330" s="147">
        <f t="shared" si="141"/>
        <v>20675.456000000002</v>
      </c>
      <c r="C330" s="147">
        <f t="shared" si="142"/>
        <v>13188.688000000002</v>
      </c>
      <c r="D330" s="147">
        <f t="shared" si="143"/>
        <v>14358.808000000003</v>
      </c>
      <c r="E330" s="147">
        <f t="shared" si="144"/>
        <v>7205.8640000000005</v>
      </c>
      <c r="F330" s="147">
        <f t="shared" si="145"/>
        <v>10934.152000000002</v>
      </c>
      <c r="G330" s="147">
        <f t="shared" si="146"/>
        <v>18924.511999999999</v>
      </c>
      <c r="H330" s="147">
        <f t="shared" si="147"/>
        <v>16617.168000000001</v>
      </c>
      <c r="I330" s="147">
        <f t="shared" si="148"/>
        <v>15477.903999999993</v>
      </c>
      <c r="J330" s="147">
        <f t="shared" si="149"/>
        <v>13935.639999999998</v>
      </c>
      <c r="K330" s="147">
        <f t="shared" si="150"/>
        <v>20796.992000000006</v>
      </c>
      <c r="L330" s="147">
        <f t="shared" si="151"/>
        <v>8722.3360000000011</v>
      </c>
      <c r="M330" s="147">
        <f t="shared" si="152"/>
        <v>17263.135999999999</v>
      </c>
      <c r="N330" s="147" t="s">
        <v>177</v>
      </c>
      <c r="O330" s="34" t="s">
        <v>199</v>
      </c>
    </row>
    <row r="331" spans="1:15" hidden="1">
      <c r="A331" s="212" t="s">
        <v>91</v>
      </c>
      <c r="B331" s="147">
        <f t="shared" si="141"/>
        <v>56708.472000000002</v>
      </c>
      <c r="C331" s="147">
        <f t="shared" si="142"/>
        <v>53191.592000000004</v>
      </c>
      <c r="D331" s="147">
        <f t="shared" si="143"/>
        <v>34697.200000000004</v>
      </c>
      <c r="E331" s="147">
        <f t="shared" si="144"/>
        <v>19805.048000000003</v>
      </c>
      <c r="F331" s="147">
        <f t="shared" si="145"/>
        <v>14971.176000000001</v>
      </c>
      <c r="G331" s="147">
        <f t="shared" si="146"/>
        <v>18748.416000000001</v>
      </c>
      <c r="H331" s="147">
        <f t="shared" si="147"/>
        <v>26473.567999999996</v>
      </c>
      <c r="I331" s="147">
        <f t="shared" si="148"/>
        <v>20238.911999999989</v>
      </c>
      <c r="J331" s="147">
        <f t="shared" si="149"/>
        <v>25005.064000000002</v>
      </c>
      <c r="K331" s="147">
        <f t="shared" si="150"/>
        <v>52198.776000000005</v>
      </c>
      <c r="L331" s="147">
        <f t="shared" si="151"/>
        <v>18467.472000000002</v>
      </c>
      <c r="M331" s="147">
        <f t="shared" si="152"/>
        <v>20282.943999999996</v>
      </c>
      <c r="N331" s="147" t="s">
        <v>177</v>
      </c>
      <c r="O331" s="34" t="s">
        <v>199</v>
      </c>
    </row>
    <row r="332" spans="1:15" hidden="1">
      <c r="A332" s="212" t="s">
        <v>92</v>
      </c>
      <c r="B332" s="147">
        <f t="shared" si="141"/>
        <v>23023.120000000003</v>
      </c>
      <c r="C332" s="147">
        <f t="shared" si="142"/>
        <v>13182.407999999999</v>
      </c>
      <c r="D332" s="147">
        <f t="shared" si="143"/>
        <v>10926.344000000001</v>
      </c>
      <c r="E332" s="147">
        <f t="shared" si="144"/>
        <v>8071.8880000000008</v>
      </c>
      <c r="F332" s="147">
        <f t="shared" si="145"/>
        <v>6142.2640000000001</v>
      </c>
      <c r="G332" s="147">
        <f t="shared" si="146"/>
        <v>8411.3680000000004</v>
      </c>
      <c r="H332" s="147">
        <f t="shared" si="147"/>
        <v>13491.567999999994</v>
      </c>
      <c r="I332" s="147">
        <f t="shared" si="148"/>
        <v>14412.303999999982</v>
      </c>
      <c r="J332" s="147">
        <f t="shared" si="149"/>
        <v>17535.616000000009</v>
      </c>
      <c r="K332" s="147">
        <f t="shared" si="150"/>
        <v>36124.248</v>
      </c>
      <c r="L332" s="147">
        <f t="shared" si="151"/>
        <v>8695.6320000000014</v>
      </c>
      <c r="M332" s="147">
        <f t="shared" si="152"/>
        <v>11474.439999999997</v>
      </c>
      <c r="N332" s="147" t="s">
        <v>177</v>
      </c>
      <c r="O332" s="34" t="s">
        <v>199</v>
      </c>
    </row>
    <row r="333" spans="1:15" hidden="1">
      <c r="A333" s="212" t="s">
        <v>93</v>
      </c>
      <c r="B333" s="147">
        <f t="shared" si="141"/>
        <v>59251.224000000002</v>
      </c>
      <c r="C333" s="147">
        <f t="shared" si="142"/>
        <v>44075.12</v>
      </c>
      <c r="D333" s="147">
        <f t="shared" si="143"/>
        <v>46693.456000000006</v>
      </c>
      <c r="E333" s="147">
        <f t="shared" si="144"/>
        <v>33072.103999999999</v>
      </c>
      <c r="F333" s="147">
        <f t="shared" si="145"/>
        <v>30243.520000000004</v>
      </c>
      <c r="G333" s="147">
        <f t="shared" si="146"/>
        <v>26023.592000000004</v>
      </c>
      <c r="H333" s="147">
        <f t="shared" si="147"/>
        <v>27928.295999999998</v>
      </c>
      <c r="I333" s="147">
        <f t="shared" si="148"/>
        <v>39178.92</v>
      </c>
      <c r="J333" s="147">
        <f t="shared" si="149"/>
        <v>26288.543999999994</v>
      </c>
      <c r="K333" s="147">
        <f t="shared" si="150"/>
        <v>70347.160000000018</v>
      </c>
      <c r="L333" s="147">
        <f t="shared" si="151"/>
        <v>27436.368000000002</v>
      </c>
      <c r="M333" s="147">
        <f t="shared" si="152"/>
        <v>23338.648000000012</v>
      </c>
      <c r="N333" s="147" t="s">
        <v>177</v>
      </c>
      <c r="O333" s="34" t="s">
        <v>199</v>
      </c>
    </row>
    <row r="334" spans="1:15" hidden="1">
      <c r="A334" s="212" t="s">
        <v>94</v>
      </c>
      <c r="B334" s="147">
        <f t="shared" si="141"/>
        <v>26082.856</v>
      </c>
      <c r="C334" s="147">
        <f t="shared" si="142"/>
        <v>25864.600000000002</v>
      </c>
      <c r="D334" s="147">
        <f t="shared" si="143"/>
        <v>18605.400000000001</v>
      </c>
      <c r="E334" s="147">
        <f t="shared" si="144"/>
        <v>9887.4480000000003</v>
      </c>
      <c r="F334" s="147">
        <f t="shared" si="145"/>
        <v>9854.9600000000009</v>
      </c>
      <c r="G334" s="147">
        <f t="shared" si="146"/>
        <v>8620.2960000000003</v>
      </c>
      <c r="H334" s="147">
        <f t="shared" si="147"/>
        <v>7222.9359999999988</v>
      </c>
      <c r="I334" s="147">
        <f t="shared" si="148"/>
        <v>8568.4320000000062</v>
      </c>
      <c r="J334" s="147">
        <f t="shared" si="149"/>
        <v>7131.3600000000042</v>
      </c>
      <c r="K334" s="147">
        <f t="shared" si="150"/>
        <v>21131.112000000001</v>
      </c>
      <c r="L334" s="147">
        <f t="shared" si="151"/>
        <v>4899.3919999999998</v>
      </c>
      <c r="M334" s="147">
        <f t="shared" si="152"/>
        <v>8858.6159999999982</v>
      </c>
      <c r="N334" s="147" t="s">
        <v>177</v>
      </c>
      <c r="O334" s="34" t="s">
        <v>199</v>
      </c>
    </row>
    <row r="335" spans="1:15" hidden="1">
      <c r="A335" s="212" t="s">
        <v>95</v>
      </c>
      <c r="B335" s="147">
        <f t="shared" si="141"/>
        <v>32932.112000000001</v>
      </c>
      <c r="C335" s="147">
        <f t="shared" si="142"/>
        <v>34125</v>
      </c>
      <c r="D335" s="147">
        <f t="shared" si="143"/>
        <v>29089.800000000003</v>
      </c>
      <c r="E335" s="147">
        <f t="shared" si="144"/>
        <v>15206.256000000001</v>
      </c>
      <c r="F335" s="147">
        <f t="shared" si="145"/>
        <v>19263.848000000002</v>
      </c>
      <c r="G335" s="147">
        <f t="shared" si="146"/>
        <v>24349</v>
      </c>
      <c r="H335" s="147">
        <f t="shared" si="147"/>
        <v>25897.552000000003</v>
      </c>
      <c r="I335" s="147">
        <f t="shared" si="148"/>
        <v>27109.232000000007</v>
      </c>
      <c r="J335" s="147">
        <f t="shared" si="149"/>
        <v>28553.768000000007</v>
      </c>
      <c r="K335" s="147">
        <f t="shared" si="150"/>
        <v>53344.655999999995</v>
      </c>
      <c r="L335" s="147">
        <f t="shared" si="151"/>
        <v>24889.543999999998</v>
      </c>
      <c r="M335" s="147">
        <f t="shared" si="152"/>
        <v>32841.159999999989</v>
      </c>
      <c r="N335" s="147" t="s">
        <v>177</v>
      </c>
      <c r="O335" s="34" t="s">
        <v>199</v>
      </c>
    </row>
    <row r="336" spans="1:15" hidden="1">
      <c r="A336" s="212" t="s">
        <v>96</v>
      </c>
      <c r="B336" s="147">
        <f t="shared" si="141"/>
        <v>17902.864000000001</v>
      </c>
      <c r="C336" s="147">
        <f t="shared" si="142"/>
        <v>21475.376000000004</v>
      </c>
      <c r="D336" s="147">
        <f t="shared" si="143"/>
        <v>34177.512000000002</v>
      </c>
      <c r="E336" s="147">
        <f t="shared" si="144"/>
        <v>11482.784</v>
      </c>
      <c r="F336" s="147">
        <f t="shared" si="145"/>
        <v>7851.44</v>
      </c>
      <c r="G336" s="147">
        <f t="shared" si="146"/>
        <v>12072.192000000003</v>
      </c>
      <c r="H336" s="147">
        <f t="shared" si="147"/>
        <v>12548.400000000007</v>
      </c>
      <c r="I336" s="147">
        <f t="shared" si="148"/>
        <v>11230.735999999999</v>
      </c>
      <c r="J336" s="147">
        <f t="shared" si="149"/>
        <v>11860.592000000004</v>
      </c>
      <c r="K336" s="147">
        <f t="shared" si="150"/>
        <v>21160.487999999998</v>
      </c>
      <c r="L336" s="147">
        <f t="shared" si="151"/>
        <v>7590.8959999999997</v>
      </c>
      <c r="M336" s="147">
        <f t="shared" si="152"/>
        <v>8651.8160000000007</v>
      </c>
      <c r="N336" s="147" t="s">
        <v>177</v>
      </c>
      <c r="O336" s="34" t="s">
        <v>199</v>
      </c>
    </row>
    <row r="337" spans="1:15" hidden="1">
      <c r="A337" s="212" t="s">
        <v>97</v>
      </c>
      <c r="B337" s="147">
        <f t="shared" si="141"/>
        <v>14915.576000000001</v>
      </c>
      <c r="C337" s="147">
        <f t="shared" si="142"/>
        <v>16993.920000000002</v>
      </c>
      <c r="D337" s="147">
        <f t="shared" si="143"/>
        <v>17366.744000000002</v>
      </c>
      <c r="E337" s="147">
        <f t="shared" si="144"/>
        <v>8215.344000000001</v>
      </c>
      <c r="F337" s="147">
        <f t="shared" si="145"/>
        <v>16833.312000000002</v>
      </c>
      <c r="G337" s="147">
        <f t="shared" si="146"/>
        <v>33394.536</v>
      </c>
      <c r="H337" s="147">
        <f t="shared" si="147"/>
        <v>32080.760000000009</v>
      </c>
      <c r="I337" s="147">
        <f t="shared" si="148"/>
        <v>39660.576000000001</v>
      </c>
      <c r="J337" s="147">
        <f t="shared" si="149"/>
        <v>24372.200000000008</v>
      </c>
      <c r="K337" s="147">
        <f t="shared" si="150"/>
        <v>26457.016000000003</v>
      </c>
      <c r="L337" s="147">
        <f t="shared" si="151"/>
        <v>14600.480000000003</v>
      </c>
      <c r="M337" s="147">
        <f t="shared" si="152"/>
        <v>22111.112000000005</v>
      </c>
      <c r="N337" s="147" t="s">
        <v>177</v>
      </c>
      <c r="O337" s="34" t="s">
        <v>199</v>
      </c>
    </row>
    <row r="338" spans="1:15" hidden="1">
      <c r="A338" s="212" t="s">
        <v>98</v>
      </c>
      <c r="B338" s="147">
        <f t="shared" si="141"/>
        <v>24890.128000000001</v>
      </c>
      <c r="C338" s="147">
        <f t="shared" si="142"/>
        <v>19847.592000000004</v>
      </c>
      <c r="D338" s="147">
        <f t="shared" si="143"/>
        <v>20246.744000000002</v>
      </c>
      <c r="E338" s="147">
        <f t="shared" si="144"/>
        <v>12041.232000000002</v>
      </c>
      <c r="F338" s="147">
        <f t="shared" si="145"/>
        <v>12309.456</v>
      </c>
      <c r="G338" s="147">
        <f t="shared" si="146"/>
        <v>15826.816000000001</v>
      </c>
      <c r="H338" s="147">
        <f t="shared" si="147"/>
        <v>15290.399999999989</v>
      </c>
      <c r="I338" s="147">
        <f t="shared" si="148"/>
        <v>18751.935999999998</v>
      </c>
      <c r="J338" s="147">
        <f t="shared" si="149"/>
        <v>23869.248000000011</v>
      </c>
      <c r="K338" s="147">
        <f t="shared" si="150"/>
        <v>30709.320000000003</v>
      </c>
      <c r="L338" s="147">
        <f t="shared" si="151"/>
        <v>18556.456000000002</v>
      </c>
      <c r="M338" s="147">
        <f t="shared" si="152"/>
        <v>15961.464</v>
      </c>
      <c r="N338" s="147" t="s">
        <v>177</v>
      </c>
      <c r="O338" s="34" t="s">
        <v>199</v>
      </c>
    </row>
    <row r="339" spans="1:15" hidden="1">
      <c r="A339" s="212" t="s">
        <v>99</v>
      </c>
      <c r="B339" s="147">
        <f t="shared" si="141"/>
        <v>185115.45600000001</v>
      </c>
      <c r="C339" s="147">
        <f t="shared" si="142"/>
        <v>143770.992</v>
      </c>
      <c r="D339" s="147">
        <f t="shared" si="143"/>
        <v>138896.89600000001</v>
      </c>
      <c r="E339" s="147">
        <f t="shared" si="144"/>
        <v>84243.983999999997</v>
      </c>
      <c r="F339" s="147">
        <f t="shared" si="145"/>
        <v>67184.504000000001</v>
      </c>
      <c r="G339" s="147">
        <f t="shared" si="146"/>
        <v>87725.216000000015</v>
      </c>
      <c r="H339" s="147">
        <f t="shared" si="147"/>
        <v>97839.735999999946</v>
      </c>
      <c r="I339" s="147">
        <f t="shared" si="148"/>
        <v>87586.343999999954</v>
      </c>
      <c r="J339" s="147">
        <f t="shared" si="149"/>
        <v>91409.895999999979</v>
      </c>
      <c r="K339" s="147">
        <f t="shared" si="150"/>
        <v>166212.41600000003</v>
      </c>
      <c r="L339" s="147">
        <f t="shared" si="151"/>
        <v>99450.384000000005</v>
      </c>
      <c r="M339" s="147">
        <f t="shared" si="152"/>
        <v>97816.09600000002</v>
      </c>
      <c r="N339" s="147" t="s">
        <v>177</v>
      </c>
      <c r="O339" s="34" t="s">
        <v>199</v>
      </c>
    </row>
    <row r="340" spans="1:15" hidden="1">
      <c r="A340" s="212" t="s">
        <v>100</v>
      </c>
      <c r="B340" s="147">
        <f t="shared" si="141"/>
        <v>33064.248</v>
      </c>
      <c r="C340" s="147">
        <f t="shared" si="142"/>
        <v>29025.512000000002</v>
      </c>
      <c r="D340" s="147">
        <f t="shared" si="143"/>
        <v>30848.928000000004</v>
      </c>
      <c r="E340" s="147">
        <f t="shared" si="144"/>
        <v>18431.128000000001</v>
      </c>
      <c r="F340" s="147">
        <f t="shared" si="145"/>
        <v>11827.856</v>
      </c>
      <c r="G340" s="147">
        <f t="shared" si="146"/>
        <v>16226.992000000002</v>
      </c>
      <c r="H340" s="147">
        <f t="shared" si="147"/>
        <v>18482.392000000003</v>
      </c>
      <c r="I340" s="147">
        <f t="shared" si="148"/>
        <v>27617.576000000001</v>
      </c>
      <c r="J340" s="147">
        <f t="shared" si="149"/>
        <v>20854.151999999998</v>
      </c>
      <c r="K340" s="147">
        <f t="shared" si="150"/>
        <v>44025.704000000005</v>
      </c>
      <c r="L340" s="147">
        <f t="shared" si="151"/>
        <v>18437.416000000001</v>
      </c>
      <c r="M340" s="147">
        <f t="shared" si="152"/>
        <v>16974.952000000001</v>
      </c>
      <c r="N340" s="147" t="s">
        <v>177</v>
      </c>
      <c r="O340" s="34" t="s">
        <v>199</v>
      </c>
    </row>
    <row r="341" spans="1:15" hidden="1">
      <c r="A341" s="212" t="s">
        <v>101</v>
      </c>
      <c r="B341" s="147">
        <f t="shared" si="141"/>
        <v>34927.256000000001</v>
      </c>
      <c r="C341" s="147">
        <f t="shared" si="142"/>
        <v>25313.816000000003</v>
      </c>
      <c r="D341" s="147">
        <f t="shared" si="143"/>
        <v>21610.808000000001</v>
      </c>
      <c r="E341" s="147">
        <f t="shared" si="144"/>
        <v>16525.216</v>
      </c>
      <c r="F341" s="147">
        <f t="shared" si="145"/>
        <v>9397.9840000000004</v>
      </c>
      <c r="G341" s="147">
        <f t="shared" si="146"/>
        <v>11919.736000000001</v>
      </c>
      <c r="H341" s="147">
        <f t="shared" si="147"/>
        <v>18175.511999999988</v>
      </c>
      <c r="I341" s="147">
        <f t="shared" si="148"/>
        <v>21334.480000000007</v>
      </c>
      <c r="J341" s="147">
        <f t="shared" si="149"/>
        <v>20925.072</v>
      </c>
      <c r="K341" s="147">
        <f t="shared" si="150"/>
        <v>39640.207999999999</v>
      </c>
      <c r="L341" s="147">
        <f t="shared" si="151"/>
        <v>15281.512000000002</v>
      </c>
      <c r="M341" s="147">
        <f t="shared" si="152"/>
        <v>22429.376</v>
      </c>
      <c r="N341" s="147" t="s">
        <v>177</v>
      </c>
      <c r="O341" s="34" t="s">
        <v>199</v>
      </c>
    </row>
    <row r="342" spans="1:15" hidden="1">
      <c r="A342" s="212" t="s">
        <v>102</v>
      </c>
      <c r="B342" s="147">
        <f t="shared" si="141"/>
        <v>163800.576</v>
      </c>
      <c r="C342" s="147">
        <f t="shared" si="142"/>
        <v>115342.728</v>
      </c>
      <c r="D342" s="147">
        <f t="shared" si="143"/>
        <v>108481.66399999999</v>
      </c>
      <c r="E342" s="147">
        <f t="shared" si="144"/>
        <v>61886.456000000006</v>
      </c>
      <c r="F342" s="147">
        <f t="shared" si="145"/>
        <v>58469.368000000009</v>
      </c>
      <c r="G342" s="147">
        <f t="shared" si="146"/>
        <v>66993.304000000004</v>
      </c>
      <c r="H342" s="147">
        <f t="shared" si="147"/>
        <v>58988.439999999995</v>
      </c>
      <c r="I342" s="147">
        <f t="shared" si="148"/>
        <v>64240.86400000006</v>
      </c>
      <c r="J342" s="147">
        <f t="shared" si="149"/>
        <v>63436</v>
      </c>
      <c r="K342" s="147">
        <f t="shared" si="150"/>
        <v>107887.91200000001</v>
      </c>
      <c r="L342" s="147">
        <f t="shared" si="151"/>
        <v>55170.335999999988</v>
      </c>
      <c r="M342" s="147">
        <f t="shared" si="152"/>
        <v>52872.58400000001</v>
      </c>
      <c r="N342" s="147" t="s">
        <v>177</v>
      </c>
      <c r="O342" s="34" t="s">
        <v>199</v>
      </c>
    </row>
    <row r="343" spans="1:15" hidden="1">
      <c r="A343" s="212" t="s">
        <v>103</v>
      </c>
      <c r="B343" s="147">
        <f t="shared" si="141"/>
        <v>66953.768000000011</v>
      </c>
      <c r="C343" s="147">
        <f t="shared" si="142"/>
        <v>42619.872000000003</v>
      </c>
      <c r="D343" s="147">
        <f t="shared" si="143"/>
        <v>32370.056</v>
      </c>
      <c r="E343" s="147">
        <f t="shared" si="144"/>
        <v>17392.135999999999</v>
      </c>
      <c r="F343" s="147">
        <f t="shared" si="145"/>
        <v>14371.872000000001</v>
      </c>
      <c r="G343" s="147">
        <f t="shared" si="146"/>
        <v>16920</v>
      </c>
      <c r="H343" s="147">
        <f t="shared" si="147"/>
        <v>26410.552000000003</v>
      </c>
      <c r="I343" s="147">
        <f t="shared" si="148"/>
        <v>24570.704000000005</v>
      </c>
      <c r="J343" s="147">
        <f t="shared" si="149"/>
        <v>25122.648000000001</v>
      </c>
      <c r="K343" s="147">
        <f t="shared" si="150"/>
        <v>59329.031999999999</v>
      </c>
      <c r="L343" s="147">
        <f t="shared" si="151"/>
        <v>21197.632000000001</v>
      </c>
      <c r="M343" s="147">
        <f t="shared" si="152"/>
        <v>15237.856</v>
      </c>
      <c r="N343" s="147" t="s">
        <v>177</v>
      </c>
      <c r="O343" s="34" t="s">
        <v>199</v>
      </c>
    </row>
    <row r="344" spans="1:15" hidden="1">
      <c r="A344" s="212" t="s">
        <v>104</v>
      </c>
      <c r="B344" s="147">
        <f t="shared" si="141"/>
        <v>11724.016000000001</v>
      </c>
      <c r="C344" s="147">
        <f t="shared" si="142"/>
        <v>8931.0079999999998</v>
      </c>
      <c r="D344" s="147">
        <f t="shared" si="143"/>
        <v>5319.9520000000002</v>
      </c>
      <c r="E344" s="147">
        <f t="shared" si="144"/>
        <v>3246.9040000000005</v>
      </c>
      <c r="F344" s="147">
        <f t="shared" si="145"/>
        <v>3917.9440000000004</v>
      </c>
      <c r="G344" s="147">
        <f t="shared" si="146"/>
        <v>2119.9919999999997</v>
      </c>
      <c r="H344" s="147">
        <f t="shared" si="147"/>
        <v>2514.9840000000027</v>
      </c>
      <c r="I344" s="147">
        <f t="shared" si="148"/>
        <v>8196.6640000000025</v>
      </c>
      <c r="J344" s="147">
        <f t="shared" si="149"/>
        <v>7317.4720000000007</v>
      </c>
      <c r="K344" s="147">
        <f t="shared" si="150"/>
        <v>11390.368000000002</v>
      </c>
      <c r="L344" s="147">
        <f t="shared" si="151"/>
        <v>3505.6400000000003</v>
      </c>
      <c r="M344" s="147">
        <f t="shared" si="152"/>
        <v>13957.855999999998</v>
      </c>
      <c r="N344" s="147" t="s">
        <v>177</v>
      </c>
      <c r="O344" s="34" t="s">
        <v>199</v>
      </c>
    </row>
    <row r="345" spans="1:15" hidden="1">
      <c r="A345" s="212" t="s">
        <v>105</v>
      </c>
      <c r="B345" s="147">
        <f t="shared" si="141"/>
        <v>146034.54399999999</v>
      </c>
      <c r="C345" s="147">
        <f t="shared" si="142"/>
        <v>99699.280000000013</v>
      </c>
      <c r="D345" s="147">
        <f t="shared" si="143"/>
        <v>93884.104000000007</v>
      </c>
      <c r="E345" s="147">
        <f t="shared" si="144"/>
        <v>55580.104000000007</v>
      </c>
      <c r="F345" s="147">
        <f t="shared" si="145"/>
        <v>44998.815999999999</v>
      </c>
      <c r="G345" s="147">
        <f t="shared" si="146"/>
        <v>63753.872000000003</v>
      </c>
      <c r="H345" s="147">
        <f t="shared" si="147"/>
        <v>72585.807999999961</v>
      </c>
      <c r="I345" s="147">
        <f t="shared" si="148"/>
        <v>69544.880000000077</v>
      </c>
      <c r="J345" s="147">
        <f t="shared" si="149"/>
        <v>76282.559999999983</v>
      </c>
      <c r="K345" s="147">
        <f t="shared" si="150"/>
        <v>146238.66400000002</v>
      </c>
      <c r="L345" s="147">
        <f t="shared" si="151"/>
        <v>62151.256000000008</v>
      </c>
      <c r="M345" s="147">
        <f t="shared" si="152"/>
        <v>60651.4</v>
      </c>
      <c r="N345" s="147" t="s">
        <v>177</v>
      </c>
      <c r="O345" s="34" t="s">
        <v>199</v>
      </c>
    </row>
    <row r="346" spans="1:15" hidden="1">
      <c r="A346" s="212" t="s">
        <v>106</v>
      </c>
      <c r="B346" s="147">
        <f t="shared" si="141"/>
        <v>33630.336000000003</v>
      </c>
      <c r="C346" s="147">
        <f t="shared" si="142"/>
        <v>26112.800000000003</v>
      </c>
      <c r="D346" s="147">
        <f t="shared" si="143"/>
        <v>31526.624000000007</v>
      </c>
      <c r="E346" s="147">
        <f t="shared" si="144"/>
        <v>17326.952000000001</v>
      </c>
      <c r="F346" s="147">
        <f t="shared" si="145"/>
        <v>15047.36</v>
      </c>
      <c r="G346" s="147">
        <f t="shared" si="146"/>
        <v>16622.416000000001</v>
      </c>
      <c r="H346" s="147">
        <f t="shared" si="147"/>
        <v>20801.49600000001</v>
      </c>
      <c r="I346" s="147">
        <f t="shared" si="148"/>
        <v>16950.119999999984</v>
      </c>
      <c r="J346" s="147">
        <f t="shared" si="149"/>
        <v>13425.896000000002</v>
      </c>
      <c r="K346" s="147">
        <f t="shared" si="150"/>
        <v>28207.648000000005</v>
      </c>
      <c r="L346" s="147">
        <f t="shared" si="151"/>
        <v>12317.112000000001</v>
      </c>
      <c r="M346" s="147">
        <f t="shared" si="152"/>
        <v>17731.344000000001</v>
      </c>
      <c r="N346" s="147" t="s">
        <v>177</v>
      </c>
      <c r="O346" s="34" t="s">
        <v>199</v>
      </c>
    </row>
    <row r="347" spans="1:15" hidden="1">
      <c r="A347" s="212" t="s">
        <v>107</v>
      </c>
      <c r="B347" s="147">
        <f t="shared" si="141"/>
        <v>131183.56000000003</v>
      </c>
      <c r="C347" s="147">
        <f t="shared" si="142"/>
        <v>89675.648000000001</v>
      </c>
      <c r="D347" s="147">
        <f t="shared" si="143"/>
        <v>98485.952000000005</v>
      </c>
      <c r="E347" s="147">
        <f t="shared" si="144"/>
        <v>55000.512000000002</v>
      </c>
      <c r="F347" s="147">
        <f t="shared" si="145"/>
        <v>44244.456000000006</v>
      </c>
      <c r="G347" s="147">
        <f t="shared" si="146"/>
        <v>58944.072</v>
      </c>
      <c r="H347" s="147">
        <f t="shared" si="147"/>
        <v>62622.031999999985</v>
      </c>
      <c r="I347" s="147">
        <f t="shared" si="148"/>
        <v>70627.512000000061</v>
      </c>
      <c r="J347" s="147">
        <f t="shared" si="149"/>
        <v>77108.551999999952</v>
      </c>
      <c r="K347" s="147">
        <f t="shared" si="150"/>
        <v>127105.67199999998</v>
      </c>
      <c r="L347" s="147">
        <f t="shared" si="151"/>
        <v>61135.463999999993</v>
      </c>
      <c r="M347" s="147">
        <f t="shared" si="152"/>
        <v>97773.655999999988</v>
      </c>
      <c r="N347" s="147" t="s">
        <v>177</v>
      </c>
      <c r="O347" s="34" t="s">
        <v>199</v>
      </c>
    </row>
    <row r="348" spans="1:15" hidden="1">
      <c r="A348" s="212" t="s">
        <v>108</v>
      </c>
      <c r="B348" s="147">
        <f t="shared" si="141"/>
        <v>10134.36</v>
      </c>
      <c r="C348" s="147">
        <f t="shared" si="142"/>
        <v>9188.3680000000004</v>
      </c>
      <c r="D348" s="147">
        <f t="shared" si="143"/>
        <v>5198.8960000000006</v>
      </c>
      <c r="E348" s="147">
        <f t="shared" si="144"/>
        <v>5218.4480000000003</v>
      </c>
      <c r="F348" s="147">
        <f t="shared" si="145"/>
        <v>5513.0160000000005</v>
      </c>
      <c r="G348" s="147">
        <f t="shared" si="146"/>
        <v>5617.7759999999998</v>
      </c>
      <c r="H348" s="147">
        <f t="shared" si="147"/>
        <v>4543.4799999999987</v>
      </c>
      <c r="I348" s="147">
        <f t="shared" si="148"/>
        <v>4806.7280000000028</v>
      </c>
      <c r="J348" s="147">
        <f t="shared" si="149"/>
        <v>4775.4720000000007</v>
      </c>
      <c r="K348" s="147">
        <f t="shared" si="150"/>
        <v>8793.6880000000001</v>
      </c>
      <c r="L348" s="147">
        <f t="shared" si="151"/>
        <v>3785.4320000000002</v>
      </c>
      <c r="M348" s="147">
        <f t="shared" si="152"/>
        <v>4790.5440000000017</v>
      </c>
      <c r="N348" s="147" t="s">
        <v>177</v>
      </c>
      <c r="O348" s="34" t="s">
        <v>199</v>
      </c>
    </row>
    <row r="349" spans="1:15" hidden="1">
      <c r="A349" s="212" t="s">
        <v>109</v>
      </c>
      <c r="B349" s="147">
        <f t="shared" si="141"/>
        <v>706.03200000000004</v>
      </c>
      <c r="C349" s="147">
        <f t="shared" si="142"/>
        <v>1243.6480000000001</v>
      </c>
      <c r="D349" s="147">
        <f t="shared" si="143"/>
        <v>221.11199999999999</v>
      </c>
      <c r="E349" s="147">
        <f t="shared" si="144"/>
        <v>0</v>
      </c>
      <c r="F349" s="147">
        <f t="shared" si="145"/>
        <v>461.82400000000001</v>
      </c>
      <c r="G349" s="147">
        <f t="shared" si="146"/>
        <v>400.88000000000005</v>
      </c>
      <c r="H349" s="147">
        <f t="shared" si="147"/>
        <v>144.87200000000013</v>
      </c>
      <c r="I349" s="147">
        <f t="shared" si="148"/>
        <v>568.4</v>
      </c>
      <c r="J349" s="147">
        <f t="shared" si="149"/>
        <v>609.39200000000017</v>
      </c>
      <c r="K349" s="147">
        <f t="shared" si="150"/>
        <v>192.39200000000019</v>
      </c>
      <c r="L349" s="147">
        <f t="shared" si="151"/>
        <v>928.51200000000017</v>
      </c>
      <c r="M349" s="147">
        <f t="shared" si="152"/>
        <v>489.95999999999987</v>
      </c>
      <c r="N349" s="147" t="s">
        <v>177</v>
      </c>
      <c r="O349" s="34" t="s">
        <v>199</v>
      </c>
    </row>
    <row r="350" spans="1:15" hidden="1">
      <c r="A350" s="212" t="s">
        <v>110</v>
      </c>
      <c r="B350" s="147">
        <f t="shared" si="141"/>
        <v>56408.32</v>
      </c>
      <c r="C350" s="147">
        <f t="shared" si="142"/>
        <v>50157.872000000003</v>
      </c>
      <c r="D350" s="147">
        <f t="shared" si="143"/>
        <v>36179.112000000001</v>
      </c>
      <c r="E350" s="147">
        <f t="shared" si="144"/>
        <v>19525.808000000001</v>
      </c>
      <c r="F350" s="147">
        <f t="shared" si="145"/>
        <v>20184.176000000003</v>
      </c>
      <c r="G350" s="147">
        <f t="shared" si="146"/>
        <v>26316.216</v>
      </c>
      <c r="H350" s="147">
        <f t="shared" si="147"/>
        <v>36762.688000000038</v>
      </c>
      <c r="I350" s="147">
        <f t="shared" si="148"/>
        <v>36805.032000000028</v>
      </c>
      <c r="J350" s="147">
        <f t="shared" si="149"/>
        <v>40565.167999999983</v>
      </c>
      <c r="K350" s="147">
        <f t="shared" si="150"/>
        <v>84830.52</v>
      </c>
      <c r="L350" s="147">
        <f t="shared" si="151"/>
        <v>34924.752</v>
      </c>
      <c r="M350" s="147">
        <f t="shared" si="152"/>
        <v>41731.792000000009</v>
      </c>
      <c r="N350" s="147" t="s">
        <v>177</v>
      </c>
      <c r="O350" s="34" t="s">
        <v>199</v>
      </c>
    </row>
    <row r="351" spans="1:15" hidden="1">
      <c r="A351" s="212" t="s">
        <v>111</v>
      </c>
      <c r="B351" s="147">
        <f t="shared" si="141"/>
        <v>584707.04800000007</v>
      </c>
      <c r="C351" s="147">
        <f t="shared" si="142"/>
        <v>454471.14400000009</v>
      </c>
      <c r="D351" s="147">
        <f t="shared" si="143"/>
        <v>406613.31200000003</v>
      </c>
      <c r="E351" s="147">
        <f t="shared" si="144"/>
        <v>237978.12000000002</v>
      </c>
      <c r="F351" s="147">
        <f t="shared" si="145"/>
        <v>205530.61600000001</v>
      </c>
      <c r="G351" s="147">
        <f t="shared" si="146"/>
        <v>270693.24800000008</v>
      </c>
      <c r="H351" s="147">
        <f t="shared" si="147"/>
        <v>345558.27199999988</v>
      </c>
      <c r="I351" s="147">
        <f t="shared" si="148"/>
        <v>322951.96799999999</v>
      </c>
      <c r="J351" s="147">
        <f t="shared" si="149"/>
        <v>338472.88799999992</v>
      </c>
      <c r="K351" s="147">
        <f t="shared" si="150"/>
        <v>590811.31999999995</v>
      </c>
      <c r="L351" s="147">
        <f t="shared" si="151"/>
        <v>266009.68</v>
      </c>
      <c r="M351" s="147">
        <f t="shared" si="152"/>
        <v>314550.08799999993</v>
      </c>
      <c r="N351" s="147" t="s">
        <v>177</v>
      </c>
      <c r="O351" s="34" t="s">
        <v>199</v>
      </c>
    </row>
    <row r="352" spans="1:15" hidden="1">
      <c r="A352" s="212" t="s">
        <v>112</v>
      </c>
      <c r="B352" s="147">
        <f t="shared" si="141"/>
        <v>10739.464</v>
      </c>
      <c r="C352" s="147">
        <f t="shared" si="142"/>
        <v>10287.496000000001</v>
      </c>
      <c r="D352" s="147">
        <f t="shared" si="143"/>
        <v>7317.3600000000006</v>
      </c>
      <c r="E352" s="147">
        <f t="shared" si="144"/>
        <v>4609.6160000000009</v>
      </c>
      <c r="F352" s="147">
        <f t="shared" si="145"/>
        <v>4824.8480000000009</v>
      </c>
      <c r="G352" s="147">
        <f t="shared" si="146"/>
        <v>10043.416000000001</v>
      </c>
      <c r="H352" s="147">
        <f t="shared" si="147"/>
        <v>13197.463999999991</v>
      </c>
      <c r="I352" s="147">
        <f t="shared" si="148"/>
        <v>14934.256000000001</v>
      </c>
      <c r="J352" s="147">
        <f t="shared" si="149"/>
        <v>11504.744000000001</v>
      </c>
      <c r="K352" s="147">
        <f t="shared" si="150"/>
        <v>18527.680000000004</v>
      </c>
      <c r="L352" s="147">
        <f t="shared" si="151"/>
        <v>11807.264000000001</v>
      </c>
      <c r="M352" s="147">
        <f t="shared" si="152"/>
        <v>11711.776</v>
      </c>
      <c r="N352" s="147" t="s">
        <v>177</v>
      </c>
      <c r="O352" s="34" t="s">
        <v>199</v>
      </c>
    </row>
    <row r="353" spans="1:15" hidden="1">
      <c r="A353" s="212" t="s">
        <v>113</v>
      </c>
      <c r="B353" s="147">
        <f t="shared" si="141"/>
        <v>5320.0240000000003</v>
      </c>
      <c r="C353" s="147">
        <f t="shared" si="142"/>
        <v>7799.44</v>
      </c>
      <c r="D353" s="147">
        <f t="shared" si="143"/>
        <v>8371.5120000000006</v>
      </c>
      <c r="E353" s="147">
        <f t="shared" si="144"/>
        <v>5174.84</v>
      </c>
      <c r="F353" s="147">
        <f t="shared" si="145"/>
        <v>9993.384</v>
      </c>
      <c r="G353" s="147">
        <f t="shared" si="146"/>
        <v>6381.8559999999998</v>
      </c>
      <c r="H353" s="147">
        <f t="shared" si="147"/>
        <v>4700.855999999997</v>
      </c>
      <c r="I353" s="147">
        <f t="shared" si="148"/>
        <v>5635.2960000000021</v>
      </c>
      <c r="J353" s="147">
        <f t="shared" si="149"/>
        <v>3393.2880000000005</v>
      </c>
      <c r="K353" s="147">
        <f t="shared" si="150"/>
        <v>10021.016000000001</v>
      </c>
      <c r="L353" s="147">
        <f t="shared" si="151"/>
        <v>2433.5920000000001</v>
      </c>
      <c r="M353" s="147">
        <f t="shared" si="152"/>
        <v>2305.9839999999999</v>
      </c>
      <c r="N353" s="147" t="s">
        <v>177</v>
      </c>
      <c r="O353" s="34" t="s">
        <v>199</v>
      </c>
    </row>
    <row r="354" spans="1:15" hidden="1">
      <c r="A354" s="212" t="s">
        <v>87</v>
      </c>
      <c r="B354" s="147">
        <f t="shared" ref="B354:B380" si="153">Q39</f>
        <v>3123.9911757625387</v>
      </c>
      <c r="C354" s="147">
        <f t="shared" ref="C354:C380" si="154">R39</f>
        <v>4995.5351532834839</v>
      </c>
      <c r="D354" s="147">
        <f t="shared" ref="D354:D380" si="155">S39</f>
        <v>6186.477806038014</v>
      </c>
      <c r="E354" s="147">
        <f t="shared" ref="E354:E380" si="156">T39</f>
        <v>7597.6099342734296</v>
      </c>
      <c r="F354" s="147">
        <f t="shared" ref="F354:F380" si="157">U39</f>
        <v>9758.1300114838086</v>
      </c>
      <c r="G354" s="147">
        <f t="shared" ref="G354:G380" si="158">V39</f>
        <v>10478.518780594271</v>
      </c>
      <c r="H354" s="147">
        <f t="shared" ref="H354:H380" si="159">W39</f>
        <v>12074.010780560206</v>
      </c>
      <c r="I354" s="147">
        <f t="shared" ref="I354:I380" si="160">X39</f>
        <v>14754.647150697563</v>
      </c>
      <c r="J354" s="147">
        <f t="shared" ref="J354:J380" si="161">Y39</f>
        <v>15550.184047199769</v>
      </c>
      <c r="K354" s="147">
        <f t="shared" ref="K354:K380" si="162">Z39</f>
        <v>16769.837348189416</v>
      </c>
      <c r="L354" s="147">
        <f t="shared" ref="L354:L380" si="163">AA39</f>
        <v>18343.660665625706</v>
      </c>
      <c r="M354" s="147">
        <f t="shared" ref="M354:M380" si="164">AB39</f>
        <v>19126.64</v>
      </c>
      <c r="N354" s="147" t="s">
        <v>176</v>
      </c>
      <c r="O354" s="34" t="s">
        <v>199</v>
      </c>
    </row>
    <row r="355" spans="1:15" hidden="1">
      <c r="A355" s="212" t="s">
        <v>88</v>
      </c>
      <c r="B355" s="147">
        <f t="shared" si="153"/>
        <v>19233.551681476922</v>
      </c>
      <c r="C355" s="147">
        <f t="shared" si="154"/>
        <v>38489.632595213028</v>
      </c>
      <c r="D355" s="147">
        <f t="shared" si="155"/>
        <v>51116.291297091193</v>
      </c>
      <c r="E355" s="147">
        <f t="shared" si="156"/>
        <v>61667.024268982765</v>
      </c>
      <c r="F355" s="147">
        <f t="shared" si="157"/>
        <v>75719.494291087569</v>
      </c>
      <c r="G355" s="147">
        <f t="shared" si="158"/>
        <v>85983.676954632057</v>
      </c>
      <c r="H355" s="147">
        <f t="shared" si="159"/>
        <v>94017.030905221924</v>
      </c>
      <c r="I355" s="147">
        <f t="shared" si="160"/>
        <v>103898.03522669701</v>
      </c>
      <c r="J355" s="147">
        <f t="shared" si="161"/>
        <v>112497.90819515998</v>
      </c>
      <c r="K355" s="147">
        <f t="shared" si="162"/>
        <v>122004.47674474552</v>
      </c>
      <c r="L355" s="147">
        <f t="shared" si="163"/>
        <v>132603.17272198145</v>
      </c>
      <c r="M355" s="147">
        <f t="shared" si="164"/>
        <v>144042.57</v>
      </c>
      <c r="N355" s="147" t="s">
        <v>176</v>
      </c>
      <c r="O355" s="34" t="s">
        <v>199</v>
      </c>
    </row>
    <row r="356" spans="1:15" hidden="1">
      <c r="A356" s="212" t="s">
        <v>89</v>
      </c>
      <c r="B356" s="147">
        <f t="shared" si="153"/>
        <v>3714.7853947792755</v>
      </c>
      <c r="C356" s="147">
        <f t="shared" si="154"/>
        <v>6416.8433289737923</v>
      </c>
      <c r="D356" s="147">
        <f t="shared" si="155"/>
        <v>9596.6007984026837</v>
      </c>
      <c r="E356" s="147">
        <f t="shared" si="156"/>
        <v>12044.79273122739</v>
      </c>
      <c r="F356" s="147">
        <f t="shared" si="157"/>
        <v>14243.758800889485</v>
      </c>
      <c r="G356" s="147">
        <f t="shared" si="158"/>
        <v>16227.322838273758</v>
      </c>
      <c r="H356" s="147">
        <f t="shared" si="159"/>
        <v>18503.852713325603</v>
      </c>
      <c r="I356" s="147">
        <f t="shared" si="160"/>
        <v>20419.8248524599</v>
      </c>
      <c r="J356" s="147">
        <f t="shared" si="161"/>
        <v>22664.063395877412</v>
      </c>
      <c r="K356" s="147">
        <f t="shared" si="162"/>
        <v>24794.93004073928</v>
      </c>
      <c r="L356" s="147">
        <f t="shared" si="163"/>
        <v>27132.804754769808</v>
      </c>
      <c r="M356" s="147">
        <f t="shared" si="164"/>
        <v>28698.84</v>
      </c>
      <c r="N356" s="147" t="s">
        <v>176</v>
      </c>
      <c r="O356" s="34" t="s">
        <v>199</v>
      </c>
    </row>
    <row r="357" spans="1:15" hidden="1">
      <c r="A357" s="212" t="s">
        <v>90</v>
      </c>
      <c r="B357" s="147">
        <f t="shared" si="153"/>
        <v>16371.74206038947</v>
      </c>
      <c r="C357" s="147">
        <f t="shared" si="154"/>
        <v>32045.352557431503</v>
      </c>
      <c r="D357" s="147">
        <f t="shared" si="155"/>
        <v>44571.008655221478</v>
      </c>
      <c r="E357" s="147">
        <f t="shared" si="156"/>
        <v>55202.067129096751</v>
      </c>
      <c r="F357" s="147">
        <f t="shared" si="157"/>
        <v>66730.898251454055</v>
      </c>
      <c r="G357" s="147">
        <f t="shared" si="158"/>
        <v>76558.62080024452</v>
      </c>
      <c r="H357" s="147">
        <f t="shared" si="159"/>
        <v>87466.026852596566</v>
      </c>
      <c r="I357" s="147">
        <f t="shared" si="160"/>
        <v>99066.957838315444</v>
      </c>
      <c r="J357" s="147">
        <f t="shared" si="161"/>
        <v>108530.24154258128</v>
      </c>
      <c r="K357" s="147">
        <f t="shared" si="162"/>
        <v>118386.78104390739</v>
      </c>
      <c r="L357" s="147">
        <f t="shared" si="163"/>
        <v>126570.35549881338</v>
      </c>
      <c r="M357" s="147">
        <f t="shared" si="164"/>
        <v>134347.413</v>
      </c>
      <c r="N357" s="147" t="s">
        <v>176</v>
      </c>
      <c r="O357" s="34" t="s">
        <v>199</v>
      </c>
    </row>
    <row r="358" spans="1:15" hidden="1">
      <c r="A358" s="212" t="s">
        <v>91</v>
      </c>
      <c r="B358" s="147">
        <f t="shared" si="153"/>
        <v>42764.088839068485</v>
      </c>
      <c r="C358" s="147">
        <f t="shared" si="154"/>
        <v>78408.965619364229</v>
      </c>
      <c r="D358" s="147">
        <f t="shared" si="155"/>
        <v>101770.71310654288</v>
      </c>
      <c r="E358" s="147">
        <f t="shared" si="156"/>
        <v>129388.81178304493</v>
      </c>
      <c r="F358" s="147">
        <f t="shared" si="157"/>
        <v>151189.03120647371</v>
      </c>
      <c r="G358" s="147">
        <f t="shared" si="158"/>
        <v>171646.3487773517</v>
      </c>
      <c r="H358" s="147">
        <f t="shared" si="159"/>
        <v>194773.35181543103</v>
      </c>
      <c r="I358" s="147">
        <f t="shared" si="160"/>
        <v>218115.61845078348</v>
      </c>
      <c r="J358" s="147">
        <f t="shared" si="161"/>
        <v>235989.26946296371</v>
      </c>
      <c r="K358" s="147">
        <f t="shared" si="162"/>
        <v>255289.57110660325</v>
      </c>
      <c r="L358" s="147">
        <f t="shared" si="163"/>
        <v>274305.6364113905</v>
      </c>
      <c r="M358" s="147">
        <f t="shared" si="164"/>
        <v>300000</v>
      </c>
      <c r="N358" s="147" t="s">
        <v>176</v>
      </c>
      <c r="O358" s="34" t="s">
        <v>199</v>
      </c>
    </row>
    <row r="359" spans="1:15" hidden="1">
      <c r="A359" s="212" t="s">
        <v>92</v>
      </c>
      <c r="B359" s="147">
        <f t="shared" si="153"/>
        <v>20647.996217112319</v>
      </c>
      <c r="C359" s="147">
        <f t="shared" si="154"/>
        <v>40948.197528505334</v>
      </c>
      <c r="D359" s="147">
        <f t="shared" si="155"/>
        <v>61100.253190548414</v>
      </c>
      <c r="E359" s="147">
        <f t="shared" si="156"/>
        <v>77342.643062116622</v>
      </c>
      <c r="F359" s="147">
        <f t="shared" si="157"/>
        <v>89281.864766938495</v>
      </c>
      <c r="G359" s="147">
        <f t="shared" si="158"/>
        <v>101652.47838037666</v>
      </c>
      <c r="H359" s="147">
        <f t="shared" si="159"/>
        <v>115555.05467144388</v>
      </c>
      <c r="I359" s="147">
        <f t="shared" si="160"/>
        <v>129959.97080922106</v>
      </c>
      <c r="J359" s="147">
        <f t="shared" si="161"/>
        <v>138038.52653255561</v>
      </c>
      <c r="K359" s="147">
        <f t="shared" si="162"/>
        <v>150773.38135266383</v>
      </c>
      <c r="L359" s="147">
        <f t="shared" si="163"/>
        <v>161308.51231310904</v>
      </c>
      <c r="M359" s="147">
        <f t="shared" si="164"/>
        <v>172305.77</v>
      </c>
      <c r="N359" s="147" t="s">
        <v>176</v>
      </c>
      <c r="O359" s="34" t="s">
        <v>199</v>
      </c>
    </row>
    <row r="360" spans="1:15" hidden="1">
      <c r="A360" s="212" t="s">
        <v>93</v>
      </c>
      <c r="B360" s="147">
        <f t="shared" si="153"/>
        <v>38687.374601273412</v>
      </c>
      <c r="C360" s="147">
        <f t="shared" si="154"/>
        <v>75482.511707596743</v>
      </c>
      <c r="D360" s="147">
        <f t="shared" si="155"/>
        <v>106332.14873421534</v>
      </c>
      <c r="E360" s="147">
        <f t="shared" si="156"/>
        <v>128565.82928171456</v>
      </c>
      <c r="F360" s="147">
        <f t="shared" si="157"/>
        <v>153388.16148621307</v>
      </c>
      <c r="G360" s="147">
        <f t="shared" si="158"/>
        <v>177606.83054468388</v>
      </c>
      <c r="H360" s="147">
        <f t="shared" si="159"/>
        <v>200030.73655048097</v>
      </c>
      <c r="I360" s="147">
        <f t="shared" si="160"/>
        <v>226891.99131261307</v>
      </c>
      <c r="J360" s="147">
        <f t="shared" si="161"/>
        <v>247380.44116097217</v>
      </c>
      <c r="K360" s="147">
        <f t="shared" si="162"/>
        <v>272489.9232952586</v>
      </c>
      <c r="L360" s="147">
        <f t="shared" si="163"/>
        <v>295418.9596490899</v>
      </c>
      <c r="M360" s="147">
        <f t="shared" si="164"/>
        <v>320000</v>
      </c>
      <c r="N360" s="147" t="s">
        <v>176</v>
      </c>
      <c r="O360" s="34" t="s">
        <v>199</v>
      </c>
    </row>
    <row r="361" spans="1:15" hidden="1">
      <c r="A361" s="212" t="s">
        <v>94</v>
      </c>
      <c r="B361" s="147">
        <f t="shared" si="153"/>
        <v>15132.920481164449</v>
      </c>
      <c r="C361" s="147">
        <f t="shared" si="154"/>
        <v>28601.742651694625</v>
      </c>
      <c r="D361" s="147">
        <f t="shared" si="155"/>
        <v>41707.995887169622</v>
      </c>
      <c r="E361" s="147">
        <f t="shared" si="156"/>
        <v>50056.585610544724</v>
      </c>
      <c r="F361" s="147">
        <f t="shared" si="157"/>
        <v>58373.971493686877</v>
      </c>
      <c r="G361" s="147">
        <f t="shared" si="158"/>
        <v>65921.016407285555</v>
      </c>
      <c r="H361" s="147">
        <f t="shared" si="159"/>
        <v>75838.882777825536</v>
      </c>
      <c r="I361" s="147">
        <f t="shared" si="160"/>
        <v>86960.270743587083</v>
      </c>
      <c r="J361" s="147">
        <f t="shared" si="161"/>
        <v>96800.34589061109</v>
      </c>
      <c r="K361" s="147">
        <f t="shared" si="162"/>
        <v>105891.83355313478</v>
      </c>
      <c r="L361" s="147">
        <f t="shared" si="163"/>
        <v>114812.77124701532</v>
      </c>
      <c r="M361" s="147">
        <f t="shared" si="164"/>
        <v>127208.3</v>
      </c>
      <c r="N361" s="147" t="s">
        <v>176</v>
      </c>
      <c r="O361" s="34" t="s">
        <v>199</v>
      </c>
    </row>
    <row r="362" spans="1:15" hidden="1">
      <c r="A362" s="212" t="s">
        <v>95</v>
      </c>
      <c r="B362" s="147">
        <f t="shared" si="153"/>
        <v>27796.008259873906</v>
      </c>
      <c r="C362" s="147">
        <f t="shared" si="154"/>
        <v>51932.303793938547</v>
      </c>
      <c r="D362" s="147">
        <f t="shared" si="155"/>
        <v>69694.985519719383</v>
      </c>
      <c r="E362" s="147">
        <f t="shared" si="156"/>
        <v>87332.811232064327</v>
      </c>
      <c r="F362" s="147">
        <f t="shared" si="157"/>
        <v>101667.81018162594</v>
      </c>
      <c r="G362" s="147">
        <f t="shared" si="158"/>
        <v>114170.80830002249</v>
      </c>
      <c r="H362" s="147">
        <f t="shared" si="159"/>
        <v>128983.85891262161</v>
      </c>
      <c r="I362" s="147">
        <f t="shared" si="160"/>
        <v>145912.29735734014</v>
      </c>
      <c r="J362" s="147">
        <f t="shared" si="161"/>
        <v>159429.11566015522</v>
      </c>
      <c r="K362" s="147">
        <f t="shared" si="162"/>
        <v>174987.77022676403</v>
      </c>
      <c r="L362" s="147">
        <f t="shared" si="163"/>
        <v>186040.25945505375</v>
      </c>
      <c r="M362" s="147">
        <f t="shared" si="164"/>
        <v>200000</v>
      </c>
      <c r="N362" s="147" t="s">
        <v>176</v>
      </c>
      <c r="O362" s="34" t="s">
        <v>199</v>
      </c>
    </row>
    <row r="363" spans="1:15" hidden="1">
      <c r="A363" s="212" t="s">
        <v>96</v>
      </c>
      <c r="B363" s="147">
        <f t="shared" si="153"/>
        <v>18429.484008769123</v>
      </c>
      <c r="C363" s="147">
        <f t="shared" si="154"/>
        <v>29382.247307062476</v>
      </c>
      <c r="D363" s="147">
        <f t="shared" si="155"/>
        <v>42069.9618689614</v>
      </c>
      <c r="E363" s="147">
        <f t="shared" si="156"/>
        <v>54356.832026995115</v>
      </c>
      <c r="F363" s="147">
        <f t="shared" si="157"/>
        <v>65034.340807680674</v>
      </c>
      <c r="G363" s="147">
        <f t="shared" si="158"/>
        <v>77247.096636272036</v>
      </c>
      <c r="H363" s="147">
        <f t="shared" si="159"/>
        <v>94110.596397066241</v>
      </c>
      <c r="I363" s="147">
        <f t="shared" si="160"/>
        <v>106595.81652291656</v>
      </c>
      <c r="J363" s="147">
        <f t="shared" si="161"/>
        <v>117886.00718996863</v>
      </c>
      <c r="K363" s="147">
        <f t="shared" si="162"/>
        <v>127683.20679956352</v>
      </c>
      <c r="L363" s="147">
        <f t="shared" si="163"/>
        <v>139773.46297723558</v>
      </c>
      <c r="M363" s="147">
        <f t="shared" si="164"/>
        <v>149286.31</v>
      </c>
      <c r="N363" s="147" t="s">
        <v>176</v>
      </c>
      <c r="O363" s="34" t="s">
        <v>199</v>
      </c>
    </row>
    <row r="364" spans="1:15" hidden="1">
      <c r="A364" s="212" t="s">
        <v>97</v>
      </c>
      <c r="B364" s="147">
        <f t="shared" si="153"/>
        <v>14909.605337713287</v>
      </c>
      <c r="C364" s="147">
        <f t="shared" si="154"/>
        <v>30584.178399543664</v>
      </c>
      <c r="D364" s="147">
        <f t="shared" si="155"/>
        <v>43314.073612544547</v>
      </c>
      <c r="E364" s="147">
        <f t="shared" si="156"/>
        <v>52437.288172447894</v>
      </c>
      <c r="F364" s="147">
        <f t="shared" si="157"/>
        <v>61401.95522472584</v>
      </c>
      <c r="G364" s="147">
        <f t="shared" si="158"/>
        <v>68819.281554332221</v>
      </c>
      <c r="H364" s="147">
        <f t="shared" si="159"/>
        <v>73958.517817958083</v>
      </c>
      <c r="I364" s="147">
        <f t="shared" si="160"/>
        <v>79771.334618142748</v>
      </c>
      <c r="J364" s="147">
        <f t="shared" si="161"/>
        <v>84314.35404812546</v>
      </c>
      <c r="K364" s="147">
        <f t="shared" si="162"/>
        <v>90197.967543753155</v>
      </c>
      <c r="L364" s="147">
        <f t="shared" si="163"/>
        <v>95891.383532800188</v>
      </c>
      <c r="M364" s="147">
        <f t="shared" si="164"/>
        <v>101619.48</v>
      </c>
      <c r="N364" s="147" t="s">
        <v>176</v>
      </c>
      <c r="O364" s="34" t="s">
        <v>199</v>
      </c>
    </row>
    <row r="365" spans="1:15" hidden="1">
      <c r="A365" s="212" t="s">
        <v>98</v>
      </c>
      <c r="B365" s="147">
        <f t="shared" si="153"/>
        <v>21771.099274712858</v>
      </c>
      <c r="C365" s="147">
        <f t="shared" si="154"/>
        <v>43667.665565414107</v>
      </c>
      <c r="D365" s="147">
        <f t="shared" si="155"/>
        <v>58511.595145853076</v>
      </c>
      <c r="E365" s="147">
        <f t="shared" si="156"/>
        <v>72640.755982286777</v>
      </c>
      <c r="F365" s="147">
        <f t="shared" si="157"/>
        <v>90904.944023668795</v>
      </c>
      <c r="G365" s="147">
        <f t="shared" si="158"/>
        <v>107435.5538364817</v>
      </c>
      <c r="H365" s="147">
        <f t="shared" si="159"/>
        <v>120242.26371989051</v>
      </c>
      <c r="I365" s="147">
        <f t="shared" si="160"/>
        <v>133901.95929629932</v>
      </c>
      <c r="J365" s="147">
        <f t="shared" si="161"/>
        <v>143252.0620912681</v>
      </c>
      <c r="K365" s="147">
        <f t="shared" si="162"/>
        <v>158176.36001818947</v>
      </c>
      <c r="L365" s="147">
        <f t="shared" si="163"/>
        <v>168046.06349627837</v>
      </c>
      <c r="M365" s="147">
        <f t="shared" si="164"/>
        <v>181697.13</v>
      </c>
      <c r="N365" s="147" t="s">
        <v>176</v>
      </c>
      <c r="O365" s="34" t="s">
        <v>199</v>
      </c>
    </row>
    <row r="366" spans="1:15" hidden="1">
      <c r="A366" s="212" t="s">
        <v>99</v>
      </c>
      <c r="B366" s="147">
        <f t="shared" si="153"/>
        <v>157445.56107278666</v>
      </c>
      <c r="C366" s="147">
        <f t="shared" si="154"/>
        <v>257691.60959703103</v>
      </c>
      <c r="D366" s="147">
        <f t="shared" si="155"/>
        <v>365468.50117747049</v>
      </c>
      <c r="E366" s="147">
        <f t="shared" si="156"/>
        <v>444000.23252181459</v>
      </c>
      <c r="F366" s="147">
        <f t="shared" si="157"/>
        <v>537787.6938592348</v>
      </c>
      <c r="G366" s="147">
        <f t="shared" si="158"/>
        <v>607363.45650859131</v>
      </c>
      <c r="H366" s="147">
        <f t="shared" si="159"/>
        <v>681939.91703544953</v>
      </c>
      <c r="I366" s="147">
        <f t="shared" si="160"/>
        <v>753634.90598107292</v>
      </c>
      <c r="J366" s="147">
        <f t="shared" si="161"/>
        <v>835418.79791329172</v>
      </c>
      <c r="K366" s="147">
        <f t="shared" si="162"/>
        <v>924362.47097212402</v>
      </c>
      <c r="L366" s="147">
        <f t="shared" si="163"/>
        <v>1008864.6737023888</v>
      </c>
      <c r="M366" s="147">
        <f t="shared" si="164"/>
        <v>1098934.42</v>
      </c>
      <c r="N366" s="147" t="s">
        <v>176</v>
      </c>
      <c r="O366" s="34" t="s">
        <v>199</v>
      </c>
    </row>
    <row r="367" spans="1:15" hidden="1">
      <c r="A367" s="212" t="s">
        <v>100</v>
      </c>
      <c r="B367" s="147">
        <f t="shared" si="153"/>
        <v>34149.293395651002</v>
      </c>
      <c r="C367" s="147">
        <f t="shared" si="154"/>
        <v>64406.365893489768</v>
      </c>
      <c r="D367" s="147">
        <f t="shared" si="155"/>
        <v>89865.918932260232</v>
      </c>
      <c r="E367" s="147">
        <f t="shared" si="156"/>
        <v>110567.66804106242</v>
      </c>
      <c r="F367" s="147">
        <f t="shared" si="157"/>
        <v>133485.08706196197</v>
      </c>
      <c r="G367" s="147">
        <f t="shared" si="158"/>
        <v>153510.37918044868</v>
      </c>
      <c r="H367" s="147">
        <f t="shared" si="159"/>
        <v>173671.5146577773</v>
      </c>
      <c r="I367" s="147">
        <f t="shared" si="160"/>
        <v>189045.3872988697</v>
      </c>
      <c r="J367" s="147">
        <f t="shared" si="161"/>
        <v>208546.28020521894</v>
      </c>
      <c r="K367" s="147">
        <f t="shared" si="162"/>
        <v>228217.93035137418</v>
      </c>
      <c r="L367" s="147">
        <f t="shared" si="163"/>
        <v>249697.64454379311</v>
      </c>
      <c r="M367" s="147">
        <f t="shared" si="164"/>
        <v>266422.43</v>
      </c>
      <c r="N367" s="147" t="s">
        <v>176</v>
      </c>
      <c r="O367" s="34" t="s">
        <v>199</v>
      </c>
    </row>
    <row r="368" spans="1:15" hidden="1">
      <c r="A368" s="212" t="s">
        <v>101</v>
      </c>
      <c r="B368" s="147">
        <f t="shared" si="153"/>
        <v>20642.283041435887</v>
      </c>
      <c r="C368" s="147">
        <f t="shared" si="154"/>
        <v>37600.661649417678</v>
      </c>
      <c r="D368" s="147">
        <f t="shared" si="155"/>
        <v>50260.729479532674</v>
      </c>
      <c r="E368" s="147">
        <f t="shared" si="156"/>
        <v>63443.767111969028</v>
      </c>
      <c r="F368" s="147">
        <f t="shared" si="157"/>
        <v>75210.888845057052</v>
      </c>
      <c r="G368" s="147">
        <f t="shared" si="158"/>
        <v>88721.071267574458</v>
      </c>
      <c r="H368" s="147">
        <f t="shared" si="159"/>
        <v>97938.494263209286</v>
      </c>
      <c r="I368" s="147">
        <f t="shared" si="160"/>
        <v>109103.62379132083</v>
      </c>
      <c r="J368" s="147">
        <f t="shared" si="161"/>
        <v>119890.16029708432</v>
      </c>
      <c r="K368" s="147">
        <f t="shared" si="162"/>
        <v>129876.07398462751</v>
      </c>
      <c r="L368" s="147">
        <f t="shared" si="163"/>
        <v>141175.37465349029</v>
      </c>
      <c r="M368" s="147">
        <f t="shared" si="164"/>
        <v>153007.4</v>
      </c>
      <c r="N368" s="147" t="s">
        <v>176</v>
      </c>
      <c r="O368" s="34" t="s">
        <v>199</v>
      </c>
    </row>
    <row r="369" spans="1:15" hidden="1">
      <c r="A369" s="212" t="s">
        <v>102</v>
      </c>
      <c r="B369" s="147">
        <f t="shared" si="153"/>
        <v>98656.837024968772</v>
      </c>
      <c r="C369" s="147">
        <f t="shared" si="154"/>
        <v>179252.63659420228</v>
      </c>
      <c r="D369" s="147">
        <f t="shared" si="155"/>
        <v>241021.17770562647</v>
      </c>
      <c r="E369" s="147">
        <f t="shared" si="156"/>
        <v>298892.87995128776</v>
      </c>
      <c r="F369" s="147">
        <f t="shared" si="157"/>
        <v>351302.13277410588</v>
      </c>
      <c r="G369" s="147">
        <f t="shared" si="158"/>
        <v>395338.7206143972</v>
      </c>
      <c r="H369" s="147">
        <f t="shared" si="159"/>
        <v>437160.40725302661</v>
      </c>
      <c r="I369" s="147">
        <f t="shared" si="160"/>
        <v>479454.69654975255</v>
      </c>
      <c r="J369" s="147">
        <f t="shared" si="161"/>
        <v>524554.57885608845</v>
      </c>
      <c r="K369" s="147">
        <f t="shared" si="162"/>
        <v>574325.62787697301</v>
      </c>
      <c r="L369" s="147">
        <f t="shared" si="163"/>
        <v>626687.54665216233</v>
      </c>
      <c r="M369" s="147">
        <f t="shared" si="164"/>
        <v>704597.22</v>
      </c>
      <c r="N369" s="147" t="s">
        <v>176</v>
      </c>
      <c r="O369" s="34" t="s">
        <v>199</v>
      </c>
    </row>
    <row r="370" spans="1:15" hidden="1">
      <c r="A370" s="212" t="s">
        <v>103</v>
      </c>
      <c r="B370" s="147">
        <f t="shared" si="153"/>
        <v>47199.715023321231</v>
      </c>
      <c r="C370" s="147">
        <f t="shared" si="154"/>
        <v>89886.948754053883</v>
      </c>
      <c r="D370" s="147">
        <f t="shared" si="155"/>
        <v>127321.36537994299</v>
      </c>
      <c r="E370" s="147">
        <f t="shared" si="156"/>
        <v>157626.93886077928</v>
      </c>
      <c r="F370" s="147">
        <f t="shared" si="157"/>
        <v>188656.49672189628</v>
      </c>
      <c r="G370" s="147">
        <f t="shared" si="158"/>
        <v>214565.62969815891</v>
      </c>
      <c r="H370" s="147">
        <f t="shared" si="159"/>
        <v>241723.81312221158</v>
      </c>
      <c r="I370" s="147">
        <f t="shared" si="160"/>
        <v>263794.78808586468</v>
      </c>
      <c r="J370" s="147">
        <f t="shared" si="161"/>
        <v>280480.2871601131</v>
      </c>
      <c r="K370" s="147">
        <f t="shared" si="162"/>
        <v>293360.00570564595</v>
      </c>
      <c r="L370" s="147">
        <f t="shared" si="163"/>
        <v>306756.05062931398</v>
      </c>
      <c r="M370" s="147">
        <f t="shared" si="164"/>
        <v>321606.04000000004</v>
      </c>
      <c r="N370" s="147" t="s">
        <v>176</v>
      </c>
      <c r="O370" s="34" t="s">
        <v>199</v>
      </c>
    </row>
    <row r="371" spans="1:15" hidden="1">
      <c r="A371" s="212" t="s">
        <v>104</v>
      </c>
      <c r="B371" s="147">
        <f t="shared" si="153"/>
        <v>9439.4347421505718</v>
      </c>
      <c r="C371" s="147">
        <f t="shared" si="154"/>
        <v>15975.256002378836</v>
      </c>
      <c r="D371" s="147">
        <f t="shared" si="155"/>
        <v>22154.080800498923</v>
      </c>
      <c r="E371" s="147">
        <f t="shared" si="156"/>
        <v>26980.312614758437</v>
      </c>
      <c r="F371" s="147">
        <f t="shared" si="157"/>
        <v>32418.34137219502</v>
      </c>
      <c r="G371" s="147">
        <f t="shared" si="158"/>
        <v>36030.878920825846</v>
      </c>
      <c r="H371" s="147">
        <f t="shared" si="159"/>
        <v>39660.632741833215</v>
      </c>
      <c r="I371" s="147">
        <f t="shared" si="160"/>
        <v>43532.962510137681</v>
      </c>
      <c r="J371" s="147">
        <f t="shared" si="161"/>
        <v>46193.564367252278</v>
      </c>
      <c r="K371" s="147">
        <f t="shared" si="162"/>
        <v>48810.021165141508</v>
      </c>
      <c r="L371" s="147">
        <f t="shared" si="163"/>
        <v>52301.327027493026</v>
      </c>
      <c r="M371" s="147">
        <f t="shared" si="164"/>
        <v>55168.07</v>
      </c>
      <c r="N371" s="147" t="s">
        <v>176</v>
      </c>
      <c r="O371" s="34" t="s">
        <v>199</v>
      </c>
    </row>
    <row r="372" spans="1:15" hidden="1">
      <c r="A372" s="212" t="s">
        <v>105</v>
      </c>
      <c r="B372" s="147">
        <f t="shared" si="153"/>
        <v>82921.887547784048</v>
      </c>
      <c r="C372" s="147">
        <f t="shared" si="154"/>
        <v>148142.53907600738</v>
      </c>
      <c r="D372" s="147">
        <f t="shared" si="155"/>
        <v>195241.03704387709</v>
      </c>
      <c r="E372" s="147">
        <f t="shared" si="156"/>
        <v>248448.28604434643</v>
      </c>
      <c r="F372" s="147">
        <f t="shared" si="157"/>
        <v>305109.0814561164</v>
      </c>
      <c r="G372" s="147">
        <f t="shared" si="158"/>
        <v>354882.41427486687</v>
      </c>
      <c r="H372" s="147">
        <f t="shared" si="159"/>
        <v>420129.16000612057</v>
      </c>
      <c r="I372" s="147">
        <f t="shared" si="160"/>
        <v>497514.33991397667</v>
      </c>
      <c r="J372" s="147">
        <f t="shared" si="161"/>
        <v>555493.66580550396</v>
      </c>
      <c r="K372" s="147">
        <f t="shared" si="162"/>
        <v>618987.45066635183</v>
      </c>
      <c r="L372" s="147">
        <f t="shared" si="163"/>
        <v>664609.80961852008</v>
      </c>
      <c r="M372" s="147">
        <f t="shared" si="164"/>
        <v>720000</v>
      </c>
      <c r="N372" s="147" t="s">
        <v>176</v>
      </c>
      <c r="O372" s="34" t="s">
        <v>199</v>
      </c>
    </row>
    <row r="373" spans="1:15" hidden="1">
      <c r="A373" s="212" t="s">
        <v>106</v>
      </c>
      <c r="B373" s="147">
        <f t="shared" si="153"/>
        <v>22954.413786439243</v>
      </c>
      <c r="C373" s="147">
        <f t="shared" si="154"/>
        <v>46580.882195884784</v>
      </c>
      <c r="D373" s="147">
        <f t="shared" si="155"/>
        <v>64601.204290805537</v>
      </c>
      <c r="E373" s="147">
        <f t="shared" si="156"/>
        <v>78813.321989142569</v>
      </c>
      <c r="F373" s="147">
        <f t="shared" si="157"/>
        <v>94152.678533861384</v>
      </c>
      <c r="G373" s="147">
        <f t="shared" si="158"/>
        <v>106731.49572989238</v>
      </c>
      <c r="H373" s="147">
        <f t="shared" si="159"/>
        <v>119596.27991680293</v>
      </c>
      <c r="I373" s="147">
        <f t="shared" si="160"/>
        <v>132772.32757154314</v>
      </c>
      <c r="J373" s="147">
        <f t="shared" si="161"/>
        <v>145374.41826023802</v>
      </c>
      <c r="K373" s="147">
        <f t="shared" si="162"/>
        <v>161773.52912025587</v>
      </c>
      <c r="L373" s="147">
        <f t="shared" si="163"/>
        <v>177598.6005418484</v>
      </c>
      <c r="M373" s="147">
        <f t="shared" si="164"/>
        <v>192304.15</v>
      </c>
      <c r="N373" s="147" t="s">
        <v>176</v>
      </c>
      <c r="O373" s="34" t="s">
        <v>199</v>
      </c>
    </row>
    <row r="374" spans="1:15" hidden="1">
      <c r="A374" s="212" t="s">
        <v>107</v>
      </c>
      <c r="B374" s="147">
        <f t="shared" si="153"/>
        <v>97001.429711759381</v>
      </c>
      <c r="C374" s="147">
        <f t="shared" si="154"/>
        <v>173764.51832008036</v>
      </c>
      <c r="D374" s="147">
        <f t="shared" si="155"/>
        <v>233141.94134144814</v>
      </c>
      <c r="E374" s="147">
        <f t="shared" si="156"/>
        <v>296285.9510541255</v>
      </c>
      <c r="F374" s="147">
        <f t="shared" si="157"/>
        <v>361253.61989653541</v>
      </c>
      <c r="G374" s="147">
        <f t="shared" si="158"/>
        <v>416181.08145815105</v>
      </c>
      <c r="H374" s="147">
        <f t="shared" si="159"/>
        <v>483922.46060025197</v>
      </c>
      <c r="I374" s="147">
        <f t="shared" si="160"/>
        <v>541344.68563602655</v>
      </c>
      <c r="J374" s="147">
        <f t="shared" si="161"/>
        <v>588116.39175381581</v>
      </c>
      <c r="K374" s="147">
        <f t="shared" si="162"/>
        <v>646199.39414238848</v>
      </c>
      <c r="L374" s="147">
        <f t="shared" si="163"/>
        <v>701890.00921180146</v>
      </c>
      <c r="M374" s="147">
        <f t="shared" si="164"/>
        <v>763682.25</v>
      </c>
      <c r="N374" s="147" t="s">
        <v>176</v>
      </c>
      <c r="O374" s="34" t="s">
        <v>199</v>
      </c>
    </row>
    <row r="375" spans="1:15" hidden="1">
      <c r="A375" s="212" t="s">
        <v>108</v>
      </c>
      <c r="B375" s="147">
        <f t="shared" si="153"/>
        <v>7503.3736858056718</v>
      </c>
      <c r="C375" s="147">
        <f t="shared" si="154"/>
        <v>11476.630890012917</v>
      </c>
      <c r="D375" s="147">
        <f t="shared" si="155"/>
        <v>16063.320024925079</v>
      </c>
      <c r="E375" s="147">
        <f t="shared" si="156"/>
        <v>19127.259032887861</v>
      </c>
      <c r="F375" s="147">
        <f t="shared" si="157"/>
        <v>22726.895497982096</v>
      </c>
      <c r="G375" s="147">
        <f t="shared" si="158"/>
        <v>26157.637203383911</v>
      </c>
      <c r="H375" s="147">
        <f t="shared" si="159"/>
        <v>29173.115998032208</v>
      </c>
      <c r="I375" s="147">
        <f t="shared" si="160"/>
        <v>31308.708598161753</v>
      </c>
      <c r="J375" s="147">
        <f t="shared" si="161"/>
        <v>33201.32918174762</v>
      </c>
      <c r="K375" s="147">
        <f t="shared" si="162"/>
        <v>36401.370405198009</v>
      </c>
      <c r="L375" s="147">
        <f t="shared" si="163"/>
        <v>38644.847404272048</v>
      </c>
      <c r="M375" s="147">
        <f t="shared" si="164"/>
        <v>41619.199999999997</v>
      </c>
      <c r="N375" s="147" t="s">
        <v>176</v>
      </c>
      <c r="O375" s="34" t="s">
        <v>199</v>
      </c>
    </row>
    <row r="376" spans="1:15" hidden="1">
      <c r="A376" s="212" t="s">
        <v>109</v>
      </c>
      <c r="B376" s="147">
        <f t="shared" si="153"/>
        <v>561.51850840007069</v>
      </c>
      <c r="C376" s="147">
        <f t="shared" si="154"/>
        <v>864.32694346005712</v>
      </c>
      <c r="D376" s="147">
        <f t="shared" si="155"/>
        <v>1304.4907224048375</v>
      </c>
      <c r="E376" s="147">
        <f t="shared" si="156"/>
        <v>1629.9212572713204</v>
      </c>
      <c r="F376" s="147">
        <f t="shared" si="157"/>
        <v>1689.8632117868115</v>
      </c>
      <c r="G376" s="147">
        <f t="shared" si="158"/>
        <v>1928.8072406673361</v>
      </c>
      <c r="H376" s="147">
        <f t="shared" si="159"/>
        <v>2341.9697197473201</v>
      </c>
      <c r="I376" s="147">
        <f t="shared" si="160"/>
        <v>2449.4037625906531</v>
      </c>
      <c r="J376" s="147">
        <f t="shared" si="161"/>
        <v>2549.6805612194075</v>
      </c>
      <c r="K376" s="147">
        <f t="shared" si="162"/>
        <v>2627.833505695613</v>
      </c>
      <c r="L376" s="147">
        <f t="shared" si="163"/>
        <v>2780.241081400954</v>
      </c>
      <c r="M376" s="147">
        <f t="shared" si="164"/>
        <v>2958.21</v>
      </c>
      <c r="N376" s="147" t="s">
        <v>176</v>
      </c>
      <c r="O376" s="34" t="s">
        <v>199</v>
      </c>
    </row>
    <row r="377" spans="1:15" hidden="1">
      <c r="A377" s="212" t="s">
        <v>110</v>
      </c>
      <c r="B377" s="147">
        <f t="shared" si="153"/>
        <v>47160.008353128324</v>
      </c>
      <c r="C377" s="147">
        <f t="shared" si="154"/>
        <v>91599.2565250396</v>
      </c>
      <c r="D377" s="147">
        <f t="shared" si="155"/>
        <v>128268.08111820288</v>
      </c>
      <c r="E377" s="147">
        <f t="shared" si="156"/>
        <v>155418.74248025118</v>
      </c>
      <c r="F377" s="147">
        <f t="shared" si="157"/>
        <v>184669.32752248421</v>
      </c>
      <c r="G377" s="147">
        <f t="shared" si="158"/>
        <v>212345.39901331108</v>
      </c>
      <c r="H377" s="147">
        <f t="shared" si="159"/>
        <v>234733.17014226783</v>
      </c>
      <c r="I377" s="147">
        <f t="shared" si="160"/>
        <v>260873.00199939363</v>
      </c>
      <c r="J377" s="147">
        <f t="shared" si="161"/>
        <v>277898.41880259971</v>
      </c>
      <c r="K377" s="147">
        <f t="shared" si="162"/>
        <v>299748.86788482493</v>
      </c>
      <c r="L377" s="147">
        <f t="shared" si="163"/>
        <v>314724.16283001419</v>
      </c>
      <c r="M377" s="147">
        <f t="shared" si="164"/>
        <v>336083.68936591974</v>
      </c>
      <c r="N377" s="147" t="s">
        <v>176</v>
      </c>
      <c r="O377" s="34" t="s">
        <v>199</v>
      </c>
    </row>
    <row r="378" spans="1:15" hidden="1">
      <c r="A378" s="212" t="s">
        <v>111</v>
      </c>
      <c r="B378" s="147">
        <f t="shared" si="153"/>
        <v>473298.34482446022</v>
      </c>
      <c r="C378" s="147">
        <f t="shared" si="154"/>
        <v>720082.55415719282</v>
      </c>
      <c r="D378" s="147">
        <f t="shared" si="155"/>
        <v>933626.178931011</v>
      </c>
      <c r="E378" s="147">
        <f t="shared" si="156"/>
        <v>1137075.5786561593</v>
      </c>
      <c r="F378" s="147">
        <f t="shared" si="157"/>
        <v>1357656.9061789783</v>
      </c>
      <c r="G378" s="147">
        <f t="shared" si="158"/>
        <v>1537311.548595129</v>
      </c>
      <c r="H378" s="147">
        <f t="shared" si="159"/>
        <v>1805420.500130258</v>
      </c>
      <c r="I378" s="147">
        <f t="shared" si="160"/>
        <v>2073887.7261113646</v>
      </c>
      <c r="J378" s="147">
        <f t="shared" si="161"/>
        <v>2266870.4765914031</v>
      </c>
      <c r="K378" s="147">
        <f t="shared" si="162"/>
        <v>2544129.6495878948</v>
      </c>
      <c r="L378" s="147">
        <f t="shared" si="163"/>
        <v>2740394.67367164</v>
      </c>
      <c r="M378" s="147">
        <f t="shared" si="164"/>
        <v>2955102.1689929012</v>
      </c>
      <c r="N378" s="147" t="s">
        <v>176</v>
      </c>
      <c r="O378" s="34" t="s">
        <v>199</v>
      </c>
    </row>
    <row r="379" spans="1:15" hidden="1">
      <c r="A379" s="212" t="s">
        <v>112</v>
      </c>
      <c r="B379" s="147">
        <f t="shared" si="153"/>
        <v>6395.5867993949832</v>
      </c>
      <c r="C379" s="147">
        <f t="shared" si="154"/>
        <v>11543.794796658614</v>
      </c>
      <c r="D379" s="147">
        <f t="shared" si="155"/>
        <v>16232.288147516203</v>
      </c>
      <c r="E379" s="147">
        <f t="shared" si="156"/>
        <v>19429.04735923764</v>
      </c>
      <c r="F379" s="147">
        <f t="shared" si="157"/>
        <v>23629.499038026956</v>
      </c>
      <c r="G379" s="147">
        <f t="shared" si="158"/>
        <v>26945.35743483765</v>
      </c>
      <c r="H379" s="147">
        <f t="shared" si="159"/>
        <v>30424.994366900486</v>
      </c>
      <c r="I379" s="147">
        <f t="shared" si="160"/>
        <v>32764.555217929359</v>
      </c>
      <c r="J379" s="147">
        <f t="shared" si="161"/>
        <v>35251.801189405982</v>
      </c>
      <c r="K379" s="147">
        <f t="shared" si="162"/>
        <v>37488.6636069175</v>
      </c>
      <c r="L379" s="147">
        <f t="shared" si="163"/>
        <v>39077.343758143033</v>
      </c>
      <c r="M379" s="147">
        <f t="shared" si="164"/>
        <v>41425.74</v>
      </c>
      <c r="N379" s="147" t="s">
        <v>176</v>
      </c>
      <c r="O379" s="34" t="s">
        <v>199</v>
      </c>
    </row>
    <row r="380" spans="1:15" hidden="1">
      <c r="A380" s="212" t="s">
        <v>113</v>
      </c>
      <c r="B380" s="147">
        <f t="shared" si="153"/>
        <v>5516.780024909277</v>
      </c>
      <c r="C380" s="147">
        <f t="shared" si="154"/>
        <v>9644.4773239546994</v>
      </c>
      <c r="D380" s="147">
        <f t="shared" si="155"/>
        <v>12732.867862967731</v>
      </c>
      <c r="E380" s="147">
        <f t="shared" si="156"/>
        <v>15923.85031376056</v>
      </c>
      <c r="F380" s="147">
        <f t="shared" si="157"/>
        <v>19284.946980118661</v>
      </c>
      <c r="G380" s="147">
        <f t="shared" si="158"/>
        <v>23920.938624243936</v>
      </c>
      <c r="H380" s="147">
        <f t="shared" si="159"/>
        <v>28421.184432928763</v>
      </c>
      <c r="I380" s="147">
        <f t="shared" si="160"/>
        <v>36507.869272426913</v>
      </c>
      <c r="J380" s="147">
        <f t="shared" si="161"/>
        <v>39063.445830365177</v>
      </c>
      <c r="K380" s="147">
        <f t="shared" si="162"/>
        <v>43200.259199851018</v>
      </c>
      <c r="L380" s="147">
        <f t="shared" si="163"/>
        <v>47018.668613718954</v>
      </c>
      <c r="M380" s="147">
        <f t="shared" si="164"/>
        <v>49993.98</v>
      </c>
      <c r="N380" s="147" t="s">
        <v>176</v>
      </c>
      <c r="O380" s="34" t="s">
        <v>199</v>
      </c>
    </row>
    <row r="381" spans="1:15" hidden="1">
      <c r="A381" s="212" t="s">
        <v>87</v>
      </c>
      <c r="B381" s="147">
        <f t="shared" ref="B381:M381" si="165">B39</f>
        <v>3123.9911757625387</v>
      </c>
      <c r="C381" s="147">
        <f t="shared" si="165"/>
        <v>4995.5351532834839</v>
      </c>
      <c r="D381" s="147">
        <f t="shared" si="165"/>
        <v>6186.477806038014</v>
      </c>
      <c r="E381" s="147">
        <f t="shared" si="165"/>
        <v>7597.6099342734296</v>
      </c>
      <c r="F381" s="147">
        <f t="shared" si="165"/>
        <v>9758.1300114838086</v>
      </c>
      <c r="G381" s="147">
        <f t="shared" si="165"/>
        <v>10478.518780594271</v>
      </c>
      <c r="H381" s="147">
        <f t="shared" si="165"/>
        <v>12074.010780560206</v>
      </c>
      <c r="I381" s="147">
        <f t="shared" si="165"/>
        <v>14754.647150697563</v>
      </c>
      <c r="J381" s="147">
        <f t="shared" si="165"/>
        <v>15550.184047199769</v>
      </c>
      <c r="K381" s="147">
        <f t="shared" si="165"/>
        <v>16769.837348189416</v>
      </c>
      <c r="L381" s="147">
        <f t="shared" si="165"/>
        <v>18343.660665625706</v>
      </c>
      <c r="M381" s="147">
        <f t="shared" si="165"/>
        <v>19126.64</v>
      </c>
      <c r="N381" s="147" t="s">
        <v>224</v>
      </c>
      <c r="O381" s="34" t="s">
        <v>199</v>
      </c>
    </row>
    <row r="382" spans="1:15" hidden="1">
      <c r="A382" s="212" t="s">
        <v>88</v>
      </c>
      <c r="B382" s="147">
        <f t="shared" ref="B382:M382" si="166">B40</f>
        <v>11893.143705940351</v>
      </c>
      <c r="C382" s="147">
        <f t="shared" si="166"/>
        <v>23800.218452869922</v>
      </c>
      <c r="D382" s="147">
        <f t="shared" si="166"/>
        <v>31607.963426562052</v>
      </c>
      <c r="E382" s="147">
        <f t="shared" si="166"/>
        <v>38132.051411754917</v>
      </c>
      <c r="F382" s="147">
        <f t="shared" si="166"/>
        <v>46821.452525188673</v>
      </c>
      <c r="G382" s="147">
        <f t="shared" si="166"/>
        <v>53168.350979680581</v>
      </c>
      <c r="H382" s="147">
        <f t="shared" si="166"/>
        <v>58135.807565822259</v>
      </c>
      <c r="I382" s="147">
        <f t="shared" si="166"/>
        <v>64245.7661579993</v>
      </c>
      <c r="J382" s="147">
        <f t="shared" si="166"/>
        <v>69563.532047554851</v>
      </c>
      <c r="K382" s="147">
        <f t="shared" si="166"/>
        <v>75441.95678069866</v>
      </c>
      <c r="L382" s="147">
        <f t="shared" si="166"/>
        <v>81995.702882321391</v>
      </c>
      <c r="M382" s="147">
        <f t="shared" si="166"/>
        <v>89069.3</v>
      </c>
      <c r="N382" s="147" t="s">
        <v>224</v>
      </c>
      <c r="O382" s="34" t="s">
        <v>199</v>
      </c>
    </row>
    <row r="383" spans="1:15" hidden="1">
      <c r="A383" s="212" t="s">
        <v>89</v>
      </c>
      <c r="B383" s="147">
        <f t="shared" ref="B383:M383" si="167">B41</f>
        <v>3714.7853947792755</v>
      </c>
      <c r="C383" s="147">
        <f t="shared" si="167"/>
        <v>6416.8433289737923</v>
      </c>
      <c r="D383" s="147">
        <f t="shared" si="167"/>
        <v>9596.6007984026837</v>
      </c>
      <c r="E383" s="147">
        <f t="shared" si="167"/>
        <v>12044.79273122739</v>
      </c>
      <c r="F383" s="147">
        <f t="shared" si="167"/>
        <v>14243.758800889485</v>
      </c>
      <c r="G383" s="147">
        <f t="shared" si="167"/>
        <v>16227.322838273758</v>
      </c>
      <c r="H383" s="147">
        <f t="shared" si="167"/>
        <v>18503.852713325603</v>
      </c>
      <c r="I383" s="147">
        <f t="shared" si="167"/>
        <v>20419.8248524599</v>
      </c>
      <c r="J383" s="147">
        <f t="shared" si="167"/>
        <v>22664.063395877412</v>
      </c>
      <c r="K383" s="147">
        <f t="shared" si="167"/>
        <v>24794.93004073928</v>
      </c>
      <c r="L383" s="147">
        <f t="shared" si="167"/>
        <v>27132.804754769808</v>
      </c>
      <c r="M383" s="147">
        <f t="shared" si="167"/>
        <v>28698.84</v>
      </c>
      <c r="N383" s="147" t="s">
        <v>224</v>
      </c>
      <c r="O383" s="34" t="s">
        <v>199</v>
      </c>
    </row>
    <row r="384" spans="1:15" hidden="1">
      <c r="A384" s="212" t="s">
        <v>90</v>
      </c>
      <c r="B384" s="147">
        <f t="shared" ref="B384:M384" si="168">B42</f>
        <v>16371.74206038947</v>
      </c>
      <c r="C384" s="147">
        <f t="shared" si="168"/>
        <v>32045.352557431503</v>
      </c>
      <c r="D384" s="147">
        <f t="shared" si="168"/>
        <v>44571.008655221478</v>
      </c>
      <c r="E384" s="147">
        <f t="shared" si="168"/>
        <v>55202.067129096751</v>
      </c>
      <c r="F384" s="147">
        <f t="shared" si="168"/>
        <v>66730.898251454055</v>
      </c>
      <c r="G384" s="147">
        <f t="shared" si="168"/>
        <v>76558.62080024452</v>
      </c>
      <c r="H384" s="147">
        <f t="shared" si="168"/>
        <v>87466.026852596566</v>
      </c>
      <c r="I384" s="147">
        <f t="shared" si="168"/>
        <v>99066.957838315444</v>
      </c>
      <c r="J384" s="147">
        <f t="shared" si="168"/>
        <v>108530.24154258128</v>
      </c>
      <c r="K384" s="147">
        <f t="shared" si="168"/>
        <v>118386.78104390739</v>
      </c>
      <c r="L384" s="147">
        <f t="shared" si="168"/>
        <v>126570.35549881338</v>
      </c>
      <c r="M384" s="147">
        <f t="shared" si="168"/>
        <v>134347.413</v>
      </c>
      <c r="N384" s="147" t="s">
        <v>224</v>
      </c>
      <c r="O384" s="34" t="s">
        <v>199</v>
      </c>
    </row>
    <row r="385" spans="1:15" hidden="1">
      <c r="A385" s="212" t="s">
        <v>91</v>
      </c>
      <c r="B385" s="147">
        <f t="shared" ref="B385:M385" si="169">B43</f>
        <v>42764.088839068485</v>
      </c>
      <c r="C385" s="147">
        <f t="shared" si="169"/>
        <v>78408.965619364229</v>
      </c>
      <c r="D385" s="147">
        <f t="shared" si="169"/>
        <v>101770.71310654288</v>
      </c>
      <c r="E385" s="147">
        <f t="shared" si="169"/>
        <v>129388.81178304493</v>
      </c>
      <c r="F385" s="147">
        <f t="shared" si="169"/>
        <v>151189.03120647371</v>
      </c>
      <c r="G385" s="147">
        <f t="shared" si="169"/>
        <v>171646.3487773517</v>
      </c>
      <c r="H385" s="147">
        <f t="shared" si="169"/>
        <v>194773.35181543103</v>
      </c>
      <c r="I385" s="147">
        <f t="shared" si="169"/>
        <v>218115.61845078348</v>
      </c>
      <c r="J385" s="147">
        <f t="shared" si="169"/>
        <v>235989.26946296371</v>
      </c>
      <c r="K385" s="147">
        <f t="shared" si="169"/>
        <v>255289.57110660325</v>
      </c>
      <c r="L385" s="147">
        <f t="shared" si="169"/>
        <v>274305.6364113905</v>
      </c>
      <c r="M385" s="147">
        <f t="shared" si="169"/>
        <v>300000</v>
      </c>
      <c r="N385" s="147" t="s">
        <v>224</v>
      </c>
      <c r="O385" s="34" t="s">
        <v>199</v>
      </c>
    </row>
    <row r="386" spans="1:15" hidden="1">
      <c r="A386" s="212" t="s">
        <v>92</v>
      </c>
      <c r="B386" s="147">
        <f t="shared" ref="B386:M386" si="170">B44</f>
        <v>12353.392695494973</v>
      </c>
      <c r="C386" s="147">
        <f t="shared" si="170"/>
        <v>24498.704810062558</v>
      </c>
      <c r="D386" s="147">
        <f t="shared" si="170"/>
        <v>36555.38355975999</v>
      </c>
      <c r="E386" s="147">
        <f t="shared" si="170"/>
        <v>46272.966723133584</v>
      </c>
      <c r="F386" s="147">
        <f t="shared" si="170"/>
        <v>53416.027611337697</v>
      </c>
      <c r="G386" s="147">
        <f t="shared" si="170"/>
        <v>60817.183938768001</v>
      </c>
      <c r="H386" s="147">
        <f t="shared" si="170"/>
        <v>69134.891022630021</v>
      </c>
      <c r="I386" s="147">
        <f t="shared" si="170"/>
        <v>77753.140654434785</v>
      </c>
      <c r="J386" s="147">
        <f t="shared" si="170"/>
        <v>82586.421821935262</v>
      </c>
      <c r="K386" s="147">
        <f t="shared" si="170"/>
        <v>90205.498310458337</v>
      </c>
      <c r="L386" s="147">
        <f t="shared" si="170"/>
        <v>96508.51234070053</v>
      </c>
      <c r="M386" s="147">
        <f t="shared" si="170"/>
        <v>103088.01</v>
      </c>
      <c r="N386" s="147" t="s">
        <v>224</v>
      </c>
      <c r="O386" s="34" t="s">
        <v>199</v>
      </c>
    </row>
    <row r="387" spans="1:15" hidden="1">
      <c r="A387" s="212" t="s">
        <v>93</v>
      </c>
      <c r="B387" s="147">
        <f t="shared" ref="B387:M387" si="171">B45</f>
        <v>38687.374601273412</v>
      </c>
      <c r="C387" s="147">
        <f t="shared" si="171"/>
        <v>75482.511707596743</v>
      </c>
      <c r="D387" s="147">
        <f t="shared" si="171"/>
        <v>106332.14873421534</v>
      </c>
      <c r="E387" s="147">
        <f t="shared" si="171"/>
        <v>128565.82928171456</v>
      </c>
      <c r="F387" s="147">
        <f t="shared" si="171"/>
        <v>153388.16148621307</v>
      </c>
      <c r="G387" s="147">
        <f t="shared" si="171"/>
        <v>177606.83054468388</v>
      </c>
      <c r="H387" s="147">
        <f t="shared" si="171"/>
        <v>200030.73655048097</v>
      </c>
      <c r="I387" s="147">
        <f t="shared" si="171"/>
        <v>226891.99131261307</v>
      </c>
      <c r="J387" s="147">
        <f t="shared" si="171"/>
        <v>247380.44116097217</v>
      </c>
      <c r="K387" s="147">
        <f t="shared" si="171"/>
        <v>272489.9232952586</v>
      </c>
      <c r="L387" s="147">
        <f t="shared" si="171"/>
        <v>295418.9596490899</v>
      </c>
      <c r="M387" s="147">
        <f t="shared" si="171"/>
        <v>320000</v>
      </c>
      <c r="N387" s="147" t="s">
        <v>224</v>
      </c>
      <c r="O387" s="34" t="s">
        <v>199</v>
      </c>
    </row>
    <row r="388" spans="1:15" hidden="1">
      <c r="A388" s="212" t="s">
        <v>94</v>
      </c>
      <c r="B388" s="147">
        <f t="shared" ref="B388:M388" si="172">B46</f>
        <v>15132.889551112516</v>
      </c>
      <c r="C388" s="147">
        <f t="shared" si="172"/>
        <v>28601.684192827634</v>
      </c>
      <c r="D388" s="147">
        <f t="shared" si="172"/>
        <v>41707.910640539245</v>
      </c>
      <c r="E388" s="147">
        <f t="shared" si="172"/>
        <v>50056.483300300351</v>
      </c>
      <c r="F388" s="147">
        <f t="shared" si="172"/>
        <v>58373.852183605784</v>
      </c>
      <c r="G388" s="147">
        <f t="shared" si="172"/>
        <v>65920.881671861323</v>
      </c>
      <c r="H388" s="147">
        <f t="shared" si="172"/>
        <v>75838.727771355654</v>
      </c>
      <c r="I388" s="147">
        <f t="shared" si="172"/>
        <v>86960.09300620365</v>
      </c>
      <c r="J388" s="147">
        <f t="shared" si="172"/>
        <v>96800.148041178836</v>
      </c>
      <c r="K388" s="147">
        <f t="shared" si="172"/>
        <v>105891.61712168554</v>
      </c>
      <c r="L388" s="147">
        <f t="shared" si="172"/>
        <v>114812.53658213477</v>
      </c>
      <c r="M388" s="147">
        <f t="shared" si="172"/>
        <v>127208.04</v>
      </c>
      <c r="N388" s="147" t="s">
        <v>224</v>
      </c>
      <c r="O388" s="34" t="s">
        <v>199</v>
      </c>
    </row>
    <row r="389" spans="1:15" hidden="1">
      <c r="A389" s="212" t="s">
        <v>95</v>
      </c>
      <c r="B389" s="147">
        <f t="shared" ref="B389:M389" si="173">B47</f>
        <v>27796.008259873906</v>
      </c>
      <c r="C389" s="147">
        <f t="shared" si="173"/>
        <v>51932.303793938547</v>
      </c>
      <c r="D389" s="147">
        <f t="shared" si="173"/>
        <v>69694.985519719383</v>
      </c>
      <c r="E389" s="147">
        <f t="shared" si="173"/>
        <v>87332.811232064327</v>
      </c>
      <c r="F389" s="147">
        <f t="shared" si="173"/>
        <v>101667.81018162594</v>
      </c>
      <c r="G389" s="147">
        <f t="shared" si="173"/>
        <v>114170.80830002249</v>
      </c>
      <c r="H389" s="147">
        <f t="shared" si="173"/>
        <v>128983.85891262161</v>
      </c>
      <c r="I389" s="147">
        <f t="shared" si="173"/>
        <v>145912.29735734014</v>
      </c>
      <c r="J389" s="147">
        <f t="shared" si="173"/>
        <v>159429.11566015522</v>
      </c>
      <c r="K389" s="147">
        <f t="shared" si="173"/>
        <v>174987.77022676403</v>
      </c>
      <c r="L389" s="147">
        <f t="shared" si="173"/>
        <v>186040.25945505375</v>
      </c>
      <c r="M389" s="147">
        <f t="shared" si="173"/>
        <v>200000</v>
      </c>
      <c r="N389" s="147" t="s">
        <v>224</v>
      </c>
      <c r="O389" s="34" t="s">
        <v>199</v>
      </c>
    </row>
    <row r="390" spans="1:15" hidden="1">
      <c r="A390" s="212" t="s">
        <v>96</v>
      </c>
      <c r="B390" s="147">
        <f t="shared" ref="B390:M390" si="174">B48</f>
        <v>18429.484008769123</v>
      </c>
      <c r="C390" s="147">
        <f t="shared" si="174"/>
        <v>29382.247307062476</v>
      </c>
      <c r="D390" s="147">
        <f t="shared" si="174"/>
        <v>42069.9618689614</v>
      </c>
      <c r="E390" s="147">
        <f t="shared" si="174"/>
        <v>54356.832026995115</v>
      </c>
      <c r="F390" s="147">
        <f t="shared" si="174"/>
        <v>65034.340807680674</v>
      </c>
      <c r="G390" s="147">
        <f t="shared" si="174"/>
        <v>77247.096636272036</v>
      </c>
      <c r="H390" s="147">
        <f t="shared" si="174"/>
        <v>94110.596397066241</v>
      </c>
      <c r="I390" s="147">
        <f t="shared" si="174"/>
        <v>106595.81652291656</v>
      </c>
      <c r="J390" s="147">
        <f t="shared" si="174"/>
        <v>117886.00718996863</v>
      </c>
      <c r="K390" s="147">
        <f t="shared" si="174"/>
        <v>127683.20679956352</v>
      </c>
      <c r="L390" s="147">
        <f t="shared" si="174"/>
        <v>139773.46297723558</v>
      </c>
      <c r="M390" s="147">
        <f t="shared" si="174"/>
        <v>149286.31</v>
      </c>
      <c r="N390" s="147" t="s">
        <v>224</v>
      </c>
      <c r="O390" s="34" t="s">
        <v>199</v>
      </c>
    </row>
    <row r="391" spans="1:15" hidden="1">
      <c r="A391" s="212" t="s">
        <v>97</v>
      </c>
      <c r="B391" s="147">
        <f t="shared" ref="B391:M391" si="175">B49</f>
        <v>14909.605337713287</v>
      </c>
      <c r="C391" s="147">
        <f t="shared" si="175"/>
        <v>30584.178399543664</v>
      </c>
      <c r="D391" s="147">
        <f t="shared" si="175"/>
        <v>43314.073612544547</v>
      </c>
      <c r="E391" s="147">
        <f t="shared" si="175"/>
        <v>52437.288172447894</v>
      </c>
      <c r="F391" s="147">
        <f t="shared" si="175"/>
        <v>61401.95522472584</v>
      </c>
      <c r="G391" s="147">
        <f t="shared" si="175"/>
        <v>68819.281554332221</v>
      </c>
      <c r="H391" s="147">
        <f t="shared" si="175"/>
        <v>73958.517817958083</v>
      </c>
      <c r="I391" s="147">
        <f t="shared" si="175"/>
        <v>79771.334618142748</v>
      </c>
      <c r="J391" s="147">
        <f t="shared" si="175"/>
        <v>84314.35404812546</v>
      </c>
      <c r="K391" s="147">
        <f t="shared" si="175"/>
        <v>90197.967543753155</v>
      </c>
      <c r="L391" s="147">
        <f t="shared" si="175"/>
        <v>95891.383532800188</v>
      </c>
      <c r="M391" s="147">
        <f t="shared" si="175"/>
        <v>101619.48</v>
      </c>
      <c r="N391" s="147" t="s">
        <v>224</v>
      </c>
      <c r="O391" s="34" t="s">
        <v>199</v>
      </c>
    </row>
    <row r="392" spans="1:15" hidden="1">
      <c r="A392" s="212" t="s">
        <v>98</v>
      </c>
      <c r="B392" s="147">
        <f t="shared" ref="B392:M392" si="176">B50</f>
        <v>21771.099274712858</v>
      </c>
      <c r="C392" s="147">
        <f t="shared" si="176"/>
        <v>43667.665565414107</v>
      </c>
      <c r="D392" s="147">
        <f t="shared" si="176"/>
        <v>58511.595145853076</v>
      </c>
      <c r="E392" s="147">
        <f t="shared" si="176"/>
        <v>72640.755982286777</v>
      </c>
      <c r="F392" s="147">
        <f t="shared" si="176"/>
        <v>90904.944023668795</v>
      </c>
      <c r="G392" s="147">
        <f t="shared" si="176"/>
        <v>107435.5538364817</v>
      </c>
      <c r="H392" s="147">
        <f t="shared" si="176"/>
        <v>120242.26371989051</v>
      </c>
      <c r="I392" s="147">
        <f t="shared" si="176"/>
        <v>133901.95929629932</v>
      </c>
      <c r="J392" s="147">
        <f t="shared" si="176"/>
        <v>143252.0620912681</v>
      </c>
      <c r="K392" s="147">
        <f t="shared" si="176"/>
        <v>158176.36001818947</v>
      </c>
      <c r="L392" s="147">
        <f t="shared" si="176"/>
        <v>168046.06349627837</v>
      </c>
      <c r="M392" s="147">
        <f t="shared" si="176"/>
        <v>181697.13</v>
      </c>
      <c r="N392" s="147" t="s">
        <v>224</v>
      </c>
      <c r="O392" s="34" t="s">
        <v>199</v>
      </c>
    </row>
    <row r="393" spans="1:15" hidden="1">
      <c r="A393" s="212" t="s">
        <v>99</v>
      </c>
      <c r="B393" s="147">
        <f t="shared" ref="B393:M393" si="177">B51</f>
        <v>157445.56107278666</v>
      </c>
      <c r="C393" s="147">
        <f t="shared" si="177"/>
        <v>257691.60959703103</v>
      </c>
      <c r="D393" s="147">
        <f t="shared" si="177"/>
        <v>365468.50117747049</v>
      </c>
      <c r="E393" s="147">
        <f t="shared" si="177"/>
        <v>444000.23252181459</v>
      </c>
      <c r="F393" s="147">
        <f t="shared" si="177"/>
        <v>537787.6938592348</v>
      </c>
      <c r="G393" s="147">
        <f t="shared" si="177"/>
        <v>607363.45650859131</v>
      </c>
      <c r="H393" s="147">
        <f t="shared" si="177"/>
        <v>681939.91703544953</v>
      </c>
      <c r="I393" s="147">
        <f t="shared" si="177"/>
        <v>753634.90598107292</v>
      </c>
      <c r="J393" s="147">
        <f t="shared" si="177"/>
        <v>835418.79791329172</v>
      </c>
      <c r="K393" s="147">
        <f t="shared" si="177"/>
        <v>924362.47097212402</v>
      </c>
      <c r="L393" s="147">
        <f t="shared" si="177"/>
        <v>1008864.6737023888</v>
      </c>
      <c r="M393" s="147">
        <f t="shared" si="177"/>
        <v>1098934.42</v>
      </c>
      <c r="N393" s="147" t="s">
        <v>224</v>
      </c>
      <c r="O393" s="34" t="s">
        <v>199</v>
      </c>
    </row>
    <row r="394" spans="1:15" hidden="1">
      <c r="A394" s="212" t="s">
        <v>100</v>
      </c>
      <c r="B394" s="147">
        <f t="shared" ref="B394:M394" si="178">B52</f>
        <v>0</v>
      </c>
      <c r="C394" s="147">
        <f t="shared" si="178"/>
        <v>0</v>
      </c>
      <c r="D394" s="147">
        <f t="shared" si="178"/>
        <v>0</v>
      </c>
      <c r="E394" s="147">
        <f t="shared" si="178"/>
        <v>0</v>
      </c>
      <c r="F394" s="147">
        <f t="shared" si="178"/>
        <v>0</v>
      </c>
      <c r="G394" s="147">
        <f t="shared" si="178"/>
        <v>0</v>
      </c>
      <c r="H394" s="147">
        <f t="shared" si="178"/>
        <v>0</v>
      </c>
      <c r="I394" s="147">
        <f t="shared" si="178"/>
        <v>0</v>
      </c>
      <c r="J394" s="147">
        <f t="shared" si="178"/>
        <v>0</v>
      </c>
      <c r="K394" s="147">
        <f t="shared" si="178"/>
        <v>0</v>
      </c>
      <c r="L394" s="147">
        <f t="shared" si="178"/>
        <v>0</v>
      </c>
      <c r="M394" s="147">
        <f t="shared" si="178"/>
        <v>0</v>
      </c>
      <c r="N394" s="147" t="s">
        <v>224</v>
      </c>
      <c r="O394" s="34" t="s">
        <v>199</v>
      </c>
    </row>
    <row r="395" spans="1:15" hidden="1">
      <c r="A395" s="212" t="s">
        <v>101</v>
      </c>
      <c r="B395" s="147">
        <f t="shared" ref="B395:M395" si="179">B53</f>
        <v>20642.283041435887</v>
      </c>
      <c r="C395" s="147">
        <f t="shared" si="179"/>
        <v>37600.661649417678</v>
      </c>
      <c r="D395" s="147">
        <f t="shared" si="179"/>
        <v>50260.729479532674</v>
      </c>
      <c r="E395" s="147">
        <f t="shared" si="179"/>
        <v>63443.767111969028</v>
      </c>
      <c r="F395" s="147">
        <f t="shared" si="179"/>
        <v>75210.888845057052</v>
      </c>
      <c r="G395" s="147">
        <f t="shared" si="179"/>
        <v>88721.071267574458</v>
      </c>
      <c r="H395" s="147">
        <f t="shared" si="179"/>
        <v>97938.494263209286</v>
      </c>
      <c r="I395" s="147">
        <f t="shared" si="179"/>
        <v>109103.62379132083</v>
      </c>
      <c r="J395" s="147">
        <f t="shared" si="179"/>
        <v>119890.16029708432</v>
      </c>
      <c r="K395" s="147">
        <f t="shared" si="179"/>
        <v>129876.07398462751</v>
      </c>
      <c r="L395" s="147">
        <f t="shared" si="179"/>
        <v>141175.37465349029</v>
      </c>
      <c r="M395" s="147">
        <f t="shared" si="179"/>
        <v>153007.4</v>
      </c>
      <c r="N395" s="147" t="s">
        <v>224</v>
      </c>
      <c r="O395" s="34" t="s">
        <v>199</v>
      </c>
    </row>
    <row r="396" spans="1:15" hidden="1">
      <c r="A396" s="212" t="s">
        <v>102</v>
      </c>
      <c r="B396" s="147">
        <f t="shared" ref="B396:M396" si="180">B54</f>
        <v>98656.837024968772</v>
      </c>
      <c r="C396" s="147">
        <f t="shared" si="180"/>
        <v>179252.63659420228</v>
      </c>
      <c r="D396" s="147">
        <f t="shared" si="180"/>
        <v>241021.17770562647</v>
      </c>
      <c r="E396" s="147">
        <f t="shared" si="180"/>
        <v>298892.87995128776</v>
      </c>
      <c r="F396" s="147">
        <f t="shared" si="180"/>
        <v>351302.13277410588</v>
      </c>
      <c r="G396" s="147">
        <f t="shared" si="180"/>
        <v>395338.7206143972</v>
      </c>
      <c r="H396" s="147">
        <f t="shared" si="180"/>
        <v>437160.40725302661</v>
      </c>
      <c r="I396" s="147">
        <f t="shared" si="180"/>
        <v>479454.69654975255</v>
      </c>
      <c r="J396" s="147">
        <f t="shared" si="180"/>
        <v>524554.57885608845</v>
      </c>
      <c r="K396" s="147">
        <f t="shared" si="180"/>
        <v>574325.62787697301</v>
      </c>
      <c r="L396" s="147">
        <f t="shared" si="180"/>
        <v>626687.54665216233</v>
      </c>
      <c r="M396" s="147">
        <f t="shared" si="180"/>
        <v>704597.22</v>
      </c>
      <c r="N396" s="147" t="s">
        <v>224</v>
      </c>
      <c r="O396" s="34" t="s">
        <v>199</v>
      </c>
    </row>
    <row r="397" spans="1:15" hidden="1">
      <c r="A397" s="212" t="s">
        <v>103</v>
      </c>
      <c r="B397" s="147">
        <f t="shared" ref="B397:M397" si="181">B55</f>
        <v>47199.715023321231</v>
      </c>
      <c r="C397" s="147">
        <f t="shared" si="181"/>
        <v>89886.948754053883</v>
      </c>
      <c r="D397" s="147">
        <f t="shared" si="181"/>
        <v>127321.36537994299</v>
      </c>
      <c r="E397" s="147">
        <f t="shared" si="181"/>
        <v>157626.93886077928</v>
      </c>
      <c r="F397" s="147">
        <f t="shared" si="181"/>
        <v>188656.49672189628</v>
      </c>
      <c r="G397" s="147">
        <f t="shared" si="181"/>
        <v>214565.62969815891</v>
      </c>
      <c r="H397" s="147">
        <f t="shared" si="181"/>
        <v>241723.81312221158</v>
      </c>
      <c r="I397" s="147">
        <f t="shared" si="181"/>
        <v>263794.78808586468</v>
      </c>
      <c r="J397" s="147">
        <f t="shared" si="181"/>
        <v>280480.2871601131</v>
      </c>
      <c r="K397" s="147">
        <f t="shared" si="181"/>
        <v>293360.00570564595</v>
      </c>
      <c r="L397" s="147">
        <f t="shared" si="181"/>
        <v>306756.05062931398</v>
      </c>
      <c r="M397" s="147">
        <f t="shared" si="181"/>
        <v>321606.04000000004</v>
      </c>
      <c r="N397" s="147" t="s">
        <v>224</v>
      </c>
      <c r="O397" s="34" t="s">
        <v>199</v>
      </c>
    </row>
    <row r="398" spans="1:15" hidden="1">
      <c r="A398" s="212" t="s">
        <v>104</v>
      </c>
      <c r="B398" s="147">
        <f t="shared" ref="B398:M398" si="182">B56</f>
        <v>9439.4347421505718</v>
      </c>
      <c r="C398" s="147">
        <f t="shared" si="182"/>
        <v>15975.256002378836</v>
      </c>
      <c r="D398" s="147">
        <f t="shared" si="182"/>
        <v>22154.080800498923</v>
      </c>
      <c r="E398" s="147">
        <f t="shared" si="182"/>
        <v>26980.312614758437</v>
      </c>
      <c r="F398" s="147">
        <f t="shared" si="182"/>
        <v>32418.34137219502</v>
      </c>
      <c r="G398" s="147">
        <f t="shared" si="182"/>
        <v>36030.878920825846</v>
      </c>
      <c r="H398" s="147">
        <f t="shared" si="182"/>
        <v>39660.632741833215</v>
      </c>
      <c r="I398" s="147">
        <f t="shared" si="182"/>
        <v>43532.962510137681</v>
      </c>
      <c r="J398" s="147">
        <f t="shared" si="182"/>
        <v>46193.564367252278</v>
      </c>
      <c r="K398" s="147">
        <f t="shared" si="182"/>
        <v>48810.021165141508</v>
      </c>
      <c r="L398" s="147">
        <f t="shared" si="182"/>
        <v>52301.327027493026</v>
      </c>
      <c r="M398" s="147">
        <f t="shared" si="182"/>
        <v>55168.07</v>
      </c>
      <c r="N398" s="147" t="s">
        <v>224</v>
      </c>
      <c r="O398" s="34" t="s">
        <v>199</v>
      </c>
    </row>
    <row r="399" spans="1:15" hidden="1">
      <c r="A399" s="212" t="s">
        <v>105</v>
      </c>
      <c r="B399" s="147">
        <f t="shared" ref="B399:M399" si="183">B57</f>
        <v>82921.887547784048</v>
      </c>
      <c r="C399" s="147">
        <f t="shared" si="183"/>
        <v>148142.53907600738</v>
      </c>
      <c r="D399" s="147">
        <f t="shared" si="183"/>
        <v>195241.03704387709</v>
      </c>
      <c r="E399" s="147">
        <f t="shared" si="183"/>
        <v>248448.28604434643</v>
      </c>
      <c r="F399" s="147">
        <f t="shared" si="183"/>
        <v>305109.0814561164</v>
      </c>
      <c r="G399" s="147">
        <f t="shared" si="183"/>
        <v>354882.41427486687</v>
      </c>
      <c r="H399" s="147">
        <f t="shared" si="183"/>
        <v>420129.16000612057</v>
      </c>
      <c r="I399" s="147">
        <f t="shared" si="183"/>
        <v>497514.33991397667</v>
      </c>
      <c r="J399" s="147">
        <f t="shared" si="183"/>
        <v>555493.66580550396</v>
      </c>
      <c r="K399" s="147">
        <f t="shared" si="183"/>
        <v>618987.45066635183</v>
      </c>
      <c r="L399" s="147">
        <f t="shared" si="183"/>
        <v>664609.80961852008</v>
      </c>
      <c r="M399" s="147">
        <f t="shared" si="183"/>
        <v>720000</v>
      </c>
      <c r="N399" s="147" t="s">
        <v>224</v>
      </c>
      <c r="O399" s="34" t="s">
        <v>199</v>
      </c>
    </row>
    <row r="400" spans="1:15" hidden="1">
      <c r="A400" s="212" t="s">
        <v>106</v>
      </c>
      <c r="B400" s="147">
        <f t="shared" ref="B400:M400" si="184">B58</f>
        <v>16338.829506854405</v>
      </c>
      <c r="C400" s="147">
        <f t="shared" si="184"/>
        <v>33156.02391584716</v>
      </c>
      <c r="D400" s="147">
        <f t="shared" si="184"/>
        <v>45982.793229444367</v>
      </c>
      <c r="E400" s="147">
        <f t="shared" si="184"/>
        <v>56098.902931259494</v>
      </c>
      <c r="F400" s="147">
        <f t="shared" si="184"/>
        <v>67017.375241673042</v>
      </c>
      <c r="G400" s="147">
        <f t="shared" si="184"/>
        <v>75970.91034285065</v>
      </c>
      <c r="H400" s="147">
        <f t="shared" si="184"/>
        <v>85127.995225435836</v>
      </c>
      <c r="I400" s="147">
        <f t="shared" si="184"/>
        <v>94506.635787024497</v>
      </c>
      <c r="J400" s="147">
        <f t="shared" si="184"/>
        <v>103476.73683635492</v>
      </c>
      <c r="K400" s="147">
        <f t="shared" si="184"/>
        <v>115149.53662547993</v>
      </c>
      <c r="L400" s="147">
        <f t="shared" si="184"/>
        <v>126413.73819894572</v>
      </c>
      <c r="M400" s="147">
        <f t="shared" si="184"/>
        <v>136881.07</v>
      </c>
      <c r="N400" s="147" t="s">
        <v>224</v>
      </c>
      <c r="O400" s="34" t="s">
        <v>199</v>
      </c>
    </row>
    <row r="401" spans="1:15" hidden="1">
      <c r="A401" s="212" t="s">
        <v>107</v>
      </c>
      <c r="B401" s="147">
        <f t="shared" ref="B401:M401" si="185">B59</f>
        <v>97001.429711759381</v>
      </c>
      <c r="C401" s="147">
        <f t="shared" si="185"/>
        <v>173764.51832008036</v>
      </c>
      <c r="D401" s="147">
        <f t="shared" si="185"/>
        <v>233141.94134144814</v>
      </c>
      <c r="E401" s="147">
        <f t="shared" si="185"/>
        <v>296285.9510541255</v>
      </c>
      <c r="F401" s="147">
        <f t="shared" si="185"/>
        <v>361253.61989653541</v>
      </c>
      <c r="G401" s="147">
        <f t="shared" si="185"/>
        <v>416181.08145815105</v>
      </c>
      <c r="H401" s="147">
        <f t="shared" si="185"/>
        <v>483922.46060025197</v>
      </c>
      <c r="I401" s="147">
        <f t="shared" si="185"/>
        <v>541344.68563602655</v>
      </c>
      <c r="J401" s="147">
        <f t="shared" si="185"/>
        <v>588116.39175381581</v>
      </c>
      <c r="K401" s="147">
        <f t="shared" si="185"/>
        <v>646199.39414238848</v>
      </c>
      <c r="L401" s="147">
        <f t="shared" si="185"/>
        <v>701890.00921180146</v>
      </c>
      <c r="M401" s="147">
        <f t="shared" si="185"/>
        <v>763682.25</v>
      </c>
      <c r="N401" s="147" t="s">
        <v>224</v>
      </c>
      <c r="O401" s="34" t="s">
        <v>199</v>
      </c>
    </row>
    <row r="402" spans="1:15" hidden="1">
      <c r="A402" s="212" t="s">
        <v>108</v>
      </c>
      <c r="B402" s="147">
        <f t="shared" ref="B402:M402" si="186">B60</f>
        <v>7503.3736858056718</v>
      </c>
      <c r="C402" s="147">
        <f t="shared" si="186"/>
        <v>11476.630890012917</v>
      </c>
      <c r="D402" s="147">
        <f t="shared" si="186"/>
        <v>16063.320024925079</v>
      </c>
      <c r="E402" s="147">
        <f t="shared" si="186"/>
        <v>19127.259032887861</v>
      </c>
      <c r="F402" s="147">
        <f t="shared" si="186"/>
        <v>22726.895497982096</v>
      </c>
      <c r="G402" s="147">
        <f t="shared" si="186"/>
        <v>26157.637203383911</v>
      </c>
      <c r="H402" s="147">
        <f t="shared" si="186"/>
        <v>29173.115998032208</v>
      </c>
      <c r="I402" s="147">
        <f t="shared" si="186"/>
        <v>31308.708598161753</v>
      </c>
      <c r="J402" s="147">
        <f t="shared" si="186"/>
        <v>33201.32918174762</v>
      </c>
      <c r="K402" s="147">
        <f t="shared" si="186"/>
        <v>36401.370405198009</v>
      </c>
      <c r="L402" s="147">
        <f t="shared" si="186"/>
        <v>38644.847404272048</v>
      </c>
      <c r="M402" s="147">
        <f t="shared" si="186"/>
        <v>41619.199999999997</v>
      </c>
      <c r="N402" s="147" t="s">
        <v>224</v>
      </c>
      <c r="O402" s="34" t="s">
        <v>199</v>
      </c>
    </row>
    <row r="403" spans="1:15" hidden="1">
      <c r="A403" s="212" t="s">
        <v>109</v>
      </c>
      <c r="B403" s="147">
        <f t="shared" ref="B403:M403" si="187">B61</f>
        <v>561.51850840007069</v>
      </c>
      <c r="C403" s="147">
        <f t="shared" si="187"/>
        <v>864.32694346005712</v>
      </c>
      <c r="D403" s="147">
        <f t="shared" si="187"/>
        <v>1304.4907224048375</v>
      </c>
      <c r="E403" s="147">
        <f t="shared" si="187"/>
        <v>1629.9212572713204</v>
      </c>
      <c r="F403" s="147">
        <f t="shared" si="187"/>
        <v>1689.8632117868115</v>
      </c>
      <c r="G403" s="147">
        <f t="shared" si="187"/>
        <v>1928.8072406673361</v>
      </c>
      <c r="H403" s="147">
        <f t="shared" si="187"/>
        <v>2341.9697197473201</v>
      </c>
      <c r="I403" s="147">
        <f t="shared" si="187"/>
        <v>2449.4037625906531</v>
      </c>
      <c r="J403" s="147">
        <f t="shared" si="187"/>
        <v>2549.6805612194075</v>
      </c>
      <c r="K403" s="147">
        <f t="shared" si="187"/>
        <v>2627.833505695613</v>
      </c>
      <c r="L403" s="147">
        <f t="shared" si="187"/>
        <v>2780.241081400954</v>
      </c>
      <c r="M403" s="147">
        <f t="shared" si="187"/>
        <v>2958.21</v>
      </c>
      <c r="N403" s="147" t="s">
        <v>224</v>
      </c>
      <c r="O403" s="34" t="s">
        <v>199</v>
      </c>
    </row>
    <row r="404" spans="1:15" hidden="1">
      <c r="A404" s="212" t="s">
        <v>110</v>
      </c>
      <c r="B404" s="147">
        <f t="shared" ref="B404:M404" si="188">B62</f>
        <v>47160.008353128324</v>
      </c>
      <c r="C404" s="147">
        <f t="shared" si="188"/>
        <v>91599.2565250396</v>
      </c>
      <c r="D404" s="147">
        <f t="shared" si="188"/>
        <v>128268.08111820288</v>
      </c>
      <c r="E404" s="147">
        <f t="shared" si="188"/>
        <v>155418.74248025118</v>
      </c>
      <c r="F404" s="147">
        <f t="shared" si="188"/>
        <v>184669.32752248421</v>
      </c>
      <c r="G404" s="147">
        <f t="shared" si="188"/>
        <v>212345.39901331108</v>
      </c>
      <c r="H404" s="147">
        <f t="shared" si="188"/>
        <v>234733.17014226783</v>
      </c>
      <c r="I404" s="147">
        <f t="shared" si="188"/>
        <v>260873.00199939363</v>
      </c>
      <c r="J404" s="147">
        <f t="shared" si="188"/>
        <v>277898.41880259971</v>
      </c>
      <c r="K404" s="147">
        <f t="shared" si="188"/>
        <v>299748.86788482493</v>
      </c>
      <c r="L404" s="147">
        <f t="shared" si="188"/>
        <v>314724.16283001419</v>
      </c>
      <c r="M404" s="147">
        <f t="shared" si="188"/>
        <v>336083.68936591974</v>
      </c>
      <c r="N404" s="147" t="s">
        <v>224</v>
      </c>
      <c r="O404" s="34" t="s">
        <v>199</v>
      </c>
    </row>
    <row r="405" spans="1:15" hidden="1">
      <c r="A405" s="212" t="s">
        <v>111</v>
      </c>
      <c r="B405" s="147">
        <f t="shared" ref="B405:M405" si="189">B63</f>
        <v>473298.34482446022</v>
      </c>
      <c r="C405" s="147">
        <f t="shared" si="189"/>
        <v>720082.55415719282</v>
      </c>
      <c r="D405" s="147">
        <f t="shared" si="189"/>
        <v>933626.178931011</v>
      </c>
      <c r="E405" s="147">
        <f t="shared" si="189"/>
        <v>1137075.5786561593</v>
      </c>
      <c r="F405" s="147">
        <f t="shared" si="189"/>
        <v>1357656.9061789783</v>
      </c>
      <c r="G405" s="147">
        <f t="shared" si="189"/>
        <v>1537311.548595129</v>
      </c>
      <c r="H405" s="147">
        <f t="shared" si="189"/>
        <v>1805420.500130258</v>
      </c>
      <c r="I405" s="147">
        <f t="shared" si="189"/>
        <v>2073887.7261113646</v>
      </c>
      <c r="J405" s="147">
        <f t="shared" si="189"/>
        <v>2266870.4765914031</v>
      </c>
      <c r="K405" s="147">
        <f t="shared" si="189"/>
        <v>2544129.6495878948</v>
      </c>
      <c r="L405" s="147">
        <f t="shared" si="189"/>
        <v>2740394.67367164</v>
      </c>
      <c r="M405" s="147">
        <f t="shared" si="189"/>
        <v>2955102.1689929012</v>
      </c>
      <c r="N405" s="147" t="s">
        <v>224</v>
      </c>
      <c r="O405" s="34" t="s">
        <v>199</v>
      </c>
    </row>
    <row r="406" spans="1:15" hidden="1">
      <c r="A406" s="212" t="s">
        <v>112</v>
      </c>
      <c r="B406" s="147">
        <f t="shared" ref="B406:M406" si="190">B64</f>
        <v>6395.5867993949832</v>
      </c>
      <c r="C406" s="147">
        <f t="shared" si="190"/>
        <v>11543.794796658614</v>
      </c>
      <c r="D406" s="147">
        <f t="shared" si="190"/>
        <v>16232.288147516203</v>
      </c>
      <c r="E406" s="147">
        <f t="shared" si="190"/>
        <v>19429.04735923764</v>
      </c>
      <c r="F406" s="147">
        <f t="shared" si="190"/>
        <v>23629.499038026956</v>
      </c>
      <c r="G406" s="147">
        <f t="shared" si="190"/>
        <v>26945.35743483765</v>
      </c>
      <c r="H406" s="147">
        <f t="shared" si="190"/>
        <v>30424.994366900486</v>
      </c>
      <c r="I406" s="147">
        <f t="shared" si="190"/>
        <v>32764.555217929359</v>
      </c>
      <c r="J406" s="147">
        <f t="shared" si="190"/>
        <v>35251.801189405982</v>
      </c>
      <c r="K406" s="147">
        <f t="shared" si="190"/>
        <v>37488.6636069175</v>
      </c>
      <c r="L406" s="147">
        <f t="shared" si="190"/>
        <v>39077.343758143033</v>
      </c>
      <c r="M406" s="147">
        <f t="shared" si="190"/>
        <v>41425.74</v>
      </c>
      <c r="N406" s="147" t="s">
        <v>224</v>
      </c>
      <c r="O406" s="34" t="s">
        <v>199</v>
      </c>
    </row>
    <row r="407" spans="1:15" hidden="1">
      <c r="A407" s="212" t="s">
        <v>113</v>
      </c>
      <c r="B407" s="147">
        <f t="shared" ref="B407:M407" si="191">B65</f>
        <v>5516.780024909277</v>
      </c>
      <c r="C407" s="147">
        <f t="shared" si="191"/>
        <v>9644.4773239546994</v>
      </c>
      <c r="D407" s="147">
        <f t="shared" si="191"/>
        <v>12732.867862967731</v>
      </c>
      <c r="E407" s="147">
        <f t="shared" si="191"/>
        <v>15923.85031376056</v>
      </c>
      <c r="F407" s="147">
        <f t="shared" si="191"/>
        <v>19284.946980118661</v>
      </c>
      <c r="G407" s="147">
        <f t="shared" si="191"/>
        <v>23920.938624243936</v>
      </c>
      <c r="H407" s="147">
        <f t="shared" si="191"/>
        <v>28421.184432928763</v>
      </c>
      <c r="I407" s="147">
        <f t="shared" si="191"/>
        <v>36507.869272426913</v>
      </c>
      <c r="J407" s="147">
        <f t="shared" si="191"/>
        <v>39063.445830365177</v>
      </c>
      <c r="K407" s="147">
        <f t="shared" si="191"/>
        <v>43200.259199851018</v>
      </c>
      <c r="L407" s="147">
        <f t="shared" si="191"/>
        <v>47018.668613718954</v>
      </c>
      <c r="M407" s="147">
        <f t="shared" si="191"/>
        <v>49993.98</v>
      </c>
      <c r="N407" s="147" t="s">
        <v>224</v>
      </c>
      <c r="O407" s="34" t="s">
        <v>199</v>
      </c>
    </row>
    <row r="408" spans="1:15" hidden="1">
      <c r="A408" s="212" t="s">
        <v>87</v>
      </c>
      <c r="B408" s="147">
        <f t="shared" ref="B408:B434" si="192">AF76</f>
        <v>2697.0560000000005</v>
      </c>
      <c r="C408" s="147">
        <f t="shared" ref="C408:M408" si="193">AG76</f>
        <v>3304.6559999999999</v>
      </c>
      <c r="D408" s="147">
        <f t="shared" si="193"/>
        <v>2255.16</v>
      </c>
      <c r="E408" s="147">
        <f t="shared" si="193"/>
        <v>510.45600000000007</v>
      </c>
      <c r="F408" s="147">
        <f t="shared" si="193"/>
        <v>1119.96</v>
      </c>
      <c r="G408" s="147">
        <f t="shared" si="193"/>
        <v>1538.9920000000002</v>
      </c>
      <c r="H408" s="147">
        <f t="shared" si="193"/>
        <v>1752.328</v>
      </c>
      <c r="I408" s="147">
        <f t="shared" si="193"/>
        <v>3047.5439999999999</v>
      </c>
      <c r="J408" s="147">
        <f t="shared" si="193"/>
        <v>1310.4480000000001</v>
      </c>
      <c r="K408" s="147">
        <f t="shared" si="193"/>
        <v>393.13600000000002</v>
      </c>
      <c r="L408" s="147">
        <f t="shared" si="193"/>
        <v>758.80799999999999</v>
      </c>
      <c r="M408" s="147">
        <f t="shared" si="193"/>
        <v>167.61600000000001</v>
      </c>
      <c r="N408" s="147" t="s">
        <v>177</v>
      </c>
      <c r="O408" s="34" t="s">
        <v>222</v>
      </c>
    </row>
    <row r="409" spans="1:15" hidden="1">
      <c r="A409" s="212" t="s">
        <v>88</v>
      </c>
      <c r="B409" s="147">
        <f t="shared" si="192"/>
        <v>3794.1680000000001</v>
      </c>
      <c r="C409" s="147">
        <f t="shared" ref="C409:C434" si="194">AG77</f>
        <v>8479.728000000001</v>
      </c>
      <c r="D409" s="147">
        <f t="shared" ref="D409:D434" si="195">AH77</f>
        <v>1409.472</v>
      </c>
      <c r="E409" s="147">
        <f t="shared" ref="E409:E434" si="196">AI77</f>
        <v>746.64</v>
      </c>
      <c r="F409" s="147">
        <f t="shared" ref="F409:F434" si="197">AJ77</f>
        <v>959.96800000000007</v>
      </c>
      <c r="G409" s="147">
        <f t="shared" ref="G409:G434" si="198">AK77</f>
        <v>182.84800000000001</v>
      </c>
      <c r="H409" s="147">
        <f t="shared" ref="H409:H434" si="199">AL77</f>
        <v>2392.3040000000001</v>
      </c>
      <c r="I409" s="147">
        <f t="shared" ref="I409:I434" si="200">AM77</f>
        <v>2173.92</v>
      </c>
      <c r="J409" s="147">
        <f t="shared" ref="J409:J434" si="201">AN77</f>
        <v>2377.1040000000003</v>
      </c>
      <c r="K409" s="147">
        <f t="shared" ref="K409:K434" si="202">AO77</f>
        <v>253.96</v>
      </c>
      <c r="L409" s="147">
        <f t="shared" ref="L409:L434" si="203">AP77</f>
        <v>1427.248</v>
      </c>
      <c r="M409" s="147">
        <f t="shared" ref="M409:M434" si="204">AQ77</f>
        <v>1447.5680000000002</v>
      </c>
      <c r="N409" s="147" t="s">
        <v>177</v>
      </c>
      <c r="O409" s="34" t="s">
        <v>222</v>
      </c>
    </row>
    <row r="410" spans="1:15" hidden="1">
      <c r="A410" s="212" t="s">
        <v>89</v>
      </c>
      <c r="B410" s="147">
        <f t="shared" si="192"/>
        <v>2392.3040000000001</v>
      </c>
      <c r="C410" s="147">
        <f t="shared" si="194"/>
        <v>3702.7440000000006</v>
      </c>
      <c r="D410" s="147">
        <f t="shared" si="195"/>
        <v>2636.096</v>
      </c>
      <c r="E410" s="147">
        <f t="shared" si="196"/>
        <v>1828.5119999999999</v>
      </c>
      <c r="F410" s="147">
        <f t="shared" si="197"/>
        <v>548.55200000000002</v>
      </c>
      <c r="G410" s="147">
        <f t="shared" si="198"/>
        <v>2836.8240000000001</v>
      </c>
      <c r="H410" s="147">
        <f t="shared" si="199"/>
        <v>4015.1120000000005</v>
      </c>
      <c r="I410" s="147">
        <f t="shared" si="200"/>
        <v>5607.5040000000008</v>
      </c>
      <c r="J410" s="147">
        <f t="shared" si="201"/>
        <v>1447.6000000000001</v>
      </c>
      <c r="K410" s="147">
        <f t="shared" si="202"/>
        <v>266.64800000000002</v>
      </c>
      <c r="L410" s="147">
        <f t="shared" si="203"/>
        <v>2079.904</v>
      </c>
      <c r="M410" s="147">
        <f t="shared" si="204"/>
        <v>2064.7040000000002</v>
      </c>
      <c r="N410" s="147" t="s">
        <v>177</v>
      </c>
      <c r="O410" s="34" t="s">
        <v>222</v>
      </c>
    </row>
    <row r="411" spans="1:15" hidden="1">
      <c r="A411" s="212" t="s">
        <v>90</v>
      </c>
      <c r="B411" s="147">
        <f t="shared" si="192"/>
        <v>7055.0240000000013</v>
      </c>
      <c r="C411" s="147">
        <f t="shared" si="194"/>
        <v>7854.9759999999997</v>
      </c>
      <c r="D411" s="147">
        <f t="shared" si="195"/>
        <v>5015.0640000000003</v>
      </c>
      <c r="E411" s="147">
        <f t="shared" si="196"/>
        <v>1211.3920000000001</v>
      </c>
      <c r="F411" s="147">
        <f t="shared" si="197"/>
        <v>182.84800000000001</v>
      </c>
      <c r="G411" s="147">
        <f t="shared" si="198"/>
        <v>2697.0480000000002</v>
      </c>
      <c r="H411" s="147">
        <f t="shared" si="199"/>
        <v>3146.56</v>
      </c>
      <c r="I411" s="147">
        <f t="shared" si="200"/>
        <v>5288.9760000000006</v>
      </c>
      <c r="J411" s="147">
        <f t="shared" si="201"/>
        <v>1660.9360000000001</v>
      </c>
      <c r="K411" s="147">
        <f t="shared" si="202"/>
        <v>777.15200000000004</v>
      </c>
      <c r="L411" s="147">
        <f t="shared" si="203"/>
        <v>1478.0879999999997</v>
      </c>
      <c r="M411" s="147">
        <f t="shared" si="204"/>
        <v>1577.088</v>
      </c>
      <c r="N411" s="147" t="s">
        <v>177</v>
      </c>
      <c r="O411" s="34" t="s">
        <v>222</v>
      </c>
    </row>
    <row r="412" spans="1:15" hidden="1">
      <c r="A412" s="212" t="s">
        <v>91</v>
      </c>
      <c r="B412" s="147">
        <f t="shared" si="192"/>
        <v>30840.920000000002</v>
      </c>
      <c r="C412" s="147">
        <f t="shared" si="194"/>
        <v>36066.455999999998</v>
      </c>
      <c r="D412" s="147">
        <f t="shared" si="195"/>
        <v>16043.2</v>
      </c>
      <c r="E412" s="147">
        <f t="shared" si="196"/>
        <v>8719.68</v>
      </c>
      <c r="F412" s="147">
        <f t="shared" si="197"/>
        <v>4533.152</v>
      </c>
      <c r="G412" s="147">
        <f t="shared" si="198"/>
        <v>11102.448</v>
      </c>
      <c r="H412" s="147">
        <f t="shared" si="199"/>
        <v>17660.376</v>
      </c>
      <c r="I412" s="147">
        <f t="shared" si="200"/>
        <v>18569.007999999998</v>
      </c>
      <c r="J412" s="147">
        <f t="shared" si="201"/>
        <v>6823.5119999999997</v>
      </c>
      <c r="K412" s="147">
        <f t="shared" si="202"/>
        <v>1820.9360000000001</v>
      </c>
      <c r="L412" s="147">
        <f t="shared" si="203"/>
        <v>6159</v>
      </c>
      <c r="M412" s="147">
        <f t="shared" si="204"/>
        <v>4921.32</v>
      </c>
      <c r="N412" s="147" t="s">
        <v>177</v>
      </c>
      <c r="O412" s="34" t="s">
        <v>222</v>
      </c>
    </row>
    <row r="413" spans="1:15" hidden="1">
      <c r="A413" s="212" t="s">
        <v>92</v>
      </c>
      <c r="B413" s="147">
        <f t="shared" si="192"/>
        <v>19353.648000000001</v>
      </c>
      <c r="C413" s="147">
        <f t="shared" si="194"/>
        <v>14031.920000000002</v>
      </c>
      <c r="D413" s="147">
        <f t="shared" si="195"/>
        <v>7915.2320000000009</v>
      </c>
      <c r="E413" s="147">
        <f t="shared" si="196"/>
        <v>1452.6320000000001</v>
      </c>
      <c r="F413" s="147">
        <f t="shared" si="197"/>
        <v>3304.0080000000003</v>
      </c>
      <c r="G413" s="147">
        <f t="shared" si="198"/>
        <v>3276.0480000000002</v>
      </c>
      <c r="H413" s="147">
        <f t="shared" si="199"/>
        <v>7805.4240000000009</v>
      </c>
      <c r="I413" s="147">
        <f t="shared" si="200"/>
        <v>9679.7119999999995</v>
      </c>
      <c r="J413" s="147">
        <f t="shared" si="201"/>
        <v>4681.808</v>
      </c>
      <c r="K413" s="147">
        <f t="shared" si="202"/>
        <v>819</v>
      </c>
      <c r="L413" s="147">
        <f t="shared" si="203"/>
        <v>1558.0160000000003</v>
      </c>
      <c r="M413" s="147">
        <f t="shared" si="204"/>
        <v>2057.056</v>
      </c>
      <c r="N413" s="147" t="s">
        <v>177</v>
      </c>
      <c r="O413" s="34" t="s">
        <v>222</v>
      </c>
    </row>
    <row r="414" spans="1:15" hidden="1">
      <c r="A414" s="212" t="s">
        <v>93</v>
      </c>
      <c r="B414" s="147">
        <f t="shared" si="192"/>
        <v>17348.032000000003</v>
      </c>
      <c r="C414" s="147">
        <f t="shared" si="194"/>
        <v>34402.688000000002</v>
      </c>
      <c r="D414" s="147">
        <f t="shared" si="195"/>
        <v>10359.616000000002</v>
      </c>
      <c r="E414" s="147">
        <f t="shared" si="196"/>
        <v>7362.2640000000001</v>
      </c>
      <c r="F414" s="147">
        <f t="shared" si="197"/>
        <v>4771.88</v>
      </c>
      <c r="G414" s="147">
        <f t="shared" si="198"/>
        <v>9762.2000000000007</v>
      </c>
      <c r="H414" s="147">
        <f t="shared" si="199"/>
        <v>8830.1759999999995</v>
      </c>
      <c r="I414" s="147">
        <f t="shared" si="200"/>
        <v>17371.68</v>
      </c>
      <c r="J414" s="147">
        <f t="shared" si="201"/>
        <v>3055.16</v>
      </c>
      <c r="K414" s="147">
        <f t="shared" si="202"/>
        <v>4108.4480000000003</v>
      </c>
      <c r="L414" s="147">
        <f t="shared" si="203"/>
        <v>4664.6320000000005</v>
      </c>
      <c r="M414" s="147">
        <f t="shared" si="204"/>
        <v>4893.1440000000002</v>
      </c>
      <c r="N414" s="147" t="s">
        <v>177</v>
      </c>
      <c r="O414" s="34" t="s">
        <v>222</v>
      </c>
    </row>
    <row r="415" spans="1:15" hidden="1">
      <c r="A415" s="212" t="s">
        <v>94</v>
      </c>
      <c r="B415" s="147">
        <f t="shared" si="192"/>
        <v>16850.904000000002</v>
      </c>
      <c r="C415" s="147">
        <f t="shared" si="194"/>
        <v>45672.832000000002</v>
      </c>
      <c r="D415" s="147">
        <f t="shared" si="195"/>
        <v>12975.400000000001</v>
      </c>
      <c r="E415" s="147">
        <f t="shared" si="196"/>
        <v>3329.384</v>
      </c>
      <c r="F415" s="147">
        <f t="shared" si="197"/>
        <v>4197.9279999999999</v>
      </c>
      <c r="G415" s="147">
        <f t="shared" si="198"/>
        <v>4214.4160000000002</v>
      </c>
      <c r="H415" s="147">
        <f t="shared" si="199"/>
        <v>6823.92</v>
      </c>
      <c r="I415" s="147">
        <f t="shared" si="200"/>
        <v>12088.744000000001</v>
      </c>
      <c r="J415" s="147">
        <f t="shared" si="201"/>
        <v>4302.3680000000004</v>
      </c>
      <c r="K415" s="147">
        <f t="shared" si="202"/>
        <v>2081.4639999999999</v>
      </c>
      <c r="L415" s="147">
        <f t="shared" si="203"/>
        <v>3269.9920000000002</v>
      </c>
      <c r="M415" s="147">
        <f t="shared" si="204"/>
        <v>4201.9679999999998</v>
      </c>
      <c r="N415" s="147" t="s">
        <v>177</v>
      </c>
      <c r="O415" s="34" t="s">
        <v>222</v>
      </c>
    </row>
    <row r="416" spans="1:15" hidden="1">
      <c r="A416" s="212" t="s">
        <v>95</v>
      </c>
      <c r="B416" s="147">
        <f t="shared" si="192"/>
        <v>13953.848000000002</v>
      </c>
      <c r="C416" s="147">
        <f t="shared" si="194"/>
        <v>30779.976000000002</v>
      </c>
      <c r="D416" s="147">
        <f t="shared" si="195"/>
        <v>13795.688000000002</v>
      </c>
      <c r="E416" s="147">
        <f t="shared" si="196"/>
        <v>6578.8160000000007</v>
      </c>
      <c r="F416" s="147">
        <f t="shared" si="197"/>
        <v>8007.344000000001</v>
      </c>
      <c r="G416" s="147">
        <f t="shared" si="198"/>
        <v>8813.6720000000005</v>
      </c>
      <c r="H416" s="147">
        <f t="shared" si="199"/>
        <v>11978.008000000002</v>
      </c>
      <c r="I416" s="147">
        <f t="shared" si="200"/>
        <v>18768.952000000001</v>
      </c>
      <c r="J416" s="147">
        <f t="shared" si="201"/>
        <v>7455.0640000000003</v>
      </c>
      <c r="K416" s="147">
        <f t="shared" si="202"/>
        <v>3356.056</v>
      </c>
      <c r="L416" s="147">
        <f t="shared" si="203"/>
        <v>5504.5040000000008</v>
      </c>
      <c r="M416" s="147">
        <f t="shared" si="204"/>
        <v>3931.2960000000003</v>
      </c>
      <c r="N416" s="147" t="s">
        <v>177</v>
      </c>
      <c r="O416" s="34" t="s">
        <v>222</v>
      </c>
    </row>
    <row r="417" spans="1:15" hidden="1">
      <c r="A417" s="212" t="s">
        <v>96</v>
      </c>
      <c r="B417" s="147">
        <f t="shared" si="192"/>
        <v>6171.2400000000007</v>
      </c>
      <c r="C417" s="147">
        <f t="shared" si="194"/>
        <v>6721.688000000001</v>
      </c>
      <c r="D417" s="147">
        <f t="shared" si="195"/>
        <v>1851.36</v>
      </c>
      <c r="E417" s="147">
        <f t="shared" si="196"/>
        <v>319.98400000000004</v>
      </c>
      <c r="F417" s="147">
        <f t="shared" si="197"/>
        <v>685.6880000000001</v>
      </c>
      <c r="G417" s="147">
        <f t="shared" si="198"/>
        <v>2110.4</v>
      </c>
      <c r="H417" s="147">
        <f t="shared" si="199"/>
        <v>3039.8960000000002</v>
      </c>
      <c r="I417" s="147">
        <f t="shared" si="200"/>
        <v>4578.9360000000006</v>
      </c>
      <c r="J417" s="147">
        <f t="shared" si="201"/>
        <v>2144.7040000000002</v>
      </c>
      <c r="K417" s="147">
        <f t="shared" si="202"/>
        <v>982.84799999999996</v>
      </c>
      <c r="L417" s="147">
        <f t="shared" si="203"/>
        <v>1226.6479999999999</v>
      </c>
      <c r="M417" s="147">
        <f t="shared" si="204"/>
        <v>1679.9360000000001</v>
      </c>
      <c r="N417" s="147" t="s">
        <v>177</v>
      </c>
      <c r="O417" s="34" t="s">
        <v>222</v>
      </c>
    </row>
    <row r="418" spans="1:15" hidden="1">
      <c r="A418" s="212" t="s">
        <v>97</v>
      </c>
      <c r="B418" s="147">
        <f t="shared" si="192"/>
        <v>13970.344000000001</v>
      </c>
      <c r="C418" s="147">
        <f t="shared" si="194"/>
        <v>26962.615999999998</v>
      </c>
      <c r="D418" s="147">
        <f t="shared" si="195"/>
        <v>8617.728000000001</v>
      </c>
      <c r="E418" s="147">
        <f t="shared" si="196"/>
        <v>6268.32</v>
      </c>
      <c r="F418" s="147">
        <f t="shared" si="197"/>
        <v>4585.2240000000002</v>
      </c>
      <c r="G418" s="147">
        <f t="shared" si="198"/>
        <v>5546.4480000000003</v>
      </c>
      <c r="H418" s="147">
        <f t="shared" si="199"/>
        <v>5109.4160000000011</v>
      </c>
      <c r="I418" s="147">
        <f t="shared" si="200"/>
        <v>17846.264000000003</v>
      </c>
      <c r="J418" s="147">
        <f t="shared" si="201"/>
        <v>3512.3360000000002</v>
      </c>
      <c r="K418" s="147">
        <f t="shared" si="202"/>
        <v>1691.3680000000002</v>
      </c>
      <c r="L418" s="147">
        <f t="shared" si="203"/>
        <v>2201.8320000000003</v>
      </c>
      <c r="M418" s="147">
        <f t="shared" si="204"/>
        <v>2565.5840000000003</v>
      </c>
      <c r="N418" s="147" t="s">
        <v>177</v>
      </c>
      <c r="O418" s="34" t="s">
        <v>222</v>
      </c>
    </row>
    <row r="419" spans="1:15" hidden="1">
      <c r="A419" s="212" t="s">
        <v>98</v>
      </c>
      <c r="B419" s="147">
        <f t="shared" si="192"/>
        <v>21671.696</v>
      </c>
      <c r="C419" s="147">
        <f t="shared" si="194"/>
        <v>17017.544000000002</v>
      </c>
      <c r="D419" s="147">
        <f t="shared" si="195"/>
        <v>11386.567999999999</v>
      </c>
      <c r="E419" s="147">
        <f t="shared" si="196"/>
        <v>5594.3919999999998</v>
      </c>
      <c r="F419" s="147">
        <f t="shared" si="197"/>
        <v>7232.4480000000003</v>
      </c>
      <c r="G419" s="147">
        <f t="shared" si="198"/>
        <v>5240.4480000000012</v>
      </c>
      <c r="H419" s="147">
        <f t="shared" si="199"/>
        <v>12108.832000000002</v>
      </c>
      <c r="I419" s="147">
        <f t="shared" si="200"/>
        <v>10908.256000000001</v>
      </c>
      <c r="J419" s="147">
        <f t="shared" si="201"/>
        <v>6697</v>
      </c>
      <c r="K419" s="147">
        <f t="shared" si="202"/>
        <v>3100.8720000000003</v>
      </c>
      <c r="L419" s="147">
        <f t="shared" si="203"/>
        <v>3771.3199999999997</v>
      </c>
      <c r="M419" s="147">
        <f t="shared" si="204"/>
        <v>2948.4639999999999</v>
      </c>
      <c r="N419" s="147" t="s">
        <v>177</v>
      </c>
      <c r="O419" s="34" t="s">
        <v>222</v>
      </c>
    </row>
    <row r="420" spans="1:15" hidden="1">
      <c r="A420" s="212" t="s">
        <v>99</v>
      </c>
      <c r="B420" s="147">
        <f t="shared" si="192"/>
        <v>84454.495999999999</v>
      </c>
      <c r="C420" s="147">
        <f t="shared" si="194"/>
        <v>94701.664000000004</v>
      </c>
      <c r="D420" s="147">
        <f t="shared" si="195"/>
        <v>46743.056000000004</v>
      </c>
      <c r="E420" s="147">
        <f t="shared" si="196"/>
        <v>14156.248000000001</v>
      </c>
      <c r="F420" s="147">
        <f t="shared" si="197"/>
        <v>16198.752</v>
      </c>
      <c r="G420" s="147">
        <f t="shared" si="198"/>
        <v>25764.096000000005</v>
      </c>
      <c r="H420" s="147">
        <f t="shared" si="199"/>
        <v>40958.632000000005</v>
      </c>
      <c r="I420" s="147">
        <f t="shared" si="200"/>
        <v>42586.976000000002</v>
      </c>
      <c r="J420" s="147">
        <f t="shared" si="201"/>
        <v>12176.816000000001</v>
      </c>
      <c r="K420" s="147">
        <f t="shared" si="202"/>
        <v>5351.4480000000003</v>
      </c>
      <c r="L420" s="147">
        <f t="shared" si="203"/>
        <v>9232.4399999999987</v>
      </c>
      <c r="M420" s="147">
        <f t="shared" si="204"/>
        <v>14337.936</v>
      </c>
      <c r="N420" s="147" t="s">
        <v>177</v>
      </c>
      <c r="O420" s="34" t="s">
        <v>222</v>
      </c>
    </row>
    <row r="421" spans="1:15" hidden="1">
      <c r="A421" s="212" t="s">
        <v>100</v>
      </c>
      <c r="B421" s="147">
        <f t="shared" si="192"/>
        <v>7336.9039999999995</v>
      </c>
      <c r="C421" s="147">
        <f t="shared" si="194"/>
        <v>9211.1200000000008</v>
      </c>
      <c r="D421" s="147">
        <f t="shared" si="195"/>
        <v>7409.2479999999996</v>
      </c>
      <c r="E421" s="147">
        <f t="shared" si="196"/>
        <v>1417.096</v>
      </c>
      <c r="F421" s="147">
        <f t="shared" si="197"/>
        <v>1531.3760000000002</v>
      </c>
      <c r="G421" s="147">
        <f t="shared" si="198"/>
        <v>4418.88</v>
      </c>
      <c r="H421" s="147">
        <f t="shared" si="199"/>
        <v>6186.4560000000001</v>
      </c>
      <c r="I421" s="147">
        <f t="shared" si="200"/>
        <v>9034.8080000000009</v>
      </c>
      <c r="J421" s="147">
        <f t="shared" si="201"/>
        <v>2363.7759999999998</v>
      </c>
      <c r="K421" s="147">
        <f t="shared" si="202"/>
        <v>1086.4480000000001</v>
      </c>
      <c r="L421" s="147">
        <f t="shared" si="203"/>
        <v>1657.8480000000004</v>
      </c>
      <c r="M421" s="147">
        <f t="shared" si="204"/>
        <v>463.608</v>
      </c>
      <c r="N421" s="147" t="s">
        <v>177</v>
      </c>
      <c r="O421" s="34" t="s">
        <v>222</v>
      </c>
    </row>
    <row r="422" spans="1:15" hidden="1">
      <c r="A422" s="212" t="s">
        <v>101</v>
      </c>
      <c r="B422" s="147">
        <f t="shared" si="192"/>
        <v>6376.9440000000004</v>
      </c>
      <c r="C422" s="147">
        <f t="shared" si="194"/>
        <v>10910.136</v>
      </c>
      <c r="D422" s="147">
        <f t="shared" si="195"/>
        <v>6592.1440000000002</v>
      </c>
      <c r="E422" s="147">
        <f t="shared" si="196"/>
        <v>2062.1439999999998</v>
      </c>
      <c r="F422" s="147">
        <f t="shared" si="197"/>
        <v>2270.4</v>
      </c>
      <c r="G422" s="147">
        <f t="shared" si="198"/>
        <v>3535.12</v>
      </c>
      <c r="H422" s="147">
        <f t="shared" si="199"/>
        <v>4223.3919999999998</v>
      </c>
      <c r="I422" s="147">
        <f t="shared" si="200"/>
        <v>6205.5440000000008</v>
      </c>
      <c r="J422" s="147">
        <f t="shared" si="201"/>
        <v>1295.2080000000001</v>
      </c>
      <c r="K422" s="147">
        <f t="shared" si="202"/>
        <v>914.24800000000005</v>
      </c>
      <c r="L422" s="147">
        <f t="shared" si="203"/>
        <v>1447.5599999999995</v>
      </c>
      <c r="M422" s="147">
        <f t="shared" si="204"/>
        <v>3847.4560000000001</v>
      </c>
      <c r="N422" s="147" t="s">
        <v>177</v>
      </c>
      <c r="O422" s="34" t="s">
        <v>222</v>
      </c>
    </row>
    <row r="423" spans="1:15" hidden="1">
      <c r="A423" s="212" t="s">
        <v>102</v>
      </c>
      <c r="B423" s="147">
        <f t="shared" si="192"/>
        <v>106628.96000000002</v>
      </c>
      <c r="C423" s="147">
        <f t="shared" si="194"/>
        <v>106411.66399999999</v>
      </c>
      <c r="D423" s="147">
        <f t="shared" si="195"/>
        <v>78715.504000000015</v>
      </c>
      <c r="E423" s="147">
        <f t="shared" si="196"/>
        <v>32472.976000000002</v>
      </c>
      <c r="F423" s="147">
        <f t="shared" si="197"/>
        <v>30086.440000000002</v>
      </c>
      <c r="G423" s="147">
        <f t="shared" si="198"/>
        <v>48530.880000000005</v>
      </c>
      <c r="H423" s="147">
        <f t="shared" si="199"/>
        <v>56680.959999999999</v>
      </c>
      <c r="I423" s="147">
        <f t="shared" si="200"/>
        <v>60975.088000000003</v>
      </c>
      <c r="J423" s="147">
        <f t="shared" si="201"/>
        <v>22474.135999999999</v>
      </c>
      <c r="K423" s="147">
        <f t="shared" si="202"/>
        <v>9027.848</v>
      </c>
      <c r="L423" s="147">
        <f t="shared" si="203"/>
        <v>15988.839999999997</v>
      </c>
      <c r="M423" s="147">
        <f t="shared" si="204"/>
        <v>13659.264000000003</v>
      </c>
      <c r="N423" s="147" t="s">
        <v>177</v>
      </c>
      <c r="O423" s="34" t="s">
        <v>222</v>
      </c>
    </row>
    <row r="424" spans="1:15" hidden="1">
      <c r="A424" s="212" t="s">
        <v>103</v>
      </c>
      <c r="B424" s="147">
        <f t="shared" si="192"/>
        <v>22182.168000000001</v>
      </c>
      <c r="C424" s="147">
        <f t="shared" si="194"/>
        <v>28568.576000000001</v>
      </c>
      <c r="D424" s="147">
        <f t="shared" si="195"/>
        <v>10928.152000000002</v>
      </c>
      <c r="E424" s="147">
        <f t="shared" si="196"/>
        <v>5470.2560000000003</v>
      </c>
      <c r="F424" s="147">
        <f t="shared" si="197"/>
        <v>4723.6160000000009</v>
      </c>
      <c r="G424" s="147">
        <f t="shared" si="198"/>
        <v>5683.5840000000007</v>
      </c>
      <c r="H424" s="147">
        <f t="shared" si="199"/>
        <v>7561.6320000000014</v>
      </c>
      <c r="I424" s="147">
        <f t="shared" si="200"/>
        <v>14390.648000000001</v>
      </c>
      <c r="J424" s="147">
        <f t="shared" si="201"/>
        <v>5766.2640000000001</v>
      </c>
      <c r="K424" s="147">
        <f t="shared" si="202"/>
        <v>1234.232</v>
      </c>
      <c r="L424" s="147">
        <f t="shared" si="203"/>
        <v>2971.3039999999996</v>
      </c>
      <c r="M424" s="147">
        <f t="shared" si="204"/>
        <v>3954.1360000000004</v>
      </c>
      <c r="N424" s="147" t="s">
        <v>177</v>
      </c>
      <c r="O424" s="34" t="s">
        <v>222</v>
      </c>
    </row>
    <row r="425" spans="1:15" hidden="1">
      <c r="A425" s="212" t="s">
        <v>104</v>
      </c>
      <c r="B425" s="147">
        <f t="shared" si="192"/>
        <v>8445.4480000000003</v>
      </c>
      <c r="C425" s="147">
        <f t="shared" si="194"/>
        <v>8008.92</v>
      </c>
      <c r="D425" s="147">
        <f t="shared" si="195"/>
        <v>3603.056</v>
      </c>
      <c r="E425" s="147">
        <f t="shared" si="196"/>
        <v>914.24800000000005</v>
      </c>
      <c r="F425" s="147">
        <f t="shared" si="197"/>
        <v>1024.72</v>
      </c>
      <c r="G425" s="147">
        <f t="shared" si="198"/>
        <v>1978.7439999999999</v>
      </c>
      <c r="H425" s="147">
        <f t="shared" si="199"/>
        <v>5601.0879999999997</v>
      </c>
      <c r="I425" s="147">
        <f t="shared" si="200"/>
        <v>5675.3680000000004</v>
      </c>
      <c r="J425" s="147">
        <f t="shared" si="201"/>
        <v>1573.672</v>
      </c>
      <c r="K425" s="147">
        <f t="shared" si="202"/>
        <v>1425.48</v>
      </c>
      <c r="L425" s="147">
        <f t="shared" si="203"/>
        <v>1760.7040000000002</v>
      </c>
      <c r="M425" s="147">
        <f t="shared" si="204"/>
        <v>2059.712</v>
      </c>
      <c r="N425" s="147" t="s">
        <v>177</v>
      </c>
      <c r="O425" s="34" t="s">
        <v>222</v>
      </c>
    </row>
    <row r="426" spans="1:15" hidden="1">
      <c r="A426" s="212" t="s">
        <v>105</v>
      </c>
      <c r="B426" s="147">
        <f t="shared" si="192"/>
        <v>125810.91200000001</v>
      </c>
      <c r="C426" s="147">
        <f t="shared" si="194"/>
        <v>143578.17600000001</v>
      </c>
      <c r="D426" s="147">
        <f t="shared" si="195"/>
        <v>75875.376000000004</v>
      </c>
      <c r="E426" s="147">
        <f t="shared" si="196"/>
        <v>23336.848000000002</v>
      </c>
      <c r="F426" s="147">
        <f t="shared" si="197"/>
        <v>15936.495999999999</v>
      </c>
      <c r="G426" s="147">
        <f t="shared" si="198"/>
        <v>34346.624000000003</v>
      </c>
      <c r="H426" s="147">
        <f t="shared" si="199"/>
        <v>41122.344000000005</v>
      </c>
      <c r="I426" s="147">
        <f t="shared" si="200"/>
        <v>57174.728000000003</v>
      </c>
      <c r="J426" s="147">
        <f t="shared" si="201"/>
        <v>14805.048000000003</v>
      </c>
      <c r="K426" s="147">
        <f t="shared" si="202"/>
        <v>8140.3919999999998</v>
      </c>
      <c r="L426" s="147">
        <f t="shared" si="203"/>
        <v>13376.352000000003</v>
      </c>
      <c r="M426" s="147">
        <f t="shared" si="204"/>
        <v>15631</v>
      </c>
      <c r="N426" s="147" t="s">
        <v>177</v>
      </c>
      <c r="O426" s="34" t="s">
        <v>222</v>
      </c>
    </row>
    <row r="427" spans="1:15" hidden="1">
      <c r="A427" s="212" t="s">
        <v>106</v>
      </c>
      <c r="B427" s="147">
        <f t="shared" si="192"/>
        <v>5005.5519999999997</v>
      </c>
      <c r="C427" s="147">
        <f t="shared" si="194"/>
        <v>9249.2160000000003</v>
      </c>
      <c r="D427" s="147">
        <f t="shared" si="195"/>
        <v>5501.384</v>
      </c>
      <c r="E427" s="147">
        <f t="shared" si="196"/>
        <v>1932.6320000000001</v>
      </c>
      <c r="F427" s="147">
        <f t="shared" si="197"/>
        <v>2811.328</v>
      </c>
      <c r="G427" s="147">
        <f t="shared" si="198"/>
        <v>2247.5360000000001</v>
      </c>
      <c r="H427" s="147">
        <f t="shared" si="199"/>
        <v>2294.5360000000001</v>
      </c>
      <c r="I427" s="147">
        <f t="shared" si="200"/>
        <v>7312.7839999999997</v>
      </c>
      <c r="J427" s="147">
        <f t="shared" si="201"/>
        <v>1536.4880000000001</v>
      </c>
      <c r="K427" s="147">
        <f t="shared" si="202"/>
        <v>599.35200000000009</v>
      </c>
      <c r="L427" s="147">
        <f t="shared" si="203"/>
        <v>599.35200000000009</v>
      </c>
      <c r="M427" s="147">
        <f t="shared" si="204"/>
        <v>1249.4560000000001</v>
      </c>
      <c r="N427" s="147" t="s">
        <v>177</v>
      </c>
      <c r="O427" s="34" t="s">
        <v>222</v>
      </c>
    </row>
    <row r="428" spans="1:15" hidden="1">
      <c r="A428" s="212" t="s">
        <v>107</v>
      </c>
      <c r="B428" s="147">
        <f t="shared" si="192"/>
        <v>98484.488000000012</v>
      </c>
      <c r="C428" s="147">
        <f t="shared" si="194"/>
        <v>116429.144</v>
      </c>
      <c r="D428" s="147">
        <f t="shared" si="195"/>
        <v>62860.743999999999</v>
      </c>
      <c r="E428" s="147">
        <f t="shared" si="196"/>
        <v>28207.768</v>
      </c>
      <c r="F428" s="147">
        <f t="shared" si="197"/>
        <v>25030.760000000002</v>
      </c>
      <c r="G428" s="147">
        <f t="shared" si="198"/>
        <v>37227.167999999998</v>
      </c>
      <c r="H428" s="147">
        <f t="shared" si="199"/>
        <v>43995.936000000002</v>
      </c>
      <c r="I428" s="147">
        <f t="shared" si="200"/>
        <v>66542.248000000007</v>
      </c>
      <c r="J428" s="147">
        <f t="shared" si="201"/>
        <v>23378.2</v>
      </c>
      <c r="K428" s="147">
        <f t="shared" si="202"/>
        <v>12853.656000000001</v>
      </c>
      <c r="L428" s="147">
        <f t="shared" si="203"/>
        <v>22386.495999999999</v>
      </c>
      <c r="M428" s="147">
        <f t="shared" si="204"/>
        <v>18873.144</v>
      </c>
      <c r="N428" s="147" t="s">
        <v>177</v>
      </c>
      <c r="O428" s="34" t="s">
        <v>222</v>
      </c>
    </row>
    <row r="429" spans="1:15" hidden="1">
      <c r="A429" s="212" t="s">
        <v>108</v>
      </c>
      <c r="B429" s="147">
        <f t="shared" si="192"/>
        <v>5562.9920000000002</v>
      </c>
      <c r="C429" s="147">
        <f t="shared" si="194"/>
        <v>2956.0880000000002</v>
      </c>
      <c r="D429" s="147">
        <f t="shared" si="195"/>
        <v>4883.6320000000005</v>
      </c>
      <c r="E429" s="147">
        <f t="shared" si="196"/>
        <v>2232.2959999999998</v>
      </c>
      <c r="F429" s="147">
        <f t="shared" si="197"/>
        <v>2095.1680000000001</v>
      </c>
      <c r="G429" s="147">
        <f t="shared" si="198"/>
        <v>2765.6160000000004</v>
      </c>
      <c r="H429" s="147">
        <f t="shared" si="199"/>
        <v>2133.2720000000004</v>
      </c>
      <c r="I429" s="147">
        <f t="shared" si="200"/>
        <v>3429.76</v>
      </c>
      <c r="J429" s="147">
        <f t="shared" si="201"/>
        <v>1517.432</v>
      </c>
      <c r="K429" s="147">
        <f t="shared" si="202"/>
        <v>322.54400000000004</v>
      </c>
      <c r="L429" s="147">
        <f t="shared" si="203"/>
        <v>932.04000000000019</v>
      </c>
      <c r="M429" s="147">
        <f t="shared" si="204"/>
        <v>868.5440000000001</v>
      </c>
      <c r="N429" s="147" t="s">
        <v>177</v>
      </c>
      <c r="O429" s="34" t="s">
        <v>222</v>
      </c>
    </row>
    <row r="430" spans="1:15" hidden="1">
      <c r="A430" s="212" t="s">
        <v>109</v>
      </c>
      <c r="B430" s="147">
        <f t="shared" si="192"/>
        <v>2559.92</v>
      </c>
      <c r="C430" s="147">
        <f t="shared" si="194"/>
        <v>1005.68</v>
      </c>
      <c r="D430" s="147">
        <f t="shared" si="195"/>
        <v>1500.9120000000003</v>
      </c>
      <c r="E430" s="147">
        <f t="shared" si="196"/>
        <v>0</v>
      </c>
      <c r="F430" s="147">
        <f t="shared" si="197"/>
        <v>0</v>
      </c>
      <c r="G430" s="147">
        <f t="shared" si="198"/>
        <v>91.424000000000035</v>
      </c>
      <c r="H430" s="147">
        <f t="shared" si="199"/>
        <v>548.55200000000002</v>
      </c>
      <c r="I430" s="147">
        <f t="shared" si="200"/>
        <v>182.85599999999999</v>
      </c>
      <c r="J430" s="147">
        <f t="shared" si="201"/>
        <v>451.03999999999996</v>
      </c>
      <c r="K430" s="147">
        <f t="shared" si="202"/>
        <v>152.376</v>
      </c>
      <c r="L430" s="147">
        <f t="shared" si="203"/>
        <v>228.56799999999998</v>
      </c>
      <c r="M430" s="147">
        <f t="shared" si="204"/>
        <v>219.42399999999998</v>
      </c>
      <c r="N430" s="147" t="s">
        <v>177</v>
      </c>
      <c r="O430" s="34" t="s">
        <v>222</v>
      </c>
    </row>
    <row r="431" spans="1:15" hidden="1">
      <c r="A431" s="212" t="s">
        <v>110</v>
      </c>
      <c r="B431" s="147">
        <f t="shared" si="192"/>
        <v>57631.528000000006</v>
      </c>
      <c r="C431" s="147">
        <f t="shared" si="194"/>
        <v>89545.631999999998</v>
      </c>
      <c r="D431" s="147">
        <f t="shared" si="195"/>
        <v>40676.592000000004</v>
      </c>
      <c r="E431" s="147">
        <f t="shared" si="196"/>
        <v>20754.440000000002</v>
      </c>
      <c r="F431" s="147">
        <f t="shared" si="197"/>
        <v>14580.064000000002</v>
      </c>
      <c r="G431" s="147">
        <f t="shared" si="198"/>
        <v>28890.368000000002</v>
      </c>
      <c r="H431" s="147">
        <f t="shared" si="199"/>
        <v>27032.152000000002</v>
      </c>
      <c r="I431" s="147">
        <f t="shared" si="200"/>
        <v>43838.928000000007</v>
      </c>
      <c r="J431" s="147">
        <f t="shared" si="201"/>
        <v>10427.992</v>
      </c>
      <c r="K431" s="147">
        <f t="shared" si="202"/>
        <v>5050.232</v>
      </c>
      <c r="L431" s="147">
        <f t="shared" si="203"/>
        <v>5332.1360000000004</v>
      </c>
      <c r="M431" s="147">
        <f t="shared" si="204"/>
        <v>8882.6880000000001</v>
      </c>
      <c r="N431" s="147" t="s">
        <v>177</v>
      </c>
      <c r="O431" s="34" t="s">
        <v>222</v>
      </c>
    </row>
    <row r="432" spans="1:15" hidden="1">
      <c r="A432" s="212" t="s">
        <v>111</v>
      </c>
      <c r="B432" s="147">
        <f t="shared" si="192"/>
        <v>385907.76800000004</v>
      </c>
      <c r="C432" s="147">
        <f t="shared" si="194"/>
        <v>467816.91200000001</v>
      </c>
      <c r="D432" s="147">
        <f t="shared" si="195"/>
        <v>221627.05600000001</v>
      </c>
      <c r="E432" s="147">
        <f t="shared" si="196"/>
        <v>95789.352000000014</v>
      </c>
      <c r="F432" s="147">
        <f t="shared" si="197"/>
        <v>72968.072</v>
      </c>
      <c r="G432" s="147">
        <f t="shared" si="198"/>
        <v>103465.944</v>
      </c>
      <c r="H432" s="147">
        <f t="shared" si="199"/>
        <v>104462.296</v>
      </c>
      <c r="I432" s="147">
        <f t="shared" si="200"/>
        <v>141136.82399999999</v>
      </c>
      <c r="J432" s="147">
        <f t="shared" si="201"/>
        <v>54066.128000000004</v>
      </c>
      <c r="K432" s="147">
        <f t="shared" si="202"/>
        <v>21150.624</v>
      </c>
      <c r="L432" s="147">
        <f t="shared" si="203"/>
        <v>39511.784000000014</v>
      </c>
      <c r="M432" s="147">
        <f t="shared" si="204"/>
        <v>43030.776000000005</v>
      </c>
      <c r="N432" s="147" t="s">
        <v>177</v>
      </c>
      <c r="O432" s="34" t="s">
        <v>222</v>
      </c>
    </row>
    <row r="433" spans="1:15" hidden="1">
      <c r="A433" s="212" t="s">
        <v>112</v>
      </c>
      <c r="B433" s="147">
        <f t="shared" si="192"/>
        <v>7274.0560000000005</v>
      </c>
      <c r="C433" s="147">
        <f t="shared" si="194"/>
        <v>5950.2800000000007</v>
      </c>
      <c r="D433" s="147">
        <f t="shared" si="195"/>
        <v>4997.9120000000003</v>
      </c>
      <c r="E433" s="147">
        <f t="shared" si="196"/>
        <v>967.58400000000006</v>
      </c>
      <c r="F433" s="147">
        <f t="shared" si="197"/>
        <v>1005.672</v>
      </c>
      <c r="G433" s="147">
        <f t="shared" si="198"/>
        <v>1158.056</v>
      </c>
      <c r="H433" s="147">
        <f t="shared" si="199"/>
        <v>2377.08</v>
      </c>
      <c r="I433" s="147">
        <f t="shared" si="200"/>
        <v>2927.1680000000001</v>
      </c>
      <c r="J433" s="147">
        <f t="shared" si="201"/>
        <v>1037.7040000000002</v>
      </c>
      <c r="K433" s="147">
        <f t="shared" si="202"/>
        <v>365.69600000000003</v>
      </c>
      <c r="L433" s="147">
        <f t="shared" si="203"/>
        <v>717.68000000000006</v>
      </c>
      <c r="M433" s="147">
        <f t="shared" si="204"/>
        <v>1112.3520000000001</v>
      </c>
      <c r="N433" s="147" t="s">
        <v>177</v>
      </c>
      <c r="O433" s="34" t="s">
        <v>222</v>
      </c>
    </row>
    <row r="434" spans="1:15" hidden="1">
      <c r="A434" s="212" t="s">
        <v>113</v>
      </c>
      <c r="B434" s="147">
        <f t="shared" si="192"/>
        <v>2986.5680000000002</v>
      </c>
      <c r="C434" s="147">
        <f t="shared" si="194"/>
        <v>3626.5440000000003</v>
      </c>
      <c r="D434" s="147">
        <f t="shared" si="195"/>
        <v>3371.3120000000004</v>
      </c>
      <c r="E434" s="147">
        <f t="shared" si="196"/>
        <v>1036.1600000000001</v>
      </c>
      <c r="F434" s="147">
        <f t="shared" si="197"/>
        <v>700.928</v>
      </c>
      <c r="G434" s="147">
        <f t="shared" si="198"/>
        <v>2049.4480000000003</v>
      </c>
      <c r="H434" s="147">
        <f t="shared" si="199"/>
        <v>2369.4479999999999</v>
      </c>
      <c r="I434" s="147">
        <f t="shared" si="200"/>
        <v>3923.7040000000002</v>
      </c>
      <c r="J434" s="147">
        <f t="shared" si="201"/>
        <v>901.55200000000013</v>
      </c>
      <c r="K434" s="147">
        <f t="shared" si="202"/>
        <v>845.68</v>
      </c>
      <c r="L434" s="147">
        <f t="shared" si="203"/>
        <v>2034.1920000000002</v>
      </c>
      <c r="M434" s="147">
        <f t="shared" si="204"/>
        <v>1119.952</v>
      </c>
      <c r="N434" s="147" t="s">
        <v>177</v>
      </c>
      <c r="O434" s="34" t="s">
        <v>222</v>
      </c>
    </row>
    <row r="435" spans="1:15" hidden="1">
      <c r="A435" s="212" t="s">
        <v>87</v>
      </c>
      <c r="B435" s="147">
        <f t="shared" ref="B435:B461" si="205">Q76</f>
        <v>1737.5868319421527</v>
      </c>
      <c r="C435" s="147">
        <f t="shared" ref="C435:M435" si="206">R76</f>
        <v>3911.4383726007609</v>
      </c>
      <c r="D435" s="147">
        <f t="shared" si="206"/>
        <v>5331.1082993654854</v>
      </c>
      <c r="E435" s="147">
        <f t="shared" si="206"/>
        <v>6946.962737283664</v>
      </c>
      <c r="F435" s="147">
        <f t="shared" si="206"/>
        <v>8941.7648455299986</v>
      </c>
      <c r="G435" s="147">
        <f t="shared" si="206"/>
        <v>10617.657572742784</v>
      </c>
      <c r="H435" s="147">
        <f t="shared" si="206"/>
        <v>11387.117183166574</v>
      </c>
      <c r="I435" s="147">
        <f t="shared" si="206"/>
        <v>12483.649494800256</v>
      </c>
      <c r="J435" s="147">
        <f t="shared" si="206"/>
        <v>13086.501850302191</v>
      </c>
      <c r="K435" s="147">
        <f t="shared" si="206"/>
        <v>13571.607390567138</v>
      </c>
      <c r="L435" s="147">
        <f t="shared" si="206"/>
        <v>14126.921428255027</v>
      </c>
      <c r="M435" s="147">
        <f t="shared" si="206"/>
        <v>15220.45</v>
      </c>
      <c r="N435" s="147" t="s">
        <v>176</v>
      </c>
      <c r="O435" s="34" t="s">
        <v>222</v>
      </c>
    </row>
    <row r="436" spans="1:15" hidden="1">
      <c r="A436" s="212" t="s">
        <v>88</v>
      </c>
      <c r="B436" s="147">
        <f t="shared" si="205"/>
        <v>4097.5205755866918</v>
      </c>
      <c r="C436" s="147">
        <f t="shared" ref="C436:C461" si="207">R77</f>
        <v>11441.284900356204</v>
      </c>
      <c r="D436" s="147">
        <f t="shared" ref="D436:D461" si="208">S77</f>
        <v>13666.742048284777</v>
      </c>
      <c r="E436" s="147">
        <f t="shared" ref="E436:E461" si="209">T77</f>
        <v>15015.502460048679</v>
      </c>
      <c r="F436" s="147">
        <f t="shared" ref="F436:F461" si="210">U77</f>
        <v>17376.833805420683</v>
      </c>
      <c r="G436" s="147">
        <f t="shared" ref="G436:G461" si="211">V77</f>
        <v>19293.808204853896</v>
      </c>
      <c r="H436" s="147">
        <f t="shared" ref="H436:H461" si="212">W77</f>
        <v>20567.470561805909</v>
      </c>
      <c r="I436" s="147">
        <f t="shared" ref="I436:I461" si="213">X77</f>
        <v>22034.245488514833</v>
      </c>
      <c r="J436" s="147">
        <f t="shared" ref="J436:J461" si="214">Y77</f>
        <v>22912.947332187974</v>
      </c>
      <c r="K436" s="147">
        <f t="shared" ref="K436:K461" si="215">Z77</f>
        <v>23436.387721371964</v>
      </c>
      <c r="L436" s="147">
        <f t="shared" ref="L436:L461" si="216">AA77</f>
        <v>24116.011573914133</v>
      </c>
      <c r="M436" s="147">
        <f t="shared" ref="M436:M461" si="217">AB77</f>
        <v>25007.51</v>
      </c>
      <c r="N436" s="147" t="s">
        <v>176</v>
      </c>
      <c r="O436" s="34" t="s">
        <v>222</v>
      </c>
    </row>
    <row r="437" spans="1:15" hidden="1">
      <c r="A437" s="212" t="s">
        <v>89</v>
      </c>
      <c r="B437" s="147">
        <f t="shared" si="205"/>
        <v>1168.7741232922074</v>
      </c>
      <c r="C437" s="147">
        <f t="shared" si="207"/>
        <v>2404.3228342195262</v>
      </c>
      <c r="D437" s="147">
        <f t="shared" si="208"/>
        <v>3075.2686641583718</v>
      </c>
      <c r="E437" s="147">
        <f t="shared" si="209"/>
        <v>5026.4970555473301</v>
      </c>
      <c r="F437" s="147">
        <f t="shared" si="210"/>
        <v>7241.9167495904139</v>
      </c>
      <c r="G437" s="147">
        <f t="shared" si="211"/>
        <v>10119.725952682857</v>
      </c>
      <c r="H437" s="147">
        <f t="shared" si="212"/>
        <v>11617.406963894709</v>
      </c>
      <c r="I437" s="147">
        <f t="shared" si="213"/>
        <v>12530.121516182222</v>
      </c>
      <c r="J437" s="147">
        <f t="shared" si="214"/>
        <v>13535.312794015706</v>
      </c>
      <c r="K437" s="147">
        <f t="shared" si="215"/>
        <v>14592.340925935623</v>
      </c>
      <c r="L437" s="147">
        <f t="shared" si="216"/>
        <v>15402.0722494536</v>
      </c>
      <c r="M437" s="147">
        <f t="shared" si="217"/>
        <v>16003.19</v>
      </c>
      <c r="N437" s="147" t="s">
        <v>176</v>
      </c>
      <c r="O437" s="34" t="s">
        <v>222</v>
      </c>
    </row>
    <row r="438" spans="1:15" hidden="1">
      <c r="A438" s="212" t="s">
        <v>90</v>
      </c>
      <c r="B438" s="147">
        <f t="shared" si="205"/>
        <v>3900.3688128841013</v>
      </c>
      <c r="C438" s="147">
        <f t="shared" si="207"/>
        <v>10182.572925995733</v>
      </c>
      <c r="D438" s="147">
        <f t="shared" si="208"/>
        <v>16654.938028013054</v>
      </c>
      <c r="E438" s="147">
        <f t="shared" si="209"/>
        <v>20770.358396160893</v>
      </c>
      <c r="F438" s="147">
        <f t="shared" si="210"/>
        <v>25458.185414115116</v>
      </c>
      <c r="G438" s="147">
        <f t="shared" si="211"/>
        <v>30147.117504348986</v>
      </c>
      <c r="H438" s="147">
        <f t="shared" si="212"/>
        <v>32954.536307488044</v>
      </c>
      <c r="I438" s="147">
        <f t="shared" si="213"/>
        <v>34775.631537284942</v>
      </c>
      <c r="J438" s="147">
        <f t="shared" si="214"/>
        <v>35956.027846139215</v>
      </c>
      <c r="K438" s="147">
        <f t="shared" si="215"/>
        <v>37159.985668800262</v>
      </c>
      <c r="L438" s="147">
        <f t="shared" si="216"/>
        <v>37613.550215076873</v>
      </c>
      <c r="M438" s="147">
        <f t="shared" si="217"/>
        <v>38909.86</v>
      </c>
      <c r="N438" s="147" t="s">
        <v>176</v>
      </c>
      <c r="O438" s="34" t="s">
        <v>222</v>
      </c>
    </row>
    <row r="439" spans="1:15" hidden="1">
      <c r="A439" s="212" t="s">
        <v>91</v>
      </c>
      <c r="B439" s="147">
        <f t="shared" si="205"/>
        <v>21042.226531395434</v>
      </c>
      <c r="C439" s="147">
        <f t="shared" si="207"/>
        <v>65891.327284792264</v>
      </c>
      <c r="D439" s="147">
        <f t="shared" si="208"/>
        <v>81569.971482448149</v>
      </c>
      <c r="E439" s="147">
        <f t="shared" si="209"/>
        <v>96647.833489437166</v>
      </c>
      <c r="F439" s="147">
        <f t="shared" si="210"/>
        <v>114656.90572375926</v>
      </c>
      <c r="G439" s="147">
        <f t="shared" si="211"/>
        <v>136454.48678014247</v>
      </c>
      <c r="H439" s="147">
        <f t="shared" si="212"/>
        <v>143535.26506542382</v>
      </c>
      <c r="I439" s="147">
        <f t="shared" si="213"/>
        <v>150428.80933951575</v>
      </c>
      <c r="J439" s="147">
        <f t="shared" si="214"/>
        <v>156024.2608066269</v>
      </c>
      <c r="K439" s="147">
        <f t="shared" si="215"/>
        <v>160381.7049718819</v>
      </c>
      <c r="L439" s="147">
        <f t="shared" si="216"/>
        <v>163472.10928465056</v>
      </c>
      <c r="M439" s="147">
        <f t="shared" si="217"/>
        <v>166075.54</v>
      </c>
      <c r="N439" s="147" t="s">
        <v>176</v>
      </c>
      <c r="O439" s="34" t="s">
        <v>222</v>
      </c>
    </row>
    <row r="440" spans="1:15" hidden="1">
      <c r="A440" s="212" t="s">
        <v>92</v>
      </c>
      <c r="B440" s="147">
        <f t="shared" si="205"/>
        <v>15085.757207785877</v>
      </c>
      <c r="C440" s="147">
        <f t="shared" si="207"/>
        <v>35085.376105855772</v>
      </c>
      <c r="D440" s="147">
        <f t="shared" si="208"/>
        <v>44805.093836755303</v>
      </c>
      <c r="E440" s="147">
        <f t="shared" si="209"/>
        <v>52932.152521507087</v>
      </c>
      <c r="F440" s="147">
        <f t="shared" si="210"/>
        <v>62024.528425363016</v>
      </c>
      <c r="G440" s="147">
        <f t="shared" si="211"/>
        <v>72540.293539428632</v>
      </c>
      <c r="H440" s="147">
        <f t="shared" si="212"/>
        <v>74631.928741704571</v>
      </c>
      <c r="I440" s="147">
        <f t="shared" si="213"/>
        <v>76774.336613417705</v>
      </c>
      <c r="J440" s="147">
        <f t="shared" si="214"/>
        <v>79420.776336963929</v>
      </c>
      <c r="K440" s="147">
        <f t="shared" si="215"/>
        <v>82078.225210724195</v>
      </c>
      <c r="L440" s="147">
        <f t="shared" si="216"/>
        <v>84111.050609507613</v>
      </c>
      <c r="M440" s="147">
        <f t="shared" si="217"/>
        <v>86662.07</v>
      </c>
      <c r="N440" s="147" t="s">
        <v>176</v>
      </c>
      <c r="O440" s="34" t="s">
        <v>222</v>
      </c>
    </row>
    <row r="441" spans="1:15" hidden="1">
      <c r="A441" s="212" t="s">
        <v>93</v>
      </c>
      <c r="B441" s="147">
        <f t="shared" si="205"/>
        <v>9488.5609774969562</v>
      </c>
      <c r="C441" s="147">
        <f t="shared" si="207"/>
        <v>37327.642325721405</v>
      </c>
      <c r="D441" s="147">
        <f t="shared" si="208"/>
        <v>48304.533700805252</v>
      </c>
      <c r="E441" s="147">
        <f t="shared" si="209"/>
        <v>60268.758836562796</v>
      </c>
      <c r="F441" s="147">
        <f t="shared" si="210"/>
        <v>70199.432999087003</v>
      </c>
      <c r="G441" s="147">
        <f t="shared" si="211"/>
        <v>85076.944596352434</v>
      </c>
      <c r="H441" s="147">
        <f t="shared" si="212"/>
        <v>91055.070948193548</v>
      </c>
      <c r="I441" s="147">
        <f t="shared" si="213"/>
        <v>94831.01889695102</v>
      </c>
      <c r="J441" s="147">
        <f t="shared" si="214"/>
        <v>97993.215138838059</v>
      </c>
      <c r="K441" s="147">
        <f t="shared" si="215"/>
        <v>100677.68142919515</v>
      </c>
      <c r="L441" s="147">
        <f t="shared" si="216"/>
        <v>103033.93390091232</v>
      </c>
      <c r="M441" s="147">
        <f t="shared" si="217"/>
        <v>106063.11</v>
      </c>
      <c r="N441" s="147" t="s">
        <v>176</v>
      </c>
      <c r="O441" s="34" t="s">
        <v>222</v>
      </c>
    </row>
    <row r="442" spans="1:15" hidden="1">
      <c r="A442" s="212" t="s">
        <v>94</v>
      </c>
      <c r="B442" s="147">
        <f t="shared" si="205"/>
        <v>10920.344622852905</v>
      </c>
      <c r="C442" s="147">
        <f t="shared" si="207"/>
        <v>36740.561907234085</v>
      </c>
      <c r="D442" s="147">
        <f t="shared" si="208"/>
        <v>48210.695252040379</v>
      </c>
      <c r="E442" s="147">
        <f t="shared" si="209"/>
        <v>57194.259164165487</v>
      </c>
      <c r="F442" s="147">
        <f t="shared" si="210"/>
        <v>68836.120836016387</v>
      </c>
      <c r="G442" s="147">
        <f t="shared" si="211"/>
        <v>81668.623753246895</v>
      </c>
      <c r="H442" s="147">
        <f t="shared" si="212"/>
        <v>87481.359606162951</v>
      </c>
      <c r="I442" s="147">
        <f t="shared" si="213"/>
        <v>94996.910621273491</v>
      </c>
      <c r="J442" s="147">
        <f t="shared" si="214"/>
        <v>103531.09909934209</v>
      </c>
      <c r="K442" s="147">
        <f t="shared" si="215"/>
        <v>110604.6393155296</v>
      </c>
      <c r="L442" s="147">
        <f t="shared" si="216"/>
        <v>117026.13594999629</v>
      </c>
      <c r="M442" s="147">
        <f t="shared" si="217"/>
        <v>121100.47</v>
      </c>
      <c r="N442" s="147" t="s">
        <v>176</v>
      </c>
      <c r="O442" s="34" t="s">
        <v>222</v>
      </c>
    </row>
    <row r="443" spans="1:15" hidden="1">
      <c r="A443" s="212" t="s">
        <v>95</v>
      </c>
      <c r="B443" s="147">
        <f t="shared" si="205"/>
        <v>10777.450871516736</v>
      </c>
      <c r="C443" s="147">
        <f t="shared" si="207"/>
        <v>40397.410968526616</v>
      </c>
      <c r="D443" s="147">
        <f t="shared" si="208"/>
        <v>52399.92555248642</v>
      </c>
      <c r="E443" s="147">
        <f t="shared" si="209"/>
        <v>62604.042300553461</v>
      </c>
      <c r="F443" s="147">
        <f t="shared" si="210"/>
        <v>76666.173234983638</v>
      </c>
      <c r="G443" s="147">
        <f t="shared" si="211"/>
        <v>94418.940025655145</v>
      </c>
      <c r="H443" s="147">
        <f t="shared" si="212"/>
        <v>100873.02133481654</v>
      </c>
      <c r="I443" s="147">
        <f t="shared" si="213"/>
        <v>104511.48978588455</v>
      </c>
      <c r="J443" s="147">
        <f t="shared" si="214"/>
        <v>107986.79742572317</v>
      </c>
      <c r="K443" s="147">
        <f t="shared" si="215"/>
        <v>111492.94722476824</v>
      </c>
      <c r="L443" s="147">
        <f t="shared" si="216"/>
        <v>114776.02625697096</v>
      </c>
      <c r="M443" s="147">
        <f t="shared" si="217"/>
        <v>117915.48999999999</v>
      </c>
      <c r="N443" s="147" t="s">
        <v>176</v>
      </c>
      <c r="O443" s="34" t="s">
        <v>222</v>
      </c>
    </row>
    <row r="444" spans="1:15" hidden="1">
      <c r="A444" s="212" t="s">
        <v>96</v>
      </c>
      <c r="B444" s="147">
        <f t="shared" si="205"/>
        <v>4237.0224793419093</v>
      </c>
      <c r="C444" s="147">
        <f t="shared" si="207"/>
        <v>10423.686275001712</v>
      </c>
      <c r="D444" s="147">
        <f t="shared" si="208"/>
        <v>14089.429547107355</v>
      </c>
      <c r="E444" s="147">
        <f t="shared" si="209"/>
        <v>16828.511334951956</v>
      </c>
      <c r="F444" s="147">
        <f t="shared" si="210"/>
        <v>20175.204154003499</v>
      </c>
      <c r="G444" s="147">
        <f t="shared" si="211"/>
        <v>23283.154904864692</v>
      </c>
      <c r="H444" s="147">
        <f t="shared" si="212"/>
        <v>24506.531132494987</v>
      </c>
      <c r="I444" s="147">
        <f t="shared" si="213"/>
        <v>25887.26321762204</v>
      </c>
      <c r="J444" s="147">
        <f t="shared" si="214"/>
        <v>27297.834703454009</v>
      </c>
      <c r="K444" s="147">
        <f t="shared" si="215"/>
        <v>28352.051793545121</v>
      </c>
      <c r="L444" s="147">
        <f t="shared" si="216"/>
        <v>29014.139810265449</v>
      </c>
      <c r="M444" s="147">
        <f t="shared" si="217"/>
        <v>29715.33</v>
      </c>
      <c r="N444" s="147" t="s">
        <v>176</v>
      </c>
      <c r="O444" s="34" t="s">
        <v>222</v>
      </c>
    </row>
    <row r="445" spans="1:15" hidden="1">
      <c r="A445" s="212" t="s">
        <v>97</v>
      </c>
      <c r="B445" s="147">
        <f t="shared" si="205"/>
        <v>10225.034238859356</v>
      </c>
      <c r="C445" s="147">
        <f t="shared" si="207"/>
        <v>27719.647618249579</v>
      </c>
      <c r="D445" s="147">
        <f t="shared" si="208"/>
        <v>39934.967714991471</v>
      </c>
      <c r="E445" s="147">
        <f t="shared" si="209"/>
        <v>49080.416863029001</v>
      </c>
      <c r="F445" s="147">
        <f t="shared" si="210"/>
        <v>59901.854529888376</v>
      </c>
      <c r="G445" s="147">
        <f t="shared" si="211"/>
        <v>71299.626963193557</v>
      </c>
      <c r="H445" s="147">
        <f t="shared" si="212"/>
        <v>75482.357229319125</v>
      </c>
      <c r="I445" s="147">
        <f t="shared" si="213"/>
        <v>79085.879469261694</v>
      </c>
      <c r="J445" s="147">
        <f t="shared" si="214"/>
        <v>83476.882785761336</v>
      </c>
      <c r="K445" s="147">
        <f t="shared" si="215"/>
        <v>87310.879473710957</v>
      </c>
      <c r="L445" s="147">
        <f t="shared" si="216"/>
        <v>89430.358728639068</v>
      </c>
      <c r="M445" s="147">
        <f t="shared" si="217"/>
        <v>91461.94</v>
      </c>
      <c r="N445" s="147" t="s">
        <v>176</v>
      </c>
      <c r="O445" s="34" t="s">
        <v>222</v>
      </c>
    </row>
    <row r="446" spans="1:15" hidden="1">
      <c r="A446" s="212" t="s">
        <v>98</v>
      </c>
      <c r="B446" s="147">
        <f t="shared" si="205"/>
        <v>13834.256394497799</v>
      </c>
      <c r="C446" s="147">
        <f t="shared" si="207"/>
        <v>34103.318391848887</v>
      </c>
      <c r="D446" s="147">
        <f t="shared" si="208"/>
        <v>44250.754968927817</v>
      </c>
      <c r="E446" s="147">
        <f t="shared" si="209"/>
        <v>53877.697869494281</v>
      </c>
      <c r="F446" s="147">
        <f t="shared" si="210"/>
        <v>67130.19584403497</v>
      </c>
      <c r="G446" s="147">
        <f t="shared" si="211"/>
        <v>78421.962494881314</v>
      </c>
      <c r="H446" s="147">
        <f t="shared" si="212"/>
        <v>82630.443966636434</v>
      </c>
      <c r="I446" s="147">
        <f t="shared" si="213"/>
        <v>86666.363386515644</v>
      </c>
      <c r="J446" s="147">
        <f t="shared" si="214"/>
        <v>89157.152945454</v>
      </c>
      <c r="K446" s="147">
        <f t="shared" si="215"/>
        <v>92074.242456607259</v>
      </c>
      <c r="L446" s="147">
        <f t="shared" si="216"/>
        <v>94794.377420001169</v>
      </c>
      <c r="M446" s="147">
        <f t="shared" si="217"/>
        <v>97064.06</v>
      </c>
      <c r="N446" s="147" t="s">
        <v>176</v>
      </c>
      <c r="O446" s="34" t="s">
        <v>222</v>
      </c>
    </row>
    <row r="447" spans="1:15" hidden="1">
      <c r="A447" s="212" t="s">
        <v>99</v>
      </c>
      <c r="B447" s="147">
        <f t="shared" si="205"/>
        <v>93169.575195144236</v>
      </c>
      <c r="C447" s="147">
        <f t="shared" si="207"/>
        <v>165892.88665332194</v>
      </c>
      <c r="D447" s="147">
        <f t="shared" si="208"/>
        <v>207849.17885732141</v>
      </c>
      <c r="E447" s="147">
        <f t="shared" si="209"/>
        <v>231757.1324400703</v>
      </c>
      <c r="F447" s="147">
        <f t="shared" si="210"/>
        <v>282348.53103739891</v>
      </c>
      <c r="G447" s="147">
        <f t="shared" si="211"/>
        <v>320645.12473922007</v>
      </c>
      <c r="H447" s="147">
        <f t="shared" si="212"/>
        <v>333048.63816496707</v>
      </c>
      <c r="I447" s="147">
        <f t="shared" si="213"/>
        <v>342727.30368128198</v>
      </c>
      <c r="J447" s="147">
        <f t="shared" si="214"/>
        <v>351521.46589200792</v>
      </c>
      <c r="K447" s="147">
        <f t="shared" si="215"/>
        <v>365701.25565301254</v>
      </c>
      <c r="L447" s="147">
        <f t="shared" si="216"/>
        <v>375305.90525294596</v>
      </c>
      <c r="M447" s="147">
        <f t="shared" si="217"/>
        <v>385175.61</v>
      </c>
      <c r="N447" s="147" t="s">
        <v>176</v>
      </c>
      <c r="O447" s="34" t="s">
        <v>222</v>
      </c>
    </row>
    <row r="448" spans="1:15" hidden="1">
      <c r="A448" s="212" t="s">
        <v>100</v>
      </c>
      <c r="B448" s="147">
        <f t="shared" si="205"/>
        <v>4588.6391118137053</v>
      </c>
      <c r="C448" s="147">
        <f t="shared" si="207"/>
        <v>10179.895570429691</v>
      </c>
      <c r="D448" s="147">
        <f t="shared" si="208"/>
        <v>15133.11923627258</v>
      </c>
      <c r="E448" s="147">
        <f t="shared" si="209"/>
        <v>18658.195876575053</v>
      </c>
      <c r="F448" s="147">
        <f t="shared" si="210"/>
        <v>23878.731130001033</v>
      </c>
      <c r="G448" s="147">
        <f t="shared" si="211"/>
        <v>28253.926872112461</v>
      </c>
      <c r="H448" s="147">
        <f t="shared" si="212"/>
        <v>30794.676264775004</v>
      </c>
      <c r="I448" s="147">
        <f t="shared" si="213"/>
        <v>32655.666514211185</v>
      </c>
      <c r="J448" s="147">
        <f t="shared" si="214"/>
        <v>34400.420664961115</v>
      </c>
      <c r="K448" s="147">
        <f t="shared" si="215"/>
        <v>35962.778632853922</v>
      </c>
      <c r="L448" s="147">
        <f t="shared" si="216"/>
        <v>37135.399075951798</v>
      </c>
      <c r="M448" s="147">
        <f t="shared" si="217"/>
        <v>37952.99</v>
      </c>
      <c r="N448" s="147" t="s">
        <v>176</v>
      </c>
      <c r="O448" s="34" t="s">
        <v>222</v>
      </c>
    </row>
    <row r="449" spans="1:15" hidden="1">
      <c r="A449" s="212" t="s">
        <v>101</v>
      </c>
      <c r="B449" s="147">
        <f t="shared" si="205"/>
        <v>3956.8144695710234</v>
      </c>
      <c r="C449" s="147">
        <f t="shared" si="207"/>
        <v>12656.155264385206</v>
      </c>
      <c r="D449" s="147">
        <f t="shared" si="208"/>
        <v>15747.646632493261</v>
      </c>
      <c r="E449" s="147">
        <f t="shared" si="209"/>
        <v>18941.723538519131</v>
      </c>
      <c r="F449" s="147">
        <f t="shared" si="210"/>
        <v>23850.740105510293</v>
      </c>
      <c r="G449" s="147">
        <f t="shared" si="211"/>
        <v>29204.66958248095</v>
      </c>
      <c r="H449" s="147">
        <f t="shared" si="212"/>
        <v>31437.584231906032</v>
      </c>
      <c r="I449" s="147">
        <f t="shared" si="213"/>
        <v>33795.206163002535</v>
      </c>
      <c r="J449" s="147">
        <f t="shared" si="214"/>
        <v>35534.084015442255</v>
      </c>
      <c r="K449" s="147">
        <f t="shared" si="215"/>
        <v>37945.704390354796</v>
      </c>
      <c r="L449" s="147">
        <f t="shared" si="216"/>
        <v>39336.57493945551</v>
      </c>
      <c r="M449" s="147">
        <f t="shared" si="217"/>
        <v>40340.9</v>
      </c>
      <c r="N449" s="147" t="s">
        <v>176</v>
      </c>
      <c r="O449" s="34" t="s">
        <v>222</v>
      </c>
    </row>
    <row r="450" spans="1:15" hidden="1">
      <c r="A450" s="212" t="s">
        <v>102</v>
      </c>
      <c r="B450" s="147">
        <f t="shared" si="205"/>
        <v>68580.981136722345</v>
      </c>
      <c r="C450" s="147">
        <f t="shared" si="207"/>
        <v>154424.76398014155</v>
      </c>
      <c r="D450" s="147">
        <f t="shared" si="208"/>
        <v>196718.28402308258</v>
      </c>
      <c r="E450" s="147">
        <f t="shared" si="209"/>
        <v>236737.25458219257</v>
      </c>
      <c r="F450" s="147">
        <f t="shared" si="210"/>
        <v>293977.59023832221</v>
      </c>
      <c r="G450" s="147">
        <f t="shared" si="211"/>
        <v>349853.50528449361</v>
      </c>
      <c r="H450" s="147">
        <f t="shared" si="212"/>
        <v>373148.30264387396</v>
      </c>
      <c r="I450" s="147">
        <f t="shared" si="213"/>
        <v>389486.0927261787</v>
      </c>
      <c r="J450" s="147">
        <f t="shared" si="214"/>
        <v>402603.29068568716</v>
      </c>
      <c r="K450" s="147">
        <f t="shared" si="215"/>
        <v>419820.60764931655</v>
      </c>
      <c r="L450" s="147">
        <f t="shared" si="216"/>
        <v>431096.39466552954</v>
      </c>
      <c r="M450" s="147">
        <f t="shared" si="217"/>
        <v>447868.44000000006</v>
      </c>
      <c r="N450" s="147" t="s">
        <v>176</v>
      </c>
      <c r="O450" s="34" t="s">
        <v>222</v>
      </c>
    </row>
    <row r="451" spans="1:15" hidden="1">
      <c r="A451" s="212" t="s">
        <v>103</v>
      </c>
      <c r="B451" s="147">
        <f t="shared" si="205"/>
        <v>19416.169844913205</v>
      </c>
      <c r="C451" s="147">
        <f t="shared" si="207"/>
        <v>51948.222729510198</v>
      </c>
      <c r="D451" s="147">
        <f t="shared" si="208"/>
        <v>67869.837487217374</v>
      </c>
      <c r="E451" s="147">
        <f t="shared" si="209"/>
        <v>80207.149568727211</v>
      </c>
      <c r="F451" s="147">
        <f t="shared" si="210"/>
        <v>94553.680020100466</v>
      </c>
      <c r="G451" s="147">
        <f t="shared" si="211"/>
        <v>109780.3297617708</v>
      </c>
      <c r="H451" s="147">
        <f t="shared" si="212"/>
        <v>113447.42653243976</v>
      </c>
      <c r="I451" s="147">
        <f t="shared" si="213"/>
        <v>117259.51140675208</v>
      </c>
      <c r="J451" s="147">
        <f t="shared" si="214"/>
        <v>120762.33481608907</v>
      </c>
      <c r="K451" s="147">
        <f t="shared" si="215"/>
        <v>124098.27976920502</v>
      </c>
      <c r="L451" s="147">
        <f t="shared" si="216"/>
        <v>127082.90233245831</v>
      </c>
      <c r="M451" s="147">
        <f t="shared" si="217"/>
        <v>129174.40000000001</v>
      </c>
      <c r="N451" s="147" t="s">
        <v>176</v>
      </c>
      <c r="O451" s="34" t="s">
        <v>222</v>
      </c>
    </row>
    <row r="452" spans="1:15" hidden="1">
      <c r="A452" s="212" t="s">
        <v>104</v>
      </c>
      <c r="B452" s="147">
        <f t="shared" si="205"/>
        <v>6298.1634954350993</v>
      </c>
      <c r="C452" s="147">
        <f t="shared" si="207"/>
        <v>14519.33944082269</v>
      </c>
      <c r="D452" s="147">
        <f t="shared" si="208"/>
        <v>18801.588045295259</v>
      </c>
      <c r="E452" s="147">
        <f t="shared" si="209"/>
        <v>23758.301564140736</v>
      </c>
      <c r="F452" s="147">
        <f t="shared" si="210"/>
        <v>28097.299343217113</v>
      </c>
      <c r="G452" s="147">
        <f t="shared" si="211"/>
        <v>33974.698975985368</v>
      </c>
      <c r="H452" s="147">
        <f t="shared" si="212"/>
        <v>36471.499144862835</v>
      </c>
      <c r="I452" s="147">
        <f t="shared" si="213"/>
        <v>39077.714921866129</v>
      </c>
      <c r="J452" s="147">
        <f t="shared" si="214"/>
        <v>40809.520112591272</v>
      </c>
      <c r="K452" s="147">
        <f t="shared" si="215"/>
        <v>42227.548198551354</v>
      </c>
      <c r="L452" s="147">
        <f t="shared" si="216"/>
        <v>42963.781565569523</v>
      </c>
      <c r="M452" s="147">
        <f t="shared" si="217"/>
        <v>43670.39</v>
      </c>
      <c r="N452" s="147" t="s">
        <v>176</v>
      </c>
      <c r="O452" s="34" t="s">
        <v>222</v>
      </c>
    </row>
    <row r="453" spans="1:15" hidden="1">
      <c r="A453" s="212" t="s">
        <v>105</v>
      </c>
      <c r="B453" s="147">
        <f t="shared" si="205"/>
        <v>98138.734006291532</v>
      </c>
      <c r="C453" s="147">
        <f t="shared" si="207"/>
        <v>215745.85242741121</v>
      </c>
      <c r="D453" s="147">
        <f t="shared" si="208"/>
        <v>266011.53025106923</v>
      </c>
      <c r="E453" s="147">
        <f t="shared" si="209"/>
        <v>309657.91517166496</v>
      </c>
      <c r="F453" s="147">
        <f t="shared" si="210"/>
        <v>365381.27402593667</v>
      </c>
      <c r="G453" s="147">
        <f t="shared" si="211"/>
        <v>429459.81544808036</v>
      </c>
      <c r="H453" s="147">
        <f t="shared" si="212"/>
        <v>462756.58286870201</v>
      </c>
      <c r="I453" s="147">
        <f t="shared" si="213"/>
        <v>492954.66743551678</v>
      </c>
      <c r="J453" s="147">
        <f t="shared" si="214"/>
        <v>514690.45025461965</v>
      </c>
      <c r="K453" s="147">
        <f t="shared" si="215"/>
        <v>535977.96655043191</v>
      </c>
      <c r="L453" s="147">
        <f t="shared" si="216"/>
        <v>552179.77653814584</v>
      </c>
      <c r="M453" s="147">
        <f t="shared" si="217"/>
        <v>564504.696</v>
      </c>
      <c r="N453" s="147" t="s">
        <v>176</v>
      </c>
      <c r="O453" s="34" t="s">
        <v>222</v>
      </c>
    </row>
    <row r="454" spans="1:15" hidden="1">
      <c r="A454" s="212" t="s">
        <v>106</v>
      </c>
      <c r="B454" s="147">
        <f t="shared" si="205"/>
        <v>2118.8933755776993</v>
      </c>
      <c r="C454" s="147">
        <f t="shared" si="207"/>
        <v>9384.3601068877615</v>
      </c>
      <c r="D454" s="147">
        <f t="shared" si="208"/>
        <v>14647.889459378419</v>
      </c>
      <c r="E454" s="147">
        <f t="shared" si="209"/>
        <v>18346.870067793625</v>
      </c>
      <c r="F454" s="147">
        <f t="shared" si="210"/>
        <v>22949.9926800785</v>
      </c>
      <c r="G454" s="147">
        <f t="shared" si="211"/>
        <v>28704.856983899503</v>
      </c>
      <c r="H454" s="147">
        <f t="shared" si="212"/>
        <v>30574.226484080849</v>
      </c>
      <c r="I454" s="147">
        <f t="shared" si="213"/>
        <v>32891.258433424038</v>
      </c>
      <c r="J454" s="147">
        <f t="shared" si="214"/>
        <v>34559.10937643324</v>
      </c>
      <c r="K454" s="147">
        <f t="shared" si="215"/>
        <v>35848.91003401082</v>
      </c>
      <c r="L454" s="147">
        <f t="shared" si="216"/>
        <v>36885.792024595146</v>
      </c>
      <c r="M454" s="147">
        <f t="shared" si="217"/>
        <v>37583.050000000003</v>
      </c>
      <c r="N454" s="147" t="s">
        <v>176</v>
      </c>
      <c r="O454" s="34" t="s">
        <v>222</v>
      </c>
    </row>
    <row r="455" spans="1:15" hidden="1">
      <c r="A455" s="212" t="s">
        <v>107</v>
      </c>
      <c r="B455" s="147">
        <f t="shared" si="205"/>
        <v>63160.882736514337</v>
      </c>
      <c r="C455" s="147">
        <f t="shared" si="207"/>
        <v>161724.72007796081</v>
      </c>
      <c r="D455" s="147">
        <f t="shared" si="208"/>
        <v>205838.8560520313</v>
      </c>
      <c r="E455" s="147">
        <f t="shared" si="209"/>
        <v>246215.44102278946</v>
      </c>
      <c r="F455" s="147">
        <f t="shared" si="210"/>
        <v>298023.28977803845</v>
      </c>
      <c r="G455" s="147">
        <f t="shared" si="211"/>
        <v>355985.96948593971</v>
      </c>
      <c r="H455" s="147">
        <f t="shared" si="212"/>
        <v>376870.67986983364</v>
      </c>
      <c r="I455" s="147">
        <f t="shared" si="213"/>
        <v>393770.95342491474</v>
      </c>
      <c r="J455" s="147">
        <f t="shared" si="214"/>
        <v>406846.52516063291</v>
      </c>
      <c r="K455" s="147">
        <f t="shared" si="215"/>
        <v>422412.33182391815</v>
      </c>
      <c r="L455" s="147">
        <f t="shared" si="216"/>
        <v>432875.74231786118</v>
      </c>
      <c r="M455" s="147">
        <f t="shared" si="217"/>
        <v>444889.02</v>
      </c>
      <c r="N455" s="147" t="s">
        <v>176</v>
      </c>
      <c r="O455" s="34" t="s">
        <v>222</v>
      </c>
    </row>
    <row r="456" spans="1:15" hidden="1">
      <c r="A456" s="212" t="s">
        <v>108</v>
      </c>
      <c r="B456" s="147">
        <f t="shared" si="205"/>
        <v>3308.450371115352</v>
      </c>
      <c r="C456" s="147">
        <f t="shared" si="207"/>
        <v>9556.4265101575056</v>
      </c>
      <c r="D456" s="147">
        <f t="shared" si="208"/>
        <v>11308.707059691396</v>
      </c>
      <c r="E456" s="147">
        <f t="shared" si="209"/>
        <v>13453.839180096027</v>
      </c>
      <c r="F456" s="147">
        <f t="shared" si="210"/>
        <v>15422.309280049529</v>
      </c>
      <c r="G456" s="147">
        <f t="shared" si="211"/>
        <v>19552.05822484475</v>
      </c>
      <c r="H456" s="147">
        <f t="shared" si="212"/>
        <v>21201.31711442399</v>
      </c>
      <c r="I456" s="147">
        <f t="shared" si="213"/>
        <v>23178.277343117963</v>
      </c>
      <c r="J456" s="147">
        <f t="shared" si="214"/>
        <v>24496.761819928954</v>
      </c>
      <c r="K456" s="147">
        <f t="shared" si="215"/>
        <v>25791.163269293818</v>
      </c>
      <c r="L456" s="147">
        <f t="shared" si="216"/>
        <v>26856.73187833944</v>
      </c>
      <c r="M456" s="147">
        <f t="shared" si="217"/>
        <v>27428.9</v>
      </c>
      <c r="N456" s="147" t="s">
        <v>176</v>
      </c>
      <c r="O456" s="34" t="s">
        <v>222</v>
      </c>
    </row>
    <row r="457" spans="1:15" hidden="1">
      <c r="A457" s="212" t="s">
        <v>109</v>
      </c>
      <c r="B457" s="147">
        <f t="shared" si="205"/>
        <v>2417.6411271425541</v>
      </c>
      <c r="C457" s="147">
        <f t="shared" si="207"/>
        <v>3520.7986349920525</v>
      </c>
      <c r="D457" s="147">
        <f t="shared" si="208"/>
        <v>3997.7392388255398</v>
      </c>
      <c r="E457" s="147">
        <f t="shared" si="209"/>
        <v>4382.4823563007058</v>
      </c>
      <c r="F457" s="147">
        <f t="shared" si="210"/>
        <v>4848.3182926829231</v>
      </c>
      <c r="G457" s="147">
        <f t="shared" si="211"/>
        <v>5227.7853366591635</v>
      </c>
      <c r="H457" s="147">
        <f t="shared" si="212"/>
        <v>5842.3746604556736</v>
      </c>
      <c r="I457" s="147">
        <f t="shared" si="213"/>
        <v>6593.2330960234904</v>
      </c>
      <c r="J457" s="147">
        <f t="shared" si="214"/>
        <v>7103.7517076390423</v>
      </c>
      <c r="K457" s="147">
        <f t="shared" si="215"/>
        <v>7103.7517076390423</v>
      </c>
      <c r="L457" s="147">
        <f t="shared" si="216"/>
        <v>7382.6824846395994</v>
      </c>
      <c r="M457" s="147">
        <f t="shared" si="217"/>
        <v>7672.1399999999994</v>
      </c>
      <c r="N457" s="147" t="s">
        <v>176</v>
      </c>
      <c r="O457" s="34" t="s">
        <v>222</v>
      </c>
    </row>
    <row r="458" spans="1:15" hidden="1">
      <c r="A458" s="212" t="s">
        <v>110</v>
      </c>
      <c r="B458" s="147">
        <f t="shared" si="205"/>
        <v>45280.784978246811</v>
      </c>
      <c r="C458" s="147">
        <f t="shared" si="207"/>
        <v>144745.97836193131</v>
      </c>
      <c r="D458" s="147">
        <f t="shared" si="208"/>
        <v>182382.4724424718</v>
      </c>
      <c r="E458" s="147">
        <f t="shared" si="209"/>
        <v>215716.96340160712</v>
      </c>
      <c r="F458" s="147">
        <f t="shared" si="210"/>
        <v>257390.21484905179</v>
      </c>
      <c r="G458" s="147">
        <f t="shared" si="211"/>
        <v>302484.40149421478</v>
      </c>
      <c r="H458" s="147">
        <f t="shared" si="212"/>
        <v>315062.59580886294</v>
      </c>
      <c r="I458" s="147">
        <f t="shared" si="213"/>
        <v>327354.20820668305</v>
      </c>
      <c r="J458" s="147">
        <f t="shared" si="214"/>
        <v>336223.35970701749</v>
      </c>
      <c r="K458" s="147">
        <f t="shared" si="215"/>
        <v>345982.00017693406</v>
      </c>
      <c r="L458" s="147">
        <f t="shared" si="216"/>
        <v>353270.86592685257</v>
      </c>
      <c r="M458" s="147">
        <f t="shared" si="217"/>
        <v>359595.36800000002</v>
      </c>
      <c r="N458" s="147" t="s">
        <v>176</v>
      </c>
      <c r="O458" s="34" t="s">
        <v>222</v>
      </c>
    </row>
    <row r="459" spans="1:15" hidden="1">
      <c r="A459" s="212" t="s">
        <v>111</v>
      </c>
      <c r="B459" s="147">
        <f t="shared" si="205"/>
        <v>554452.97336643562</v>
      </c>
      <c r="C459" s="147">
        <f t="shared" si="207"/>
        <v>882305.98384174041</v>
      </c>
      <c r="D459" s="147">
        <f t="shared" si="208"/>
        <v>1033979.9984415651</v>
      </c>
      <c r="E459" s="147">
        <f t="shared" si="209"/>
        <v>1190564.2942445048</v>
      </c>
      <c r="F459" s="147">
        <f t="shared" si="210"/>
        <v>1402649.727276437</v>
      </c>
      <c r="G459" s="147">
        <f t="shared" si="211"/>
        <v>1529831.5970039805</v>
      </c>
      <c r="H459" s="147">
        <f t="shared" si="212"/>
        <v>1597432.4590688359</v>
      </c>
      <c r="I459" s="147">
        <f t="shared" si="213"/>
        <v>1654584.6603408842</v>
      </c>
      <c r="J459" s="147">
        <f t="shared" si="214"/>
        <v>1694431.51159315</v>
      </c>
      <c r="K459" s="147">
        <f t="shared" si="215"/>
        <v>1745240.1642766877</v>
      </c>
      <c r="L459" s="147">
        <f t="shared" si="216"/>
        <v>1791783.843069298</v>
      </c>
      <c r="M459" s="147">
        <f t="shared" si="217"/>
        <v>1832188.7080000001</v>
      </c>
      <c r="N459" s="147" t="s">
        <v>176</v>
      </c>
      <c r="O459" s="34" t="s">
        <v>222</v>
      </c>
    </row>
    <row r="460" spans="1:15" hidden="1">
      <c r="A460" s="212" t="s">
        <v>112</v>
      </c>
      <c r="B460" s="147">
        <f t="shared" si="205"/>
        <v>5100.6076289459415</v>
      </c>
      <c r="C460" s="147">
        <f t="shared" si="207"/>
        <v>10942.338742684451</v>
      </c>
      <c r="D460" s="147">
        <f t="shared" si="208"/>
        <v>14643.530690473592</v>
      </c>
      <c r="E460" s="147">
        <f t="shared" si="209"/>
        <v>17901.408254692578</v>
      </c>
      <c r="F460" s="147">
        <f t="shared" si="210"/>
        <v>20378.357333139662</v>
      </c>
      <c r="G460" s="147">
        <f t="shared" si="211"/>
        <v>23386.235913103264</v>
      </c>
      <c r="H460" s="147">
        <f t="shared" si="212"/>
        <v>24124.060383057909</v>
      </c>
      <c r="I460" s="147">
        <f t="shared" si="213"/>
        <v>25277.658494167321</v>
      </c>
      <c r="J460" s="147">
        <f t="shared" si="214"/>
        <v>26153.237849222911</v>
      </c>
      <c r="K460" s="147">
        <f t="shared" si="215"/>
        <v>26933.220592051919</v>
      </c>
      <c r="L460" s="147">
        <f t="shared" si="216"/>
        <v>28033.710336414475</v>
      </c>
      <c r="M460" s="147">
        <f t="shared" si="217"/>
        <v>28347.62</v>
      </c>
      <c r="N460" s="147" t="s">
        <v>176</v>
      </c>
      <c r="O460" s="34" t="s">
        <v>222</v>
      </c>
    </row>
    <row r="461" spans="1:15" hidden="1">
      <c r="A461" s="212" t="s">
        <v>113</v>
      </c>
      <c r="B461" s="147">
        <f t="shared" si="205"/>
        <v>2440.6735833994771</v>
      </c>
      <c r="C461" s="147">
        <f t="shared" si="207"/>
        <v>5626.1291698925161</v>
      </c>
      <c r="D461" s="147">
        <f t="shared" si="208"/>
        <v>7634.8733033675508</v>
      </c>
      <c r="E461" s="147">
        <f t="shared" si="209"/>
        <v>8989.7405886555098</v>
      </c>
      <c r="F461" s="147">
        <f t="shared" si="210"/>
        <v>10992.858234549936</v>
      </c>
      <c r="G461" s="147">
        <f t="shared" si="211"/>
        <v>15108.493093800953</v>
      </c>
      <c r="H461" s="147">
        <f t="shared" si="212"/>
        <v>17238.373666902316</v>
      </c>
      <c r="I461" s="147">
        <f t="shared" si="213"/>
        <v>18649.193358876873</v>
      </c>
      <c r="J461" s="147">
        <f t="shared" si="214"/>
        <v>19906.258136471937</v>
      </c>
      <c r="K461" s="147">
        <f t="shared" si="215"/>
        <v>21305.681950950679</v>
      </c>
      <c r="L461" s="147">
        <f t="shared" si="216"/>
        <v>22158.850137044632</v>
      </c>
      <c r="M461" s="147">
        <f t="shared" si="217"/>
        <v>23218.27</v>
      </c>
      <c r="N461" s="147" t="s">
        <v>176</v>
      </c>
      <c r="O461" s="34" t="s">
        <v>222</v>
      </c>
    </row>
    <row r="462" spans="1:15" hidden="1">
      <c r="A462" s="212" t="s">
        <v>87</v>
      </c>
      <c r="B462" s="147">
        <f t="shared" ref="B462:B488" si="218">B76</f>
        <v>5962.0704936029042</v>
      </c>
      <c r="C462" s="147">
        <f t="shared" ref="C462:M462" si="219">C76</f>
        <v>13421.068161965404</v>
      </c>
      <c r="D462" s="147">
        <f t="shared" si="219"/>
        <v>18292.29072501781</v>
      </c>
      <c r="E462" s="147">
        <f t="shared" si="219"/>
        <v>23836.668645689118</v>
      </c>
      <c r="F462" s="147">
        <f t="shared" si="219"/>
        <v>30681.305455499081</v>
      </c>
      <c r="G462" s="147">
        <f t="shared" si="219"/>
        <v>36431.688915870342</v>
      </c>
      <c r="H462" s="147">
        <f t="shared" si="219"/>
        <v>39071.886432905616</v>
      </c>
      <c r="I462" s="147">
        <f t="shared" si="219"/>
        <v>42834.347577460961</v>
      </c>
      <c r="J462" s="147">
        <f t="shared" si="219"/>
        <v>44902.876283286671</v>
      </c>
      <c r="K462" s="147">
        <f t="shared" si="219"/>
        <v>46567.387877601752</v>
      </c>
      <c r="L462" s="147">
        <f t="shared" si="219"/>
        <v>48472.801395890136</v>
      </c>
      <c r="M462" s="147">
        <f t="shared" si="219"/>
        <v>52224.956000000006</v>
      </c>
      <c r="N462" s="147" t="s">
        <v>224</v>
      </c>
      <c r="O462" s="34" t="s">
        <v>222</v>
      </c>
    </row>
    <row r="463" spans="1:15" hidden="1">
      <c r="A463" s="212" t="s">
        <v>88</v>
      </c>
      <c r="B463" s="147">
        <f t="shared" si="218"/>
        <v>4788.4844871133591</v>
      </c>
      <c r="C463" s="147">
        <f t="shared" ref="C463:M463" si="220">C77</f>
        <v>13370.626027949977</v>
      </c>
      <c r="D463" s="147">
        <f t="shared" si="220"/>
        <v>15971.3614807709</v>
      </c>
      <c r="E463" s="147">
        <f t="shared" si="220"/>
        <v>17547.563037157062</v>
      </c>
      <c r="F463" s="147">
        <f t="shared" si="220"/>
        <v>20307.085120735464</v>
      </c>
      <c r="G463" s="147">
        <f t="shared" si="220"/>
        <v>22547.318453197757</v>
      </c>
      <c r="H463" s="147">
        <f t="shared" si="220"/>
        <v>24035.758187807682</v>
      </c>
      <c r="I463" s="147">
        <f t="shared" si="220"/>
        <v>25749.875018478346</v>
      </c>
      <c r="J463" s="147">
        <f t="shared" si="220"/>
        <v>26776.752143219641</v>
      </c>
      <c r="K463" s="147">
        <f t="shared" si="220"/>
        <v>27388.460159640574</v>
      </c>
      <c r="L463" s="147">
        <f t="shared" si="220"/>
        <v>28182.688819372062</v>
      </c>
      <c r="M463" s="147">
        <f t="shared" si="220"/>
        <v>29224.520411147998</v>
      </c>
      <c r="N463" s="147" t="s">
        <v>224</v>
      </c>
      <c r="O463" s="34" t="s">
        <v>222</v>
      </c>
    </row>
    <row r="464" spans="1:15" hidden="1">
      <c r="A464" s="212" t="s">
        <v>89</v>
      </c>
      <c r="B464" s="147">
        <f t="shared" si="218"/>
        <v>5044.7123864645009</v>
      </c>
      <c r="C464" s="147">
        <f t="shared" ref="C464:M464" si="221">C78</f>
        <v>10377.640077007638</v>
      </c>
      <c r="D464" s="147">
        <f t="shared" si="221"/>
        <v>13273.60489303649</v>
      </c>
      <c r="E464" s="147">
        <f t="shared" si="221"/>
        <v>21695.579540399653</v>
      </c>
      <c r="F464" s="147">
        <f t="shared" si="221"/>
        <v>31257.867880832368</v>
      </c>
      <c r="G464" s="147">
        <f t="shared" si="221"/>
        <v>43679.189882579296</v>
      </c>
      <c r="H464" s="147">
        <f t="shared" si="221"/>
        <v>50143.544112934025</v>
      </c>
      <c r="I464" s="147">
        <f t="shared" si="221"/>
        <v>54083.041330977809</v>
      </c>
      <c r="J464" s="147">
        <f t="shared" si="221"/>
        <v>58421.690509630847</v>
      </c>
      <c r="K464" s="147">
        <f t="shared" si="221"/>
        <v>62984.080113977579</v>
      </c>
      <c r="L464" s="147">
        <f t="shared" si="221"/>
        <v>66479.076757087008</v>
      </c>
      <c r="M464" s="147">
        <f t="shared" si="221"/>
        <v>69073.64665855201</v>
      </c>
      <c r="N464" s="147" t="s">
        <v>224</v>
      </c>
      <c r="O464" s="34" t="s">
        <v>222</v>
      </c>
    </row>
    <row r="465" spans="1:15" hidden="1">
      <c r="A465" s="212" t="s">
        <v>90</v>
      </c>
      <c r="B465" s="147">
        <f t="shared" si="218"/>
        <v>8009.362072785384</v>
      </c>
      <c r="C465" s="147">
        <f t="shared" ref="C465:M465" si="222">C79</f>
        <v>20909.795280753347</v>
      </c>
      <c r="D465" s="147">
        <f t="shared" si="222"/>
        <v>34200.721871612033</v>
      </c>
      <c r="E465" s="147">
        <f t="shared" si="222"/>
        <v>42651.689816317325</v>
      </c>
      <c r="F465" s="147">
        <f t="shared" si="222"/>
        <v>52278.088170584153</v>
      </c>
      <c r="G465" s="147">
        <f t="shared" si="222"/>
        <v>61906.755777947001</v>
      </c>
      <c r="H465" s="147">
        <f t="shared" si="222"/>
        <v>67671.757695204069</v>
      </c>
      <c r="I465" s="147">
        <f t="shared" si="222"/>
        <v>71411.355606120662</v>
      </c>
      <c r="J465" s="147">
        <f t="shared" si="222"/>
        <v>73835.285721591586</v>
      </c>
      <c r="K465" s="147">
        <f t="shared" si="222"/>
        <v>76307.599132108327</v>
      </c>
      <c r="L465" s="147">
        <f t="shared" si="222"/>
        <v>77238.988661864554</v>
      </c>
      <c r="M465" s="147">
        <f t="shared" si="222"/>
        <v>79900.945754652028</v>
      </c>
      <c r="N465" s="147" t="s">
        <v>224</v>
      </c>
      <c r="O465" s="34" t="s">
        <v>222</v>
      </c>
    </row>
    <row r="466" spans="1:15" hidden="1">
      <c r="A466" s="212" t="s">
        <v>91</v>
      </c>
      <c r="B466" s="147">
        <f t="shared" si="218"/>
        <v>39591.288606682967</v>
      </c>
      <c r="C466" s="147">
        <f t="shared" ref="C466:M466" si="223">C80</f>
        <v>123975.59504063636</v>
      </c>
      <c r="D466" s="147">
        <f t="shared" si="223"/>
        <v>153475.21697773202</v>
      </c>
      <c r="E466" s="147">
        <f t="shared" si="223"/>
        <v>181844.45753313511</v>
      </c>
      <c r="F466" s="147">
        <f t="shared" si="223"/>
        <v>215728.81740844742</v>
      </c>
      <c r="G466" s="147">
        <f t="shared" si="223"/>
        <v>256741.3177369287</v>
      </c>
      <c r="H466" s="147">
        <f t="shared" si="223"/>
        <v>270063.91628581507</v>
      </c>
      <c r="I466" s="147">
        <f t="shared" si="223"/>
        <v>283034.23102277092</v>
      </c>
      <c r="J466" s="147">
        <f t="shared" si="223"/>
        <v>293562.16320658976</v>
      </c>
      <c r="K466" s="147">
        <f t="shared" si="223"/>
        <v>301760.76468427648</v>
      </c>
      <c r="L466" s="147">
        <f t="shared" si="223"/>
        <v>307575.41024355742</v>
      </c>
      <c r="M466" s="147">
        <f t="shared" si="223"/>
        <v>312473.80712494807</v>
      </c>
      <c r="N466" s="147" t="s">
        <v>224</v>
      </c>
      <c r="O466" s="34" t="s">
        <v>222</v>
      </c>
    </row>
    <row r="467" spans="1:15" hidden="1">
      <c r="A467" s="212" t="s">
        <v>92</v>
      </c>
      <c r="B467" s="147">
        <f t="shared" si="218"/>
        <v>18130.693166895282</v>
      </c>
      <c r="C467" s="147">
        <f t="shared" ref="C467:M467" si="224">C81</f>
        <v>42167.07057250548</v>
      </c>
      <c r="D467" s="147">
        <f t="shared" si="224"/>
        <v>53848.633348606614</v>
      </c>
      <c r="E467" s="147">
        <f t="shared" si="224"/>
        <v>63616.071955303676</v>
      </c>
      <c r="F467" s="147">
        <f t="shared" si="224"/>
        <v>74543.669118660051</v>
      </c>
      <c r="G467" s="147">
        <f t="shared" si="224"/>
        <v>87181.95489193665</v>
      </c>
      <c r="H467" s="147">
        <f t="shared" si="224"/>
        <v>89695.769448753854</v>
      </c>
      <c r="I467" s="147">
        <f t="shared" si="224"/>
        <v>92270.604720550778</v>
      </c>
      <c r="J467" s="147">
        <f t="shared" si="224"/>
        <v>95451.206526042923</v>
      </c>
      <c r="K467" s="147">
        <f t="shared" si="224"/>
        <v>98645.039588130909</v>
      </c>
      <c r="L467" s="147">
        <f t="shared" si="224"/>
        <v>101088.17406653758</v>
      </c>
      <c r="M467" s="147">
        <f t="shared" si="224"/>
        <v>104154.09572991601</v>
      </c>
      <c r="N467" s="147" t="s">
        <v>224</v>
      </c>
      <c r="O467" s="34" t="s">
        <v>222</v>
      </c>
    </row>
    <row r="468" spans="1:15" hidden="1">
      <c r="A468" s="212" t="s">
        <v>93</v>
      </c>
      <c r="B468" s="147">
        <f t="shared" si="218"/>
        <v>17027.845044291662</v>
      </c>
      <c r="C468" s="147">
        <f t="shared" ref="C468:M468" si="225">C82</f>
        <v>66986.902534381778</v>
      </c>
      <c r="D468" s="147">
        <f t="shared" si="225"/>
        <v>86685.654099158695</v>
      </c>
      <c r="E468" s="147">
        <f t="shared" si="225"/>
        <v>108156.24085829451</v>
      </c>
      <c r="F468" s="147">
        <f t="shared" si="225"/>
        <v>125977.48701204166</v>
      </c>
      <c r="G468" s="147">
        <f t="shared" si="225"/>
        <v>152676.15741355874</v>
      </c>
      <c r="H468" s="147">
        <f t="shared" si="225"/>
        <v>163404.29726698468</v>
      </c>
      <c r="I468" s="147">
        <f t="shared" si="225"/>
        <v>170180.48353160772</v>
      </c>
      <c r="J468" s="147">
        <f t="shared" si="225"/>
        <v>175855.25210127738</v>
      </c>
      <c r="K468" s="147">
        <f t="shared" si="225"/>
        <v>180672.70293784072</v>
      </c>
      <c r="L468" s="147">
        <f t="shared" si="225"/>
        <v>184901.15254877566</v>
      </c>
      <c r="M468" s="147">
        <f t="shared" si="225"/>
        <v>190337.207747184</v>
      </c>
      <c r="N468" s="147" t="s">
        <v>224</v>
      </c>
      <c r="O468" s="34" t="s">
        <v>222</v>
      </c>
    </row>
    <row r="469" spans="1:15" hidden="1">
      <c r="A469" s="212" t="s">
        <v>94</v>
      </c>
      <c r="B469" s="147">
        <f t="shared" si="218"/>
        <v>12418.082180566898</v>
      </c>
      <c r="C469" s="147">
        <f t="shared" ref="C469:M469" si="226">C83</f>
        <v>41779.5713305104</v>
      </c>
      <c r="D469" s="147">
        <f t="shared" si="226"/>
        <v>54822.84637512653</v>
      </c>
      <c r="E469" s="147">
        <f t="shared" si="226"/>
        <v>65038.516190315961</v>
      </c>
      <c r="F469" s="147">
        <f t="shared" si="226"/>
        <v>78277.072295340055</v>
      </c>
      <c r="G469" s="147">
        <f t="shared" si="226"/>
        <v>92869.567432815122</v>
      </c>
      <c r="H469" s="147">
        <f t="shared" si="226"/>
        <v>99479.5265511732</v>
      </c>
      <c r="I469" s="147">
        <f t="shared" si="226"/>
        <v>108025.84384802642</v>
      </c>
      <c r="J469" s="147">
        <f t="shared" si="226"/>
        <v>117730.50588253063</v>
      </c>
      <c r="K469" s="147">
        <f t="shared" si="226"/>
        <v>125774.19010183081</v>
      </c>
      <c r="L469" s="147">
        <f t="shared" si="226"/>
        <v>133076.40222819214</v>
      </c>
      <c r="M469" s="147">
        <f t="shared" si="226"/>
        <v>137709.53577950402</v>
      </c>
      <c r="N469" s="147" t="s">
        <v>224</v>
      </c>
      <c r="O469" s="34" t="s">
        <v>222</v>
      </c>
    </row>
    <row r="470" spans="1:15" hidden="1">
      <c r="A470" s="212" t="s">
        <v>95</v>
      </c>
      <c r="B470" s="147">
        <f t="shared" si="218"/>
        <v>14527.743010916358</v>
      </c>
      <c r="C470" s="147">
        <f t="shared" ref="C470:M470" si="227">C84</f>
        <v>54454.732557229923</v>
      </c>
      <c r="D470" s="147">
        <f t="shared" si="227"/>
        <v>70633.831811709213</v>
      </c>
      <c r="E470" s="147">
        <f t="shared" si="227"/>
        <v>84388.734296218798</v>
      </c>
      <c r="F470" s="147">
        <f t="shared" si="227"/>
        <v>103344.14655805251</v>
      </c>
      <c r="G470" s="147">
        <f t="shared" si="227"/>
        <v>127274.44665797864</v>
      </c>
      <c r="H470" s="147">
        <f t="shared" si="227"/>
        <v>135974.39210415629</v>
      </c>
      <c r="I470" s="147">
        <f t="shared" si="227"/>
        <v>140878.95954228222</v>
      </c>
      <c r="J470" s="147">
        <f t="shared" si="227"/>
        <v>145563.59015459922</v>
      </c>
      <c r="K470" s="147">
        <f t="shared" si="227"/>
        <v>150289.79525129055</v>
      </c>
      <c r="L470" s="147">
        <f t="shared" si="227"/>
        <v>154715.30635154727</v>
      </c>
      <c r="M470" s="147">
        <f t="shared" si="227"/>
        <v>158947.227516816</v>
      </c>
      <c r="N470" s="147" t="s">
        <v>224</v>
      </c>
      <c r="O470" s="34" t="s">
        <v>222</v>
      </c>
    </row>
    <row r="471" spans="1:15" hidden="1">
      <c r="A471" s="212" t="s">
        <v>96</v>
      </c>
      <c r="B471" s="147">
        <f t="shared" si="218"/>
        <v>9540.243762739914</v>
      </c>
      <c r="C471" s="147">
        <f t="shared" ref="C471:M471" si="228">C85</f>
        <v>23470.375353139112</v>
      </c>
      <c r="D471" s="147">
        <f t="shared" si="228"/>
        <v>31724.304747666069</v>
      </c>
      <c r="E471" s="147">
        <f t="shared" si="228"/>
        <v>37891.72728779327</v>
      </c>
      <c r="F471" s="147">
        <f t="shared" si="228"/>
        <v>45427.270336817171</v>
      </c>
      <c r="G471" s="147">
        <f t="shared" si="228"/>
        <v>52425.252507167053</v>
      </c>
      <c r="H471" s="147">
        <f t="shared" si="228"/>
        <v>55179.853758880738</v>
      </c>
      <c r="I471" s="147">
        <f t="shared" si="228"/>
        <v>58288.763548095303</v>
      </c>
      <c r="J471" s="147">
        <f t="shared" si="228"/>
        <v>61464.860886549206</v>
      </c>
      <c r="K471" s="147">
        <f t="shared" si="228"/>
        <v>63838.576878699831</v>
      </c>
      <c r="L471" s="147">
        <f t="shared" si="228"/>
        <v>65329.359876122588</v>
      </c>
      <c r="M471" s="147">
        <f t="shared" si="228"/>
        <v>66908.186839332018</v>
      </c>
      <c r="N471" s="147" t="s">
        <v>224</v>
      </c>
      <c r="O471" s="34" t="s">
        <v>222</v>
      </c>
    </row>
    <row r="472" spans="1:15" hidden="1">
      <c r="A472" s="212" t="s">
        <v>97</v>
      </c>
      <c r="B472" s="147">
        <f t="shared" si="218"/>
        <v>16437.837819056971</v>
      </c>
      <c r="C472" s="147">
        <f t="shared" ref="C472:M472" si="229">C86</f>
        <v>44562.302805650572</v>
      </c>
      <c r="D472" s="147">
        <f t="shared" si="229"/>
        <v>64199.738335696267</v>
      </c>
      <c r="E472" s="147">
        <f t="shared" si="229"/>
        <v>78902.027478802731</v>
      </c>
      <c r="F472" s="147">
        <f t="shared" si="229"/>
        <v>96298.647693613078</v>
      </c>
      <c r="G472" s="147">
        <f t="shared" si="229"/>
        <v>114621.7877810236</v>
      </c>
      <c r="H472" s="147">
        <f t="shared" si="229"/>
        <v>121345.97472742379</v>
      </c>
      <c r="I472" s="147">
        <f t="shared" si="229"/>
        <v>127139.02272841988</v>
      </c>
      <c r="J472" s="147">
        <f t="shared" si="229"/>
        <v>134198.03091298457</v>
      </c>
      <c r="K472" s="147">
        <f t="shared" si="229"/>
        <v>140361.59127699837</v>
      </c>
      <c r="L472" s="147">
        <f t="shared" si="229"/>
        <v>143768.88121261136</v>
      </c>
      <c r="M472" s="147">
        <f t="shared" si="229"/>
        <v>147034.86572422803</v>
      </c>
      <c r="N472" s="147" t="s">
        <v>224</v>
      </c>
      <c r="O472" s="34" t="s">
        <v>222</v>
      </c>
    </row>
    <row r="473" spans="1:15" hidden="1">
      <c r="A473" s="212" t="s">
        <v>98</v>
      </c>
      <c r="B473" s="147">
        <f t="shared" si="218"/>
        <v>22283.919166794814</v>
      </c>
      <c r="C473" s="147">
        <f t="shared" ref="C473:M473" si="230">C87</f>
        <v>54932.883177275748</v>
      </c>
      <c r="D473" s="147">
        <f t="shared" si="230"/>
        <v>71278.153207382958</v>
      </c>
      <c r="E473" s="147">
        <f t="shared" si="230"/>
        <v>86785.023349307914</v>
      </c>
      <c r="F473" s="147">
        <f t="shared" si="230"/>
        <v>108131.85871230083</v>
      </c>
      <c r="G473" s="147">
        <f t="shared" si="230"/>
        <v>126320.39072460662</v>
      </c>
      <c r="H473" s="147">
        <f t="shared" si="230"/>
        <v>133099.32110273984</v>
      </c>
      <c r="I473" s="147">
        <f t="shared" si="230"/>
        <v>139600.29228266212</v>
      </c>
      <c r="J473" s="147">
        <f t="shared" si="230"/>
        <v>143612.40190461147</v>
      </c>
      <c r="K473" s="147">
        <f t="shared" si="230"/>
        <v>148311.1862133003</v>
      </c>
      <c r="L473" s="147">
        <f t="shared" si="230"/>
        <v>152692.72042218994</v>
      </c>
      <c r="M473" s="147">
        <f t="shared" si="230"/>
        <v>156348.67573375202</v>
      </c>
      <c r="N473" s="147" t="s">
        <v>224</v>
      </c>
      <c r="O473" s="34" t="s">
        <v>222</v>
      </c>
    </row>
    <row r="474" spans="1:15" hidden="1">
      <c r="A474" s="212" t="s">
        <v>99</v>
      </c>
      <c r="B474" s="147">
        <f t="shared" si="218"/>
        <v>130115.36688848886</v>
      </c>
      <c r="C474" s="147">
        <f t="shared" ref="C474:M474" si="231">C88</f>
        <v>231676.63656163632</v>
      </c>
      <c r="D474" s="147">
        <f t="shared" si="231"/>
        <v>290270.42473733419</v>
      </c>
      <c r="E474" s="147">
        <f t="shared" si="231"/>
        <v>323658.92248948949</v>
      </c>
      <c r="F474" s="147">
        <f t="shared" si="231"/>
        <v>394312.01257931383</v>
      </c>
      <c r="G474" s="147">
        <f t="shared" si="231"/>
        <v>447794.87251137837</v>
      </c>
      <c r="H474" s="147">
        <f t="shared" si="231"/>
        <v>465116.91886306636</v>
      </c>
      <c r="I474" s="147">
        <f t="shared" si="231"/>
        <v>478633.59651248757</v>
      </c>
      <c r="J474" s="147">
        <f t="shared" si="231"/>
        <v>490915.0267983813</v>
      </c>
      <c r="K474" s="147">
        <f t="shared" si="231"/>
        <v>510717.72036321048</v>
      </c>
      <c r="L474" s="147">
        <f t="shared" si="231"/>
        <v>524131.03156392358</v>
      </c>
      <c r="M474" s="147">
        <f t="shared" si="231"/>
        <v>537914.5038138961</v>
      </c>
      <c r="N474" s="147" t="s">
        <v>224</v>
      </c>
      <c r="O474" s="34" t="s">
        <v>222</v>
      </c>
    </row>
    <row r="475" spans="1:15" hidden="1">
      <c r="A475" s="212" t="s">
        <v>100</v>
      </c>
      <c r="B475" s="147">
        <f t="shared" si="218"/>
        <v>13769.605823168817</v>
      </c>
      <c r="C475" s="147">
        <f t="shared" ref="C475:M475" si="232">C89</f>
        <v>30547.869621072525</v>
      </c>
      <c r="D475" s="147">
        <f t="shared" si="232"/>
        <v>45411.522170485929</v>
      </c>
      <c r="E475" s="147">
        <f t="shared" si="232"/>
        <v>55989.585655247494</v>
      </c>
      <c r="F475" s="147">
        <f t="shared" si="232"/>
        <v>71655.387840597235</v>
      </c>
      <c r="G475" s="147">
        <f t="shared" si="232"/>
        <v>84784.491982384628</v>
      </c>
      <c r="H475" s="147">
        <f t="shared" si="232"/>
        <v>92408.782492036538</v>
      </c>
      <c r="I475" s="147">
        <f t="shared" si="232"/>
        <v>97993.249160928317</v>
      </c>
      <c r="J475" s="147">
        <f t="shared" si="232"/>
        <v>103228.91409964873</v>
      </c>
      <c r="K475" s="147">
        <f t="shared" si="232"/>
        <v>107917.24387419657</v>
      </c>
      <c r="L475" s="147">
        <f t="shared" si="232"/>
        <v>111436.04779147942</v>
      </c>
      <c r="M475" s="147">
        <f t="shared" si="232"/>
        <v>113889.47776808402</v>
      </c>
      <c r="N475" s="147" t="s">
        <v>224</v>
      </c>
      <c r="O475" s="34" t="s">
        <v>222</v>
      </c>
    </row>
    <row r="476" spans="1:15" hidden="1">
      <c r="A476" s="212" t="s">
        <v>101</v>
      </c>
      <c r="B476" s="147">
        <f t="shared" si="218"/>
        <v>12742.529836587146</v>
      </c>
      <c r="C476" s="147">
        <f t="shared" ref="C476:M476" si="233">C90</f>
        <v>40757.896867070478</v>
      </c>
      <c r="D476" s="147">
        <f t="shared" si="233"/>
        <v>50713.739199485753</v>
      </c>
      <c r="E476" s="147">
        <f t="shared" si="233"/>
        <v>60999.948115366809</v>
      </c>
      <c r="F476" s="147">
        <f t="shared" si="233"/>
        <v>76808.950673924264</v>
      </c>
      <c r="G476" s="147">
        <f t="shared" si="233"/>
        <v>94050.75127588131</v>
      </c>
      <c r="H476" s="147">
        <f t="shared" si="233"/>
        <v>101241.63216293395</v>
      </c>
      <c r="I476" s="147">
        <f t="shared" si="233"/>
        <v>108834.12052230007</v>
      </c>
      <c r="J476" s="147">
        <f t="shared" si="233"/>
        <v>114434.00474413873</v>
      </c>
      <c r="K476" s="147">
        <f t="shared" si="233"/>
        <v>122200.38975363759</v>
      </c>
      <c r="L476" s="147">
        <f t="shared" si="233"/>
        <v>126679.55085837032</v>
      </c>
      <c r="M476" s="147">
        <f t="shared" si="233"/>
        <v>129913.88043031201</v>
      </c>
      <c r="N476" s="147" t="s">
        <v>224</v>
      </c>
      <c r="O476" s="34" t="s">
        <v>222</v>
      </c>
    </row>
    <row r="477" spans="1:15" hidden="1">
      <c r="A477" s="212" t="s">
        <v>102</v>
      </c>
      <c r="B477" s="147">
        <f t="shared" si="218"/>
        <v>125308.53066922149</v>
      </c>
      <c r="C477" s="147">
        <f t="shared" ref="C477:M477" si="234">C91</f>
        <v>282158.98857899714</v>
      </c>
      <c r="D477" s="147">
        <f t="shared" si="234"/>
        <v>359436.08152178692</v>
      </c>
      <c r="E477" s="147">
        <f t="shared" si="234"/>
        <v>432557.20514146244</v>
      </c>
      <c r="F477" s="147">
        <f t="shared" si="234"/>
        <v>537144.54462240718</v>
      </c>
      <c r="G477" s="147">
        <f t="shared" si="234"/>
        <v>639238.86724919209</v>
      </c>
      <c r="H477" s="147">
        <f t="shared" si="234"/>
        <v>681802.22491714172</v>
      </c>
      <c r="I477" s="147">
        <f t="shared" si="234"/>
        <v>711654.00649947836</v>
      </c>
      <c r="J477" s="147">
        <f t="shared" si="234"/>
        <v>735621.2460396426</v>
      </c>
      <c r="K477" s="147">
        <f t="shared" si="234"/>
        <v>767080.06530729844</v>
      </c>
      <c r="L477" s="147">
        <f t="shared" si="234"/>
        <v>787682.74960433249</v>
      </c>
      <c r="M477" s="147">
        <f t="shared" si="234"/>
        <v>818327.98567918804</v>
      </c>
      <c r="N477" s="147" t="s">
        <v>224</v>
      </c>
      <c r="O477" s="34" t="s">
        <v>222</v>
      </c>
    </row>
    <row r="478" spans="1:15" hidden="1">
      <c r="A478" s="212" t="s">
        <v>103</v>
      </c>
      <c r="B478" s="147">
        <f t="shared" si="218"/>
        <v>27699.194415250699</v>
      </c>
      <c r="C478" s="147">
        <f t="shared" ref="C478:M478" si="235">C92</f>
        <v>74109.566016617246</v>
      </c>
      <c r="D478" s="147">
        <f t="shared" si="235"/>
        <v>96823.412573434238</v>
      </c>
      <c r="E478" s="147">
        <f t="shared" si="235"/>
        <v>114423.87696146555</v>
      </c>
      <c r="F478" s="147">
        <f t="shared" si="235"/>
        <v>134890.70122861178</v>
      </c>
      <c r="G478" s="147">
        <f t="shared" si="235"/>
        <v>156613.10759692805</v>
      </c>
      <c r="H478" s="147">
        <f t="shared" si="235"/>
        <v>161844.60418980056</v>
      </c>
      <c r="I478" s="147">
        <f t="shared" si="235"/>
        <v>167282.94145736817</v>
      </c>
      <c r="J478" s="147">
        <f t="shared" si="235"/>
        <v>172280.08494099585</v>
      </c>
      <c r="K478" s="147">
        <f t="shared" si="235"/>
        <v>177039.15887540221</v>
      </c>
      <c r="L478" s="147">
        <f t="shared" si="235"/>
        <v>181297.03472300948</v>
      </c>
      <c r="M478" s="147">
        <f t="shared" si="235"/>
        <v>184280.77461481202</v>
      </c>
      <c r="N478" s="147" t="s">
        <v>224</v>
      </c>
      <c r="O478" s="34" t="s">
        <v>222</v>
      </c>
    </row>
    <row r="479" spans="1:15" hidden="1">
      <c r="A479" s="212" t="s">
        <v>104</v>
      </c>
      <c r="B479" s="147">
        <f t="shared" si="218"/>
        <v>10056.848771878076</v>
      </c>
      <c r="C479" s="147">
        <f t="shared" ref="C479:M479" si="236">C93</f>
        <v>23184.345901746248</v>
      </c>
      <c r="D479" s="147">
        <f t="shared" si="236"/>
        <v>30022.200563661689</v>
      </c>
      <c r="E479" s="147">
        <f t="shared" si="236"/>
        <v>37937.034514968771</v>
      </c>
      <c r="F479" s="147">
        <f t="shared" si="236"/>
        <v>44865.505730000543</v>
      </c>
      <c r="G479" s="147">
        <f t="shared" si="236"/>
        <v>54250.482687407821</v>
      </c>
      <c r="H479" s="147">
        <f t="shared" si="236"/>
        <v>58237.349927389754</v>
      </c>
      <c r="I479" s="147">
        <f t="shared" si="236"/>
        <v>62398.930990695284</v>
      </c>
      <c r="J479" s="147">
        <f t="shared" si="236"/>
        <v>65164.261379164825</v>
      </c>
      <c r="K479" s="147">
        <f t="shared" si="236"/>
        <v>67428.555411085807</v>
      </c>
      <c r="L479" s="147">
        <f t="shared" si="236"/>
        <v>68604.16598999167</v>
      </c>
      <c r="M479" s="147">
        <f t="shared" si="236"/>
        <v>69732.47175264002</v>
      </c>
      <c r="N479" s="147" t="s">
        <v>224</v>
      </c>
      <c r="O479" s="34" t="s">
        <v>222</v>
      </c>
    </row>
    <row r="480" spans="1:15" hidden="1">
      <c r="A480" s="212" t="s">
        <v>105</v>
      </c>
      <c r="B480" s="147">
        <f t="shared" si="218"/>
        <v>144675.09694862226</v>
      </c>
      <c r="C480" s="147">
        <f t="shared" ref="C480:M480" si="237">C94</f>
        <v>318050.2829208888</v>
      </c>
      <c r="D480" s="147">
        <f t="shared" si="237"/>
        <v>392151.42031542381</v>
      </c>
      <c r="E480" s="147">
        <f t="shared" si="237"/>
        <v>456494.46522814146</v>
      </c>
      <c r="F480" s="147">
        <f t="shared" si="237"/>
        <v>538641.25901119353</v>
      </c>
      <c r="G480" s="147">
        <f t="shared" si="237"/>
        <v>633105.17569449439</v>
      </c>
      <c r="H480" s="147">
        <f t="shared" si="237"/>
        <v>682190.92255511053</v>
      </c>
      <c r="I480" s="147">
        <f t="shared" si="237"/>
        <v>726708.6235077898</v>
      </c>
      <c r="J480" s="147">
        <f t="shared" si="237"/>
        <v>758751.28758379375</v>
      </c>
      <c r="K480" s="147">
        <f t="shared" si="237"/>
        <v>790133.12183177343</v>
      </c>
      <c r="L480" s="147">
        <f t="shared" si="237"/>
        <v>814017.66094316461</v>
      </c>
      <c r="M480" s="147">
        <f t="shared" si="237"/>
        <v>832186.92852219602</v>
      </c>
      <c r="N480" s="147" t="s">
        <v>224</v>
      </c>
      <c r="O480" s="34" t="s">
        <v>222</v>
      </c>
    </row>
    <row r="481" spans="1:15" hidden="1">
      <c r="A481" s="212" t="s">
        <v>106</v>
      </c>
      <c r="B481" s="147">
        <f t="shared" si="218"/>
        <v>4358.228789379662</v>
      </c>
      <c r="C481" s="147">
        <f t="shared" ref="C481:M481" si="238">C95</f>
        <v>19302.14557237615</v>
      </c>
      <c r="D481" s="147">
        <f t="shared" si="238"/>
        <v>30128.393566811148</v>
      </c>
      <c r="E481" s="147">
        <f t="shared" si="238"/>
        <v>37736.612066506532</v>
      </c>
      <c r="F481" s="147">
        <f t="shared" si="238"/>
        <v>47204.507771468496</v>
      </c>
      <c r="G481" s="147">
        <f t="shared" si="238"/>
        <v>59041.354106904277</v>
      </c>
      <c r="H481" s="147">
        <f t="shared" si="238"/>
        <v>62886.351721027902</v>
      </c>
      <c r="I481" s="147">
        <f t="shared" si="238"/>
        <v>67652.12024148817</v>
      </c>
      <c r="J481" s="147">
        <f t="shared" si="238"/>
        <v>71082.626032859058</v>
      </c>
      <c r="K481" s="147">
        <f t="shared" si="238"/>
        <v>73735.542136711068</v>
      </c>
      <c r="L481" s="147">
        <f t="shared" si="238"/>
        <v>75868.244515527942</v>
      </c>
      <c r="M481" s="147">
        <f t="shared" si="238"/>
        <v>77302.393971588011</v>
      </c>
      <c r="N481" s="147" t="s">
        <v>224</v>
      </c>
      <c r="O481" s="34" t="s">
        <v>222</v>
      </c>
    </row>
    <row r="482" spans="1:15" hidden="1">
      <c r="A482" s="212" t="s">
        <v>107</v>
      </c>
      <c r="B482" s="147">
        <f t="shared" si="218"/>
        <v>115501.65649249768</v>
      </c>
      <c r="C482" s="147">
        <f t="shared" ref="C482:M482" si="239">C96</f>
        <v>295744.33186303556</v>
      </c>
      <c r="D482" s="147">
        <f t="shared" si="239"/>
        <v>376415.39849451528</v>
      </c>
      <c r="E482" s="147">
        <f t="shared" si="239"/>
        <v>450251.64405630459</v>
      </c>
      <c r="F482" s="147">
        <f t="shared" si="239"/>
        <v>544992.12410163274</v>
      </c>
      <c r="G482" s="147">
        <f t="shared" si="239"/>
        <v>650987.88019223453</v>
      </c>
      <c r="H482" s="147">
        <f t="shared" si="239"/>
        <v>689179.5352197421</v>
      </c>
      <c r="I482" s="147">
        <f t="shared" si="239"/>
        <v>720084.89160830528</v>
      </c>
      <c r="J482" s="147">
        <f t="shared" si="239"/>
        <v>743996.05512643058</v>
      </c>
      <c r="K482" s="147">
        <f t="shared" si="239"/>
        <v>772461.08563829865</v>
      </c>
      <c r="L482" s="147">
        <f t="shared" si="239"/>
        <v>791595.41676620615</v>
      </c>
      <c r="M482" s="147">
        <f t="shared" si="239"/>
        <v>813563.97407690412</v>
      </c>
      <c r="N482" s="147" t="s">
        <v>224</v>
      </c>
      <c r="O482" s="34" t="s">
        <v>222</v>
      </c>
    </row>
    <row r="483" spans="1:15" hidden="1">
      <c r="A483" s="212" t="s">
        <v>108</v>
      </c>
      <c r="B483" s="147">
        <f t="shared" si="218"/>
        <v>7731.9615281044735</v>
      </c>
      <c r="C483" s="147">
        <f t="shared" ref="C483:M483" si="240">C97</f>
        <v>22333.695184850425</v>
      </c>
      <c r="D483" s="147">
        <f t="shared" si="240"/>
        <v>26428.834683912726</v>
      </c>
      <c r="E483" s="147">
        <f t="shared" si="240"/>
        <v>31442.08172321416</v>
      </c>
      <c r="F483" s="147">
        <f t="shared" si="240"/>
        <v>36042.46358625943</v>
      </c>
      <c r="G483" s="147">
        <f t="shared" si="240"/>
        <v>45693.827935159134</v>
      </c>
      <c r="H483" s="147">
        <f t="shared" si="240"/>
        <v>49548.202295869887</v>
      </c>
      <c r="I483" s="147">
        <f t="shared" si="240"/>
        <v>54168.425879789393</v>
      </c>
      <c r="J483" s="147">
        <f t="shared" si="240"/>
        <v>57249.769139192365</v>
      </c>
      <c r="K483" s="147">
        <f t="shared" si="240"/>
        <v>60274.829540820145</v>
      </c>
      <c r="L483" s="147">
        <f t="shared" si="240"/>
        <v>62765.09977809713</v>
      </c>
      <c r="M483" s="147">
        <f t="shared" si="240"/>
        <v>64102.276222668021</v>
      </c>
      <c r="N483" s="147" t="s">
        <v>224</v>
      </c>
      <c r="O483" s="34" t="s">
        <v>222</v>
      </c>
    </row>
    <row r="484" spans="1:15" hidden="1">
      <c r="A484" s="212" t="s">
        <v>109</v>
      </c>
      <c r="B484" s="147">
        <f t="shared" si="218"/>
        <v>4023.139125366481</v>
      </c>
      <c r="C484" s="147">
        <f t="shared" ref="C484:M484" si="241">C98</f>
        <v>5858.877308939087</v>
      </c>
      <c r="D484" s="147">
        <f t="shared" si="241"/>
        <v>6652.542829522894</v>
      </c>
      <c r="E484" s="147">
        <f t="shared" si="241"/>
        <v>7292.7847048583235</v>
      </c>
      <c r="F484" s="147">
        <f t="shared" si="241"/>
        <v>8067.9712123264881</v>
      </c>
      <c r="G484" s="147">
        <f t="shared" si="241"/>
        <v>8699.4332991798601</v>
      </c>
      <c r="H484" s="147">
        <f t="shared" si="241"/>
        <v>9722.1567823465466</v>
      </c>
      <c r="I484" s="147">
        <f t="shared" si="241"/>
        <v>10971.64245490155</v>
      </c>
      <c r="J484" s="147">
        <f t="shared" si="241"/>
        <v>11821.184339989277</v>
      </c>
      <c r="K484" s="147">
        <f t="shared" si="241"/>
        <v>11821.184339989277</v>
      </c>
      <c r="L484" s="147">
        <f t="shared" si="241"/>
        <v>12285.346415005817</v>
      </c>
      <c r="M484" s="147">
        <f t="shared" si="241"/>
        <v>12767.025785076001</v>
      </c>
      <c r="N484" s="147" t="s">
        <v>224</v>
      </c>
      <c r="O484" s="34" t="s">
        <v>222</v>
      </c>
    </row>
    <row r="485" spans="1:15" hidden="1">
      <c r="A485" s="212" t="s">
        <v>110</v>
      </c>
      <c r="B485" s="147">
        <f t="shared" si="218"/>
        <v>61297.75923207272</v>
      </c>
      <c r="C485" s="147">
        <f t="shared" ref="C485:M485" si="242">C99</f>
        <v>195946.34094137128</v>
      </c>
      <c r="D485" s="147">
        <f t="shared" si="242"/>
        <v>246895.82765182952</v>
      </c>
      <c r="E485" s="147">
        <f t="shared" si="242"/>
        <v>292021.58247075352</v>
      </c>
      <c r="F485" s="147">
        <f t="shared" si="242"/>
        <v>348435.7310962748</v>
      </c>
      <c r="G485" s="147">
        <f t="shared" si="242"/>
        <v>409480.88738208741</v>
      </c>
      <c r="H485" s="147">
        <f t="shared" si="242"/>
        <v>426508.31142175302</v>
      </c>
      <c r="I485" s="147">
        <f t="shared" si="242"/>
        <v>443147.78217513097</v>
      </c>
      <c r="J485" s="147">
        <f t="shared" si="242"/>
        <v>455154.17988933704</v>
      </c>
      <c r="K485" s="147">
        <f t="shared" si="242"/>
        <v>468364.70162045711</v>
      </c>
      <c r="L485" s="147">
        <f t="shared" si="242"/>
        <v>478231.82600948989</v>
      </c>
      <c r="M485" s="147">
        <f t="shared" si="242"/>
        <v>486793.46657134808</v>
      </c>
      <c r="N485" s="147" t="s">
        <v>224</v>
      </c>
      <c r="O485" s="34" t="s">
        <v>222</v>
      </c>
    </row>
    <row r="486" spans="1:15" hidden="1">
      <c r="A486" s="212" t="s">
        <v>111</v>
      </c>
      <c r="B486" s="147">
        <f t="shared" si="218"/>
        <v>546198.08382546762</v>
      </c>
      <c r="C486" s="147">
        <f t="shared" ref="C486:M486" si="243">C100</f>
        <v>869169.90415994707</v>
      </c>
      <c r="D486" s="147">
        <f t="shared" si="243"/>
        <v>1018585.7430498378</v>
      </c>
      <c r="E486" s="147">
        <f t="shared" si="243"/>
        <v>1172838.7571611032</v>
      </c>
      <c r="F486" s="147">
        <f t="shared" si="243"/>
        <v>1381766.5881834419</v>
      </c>
      <c r="G486" s="147">
        <f t="shared" si="243"/>
        <v>1507054.9298091517</v>
      </c>
      <c r="H486" s="147">
        <f t="shared" si="243"/>
        <v>1573649.3266262307</v>
      </c>
      <c r="I486" s="147">
        <f t="shared" si="243"/>
        <v>1629950.625962161</v>
      </c>
      <c r="J486" s="147">
        <f t="shared" si="243"/>
        <v>1669204.2233742576</v>
      </c>
      <c r="K486" s="147">
        <f t="shared" si="243"/>
        <v>1719256.4190888994</v>
      </c>
      <c r="L486" s="147">
        <f t="shared" si="243"/>
        <v>1765107.139333681</v>
      </c>
      <c r="M486" s="147">
        <f t="shared" si="243"/>
        <v>1804910.4425216522</v>
      </c>
      <c r="N486" s="147" t="s">
        <v>224</v>
      </c>
      <c r="O486" s="34" t="s">
        <v>222</v>
      </c>
    </row>
    <row r="487" spans="1:15" hidden="1">
      <c r="A487" s="212" t="s">
        <v>112</v>
      </c>
      <c r="B487" s="147">
        <f t="shared" si="218"/>
        <v>8338.9801318984501</v>
      </c>
      <c r="C487" s="147">
        <f t="shared" ref="C487:M487" si="244">C101</f>
        <v>17889.622572400265</v>
      </c>
      <c r="D487" s="147">
        <f t="shared" si="244"/>
        <v>23940.698907267128</v>
      </c>
      <c r="E487" s="147">
        <f t="shared" si="244"/>
        <v>29267.000841570996</v>
      </c>
      <c r="F487" s="147">
        <f t="shared" si="244"/>
        <v>33316.563296772612</v>
      </c>
      <c r="G487" s="147">
        <f t="shared" si="244"/>
        <v>38234.142052514471</v>
      </c>
      <c r="H487" s="147">
        <f t="shared" si="244"/>
        <v>39440.410803881205</v>
      </c>
      <c r="I487" s="147">
        <f t="shared" si="244"/>
        <v>41326.427613749984</v>
      </c>
      <c r="J487" s="147">
        <f t="shared" si="244"/>
        <v>42757.911738165545</v>
      </c>
      <c r="K487" s="147">
        <f t="shared" si="244"/>
        <v>44033.10502273876</v>
      </c>
      <c r="L487" s="147">
        <f t="shared" si="244"/>
        <v>45832.294997971927</v>
      </c>
      <c r="M487" s="147">
        <f t="shared" si="244"/>
        <v>46345.50570506401</v>
      </c>
      <c r="N487" s="147" t="s">
        <v>224</v>
      </c>
      <c r="O487" s="34" t="s">
        <v>222</v>
      </c>
    </row>
    <row r="488" spans="1:15" hidden="1">
      <c r="A488" s="212" t="s">
        <v>113</v>
      </c>
      <c r="B488" s="147">
        <f t="shared" si="218"/>
        <v>5645.7206090015552</v>
      </c>
      <c r="C488" s="147">
        <f t="shared" ref="C488:M488" si="245">C102</f>
        <v>13014.257055679409</v>
      </c>
      <c r="D488" s="147">
        <f t="shared" si="245"/>
        <v>17660.846517583199</v>
      </c>
      <c r="E488" s="147">
        <f t="shared" si="245"/>
        <v>20794.900250552306</v>
      </c>
      <c r="F488" s="147">
        <f t="shared" si="245"/>
        <v>25428.474626331437</v>
      </c>
      <c r="G488" s="147">
        <f t="shared" si="245"/>
        <v>34948.68441679221</v>
      </c>
      <c r="H488" s="147">
        <f t="shared" si="245"/>
        <v>39875.484431369281</v>
      </c>
      <c r="I488" s="147">
        <f t="shared" si="245"/>
        <v>43138.966227846075</v>
      </c>
      <c r="J488" s="147">
        <f t="shared" si="245"/>
        <v>46046.785024259378</v>
      </c>
      <c r="K488" s="147">
        <f t="shared" si="245"/>
        <v>49283.906089471908</v>
      </c>
      <c r="L488" s="147">
        <f t="shared" si="245"/>
        <v>51257.438824015677</v>
      </c>
      <c r="M488" s="147">
        <f t="shared" si="245"/>
        <v>53708.069090411998</v>
      </c>
      <c r="N488" s="147" t="s">
        <v>224</v>
      </c>
      <c r="O488" s="34" t="s">
        <v>222</v>
      </c>
    </row>
    <row r="489" spans="1:15" hidden="1">
      <c r="A489" s="212" t="s">
        <v>87</v>
      </c>
      <c r="B489" s="147">
        <f t="shared" ref="B489:B515" si="246">AF110</f>
        <v>420.52800000000002</v>
      </c>
      <c r="C489" s="147">
        <f t="shared" ref="C489:C515" si="247">AG110</f>
        <v>693.88800000000003</v>
      </c>
      <c r="D489" s="147">
        <f t="shared" ref="D489:D515" si="248">AH110</f>
        <v>295.952</v>
      </c>
      <c r="E489" s="147">
        <f t="shared" ref="E489:E515" si="249">AI110</f>
        <v>184.584</v>
      </c>
      <c r="F489" s="147">
        <f t="shared" ref="F489:F515" si="250">AJ110</f>
        <v>439.20000000000005</v>
      </c>
      <c r="G489" s="147">
        <f t="shared" ref="G489:G515" si="251">AK110</f>
        <v>295.49600000000004</v>
      </c>
      <c r="H489" s="147">
        <f t="shared" ref="H489:H515" si="252">AL110</f>
        <v>0</v>
      </c>
      <c r="I489" s="147">
        <f t="shared" ref="I489:I515" si="253">AM110</f>
        <v>0</v>
      </c>
      <c r="J489" s="147">
        <f t="shared" ref="J489:J515" si="254">AN110</f>
        <v>527.64800000000002</v>
      </c>
      <c r="K489" s="147">
        <f t="shared" ref="K489:K515" si="255">AO110</f>
        <v>1757.1840000000002</v>
      </c>
      <c r="L489" s="147">
        <f t="shared" ref="L489:L515" si="256">AP110</f>
        <v>568.6</v>
      </c>
      <c r="M489" s="147">
        <f t="shared" ref="M489:M515" si="257">AQ110</f>
        <v>0</v>
      </c>
      <c r="N489" s="147" t="s">
        <v>177</v>
      </c>
      <c r="O489" s="34" t="s">
        <v>198</v>
      </c>
    </row>
    <row r="490" spans="1:15" hidden="1">
      <c r="A490" s="212" t="s">
        <v>88</v>
      </c>
      <c r="B490" s="147">
        <f t="shared" si="246"/>
        <v>1131.8399999999999</v>
      </c>
      <c r="C490" s="147">
        <f t="shared" si="247"/>
        <v>568</v>
      </c>
      <c r="D490" s="147">
        <f t="shared" si="248"/>
        <v>325.03200000000004</v>
      </c>
      <c r="E490" s="147">
        <f t="shared" si="249"/>
        <v>506.52800000000002</v>
      </c>
      <c r="F490" s="147">
        <f t="shared" si="250"/>
        <v>233.80799999999999</v>
      </c>
      <c r="G490" s="147">
        <f t="shared" si="251"/>
        <v>297.44</v>
      </c>
      <c r="H490" s="147">
        <f t="shared" si="252"/>
        <v>254.14399999999989</v>
      </c>
      <c r="I490" s="147">
        <f t="shared" si="253"/>
        <v>64.247999999999962</v>
      </c>
      <c r="J490" s="147">
        <f t="shared" si="254"/>
        <v>335.32799999999992</v>
      </c>
      <c r="K490" s="147">
        <f t="shared" si="255"/>
        <v>335.31200000000007</v>
      </c>
      <c r="L490" s="147">
        <f t="shared" si="256"/>
        <v>589.48</v>
      </c>
      <c r="M490" s="147">
        <f t="shared" si="257"/>
        <v>760.60799999999983</v>
      </c>
      <c r="N490" s="147" t="s">
        <v>177</v>
      </c>
      <c r="O490" s="34" t="s">
        <v>198</v>
      </c>
    </row>
    <row r="491" spans="1:15" hidden="1">
      <c r="A491" s="212" t="s">
        <v>89</v>
      </c>
      <c r="B491" s="147">
        <f t="shared" si="246"/>
        <v>3040.6640000000002</v>
      </c>
      <c r="C491" s="147">
        <f t="shared" si="247"/>
        <v>793.95200000000011</v>
      </c>
      <c r="D491" s="147">
        <f t="shared" si="248"/>
        <v>1394.96</v>
      </c>
      <c r="E491" s="147">
        <f t="shared" si="249"/>
        <v>871.51200000000017</v>
      </c>
      <c r="F491" s="147">
        <f t="shared" si="250"/>
        <v>311.56799999999998</v>
      </c>
      <c r="G491" s="147">
        <f t="shared" si="251"/>
        <v>435.63200000000001</v>
      </c>
      <c r="H491" s="147">
        <f t="shared" si="252"/>
        <v>1225.992</v>
      </c>
      <c r="I491" s="147">
        <f t="shared" si="253"/>
        <v>659.17599999999948</v>
      </c>
      <c r="J491" s="147">
        <f t="shared" si="254"/>
        <v>511.61599999999999</v>
      </c>
      <c r="K491" s="147">
        <f t="shared" si="255"/>
        <v>1221.912</v>
      </c>
      <c r="L491" s="147">
        <f t="shared" si="256"/>
        <v>242.01599999999999</v>
      </c>
      <c r="M491" s="147">
        <f t="shared" si="257"/>
        <v>330.03199999999998</v>
      </c>
      <c r="N491" s="147" t="s">
        <v>177</v>
      </c>
      <c r="O491" s="34" t="s">
        <v>198</v>
      </c>
    </row>
    <row r="492" spans="1:15" hidden="1">
      <c r="A492" s="212" t="s">
        <v>90</v>
      </c>
      <c r="B492" s="147">
        <f t="shared" si="246"/>
        <v>1523.9760000000001</v>
      </c>
      <c r="C492" s="147">
        <f t="shared" si="247"/>
        <v>2352.4320000000002</v>
      </c>
      <c r="D492" s="147">
        <f t="shared" si="248"/>
        <v>4690.424</v>
      </c>
      <c r="E492" s="147">
        <f t="shared" si="249"/>
        <v>824.24</v>
      </c>
      <c r="F492" s="147">
        <f t="shared" si="250"/>
        <v>801.37600000000009</v>
      </c>
      <c r="G492" s="147">
        <f t="shared" si="251"/>
        <v>0</v>
      </c>
      <c r="H492" s="147">
        <f t="shared" si="252"/>
        <v>1741.2720000000002</v>
      </c>
      <c r="I492" s="147">
        <f t="shared" si="253"/>
        <v>412.20799999999946</v>
      </c>
      <c r="J492" s="147">
        <f t="shared" si="254"/>
        <v>762.95999999999992</v>
      </c>
      <c r="K492" s="147">
        <f t="shared" si="255"/>
        <v>1483.1279999999999</v>
      </c>
      <c r="L492" s="147">
        <f t="shared" si="256"/>
        <v>1795.0560000000003</v>
      </c>
      <c r="M492" s="147">
        <f t="shared" si="257"/>
        <v>1848.4160000000004</v>
      </c>
      <c r="N492" s="147" t="s">
        <v>177</v>
      </c>
      <c r="O492" s="34" t="s">
        <v>198</v>
      </c>
    </row>
    <row r="493" spans="1:15" hidden="1">
      <c r="A493" s="212" t="s">
        <v>91</v>
      </c>
      <c r="B493" s="147">
        <f t="shared" si="246"/>
        <v>3606.4400000000005</v>
      </c>
      <c r="C493" s="147">
        <f t="shared" si="247"/>
        <v>2710.0320000000002</v>
      </c>
      <c r="D493" s="147">
        <f t="shared" si="248"/>
        <v>3676.6080000000002</v>
      </c>
      <c r="E493" s="147">
        <f t="shared" si="249"/>
        <v>1494.7920000000001</v>
      </c>
      <c r="F493" s="147">
        <f t="shared" si="250"/>
        <v>1919.3440000000001</v>
      </c>
      <c r="G493" s="147">
        <f t="shared" si="251"/>
        <v>1449.5440000000001</v>
      </c>
      <c r="H493" s="147">
        <f t="shared" si="252"/>
        <v>1998.8319999999978</v>
      </c>
      <c r="I493" s="147">
        <f t="shared" si="253"/>
        <v>4831.0880000000006</v>
      </c>
      <c r="J493" s="147">
        <f t="shared" si="254"/>
        <v>1290.3919999999998</v>
      </c>
      <c r="K493" s="147">
        <f t="shared" si="255"/>
        <v>4229.9040000000005</v>
      </c>
      <c r="L493" s="147">
        <f t="shared" si="256"/>
        <v>3076.0880000000002</v>
      </c>
      <c r="M493" s="147">
        <f t="shared" si="257"/>
        <v>3087.3120000000013</v>
      </c>
      <c r="N493" s="147" t="s">
        <v>177</v>
      </c>
      <c r="O493" s="34" t="s">
        <v>198</v>
      </c>
    </row>
    <row r="494" spans="1:15" hidden="1">
      <c r="A494" s="212" t="s">
        <v>92</v>
      </c>
      <c r="B494" s="147">
        <f t="shared" si="246"/>
        <v>1410.6080000000002</v>
      </c>
      <c r="C494" s="147">
        <f t="shared" si="247"/>
        <v>800.73599999999999</v>
      </c>
      <c r="D494" s="147">
        <f t="shared" si="248"/>
        <v>655.98400000000004</v>
      </c>
      <c r="E494" s="147">
        <f t="shared" si="249"/>
        <v>88.448000000000008</v>
      </c>
      <c r="F494" s="147">
        <f t="shared" si="250"/>
        <v>1261.384</v>
      </c>
      <c r="G494" s="147">
        <f t="shared" si="251"/>
        <v>678.08</v>
      </c>
      <c r="H494" s="147">
        <f t="shared" si="252"/>
        <v>0</v>
      </c>
      <c r="I494" s="147">
        <f t="shared" si="253"/>
        <v>36.688000000000464</v>
      </c>
      <c r="J494" s="147">
        <f t="shared" si="254"/>
        <v>788.47200000000021</v>
      </c>
      <c r="K494" s="147">
        <f t="shared" si="255"/>
        <v>959.5200000000001</v>
      </c>
      <c r="L494" s="147">
        <f t="shared" si="256"/>
        <v>267.24</v>
      </c>
      <c r="M494" s="147">
        <f t="shared" si="257"/>
        <v>694.87199999999984</v>
      </c>
      <c r="N494" s="147" t="s">
        <v>177</v>
      </c>
      <c r="O494" s="34" t="s">
        <v>198</v>
      </c>
    </row>
    <row r="495" spans="1:15" hidden="1">
      <c r="A495" s="212" t="s">
        <v>93</v>
      </c>
      <c r="B495" s="147">
        <f t="shared" si="246"/>
        <v>7419.1759999999995</v>
      </c>
      <c r="C495" s="147">
        <f t="shared" si="247"/>
        <v>3635.1120000000005</v>
      </c>
      <c r="D495" s="147">
        <f t="shared" si="248"/>
        <v>1122</v>
      </c>
      <c r="E495" s="147">
        <f t="shared" si="249"/>
        <v>1098.0160000000001</v>
      </c>
      <c r="F495" s="147">
        <f t="shared" si="250"/>
        <v>619.13599999999997</v>
      </c>
      <c r="G495" s="147">
        <f t="shared" si="251"/>
        <v>2493.3040000000001</v>
      </c>
      <c r="H495" s="147">
        <f t="shared" si="252"/>
        <v>353.79199999999986</v>
      </c>
      <c r="I495" s="147">
        <f t="shared" si="253"/>
        <v>4806.0960000000023</v>
      </c>
      <c r="J495" s="147">
        <f t="shared" si="254"/>
        <v>1762.768</v>
      </c>
      <c r="K495" s="147">
        <f t="shared" si="255"/>
        <v>962.1519999999997</v>
      </c>
      <c r="L495" s="147">
        <f t="shared" si="256"/>
        <v>850.36800000000005</v>
      </c>
      <c r="M495" s="147">
        <f t="shared" si="257"/>
        <v>2356.2720000000004</v>
      </c>
      <c r="N495" s="147" t="s">
        <v>177</v>
      </c>
      <c r="O495" s="34" t="s">
        <v>198</v>
      </c>
    </row>
    <row r="496" spans="1:15" hidden="1">
      <c r="A496" s="212" t="s">
        <v>94</v>
      </c>
      <c r="B496" s="147">
        <f t="shared" si="246"/>
        <v>3367.92</v>
      </c>
      <c r="C496" s="147">
        <f t="shared" si="247"/>
        <v>2910.3919999999998</v>
      </c>
      <c r="D496" s="147">
        <f t="shared" si="248"/>
        <v>3004.4639999999999</v>
      </c>
      <c r="E496" s="147">
        <f t="shared" si="249"/>
        <v>1503.4</v>
      </c>
      <c r="F496" s="147">
        <f t="shared" si="250"/>
        <v>1018.3920000000001</v>
      </c>
      <c r="G496" s="147">
        <f t="shared" si="251"/>
        <v>519.52</v>
      </c>
      <c r="H496" s="147">
        <f t="shared" si="252"/>
        <v>2920.7759999999998</v>
      </c>
      <c r="I496" s="147">
        <f t="shared" si="253"/>
        <v>2770.2320000000009</v>
      </c>
      <c r="J496" s="147">
        <f t="shared" si="254"/>
        <v>1745.6240000000007</v>
      </c>
      <c r="K496" s="147">
        <f t="shared" si="255"/>
        <v>3201.9840000000004</v>
      </c>
      <c r="L496" s="147">
        <f t="shared" si="256"/>
        <v>1792.384</v>
      </c>
      <c r="M496" s="147">
        <f t="shared" si="257"/>
        <v>1743.3119999999997</v>
      </c>
      <c r="N496" s="147" t="s">
        <v>177</v>
      </c>
      <c r="O496" s="34" t="s">
        <v>198</v>
      </c>
    </row>
    <row r="497" spans="1:15" hidden="1">
      <c r="A497" s="212" t="s">
        <v>95</v>
      </c>
      <c r="B497" s="147">
        <f t="shared" si="246"/>
        <v>4949.9440000000004</v>
      </c>
      <c r="C497" s="147">
        <f t="shared" si="247"/>
        <v>6452.7520000000004</v>
      </c>
      <c r="D497" s="147">
        <f t="shared" si="248"/>
        <v>3303.0320000000002</v>
      </c>
      <c r="E497" s="147">
        <f t="shared" si="249"/>
        <v>3891.4320000000002</v>
      </c>
      <c r="F497" s="147">
        <f t="shared" si="250"/>
        <v>2114</v>
      </c>
      <c r="G497" s="147">
        <f t="shared" si="251"/>
        <v>1812.7919999999999</v>
      </c>
      <c r="H497" s="147">
        <f t="shared" si="252"/>
        <v>4266.9680000000008</v>
      </c>
      <c r="I497" s="147">
        <f t="shared" si="253"/>
        <v>1777.1200000000013</v>
      </c>
      <c r="J497" s="147">
        <f t="shared" si="254"/>
        <v>943.23999999999944</v>
      </c>
      <c r="K497" s="147">
        <f t="shared" si="255"/>
        <v>1828.2560000000005</v>
      </c>
      <c r="L497" s="147">
        <f t="shared" si="256"/>
        <v>2146.6480000000001</v>
      </c>
      <c r="M497" s="147">
        <f t="shared" si="257"/>
        <v>826.95999999999992</v>
      </c>
      <c r="N497" s="147" t="s">
        <v>177</v>
      </c>
      <c r="O497" s="34" t="s">
        <v>198</v>
      </c>
    </row>
    <row r="498" spans="1:15" hidden="1">
      <c r="A498" s="212" t="s">
        <v>96</v>
      </c>
      <c r="B498" s="147">
        <f t="shared" si="246"/>
        <v>496.18400000000003</v>
      </c>
      <c r="C498" s="147">
        <f t="shared" si="247"/>
        <v>732.75200000000007</v>
      </c>
      <c r="D498" s="147">
        <f t="shared" si="248"/>
        <v>1214.28</v>
      </c>
      <c r="E498" s="147">
        <f t="shared" si="249"/>
        <v>189.024</v>
      </c>
      <c r="F498" s="147">
        <f t="shared" si="250"/>
        <v>644.32000000000005</v>
      </c>
      <c r="G498" s="147">
        <f t="shared" si="251"/>
        <v>163.56</v>
      </c>
      <c r="H498" s="147">
        <f t="shared" si="252"/>
        <v>1868.3120000000004</v>
      </c>
      <c r="I498" s="147">
        <f t="shared" si="253"/>
        <v>420.9839999999997</v>
      </c>
      <c r="J498" s="147">
        <f t="shared" si="254"/>
        <v>579.27199999999982</v>
      </c>
      <c r="K498" s="147">
        <f t="shared" si="255"/>
        <v>665.52799999999991</v>
      </c>
      <c r="L498" s="147">
        <f t="shared" si="256"/>
        <v>1185.568</v>
      </c>
      <c r="M498" s="147">
        <f t="shared" si="257"/>
        <v>820.4079999999999</v>
      </c>
      <c r="N498" s="147" t="s">
        <v>177</v>
      </c>
      <c r="O498" s="34" t="s">
        <v>198</v>
      </c>
    </row>
    <row r="499" spans="1:15" hidden="1">
      <c r="A499" s="212" t="s">
        <v>97</v>
      </c>
      <c r="B499" s="147">
        <f t="shared" si="246"/>
        <v>5375.1760000000004</v>
      </c>
      <c r="C499" s="147">
        <f t="shared" si="247"/>
        <v>2830.32</v>
      </c>
      <c r="D499" s="147">
        <f t="shared" si="248"/>
        <v>1620.5039999999999</v>
      </c>
      <c r="E499" s="147">
        <f t="shared" si="249"/>
        <v>1093.08</v>
      </c>
      <c r="F499" s="147">
        <f t="shared" si="250"/>
        <v>1615.864</v>
      </c>
      <c r="G499" s="147">
        <f t="shared" si="251"/>
        <v>3602.7120000000004</v>
      </c>
      <c r="H499" s="147">
        <f t="shared" si="252"/>
        <v>1996.6240000000007</v>
      </c>
      <c r="I499" s="147">
        <f t="shared" si="253"/>
        <v>4789.2719999999999</v>
      </c>
      <c r="J499" s="147">
        <f t="shared" si="254"/>
        <v>3597.6880000000006</v>
      </c>
      <c r="K499" s="147">
        <f t="shared" si="255"/>
        <v>3649.1600000000008</v>
      </c>
      <c r="L499" s="147">
        <f t="shared" si="256"/>
        <v>1614.5840000000001</v>
      </c>
      <c r="M499" s="147">
        <f t="shared" si="257"/>
        <v>4103.9920000000011</v>
      </c>
      <c r="N499" s="147" t="s">
        <v>177</v>
      </c>
      <c r="O499" s="34" t="s">
        <v>198</v>
      </c>
    </row>
    <row r="500" spans="1:15" hidden="1">
      <c r="A500" s="212" t="s">
        <v>98</v>
      </c>
      <c r="B500" s="147">
        <f t="shared" si="246"/>
        <v>4095.2080000000005</v>
      </c>
      <c r="C500" s="147">
        <f t="shared" si="247"/>
        <v>2218.9680000000003</v>
      </c>
      <c r="D500" s="147">
        <f t="shared" si="248"/>
        <v>3617.1760000000004</v>
      </c>
      <c r="E500" s="147">
        <f t="shared" si="249"/>
        <v>1956.5840000000001</v>
      </c>
      <c r="F500" s="147">
        <f t="shared" si="250"/>
        <v>1447.7440000000001</v>
      </c>
      <c r="G500" s="147">
        <f t="shared" si="251"/>
        <v>1705.88</v>
      </c>
      <c r="H500" s="147">
        <f t="shared" si="252"/>
        <v>3067.3919999999985</v>
      </c>
      <c r="I500" s="147">
        <f t="shared" si="253"/>
        <v>1312.440000000001</v>
      </c>
      <c r="J500" s="147">
        <f t="shared" si="254"/>
        <v>5847.9600000000009</v>
      </c>
      <c r="K500" s="147">
        <f t="shared" si="255"/>
        <v>3216.5520000000006</v>
      </c>
      <c r="L500" s="147">
        <f t="shared" si="256"/>
        <v>1536.5040000000001</v>
      </c>
      <c r="M500" s="147">
        <f t="shared" si="257"/>
        <v>2421.288</v>
      </c>
      <c r="N500" s="147" t="s">
        <v>177</v>
      </c>
      <c r="O500" s="34" t="s">
        <v>198</v>
      </c>
    </row>
    <row r="501" spans="1:15" hidden="1">
      <c r="A501" s="212" t="s">
        <v>99</v>
      </c>
      <c r="B501" s="147">
        <f t="shared" si="246"/>
        <v>27282.232000000004</v>
      </c>
      <c r="C501" s="147">
        <f t="shared" si="247"/>
        <v>19393.48</v>
      </c>
      <c r="D501" s="147">
        <f t="shared" si="248"/>
        <v>16598.423999999999</v>
      </c>
      <c r="E501" s="147">
        <f t="shared" si="249"/>
        <v>9891.9760000000006</v>
      </c>
      <c r="F501" s="147">
        <f t="shared" si="250"/>
        <v>11258.352000000001</v>
      </c>
      <c r="G501" s="147">
        <f t="shared" si="251"/>
        <v>11858.968000000001</v>
      </c>
      <c r="H501" s="147">
        <f t="shared" si="252"/>
        <v>10326.151999999996</v>
      </c>
      <c r="I501" s="147">
        <f t="shared" si="253"/>
        <v>11881.240000000003</v>
      </c>
      <c r="J501" s="147">
        <f t="shared" si="254"/>
        <v>9360.2320000000018</v>
      </c>
      <c r="K501" s="147">
        <f t="shared" si="255"/>
        <v>14109.143999999998</v>
      </c>
      <c r="L501" s="147">
        <f t="shared" si="256"/>
        <v>9004.0960000000014</v>
      </c>
      <c r="M501" s="147">
        <f t="shared" si="257"/>
        <v>12662.056</v>
      </c>
      <c r="N501" s="147" t="s">
        <v>177</v>
      </c>
      <c r="O501" s="34" t="s">
        <v>198</v>
      </c>
    </row>
    <row r="502" spans="1:15" hidden="1">
      <c r="A502" s="212" t="s">
        <v>100</v>
      </c>
      <c r="B502" s="147">
        <f t="shared" si="246"/>
        <v>931.16000000000008</v>
      </c>
      <c r="C502" s="147">
        <f t="shared" si="247"/>
        <v>2140.384</v>
      </c>
      <c r="D502" s="147">
        <f t="shared" si="248"/>
        <v>3005.5040000000004</v>
      </c>
      <c r="E502" s="147">
        <f t="shared" si="249"/>
        <v>259.22399999999999</v>
      </c>
      <c r="F502" s="147">
        <f t="shared" si="250"/>
        <v>497.19200000000001</v>
      </c>
      <c r="G502" s="147">
        <f t="shared" si="251"/>
        <v>1148.7920000000001</v>
      </c>
      <c r="H502" s="147">
        <f t="shared" si="252"/>
        <v>1601.4639999999999</v>
      </c>
      <c r="I502" s="147">
        <f t="shared" si="253"/>
        <v>2402.7039999999993</v>
      </c>
      <c r="J502" s="147">
        <f t="shared" si="254"/>
        <v>538.1600000000002</v>
      </c>
      <c r="K502" s="147">
        <f t="shared" si="255"/>
        <v>502.69600000000014</v>
      </c>
      <c r="L502" s="147">
        <f t="shared" si="256"/>
        <v>1491.056</v>
      </c>
      <c r="M502" s="147">
        <f t="shared" si="257"/>
        <v>417.36800000000005</v>
      </c>
      <c r="N502" s="147" t="s">
        <v>177</v>
      </c>
      <c r="O502" s="34" t="s">
        <v>198</v>
      </c>
    </row>
    <row r="503" spans="1:15" hidden="1">
      <c r="A503" s="212" t="s">
        <v>101</v>
      </c>
      <c r="B503" s="147">
        <f t="shared" si="246"/>
        <v>3045.768</v>
      </c>
      <c r="C503" s="147">
        <f t="shared" si="247"/>
        <v>4342.4480000000003</v>
      </c>
      <c r="D503" s="147">
        <f t="shared" si="248"/>
        <v>2208.7440000000001</v>
      </c>
      <c r="E503" s="147">
        <f t="shared" si="249"/>
        <v>618.30400000000009</v>
      </c>
      <c r="F503" s="147">
        <f t="shared" si="250"/>
        <v>546.72799999999995</v>
      </c>
      <c r="G503" s="147">
        <f t="shared" si="251"/>
        <v>82.00800000000001</v>
      </c>
      <c r="H503" s="147">
        <f t="shared" si="252"/>
        <v>836.2080000000002</v>
      </c>
      <c r="I503" s="147">
        <f t="shared" si="253"/>
        <v>1061.8319999999992</v>
      </c>
      <c r="J503" s="147">
        <f t="shared" si="254"/>
        <v>1191.0719999999999</v>
      </c>
      <c r="K503" s="147">
        <f t="shared" si="255"/>
        <v>3298.7360000000003</v>
      </c>
      <c r="L503" s="147">
        <f t="shared" si="256"/>
        <v>2816.152</v>
      </c>
      <c r="M503" s="147">
        <f t="shared" si="257"/>
        <v>1333.6480000000004</v>
      </c>
      <c r="N503" s="147" t="s">
        <v>177</v>
      </c>
      <c r="O503" s="34" t="s">
        <v>198</v>
      </c>
    </row>
    <row r="504" spans="1:15" hidden="1">
      <c r="A504" s="212" t="s">
        <v>102</v>
      </c>
      <c r="B504" s="147">
        <f t="shared" si="246"/>
        <v>44301.504000000001</v>
      </c>
      <c r="C504" s="147">
        <f t="shared" si="247"/>
        <v>30599.135999999999</v>
      </c>
      <c r="D504" s="147">
        <f t="shared" si="248"/>
        <v>32049.304</v>
      </c>
      <c r="E504" s="147">
        <f t="shared" si="249"/>
        <v>17739.04</v>
      </c>
      <c r="F504" s="147">
        <f t="shared" si="250"/>
        <v>12153.68</v>
      </c>
      <c r="G504" s="147">
        <f t="shared" si="251"/>
        <v>16490.952000000001</v>
      </c>
      <c r="H504" s="147">
        <f t="shared" si="252"/>
        <v>15796.040000000003</v>
      </c>
      <c r="I504" s="147">
        <f t="shared" si="253"/>
        <v>10409.471999999998</v>
      </c>
      <c r="J504" s="147">
        <f t="shared" si="254"/>
        <v>16162.368000000006</v>
      </c>
      <c r="K504" s="147">
        <f t="shared" si="255"/>
        <v>17819.439999999999</v>
      </c>
      <c r="L504" s="147">
        <f t="shared" si="256"/>
        <v>10213.632000000001</v>
      </c>
      <c r="M504" s="147">
        <f t="shared" si="257"/>
        <v>9324.5919999999987</v>
      </c>
      <c r="N504" s="147" t="s">
        <v>177</v>
      </c>
      <c r="O504" s="34" t="s">
        <v>198</v>
      </c>
    </row>
    <row r="505" spans="1:15" hidden="1">
      <c r="A505" s="212" t="s">
        <v>103</v>
      </c>
      <c r="B505" s="147">
        <f t="shared" si="246"/>
        <v>5265.0960000000005</v>
      </c>
      <c r="C505" s="147">
        <f t="shared" si="247"/>
        <v>5529.16</v>
      </c>
      <c r="D505" s="147">
        <f t="shared" si="248"/>
        <v>2478.6240000000003</v>
      </c>
      <c r="E505" s="147">
        <f t="shared" si="249"/>
        <v>746.50400000000002</v>
      </c>
      <c r="F505" s="147">
        <f t="shared" si="250"/>
        <v>512.25600000000009</v>
      </c>
      <c r="G505" s="147">
        <f t="shared" si="251"/>
        <v>993.84</v>
      </c>
      <c r="H505" s="147">
        <f t="shared" si="252"/>
        <v>1809.12</v>
      </c>
      <c r="I505" s="147">
        <f t="shared" si="253"/>
        <v>1597.0639999999985</v>
      </c>
      <c r="J505" s="147">
        <f t="shared" si="254"/>
        <v>2842.52</v>
      </c>
      <c r="K505" s="147">
        <f t="shared" si="255"/>
        <v>5136.344000000001</v>
      </c>
      <c r="L505" s="147">
        <f t="shared" si="256"/>
        <v>1931.6000000000001</v>
      </c>
      <c r="M505" s="147">
        <f t="shared" si="257"/>
        <v>2184.3840000000005</v>
      </c>
      <c r="N505" s="147" t="s">
        <v>177</v>
      </c>
      <c r="O505" s="34" t="s">
        <v>198</v>
      </c>
    </row>
    <row r="506" spans="1:15" hidden="1">
      <c r="A506" s="212" t="s">
        <v>104</v>
      </c>
      <c r="B506" s="147">
        <f t="shared" si="246"/>
        <v>3252.7520000000004</v>
      </c>
      <c r="C506" s="147">
        <f t="shared" si="247"/>
        <v>1141.4559999999999</v>
      </c>
      <c r="D506" s="147">
        <f t="shared" si="248"/>
        <v>536.85600000000011</v>
      </c>
      <c r="E506" s="147">
        <f t="shared" si="249"/>
        <v>216.76</v>
      </c>
      <c r="F506" s="147">
        <f t="shared" si="250"/>
        <v>278.84000000000003</v>
      </c>
      <c r="G506" s="147">
        <f t="shared" si="251"/>
        <v>867.35200000000009</v>
      </c>
      <c r="H506" s="147">
        <f t="shared" si="252"/>
        <v>1663.8879999999999</v>
      </c>
      <c r="I506" s="147">
        <f t="shared" si="253"/>
        <v>241.51999999999973</v>
      </c>
      <c r="J506" s="147">
        <f t="shared" si="254"/>
        <v>683.74400000000014</v>
      </c>
      <c r="K506" s="147">
        <f t="shared" si="255"/>
        <v>685.88800000000015</v>
      </c>
      <c r="L506" s="147">
        <f t="shared" si="256"/>
        <v>419.19200000000001</v>
      </c>
      <c r="M506" s="147">
        <f t="shared" si="257"/>
        <v>2099.7920000000004</v>
      </c>
      <c r="N506" s="147" t="s">
        <v>177</v>
      </c>
      <c r="O506" s="34" t="s">
        <v>198</v>
      </c>
    </row>
    <row r="507" spans="1:15" hidden="1">
      <c r="A507" s="212" t="s">
        <v>105</v>
      </c>
      <c r="B507" s="147">
        <f t="shared" si="246"/>
        <v>18606</v>
      </c>
      <c r="C507" s="147">
        <f t="shared" si="247"/>
        <v>16482.960000000003</v>
      </c>
      <c r="D507" s="147">
        <f t="shared" si="248"/>
        <v>15240.936000000002</v>
      </c>
      <c r="E507" s="147">
        <f t="shared" si="249"/>
        <v>8184.8</v>
      </c>
      <c r="F507" s="147">
        <f t="shared" si="250"/>
        <v>7156.4240000000009</v>
      </c>
      <c r="G507" s="147">
        <f t="shared" si="251"/>
        <v>6892.7520000000004</v>
      </c>
      <c r="H507" s="147">
        <f t="shared" si="252"/>
        <v>7149.4080000000022</v>
      </c>
      <c r="I507" s="147">
        <f t="shared" si="253"/>
        <v>5840.7599999999984</v>
      </c>
      <c r="J507" s="147">
        <f t="shared" si="254"/>
        <v>7063.5519999999997</v>
      </c>
      <c r="K507" s="147">
        <f t="shared" si="255"/>
        <v>14351.272000000004</v>
      </c>
      <c r="L507" s="147">
        <f t="shared" si="256"/>
        <v>6954.9520000000011</v>
      </c>
      <c r="M507" s="147">
        <f t="shared" si="257"/>
        <v>9964.4239999999991</v>
      </c>
      <c r="N507" s="147" t="s">
        <v>177</v>
      </c>
      <c r="O507" s="34" t="s">
        <v>198</v>
      </c>
    </row>
    <row r="508" spans="1:15" hidden="1">
      <c r="A508" s="212" t="s">
        <v>106</v>
      </c>
      <c r="B508" s="147">
        <f t="shared" si="246"/>
        <v>1252.672</v>
      </c>
      <c r="C508" s="147">
        <f t="shared" si="247"/>
        <v>2064.616</v>
      </c>
      <c r="D508" s="147">
        <f t="shared" si="248"/>
        <v>2341.9919999999997</v>
      </c>
      <c r="E508" s="147">
        <f t="shared" si="249"/>
        <v>340.48800000000006</v>
      </c>
      <c r="F508" s="147">
        <f t="shared" si="250"/>
        <v>845.12000000000012</v>
      </c>
      <c r="G508" s="147">
        <f t="shared" si="251"/>
        <v>817.56000000000006</v>
      </c>
      <c r="H508" s="147">
        <f t="shared" si="252"/>
        <v>644.06399999999996</v>
      </c>
      <c r="I508" s="147">
        <f t="shared" si="253"/>
        <v>1156.8400000000008</v>
      </c>
      <c r="J508" s="147">
        <f t="shared" si="254"/>
        <v>366.52800000000008</v>
      </c>
      <c r="K508" s="147">
        <f t="shared" si="255"/>
        <v>850.73599999999988</v>
      </c>
      <c r="L508" s="147">
        <f t="shared" si="256"/>
        <v>134.56</v>
      </c>
      <c r="M508" s="147">
        <f t="shared" si="257"/>
        <v>126.25600000000014</v>
      </c>
      <c r="N508" s="147" t="s">
        <v>177</v>
      </c>
      <c r="O508" s="34" t="s">
        <v>198</v>
      </c>
    </row>
    <row r="509" spans="1:15" hidden="1">
      <c r="A509" s="212" t="s">
        <v>107</v>
      </c>
      <c r="B509" s="147">
        <f t="shared" si="246"/>
        <v>31813.528000000006</v>
      </c>
      <c r="C509" s="147">
        <f t="shared" si="247"/>
        <v>23029.248000000003</v>
      </c>
      <c r="D509" s="147">
        <f t="shared" si="248"/>
        <v>27382.712</v>
      </c>
      <c r="E509" s="147">
        <f t="shared" si="249"/>
        <v>11017.24</v>
      </c>
      <c r="F509" s="147">
        <f t="shared" si="250"/>
        <v>8636.344000000001</v>
      </c>
      <c r="G509" s="147">
        <f t="shared" si="251"/>
        <v>12704.704</v>
      </c>
      <c r="H509" s="147">
        <f t="shared" si="252"/>
        <v>13106.088000000002</v>
      </c>
      <c r="I509" s="147">
        <f t="shared" si="253"/>
        <v>12905.704000000005</v>
      </c>
      <c r="J509" s="147">
        <f t="shared" si="254"/>
        <v>8145.7280000000028</v>
      </c>
      <c r="K509" s="147">
        <f t="shared" si="255"/>
        <v>8678.5360000000019</v>
      </c>
      <c r="L509" s="147">
        <f t="shared" si="256"/>
        <v>8250.4639999999999</v>
      </c>
      <c r="M509" s="147">
        <f t="shared" si="257"/>
        <v>10486.552000000003</v>
      </c>
      <c r="N509" s="147" t="s">
        <v>177</v>
      </c>
      <c r="O509" s="34" t="s">
        <v>198</v>
      </c>
    </row>
    <row r="510" spans="1:15" hidden="1">
      <c r="A510" s="212" t="s">
        <v>108</v>
      </c>
      <c r="B510" s="147">
        <f t="shared" si="246"/>
        <v>2103.1840000000002</v>
      </c>
      <c r="C510" s="147">
        <f t="shared" si="247"/>
        <v>1861.864</v>
      </c>
      <c r="D510" s="147">
        <f t="shared" si="248"/>
        <v>1007.792</v>
      </c>
      <c r="E510" s="147">
        <f t="shared" si="249"/>
        <v>652.77600000000007</v>
      </c>
      <c r="F510" s="147">
        <f t="shared" si="250"/>
        <v>311.16000000000003</v>
      </c>
      <c r="G510" s="147">
        <f t="shared" si="251"/>
        <v>952.39200000000005</v>
      </c>
      <c r="H510" s="147">
        <f t="shared" si="252"/>
        <v>716.53600000000006</v>
      </c>
      <c r="I510" s="147">
        <f t="shared" si="253"/>
        <v>671.76000000000067</v>
      </c>
      <c r="J510" s="147">
        <f t="shared" si="254"/>
        <v>742.2</v>
      </c>
      <c r="K510" s="147">
        <f t="shared" si="255"/>
        <v>2180.4720000000002</v>
      </c>
      <c r="L510" s="147">
        <f t="shared" si="256"/>
        <v>217.26400000000001</v>
      </c>
      <c r="M510" s="147">
        <f t="shared" si="257"/>
        <v>758.48799999999994</v>
      </c>
      <c r="N510" s="147" t="s">
        <v>177</v>
      </c>
      <c r="O510" s="34" t="s">
        <v>198</v>
      </c>
    </row>
    <row r="511" spans="1:15" hidden="1">
      <c r="A511" s="212" t="s">
        <v>109</v>
      </c>
      <c r="B511" s="147">
        <f t="shared" si="246"/>
        <v>0</v>
      </c>
      <c r="C511" s="147">
        <f t="shared" si="247"/>
        <v>368.52800000000002</v>
      </c>
      <c r="D511" s="147">
        <f t="shared" si="248"/>
        <v>176.904</v>
      </c>
      <c r="E511" s="147">
        <f t="shared" si="249"/>
        <v>0</v>
      </c>
      <c r="F511" s="147">
        <f t="shared" si="250"/>
        <v>0</v>
      </c>
      <c r="G511" s="147">
        <f t="shared" si="251"/>
        <v>265.35200000000003</v>
      </c>
      <c r="H511" s="147">
        <f t="shared" si="252"/>
        <v>0</v>
      </c>
      <c r="I511" s="147">
        <f t="shared" si="253"/>
        <v>73.703999999999994</v>
      </c>
      <c r="J511" s="147">
        <f t="shared" si="254"/>
        <v>884.44799999999998</v>
      </c>
      <c r="K511" s="147">
        <f t="shared" si="255"/>
        <v>53.904000000000025</v>
      </c>
      <c r="L511" s="147">
        <f t="shared" si="256"/>
        <v>0</v>
      </c>
      <c r="M511" s="147">
        <f t="shared" si="257"/>
        <v>0</v>
      </c>
      <c r="N511" s="147" t="s">
        <v>177</v>
      </c>
      <c r="O511" s="34" t="s">
        <v>198</v>
      </c>
    </row>
    <row r="512" spans="1:15" hidden="1">
      <c r="A512" s="212" t="s">
        <v>110</v>
      </c>
      <c r="B512" s="147">
        <f t="shared" si="246"/>
        <v>9873.8240000000005</v>
      </c>
      <c r="C512" s="147">
        <f t="shared" si="247"/>
        <v>10202.944000000001</v>
      </c>
      <c r="D512" s="147">
        <f t="shared" si="248"/>
        <v>6572.04</v>
      </c>
      <c r="E512" s="147">
        <f t="shared" si="249"/>
        <v>4669.7120000000004</v>
      </c>
      <c r="F512" s="147">
        <f t="shared" si="250"/>
        <v>3281.1040000000003</v>
      </c>
      <c r="G512" s="147">
        <f t="shared" si="251"/>
        <v>4661.6400000000003</v>
      </c>
      <c r="H512" s="147">
        <f t="shared" si="252"/>
        <v>3170.8079999999959</v>
      </c>
      <c r="I512" s="147">
        <f t="shared" si="253"/>
        <v>3901.3119999999999</v>
      </c>
      <c r="J512" s="147">
        <f t="shared" si="254"/>
        <v>2873.3439999999991</v>
      </c>
      <c r="K512" s="147">
        <f t="shared" si="255"/>
        <v>5789.3840000000009</v>
      </c>
      <c r="L512" s="147">
        <f t="shared" si="256"/>
        <v>4310.9360000000006</v>
      </c>
      <c r="M512" s="147">
        <f t="shared" si="257"/>
        <v>6651.8480000000018</v>
      </c>
      <c r="N512" s="147" t="s">
        <v>177</v>
      </c>
      <c r="O512" s="34" t="s">
        <v>198</v>
      </c>
    </row>
    <row r="513" spans="1:15" hidden="1">
      <c r="A513" s="212" t="s">
        <v>111</v>
      </c>
      <c r="B513" s="147">
        <f t="shared" si="246"/>
        <v>70190.623999999996</v>
      </c>
      <c r="C513" s="147">
        <f t="shared" si="247"/>
        <v>55168.52</v>
      </c>
      <c r="D513" s="147">
        <f t="shared" si="248"/>
        <v>51641.656000000003</v>
      </c>
      <c r="E513" s="147">
        <f t="shared" si="249"/>
        <v>24785.312000000002</v>
      </c>
      <c r="F513" s="147">
        <f t="shared" si="250"/>
        <v>25577.872000000003</v>
      </c>
      <c r="G513" s="147">
        <f t="shared" si="251"/>
        <v>41828.04800000001</v>
      </c>
      <c r="H513" s="147">
        <f t="shared" si="252"/>
        <v>55157.648000000001</v>
      </c>
      <c r="I513" s="147">
        <f t="shared" si="253"/>
        <v>50839.495999999999</v>
      </c>
      <c r="J513" s="147">
        <f t="shared" si="254"/>
        <v>40324.519999999997</v>
      </c>
      <c r="K513" s="147">
        <f t="shared" si="255"/>
        <v>66340.639999999999</v>
      </c>
      <c r="L513" s="147">
        <f t="shared" si="256"/>
        <v>39898.527999999998</v>
      </c>
      <c r="M513" s="147">
        <f t="shared" si="257"/>
        <v>52976.695999999996</v>
      </c>
      <c r="N513" s="147" t="s">
        <v>177</v>
      </c>
      <c r="O513" s="34" t="s">
        <v>198</v>
      </c>
    </row>
    <row r="514" spans="1:15" hidden="1">
      <c r="A514" s="212" t="s">
        <v>112</v>
      </c>
      <c r="B514" s="147">
        <f t="shared" si="246"/>
        <v>347</v>
      </c>
      <c r="C514" s="147">
        <f t="shared" si="247"/>
        <v>517.10400000000004</v>
      </c>
      <c r="D514" s="147">
        <f t="shared" si="248"/>
        <v>684.29599999999994</v>
      </c>
      <c r="E514" s="147">
        <f t="shared" si="249"/>
        <v>110.56</v>
      </c>
      <c r="F514" s="147">
        <f t="shared" si="250"/>
        <v>639.18400000000008</v>
      </c>
      <c r="G514" s="147">
        <f t="shared" si="251"/>
        <v>1288.1280000000002</v>
      </c>
      <c r="H514" s="147">
        <f t="shared" si="252"/>
        <v>343.48799999999977</v>
      </c>
      <c r="I514" s="147">
        <f t="shared" si="253"/>
        <v>158.07199999999978</v>
      </c>
      <c r="J514" s="147">
        <f t="shared" si="254"/>
        <v>772.33599999999979</v>
      </c>
      <c r="K514" s="147">
        <f t="shared" si="255"/>
        <v>1251.6080000000002</v>
      </c>
      <c r="L514" s="147">
        <f t="shared" si="256"/>
        <v>380.32799999999997</v>
      </c>
      <c r="M514" s="147">
        <f t="shared" si="257"/>
        <v>487.37599999999986</v>
      </c>
      <c r="N514" s="147" t="s">
        <v>177</v>
      </c>
      <c r="O514" s="34" t="s">
        <v>198</v>
      </c>
    </row>
    <row r="515" spans="1:15" hidden="1">
      <c r="A515" s="212" t="s">
        <v>113</v>
      </c>
      <c r="B515" s="147">
        <f t="shared" si="246"/>
        <v>1131.7440000000001</v>
      </c>
      <c r="C515" s="147">
        <f t="shared" si="247"/>
        <v>1490.0320000000002</v>
      </c>
      <c r="D515" s="147">
        <f t="shared" si="248"/>
        <v>1767.376</v>
      </c>
      <c r="E515" s="147">
        <f t="shared" si="249"/>
        <v>678.67200000000003</v>
      </c>
      <c r="F515" s="147">
        <f t="shared" si="250"/>
        <v>1525.3040000000001</v>
      </c>
      <c r="G515" s="147">
        <f t="shared" si="251"/>
        <v>1653.1279999999999</v>
      </c>
      <c r="H515" s="147">
        <f t="shared" si="252"/>
        <v>750.98400000000004</v>
      </c>
      <c r="I515" s="147">
        <f t="shared" si="253"/>
        <v>628.1520000000005</v>
      </c>
      <c r="J515" s="147">
        <f t="shared" si="254"/>
        <v>404.47999999999996</v>
      </c>
      <c r="K515" s="147">
        <f t="shared" si="255"/>
        <v>1193.8399999999999</v>
      </c>
      <c r="L515" s="147">
        <f t="shared" si="256"/>
        <v>1059</v>
      </c>
      <c r="M515" s="147">
        <f t="shared" si="257"/>
        <v>1327.248</v>
      </c>
      <c r="N515" s="147" t="s">
        <v>177</v>
      </c>
      <c r="O515" s="34" t="s">
        <v>198</v>
      </c>
    </row>
    <row r="516" spans="1:15" hidden="1">
      <c r="A516" s="212" t="s">
        <v>87</v>
      </c>
      <c r="B516" s="147">
        <f t="shared" ref="B516:B542" si="258">Q110</f>
        <v>113.16780269141988</v>
      </c>
      <c r="C516" s="147">
        <f t="shared" ref="C516:M516" si="259">R110</f>
        <v>425.4521409600008</v>
      </c>
      <c r="D516" s="147">
        <f t="shared" si="259"/>
        <v>992.65817052011153</v>
      </c>
      <c r="E516" s="147">
        <f t="shared" si="259"/>
        <v>1366.3495191893198</v>
      </c>
      <c r="F516" s="147">
        <f t="shared" si="259"/>
        <v>1625.1679581026121</v>
      </c>
      <c r="G516" s="147">
        <f t="shared" si="259"/>
        <v>2104.9565456211176</v>
      </c>
      <c r="H516" s="147">
        <f t="shared" si="259"/>
        <v>2230.6252921853593</v>
      </c>
      <c r="I516" s="147">
        <f t="shared" si="259"/>
        <v>2284.9028766021315</v>
      </c>
      <c r="J516" s="147">
        <f t="shared" si="259"/>
        <v>2303.4888920370058</v>
      </c>
      <c r="K516" s="147">
        <f t="shared" si="259"/>
        <v>2518.8792421838325</v>
      </c>
      <c r="L516" s="147">
        <f t="shared" si="259"/>
        <v>2639.671190770347</v>
      </c>
      <c r="M516" s="147">
        <f t="shared" si="259"/>
        <v>2763.9080000000004</v>
      </c>
      <c r="N516" s="147" t="s">
        <v>176</v>
      </c>
      <c r="O516" s="34" t="s">
        <v>198</v>
      </c>
    </row>
    <row r="517" spans="1:15" hidden="1">
      <c r="A517" s="212" t="s">
        <v>88</v>
      </c>
      <c r="B517" s="147">
        <f t="shared" si="258"/>
        <v>773.28369578154445</v>
      </c>
      <c r="C517" s="147">
        <f t="shared" ref="C517:C542" si="260">R111</f>
        <v>1612.1790011366086</v>
      </c>
      <c r="D517" s="147">
        <f t="shared" ref="D517:D542" si="261">S111</f>
        <v>2099.5084229228673</v>
      </c>
      <c r="E517" s="147">
        <f t="shared" ref="E517:E542" si="262">T111</f>
        <v>2769.594779019782</v>
      </c>
      <c r="F517" s="147">
        <f t="shared" ref="F517:F542" si="263">U111</f>
        <v>3115.1932126837778</v>
      </c>
      <c r="G517" s="147">
        <f t="shared" ref="G517:G542" si="264">V111</f>
        <v>3564.2711520029798</v>
      </c>
      <c r="H517" s="147">
        <f t="shared" ref="H517:H542" si="265">W111</f>
        <v>4010.7702605975287</v>
      </c>
      <c r="I517" s="147">
        <f t="shared" ref="I517:I542" si="266">X111</f>
        <v>4114.6097846088733</v>
      </c>
      <c r="J517" s="147">
        <f t="shared" ref="J517:J542" si="267">Y111</f>
        <v>4594.215343975261</v>
      </c>
      <c r="K517" s="147">
        <f t="shared" ref="K517:K542" si="268">Z111</f>
        <v>4998.6185456665335</v>
      </c>
      <c r="L517" s="147">
        <f t="shared" ref="L517:L542" si="269">AA111</f>
        <v>5135.9925729084835</v>
      </c>
      <c r="M517" s="147">
        <f t="shared" ref="M517:M542" si="270">AB111</f>
        <v>5192.82</v>
      </c>
      <c r="N517" s="147" t="s">
        <v>176</v>
      </c>
      <c r="O517" s="34" t="s">
        <v>198</v>
      </c>
    </row>
    <row r="518" spans="1:15" hidden="1">
      <c r="A518" s="212" t="s">
        <v>89</v>
      </c>
      <c r="B518" s="147">
        <f t="shared" si="258"/>
        <v>1010.5876355533542</v>
      </c>
      <c r="C518" s="147">
        <f t="shared" si="260"/>
        <v>1489.00163633893</v>
      </c>
      <c r="D518" s="147">
        <f t="shared" si="261"/>
        <v>2116.8651995024306</v>
      </c>
      <c r="E518" s="147">
        <f t="shared" si="262"/>
        <v>2695.2274420828148</v>
      </c>
      <c r="F518" s="147">
        <f t="shared" si="263"/>
        <v>3290.2837329874251</v>
      </c>
      <c r="G518" s="147">
        <f t="shared" si="264"/>
        <v>4225.7537152684081</v>
      </c>
      <c r="H518" s="147">
        <f t="shared" si="265"/>
        <v>5038.7241086808654</v>
      </c>
      <c r="I518" s="147">
        <f t="shared" si="266"/>
        <v>5241.3101009742595</v>
      </c>
      <c r="J518" s="147">
        <f t="shared" si="267"/>
        <v>5638.5850397720242</v>
      </c>
      <c r="K518" s="147">
        <f t="shared" si="268"/>
        <v>6008.0558750133659</v>
      </c>
      <c r="L518" s="147">
        <f t="shared" si="269"/>
        <v>6385.1404486296842</v>
      </c>
      <c r="M518" s="147">
        <f t="shared" si="270"/>
        <v>6948.27</v>
      </c>
      <c r="N518" s="147" t="s">
        <v>176</v>
      </c>
      <c r="O518" s="34" t="s">
        <v>198</v>
      </c>
    </row>
    <row r="519" spans="1:15" hidden="1">
      <c r="A519" s="212" t="s">
        <v>90</v>
      </c>
      <c r="B519" s="147">
        <f t="shared" si="258"/>
        <v>2277.7216818441093</v>
      </c>
      <c r="C519" s="147">
        <f t="shared" si="260"/>
        <v>3625.1077570293132</v>
      </c>
      <c r="D519" s="147">
        <f t="shared" si="261"/>
        <v>5530.5486270143838</v>
      </c>
      <c r="E519" s="147">
        <f t="shared" si="262"/>
        <v>7413.3660919060148</v>
      </c>
      <c r="F519" s="147">
        <f t="shared" si="263"/>
        <v>8599.6972917585972</v>
      </c>
      <c r="G519" s="147">
        <f t="shared" si="264"/>
        <v>9863.0519070541905</v>
      </c>
      <c r="H519" s="147">
        <f t="shared" si="265"/>
        <v>10383.787310576228</v>
      </c>
      <c r="I519" s="147">
        <f t="shared" si="266"/>
        <v>11621.742454159712</v>
      </c>
      <c r="J519" s="147">
        <f t="shared" si="267"/>
        <v>12408.634036965985</v>
      </c>
      <c r="K519" s="147">
        <f t="shared" si="268"/>
        <v>13161.828266371171</v>
      </c>
      <c r="L519" s="147">
        <f t="shared" si="269"/>
        <v>13946.703166618014</v>
      </c>
      <c r="M519" s="147">
        <f t="shared" si="270"/>
        <v>15180.37</v>
      </c>
      <c r="N519" s="147" t="s">
        <v>176</v>
      </c>
      <c r="O519" s="34" t="s">
        <v>198</v>
      </c>
    </row>
    <row r="520" spans="1:15" hidden="1">
      <c r="A520" s="212" t="s">
        <v>91</v>
      </c>
      <c r="B520" s="147">
        <f t="shared" si="258"/>
        <v>2657.8807366012916</v>
      </c>
      <c r="C520" s="147">
        <f t="shared" si="260"/>
        <v>6130.8255425102925</v>
      </c>
      <c r="D520" s="147">
        <f t="shared" si="261"/>
        <v>8604.2687122544085</v>
      </c>
      <c r="E520" s="147">
        <f t="shared" si="262"/>
        <v>9891.237379508615</v>
      </c>
      <c r="F520" s="147">
        <f t="shared" si="263"/>
        <v>13001.431265907559</v>
      </c>
      <c r="G520" s="147">
        <f t="shared" si="264"/>
        <v>15415.827459019005</v>
      </c>
      <c r="H520" s="147">
        <f t="shared" si="265"/>
        <v>18207.623037556285</v>
      </c>
      <c r="I520" s="147">
        <f t="shared" si="266"/>
        <v>20219.208501141595</v>
      </c>
      <c r="J520" s="147">
        <f t="shared" si="267"/>
        <v>21806.408062334507</v>
      </c>
      <c r="K520" s="147">
        <f t="shared" si="268"/>
        <v>23071.21035853912</v>
      </c>
      <c r="L520" s="147">
        <f t="shared" si="269"/>
        <v>24192.983147489445</v>
      </c>
      <c r="M520" s="147">
        <f t="shared" si="270"/>
        <v>25000</v>
      </c>
      <c r="N520" s="147" t="s">
        <v>176</v>
      </c>
      <c r="O520" s="34" t="s">
        <v>198</v>
      </c>
    </row>
    <row r="521" spans="1:15" hidden="1">
      <c r="A521" s="212" t="s">
        <v>92</v>
      </c>
      <c r="B521" s="147">
        <f t="shared" si="258"/>
        <v>698.88383728295253</v>
      </c>
      <c r="C521" s="147">
        <f t="shared" si="260"/>
        <v>1590.7202181628766</v>
      </c>
      <c r="D521" s="147">
        <f t="shared" si="261"/>
        <v>2920.9446327119849</v>
      </c>
      <c r="E521" s="147">
        <f t="shared" si="262"/>
        <v>3833.7055927716137</v>
      </c>
      <c r="F521" s="147">
        <f t="shared" si="263"/>
        <v>4481.8659531466319</v>
      </c>
      <c r="G521" s="147">
        <f t="shared" si="264"/>
        <v>5104.539806580633</v>
      </c>
      <c r="H521" s="147">
        <f t="shared" si="265"/>
        <v>5657.2143806897748</v>
      </c>
      <c r="I521" s="147">
        <f t="shared" si="266"/>
        <v>6303.3761955306145</v>
      </c>
      <c r="J521" s="147">
        <f t="shared" si="267"/>
        <v>6833.2435976856004</v>
      </c>
      <c r="K521" s="147">
        <f t="shared" si="268"/>
        <v>7576.0049264783293</v>
      </c>
      <c r="L521" s="147">
        <f t="shared" si="269"/>
        <v>8243.9200958178062</v>
      </c>
      <c r="M521" s="147">
        <f t="shared" si="270"/>
        <v>8679</v>
      </c>
      <c r="N521" s="147" t="s">
        <v>176</v>
      </c>
      <c r="O521" s="34" t="s">
        <v>198</v>
      </c>
    </row>
    <row r="522" spans="1:15" hidden="1">
      <c r="A522" s="212" t="s">
        <v>93</v>
      </c>
      <c r="B522" s="147">
        <f t="shared" si="258"/>
        <v>3337.9354003244985</v>
      </c>
      <c r="C522" s="147">
        <f t="shared" si="260"/>
        <v>5496.4508781103141</v>
      </c>
      <c r="D522" s="147">
        <f t="shared" si="261"/>
        <v>7934.8113428126899</v>
      </c>
      <c r="E522" s="147">
        <f t="shared" si="262"/>
        <v>11294.352492609678</v>
      </c>
      <c r="F522" s="147">
        <f t="shared" si="263"/>
        <v>14631.559510275527</v>
      </c>
      <c r="G522" s="147">
        <f t="shared" si="264"/>
        <v>17107.433285021307</v>
      </c>
      <c r="H522" s="147">
        <f t="shared" si="265"/>
        <v>20242.72770950069</v>
      </c>
      <c r="I522" s="147">
        <f t="shared" si="266"/>
        <v>21755.969846369266</v>
      </c>
      <c r="J522" s="147">
        <f t="shared" si="267"/>
        <v>24189.295955801364</v>
      </c>
      <c r="K522" s="147">
        <f t="shared" si="268"/>
        <v>26654.047697659069</v>
      </c>
      <c r="L522" s="147">
        <f t="shared" si="269"/>
        <v>28223.122206410382</v>
      </c>
      <c r="M522" s="147">
        <f t="shared" si="270"/>
        <v>30000</v>
      </c>
      <c r="N522" s="147" t="s">
        <v>176</v>
      </c>
      <c r="O522" s="34" t="s">
        <v>198</v>
      </c>
    </row>
    <row r="523" spans="1:15" hidden="1">
      <c r="A523" s="212" t="s">
        <v>94</v>
      </c>
      <c r="B523" s="147">
        <f t="shared" si="258"/>
        <v>3008.0633682099656</v>
      </c>
      <c r="C523" s="147">
        <f t="shared" si="260"/>
        <v>4770.5863691762715</v>
      </c>
      <c r="D523" s="147">
        <f t="shared" si="261"/>
        <v>6026.2157305054643</v>
      </c>
      <c r="E523" s="147">
        <f t="shared" si="262"/>
        <v>7186.2205353300033</v>
      </c>
      <c r="F523" s="147">
        <f t="shared" si="263"/>
        <v>8054.1939510402372</v>
      </c>
      <c r="G523" s="147">
        <f t="shared" si="264"/>
        <v>9351.0069977394869</v>
      </c>
      <c r="H523" s="147">
        <f t="shared" si="265"/>
        <v>11196.000349650751</v>
      </c>
      <c r="I523" s="147">
        <f t="shared" si="266"/>
        <v>13545.500389039697</v>
      </c>
      <c r="J523" s="147">
        <f t="shared" si="267"/>
        <v>16455.994468465724</v>
      </c>
      <c r="K523" s="147">
        <f t="shared" si="268"/>
        <v>19422.164729161494</v>
      </c>
      <c r="L523" s="147">
        <f t="shared" si="269"/>
        <v>22196.103537216197</v>
      </c>
      <c r="M523" s="147">
        <f t="shared" si="270"/>
        <v>25044.92</v>
      </c>
      <c r="N523" s="147" t="s">
        <v>176</v>
      </c>
      <c r="O523" s="34" t="s">
        <v>198</v>
      </c>
    </row>
    <row r="524" spans="1:15" hidden="1">
      <c r="A524" s="212" t="s">
        <v>95</v>
      </c>
      <c r="B524" s="147">
        <f t="shared" si="258"/>
        <v>3072.4976601605836</v>
      </c>
      <c r="C524" s="147">
        <f t="shared" si="260"/>
        <v>7947.5795641443219</v>
      </c>
      <c r="D524" s="147">
        <f t="shared" si="261"/>
        <v>9950.7943712333217</v>
      </c>
      <c r="E524" s="147">
        <f t="shared" si="262"/>
        <v>12367.043930343218</v>
      </c>
      <c r="F524" s="147">
        <f t="shared" si="263"/>
        <v>15024.940044915944</v>
      </c>
      <c r="G524" s="147">
        <f t="shared" si="264"/>
        <v>17573.424582180927</v>
      </c>
      <c r="H524" s="147">
        <f t="shared" si="265"/>
        <v>19850.612507331825</v>
      </c>
      <c r="I524" s="147">
        <f t="shared" si="266"/>
        <v>22517.413265833835</v>
      </c>
      <c r="J524" s="147">
        <f t="shared" si="267"/>
        <v>24411.831085868103</v>
      </c>
      <c r="K524" s="147">
        <f t="shared" si="268"/>
        <v>26266.056998483913</v>
      </c>
      <c r="L524" s="147">
        <f t="shared" si="269"/>
        <v>27703.283058580539</v>
      </c>
      <c r="M524" s="147">
        <f t="shared" si="270"/>
        <v>30000</v>
      </c>
      <c r="N524" s="147" t="s">
        <v>176</v>
      </c>
      <c r="O524" s="34" t="s">
        <v>198</v>
      </c>
    </row>
    <row r="525" spans="1:15" hidden="1">
      <c r="A525" s="212" t="s">
        <v>96</v>
      </c>
      <c r="B525" s="147">
        <f t="shared" si="258"/>
        <v>1227.3833670248644</v>
      </c>
      <c r="C525" s="147">
        <f t="shared" si="260"/>
        <v>2141.3480051156648</v>
      </c>
      <c r="D525" s="147">
        <f t="shared" si="261"/>
        <v>2944.5592473112974</v>
      </c>
      <c r="E525" s="147">
        <f t="shared" si="262"/>
        <v>3579.015227091314</v>
      </c>
      <c r="F525" s="147">
        <f t="shared" si="263"/>
        <v>4077.0255839265246</v>
      </c>
      <c r="G525" s="147">
        <f t="shared" si="264"/>
        <v>4441.747895942719</v>
      </c>
      <c r="H525" s="147">
        <f t="shared" si="265"/>
        <v>4891.3602317700161</v>
      </c>
      <c r="I525" s="147">
        <f t="shared" si="266"/>
        <v>5227.9435907172874</v>
      </c>
      <c r="J525" s="147">
        <f t="shared" si="267"/>
        <v>5613.9106810206922</v>
      </c>
      <c r="K525" s="147">
        <f t="shared" si="268"/>
        <v>6250.3443940393281</v>
      </c>
      <c r="L525" s="147">
        <f t="shared" si="269"/>
        <v>6381.674719573557</v>
      </c>
      <c r="M525" s="147">
        <f t="shared" si="270"/>
        <v>6988.38</v>
      </c>
      <c r="N525" s="147" t="s">
        <v>176</v>
      </c>
      <c r="O525" s="34" t="s">
        <v>198</v>
      </c>
    </row>
    <row r="526" spans="1:15" hidden="1">
      <c r="A526" s="212" t="s">
        <v>97</v>
      </c>
      <c r="B526" s="147">
        <f t="shared" si="258"/>
        <v>1308.1586121181826</v>
      </c>
      <c r="C526" s="147">
        <f t="shared" si="260"/>
        <v>3283.9248983031257</v>
      </c>
      <c r="D526" s="147">
        <f t="shared" si="261"/>
        <v>4893.2226260246871</v>
      </c>
      <c r="E526" s="147">
        <f t="shared" si="262"/>
        <v>6761.4575094166348</v>
      </c>
      <c r="F526" s="147">
        <f t="shared" si="263"/>
        <v>8241.7124631471379</v>
      </c>
      <c r="G526" s="147">
        <f t="shared" si="264"/>
        <v>9239.5283160911731</v>
      </c>
      <c r="H526" s="147">
        <f t="shared" si="265"/>
        <v>10394.893415918452</v>
      </c>
      <c r="I526" s="147">
        <f t="shared" si="266"/>
        <v>11466.731849085474</v>
      </c>
      <c r="J526" s="147">
        <f t="shared" si="267"/>
        <v>12276.360340194336</v>
      </c>
      <c r="K526" s="147">
        <f t="shared" si="268"/>
        <v>13871.713739732748</v>
      </c>
      <c r="L526" s="147">
        <f t="shared" si="269"/>
        <v>14570.416987104931</v>
      </c>
      <c r="M526" s="147">
        <f t="shared" si="270"/>
        <v>16067.46</v>
      </c>
      <c r="N526" s="147" t="s">
        <v>176</v>
      </c>
      <c r="O526" s="34" t="s">
        <v>198</v>
      </c>
    </row>
    <row r="527" spans="1:15" hidden="1">
      <c r="A527" s="212" t="s">
        <v>98</v>
      </c>
      <c r="B527" s="147">
        <f t="shared" si="258"/>
        <v>2689.2094611397733</v>
      </c>
      <c r="C527" s="147">
        <f t="shared" si="260"/>
        <v>5224.5120746515413</v>
      </c>
      <c r="D527" s="147">
        <f t="shared" si="261"/>
        <v>7761.0217616602358</v>
      </c>
      <c r="E527" s="147">
        <f t="shared" si="262"/>
        <v>10189.189715422264</v>
      </c>
      <c r="F527" s="147">
        <f t="shared" si="263"/>
        <v>12489.420968769395</v>
      </c>
      <c r="G527" s="147">
        <f t="shared" si="264"/>
        <v>13738.363646533751</v>
      </c>
      <c r="H527" s="147">
        <f t="shared" si="265"/>
        <v>15559.917949170705</v>
      </c>
      <c r="I527" s="147">
        <f t="shared" si="266"/>
        <v>18247.765408231011</v>
      </c>
      <c r="J527" s="147">
        <f t="shared" si="267"/>
        <v>19673.760724962245</v>
      </c>
      <c r="K527" s="147">
        <f t="shared" si="268"/>
        <v>21532.8026037655</v>
      </c>
      <c r="L527" s="147">
        <f t="shared" si="269"/>
        <v>22542.73022474481</v>
      </c>
      <c r="M527" s="147">
        <f t="shared" si="270"/>
        <v>24717.03</v>
      </c>
      <c r="N527" s="147" t="s">
        <v>176</v>
      </c>
      <c r="O527" s="34" t="s">
        <v>198</v>
      </c>
    </row>
    <row r="528" spans="1:15" hidden="1">
      <c r="A528" s="212" t="s">
        <v>99</v>
      </c>
      <c r="B528" s="147">
        <f t="shared" si="258"/>
        <v>25980.855804526327</v>
      </c>
      <c r="C528" s="147">
        <f t="shared" si="260"/>
        <v>40146.385522123455</v>
      </c>
      <c r="D528" s="147">
        <f t="shared" si="261"/>
        <v>52933.273484090314</v>
      </c>
      <c r="E528" s="147">
        <f t="shared" si="262"/>
        <v>63886.399706295946</v>
      </c>
      <c r="F528" s="147">
        <f t="shared" si="263"/>
        <v>79015.846137509943</v>
      </c>
      <c r="G528" s="147">
        <f t="shared" si="264"/>
        <v>91218.793265011467</v>
      </c>
      <c r="H528" s="147">
        <f t="shared" si="265"/>
        <v>98790.366656735408</v>
      </c>
      <c r="I528" s="147">
        <f t="shared" si="266"/>
        <v>110314.53291641577</v>
      </c>
      <c r="J528" s="147">
        <f t="shared" si="267"/>
        <v>119369.11579997322</v>
      </c>
      <c r="K528" s="147">
        <f t="shared" si="268"/>
        <v>137554.45714300667</v>
      </c>
      <c r="L528" s="147">
        <f t="shared" si="269"/>
        <v>154065.65831739837</v>
      </c>
      <c r="M528" s="147">
        <f t="shared" si="270"/>
        <v>169602.58000000002</v>
      </c>
      <c r="N528" s="147" t="s">
        <v>176</v>
      </c>
      <c r="O528" s="34" t="s">
        <v>198</v>
      </c>
    </row>
    <row r="529" spans="1:15" hidden="1">
      <c r="A529" s="212" t="s">
        <v>100</v>
      </c>
      <c r="B529" s="147">
        <f t="shared" si="258"/>
        <v>1375.9888135077235</v>
      </c>
      <c r="C529" s="147">
        <f t="shared" si="260"/>
        <v>4168.4484582252335</v>
      </c>
      <c r="D529" s="147">
        <f t="shared" si="261"/>
        <v>5865.9377440402259</v>
      </c>
      <c r="E529" s="147">
        <f t="shared" si="262"/>
        <v>6857.5110243325707</v>
      </c>
      <c r="F529" s="147">
        <f t="shared" si="263"/>
        <v>7267.1491727400489</v>
      </c>
      <c r="G529" s="147">
        <f t="shared" si="264"/>
        <v>7861.8189891313559</v>
      </c>
      <c r="H529" s="147">
        <f t="shared" si="265"/>
        <v>8633.0425539825301</v>
      </c>
      <c r="I529" s="147">
        <f t="shared" si="266"/>
        <v>9806.434496482836</v>
      </c>
      <c r="J529" s="147">
        <f t="shared" si="267"/>
        <v>10441.127311313656</v>
      </c>
      <c r="K529" s="147">
        <f t="shared" si="268"/>
        <v>11684.08225270939</v>
      </c>
      <c r="L529" s="147">
        <f t="shared" si="269"/>
        <v>12356.789832970211</v>
      </c>
      <c r="M529" s="147">
        <f t="shared" si="270"/>
        <v>12982.24</v>
      </c>
      <c r="N529" s="147" t="s">
        <v>176</v>
      </c>
      <c r="O529" s="34" t="s">
        <v>198</v>
      </c>
    </row>
    <row r="530" spans="1:15" hidden="1">
      <c r="A530" s="212" t="s">
        <v>101</v>
      </c>
      <c r="B530" s="147">
        <f t="shared" si="258"/>
        <v>1287.1619189853775</v>
      </c>
      <c r="C530" s="147">
        <f t="shared" si="260"/>
        <v>2406.445530149821</v>
      </c>
      <c r="D530" s="147">
        <f t="shared" si="261"/>
        <v>4141.0528037225058</v>
      </c>
      <c r="E530" s="147">
        <f t="shared" si="262"/>
        <v>4570.420750135534</v>
      </c>
      <c r="F530" s="147">
        <f t="shared" si="263"/>
        <v>6219.6584307886014</v>
      </c>
      <c r="G530" s="147">
        <f t="shared" si="264"/>
        <v>7220.6354218098732</v>
      </c>
      <c r="H530" s="147">
        <f t="shared" si="265"/>
        <v>8818.4971964442666</v>
      </c>
      <c r="I530" s="147">
        <f t="shared" si="266"/>
        <v>10043.280262645536</v>
      </c>
      <c r="J530" s="147">
        <f t="shared" si="267"/>
        <v>10856.263176152646</v>
      </c>
      <c r="K530" s="147">
        <f t="shared" si="268"/>
        <v>12125.366110412044</v>
      </c>
      <c r="L530" s="147">
        <f t="shared" si="269"/>
        <v>13336.745540957019</v>
      </c>
      <c r="M530" s="147">
        <f t="shared" si="270"/>
        <v>14275.61</v>
      </c>
      <c r="N530" s="147" t="s">
        <v>176</v>
      </c>
      <c r="O530" s="34" t="s">
        <v>198</v>
      </c>
    </row>
    <row r="531" spans="1:15" hidden="1">
      <c r="A531" s="212" t="s">
        <v>102</v>
      </c>
      <c r="B531" s="147">
        <f t="shared" si="258"/>
        <v>25227.256978617585</v>
      </c>
      <c r="C531" s="147">
        <f t="shared" si="260"/>
        <v>44103.611263606756</v>
      </c>
      <c r="D531" s="147">
        <f t="shared" si="261"/>
        <v>59923.54069913696</v>
      </c>
      <c r="E531" s="147">
        <f t="shared" si="262"/>
        <v>76119.284247279633</v>
      </c>
      <c r="F531" s="147">
        <f t="shared" si="263"/>
        <v>91090.621508957542</v>
      </c>
      <c r="G531" s="147">
        <f t="shared" si="264"/>
        <v>105239.45167277566</v>
      </c>
      <c r="H531" s="147">
        <f t="shared" si="265"/>
        <v>118551.65610326831</v>
      </c>
      <c r="I531" s="147">
        <f t="shared" si="266"/>
        <v>130269.10995032854</v>
      </c>
      <c r="J531" s="147">
        <f t="shared" si="267"/>
        <v>143262.00939685348</v>
      </c>
      <c r="K531" s="147">
        <f t="shared" si="268"/>
        <v>155628.88433276347</v>
      </c>
      <c r="L531" s="147">
        <f t="shared" si="269"/>
        <v>166455.4789744186</v>
      </c>
      <c r="M531" s="147">
        <f t="shared" si="270"/>
        <v>187730.11</v>
      </c>
      <c r="N531" s="147" t="s">
        <v>176</v>
      </c>
      <c r="O531" s="34" t="s">
        <v>198</v>
      </c>
    </row>
    <row r="532" spans="1:15" hidden="1">
      <c r="A532" s="212" t="s">
        <v>103</v>
      </c>
      <c r="B532" s="147">
        <f t="shared" si="258"/>
        <v>2701.0391526076473</v>
      </c>
      <c r="C532" s="147">
        <f t="shared" si="260"/>
        <v>5037.7350466151856</v>
      </c>
      <c r="D532" s="147">
        <f t="shared" si="261"/>
        <v>7389.5407860499599</v>
      </c>
      <c r="E532" s="147">
        <f t="shared" si="262"/>
        <v>9774.7479436559315</v>
      </c>
      <c r="F532" s="147">
        <f t="shared" si="263"/>
        <v>12717.120284788763</v>
      </c>
      <c r="G532" s="147">
        <f t="shared" si="264"/>
        <v>14784.439338698341</v>
      </c>
      <c r="H532" s="147">
        <f t="shared" si="265"/>
        <v>17618.895172120774</v>
      </c>
      <c r="I532" s="147">
        <f t="shared" si="266"/>
        <v>19795.053011403917</v>
      </c>
      <c r="J532" s="147">
        <f t="shared" si="267"/>
        <v>21152.327382609546</v>
      </c>
      <c r="K532" s="147">
        <f t="shared" si="268"/>
        <v>22073.459412740351</v>
      </c>
      <c r="L532" s="147">
        <f t="shared" si="269"/>
        <v>23811.913988932403</v>
      </c>
      <c r="M532" s="147">
        <f t="shared" si="270"/>
        <v>24973.199999999997</v>
      </c>
      <c r="N532" s="147" t="s">
        <v>176</v>
      </c>
      <c r="O532" s="34" t="s">
        <v>198</v>
      </c>
    </row>
    <row r="533" spans="1:15" hidden="1">
      <c r="A533" s="212" t="s">
        <v>104</v>
      </c>
      <c r="B533" s="147">
        <f t="shared" si="258"/>
        <v>2632.0833381345178</v>
      </c>
      <c r="C533" s="147">
        <f t="shared" si="260"/>
        <v>4051.8767227544745</v>
      </c>
      <c r="D533" s="147">
        <f t="shared" si="261"/>
        <v>4900.7392244240727</v>
      </c>
      <c r="E533" s="147">
        <f t="shared" si="262"/>
        <v>6688.7535112255482</v>
      </c>
      <c r="F533" s="147">
        <f t="shared" si="263"/>
        <v>7874.6029246489288</v>
      </c>
      <c r="G533" s="147">
        <f t="shared" si="264"/>
        <v>9778.1886624251056</v>
      </c>
      <c r="H533" s="147">
        <f t="shared" si="265"/>
        <v>10727.695353476551</v>
      </c>
      <c r="I533" s="147">
        <f t="shared" si="266"/>
        <v>12037.761071301684</v>
      </c>
      <c r="J533" s="147">
        <f t="shared" si="267"/>
        <v>13013.498136118047</v>
      </c>
      <c r="K533" s="147">
        <f t="shared" si="268"/>
        <v>14304.31387409329</v>
      </c>
      <c r="L533" s="147">
        <f t="shared" si="269"/>
        <v>15792.240400740508</v>
      </c>
      <c r="M533" s="147">
        <f t="shared" si="270"/>
        <v>16377.880000000001</v>
      </c>
      <c r="N533" s="147" t="s">
        <v>176</v>
      </c>
      <c r="O533" s="34" t="s">
        <v>198</v>
      </c>
    </row>
    <row r="534" spans="1:15" hidden="1">
      <c r="A534" s="212" t="s">
        <v>105</v>
      </c>
      <c r="B534" s="147">
        <f t="shared" si="258"/>
        <v>14979.256282849303</v>
      </c>
      <c r="C534" s="147">
        <f t="shared" si="260"/>
        <v>27474.48486742684</v>
      </c>
      <c r="D534" s="147">
        <f t="shared" si="261"/>
        <v>35999.418974308166</v>
      </c>
      <c r="E534" s="147">
        <f t="shared" si="262"/>
        <v>45752.173558409115</v>
      </c>
      <c r="F534" s="147">
        <f t="shared" si="263"/>
        <v>53902.346520659601</v>
      </c>
      <c r="G534" s="147">
        <f t="shared" si="264"/>
        <v>66577.09737846705</v>
      </c>
      <c r="H534" s="147">
        <f t="shared" si="265"/>
        <v>81399.517278685904</v>
      </c>
      <c r="I534" s="147">
        <f t="shared" si="266"/>
        <v>96703.819652355334</v>
      </c>
      <c r="J534" s="147">
        <f t="shared" si="267"/>
        <v>107522.19997856244</v>
      </c>
      <c r="K534" s="147">
        <f t="shared" si="268"/>
        <v>120318.65588322618</v>
      </c>
      <c r="L534" s="147">
        <f t="shared" si="269"/>
        <v>129339.25020022583</v>
      </c>
      <c r="M534" s="147">
        <f t="shared" si="270"/>
        <v>140000</v>
      </c>
      <c r="N534" s="147" t="s">
        <v>176</v>
      </c>
      <c r="O534" s="34" t="s">
        <v>198</v>
      </c>
    </row>
    <row r="535" spans="1:15" hidden="1">
      <c r="A535" s="212" t="s">
        <v>106</v>
      </c>
      <c r="B535" s="147">
        <f t="shared" si="258"/>
        <v>987.60101892520595</v>
      </c>
      <c r="C535" s="147">
        <f t="shared" si="260"/>
        <v>2719.0643969366629</v>
      </c>
      <c r="D535" s="147">
        <f t="shared" si="261"/>
        <v>3669.9616221151291</v>
      </c>
      <c r="E535" s="147">
        <f t="shared" si="262"/>
        <v>4334.0361661594507</v>
      </c>
      <c r="F535" s="147">
        <f t="shared" si="263"/>
        <v>5412.965073042421</v>
      </c>
      <c r="G535" s="147">
        <f t="shared" si="264"/>
        <v>6623.6229025774646</v>
      </c>
      <c r="H535" s="147">
        <f t="shared" si="265"/>
        <v>7558.8696015777823</v>
      </c>
      <c r="I535" s="147">
        <f t="shared" si="266"/>
        <v>8707.7299389517721</v>
      </c>
      <c r="J535" s="147">
        <f t="shared" si="267"/>
        <v>9658.6866255793029</v>
      </c>
      <c r="K535" s="147">
        <f t="shared" si="268"/>
        <v>10421.464384833514</v>
      </c>
      <c r="L535" s="147">
        <f t="shared" si="269"/>
        <v>11242.208177632356</v>
      </c>
      <c r="M535" s="147">
        <f t="shared" si="270"/>
        <v>11774</v>
      </c>
      <c r="N535" s="147" t="s">
        <v>176</v>
      </c>
      <c r="O535" s="34" t="s">
        <v>198</v>
      </c>
    </row>
    <row r="536" spans="1:15" hidden="1">
      <c r="A536" s="212" t="s">
        <v>107</v>
      </c>
      <c r="B536" s="147">
        <f t="shared" si="258"/>
        <v>12102.662183317647</v>
      </c>
      <c r="C536" s="147">
        <f t="shared" si="260"/>
        <v>24040.373404806662</v>
      </c>
      <c r="D536" s="147">
        <f t="shared" si="261"/>
        <v>35538.402444773543</v>
      </c>
      <c r="E536" s="147">
        <f t="shared" si="262"/>
        <v>45611.382920574833</v>
      </c>
      <c r="F536" s="147">
        <f t="shared" si="263"/>
        <v>53209.737377740676</v>
      </c>
      <c r="G536" s="147">
        <f t="shared" si="264"/>
        <v>61346.682667726396</v>
      </c>
      <c r="H536" s="147">
        <f t="shared" si="265"/>
        <v>70185.91048412009</v>
      </c>
      <c r="I536" s="147">
        <f t="shared" si="266"/>
        <v>78840.569046639721</v>
      </c>
      <c r="J536" s="147">
        <f t="shared" si="267"/>
        <v>85998.277752395923</v>
      </c>
      <c r="K536" s="147">
        <f t="shared" si="268"/>
        <v>94324.383573293817</v>
      </c>
      <c r="L536" s="147">
        <f t="shared" si="269"/>
        <v>101848.24779160117</v>
      </c>
      <c r="M536" s="147">
        <f t="shared" si="270"/>
        <v>114583.78</v>
      </c>
      <c r="N536" s="147" t="s">
        <v>176</v>
      </c>
      <c r="O536" s="34" t="s">
        <v>198</v>
      </c>
    </row>
    <row r="537" spans="1:15" hidden="1">
      <c r="A537" s="212" t="s">
        <v>108</v>
      </c>
      <c r="B537" s="147">
        <f t="shared" si="258"/>
        <v>818.62535910117674</v>
      </c>
      <c r="C537" s="147">
        <f t="shared" si="260"/>
        <v>1533.4609970802715</v>
      </c>
      <c r="D537" s="147">
        <f t="shared" si="261"/>
        <v>1720.3997543356545</v>
      </c>
      <c r="E537" s="147">
        <f t="shared" si="262"/>
        <v>2271.2093378146033</v>
      </c>
      <c r="F537" s="147">
        <f t="shared" si="263"/>
        <v>3104.9224619221477</v>
      </c>
      <c r="G537" s="147">
        <f t="shared" si="264"/>
        <v>3687.2953943599873</v>
      </c>
      <c r="H537" s="147">
        <f t="shared" si="265"/>
        <v>4422.8111741591783</v>
      </c>
      <c r="I537" s="147">
        <f t="shared" si="266"/>
        <v>5011.4137745209637</v>
      </c>
      <c r="J537" s="147">
        <f t="shared" si="267"/>
        <v>5493.4229953218937</v>
      </c>
      <c r="K537" s="147">
        <f t="shared" si="268"/>
        <v>5924.3326730478548</v>
      </c>
      <c r="L537" s="147">
        <f t="shared" si="269"/>
        <v>6513.6851049695097</v>
      </c>
      <c r="M537" s="147">
        <f t="shared" si="270"/>
        <v>6861.61</v>
      </c>
      <c r="N537" s="147" t="s">
        <v>176</v>
      </c>
      <c r="O537" s="34" t="s">
        <v>198</v>
      </c>
    </row>
    <row r="538" spans="1:15" hidden="1">
      <c r="A538" s="212" t="s">
        <v>109</v>
      </c>
      <c r="B538" s="147">
        <f t="shared" si="258"/>
        <v>117.28389235297843</v>
      </c>
      <c r="C538" s="147">
        <f t="shared" si="260"/>
        <v>237.56335073442062</v>
      </c>
      <c r="D538" s="147">
        <f t="shared" si="261"/>
        <v>237.56335073442062</v>
      </c>
      <c r="E538" s="147">
        <f t="shared" si="262"/>
        <v>433.69570171551561</v>
      </c>
      <c r="F538" s="147">
        <f t="shared" si="263"/>
        <v>703.95570171551549</v>
      </c>
      <c r="G538" s="147">
        <f t="shared" si="264"/>
        <v>703.95570171551549</v>
      </c>
      <c r="H538" s="147">
        <f t="shared" si="265"/>
        <v>779.19377951509773</v>
      </c>
      <c r="I538" s="147">
        <f t="shared" si="266"/>
        <v>779.19377951509773</v>
      </c>
      <c r="J538" s="147">
        <f t="shared" si="267"/>
        <v>810.78</v>
      </c>
      <c r="K538" s="147">
        <f t="shared" si="268"/>
        <v>810.78</v>
      </c>
      <c r="L538" s="147">
        <f t="shared" si="269"/>
        <v>810.78</v>
      </c>
      <c r="M538" s="147">
        <f t="shared" si="270"/>
        <v>810.78</v>
      </c>
      <c r="N538" s="147" t="s">
        <v>176</v>
      </c>
      <c r="O538" s="34" t="s">
        <v>198</v>
      </c>
    </row>
    <row r="539" spans="1:15" hidden="1">
      <c r="A539" s="212" t="s">
        <v>110</v>
      </c>
      <c r="B539" s="147">
        <f t="shared" si="258"/>
        <v>7886.5939613012006</v>
      </c>
      <c r="C539" s="147">
        <f t="shared" si="260"/>
        <v>15931.132624199518</v>
      </c>
      <c r="D539" s="147">
        <f t="shared" si="261"/>
        <v>23766.176634484716</v>
      </c>
      <c r="E539" s="147">
        <f t="shared" si="262"/>
        <v>34410.671924109447</v>
      </c>
      <c r="F539" s="147">
        <f t="shared" si="263"/>
        <v>40927.380186032577</v>
      </c>
      <c r="G539" s="147">
        <f t="shared" si="264"/>
        <v>47682.967842806633</v>
      </c>
      <c r="H539" s="147">
        <f t="shared" si="265"/>
        <v>53161.691352929804</v>
      </c>
      <c r="I539" s="147">
        <f t="shared" si="266"/>
        <v>58689.739522010743</v>
      </c>
      <c r="J539" s="147">
        <f t="shared" si="267"/>
        <v>63361.351624767187</v>
      </c>
      <c r="K539" s="147">
        <f t="shared" si="268"/>
        <v>66478.718414230447</v>
      </c>
      <c r="L539" s="147">
        <f t="shared" si="269"/>
        <v>69832.753097545981</v>
      </c>
      <c r="M539" s="147">
        <f t="shared" si="270"/>
        <v>73316.311999999947</v>
      </c>
      <c r="N539" s="147" t="s">
        <v>176</v>
      </c>
      <c r="O539" s="34" t="s">
        <v>198</v>
      </c>
    </row>
    <row r="540" spans="1:15" hidden="1">
      <c r="A540" s="212" t="s">
        <v>111</v>
      </c>
      <c r="B540" s="147">
        <f t="shared" si="258"/>
        <v>63823.356764842552</v>
      </c>
      <c r="C540" s="147">
        <f t="shared" si="260"/>
        <v>104842.70917249957</v>
      </c>
      <c r="D540" s="147">
        <f t="shared" si="261"/>
        <v>137084.72428139948</v>
      </c>
      <c r="E540" s="147">
        <f t="shared" si="262"/>
        <v>166006.87408925471</v>
      </c>
      <c r="F540" s="147">
        <f t="shared" si="263"/>
        <v>197163.35869303727</v>
      </c>
      <c r="G540" s="147">
        <f t="shared" si="264"/>
        <v>219689.3438339307</v>
      </c>
      <c r="H540" s="147">
        <f t="shared" si="265"/>
        <v>255352.70482872555</v>
      </c>
      <c r="I540" s="147">
        <f t="shared" si="266"/>
        <v>299354.07485842862</v>
      </c>
      <c r="J540" s="147">
        <f t="shared" si="267"/>
        <v>328841.08126028889</v>
      </c>
      <c r="K540" s="147">
        <f t="shared" si="268"/>
        <v>365396.40804459178</v>
      </c>
      <c r="L540" s="147">
        <f t="shared" si="269"/>
        <v>393978.96935651067</v>
      </c>
      <c r="M540" s="147">
        <f t="shared" si="270"/>
        <v>421066.2122784832</v>
      </c>
      <c r="N540" s="147" t="s">
        <v>176</v>
      </c>
      <c r="O540" s="34" t="s">
        <v>198</v>
      </c>
    </row>
    <row r="541" spans="1:15" hidden="1">
      <c r="A541" s="212" t="s">
        <v>112</v>
      </c>
      <c r="B541" s="147">
        <f t="shared" si="258"/>
        <v>576.49513635201151</v>
      </c>
      <c r="C541" s="147">
        <f t="shared" si="260"/>
        <v>786.30021170667703</v>
      </c>
      <c r="D541" s="147">
        <f t="shared" si="261"/>
        <v>1172.1700921439676</v>
      </c>
      <c r="E541" s="147">
        <f t="shared" si="262"/>
        <v>1412.7135962621483</v>
      </c>
      <c r="F541" s="147">
        <f t="shared" si="263"/>
        <v>1486.5123266216694</v>
      </c>
      <c r="G541" s="147">
        <f t="shared" si="264"/>
        <v>1636.6084037969388</v>
      </c>
      <c r="H541" s="147">
        <f t="shared" si="265"/>
        <v>1787.0842725670902</v>
      </c>
      <c r="I541" s="147">
        <f t="shared" si="266"/>
        <v>1888.827527906557</v>
      </c>
      <c r="J541" s="147">
        <f t="shared" si="267"/>
        <v>1947.4035044182031</v>
      </c>
      <c r="K541" s="147">
        <f t="shared" si="268"/>
        <v>2041.9483726278058</v>
      </c>
      <c r="L541" s="147">
        <f t="shared" si="269"/>
        <v>2190.3218251918274</v>
      </c>
      <c r="M541" s="147">
        <f t="shared" si="270"/>
        <v>2298.14</v>
      </c>
      <c r="N541" s="147" t="s">
        <v>176</v>
      </c>
      <c r="O541" s="34" t="s">
        <v>198</v>
      </c>
    </row>
    <row r="542" spans="1:15" hidden="1">
      <c r="A542" s="212" t="s">
        <v>113</v>
      </c>
      <c r="B542" s="147">
        <f t="shared" si="258"/>
        <v>1296.7679136277122</v>
      </c>
      <c r="C542" s="147">
        <f t="shared" si="260"/>
        <v>1972.5740312796581</v>
      </c>
      <c r="D542" s="147">
        <f t="shared" si="261"/>
        <v>2864.4109321182368</v>
      </c>
      <c r="E542" s="147">
        <f t="shared" si="262"/>
        <v>3292.0597662117702</v>
      </c>
      <c r="F542" s="147">
        <f t="shared" si="263"/>
        <v>3678.2862241513462</v>
      </c>
      <c r="G542" s="147">
        <f t="shared" si="264"/>
        <v>4739.4364679092514</v>
      </c>
      <c r="H542" s="147">
        <f t="shared" si="265"/>
        <v>6003.1749745950046</v>
      </c>
      <c r="I542" s="147">
        <f t="shared" si="266"/>
        <v>7372.2633920040753</v>
      </c>
      <c r="J542" s="147">
        <f t="shared" si="267"/>
        <v>7770.5831490712862</v>
      </c>
      <c r="K542" s="147">
        <f t="shared" si="268"/>
        <v>8260.7277093680241</v>
      </c>
      <c r="L542" s="147">
        <f t="shared" si="269"/>
        <v>9013.3885170440244</v>
      </c>
      <c r="M542" s="147">
        <f t="shared" si="270"/>
        <v>9444.98</v>
      </c>
      <c r="N542" s="147" t="s">
        <v>176</v>
      </c>
      <c r="O542" s="34" t="s">
        <v>198</v>
      </c>
    </row>
    <row r="543" spans="1:15" hidden="1">
      <c r="A543" s="212" t="s">
        <v>87</v>
      </c>
      <c r="B543" s="147">
        <f>B110</f>
        <v>113.16780269141988</v>
      </c>
      <c r="C543" s="147">
        <f t="shared" ref="C543:M543" si="271">C110</f>
        <v>425.4521409600008</v>
      </c>
      <c r="D543" s="147">
        <f t="shared" si="271"/>
        <v>992.65817052011153</v>
      </c>
      <c r="E543" s="147">
        <f t="shared" si="271"/>
        <v>1366.3495191893198</v>
      </c>
      <c r="F543" s="147">
        <f t="shared" si="271"/>
        <v>1625.1679581026121</v>
      </c>
      <c r="G543" s="147">
        <f t="shared" si="271"/>
        <v>2104.9565456211176</v>
      </c>
      <c r="H543" s="147">
        <f t="shared" si="271"/>
        <v>2230.6252921853593</v>
      </c>
      <c r="I543" s="147">
        <f t="shared" si="271"/>
        <v>2284.9028766021315</v>
      </c>
      <c r="J543" s="147">
        <f t="shared" si="271"/>
        <v>2303.4888920370058</v>
      </c>
      <c r="K543" s="147">
        <f t="shared" si="271"/>
        <v>2518.8792421838325</v>
      </c>
      <c r="L543" s="147">
        <f t="shared" si="271"/>
        <v>2639.671190770347</v>
      </c>
      <c r="M543" s="147">
        <f t="shared" si="271"/>
        <v>2763.9080000000004</v>
      </c>
      <c r="N543" s="147" t="s">
        <v>224</v>
      </c>
      <c r="O543" s="34" t="s">
        <v>198</v>
      </c>
    </row>
    <row r="544" spans="1:15" hidden="1">
      <c r="A544" s="212" t="s">
        <v>88</v>
      </c>
      <c r="B544" s="147">
        <f t="shared" ref="B544:M544" si="272">B111</f>
        <v>604.98553900710829</v>
      </c>
      <c r="C544" s="147">
        <f t="shared" si="272"/>
        <v>1261.3029180614085</v>
      </c>
      <c r="D544" s="147">
        <f t="shared" si="272"/>
        <v>1642.5695276145887</v>
      </c>
      <c r="E544" s="147">
        <f t="shared" si="272"/>
        <v>2166.8176884592031</v>
      </c>
      <c r="F544" s="147">
        <f t="shared" si="272"/>
        <v>2437.1997692024279</v>
      </c>
      <c r="G544" s="147">
        <f t="shared" si="272"/>
        <v>2788.5399832239336</v>
      </c>
      <c r="H544" s="147">
        <f t="shared" si="272"/>
        <v>3137.8626255515405</v>
      </c>
      <c r="I544" s="147">
        <f t="shared" si="272"/>
        <v>3219.1024224681851</v>
      </c>
      <c r="J544" s="147">
        <f t="shared" si="272"/>
        <v>3594.3261979427548</v>
      </c>
      <c r="K544" s="147">
        <f t="shared" si="272"/>
        <v>3910.7147242831725</v>
      </c>
      <c r="L544" s="147">
        <f t="shared" si="272"/>
        <v>4018.1905450846843</v>
      </c>
      <c r="M544" s="147">
        <f t="shared" si="272"/>
        <v>4062.65</v>
      </c>
      <c r="N544" s="147" t="s">
        <v>224</v>
      </c>
      <c r="O544" s="34" t="s">
        <v>198</v>
      </c>
    </row>
    <row r="545" spans="1:15" hidden="1">
      <c r="A545" s="212" t="s">
        <v>89</v>
      </c>
      <c r="B545" s="147">
        <f t="shared" ref="B545:M545" si="273">B112</f>
        <v>1010.5876355533542</v>
      </c>
      <c r="C545" s="147">
        <f t="shared" si="273"/>
        <v>1489.00163633893</v>
      </c>
      <c r="D545" s="147">
        <f t="shared" si="273"/>
        <v>2116.8651995024306</v>
      </c>
      <c r="E545" s="147">
        <f t="shared" si="273"/>
        <v>2695.2274420828148</v>
      </c>
      <c r="F545" s="147">
        <f t="shared" si="273"/>
        <v>3290.2837329874251</v>
      </c>
      <c r="G545" s="147">
        <f t="shared" si="273"/>
        <v>4225.7537152684081</v>
      </c>
      <c r="H545" s="147">
        <f t="shared" si="273"/>
        <v>5038.7241086808654</v>
      </c>
      <c r="I545" s="147">
        <f t="shared" si="273"/>
        <v>5241.3101009742595</v>
      </c>
      <c r="J545" s="147">
        <f t="shared" si="273"/>
        <v>5638.5850397720242</v>
      </c>
      <c r="K545" s="147">
        <f t="shared" si="273"/>
        <v>6008.0558750133659</v>
      </c>
      <c r="L545" s="147">
        <f t="shared" si="273"/>
        <v>6385.1404486296842</v>
      </c>
      <c r="M545" s="147">
        <f t="shared" si="273"/>
        <v>6948.27</v>
      </c>
      <c r="N545" s="147" t="s">
        <v>224</v>
      </c>
      <c r="O545" s="34" t="s">
        <v>198</v>
      </c>
    </row>
    <row r="546" spans="1:15" hidden="1">
      <c r="A546" s="212" t="s">
        <v>90</v>
      </c>
      <c r="B546" s="147">
        <f t="shared" ref="B546:M546" si="274">B113</f>
        <v>1838.7993570360313</v>
      </c>
      <c r="C546" s="147">
        <f t="shared" si="274"/>
        <v>2926.5409667677086</v>
      </c>
      <c r="D546" s="147">
        <f t="shared" si="274"/>
        <v>4464.7988999151894</v>
      </c>
      <c r="E546" s="147">
        <f t="shared" si="274"/>
        <v>5984.7930113361717</v>
      </c>
      <c r="F546" s="147">
        <f t="shared" si="274"/>
        <v>6942.5153989786195</v>
      </c>
      <c r="G546" s="147">
        <f t="shared" si="274"/>
        <v>7962.4186087655262</v>
      </c>
      <c r="H546" s="147">
        <f t="shared" si="274"/>
        <v>8382.8070753700067</v>
      </c>
      <c r="I546" s="147">
        <f t="shared" si="274"/>
        <v>9382.2053513778792</v>
      </c>
      <c r="J546" s="147">
        <f t="shared" si="274"/>
        <v>10017.461075575824</v>
      </c>
      <c r="K546" s="147">
        <f t="shared" si="274"/>
        <v>10625.513005622077</v>
      </c>
      <c r="L546" s="147">
        <f t="shared" si="274"/>
        <v>11259.140666732601</v>
      </c>
      <c r="M546" s="147">
        <f t="shared" si="274"/>
        <v>12255.076999999999</v>
      </c>
      <c r="N546" s="147" t="s">
        <v>224</v>
      </c>
      <c r="O546" s="34" t="s">
        <v>198</v>
      </c>
    </row>
    <row r="547" spans="1:15" hidden="1">
      <c r="A547" s="212" t="s">
        <v>91</v>
      </c>
      <c r="B547" s="147">
        <f t="shared" ref="B547:M547" si="275">B114</f>
        <v>2657.8807366012916</v>
      </c>
      <c r="C547" s="147">
        <f t="shared" si="275"/>
        <v>6130.8255425102925</v>
      </c>
      <c r="D547" s="147">
        <f t="shared" si="275"/>
        <v>8604.2687122544085</v>
      </c>
      <c r="E547" s="147">
        <f t="shared" si="275"/>
        <v>9891.237379508615</v>
      </c>
      <c r="F547" s="147">
        <f t="shared" si="275"/>
        <v>13001.431265907559</v>
      </c>
      <c r="G547" s="147">
        <f t="shared" si="275"/>
        <v>15415.827459019005</v>
      </c>
      <c r="H547" s="147">
        <f t="shared" si="275"/>
        <v>18207.623037556285</v>
      </c>
      <c r="I547" s="147">
        <f t="shared" si="275"/>
        <v>20219.208501141595</v>
      </c>
      <c r="J547" s="147">
        <f t="shared" si="275"/>
        <v>21806.408062334507</v>
      </c>
      <c r="K547" s="147">
        <f t="shared" si="275"/>
        <v>23071.21035853912</v>
      </c>
      <c r="L547" s="147">
        <f t="shared" si="275"/>
        <v>24192.983147489445</v>
      </c>
      <c r="M547" s="147">
        <f t="shared" si="275"/>
        <v>25000</v>
      </c>
      <c r="N547" s="147" t="s">
        <v>224</v>
      </c>
      <c r="O547" s="34" t="s">
        <v>198</v>
      </c>
    </row>
    <row r="548" spans="1:15" hidden="1">
      <c r="A548" s="212" t="s">
        <v>92</v>
      </c>
      <c r="B548" s="147">
        <f t="shared" ref="B548:M548" si="276">B115</f>
        <v>698.88383728295253</v>
      </c>
      <c r="C548" s="147">
        <f t="shared" si="276"/>
        <v>1590.7202181628766</v>
      </c>
      <c r="D548" s="147">
        <f t="shared" si="276"/>
        <v>2920.9446327119849</v>
      </c>
      <c r="E548" s="147">
        <f t="shared" si="276"/>
        <v>3833.7055927716137</v>
      </c>
      <c r="F548" s="147">
        <f t="shared" si="276"/>
        <v>4481.8659531466319</v>
      </c>
      <c r="G548" s="147">
        <f t="shared" si="276"/>
        <v>5104.539806580633</v>
      </c>
      <c r="H548" s="147">
        <f t="shared" si="276"/>
        <v>5657.2143806897748</v>
      </c>
      <c r="I548" s="147">
        <f t="shared" si="276"/>
        <v>6303.3761955306145</v>
      </c>
      <c r="J548" s="147">
        <f t="shared" si="276"/>
        <v>6833.2435976856004</v>
      </c>
      <c r="K548" s="147">
        <f t="shared" si="276"/>
        <v>7576.0049264783293</v>
      </c>
      <c r="L548" s="147">
        <f t="shared" si="276"/>
        <v>8243.9200958178062</v>
      </c>
      <c r="M548" s="147">
        <f t="shared" si="276"/>
        <v>8679</v>
      </c>
      <c r="N548" s="147" t="s">
        <v>224</v>
      </c>
      <c r="O548" s="34" t="s">
        <v>198</v>
      </c>
    </row>
    <row r="549" spans="1:15" hidden="1">
      <c r="A549" s="212" t="s">
        <v>93</v>
      </c>
      <c r="B549" s="147">
        <f t="shared" ref="B549:M549" si="277">B116</f>
        <v>3337.9354003244985</v>
      </c>
      <c r="C549" s="147">
        <f t="shared" si="277"/>
        <v>5496.4508781103141</v>
      </c>
      <c r="D549" s="147">
        <f t="shared" si="277"/>
        <v>7934.8113428126899</v>
      </c>
      <c r="E549" s="147">
        <f t="shared" si="277"/>
        <v>11294.352492609678</v>
      </c>
      <c r="F549" s="147">
        <f t="shared" si="277"/>
        <v>14631.559510275527</v>
      </c>
      <c r="G549" s="147">
        <f t="shared" si="277"/>
        <v>17107.433285021307</v>
      </c>
      <c r="H549" s="147">
        <f t="shared" si="277"/>
        <v>20242.72770950069</v>
      </c>
      <c r="I549" s="147">
        <f t="shared" si="277"/>
        <v>21755.969846369266</v>
      </c>
      <c r="J549" s="147">
        <f t="shared" si="277"/>
        <v>24189.295955801364</v>
      </c>
      <c r="K549" s="147">
        <f t="shared" si="277"/>
        <v>26654.047697659069</v>
      </c>
      <c r="L549" s="147">
        <f t="shared" si="277"/>
        <v>28223.122206410382</v>
      </c>
      <c r="M549" s="147">
        <f t="shared" si="277"/>
        <v>30000</v>
      </c>
      <c r="N549" s="147" t="s">
        <v>224</v>
      </c>
      <c r="O549" s="34" t="s">
        <v>198</v>
      </c>
    </row>
    <row r="550" spans="1:15" hidden="1">
      <c r="A550" s="212" t="s">
        <v>94</v>
      </c>
      <c r="B550" s="147">
        <f t="shared" ref="B550:M550" si="278">B117</f>
        <v>2675.0854837185439</v>
      </c>
      <c r="C550" s="147">
        <f t="shared" si="278"/>
        <v>4242.5058194845251</v>
      </c>
      <c r="D550" s="147">
        <f t="shared" si="278"/>
        <v>5359.1431592827648</v>
      </c>
      <c r="E550" s="147">
        <f t="shared" si="278"/>
        <v>6390.7411127116784</v>
      </c>
      <c r="F550" s="147">
        <f t="shared" si="278"/>
        <v>7162.6341217348772</v>
      </c>
      <c r="G550" s="147">
        <f t="shared" si="278"/>
        <v>8315.8963146076167</v>
      </c>
      <c r="H550" s="147">
        <f t="shared" si="278"/>
        <v>9956.6579373230506</v>
      </c>
      <c r="I550" s="147">
        <f t="shared" si="278"/>
        <v>12046.079827762032</v>
      </c>
      <c r="J550" s="147">
        <f t="shared" si="278"/>
        <v>14634.396465172005</v>
      </c>
      <c r="K550" s="147">
        <f t="shared" si="278"/>
        <v>17272.226203229256</v>
      </c>
      <c r="L550" s="147">
        <f t="shared" si="278"/>
        <v>19739.103569102852</v>
      </c>
      <c r="M550" s="147">
        <f t="shared" si="278"/>
        <v>22272.57</v>
      </c>
      <c r="N550" s="147" t="s">
        <v>224</v>
      </c>
      <c r="O550" s="34" t="s">
        <v>198</v>
      </c>
    </row>
    <row r="551" spans="1:15" hidden="1">
      <c r="A551" s="212" t="s">
        <v>95</v>
      </c>
      <c r="B551" s="147">
        <f t="shared" ref="B551:M551" si="279">B118</f>
        <v>3072.4976601605836</v>
      </c>
      <c r="C551" s="147">
        <f t="shared" si="279"/>
        <v>7947.5795641443219</v>
      </c>
      <c r="D551" s="147">
        <f t="shared" si="279"/>
        <v>9950.7943712333217</v>
      </c>
      <c r="E551" s="147">
        <f t="shared" si="279"/>
        <v>12367.043930343218</v>
      </c>
      <c r="F551" s="147">
        <f t="shared" si="279"/>
        <v>15024.940044915944</v>
      </c>
      <c r="G551" s="147">
        <f t="shared" si="279"/>
        <v>17573.424582180927</v>
      </c>
      <c r="H551" s="147">
        <f t="shared" si="279"/>
        <v>19850.612507331825</v>
      </c>
      <c r="I551" s="147">
        <f t="shared" si="279"/>
        <v>22517.413265833835</v>
      </c>
      <c r="J551" s="147">
        <f t="shared" si="279"/>
        <v>24411.831085868103</v>
      </c>
      <c r="K551" s="147">
        <f t="shared" si="279"/>
        <v>26266.056998483913</v>
      </c>
      <c r="L551" s="147">
        <f t="shared" si="279"/>
        <v>27703.283058580539</v>
      </c>
      <c r="M551" s="147">
        <f t="shared" si="279"/>
        <v>30000</v>
      </c>
      <c r="N551" s="147" t="s">
        <v>224</v>
      </c>
      <c r="O551" s="34" t="s">
        <v>198</v>
      </c>
    </row>
    <row r="552" spans="1:15" hidden="1">
      <c r="A552" s="212" t="s">
        <v>96</v>
      </c>
      <c r="B552" s="147">
        <f t="shared" ref="B552:M552" si="280">B119</f>
        <v>1227.3833670248644</v>
      </c>
      <c r="C552" s="147">
        <f t="shared" si="280"/>
        <v>2141.3480051156648</v>
      </c>
      <c r="D552" s="147">
        <f t="shared" si="280"/>
        <v>2944.5592473112974</v>
      </c>
      <c r="E552" s="147">
        <f t="shared" si="280"/>
        <v>3579.015227091314</v>
      </c>
      <c r="F552" s="147">
        <f t="shared" si="280"/>
        <v>4077.0255839265246</v>
      </c>
      <c r="G552" s="147">
        <f t="shared" si="280"/>
        <v>4441.747895942719</v>
      </c>
      <c r="H552" s="147">
        <f t="shared" si="280"/>
        <v>4891.3602317700161</v>
      </c>
      <c r="I552" s="147">
        <f t="shared" si="280"/>
        <v>5227.9435907172874</v>
      </c>
      <c r="J552" s="147">
        <f t="shared" si="280"/>
        <v>5613.9106810206922</v>
      </c>
      <c r="K552" s="147">
        <f t="shared" si="280"/>
        <v>6250.3443940393281</v>
      </c>
      <c r="L552" s="147">
        <f t="shared" si="280"/>
        <v>6381.674719573557</v>
      </c>
      <c r="M552" s="147">
        <f t="shared" si="280"/>
        <v>6988.38</v>
      </c>
      <c r="N552" s="147" t="s">
        <v>224</v>
      </c>
      <c r="O552" s="34" t="s">
        <v>198</v>
      </c>
    </row>
    <row r="553" spans="1:15" hidden="1">
      <c r="A553" s="212" t="s">
        <v>97</v>
      </c>
      <c r="B553" s="147">
        <f t="shared" ref="B553:M553" si="281">B120</f>
        <v>1308.1586121181826</v>
      </c>
      <c r="C553" s="147">
        <f t="shared" si="281"/>
        <v>3283.9248983031257</v>
      </c>
      <c r="D553" s="147">
        <f t="shared" si="281"/>
        <v>4893.2226260246871</v>
      </c>
      <c r="E553" s="147">
        <f t="shared" si="281"/>
        <v>6761.4575094166348</v>
      </c>
      <c r="F553" s="147">
        <f t="shared" si="281"/>
        <v>8241.7124631471379</v>
      </c>
      <c r="G553" s="147">
        <f t="shared" si="281"/>
        <v>9239.5283160911731</v>
      </c>
      <c r="H553" s="147">
        <f t="shared" si="281"/>
        <v>10394.893415918452</v>
      </c>
      <c r="I553" s="147">
        <f t="shared" si="281"/>
        <v>11466.731849085474</v>
      </c>
      <c r="J553" s="147">
        <f t="shared" si="281"/>
        <v>12276.360340194336</v>
      </c>
      <c r="K553" s="147">
        <f t="shared" si="281"/>
        <v>13871.713739732748</v>
      </c>
      <c r="L553" s="147">
        <f t="shared" si="281"/>
        <v>14570.416987104931</v>
      </c>
      <c r="M553" s="147">
        <f t="shared" si="281"/>
        <v>16067.46</v>
      </c>
      <c r="N553" s="147" t="s">
        <v>224</v>
      </c>
      <c r="O553" s="34" t="s">
        <v>198</v>
      </c>
    </row>
    <row r="554" spans="1:15" hidden="1">
      <c r="A554" s="212" t="s">
        <v>98</v>
      </c>
      <c r="B554" s="147">
        <f t="shared" ref="B554:M554" si="282">B121</f>
        <v>2689.2094611397733</v>
      </c>
      <c r="C554" s="147">
        <f t="shared" si="282"/>
        <v>5224.5120746515413</v>
      </c>
      <c r="D554" s="147">
        <f t="shared" si="282"/>
        <v>7761.0217616602358</v>
      </c>
      <c r="E554" s="147">
        <f t="shared" si="282"/>
        <v>10189.189715422264</v>
      </c>
      <c r="F554" s="147">
        <f t="shared" si="282"/>
        <v>12489.420968769395</v>
      </c>
      <c r="G554" s="147">
        <f t="shared" si="282"/>
        <v>13738.363646533751</v>
      </c>
      <c r="H554" s="147">
        <f t="shared" si="282"/>
        <v>15559.917949170705</v>
      </c>
      <c r="I554" s="147">
        <f t="shared" si="282"/>
        <v>18247.765408231011</v>
      </c>
      <c r="J554" s="147">
        <f t="shared" si="282"/>
        <v>19673.760724962245</v>
      </c>
      <c r="K554" s="147">
        <f t="shared" si="282"/>
        <v>21532.8026037655</v>
      </c>
      <c r="L554" s="147">
        <f t="shared" si="282"/>
        <v>22542.73022474481</v>
      </c>
      <c r="M554" s="147">
        <f t="shared" si="282"/>
        <v>24717.03</v>
      </c>
      <c r="N554" s="147" t="s">
        <v>224</v>
      </c>
      <c r="O554" s="34" t="s">
        <v>198</v>
      </c>
    </row>
    <row r="555" spans="1:15" hidden="1">
      <c r="A555" s="212" t="s">
        <v>99</v>
      </c>
      <c r="B555" s="147">
        <f t="shared" ref="B555:M555" si="283">B122</f>
        <v>25980.855804526327</v>
      </c>
      <c r="C555" s="147">
        <f t="shared" si="283"/>
        <v>40146.385522123455</v>
      </c>
      <c r="D555" s="147">
        <f t="shared" si="283"/>
        <v>52933.273484090314</v>
      </c>
      <c r="E555" s="147">
        <f t="shared" si="283"/>
        <v>63886.399706295946</v>
      </c>
      <c r="F555" s="147">
        <f t="shared" si="283"/>
        <v>79015.846137509943</v>
      </c>
      <c r="G555" s="147">
        <f t="shared" si="283"/>
        <v>91218.793265011467</v>
      </c>
      <c r="H555" s="147">
        <f t="shared" si="283"/>
        <v>98790.366656735408</v>
      </c>
      <c r="I555" s="147">
        <f t="shared" si="283"/>
        <v>110314.53291641577</v>
      </c>
      <c r="J555" s="147">
        <f t="shared" si="283"/>
        <v>119369.11579997322</v>
      </c>
      <c r="K555" s="147">
        <f t="shared" si="283"/>
        <v>137554.45714300667</v>
      </c>
      <c r="L555" s="147">
        <f t="shared" si="283"/>
        <v>154065.65831739837</v>
      </c>
      <c r="M555" s="147">
        <f t="shared" si="283"/>
        <v>169602.58000000002</v>
      </c>
      <c r="N555" s="147" t="s">
        <v>224</v>
      </c>
      <c r="O555" s="34" t="s">
        <v>198</v>
      </c>
    </row>
    <row r="556" spans="1:15" hidden="1">
      <c r="A556" s="212" t="s">
        <v>100</v>
      </c>
      <c r="B556" s="147">
        <f t="shared" ref="B556:M556" si="284">B123</f>
        <v>0</v>
      </c>
      <c r="C556" s="147">
        <f t="shared" si="284"/>
        <v>0</v>
      </c>
      <c r="D556" s="147">
        <f t="shared" si="284"/>
        <v>0</v>
      </c>
      <c r="E556" s="147">
        <f t="shared" si="284"/>
        <v>0</v>
      </c>
      <c r="F556" s="147">
        <f t="shared" si="284"/>
        <v>0</v>
      </c>
      <c r="G556" s="147">
        <f t="shared" si="284"/>
        <v>0</v>
      </c>
      <c r="H556" s="147">
        <f t="shared" si="284"/>
        <v>0</v>
      </c>
      <c r="I556" s="147">
        <f t="shared" si="284"/>
        <v>0</v>
      </c>
      <c r="J556" s="147">
        <f t="shared" si="284"/>
        <v>0</v>
      </c>
      <c r="K556" s="147">
        <f t="shared" si="284"/>
        <v>0</v>
      </c>
      <c r="L556" s="147">
        <f t="shared" si="284"/>
        <v>0</v>
      </c>
      <c r="M556" s="147">
        <f t="shared" si="284"/>
        <v>0</v>
      </c>
      <c r="N556" s="147" t="s">
        <v>224</v>
      </c>
      <c r="O556" s="34" t="s">
        <v>198</v>
      </c>
    </row>
    <row r="557" spans="1:15" hidden="1">
      <c r="A557" s="212" t="s">
        <v>101</v>
      </c>
      <c r="B557" s="147">
        <f t="shared" ref="B557:M557" si="285">B124</f>
        <v>1287.1619189853775</v>
      </c>
      <c r="C557" s="147">
        <f t="shared" si="285"/>
        <v>2406.445530149821</v>
      </c>
      <c r="D557" s="147">
        <f t="shared" si="285"/>
        <v>4141.0528037225058</v>
      </c>
      <c r="E557" s="147">
        <f t="shared" si="285"/>
        <v>4570.420750135534</v>
      </c>
      <c r="F557" s="147">
        <f t="shared" si="285"/>
        <v>6219.6584307886014</v>
      </c>
      <c r="G557" s="147">
        <f t="shared" si="285"/>
        <v>7220.6354218098732</v>
      </c>
      <c r="H557" s="147">
        <f t="shared" si="285"/>
        <v>8818.4971964442666</v>
      </c>
      <c r="I557" s="147">
        <f t="shared" si="285"/>
        <v>10043.280262645536</v>
      </c>
      <c r="J557" s="147">
        <f t="shared" si="285"/>
        <v>10856.263176152646</v>
      </c>
      <c r="K557" s="147">
        <f t="shared" si="285"/>
        <v>12125.366110412044</v>
      </c>
      <c r="L557" s="147">
        <f t="shared" si="285"/>
        <v>13336.745540957019</v>
      </c>
      <c r="M557" s="147">
        <f t="shared" si="285"/>
        <v>14275.61</v>
      </c>
      <c r="N557" s="147" t="s">
        <v>224</v>
      </c>
      <c r="O557" s="34" t="s">
        <v>198</v>
      </c>
    </row>
    <row r="558" spans="1:15" hidden="1">
      <c r="A558" s="212" t="s">
        <v>102</v>
      </c>
      <c r="B558" s="147">
        <f t="shared" ref="B558:M558" si="286">B125</f>
        <v>25227.256978617585</v>
      </c>
      <c r="C558" s="147">
        <f t="shared" si="286"/>
        <v>44103.611263606756</v>
      </c>
      <c r="D558" s="147">
        <f t="shared" si="286"/>
        <v>59923.54069913696</v>
      </c>
      <c r="E558" s="147">
        <f t="shared" si="286"/>
        <v>76119.284247279633</v>
      </c>
      <c r="F558" s="147">
        <f t="shared" si="286"/>
        <v>91090.621508957542</v>
      </c>
      <c r="G558" s="147">
        <f t="shared" si="286"/>
        <v>105239.45167277566</v>
      </c>
      <c r="H558" s="147">
        <f t="shared" si="286"/>
        <v>118551.65610326831</v>
      </c>
      <c r="I558" s="147">
        <f t="shared" si="286"/>
        <v>130269.10995032854</v>
      </c>
      <c r="J558" s="147">
        <f t="shared" si="286"/>
        <v>143262.00939685348</v>
      </c>
      <c r="K558" s="147">
        <f t="shared" si="286"/>
        <v>155628.88433276347</v>
      </c>
      <c r="L558" s="147">
        <f t="shared" si="286"/>
        <v>166455.4789744186</v>
      </c>
      <c r="M558" s="147">
        <f t="shared" si="286"/>
        <v>187730.11</v>
      </c>
      <c r="N558" s="147" t="s">
        <v>224</v>
      </c>
      <c r="O558" s="34" t="s">
        <v>198</v>
      </c>
    </row>
    <row r="559" spans="1:15" hidden="1">
      <c r="A559" s="212" t="s">
        <v>103</v>
      </c>
      <c r="B559" s="147">
        <f t="shared" ref="B559:M559" si="287">B126</f>
        <v>2701.0391526076473</v>
      </c>
      <c r="C559" s="147">
        <f t="shared" si="287"/>
        <v>5037.7350466151856</v>
      </c>
      <c r="D559" s="147">
        <f t="shared" si="287"/>
        <v>7389.5407860499599</v>
      </c>
      <c r="E559" s="147">
        <f t="shared" si="287"/>
        <v>9774.7479436559315</v>
      </c>
      <c r="F559" s="147">
        <f t="shared" si="287"/>
        <v>12717.120284788763</v>
      </c>
      <c r="G559" s="147">
        <f t="shared" si="287"/>
        <v>14784.439338698341</v>
      </c>
      <c r="H559" s="147">
        <f t="shared" si="287"/>
        <v>17618.895172120774</v>
      </c>
      <c r="I559" s="147">
        <f t="shared" si="287"/>
        <v>19795.053011403917</v>
      </c>
      <c r="J559" s="147">
        <f t="shared" si="287"/>
        <v>21152.327382609546</v>
      </c>
      <c r="K559" s="147">
        <f t="shared" si="287"/>
        <v>22073.459412740351</v>
      </c>
      <c r="L559" s="147">
        <f t="shared" si="287"/>
        <v>23811.913988932403</v>
      </c>
      <c r="M559" s="147">
        <f t="shared" si="287"/>
        <v>24973.199999999997</v>
      </c>
      <c r="N559" s="147" t="s">
        <v>224</v>
      </c>
      <c r="O559" s="34" t="s">
        <v>198</v>
      </c>
    </row>
    <row r="560" spans="1:15" hidden="1">
      <c r="A560" s="212" t="s">
        <v>104</v>
      </c>
      <c r="B560" s="147">
        <f t="shared" ref="B560:M560" si="288">B127</f>
        <v>2632.0833381345178</v>
      </c>
      <c r="C560" s="147">
        <f t="shared" si="288"/>
        <v>4051.8767227544745</v>
      </c>
      <c r="D560" s="147">
        <f t="shared" si="288"/>
        <v>4900.7392244240727</v>
      </c>
      <c r="E560" s="147">
        <f t="shared" si="288"/>
        <v>6688.7535112255482</v>
      </c>
      <c r="F560" s="147">
        <f t="shared" si="288"/>
        <v>7874.6029246489288</v>
      </c>
      <c r="G560" s="147">
        <f t="shared" si="288"/>
        <v>9778.1886624251056</v>
      </c>
      <c r="H560" s="147">
        <f t="shared" si="288"/>
        <v>10727.695353476551</v>
      </c>
      <c r="I560" s="147">
        <f t="shared" si="288"/>
        <v>12037.761071301684</v>
      </c>
      <c r="J560" s="147">
        <f t="shared" si="288"/>
        <v>13013.498136118047</v>
      </c>
      <c r="K560" s="147">
        <f t="shared" si="288"/>
        <v>14304.31387409329</v>
      </c>
      <c r="L560" s="147">
        <f t="shared" si="288"/>
        <v>15792.240400740508</v>
      </c>
      <c r="M560" s="147">
        <f t="shared" si="288"/>
        <v>16377.880000000001</v>
      </c>
      <c r="N560" s="147" t="s">
        <v>224</v>
      </c>
      <c r="O560" s="34" t="s">
        <v>198</v>
      </c>
    </row>
    <row r="561" spans="1:15" hidden="1">
      <c r="A561" s="212" t="s">
        <v>105</v>
      </c>
      <c r="B561" s="147">
        <f t="shared" ref="B561:M561" si="289">B128</f>
        <v>14979.256282849303</v>
      </c>
      <c r="C561" s="147">
        <f t="shared" si="289"/>
        <v>27474.48486742684</v>
      </c>
      <c r="D561" s="147">
        <f t="shared" si="289"/>
        <v>35999.418974308166</v>
      </c>
      <c r="E561" s="147">
        <f t="shared" si="289"/>
        <v>45752.173558409115</v>
      </c>
      <c r="F561" s="147">
        <f t="shared" si="289"/>
        <v>53902.346520659601</v>
      </c>
      <c r="G561" s="147">
        <f t="shared" si="289"/>
        <v>66577.09737846705</v>
      </c>
      <c r="H561" s="147">
        <f t="shared" si="289"/>
        <v>81399.517278685904</v>
      </c>
      <c r="I561" s="147">
        <f t="shared" si="289"/>
        <v>96703.819652355334</v>
      </c>
      <c r="J561" s="147">
        <f t="shared" si="289"/>
        <v>107522.19997856244</v>
      </c>
      <c r="K561" s="147">
        <f t="shared" si="289"/>
        <v>120318.65588322618</v>
      </c>
      <c r="L561" s="147">
        <f t="shared" si="289"/>
        <v>129339.25020022583</v>
      </c>
      <c r="M561" s="147">
        <f t="shared" si="289"/>
        <v>140000</v>
      </c>
      <c r="N561" s="147" t="s">
        <v>224</v>
      </c>
      <c r="O561" s="34" t="s">
        <v>198</v>
      </c>
    </row>
    <row r="562" spans="1:15" hidden="1">
      <c r="A562" s="212" t="s">
        <v>106</v>
      </c>
      <c r="B562" s="147">
        <f t="shared" ref="B562:M562" si="290">B129</f>
        <v>635.30576841680897</v>
      </c>
      <c r="C562" s="147">
        <f t="shared" si="290"/>
        <v>1749.124659622752</v>
      </c>
      <c r="D562" s="147">
        <f t="shared" si="290"/>
        <v>2360.8195452607429</v>
      </c>
      <c r="E562" s="147">
        <f t="shared" si="290"/>
        <v>2788.0066181834277</v>
      </c>
      <c r="F562" s="147">
        <f t="shared" si="290"/>
        <v>3482.0619554291911</v>
      </c>
      <c r="G562" s="147">
        <f t="shared" si="290"/>
        <v>4260.8561121217699</v>
      </c>
      <c r="H562" s="147">
        <f t="shared" si="290"/>
        <v>4862.4832989935558</v>
      </c>
      <c r="I562" s="147">
        <f t="shared" si="290"/>
        <v>5601.5242532377033</v>
      </c>
      <c r="J562" s="147">
        <f t="shared" si="290"/>
        <v>6213.2573893441177</v>
      </c>
      <c r="K562" s="147">
        <f t="shared" si="290"/>
        <v>6703.9384449404652</v>
      </c>
      <c r="L562" s="147">
        <f t="shared" si="290"/>
        <v>7231.9079953615992</v>
      </c>
      <c r="M562" s="147">
        <f t="shared" si="290"/>
        <v>7574</v>
      </c>
      <c r="N562" s="147" t="s">
        <v>224</v>
      </c>
      <c r="O562" s="34" t="s">
        <v>198</v>
      </c>
    </row>
    <row r="563" spans="1:15" hidden="1">
      <c r="A563" s="212" t="s">
        <v>107</v>
      </c>
      <c r="B563" s="147">
        <f t="shared" ref="B563:M563" si="291">B130</f>
        <v>12102.662183317647</v>
      </c>
      <c r="C563" s="147">
        <f t="shared" si="291"/>
        <v>24040.373404806662</v>
      </c>
      <c r="D563" s="147">
        <f t="shared" si="291"/>
        <v>35538.402444773543</v>
      </c>
      <c r="E563" s="147">
        <f t="shared" si="291"/>
        <v>45611.382920574833</v>
      </c>
      <c r="F563" s="147">
        <f t="shared" si="291"/>
        <v>53209.737377740676</v>
      </c>
      <c r="G563" s="147">
        <f t="shared" si="291"/>
        <v>61346.682667726396</v>
      </c>
      <c r="H563" s="147">
        <f t="shared" si="291"/>
        <v>70185.91048412009</v>
      </c>
      <c r="I563" s="147">
        <f t="shared" si="291"/>
        <v>78840.569046639721</v>
      </c>
      <c r="J563" s="147">
        <f t="shared" si="291"/>
        <v>85998.277752395923</v>
      </c>
      <c r="K563" s="147">
        <f t="shared" si="291"/>
        <v>94324.383573293817</v>
      </c>
      <c r="L563" s="147">
        <f t="shared" si="291"/>
        <v>101848.24779160117</v>
      </c>
      <c r="M563" s="147">
        <f t="shared" si="291"/>
        <v>114583.78</v>
      </c>
      <c r="N563" s="147" t="s">
        <v>224</v>
      </c>
      <c r="O563" s="34" t="s">
        <v>198</v>
      </c>
    </row>
    <row r="564" spans="1:15" hidden="1">
      <c r="A564" s="212" t="s">
        <v>108</v>
      </c>
      <c r="B564" s="147">
        <f t="shared" ref="B564:M564" si="292">B131</f>
        <v>818.62535910117674</v>
      </c>
      <c r="C564" s="147">
        <f t="shared" si="292"/>
        <v>1533.4609970802715</v>
      </c>
      <c r="D564" s="147">
        <f t="shared" si="292"/>
        <v>1720.3997543356545</v>
      </c>
      <c r="E564" s="147">
        <f t="shared" si="292"/>
        <v>2271.2093378146033</v>
      </c>
      <c r="F564" s="147">
        <f t="shared" si="292"/>
        <v>3104.9224619221477</v>
      </c>
      <c r="G564" s="147">
        <f t="shared" si="292"/>
        <v>3687.2953943599873</v>
      </c>
      <c r="H564" s="147">
        <f t="shared" si="292"/>
        <v>4422.8111741591783</v>
      </c>
      <c r="I564" s="147">
        <f t="shared" si="292"/>
        <v>5011.4137745209637</v>
      </c>
      <c r="J564" s="147">
        <f t="shared" si="292"/>
        <v>5493.4229953218937</v>
      </c>
      <c r="K564" s="147">
        <f t="shared" si="292"/>
        <v>5924.3326730478548</v>
      </c>
      <c r="L564" s="147">
        <f t="shared" si="292"/>
        <v>6513.6851049695097</v>
      </c>
      <c r="M564" s="147">
        <f t="shared" si="292"/>
        <v>6861.61</v>
      </c>
      <c r="N564" s="147" t="s">
        <v>224</v>
      </c>
      <c r="O564" s="34" t="s">
        <v>198</v>
      </c>
    </row>
    <row r="565" spans="1:15" hidden="1">
      <c r="A565" s="212" t="s">
        <v>109</v>
      </c>
      <c r="B565" s="147">
        <f t="shared" ref="B565:M565" si="293">B132</f>
        <v>117.28389235297843</v>
      </c>
      <c r="C565" s="147">
        <f t="shared" si="293"/>
        <v>237.56335073442062</v>
      </c>
      <c r="D565" s="147">
        <f t="shared" si="293"/>
        <v>237.56335073442062</v>
      </c>
      <c r="E565" s="147">
        <f t="shared" si="293"/>
        <v>433.69570171551561</v>
      </c>
      <c r="F565" s="147">
        <f t="shared" si="293"/>
        <v>703.95570171551549</v>
      </c>
      <c r="G565" s="147">
        <f t="shared" si="293"/>
        <v>703.95570171551549</v>
      </c>
      <c r="H565" s="147">
        <f t="shared" si="293"/>
        <v>779.19377951509773</v>
      </c>
      <c r="I565" s="147">
        <f t="shared" si="293"/>
        <v>779.19377951509773</v>
      </c>
      <c r="J565" s="147">
        <f t="shared" si="293"/>
        <v>810.78</v>
      </c>
      <c r="K565" s="147">
        <f t="shared" si="293"/>
        <v>810.78</v>
      </c>
      <c r="L565" s="147">
        <f t="shared" si="293"/>
        <v>810.78</v>
      </c>
      <c r="M565" s="147">
        <f t="shared" si="293"/>
        <v>810.78</v>
      </c>
      <c r="N565" s="147" t="s">
        <v>224</v>
      </c>
      <c r="O565" s="34" t="s">
        <v>198</v>
      </c>
    </row>
    <row r="566" spans="1:15" hidden="1">
      <c r="A566" s="212" t="s">
        <v>110</v>
      </c>
      <c r="B566" s="147">
        <f t="shared" ref="B566:M566" si="294">B133</f>
        <v>7886.5939613012006</v>
      </c>
      <c r="C566" s="147">
        <f t="shared" si="294"/>
        <v>15931.132624199518</v>
      </c>
      <c r="D566" s="147">
        <f t="shared" si="294"/>
        <v>23766.176634484716</v>
      </c>
      <c r="E566" s="147">
        <f t="shared" si="294"/>
        <v>34410.671924109447</v>
      </c>
      <c r="F566" s="147">
        <f t="shared" si="294"/>
        <v>40927.380186032577</v>
      </c>
      <c r="G566" s="147">
        <f t="shared" si="294"/>
        <v>47682.967842806633</v>
      </c>
      <c r="H566" s="147">
        <f t="shared" si="294"/>
        <v>53161.691352929804</v>
      </c>
      <c r="I566" s="147">
        <f t="shared" si="294"/>
        <v>58689.739522010743</v>
      </c>
      <c r="J566" s="147">
        <f t="shared" si="294"/>
        <v>63361.351624767187</v>
      </c>
      <c r="K566" s="147">
        <f t="shared" si="294"/>
        <v>66478.718414230447</v>
      </c>
      <c r="L566" s="147">
        <f t="shared" si="294"/>
        <v>69832.753097545981</v>
      </c>
      <c r="M566" s="147">
        <f t="shared" si="294"/>
        <v>73316.311999999947</v>
      </c>
      <c r="N566" s="147" t="s">
        <v>224</v>
      </c>
      <c r="O566" s="34" t="s">
        <v>198</v>
      </c>
    </row>
    <row r="567" spans="1:15" hidden="1">
      <c r="A567" s="212" t="s">
        <v>111</v>
      </c>
      <c r="B567" s="147">
        <f t="shared" ref="B567:M567" si="295">B134</f>
        <v>63823.356764842552</v>
      </c>
      <c r="C567" s="147">
        <f t="shared" si="295"/>
        <v>104842.70917249957</v>
      </c>
      <c r="D567" s="147">
        <f t="shared" si="295"/>
        <v>137084.72428139948</v>
      </c>
      <c r="E567" s="147">
        <f t="shared" si="295"/>
        <v>166006.87408925471</v>
      </c>
      <c r="F567" s="147">
        <f t="shared" si="295"/>
        <v>197163.35869303727</v>
      </c>
      <c r="G567" s="147">
        <f t="shared" si="295"/>
        <v>219689.3438339307</v>
      </c>
      <c r="H567" s="147">
        <f t="shared" si="295"/>
        <v>255352.70482872555</v>
      </c>
      <c r="I567" s="147">
        <f t="shared" si="295"/>
        <v>299354.07485842862</v>
      </c>
      <c r="J567" s="147">
        <f t="shared" si="295"/>
        <v>328841.08126028889</v>
      </c>
      <c r="K567" s="147">
        <f t="shared" si="295"/>
        <v>365396.40804459178</v>
      </c>
      <c r="L567" s="147">
        <f t="shared" si="295"/>
        <v>393978.96935651067</v>
      </c>
      <c r="M567" s="147">
        <f t="shared" si="295"/>
        <v>421066.2122784832</v>
      </c>
      <c r="N567" s="147" t="s">
        <v>224</v>
      </c>
      <c r="O567" s="34" t="s">
        <v>198</v>
      </c>
    </row>
    <row r="568" spans="1:15" hidden="1">
      <c r="A568" s="212" t="s">
        <v>112</v>
      </c>
      <c r="B568" s="147">
        <f t="shared" ref="B568:M568" si="296">B135</f>
        <v>576.49513635201151</v>
      </c>
      <c r="C568" s="147">
        <f t="shared" si="296"/>
        <v>786.30021170667703</v>
      </c>
      <c r="D568" s="147">
        <f t="shared" si="296"/>
        <v>1172.1700921439676</v>
      </c>
      <c r="E568" s="147">
        <f t="shared" si="296"/>
        <v>1412.7135962621483</v>
      </c>
      <c r="F568" s="147">
        <f t="shared" si="296"/>
        <v>1486.5123266216694</v>
      </c>
      <c r="G568" s="147">
        <f t="shared" si="296"/>
        <v>1636.6084037969388</v>
      </c>
      <c r="H568" s="147">
        <f t="shared" si="296"/>
        <v>1787.0842725670902</v>
      </c>
      <c r="I568" s="147">
        <f t="shared" si="296"/>
        <v>1888.827527906557</v>
      </c>
      <c r="J568" s="147">
        <f t="shared" si="296"/>
        <v>1947.4035044182031</v>
      </c>
      <c r="K568" s="147">
        <f t="shared" si="296"/>
        <v>2041.9483726278058</v>
      </c>
      <c r="L568" s="147">
        <f t="shared" si="296"/>
        <v>2190.3218251918274</v>
      </c>
      <c r="M568" s="147">
        <f t="shared" si="296"/>
        <v>2298.14</v>
      </c>
      <c r="N568" s="147" t="s">
        <v>224</v>
      </c>
      <c r="O568" s="34" t="s">
        <v>198</v>
      </c>
    </row>
    <row r="569" spans="1:15" hidden="1">
      <c r="A569" s="212" t="s">
        <v>113</v>
      </c>
      <c r="B569" s="147">
        <f t="shared" ref="B569:M569" si="297">B136</f>
        <v>1296.7679136277122</v>
      </c>
      <c r="C569" s="147">
        <f t="shared" si="297"/>
        <v>1972.5740312796581</v>
      </c>
      <c r="D569" s="147">
        <f t="shared" si="297"/>
        <v>2864.4109321182368</v>
      </c>
      <c r="E569" s="147">
        <f t="shared" si="297"/>
        <v>3292.0597662117702</v>
      </c>
      <c r="F569" s="147">
        <f t="shared" si="297"/>
        <v>3678.2862241513462</v>
      </c>
      <c r="G569" s="147">
        <f t="shared" si="297"/>
        <v>4739.4364679092514</v>
      </c>
      <c r="H569" s="147">
        <f t="shared" si="297"/>
        <v>6003.1749745950046</v>
      </c>
      <c r="I569" s="147">
        <f t="shared" si="297"/>
        <v>7372.2633920040753</v>
      </c>
      <c r="J569" s="147">
        <f t="shared" si="297"/>
        <v>7770.5831490712862</v>
      </c>
      <c r="K569" s="147">
        <f t="shared" si="297"/>
        <v>8260.7277093680241</v>
      </c>
      <c r="L569" s="147">
        <f t="shared" si="297"/>
        <v>9013.3885170440244</v>
      </c>
      <c r="M569" s="147">
        <f t="shared" si="297"/>
        <v>9444.98</v>
      </c>
      <c r="N569" s="147" t="s">
        <v>224</v>
      </c>
      <c r="O569" s="34" t="s">
        <v>198</v>
      </c>
    </row>
    <row r="570" spans="1:15" hidden="1">
      <c r="A570" s="212" t="s">
        <v>87</v>
      </c>
      <c r="B570" s="147">
        <f>AF146</f>
        <v>14855.224</v>
      </c>
      <c r="C570" s="147">
        <f t="shared" ref="C570:M570" si="298">AG146</f>
        <v>14104.800000000001</v>
      </c>
      <c r="D570" s="147">
        <f t="shared" si="298"/>
        <v>14165.448000000002</v>
      </c>
      <c r="E570" s="147">
        <f t="shared" si="298"/>
        <v>7836</v>
      </c>
      <c r="F570" s="147">
        <f t="shared" si="298"/>
        <v>11048.760000000002</v>
      </c>
      <c r="G570" s="147">
        <f t="shared" si="298"/>
        <v>13164.48</v>
      </c>
      <c r="H570" s="147">
        <f t="shared" si="298"/>
        <v>17631</v>
      </c>
      <c r="I570" s="147">
        <f t="shared" si="298"/>
        <v>23508</v>
      </c>
      <c r="J570" s="147">
        <f t="shared" si="298"/>
        <v>28209.600000000002</v>
      </c>
      <c r="K570" s="147">
        <f t="shared" si="298"/>
        <v>24056.520000000004</v>
      </c>
      <c r="L570" s="147">
        <f t="shared" si="298"/>
        <v>20765.400000000001</v>
      </c>
      <c r="M570" s="147">
        <f t="shared" si="298"/>
        <v>19981.800000000003</v>
      </c>
      <c r="N570" s="147" t="s">
        <v>177</v>
      </c>
      <c r="O570" s="34" t="s">
        <v>28</v>
      </c>
    </row>
    <row r="571" spans="1:15" hidden="1">
      <c r="A571" s="212" t="s">
        <v>88</v>
      </c>
      <c r="B571" s="147">
        <f t="shared" ref="B571:B596" si="299">AF147</f>
        <v>37533.688000000002</v>
      </c>
      <c r="C571" s="147">
        <f t="shared" ref="C571:C596" si="300">AG147</f>
        <v>39963.600000000006</v>
      </c>
      <c r="D571" s="147">
        <f t="shared" ref="D571:D596" si="301">AH147</f>
        <v>40903.920000000006</v>
      </c>
      <c r="E571" s="147">
        <f t="shared" ref="E571:E596" si="302">AI147</f>
        <v>30482.040000000005</v>
      </c>
      <c r="F571" s="147">
        <f t="shared" ref="F571:F596" si="303">AJ147</f>
        <v>30403.68</v>
      </c>
      <c r="G571" s="147">
        <f t="shared" ref="G571:G596" si="304">AK147</f>
        <v>34400.04</v>
      </c>
      <c r="H571" s="147">
        <f t="shared" ref="H571:H596" si="305">AL147</f>
        <v>43489.8</v>
      </c>
      <c r="I571" s="147">
        <f t="shared" ref="I571:I596" si="306">AM147</f>
        <v>50463.840000000011</v>
      </c>
      <c r="J571" s="147">
        <f t="shared" ref="J571:J596" si="307">AN147</f>
        <v>45448.800000000003</v>
      </c>
      <c r="K571" s="147">
        <f t="shared" ref="K571:K596" si="308">AO147</f>
        <v>62139.48000000001</v>
      </c>
      <c r="L571" s="147">
        <f t="shared" ref="L571:L596" si="309">AP147</f>
        <v>55635.600000000006</v>
      </c>
      <c r="M571" s="147">
        <f t="shared" ref="M571:M596" si="310">AQ147</f>
        <v>50542.200000000004</v>
      </c>
      <c r="N571" s="147" t="s">
        <v>177</v>
      </c>
      <c r="O571" s="34" t="s">
        <v>28</v>
      </c>
    </row>
    <row r="572" spans="1:15" hidden="1">
      <c r="A572" s="212" t="s">
        <v>89</v>
      </c>
      <c r="B572" s="147">
        <f t="shared" si="299"/>
        <v>22650.392000000003</v>
      </c>
      <c r="C572" s="147">
        <f t="shared" si="300"/>
        <v>23508</v>
      </c>
      <c r="D572" s="147">
        <f t="shared" si="301"/>
        <v>22019.160000000003</v>
      </c>
      <c r="E572" s="147">
        <f t="shared" si="302"/>
        <v>13481.592000000002</v>
      </c>
      <c r="F572" s="147">
        <f t="shared" si="303"/>
        <v>13477.920000000002</v>
      </c>
      <c r="G572" s="147">
        <f t="shared" si="304"/>
        <v>14888.400000000001</v>
      </c>
      <c r="H572" s="147">
        <f t="shared" si="305"/>
        <v>26877.48</v>
      </c>
      <c r="I572" s="147">
        <f t="shared" si="306"/>
        <v>32597.759999999998</v>
      </c>
      <c r="J572" s="147">
        <f t="shared" si="307"/>
        <v>28052.880000000001</v>
      </c>
      <c r="K572" s="147">
        <f t="shared" si="308"/>
        <v>26093.88</v>
      </c>
      <c r="L572" s="147">
        <f t="shared" si="309"/>
        <v>14888.400000000001</v>
      </c>
      <c r="M572" s="147">
        <f t="shared" si="310"/>
        <v>21470.639999999999</v>
      </c>
      <c r="N572" s="147" t="s">
        <v>177</v>
      </c>
      <c r="O572" s="34" t="s">
        <v>28</v>
      </c>
    </row>
    <row r="573" spans="1:15" hidden="1">
      <c r="A573" s="212" t="s">
        <v>90</v>
      </c>
      <c r="B573" s="147">
        <f t="shared" si="299"/>
        <v>33880.640000000007</v>
      </c>
      <c r="C573" s="147">
        <f t="shared" si="300"/>
        <v>37299.360000000001</v>
      </c>
      <c r="D573" s="147">
        <f t="shared" si="301"/>
        <v>43959.96</v>
      </c>
      <c r="E573" s="147">
        <f t="shared" si="302"/>
        <v>16612.320000000003</v>
      </c>
      <c r="F573" s="147">
        <f t="shared" si="303"/>
        <v>21000.48</v>
      </c>
      <c r="G573" s="147">
        <f t="shared" si="304"/>
        <v>37142.640000000007</v>
      </c>
      <c r="H573" s="147">
        <f t="shared" si="305"/>
        <v>50150.400000000001</v>
      </c>
      <c r="I573" s="147">
        <f t="shared" si="306"/>
        <v>55557.240000000005</v>
      </c>
      <c r="J573" s="147">
        <f t="shared" si="307"/>
        <v>46859.28</v>
      </c>
      <c r="K573" s="147">
        <f t="shared" si="308"/>
        <v>53990.040000000008</v>
      </c>
      <c r="L573" s="147">
        <f t="shared" si="309"/>
        <v>50934</v>
      </c>
      <c r="M573" s="147">
        <f t="shared" si="310"/>
        <v>41217.360000000001</v>
      </c>
      <c r="N573" s="147" t="s">
        <v>177</v>
      </c>
      <c r="O573" s="34" t="s">
        <v>28</v>
      </c>
    </row>
    <row r="574" spans="1:15" hidden="1">
      <c r="A574" s="212" t="s">
        <v>91</v>
      </c>
      <c r="B574" s="147">
        <f t="shared" si="299"/>
        <v>103651.664</v>
      </c>
      <c r="C574" s="147">
        <f t="shared" si="300"/>
        <v>120282.6</v>
      </c>
      <c r="D574" s="147">
        <f t="shared" si="301"/>
        <v>110017.44</v>
      </c>
      <c r="E574" s="147">
        <f t="shared" si="302"/>
        <v>59396.880000000005</v>
      </c>
      <c r="F574" s="147">
        <f t="shared" si="303"/>
        <v>62844.72</v>
      </c>
      <c r="G574" s="147">
        <f t="shared" si="304"/>
        <v>90819.24</v>
      </c>
      <c r="H574" s="147">
        <f t="shared" si="305"/>
        <v>119342.28000000001</v>
      </c>
      <c r="I574" s="147">
        <f t="shared" si="306"/>
        <v>128275.32000000002</v>
      </c>
      <c r="J574" s="147">
        <f t="shared" si="307"/>
        <v>135797.88</v>
      </c>
      <c r="K574" s="147">
        <f t="shared" si="308"/>
        <v>151783.32</v>
      </c>
      <c r="L574" s="147">
        <f t="shared" si="309"/>
        <v>146689.92000000001</v>
      </c>
      <c r="M574" s="147">
        <f t="shared" si="310"/>
        <v>153742.32</v>
      </c>
      <c r="N574" s="147" t="s">
        <v>177</v>
      </c>
      <c r="O574" s="34" t="s">
        <v>28</v>
      </c>
    </row>
    <row r="575" spans="1:15" hidden="1">
      <c r="A575" s="212" t="s">
        <v>92</v>
      </c>
      <c r="B575" s="147">
        <f t="shared" si="299"/>
        <v>75146.487999999998</v>
      </c>
      <c r="C575" s="147">
        <f t="shared" si="300"/>
        <v>69113.52</v>
      </c>
      <c r="D575" s="147">
        <f t="shared" si="301"/>
        <v>57359.519999999997</v>
      </c>
      <c r="E575" s="147">
        <f t="shared" si="302"/>
        <v>26642.400000000001</v>
      </c>
      <c r="F575" s="147">
        <f t="shared" si="303"/>
        <v>27582.720000000001</v>
      </c>
      <c r="G575" s="147">
        <f t="shared" si="304"/>
        <v>68016.48000000001</v>
      </c>
      <c r="H575" s="147">
        <f t="shared" si="305"/>
        <v>85020.6</v>
      </c>
      <c r="I575" s="147">
        <f t="shared" si="306"/>
        <v>90740.88</v>
      </c>
      <c r="J575" s="147">
        <f t="shared" si="307"/>
        <v>88860.24</v>
      </c>
      <c r="K575" s="147">
        <f t="shared" si="308"/>
        <v>106334.52</v>
      </c>
      <c r="L575" s="147">
        <f t="shared" si="309"/>
        <v>94267.080000000016</v>
      </c>
      <c r="M575" s="147">
        <f t="shared" si="310"/>
        <v>90035.640000000014</v>
      </c>
      <c r="N575" s="147" t="s">
        <v>177</v>
      </c>
      <c r="O575" s="34" t="s">
        <v>28</v>
      </c>
    </row>
    <row r="576" spans="1:15" hidden="1">
      <c r="A576" s="212" t="s">
        <v>93</v>
      </c>
      <c r="B576" s="147">
        <f t="shared" si="299"/>
        <v>96113.040000000008</v>
      </c>
      <c r="C576" s="147">
        <f t="shared" si="300"/>
        <v>94658.880000000005</v>
      </c>
      <c r="D576" s="147">
        <f t="shared" si="301"/>
        <v>93013.32</v>
      </c>
      <c r="E576" s="147">
        <f t="shared" si="302"/>
        <v>51952.68</v>
      </c>
      <c r="F576" s="147">
        <f t="shared" si="303"/>
        <v>73815.12</v>
      </c>
      <c r="G576" s="147">
        <f t="shared" si="304"/>
        <v>99047.040000000008</v>
      </c>
      <c r="H576" s="147">
        <f t="shared" si="305"/>
        <v>116364.6</v>
      </c>
      <c r="I576" s="147">
        <f t="shared" si="306"/>
        <v>134152.32000000001</v>
      </c>
      <c r="J576" s="147">
        <f t="shared" si="307"/>
        <v>114719.03999999999</v>
      </c>
      <c r="K576" s="147">
        <f t="shared" si="308"/>
        <v>131174.63999999998</v>
      </c>
      <c r="L576" s="147">
        <f t="shared" si="309"/>
        <v>126237.96000000002</v>
      </c>
      <c r="M576" s="147">
        <f t="shared" si="310"/>
        <v>106334.52</v>
      </c>
      <c r="N576" s="147" t="s">
        <v>177</v>
      </c>
      <c r="O576" s="34" t="s">
        <v>28</v>
      </c>
    </row>
    <row r="577" spans="1:15" hidden="1">
      <c r="A577" s="212" t="s">
        <v>94</v>
      </c>
      <c r="B577" s="147">
        <f t="shared" si="299"/>
        <v>79599.495999999999</v>
      </c>
      <c r="C577" s="147">
        <f t="shared" si="300"/>
        <v>78908.52</v>
      </c>
      <c r="D577" s="147">
        <f t="shared" si="301"/>
        <v>81102.600000000006</v>
      </c>
      <c r="E577" s="147">
        <f t="shared" si="302"/>
        <v>44351.76</v>
      </c>
      <c r="F577" s="147">
        <f t="shared" si="303"/>
        <v>65822.400000000009</v>
      </c>
      <c r="G577" s="147">
        <f t="shared" si="304"/>
        <v>75460.680000000008</v>
      </c>
      <c r="H577" s="147">
        <f t="shared" si="305"/>
        <v>97009.680000000008</v>
      </c>
      <c r="I577" s="147">
        <f t="shared" si="306"/>
        <v>110957.76000000004</v>
      </c>
      <c r="J577" s="147">
        <f t="shared" si="307"/>
        <v>97323.12</v>
      </c>
      <c r="K577" s="147">
        <f t="shared" si="308"/>
        <v>122711.76000000001</v>
      </c>
      <c r="L577" s="147">
        <f t="shared" si="309"/>
        <v>102573.24</v>
      </c>
      <c r="M577" s="147">
        <f t="shared" si="310"/>
        <v>98185.080000000016</v>
      </c>
      <c r="N577" s="147" t="s">
        <v>177</v>
      </c>
      <c r="O577" s="34" t="s">
        <v>28</v>
      </c>
    </row>
    <row r="578" spans="1:15" hidden="1">
      <c r="A578" s="212" t="s">
        <v>95</v>
      </c>
      <c r="B578" s="147">
        <f t="shared" si="299"/>
        <v>156191.44</v>
      </c>
      <c r="C578" s="147">
        <f t="shared" si="300"/>
        <v>162048.48000000001</v>
      </c>
      <c r="D578" s="147">
        <f t="shared" si="301"/>
        <v>160638</v>
      </c>
      <c r="E578" s="147">
        <f t="shared" si="302"/>
        <v>110409.23999999999</v>
      </c>
      <c r="F578" s="147">
        <f t="shared" si="303"/>
        <v>149197.44</v>
      </c>
      <c r="G578" s="147">
        <f t="shared" si="304"/>
        <v>187828.92</v>
      </c>
      <c r="H578" s="147">
        <f t="shared" si="305"/>
        <v>251457.24</v>
      </c>
      <c r="I578" s="147">
        <f t="shared" si="306"/>
        <v>207262.20000000004</v>
      </c>
      <c r="J578" s="147">
        <f t="shared" si="307"/>
        <v>198642.6</v>
      </c>
      <c r="K578" s="147">
        <f t="shared" si="308"/>
        <v>238527.84</v>
      </c>
      <c r="L578" s="147">
        <f t="shared" si="309"/>
        <v>185556.48000000001</v>
      </c>
      <c r="M578" s="147">
        <f t="shared" si="310"/>
        <v>207340.56000000003</v>
      </c>
      <c r="N578" s="147" t="s">
        <v>177</v>
      </c>
      <c r="O578" s="34" t="s">
        <v>28</v>
      </c>
    </row>
    <row r="579" spans="1:15" hidden="1">
      <c r="A579" s="212" t="s">
        <v>96</v>
      </c>
      <c r="B579" s="147">
        <f t="shared" si="299"/>
        <v>28570.776000000002</v>
      </c>
      <c r="C579" s="147">
        <f t="shared" si="300"/>
        <v>29933.520000000004</v>
      </c>
      <c r="D579" s="147">
        <f t="shared" si="301"/>
        <v>27269.279999999999</v>
      </c>
      <c r="E579" s="147">
        <f t="shared" si="302"/>
        <v>14653.320000000002</v>
      </c>
      <c r="F579" s="147">
        <f t="shared" si="303"/>
        <v>12537.6</v>
      </c>
      <c r="G579" s="147">
        <f t="shared" si="304"/>
        <v>27112.559999999998</v>
      </c>
      <c r="H579" s="147">
        <f t="shared" si="305"/>
        <v>40120.320000000007</v>
      </c>
      <c r="I579" s="147">
        <f t="shared" si="306"/>
        <v>39180</v>
      </c>
      <c r="J579" s="147">
        <f t="shared" si="307"/>
        <v>42784.56</v>
      </c>
      <c r="K579" s="147">
        <f t="shared" si="308"/>
        <v>46624.200000000004</v>
      </c>
      <c r="L579" s="147">
        <f t="shared" si="309"/>
        <v>40825.56</v>
      </c>
      <c r="M579" s="147">
        <f t="shared" si="310"/>
        <v>35340.36</v>
      </c>
      <c r="N579" s="147" t="s">
        <v>177</v>
      </c>
      <c r="O579" s="34" t="s">
        <v>28</v>
      </c>
    </row>
    <row r="580" spans="1:15" hidden="1">
      <c r="A580" s="212" t="s">
        <v>97</v>
      </c>
      <c r="B580" s="147">
        <f t="shared" si="299"/>
        <v>136832.16800000001</v>
      </c>
      <c r="C580" s="147">
        <f t="shared" si="300"/>
        <v>171135.68799999999</v>
      </c>
      <c r="D580" s="147">
        <f t="shared" si="301"/>
        <v>191982</v>
      </c>
      <c r="E580" s="147">
        <f t="shared" si="302"/>
        <v>147316.80000000002</v>
      </c>
      <c r="F580" s="147">
        <f t="shared" si="303"/>
        <v>197075.40000000002</v>
      </c>
      <c r="G580" s="147">
        <f t="shared" si="304"/>
        <v>221288.64</v>
      </c>
      <c r="H580" s="147">
        <f t="shared" si="305"/>
        <v>222777.47999999998</v>
      </c>
      <c r="I580" s="147">
        <f t="shared" si="306"/>
        <v>236020.32000000004</v>
      </c>
      <c r="J580" s="147">
        <f t="shared" si="307"/>
        <v>210945.12000000002</v>
      </c>
      <c r="K580" s="147">
        <f t="shared" si="308"/>
        <v>223404.36000000002</v>
      </c>
      <c r="L580" s="147">
        <f t="shared" si="309"/>
        <v>197623.92</v>
      </c>
      <c r="M580" s="147">
        <f t="shared" si="310"/>
        <v>181011.6</v>
      </c>
      <c r="N580" s="147" t="s">
        <v>177</v>
      </c>
      <c r="O580" s="34" t="s">
        <v>28</v>
      </c>
    </row>
    <row r="581" spans="1:15" hidden="1">
      <c r="A581" s="212" t="s">
        <v>98</v>
      </c>
      <c r="B581" s="147">
        <f t="shared" si="299"/>
        <v>96885.384000000005</v>
      </c>
      <c r="C581" s="147">
        <f t="shared" si="300"/>
        <v>118480.32000000001</v>
      </c>
      <c r="D581" s="147">
        <f t="shared" si="301"/>
        <v>123181.92</v>
      </c>
      <c r="E581" s="147">
        <f t="shared" si="302"/>
        <v>93091.680000000008</v>
      </c>
      <c r="F581" s="147">
        <f t="shared" si="303"/>
        <v>104297.16</v>
      </c>
      <c r="G581" s="147">
        <f t="shared" si="304"/>
        <v>133995.6</v>
      </c>
      <c r="H581" s="147">
        <f t="shared" si="305"/>
        <v>155543.88</v>
      </c>
      <c r="I581" s="147">
        <f t="shared" si="306"/>
        <v>152723.63999999998</v>
      </c>
      <c r="J581" s="147">
        <f t="shared" si="307"/>
        <v>137600.16</v>
      </c>
      <c r="K581" s="147">
        <f t="shared" si="308"/>
        <v>152802</v>
      </c>
      <c r="L581" s="147">
        <f t="shared" si="309"/>
        <v>145906.32</v>
      </c>
      <c r="M581" s="147">
        <f t="shared" si="310"/>
        <v>115972.8</v>
      </c>
      <c r="N581" s="147" t="s">
        <v>177</v>
      </c>
      <c r="O581" s="34" t="s">
        <v>28</v>
      </c>
    </row>
    <row r="582" spans="1:15" hidden="1">
      <c r="A582" s="212" t="s">
        <v>99</v>
      </c>
      <c r="B582" s="147">
        <f t="shared" si="299"/>
        <v>325183.33600000001</v>
      </c>
      <c r="C582" s="147">
        <f t="shared" si="300"/>
        <v>283506.48</v>
      </c>
      <c r="D582" s="147">
        <f t="shared" si="301"/>
        <v>292204.44</v>
      </c>
      <c r="E582" s="147">
        <f t="shared" si="302"/>
        <v>193784.28000000003</v>
      </c>
      <c r="F582" s="147">
        <f t="shared" si="303"/>
        <v>251457.24</v>
      </c>
      <c r="G582" s="147">
        <f t="shared" si="304"/>
        <v>317514.72000000003</v>
      </c>
      <c r="H582" s="147">
        <f t="shared" si="305"/>
        <v>374795.88</v>
      </c>
      <c r="I582" s="147">
        <f t="shared" si="306"/>
        <v>390075.52</v>
      </c>
      <c r="J582" s="147">
        <f t="shared" si="307"/>
        <v>370407.72000000003</v>
      </c>
      <c r="K582" s="147">
        <f t="shared" si="308"/>
        <v>386784.96</v>
      </c>
      <c r="L582" s="147">
        <f t="shared" si="309"/>
        <v>368495.04000000004</v>
      </c>
      <c r="M582" s="147">
        <f t="shared" si="310"/>
        <v>355676.04000000004</v>
      </c>
      <c r="N582" s="147" t="s">
        <v>177</v>
      </c>
      <c r="O582" s="34" t="s">
        <v>28</v>
      </c>
    </row>
    <row r="583" spans="1:15" hidden="1">
      <c r="A583" s="212" t="s">
        <v>100</v>
      </c>
      <c r="B583" s="147">
        <f t="shared" si="299"/>
        <v>42419.328000000009</v>
      </c>
      <c r="C583" s="147">
        <f t="shared" si="300"/>
        <v>43176.36</v>
      </c>
      <c r="D583" s="147">
        <f t="shared" si="301"/>
        <v>43724.880000000005</v>
      </c>
      <c r="E583" s="147">
        <f t="shared" si="302"/>
        <v>29071.559999999998</v>
      </c>
      <c r="F583" s="147">
        <f t="shared" si="303"/>
        <v>20687.04</v>
      </c>
      <c r="G583" s="147">
        <f t="shared" si="304"/>
        <v>44821.920000000006</v>
      </c>
      <c r="H583" s="147">
        <f t="shared" si="305"/>
        <v>58064.76</v>
      </c>
      <c r="I583" s="147">
        <f t="shared" si="306"/>
        <v>71229.24000000002</v>
      </c>
      <c r="J583" s="147">
        <f t="shared" si="307"/>
        <v>59475.240000000005</v>
      </c>
      <c r="K583" s="147">
        <f t="shared" si="308"/>
        <v>74755.44</v>
      </c>
      <c r="L583" s="147">
        <f t="shared" si="309"/>
        <v>63941.760000000002</v>
      </c>
      <c r="M583" s="147">
        <f t="shared" si="310"/>
        <v>63393.240000000005</v>
      </c>
      <c r="N583" s="147" t="s">
        <v>177</v>
      </c>
      <c r="O583" s="34" t="s">
        <v>28</v>
      </c>
    </row>
    <row r="584" spans="1:15" hidden="1">
      <c r="A584" s="212" t="s">
        <v>101</v>
      </c>
      <c r="B584" s="147">
        <f t="shared" si="299"/>
        <v>58018.072</v>
      </c>
      <c r="C584" s="147">
        <f t="shared" si="300"/>
        <v>58299.840000000004</v>
      </c>
      <c r="D584" s="147">
        <f t="shared" si="301"/>
        <v>59631.96</v>
      </c>
      <c r="E584" s="147">
        <f t="shared" si="302"/>
        <v>28209.600000000002</v>
      </c>
      <c r="F584" s="147">
        <f t="shared" si="303"/>
        <v>36123.96</v>
      </c>
      <c r="G584" s="147">
        <f t="shared" si="304"/>
        <v>39963.600000000006</v>
      </c>
      <c r="H584" s="147">
        <f t="shared" si="305"/>
        <v>64960.44</v>
      </c>
      <c r="I584" s="147">
        <f t="shared" si="306"/>
        <v>76244.280000000013</v>
      </c>
      <c r="J584" s="147">
        <f t="shared" si="307"/>
        <v>76322.64</v>
      </c>
      <c r="K584" s="147">
        <f t="shared" si="308"/>
        <v>84785.52</v>
      </c>
      <c r="L584" s="147">
        <f t="shared" si="309"/>
        <v>73971.840000000011</v>
      </c>
      <c r="M584" s="147">
        <f t="shared" si="310"/>
        <v>76165.919999999998</v>
      </c>
      <c r="N584" s="147" t="s">
        <v>177</v>
      </c>
      <c r="O584" s="34" t="s">
        <v>28</v>
      </c>
    </row>
    <row r="585" spans="1:15" hidden="1">
      <c r="A585" s="212" t="s">
        <v>102</v>
      </c>
      <c r="B585" s="147">
        <f t="shared" si="299"/>
        <v>371881.54399999999</v>
      </c>
      <c r="C585" s="147">
        <f t="shared" si="300"/>
        <v>424946.28</v>
      </c>
      <c r="D585" s="147">
        <f t="shared" si="301"/>
        <v>453234.24000000005</v>
      </c>
      <c r="E585" s="147">
        <f t="shared" si="302"/>
        <v>291264.12000000005</v>
      </c>
      <c r="F585" s="147">
        <f t="shared" si="303"/>
        <v>427218.72000000003</v>
      </c>
      <c r="G585" s="147">
        <f t="shared" si="304"/>
        <v>492335.88</v>
      </c>
      <c r="H585" s="147">
        <f t="shared" si="305"/>
        <v>559255.32000000007</v>
      </c>
      <c r="I585" s="147">
        <f t="shared" si="306"/>
        <v>558785.16</v>
      </c>
      <c r="J585" s="147">
        <f t="shared" si="307"/>
        <v>548911.80000000005</v>
      </c>
      <c r="K585" s="147">
        <f t="shared" si="308"/>
        <v>583703.64</v>
      </c>
      <c r="L585" s="147">
        <f t="shared" si="309"/>
        <v>505186.92000000004</v>
      </c>
      <c r="M585" s="147">
        <f t="shared" si="310"/>
        <v>482854.32000000007</v>
      </c>
      <c r="N585" s="147" t="s">
        <v>177</v>
      </c>
      <c r="O585" s="34" t="s">
        <v>28</v>
      </c>
    </row>
    <row r="586" spans="1:15" hidden="1">
      <c r="A586" s="212" t="s">
        <v>103</v>
      </c>
      <c r="B586" s="147">
        <f t="shared" si="299"/>
        <v>104110.864</v>
      </c>
      <c r="C586" s="147">
        <f t="shared" si="300"/>
        <v>103278.48000000001</v>
      </c>
      <c r="D586" s="147">
        <f t="shared" si="301"/>
        <v>94110.36</v>
      </c>
      <c r="E586" s="147">
        <f t="shared" si="302"/>
        <v>42471.12</v>
      </c>
      <c r="F586" s="147">
        <f t="shared" si="303"/>
        <v>55713.96</v>
      </c>
      <c r="G586" s="147">
        <f t="shared" si="304"/>
        <v>68721.72</v>
      </c>
      <c r="H586" s="147">
        <f t="shared" si="305"/>
        <v>107588.28000000001</v>
      </c>
      <c r="I586" s="147">
        <f t="shared" si="306"/>
        <v>112368.23999999999</v>
      </c>
      <c r="J586" s="147">
        <f t="shared" si="307"/>
        <v>107274.84</v>
      </c>
      <c r="K586" s="147">
        <f t="shared" si="308"/>
        <v>136346.4</v>
      </c>
      <c r="L586" s="147">
        <f t="shared" si="309"/>
        <v>127021.56000000001</v>
      </c>
      <c r="M586" s="147">
        <f t="shared" si="310"/>
        <v>125532.72</v>
      </c>
      <c r="N586" s="147" t="s">
        <v>177</v>
      </c>
      <c r="O586" s="34" t="s">
        <v>28</v>
      </c>
    </row>
    <row r="587" spans="1:15" hidden="1">
      <c r="A587" s="212" t="s">
        <v>104</v>
      </c>
      <c r="B587" s="147">
        <f t="shared" si="299"/>
        <v>30533.047999999999</v>
      </c>
      <c r="C587" s="147">
        <f t="shared" si="300"/>
        <v>24840.120000000003</v>
      </c>
      <c r="D587" s="147">
        <f t="shared" si="301"/>
        <v>23508</v>
      </c>
      <c r="E587" s="147">
        <f t="shared" si="302"/>
        <v>12772.68</v>
      </c>
      <c r="F587" s="147">
        <f t="shared" si="303"/>
        <v>13477.920000000002</v>
      </c>
      <c r="G587" s="147">
        <f t="shared" si="304"/>
        <v>22881.120000000003</v>
      </c>
      <c r="H587" s="147">
        <f t="shared" si="305"/>
        <v>33929.879999999997</v>
      </c>
      <c r="I587" s="147">
        <f t="shared" si="306"/>
        <v>37691.160000000003</v>
      </c>
      <c r="J587" s="147">
        <f t="shared" si="307"/>
        <v>33067.920000000006</v>
      </c>
      <c r="K587" s="147">
        <f t="shared" si="308"/>
        <v>44508.480000000003</v>
      </c>
      <c r="L587" s="147">
        <f t="shared" si="309"/>
        <v>37221</v>
      </c>
      <c r="M587" s="147">
        <f t="shared" si="310"/>
        <v>34556.76</v>
      </c>
      <c r="N587" s="147" t="s">
        <v>177</v>
      </c>
      <c r="O587" s="34" t="s">
        <v>28</v>
      </c>
    </row>
    <row r="588" spans="1:15" hidden="1">
      <c r="A588" s="212" t="s">
        <v>105</v>
      </c>
      <c r="B588" s="147">
        <f t="shared" si="299"/>
        <v>344969.68</v>
      </c>
      <c r="C588" s="147">
        <f t="shared" si="300"/>
        <v>335759.84</v>
      </c>
      <c r="D588" s="147">
        <f t="shared" si="301"/>
        <v>299724.44800000003</v>
      </c>
      <c r="E588" s="147">
        <f t="shared" si="302"/>
        <v>123649.52800000001</v>
      </c>
      <c r="F588" s="147">
        <f t="shared" si="303"/>
        <v>149824.32000000001</v>
      </c>
      <c r="G588" s="147">
        <f t="shared" si="304"/>
        <v>233277.72000000003</v>
      </c>
      <c r="H588" s="147">
        <f t="shared" si="305"/>
        <v>324410.40000000002</v>
      </c>
      <c r="I588" s="147">
        <f t="shared" si="306"/>
        <v>371578.01600000006</v>
      </c>
      <c r="J588" s="147">
        <f t="shared" si="307"/>
        <v>405748.08</v>
      </c>
      <c r="K588" s="147">
        <f t="shared" si="308"/>
        <v>447513.95999999996</v>
      </c>
      <c r="L588" s="147">
        <f t="shared" si="309"/>
        <v>407942.16000000003</v>
      </c>
      <c r="M588" s="147">
        <f t="shared" si="310"/>
        <v>368056.92000000004</v>
      </c>
      <c r="N588" s="147" t="s">
        <v>177</v>
      </c>
      <c r="O588" s="34" t="s">
        <v>28</v>
      </c>
    </row>
    <row r="589" spans="1:15" hidden="1">
      <c r="A589" s="212" t="s">
        <v>106</v>
      </c>
      <c r="B589" s="147">
        <f t="shared" si="299"/>
        <v>41903.984000000004</v>
      </c>
      <c r="C589" s="147">
        <f t="shared" si="300"/>
        <v>44586.840000000004</v>
      </c>
      <c r="D589" s="147">
        <f t="shared" si="301"/>
        <v>49680.240000000005</v>
      </c>
      <c r="E589" s="147">
        <f t="shared" si="302"/>
        <v>28758.120000000003</v>
      </c>
      <c r="F589" s="147">
        <f t="shared" si="303"/>
        <v>38082.959999999999</v>
      </c>
      <c r="G589" s="147">
        <f t="shared" si="304"/>
        <v>37299.360000000001</v>
      </c>
      <c r="H589" s="147">
        <f t="shared" si="305"/>
        <v>59318.52</v>
      </c>
      <c r="I589" s="147">
        <f t="shared" si="306"/>
        <v>65665.680000000008</v>
      </c>
      <c r="J589" s="147">
        <f t="shared" si="307"/>
        <v>68486.64</v>
      </c>
      <c r="K589" s="147">
        <f t="shared" si="308"/>
        <v>67389.600000000006</v>
      </c>
      <c r="L589" s="147">
        <f t="shared" si="309"/>
        <v>64176.840000000004</v>
      </c>
      <c r="M589" s="147">
        <f t="shared" si="310"/>
        <v>63706.680000000008</v>
      </c>
      <c r="N589" s="147" t="s">
        <v>177</v>
      </c>
      <c r="O589" s="34" t="s">
        <v>28</v>
      </c>
    </row>
    <row r="590" spans="1:15" hidden="1">
      <c r="A590" s="212" t="s">
        <v>107</v>
      </c>
      <c r="B590" s="147">
        <f t="shared" si="299"/>
        <v>544917.83200000005</v>
      </c>
      <c r="C590" s="147">
        <f t="shared" si="300"/>
        <v>556669.44000000006</v>
      </c>
      <c r="D590" s="147">
        <f t="shared" si="301"/>
        <v>538725</v>
      </c>
      <c r="E590" s="147">
        <f t="shared" si="302"/>
        <v>314145.24</v>
      </c>
      <c r="F590" s="147">
        <f t="shared" si="303"/>
        <v>446652</v>
      </c>
      <c r="G590" s="147">
        <f t="shared" si="304"/>
        <v>527206.07999999996</v>
      </c>
      <c r="H590" s="147">
        <f t="shared" si="305"/>
        <v>549068.52</v>
      </c>
      <c r="I590" s="147">
        <f t="shared" si="306"/>
        <v>633854.04000000015</v>
      </c>
      <c r="J590" s="147">
        <f t="shared" si="307"/>
        <v>633227.16</v>
      </c>
      <c r="K590" s="147">
        <f t="shared" si="308"/>
        <v>712135.68000000005</v>
      </c>
      <c r="L590" s="147">
        <f t="shared" si="309"/>
        <v>628603.92000000004</v>
      </c>
      <c r="M590" s="147">
        <f t="shared" si="310"/>
        <v>630562.92000000004</v>
      </c>
      <c r="N590" s="147" t="s">
        <v>177</v>
      </c>
      <c r="O590" s="34" t="s">
        <v>28</v>
      </c>
    </row>
    <row r="591" spans="1:15" hidden="1">
      <c r="A591" s="212" t="s">
        <v>108</v>
      </c>
      <c r="B591" s="147">
        <f t="shared" si="299"/>
        <v>52359.040000000008</v>
      </c>
      <c r="C591" s="147">
        <f t="shared" si="300"/>
        <v>56105.760000000002</v>
      </c>
      <c r="D591" s="147">
        <f t="shared" si="301"/>
        <v>47486.16</v>
      </c>
      <c r="E591" s="147">
        <f t="shared" si="302"/>
        <v>40355.4</v>
      </c>
      <c r="F591" s="147">
        <f t="shared" si="303"/>
        <v>53519.880000000005</v>
      </c>
      <c r="G591" s="147">
        <f t="shared" si="304"/>
        <v>66762.720000000001</v>
      </c>
      <c r="H591" s="147">
        <f t="shared" si="305"/>
        <v>87214.680000000008</v>
      </c>
      <c r="I591" s="147">
        <f t="shared" si="306"/>
        <v>76087.56</v>
      </c>
      <c r="J591" s="147">
        <f t="shared" si="307"/>
        <v>71777.759999999995</v>
      </c>
      <c r="K591" s="147">
        <f t="shared" si="308"/>
        <v>66370.92</v>
      </c>
      <c r="L591" s="147">
        <f t="shared" si="309"/>
        <v>65665.680000000008</v>
      </c>
      <c r="M591" s="147">
        <f t="shared" si="310"/>
        <v>58064.76</v>
      </c>
      <c r="N591" s="147" t="s">
        <v>177</v>
      </c>
      <c r="O591" s="34" t="s">
        <v>28</v>
      </c>
    </row>
    <row r="592" spans="1:15" hidden="1">
      <c r="A592" s="212" t="s">
        <v>109</v>
      </c>
      <c r="B592" s="147">
        <f t="shared" si="299"/>
        <v>8680.0960000000014</v>
      </c>
      <c r="C592" s="147">
        <f t="shared" si="300"/>
        <v>7522.5600000000013</v>
      </c>
      <c r="D592" s="147">
        <f t="shared" si="301"/>
        <v>7992.72</v>
      </c>
      <c r="E592" s="147">
        <f t="shared" si="302"/>
        <v>4153.0800000000008</v>
      </c>
      <c r="F592" s="147">
        <f t="shared" si="303"/>
        <v>5877</v>
      </c>
      <c r="G592" s="147">
        <f t="shared" si="304"/>
        <v>5641.92</v>
      </c>
      <c r="H592" s="147">
        <f t="shared" si="305"/>
        <v>6503.880000000001</v>
      </c>
      <c r="I592" s="147">
        <f t="shared" si="306"/>
        <v>9403.2000000000007</v>
      </c>
      <c r="J592" s="147">
        <f t="shared" si="307"/>
        <v>8619.6</v>
      </c>
      <c r="K592" s="147">
        <f t="shared" si="308"/>
        <v>7836</v>
      </c>
      <c r="L592" s="147">
        <f t="shared" si="309"/>
        <v>11283.84</v>
      </c>
      <c r="M592" s="147">
        <f t="shared" si="310"/>
        <v>11283.84</v>
      </c>
      <c r="N592" s="147" t="s">
        <v>177</v>
      </c>
      <c r="O592" s="34" t="s">
        <v>28</v>
      </c>
    </row>
    <row r="593" spans="1:15" hidden="1">
      <c r="A593" s="212" t="s">
        <v>110</v>
      </c>
      <c r="B593" s="147">
        <f t="shared" si="299"/>
        <v>244161.64800000002</v>
      </c>
      <c r="C593" s="147">
        <f t="shared" si="300"/>
        <v>328328.40000000002</v>
      </c>
      <c r="D593" s="147">
        <f t="shared" si="301"/>
        <v>322294.68</v>
      </c>
      <c r="E593" s="147">
        <f t="shared" si="302"/>
        <v>238998</v>
      </c>
      <c r="F593" s="147">
        <f t="shared" si="303"/>
        <v>322529.76</v>
      </c>
      <c r="G593" s="147">
        <f t="shared" si="304"/>
        <v>352933.44</v>
      </c>
      <c r="H593" s="147">
        <f t="shared" si="305"/>
        <v>385221.76</v>
      </c>
      <c r="I593" s="147">
        <f t="shared" si="306"/>
        <v>424162.68</v>
      </c>
      <c r="J593" s="147">
        <f t="shared" si="307"/>
        <v>420714.84000000008</v>
      </c>
      <c r="K593" s="147">
        <f t="shared" si="308"/>
        <v>459424.68</v>
      </c>
      <c r="L593" s="147">
        <f t="shared" si="309"/>
        <v>398538.96</v>
      </c>
      <c r="M593" s="147">
        <f t="shared" si="310"/>
        <v>396423.24</v>
      </c>
      <c r="N593" s="147" t="s">
        <v>177</v>
      </c>
      <c r="O593" s="34" t="s">
        <v>28</v>
      </c>
    </row>
    <row r="594" spans="1:15" hidden="1">
      <c r="A594" s="212" t="s">
        <v>111</v>
      </c>
      <c r="B594" s="147">
        <f t="shared" si="299"/>
        <v>1756131.4960000003</v>
      </c>
      <c r="C594" s="147">
        <f t="shared" si="300"/>
        <v>1895763.4800000002</v>
      </c>
      <c r="D594" s="147">
        <f t="shared" si="301"/>
        <v>1992773.1600000001</v>
      </c>
      <c r="E594" s="147">
        <f t="shared" si="302"/>
        <v>1007239.4400000001</v>
      </c>
      <c r="F594" s="147">
        <f t="shared" si="303"/>
        <v>1204236.4800000002</v>
      </c>
      <c r="G594" s="147">
        <f t="shared" si="304"/>
        <v>1710833.8800000001</v>
      </c>
      <c r="H594" s="147">
        <f t="shared" si="305"/>
        <v>2136798.84</v>
      </c>
      <c r="I594" s="147">
        <f t="shared" si="306"/>
        <v>2246267.2000000002</v>
      </c>
      <c r="J594" s="147">
        <f t="shared" si="307"/>
        <v>2268992.16</v>
      </c>
      <c r="K594" s="147">
        <f t="shared" si="308"/>
        <v>2507441.64</v>
      </c>
      <c r="L594" s="147">
        <f t="shared" si="309"/>
        <v>2160820.9760000003</v>
      </c>
      <c r="M594" s="147">
        <f t="shared" si="310"/>
        <v>2086570.08</v>
      </c>
      <c r="N594" s="147" t="s">
        <v>177</v>
      </c>
      <c r="O594" s="34" t="s">
        <v>28</v>
      </c>
    </row>
    <row r="595" spans="1:15" hidden="1">
      <c r="A595" s="212" t="s">
        <v>112</v>
      </c>
      <c r="B595" s="147">
        <f t="shared" si="299"/>
        <v>47771.528000000006</v>
      </c>
      <c r="C595" s="147">
        <f t="shared" si="300"/>
        <v>40825.56</v>
      </c>
      <c r="D595" s="147">
        <f t="shared" si="301"/>
        <v>41452.44</v>
      </c>
      <c r="E595" s="147">
        <f t="shared" si="302"/>
        <v>28601.4</v>
      </c>
      <c r="F595" s="147">
        <f t="shared" si="303"/>
        <v>27739.440000000002</v>
      </c>
      <c r="G595" s="147">
        <f t="shared" si="304"/>
        <v>36515.760000000002</v>
      </c>
      <c r="H595" s="147">
        <f t="shared" si="305"/>
        <v>44978.640000000007</v>
      </c>
      <c r="I595" s="147">
        <f t="shared" si="306"/>
        <v>45292.08</v>
      </c>
      <c r="J595" s="147">
        <f t="shared" si="307"/>
        <v>51560.880000000005</v>
      </c>
      <c r="K595" s="147">
        <f t="shared" si="308"/>
        <v>59945.4</v>
      </c>
      <c r="L595" s="147">
        <f t="shared" si="309"/>
        <v>51169.08</v>
      </c>
      <c r="M595" s="147">
        <f t="shared" si="310"/>
        <v>47407.8</v>
      </c>
      <c r="N595" s="147" t="s">
        <v>177</v>
      </c>
      <c r="O595" s="34" t="s">
        <v>28</v>
      </c>
    </row>
    <row r="596" spans="1:15" hidden="1">
      <c r="A596" s="212" t="s">
        <v>113</v>
      </c>
      <c r="B596" s="147">
        <f t="shared" si="299"/>
        <v>21652.128000000001</v>
      </c>
      <c r="C596" s="147">
        <f t="shared" si="300"/>
        <v>26328.959999999999</v>
      </c>
      <c r="D596" s="147">
        <f t="shared" si="301"/>
        <v>27504.36</v>
      </c>
      <c r="E596" s="147">
        <f t="shared" si="302"/>
        <v>14810.04</v>
      </c>
      <c r="F596" s="147">
        <f t="shared" si="303"/>
        <v>26093.88</v>
      </c>
      <c r="G596" s="147">
        <f t="shared" si="304"/>
        <v>28601.4</v>
      </c>
      <c r="H596" s="147">
        <f t="shared" si="305"/>
        <v>37064.28</v>
      </c>
      <c r="I596" s="147">
        <f t="shared" si="306"/>
        <v>38004.6</v>
      </c>
      <c r="J596" s="147">
        <f t="shared" si="307"/>
        <v>31657.440000000002</v>
      </c>
      <c r="K596" s="147">
        <f t="shared" si="308"/>
        <v>35653.800000000003</v>
      </c>
      <c r="L596" s="147">
        <f t="shared" si="309"/>
        <v>34713.480000000003</v>
      </c>
      <c r="M596" s="147">
        <f t="shared" si="310"/>
        <v>32911.200000000004</v>
      </c>
      <c r="N596" s="147" t="s">
        <v>177</v>
      </c>
      <c r="O596" s="34" t="s">
        <v>28</v>
      </c>
    </row>
    <row r="597" spans="1:15" hidden="1">
      <c r="A597" s="212" t="s">
        <v>87</v>
      </c>
      <c r="B597" s="147">
        <f>Q146</f>
        <v>8027.1156559834344</v>
      </c>
      <c r="C597" s="147">
        <f t="shared" ref="C597:M597" si="311">R146</f>
        <v>17029.398385151733</v>
      </c>
      <c r="D597" s="147">
        <f t="shared" si="311"/>
        <v>27676.731913004052</v>
      </c>
      <c r="E597" s="147">
        <f t="shared" si="311"/>
        <v>40649.583580470739</v>
      </c>
      <c r="F597" s="147">
        <f t="shared" si="311"/>
        <v>56040.305301499648</v>
      </c>
      <c r="G597" s="147">
        <f t="shared" si="311"/>
        <v>69864.028133720378</v>
      </c>
      <c r="H597" s="147">
        <f t="shared" si="311"/>
        <v>85389.649457902779</v>
      </c>
      <c r="I597" s="147">
        <f t="shared" si="311"/>
        <v>100545.03767133811</v>
      </c>
      <c r="J597" s="147">
        <f t="shared" si="311"/>
        <v>114157.8634192773</v>
      </c>
      <c r="K597" s="147">
        <f t="shared" si="311"/>
        <v>131304.56240567719</v>
      </c>
      <c r="L597" s="147">
        <f t="shared" si="311"/>
        <v>144435.97447827351</v>
      </c>
      <c r="M597" s="147">
        <f t="shared" si="311"/>
        <v>156406.56200000001</v>
      </c>
      <c r="N597" s="147" t="s">
        <v>176</v>
      </c>
      <c r="O597" s="34" t="s">
        <v>28</v>
      </c>
    </row>
    <row r="598" spans="1:15" hidden="1">
      <c r="A598" s="212" t="s">
        <v>88</v>
      </c>
      <c r="B598" s="147">
        <f t="shared" ref="B598:B623" si="312">Q147</f>
        <v>32617.318064625499</v>
      </c>
      <c r="C598" s="147">
        <f t="shared" ref="C598:C623" si="313">R147</f>
        <v>68538.014601956325</v>
      </c>
      <c r="D598" s="147">
        <f t="shared" ref="D598:D623" si="314">S147</f>
        <v>107514.79813809312</v>
      </c>
      <c r="E598" s="147">
        <f t="shared" ref="E598:E623" si="315">T147</f>
        <v>150336.28646387201</v>
      </c>
      <c r="F598" s="147">
        <f t="shared" ref="F598:F623" si="316">U147</f>
        <v>197816.70558136338</v>
      </c>
      <c r="G598" s="147">
        <f t="shared" ref="G598:G623" si="317">V147</f>
        <v>238119.31015202071</v>
      </c>
      <c r="H598" s="147">
        <f t="shared" ref="H598:H623" si="318">W147</f>
        <v>280582.53164071013</v>
      </c>
      <c r="I598" s="147">
        <f t="shared" ref="I598:I623" si="319">X147</f>
        <v>327463.20887228526</v>
      </c>
      <c r="J598" s="147">
        <f t="shared" ref="J598:J623" si="320">Y147</f>
        <v>367737.35732223187</v>
      </c>
      <c r="K598" s="147">
        <f t="shared" ref="K598:K623" si="321">Z147</f>
        <v>416911.71893104096</v>
      </c>
      <c r="L598" s="147">
        <f t="shared" ref="L598:L623" si="322">AA147</f>
        <v>455995.59182211314</v>
      </c>
      <c r="M598" s="147">
        <f t="shared" ref="M598:M623" si="323">AB147</f>
        <v>493176.49</v>
      </c>
      <c r="N598" s="147" t="s">
        <v>176</v>
      </c>
      <c r="O598" s="34" t="s">
        <v>28</v>
      </c>
    </row>
    <row r="599" spans="1:15" hidden="1">
      <c r="A599" s="212" t="s">
        <v>89</v>
      </c>
      <c r="B599" s="147">
        <f t="shared" si="312"/>
        <v>13880.772034710975</v>
      </c>
      <c r="C599" s="147">
        <f t="shared" si="313"/>
        <v>27754.369385872196</v>
      </c>
      <c r="D599" s="147">
        <f t="shared" si="314"/>
        <v>42770.758961316613</v>
      </c>
      <c r="E599" s="147">
        <f t="shared" si="315"/>
        <v>56317.706140072492</v>
      </c>
      <c r="F599" s="147">
        <f t="shared" si="316"/>
        <v>71289.580258372982</v>
      </c>
      <c r="G599" s="147">
        <f t="shared" si="317"/>
        <v>88269.383780659875</v>
      </c>
      <c r="H599" s="147">
        <f t="shared" si="318"/>
        <v>105470.97493327448</v>
      </c>
      <c r="I599" s="147">
        <f t="shared" si="319"/>
        <v>124681.64942539584</v>
      </c>
      <c r="J599" s="147">
        <f t="shared" si="320"/>
        <v>141812.1042050992</v>
      </c>
      <c r="K599" s="147">
        <f t="shared" si="321"/>
        <v>163259.16221772225</v>
      </c>
      <c r="L599" s="147">
        <f t="shared" si="322"/>
        <v>183800.8391554495</v>
      </c>
      <c r="M599" s="147">
        <f t="shared" si="323"/>
        <v>200993.4</v>
      </c>
      <c r="N599" s="147" t="s">
        <v>176</v>
      </c>
      <c r="O599" s="34" t="s">
        <v>28</v>
      </c>
    </row>
    <row r="600" spans="1:15" hidden="1">
      <c r="A600" s="212" t="s">
        <v>90</v>
      </c>
      <c r="B600" s="147">
        <f t="shared" si="312"/>
        <v>25744.597065355392</v>
      </c>
      <c r="C600" s="147">
        <f t="shared" si="313"/>
        <v>52014.767097164862</v>
      </c>
      <c r="D600" s="147">
        <f t="shared" si="314"/>
        <v>82827.404840168412</v>
      </c>
      <c r="E600" s="147">
        <f t="shared" si="315"/>
        <v>113201.6334757471</v>
      </c>
      <c r="F600" s="147">
        <f t="shared" si="316"/>
        <v>146295.74492199661</v>
      </c>
      <c r="G600" s="147">
        <f t="shared" si="317"/>
        <v>177298.05765788237</v>
      </c>
      <c r="H600" s="147">
        <f t="shared" si="318"/>
        <v>210022.03340678575</v>
      </c>
      <c r="I600" s="147">
        <f t="shared" si="319"/>
        <v>248759.27796201973</v>
      </c>
      <c r="J600" s="147">
        <f t="shared" si="320"/>
        <v>280877.73292638658</v>
      </c>
      <c r="K600" s="147">
        <f t="shared" si="321"/>
        <v>315989.00086543668</v>
      </c>
      <c r="L600" s="147">
        <f t="shared" si="322"/>
        <v>349525.05698907113</v>
      </c>
      <c r="M600" s="147">
        <f t="shared" si="323"/>
        <v>377303.4</v>
      </c>
      <c r="N600" s="147" t="s">
        <v>176</v>
      </c>
      <c r="O600" s="34" t="s">
        <v>28</v>
      </c>
    </row>
    <row r="601" spans="1:15" hidden="1">
      <c r="A601" s="212" t="s">
        <v>91</v>
      </c>
      <c r="B601" s="147">
        <f t="shared" si="312"/>
        <v>69626.513551001452</v>
      </c>
      <c r="C601" s="147">
        <f t="shared" si="313"/>
        <v>150002.29680661546</v>
      </c>
      <c r="D601" s="147">
        <f t="shared" si="314"/>
        <v>233387.11650550249</v>
      </c>
      <c r="E601" s="147">
        <f t="shared" si="315"/>
        <v>318727.8547209971</v>
      </c>
      <c r="F601" s="147">
        <f t="shared" si="316"/>
        <v>416922.62552742782</v>
      </c>
      <c r="G601" s="147">
        <f t="shared" si="317"/>
        <v>501047.93779177463</v>
      </c>
      <c r="H601" s="147">
        <f t="shared" si="318"/>
        <v>590335.68029710418</v>
      </c>
      <c r="I601" s="147">
        <f t="shared" si="319"/>
        <v>691443.37961660174</v>
      </c>
      <c r="J601" s="147">
        <f t="shared" si="320"/>
        <v>786577.1456456827</v>
      </c>
      <c r="K601" s="147">
        <f t="shared" si="321"/>
        <v>885951.67674915609</v>
      </c>
      <c r="L601" s="147">
        <f t="shared" si="322"/>
        <v>976256.75575561076</v>
      </c>
      <c r="M601" s="147">
        <f t="shared" si="323"/>
        <v>1061850.04</v>
      </c>
      <c r="N601" s="147" t="s">
        <v>176</v>
      </c>
      <c r="O601" s="34" t="s">
        <v>28</v>
      </c>
    </row>
    <row r="602" spans="1:15" hidden="1">
      <c r="A602" s="212" t="s">
        <v>92</v>
      </c>
      <c r="B602" s="147">
        <f t="shared" si="312"/>
        <v>46261.102068691747</v>
      </c>
      <c r="C602" s="147">
        <f t="shared" si="313"/>
        <v>92875.615746038136</v>
      </c>
      <c r="D602" s="147">
        <f t="shared" si="314"/>
        <v>145354.29189559876</v>
      </c>
      <c r="E602" s="147">
        <f t="shared" si="315"/>
        <v>199692.09767081682</v>
      </c>
      <c r="F602" s="147">
        <f t="shared" si="316"/>
        <v>260714.43167411728</v>
      </c>
      <c r="G602" s="147">
        <f t="shared" si="317"/>
        <v>328744.44323259941</v>
      </c>
      <c r="H602" s="147">
        <f t="shared" si="318"/>
        <v>391392.45626685605</v>
      </c>
      <c r="I602" s="147">
        <f t="shared" si="319"/>
        <v>456137.53866070241</v>
      </c>
      <c r="J602" s="147">
        <f t="shared" si="320"/>
        <v>517289.13409297826</v>
      </c>
      <c r="K602" s="147">
        <f t="shared" si="321"/>
        <v>588185.47252700431</v>
      </c>
      <c r="L602" s="147">
        <f t="shared" si="322"/>
        <v>651606.72608089261</v>
      </c>
      <c r="M602" s="147">
        <f t="shared" si="323"/>
        <v>710881.91999999993</v>
      </c>
      <c r="N602" s="147" t="s">
        <v>176</v>
      </c>
      <c r="O602" s="34" t="s">
        <v>28</v>
      </c>
    </row>
    <row r="603" spans="1:15" hidden="1">
      <c r="A603" s="212" t="s">
        <v>93</v>
      </c>
      <c r="B603" s="147">
        <f t="shared" si="312"/>
        <v>73297.57806470916</v>
      </c>
      <c r="C603" s="147">
        <f t="shared" si="313"/>
        <v>151965.20322663742</v>
      </c>
      <c r="D603" s="147">
        <f t="shared" si="314"/>
        <v>248087.273490741</v>
      </c>
      <c r="E603" s="147">
        <f t="shared" si="315"/>
        <v>349417.76450142887</v>
      </c>
      <c r="F603" s="147">
        <f t="shared" si="316"/>
        <v>464728.38157828868</v>
      </c>
      <c r="G603" s="147">
        <f t="shared" si="317"/>
        <v>566783.71239029826</v>
      </c>
      <c r="H603" s="147">
        <f t="shared" si="318"/>
        <v>672264.56660895247</v>
      </c>
      <c r="I603" s="147">
        <f t="shared" si="319"/>
        <v>785248.70263452618</v>
      </c>
      <c r="J603" s="147">
        <f t="shared" si="320"/>
        <v>884171.42897984188</v>
      </c>
      <c r="K603" s="147">
        <f t="shared" si="321"/>
        <v>995275.7800524215</v>
      </c>
      <c r="L603" s="147">
        <f t="shared" si="322"/>
        <v>1098921.1911937166</v>
      </c>
      <c r="M603" s="147">
        <f t="shared" si="323"/>
        <v>1189583.1599999999</v>
      </c>
      <c r="N603" s="147" t="s">
        <v>176</v>
      </c>
      <c r="O603" s="34" t="s">
        <v>28</v>
      </c>
    </row>
    <row r="604" spans="1:15" hidden="1">
      <c r="A604" s="212" t="s">
        <v>94</v>
      </c>
      <c r="B604" s="147">
        <f t="shared" si="312"/>
        <v>63646.041535038559</v>
      </c>
      <c r="C604" s="147">
        <f t="shared" si="313"/>
        <v>129664.35671532241</v>
      </c>
      <c r="D604" s="147">
        <f t="shared" si="314"/>
        <v>206096.06591404264</v>
      </c>
      <c r="E604" s="147">
        <f t="shared" si="315"/>
        <v>282834.22527623177</v>
      </c>
      <c r="F604" s="147">
        <f t="shared" si="316"/>
        <v>372312.65455696656</v>
      </c>
      <c r="G604" s="147">
        <f t="shared" si="317"/>
        <v>454855.86503684544</v>
      </c>
      <c r="H604" s="147">
        <f t="shared" si="318"/>
        <v>543131.23856400023</v>
      </c>
      <c r="I604" s="147">
        <f t="shared" si="319"/>
        <v>643052.75057166698</v>
      </c>
      <c r="J604" s="147">
        <f t="shared" si="320"/>
        <v>725923.48718963366</v>
      </c>
      <c r="K604" s="147">
        <f t="shared" si="321"/>
        <v>823234.84218339378</v>
      </c>
      <c r="L604" s="147">
        <f t="shared" si="322"/>
        <v>904320.60743020661</v>
      </c>
      <c r="M604" s="147">
        <f t="shared" si="323"/>
        <v>981772.44</v>
      </c>
      <c r="N604" s="147" t="s">
        <v>176</v>
      </c>
      <c r="O604" s="34" t="s">
        <v>28</v>
      </c>
    </row>
    <row r="605" spans="1:15" hidden="1">
      <c r="A605" s="212" t="s">
        <v>95</v>
      </c>
      <c r="B605" s="147">
        <f t="shared" si="312"/>
        <v>110442.74277105829</v>
      </c>
      <c r="C605" s="147">
        <f t="shared" si="313"/>
        <v>234294.439450982</v>
      </c>
      <c r="D605" s="147">
        <f t="shared" si="314"/>
        <v>397685.05631690659</v>
      </c>
      <c r="E605" s="147">
        <f t="shared" si="315"/>
        <v>568275.75513068167</v>
      </c>
      <c r="F605" s="147">
        <f t="shared" si="316"/>
        <v>752983.55743758089</v>
      </c>
      <c r="G605" s="147">
        <f t="shared" si="317"/>
        <v>928081.61046988086</v>
      </c>
      <c r="H605" s="147">
        <f t="shared" si="318"/>
        <v>1087414.9553689703</v>
      </c>
      <c r="I605" s="147">
        <f t="shared" si="319"/>
        <v>1264739.3294735933</v>
      </c>
      <c r="J605" s="147">
        <f t="shared" si="320"/>
        <v>1422279.9837112874</v>
      </c>
      <c r="K605" s="147">
        <f t="shared" si="321"/>
        <v>1586377.9721285438</v>
      </c>
      <c r="L605" s="147">
        <f t="shared" si="322"/>
        <v>1723859.2158736344</v>
      </c>
      <c r="M605" s="147">
        <f t="shared" si="323"/>
        <v>1856034.96</v>
      </c>
      <c r="N605" s="147" t="s">
        <v>176</v>
      </c>
      <c r="O605" s="34" t="s">
        <v>28</v>
      </c>
    </row>
    <row r="606" spans="1:15" hidden="1">
      <c r="A606" s="212" t="s">
        <v>96</v>
      </c>
      <c r="B606" s="147">
        <f t="shared" si="312"/>
        <v>20918.927029049206</v>
      </c>
      <c r="C606" s="147">
        <f t="shared" si="313"/>
        <v>42129.154709405833</v>
      </c>
      <c r="D606" s="147">
        <f t="shared" si="314"/>
        <v>66930.016303162338</v>
      </c>
      <c r="E606" s="147">
        <f t="shared" si="315"/>
        <v>92553.891742156469</v>
      </c>
      <c r="F606" s="147">
        <f t="shared" si="316"/>
        <v>120213.50600240777</v>
      </c>
      <c r="G606" s="147">
        <f t="shared" si="317"/>
        <v>147592.36744167138</v>
      </c>
      <c r="H606" s="147">
        <f t="shared" si="318"/>
        <v>174949.31777976212</v>
      </c>
      <c r="I606" s="147">
        <f t="shared" si="319"/>
        <v>206073.28071065136</v>
      </c>
      <c r="J606" s="147">
        <f t="shared" si="320"/>
        <v>236172.29271732058</v>
      </c>
      <c r="K606" s="147">
        <f t="shared" si="321"/>
        <v>267170.23725113203</v>
      </c>
      <c r="L606" s="147">
        <f t="shared" si="322"/>
        <v>298345.03806341678</v>
      </c>
      <c r="M606" s="147">
        <f t="shared" si="323"/>
        <v>324381.13</v>
      </c>
      <c r="N606" s="147" t="s">
        <v>176</v>
      </c>
      <c r="O606" s="34" t="s">
        <v>28</v>
      </c>
    </row>
    <row r="607" spans="1:15" hidden="1">
      <c r="A607" s="212" t="s">
        <v>97</v>
      </c>
      <c r="B607" s="147">
        <f t="shared" si="312"/>
        <v>117114.81673053154</v>
      </c>
      <c r="C607" s="147">
        <f t="shared" si="313"/>
        <v>274983.97785830003</v>
      </c>
      <c r="D607" s="147">
        <f t="shared" si="314"/>
        <v>478741.37532684713</v>
      </c>
      <c r="E607" s="147">
        <f t="shared" si="315"/>
        <v>670151.82906018873</v>
      </c>
      <c r="F607" s="147">
        <f t="shared" si="316"/>
        <v>887615.04566243978</v>
      </c>
      <c r="G607" s="147">
        <f t="shared" si="317"/>
        <v>1099598.6854444863</v>
      </c>
      <c r="H607" s="147">
        <f t="shared" si="318"/>
        <v>1320651.0360467753</v>
      </c>
      <c r="I607" s="147">
        <f t="shared" si="319"/>
        <v>1546178.6799554159</v>
      </c>
      <c r="J607" s="147">
        <f t="shared" si="320"/>
        <v>1739102.4567886861</v>
      </c>
      <c r="K607" s="147">
        <f t="shared" si="321"/>
        <v>1945763.7093858391</v>
      </c>
      <c r="L607" s="147">
        <f t="shared" si="322"/>
        <v>2120541.5773102883</v>
      </c>
      <c r="M607" s="147">
        <f t="shared" si="323"/>
        <v>2291324.7599999998</v>
      </c>
      <c r="N607" s="147" t="s">
        <v>176</v>
      </c>
      <c r="O607" s="34" t="s">
        <v>28</v>
      </c>
    </row>
    <row r="608" spans="1:15" hidden="1">
      <c r="A608" s="212" t="s">
        <v>98</v>
      </c>
      <c r="B608" s="147">
        <f t="shared" si="312"/>
        <v>83331.213710849072</v>
      </c>
      <c r="C608" s="147">
        <f t="shared" si="313"/>
        <v>186732.54177330481</v>
      </c>
      <c r="D608" s="147">
        <f t="shared" si="314"/>
        <v>314322.86045830313</v>
      </c>
      <c r="E608" s="147">
        <f t="shared" si="315"/>
        <v>439858.83392234542</v>
      </c>
      <c r="F608" s="147">
        <f t="shared" si="316"/>
        <v>584628.93640975666</v>
      </c>
      <c r="G608" s="147">
        <f t="shared" si="317"/>
        <v>701302.83132294181</v>
      </c>
      <c r="H608" s="147">
        <f t="shared" si="318"/>
        <v>827025.44663862255</v>
      </c>
      <c r="I608" s="147">
        <f t="shared" si="319"/>
        <v>959418.00266672322</v>
      </c>
      <c r="J608" s="147">
        <f t="shared" si="320"/>
        <v>1072918.2966999835</v>
      </c>
      <c r="K608" s="147">
        <f t="shared" si="321"/>
        <v>1187878.1504534739</v>
      </c>
      <c r="L608" s="147">
        <f t="shared" si="322"/>
        <v>1299563.3696199099</v>
      </c>
      <c r="M608" s="147">
        <f t="shared" si="323"/>
        <v>1397237.1600000001</v>
      </c>
      <c r="N608" s="147" t="s">
        <v>176</v>
      </c>
      <c r="O608" s="34" t="s">
        <v>28</v>
      </c>
    </row>
    <row r="609" spans="1:15" hidden="1">
      <c r="A609" s="212" t="s">
        <v>99</v>
      </c>
      <c r="B609" s="147">
        <f t="shared" si="312"/>
        <v>245607.7007221597</v>
      </c>
      <c r="C609" s="147">
        <f t="shared" si="313"/>
        <v>504423.28100837272</v>
      </c>
      <c r="D609" s="147">
        <f t="shared" si="314"/>
        <v>814616.87705696863</v>
      </c>
      <c r="E609" s="147">
        <f t="shared" si="315"/>
        <v>1123185.1145985776</v>
      </c>
      <c r="F609" s="147">
        <f t="shared" si="316"/>
        <v>1475761.5767970118</v>
      </c>
      <c r="G609" s="147">
        <f t="shared" si="317"/>
        <v>1801875.3957381309</v>
      </c>
      <c r="H609" s="147">
        <f t="shared" si="318"/>
        <v>2140891.8802935518</v>
      </c>
      <c r="I609" s="147">
        <f t="shared" si="319"/>
        <v>2503561.1127741118</v>
      </c>
      <c r="J609" s="147">
        <f t="shared" si="320"/>
        <v>2828072.1273019696</v>
      </c>
      <c r="K609" s="147">
        <f t="shared" si="321"/>
        <v>3180851.2625784236</v>
      </c>
      <c r="L609" s="147">
        <f t="shared" si="322"/>
        <v>3489334.3036959521</v>
      </c>
      <c r="M609" s="147">
        <f t="shared" si="323"/>
        <v>3780321.4800000004</v>
      </c>
      <c r="N609" s="147" t="s">
        <v>176</v>
      </c>
      <c r="O609" s="34" t="s">
        <v>28</v>
      </c>
    </row>
    <row r="610" spans="1:15" hidden="1">
      <c r="A610" s="212" t="s">
        <v>100</v>
      </c>
      <c r="B610" s="147">
        <f t="shared" si="312"/>
        <v>27925.978097035339</v>
      </c>
      <c r="C610" s="147">
        <f t="shared" si="313"/>
        <v>61345.503430764154</v>
      </c>
      <c r="D610" s="147">
        <f t="shared" si="314"/>
        <v>100914.83888812625</v>
      </c>
      <c r="E610" s="147">
        <f t="shared" si="315"/>
        <v>139041.28134887113</v>
      </c>
      <c r="F610" s="147">
        <f t="shared" si="316"/>
        <v>181269.44266415082</v>
      </c>
      <c r="G610" s="147">
        <f t="shared" si="317"/>
        <v>222872.199614691</v>
      </c>
      <c r="H610" s="147">
        <f t="shared" si="318"/>
        <v>265586.29203341424</v>
      </c>
      <c r="I610" s="147">
        <f t="shared" si="319"/>
        <v>308042.98731864395</v>
      </c>
      <c r="J610" s="147">
        <f t="shared" si="320"/>
        <v>353258.18708637921</v>
      </c>
      <c r="K610" s="147">
        <f t="shared" si="321"/>
        <v>401478.10583806917</v>
      </c>
      <c r="L610" s="147">
        <f t="shared" si="322"/>
        <v>443406.47600544797</v>
      </c>
      <c r="M610" s="147">
        <f t="shared" si="323"/>
        <v>479426.69</v>
      </c>
      <c r="N610" s="147" t="s">
        <v>176</v>
      </c>
      <c r="O610" s="34" t="s">
        <v>28</v>
      </c>
    </row>
    <row r="611" spans="1:15" hidden="1">
      <c r="A611" s="212" t="s">
        <v>101</v>
      </c>
      <c r="B611" s="147">
        <f t="shared" si="312"/>
        <v>40196.1785999602</v>
      </c>
      <c r="C611" s="147">
        <f t="shared" si="313"/>
        <v>84597.07846806015</v>
      </c>
      <c r="D611" s="147">
        <f t="shared" si="314"/>
        <v>132764.45642067798</v>
      </c>
      <c r="E611" s="147">
        <f t="shared" si="315"/>
        <v>177841.09539750929</v>
      </c>
      <c r="F611" s="147">
        <f t="shared" si="316"/>
        <v>233348.97560465301</v>
      </c>
      <c r="G611" s="147">
        <f t="shared" si="317"/>
        <v>284756.458557748</v>
      </c>
      <c r="H611" s="147">
        <f t="shared" si="318"/>
        <v>336157.87471725431</v>
      </c>
      <c r="I611" s="147">
        <f t="shared" si="319"/>
        <v>395885.28621563705</v>
      </c>
      <c r="J611" s="147">
        <f t="shared" si="320"/>
        <v>449709.24988997442</v>
      </c>
      <c r="K611" s="147">
        <f t="shared" si="321"/>
        <v>504468.83802666003</v>
      </c>
      <c r="L611" s="147">
        <f t="shared" si="322"/>
        <v>554822.13305359206</v>
      </c>
      <c r="M611" s="147">
        <f t="shared" si="323"/>
        <v>601804.80000000005</v>
      </c>
      <c r="N611" s="147" t="s">
        <v>176</v>
      </c>
      <c r="O611" s="34" t="s">
        <v>28</v>
      </c>
    </row>
    <row r="612" spans="1:15" hidden="1">
      <c r="A612" s="212" t="s">
        <v>102</v>
      </c>
      <c r="B612" s="147">
        <f t="shared" si="312"/>
        <v>327828.0260295546</v>
      </c>
      <c r="C612" s="147">
        <f t="shared" si="313"/>
        <v>716403.97221260681</v>
      </c>
      <c r="D612" s="147">
        <f t="shared" si="314"/>
        <v>1192324.1362206235</v>
      </c>
      <c r="E612" s="147">
        <f t="shared" si="315"/>
        <v>1671943.526051295</v>
      </c>
      <c r="F612" s="147">
        <f t="shared" si="316"/>
        <v>2186404.0141539485</v>
      </c>
      <c r="G612" s="147">
        <f t="shared" si="317"/>
        <v>2636099.4428855898</v>
      </c>
      <c r="H612" s="147">
        <f t="shared" si="318"/>
        <v>3138330.4318768554</v>
      </c>
      <c r="I612" s="147">
        <f t="shared" si="319"/>
        <v>3650590.1866579358</v>
      </c>
      <c r="J612" s="147">
        <f t="shared" si="320"/>
        <v>4111980.1658750842</v>
      </c>
      <c r="K612" s="147">
        <f t="shared" si="321"/>
        <v>4612882.4489540467</v>
      </c>
      <c r="L612" s="147">
        <f t="shared" si="322"/>
        <v>5063957.3721956797</v>
      </c>
      <c r="M612" s="147">
        <f t="shared" si="323"/>
        <v>5482379.04</v>
      </c>
      <c r="N612" s="147" t="s">
        <v>176</v>
      </c>
      <c r="O612" s="34" t="s">
        <v>28</v>
      </c>
    </row>
    <row r="613" spans="1:15" hidden="1">
      <c r="A613" s="212" t="s">
        <v>103</v>
      </c>
      <c r="B613" s="147">
        <f t="shared" si="312"/>
        <v>76767.206981364972</v>
      </c>
      <c r="C613" s="147">
        <f t="shared" si="313"/>
        <v>163362.75670823824</v>
      </c>
      <c r="D613" s="147">
        <f t="shared" si="314"/>
        <v>249948.85587139093</v>
      </c>
      <c r="E613" s="147">
        <f t="shared" si="315"/>
        <v>344723.76191294048</v>
      </c>
      <c r="F613" s="147">
        <f t="shared" si="316"/>
        <v>454554.66984182806</v>
      </c>
      <c r="G613" s="147">
        <f t="shared" si="317"/>
        <v>551360.46065129992</v>
      </c>
      <c r="H613" s="147">
        <f t="shared" si="318"/>
        <v>650479.16810715233</v>
      </c>
      <c r="I613" s="147">
        <f t="shared" si="319"/>
        <v>764298.44594860624</v>
      </c>
      <c r="J613" s="147">
        <f t="shared" si="320"/>
        <v>872028.0807395383</v>
      </c>
      <c r="K613" s="147">
        <f t="shared" si="321"/>
        <v>982156.15037525527</v>
      </c>
      <c r="L613" s="147">
        <f t="shared" si="322"/>
        <v>1082948.0105564506</v>
      </c>
      <c r="M613" s="147">
        <f t="shared" si="323"/>
        <v>1178424.77</v>
      </c>
      <c r="N613" s="147" t="s">
        <v>176</v>
      </c>
      <c r="O613" s="34" t="s">
        <v>28</v>
      </c>
    </row>
    <row r="614" spans="1:15" hidden="1">
      <c r="A614" s="212" t="s">
        <v>104</v>
      </c>
      <c r="B614" s="147">
        <f t="shared" si="312"/>
        <v>20965.233699939752</v>
      </c>
      <c r="C614" s="147">
        <f t="shared" si="313"/>
        <v>39552.046288472469</v>
      </c>
      <c r="D614" s="147">
        <f t="shared" si="314"/>
        <v>63376.019575208316</v>
      </c>
      <c r="E614" s="147">
        <f t="shared" si="315"/>
        <v>87278.365097623071</v>
      </c>
      <c r="F614" s="147">
        <f t="shared" si="316"/>
        <v>113747.66462796985</v>
      </c>
      <c r="G614" s="147">
        <f t="shared" si="317"/>
        <v>141283.8773774633</v>
      </c>
      <c r="H614" s="147">
        <f t="shared" si="318"/>
        <v>168408.51050234935</v>
      </c>
      <c r="I614" s="147">
        <f t="shared" si="319"/>
        <v>199807.97270879484</v>
      </c>
      <c r="J614" s="147">
        <f t="shared" si="320"/>
        <v>225392.79444480836</v>
      </c>
      <c r="K614" s="147">
        <f t="shared" si="321"/>
        <v>258527.17938790031</v>
      </c>
      <c r="L614" s="147">
        <f t="shared" si="322"/>
        <v>286694.84249574156</v>
      </c>
      <c r="M614" s="147">
        <f t="shared" si="323"/>
        <v>309541.19999999995</v>
      </c>
      <c r="N614" s="147" t="s">
        <v>176</v>
      </c>
      <c r="O614" s="34" t="s">
        <v>28</v>
      </c>
    </row>
    <row r="615" spans="1:15" hidden="1">
      <c r="A615" s="212" t="s">
        <v>105</v>
      </c>
      <c r="B615" s="147">
        <f t="shared" si="312"/>
        <v>189870.42126029654</v>
      </c>
      <c r="C615" s="147">
        <f t="shared" si="313"/>
        <v>381781.13422025816</v>
      </c>
      <c r="D615" s="147">
        <f t="shared" si="314"/>
        <v>610364.05035540042</v>
      </c>
      <c r="E615" s="147">
        <f t="shared" si="315"/>
        <v>831094.97673161502</v>
      </c>
      <c r="F615" s="147">
        <f t="shared" si="316"/>
        <v>1091649.4295295633</v>
      </c>
      <c r="G615" s="147">
        <f t="shared" si="317"/>
        <v>1345453.6173744854</v>
      </c>
      <c r="H615" s="147">
        <f t="shared" si="318"/>
        <v>1610166.0437055256</v>
      </c>
      <c r="I615" s="147">
        <f t="shared" si="319"/>
        <v>1904868.8832083757</v>
      </c>
      <c r="J615" s="147">
        <f t="shared" si="320"/>
        <v>2165924.3592286459</v>
      </c>
      <c r="K615" s="147">
        <f t="shared" si="321"/>
        <v>2448540.9125597966</v>
      </c>
      <c r="L615" s="147">
        <f t="shared" si="322"/>
        <v>2685073.3760766219</v>
      </c>
      <c r="M615" s="147">
        <f t="shared" si="323"/>
        <v>2909820.24</v>
      </c>
      <c r="N615" s="147" t="s">
        <v>176</v>
      </c>
      <c r="O615" s="34" t="s">
        <v>28</v>
      </c>
    </row>
    <row r="616" spans="1:15" hidden="1">
      <c r="A616" s="212" t="s">
        <v>106</v>
      </c>
      <c r="B616" s="147">
        <f t="shared" si="312"/>
        <v>37728.876491559015</v>
      </c>
      <c r="C616" s="147">
        <f t="shared" si="313"/>
        <v>78929.029548954582</v>
      </c>
      <c r="D616" s="147">
        <f t="shared" si="314"/>
        <v>120924.41505130994</v>
      </c>
      <c r="E616" s="147">
        <f t="shared" si="315"/>
        <v>168679.93761377651</v>
      </c>
      <c r="F616" s="147">
        <f t="shared" si="316"/>
        <v>219748.88532222863</v>
      </c>
      <c r="G616" s="147">
        <f t="shared" si="317"/>
        <v>270238.97776484169</v>
      </c>
      <c r="H616" s="147">
        <f t="shared" si="318"/>
        <v>320578.75421631965</v>
      </c>
      <c r="I616" s="147">
        <f t="shared" si="319"/>
        <v>375116.35497696308</v>
      </c>
      <c r="J616" s="147">
        <f t="shared" si="320"/>
        <v>424131.71540574165</v>
      </c>
      <c r="K616" s="147">
        <f t="shared" si="321"/>
        <v>474276.33708921674</v>
      </c>
      <c r="L616" s="147">
        <f t="shared" si="322"/>
        <v>522526.99823517539</v>
      </c>
      <c r="M616" s="147">
        <f t="shared" si="323"/>
        <v>564975.6</v>
      </c>
      <c r="N616" s="147" t="s">
        <v>176</v>
      </c>
      <c r="O616" s="34" t="s">
        <v>28</v>
      </c>
    </row>
    <row r="617" spans="1:15" hidden="1">
      <c r="A617" s="212" t="s">
        <v>107</v>
      </c>
      <c r="B617" s="147">
        <f t="shared" si="312"/>
        <v>406676.82925484044</v>
      </c>
      <c r="C617" s="147">
        <f t="shared" si="313"/>
        <v>840723.16940482729</v>
      </c>
      <c r="D617" s="147">
        <f t="shared" si="314"/>
        <v>1348300.2606174841</v>
      </c>
      <c r="E617" s="147">
        <f t="shared" si="315"/>
        <v>1855975.1341904986</v>
      </c>
      <c r="F617" s="147">
        <f t="shared" si="316"/>
        <v>2414996.0099392552</v>
      </c>
      <c r="G617" s="147">
        <f t="shared" si="317"/>
        <v>2911446.1747217509</v>
      </c>
      <c r="H617" s="147">
        <f t="shared" si="318"/>
        <v>3460771.8178010094</v>
      </c>
      <c r="I617" s="147">
        <f t="shared" si="319"/>
        <v>4058851.4618125255</v>
      </c>
      <c r="J617" s="147">
        <f t="shared" si="320"/>
        <v>4584169.3316480843</v>
      </c>
      <c r="K617" s="147">
        <f t="shared" si="321"/>
        <v>5174244.6303427406</v>
      </c>
      <c r="L617" s="147">
        <f t="shared" si="322"/>
        <v>5707871.4255672386</v>
      </c>
      <c r="M617" s="147">
        <f t="shared" si="323"/>
        <v>6208149.3599999994</v>
      </c>
      <c r="N617" s="147" t="s">
        <v>176</v>
      </c>
      <c r="O617" s="34" t="s">
        <v>28</v>
      </c>
    </row>
    <row r="618" spans="1:15" hidden="1">
      <c r="A618" s="212" t="s">
        <v>108</v>
      </c>
      <c r="B618" s="147">
        <f t="shared" si="312"/>
        <v>34251.050286244623</v>
      </c>
      <c r="C618" s="147">
        <f t="shared" si="313"/>
        <v>75252.253333571192</v>
      </c>
      <c r="D618" s="147">
        <f t="shared" si="314"/>
        <v>130296.08614256955</v>
      </c>
      <c r="E618" s="147">
        <f t="shared" si="315"/>
        <v>184648.26452243741</v>
      </c>
      <c r="F618" s="147">
        <f t="shared" si="316"/>
        <v>245009.31236757853</v>
      </c>
      <c r="G618" s="147">
        <f t="shared" si="317"/>
        <v>309114.08713040821</v>
      </c>
      <c r="H618" s="147">
        <f t="shared" si="318"/>
        <v>375325.68571852596</v>
      </c>
      <c r="I618" s="147">
        <f t="shared" si="319"/>
        <v>445152.90680546686</v>
      </c>
      <c r="J618" s="147">
        <f t="shared" si="320"/>
        <v>504431.22932861396</v>
      </c>
      <c r="K618" s="147">
        <f t="shared" si="321"/>
        <v>564734.15118795622</v>
      </c>
      <c r="L618" s="147">
        <f t="shared" si="322"/>
        <v>620894.63586792629</v>
      </c>
      <c r="M618" s="147">
        <f t="shared" si="323"/>
        <v>673739.28</v>
      </c>
      <c r="N618" s="147" t="s">
        <v>176</v>
      </c>
      <c r="O618" s="34" t="s">
        <v>28</v>
      </c>
    </row>
    <row r="619" spans="1:15" hidden="1">
      <c r="A619" s="212" t="s">
        <v>109</v>
      </c>
      <c r="B619" s="147">
        <f t="shared" si="312"/>
        <v>6463.7657430695899</v>
      </c>
      <c r="C619" s="147">
        <f t="shared" si="313"/>
        <v>11834.177340948667</v>
      </c>
      <c r="D619" s="147">
        <f t="shared" si="314"/>
        <v>19622.113278926474</v>
      </c>
      <c r="E619" s="147">
        <f t="shared" si="315"/>
        <v>26850.058026198942</v>
      </c>
      <c r="F619" s="147">
        <f t="shared" si="316"/>
        <v>34846.88413683838</v>
      </c>
      <c r="G619" s="147">
        <f t="shared" si="317"/>
        <v>40891.172770088844</v>
      </c>
      <c r="H619" s="147">
        <f t="shared" si="318"/>
        <v>49411.176801002017</v>
      </c>
      <c r="I619" s="147">
        <f t="shared" si="319"/>
        <v>56987.442881108887</v>
      </c>
      <c r="J619" s="147">
        <f t="shared" si="320"/>
        <v>63182.977766006348</v>
      </c>
      <c r="K619" s="147">
        <f t="shared" si="321"/>
        <v>69615.514855597256</v>
      </c>
      <c r="L619" s="147">
        <f t="shared" si="322"/>
        <v>75912.889444218716</v>
      </c>
      <c r="M619" s="147">
        <f t="shared" si="323"/>
        <v>81729.48</v>
      </c>
      <c r="N619" s="147" t="s">
        <v>176</v>
      </c>
      <c r="O619" s="34" t="s">
        <v>28</v>
      </c>
    </row>
    <row r="620" spans="1:15" hidden="1">
      <c r="A620" s="212" t="s">
        <v>110</v>
      </c>
      <c r="B620" s="147">
        <f t="shared" si="312"/>
        <v>192181.25707532951</v>
      </c>
      <c r="C620" s="147">
        <f t="shared" si="313"/>
        <v>471067.25715578854</v>
      </c>
      <c r="D620" s="147">
        <f t="shared" si="314"/>
        <v>812695.08596047666</v>
      </c>
      <c r="E620" s="147">
        <f t="shared" si="315"/>
        <v>1142882.8268831484</v>
      </c>
      <c r="F620" s="147">
        <f t="shared" si="316"/>
        <v>1507331.4745401605</v>
      </c>
      <c r="G620" s="147">
        <f t="shared" si="317"/>
        <v>1835278.3169820684</v>
      </c>
      <c r="H620" s="147">
        <f t="shared" si="318"/>
        <v>2200371.6168936314</v>
      </c>
      <c r="I620" s="147">
        <f t="shared" si="319"/>
        <v>2587758.253075195</v>
      </c>
      <c r="J620" s="147">
        <f t="shared" si="320"/>
        <v>2947907.7425255938</v>
      </c>
      <c r="K620" s="147">
        <f t="shared" si="321"/>
        <v>3335698.5246441811</v>
      </c>
      <c r="L620" s="147">
        <f t="shared" si="322"/>
        <v>3679081.537482183</v>
      </c>
      <c r="M620" s="147">
        <f t="shared" si="323"/>
        <v>4019319.4799999995</v>
      </c>
      <c r="N620" s="147" t="s">
        <v>176</v>
      </c>
      <c r="O620" s="34" t="s">
        <v>28</v>
      </c>
    </row>
    <row r="621" spans="1:15" hidden="1">
      <c r="A621" s="212" t="s">
        <v>111</v>
      </c>
      <c r="B621" s="147">
        <f t="shared" si="312"/>
        <v>1146976.1774754701</v>
      </c>
      <c r="C621" s="147">
        <f t="shared" si="313"/>
        <v>2422838.038755348</v>
      </c>
      <c r="D621" s="147">
        <f t="shared" si="314"/>
        <v>4000046.6212152001</v>
      </c>
      <c r="E621" s="147">
        <f t="shared" si="315"/>
        <v>5543333.1474298658</v>
      </c>
      <c r="F621" s="147">
        <f t="shared" si="316"/>
        <v>7244180.4833021145</v>
      </c>
      <c r="G621" s="147">
        <f t="shared" si="317"/>
        <v>8740242.2646136787</v>
      </c>
      <c r="H621" s="147">
        <f t="shared" si="318"/>
        <v>10348166.044797337</v>
      </c>
      <c r="I621" s="147">
        <f t="shared" si="319"/>
        <v>12138148.550380869</v>
      </c>
      <c r="J621" s="147">
        <f t="shared" si="320"/>
        <v>13702392.034564981</v>
      </c>
      <c r="K621" s="147">
        <f t="shared" si="321"/>
        <v>15358936.029503562</v>
      </c>
      <c r="L621" s="147">
        <f t="shared" si="322"/>
        <v>16772256.567091763</v>
      </c>
      <c r="M621" s="147">
        <f t="shared" si="323"/>
        <v>18080943.120000001</v>
      </c>
      <c r="N621" s="147" t="s">
        <v>176</v>
      </c>
      <c r="O621" s="34" t="s">
        <v>28</v>
      </c>
    </row>
    <row r="622" spans="1:15" hidden="1">
      <c r="A622" s="212" t="s">
        <v>112</v>
      </c>
      <c r="B622" s="147">
        <f t="shared" si="312"/>
        <v>26968.9810264351</v>
      </c>
      <c r="C622" s="147">
        <f t="shared" si="313"/>
        <v>59208.224120227758</v>
      </c>
      <c r="D622" s="147">
        <f t="shared" si="314"/>
        <v>94205.493300882314</v>
      </c>
      <c r="E622" s="147">
        <f t="shared" si="315"/>
        <v>129758.94084655987</v>
      </c>
      <c r="F622" s="147">
        <f t="shared" si="316"/>
        <v>168733.02453843018</v>
      </c>
      <c r="G622" s="147">
        <f t="shared" si="317"/>
        <v>205278.29413194655</v>
      </c>
      <c r="H622" s="147">
        <f t="shared" si="318"/>
        <v>242126.78394738256</v>
      </c>
      <c r="I622" s="147">
        <f t="shared" si="319"/>
        <v>283266.99794571858</v>
      </c>
      <c r="J622" s="147">
        <f t="shared" si="320"/>
        <v>322339.5502899912</v>
      </c>
      <c r="K622" s="147">
        <f t="shared" si="321"/>
        <v>362034.41138430772</v>
      </c>
      <c r="L622" s="147">
        <f t="shared" si="322"/>
        <v>395521.89222866227</v>
      </c>
      <c r="M622" s="147">
        <f t="shared" si="323"/>
        <v>428707.56</v>
      </c>
      <c r="N622" s="147" t="s">
        <v>176</v>
      </c>
      <c r="O622" s="34" t="s">
        <v>28</v>
      </c>
    </row>
    <row r="623" spans="1:15" hidden="1">
      <c r="A623" s="212" t="s">
        <v>113</v>
      </c>
      <c r="B623" s="147">
        <f t="shared" si="312"/>
        <v>20474.290013235179</v>
      </c>
      <c r="C623" s="147">
        <f t="shared" si="313"/>
        <v>46528.935153494582</v>
      </c>
      <c r="D623" s="147">
        <f t="shared" si="314"/>
        <v>75786.547999917952</v>
      </c>
      <c r="E623" s="147">
        <f t="shared" si="315"/>
        <v>103903.38781942028</v>
      </c>
      <c r="F623" s="147">
        <f t="shared" si="316"/>
        <v>141159.94748451046</v>
      </c>
      <c r="G623" s="147">
        <f t="shared" si="317"/>
        <v>174419.12532480326</v>
      </c>
      <c r="H623" s="147">
        <f t="shared" si="318"/>
        <v>208117.92456280428</v>
      </c>
      <c r="I623" s="147">
        <f t="shared" si="319"/>
        <v>242867.30268991191</v>
      </c>
      <c r="J623" s="147">
        <f t="shared" si="320"/>
        <v>270855.26998047333</v>
      </c>
      <c r="K623" s="147">
        <f t="shared" si="321"/>
        <v>304108.09512016946</v>
      </c>
      <c r="L623" s="147">
        <f t="shared" si="322"/>
        <v>332873.6658599049</v>
      </c>
      <c r="M623" s="147">
        <f t="shared" si="323"/>
        <v>358810.44</v>
      </c>
      <c r="N623" s="147" t="s">
        <v>176</v>
      </c>
      <c r="O623" s="34" t="s">
        <v>28</v>
      </c>
    </row>
    <row r="624" spans="1:15" hidden="1">
      <c r="A624" s="212" t="s">
        <v>87</v>
      </c>
      <c r="B624" s="147">
        <f>B146</f>
        <v>8027.1156559834344</v>
      </c>
      <c r="C624" s="147">
        <f t="shared" ref="C624:M624" si="324">C146</f>
        <v>17029.398385151733</v>
      </c>
      <c r="D624" s="147">
        <f t="shared" si="324"/>
        <v>27676.731913004052</v>
      </c>
      <c r="E624" s="147">
        <f t="shared" si="324"/>
        <v>40649.583580470739</v>
      </c>
      <c r="F624" s="147">
        <f t="shared" si="324"/>
        <v>56040.305301499648</v>
      </c>
      <c r="G624" s="147">
        <f t="shared" si="324"/>
        <v>69864.028133720378</v>
      </c>
      <c r="H624" s="147">
        <f t="shared" si="324"/>
        <v>85389.649457902779</v>
      </c>
      <c r="I624" s="147">
        <f t="shared" si="324"/>
        <v>100545.03767133811</v>
      </c>
      <c r="J624" s="147">
        <f t="shared" si="324"/>
        <v>114157.8634192773</v>
      </c>
      <c r="K624" s="147">
        <f t="shared" si="324"/>
        <v>131304.56240567719</v>
      </c>
      <c r="L624" s="147">
        <f t="shared" si="324"/>
        <v>144435.97447827351</v>
      </c>
      <c r="M624" s="147">
        <f t="shared" si="324"/>
        <v>156406.56200000001</v>
      </c>
      <c r="N624" s="147" t="s">
        <v>224</v>
      </c>
      <c r="O624" s="34" t="s">
        <v>28</v>
      </c>
    </row>
    <row r="625" spans="1:15" hidden="1">
      <c r="A625" s="212" t="s">
        <v>88</v>
      </c>
      <c r="B625" s="147">
        <f t="shared" ref="B625:M625" si="325">B147</f>
        <v>30374.702427951706</v>
      </c>
      <c r="C625" s="147">
        <f t="shared" si="325"/>
        <v>63825.658333167281</v>
      </c>
      <c r="D625" s="147">
        <f t="shared" si="325"/>
        <v>100122.57885750763</v>
      </c>
      <c r="E625" s="147">
        <f t="shared" si="325"/>
        <v>139999.86008708182</v>
      </c>
      <c r="F625" s="147">
        <f t="shared" si="325"/>
        <v>184215.74561730094</v>
      </c>
      <c r="G625" s="147">
        <f t="shared" si="325"/>
        <v>221747.32986587789</v>
      </c>
      <c r="H625" s="147">
        <f t="shared" si="325"/>
        <v>261290.97702581971</v>
      </c>
      <c r="I625" s="147">
        <f t="shared" si="325"/>
        <v>304948.35614290606</v>
      </c>
      <c r="J625" s="147">
        <f t="shared" si="325"/>
        <v>342453.44078176247</v>
      </c>
      <c r="K625" s="147">
        <f t="shared" si="325"/>
        <v>388246.80116757506</v>
      </c>
      <c r="L625" s="147">
        <f t="shared" si="325"/>
        <v>424643.44807907322</v>
      </c>
      <c r="M625" s="147">
        <f t="shared" si="325"/>
        <v>459267.95999999996</v>
      </c>
      <c r="N625" s="147" t="s">
        <v>224</v>
      </c>
      <c r="O625" s="34" t="s">
        <v>28</v>
      </c>
    </row>
    <row r="626" spans="1:15" hidden="1">
      <c r="A626" s="212" t="s">
        <v>89</v>
      </c>
      <c r="B626" s="147">
        <f t="shared" ref="B626:M626" si="326">B148</f>
        <v>13880.772034710975</v>
      </c>
      <c r="C626" s="147">
        <f t="shared" si="326"/>
        <v>27754.369385872196</v>
      </c>
      <c r="D626" s="147">
        <f t="shared" si="326"/>
        <v>42770.758961316613</v>
      </c>
      <c r="E626" s="147">
        <f t="shared" si="326"/>
        <v>56317.706140072492</v>
      </c>
      <c r="F626" s="147">
        <f t="shared" si="326"/>
        <v>71289.580258372982</v>
      </c>
      <c r="G626" s="147">
        <f t="shared" si="326"/>
        <v>88269.383780659875</v>
      </c>
      <c r="H626" s="147">
        <f t="shared" si="326"/>
        <v>105470.97493327448</v>
      </c>
      <c r="I626" s="147">
        <f t="shared" si="326"/>
        <v>124681.64942539584</v>
      </c>
      <c r="J626" s="147">
        <f t="shared" si="326"/>
        <v>141812.1042050992</v>
      </c>
      <c r="K626" s="147">
        <f t="shared" si="326"/>
        <v>163259.16221772225</v>
      </c>
      <c r="L626" s="147">
        <f t="shared" si="326"/>
        <v>183800.8391554495</v>
      </c>
      <c r="M626" s="147">
        <f t="shared" si="326"/>
        <v>200993.4</v>
      </c>
      <c r="N626" s="147" t="s">
        <v>224</v>
      </c>
      <c r="O626" s="34" t="s">
        <v>28</v>
      </c>
    </row>
    <row r="627" spans="1:15" hidden="1">
      <c r="A627" s="212" t="s">
        <v>90</v>
      </c>
      <c r="B627" s="147">
        <f t="shared" ref="B627:M627" si="327">B149</f>
        <v>25744.597065355392</v>
      </c>
      <c r="C627" s="147">
        <f t="shared" si="327"/>
        <v>52014.767097164862</v>
      </c>
      <c r="D627" s="147">
        <f t="shared" si="327"/>
        <v>82827.404840168412</v>
      </c>
      <c r="E627" s="147">
        <f t="shared" si="327"/>
        <v>113201.6334757471</v>
      </c>
      <c r="F627" s="147">
        <f t="shared" si="327"/>
        <v>146295.74492199661</v>
      </c>
      <c r="G627" s="147">
        <f t="shared" si="327"/>
        <v>177298.05765788237</v>
      </c>
      <c r="H627" s="147">
        <f t="shared" si="327"/>
        <v>210022.03340678575</v>
      </c>
      <c r="I627" s="147">
        <f t="shared" si="327"/>
        <v>248759.27796201973</v>
      </c>
      <c r="J627" s="147">
        <f t="shared" si="327"/>
        <v>280877.73292638658</v>
      </c>
      <c r="K627" s="147">
        <f t="shared" si="327"/>
        <v>315989.00086543668</v>
      </c>
      <c r="L627" s="147">
        <f t="shared" si="327"/>
        <v>349525.05698907113</v>
      </c>
      <c r="M627" s="147">
        <f t="shared" si="327"/>
        <v>377303.4</v>
      </c>
      <c r="N627" s="147" t="s">
        <v>224</v>
      </c>
      <c r="O627" s="34" t="s">
        <v>28</v>
      </c>
    </row>
    <row r="628" spans="1:15" hidden="1">
      <c r="A628" s="212" t="s">
        <v>91</v>
      </c>
      <c r="B628" s="147">
        <f t="shared" ref="B628:M628" si="328">B150</f>
        <v>69626.513551001452</v>
      </c>
      <c r="C628" s="147">
        <f t="shared" si="328"/>
        <v>150002.29680661546</v>
      </c>
      <c r="D628" s="147">
        <f t="shared" si="328"/>
        <v>233387.11650550249</v>
      </c>
      <c r="E628" s="147">
        <f t="shared" si="328"/>
        <v>318727.8547209971</v>
      </c>
      <c r="F628" s="147">
        <f t="shared" si="328"/>
        <v>416922.62552742782</v>
      </c>
      <c r="G628" s="147">
        <f t="shared" si="328"/>
        <v>501047.93779177463</v>
      </c>
      <c r="H628" s="147">
        <f t="shared" si="328"/>
        <v>590335.68029710418</v>
      </c>
      <c r="I628" s="147">
        <f t="shared" si="328"/>
        <v>691443.37961660174</v>
      </c>
      <c r="J628" s="147">
        <f t="shared" si="328"/>
        <v>786577.1456456827</v>
      </c>
      <c r="K628" s="147">
        <f t="shared" si="328"/>
        <v>885951.67674915609</v>
      </c>
      <c r="L628" s="147">
        <f t="shared" si="328"/>
        <v>976256.75575561076</v>
      </c>
      <c r="M628" s="147">
        <f t="shared" si="328"/>
        <v>1061850.04</v>
      </c>
      <c r="N628" s="147" t="s">
        <v>224</v>
      </c>
      <c r="O628" s="34" t="s">
        <v>28</v>
      </c>
    </row>
    <row r="629" spans="1:15" hidden="1">
      <c r="A629" s="212" t="s">
        <v>92</v>
      </c>
      <c r="B629" s="147">
        <f t="shared" ref="B629:M629" si="329">B151</f>
        <v>46261.102068691747</v>
      </c>
      <c r="C629" s="147">
        <f t="shared" si="329"/>
        <v>92875.615746038136</v>
      </c>
      <c r="D629" s="147">
        <f t="shared" si="329"/>
        <v>145354.29189559876</v>
      </c>
      <c r="E629" s="147">
        <f t="shared" si="329"/>
        <v>199692.09767081682</v>
      </c>
      <c r="F629" s="147">
        <f t="shared" si="329"/>
        <v>260714.43167411728</v>
      </c>
      <c r="G629" s="147">
        <f t="shared" si="329"/>
        <v>328744.44323259941</v>
      </c>
      <c r="H629" s="147">
        <f t="shared" si="329"/>
        <v>391392.45626685605</v>
      </c>
      <c r="I629" s="147">
        <f t="shared" si="329"/>
        <v>456137.53866070241</v>
      </c>
      <c r="J629" s="147">
        <f t="shared" si="329"/>
        <v>517289.13409297826</v>
      </c>
      <c r="K629" s="147">
        <f t="shared" si="329"/>
        <v>588185.47252700431</v>
      </c>
      <c r="L629" s="147">
        <f t="shared" si="329"/>
        <v>651606.72608089261</v>
      </c>
      <c r="M629" s="147">
        <f t="shared" si="329"/>
        <v>710881.91999999993</v>
      </c>
      <c r="N629" s="147" t="s">
        <v>224</v>
      </c>
      <c r="O629" s="34" t="s">
        <v>28</v>
      </c>
    </row>
    <row r="630" spans="1:15" hidden="1">
      <c r="A630" s="212" t="s">
        <v>93</v>
      </c>
      <c r="B630" s="147">
        <f t="shared" ref="B630:M630" si="330">B152</f>
        <v>73297.57806470916</v>
      </c>
      <c r="C630" s="147">
        <f t="shared" si="330"/>
        <v>151965.20322663742</v>
      </c>
      <c r="D630" s="147">
        <f t="shared" si="330"/>
        <v>248087.273490741</v>
      </c>
      <c r="E630" s="147">
        <f t="shared" si="330"/>
        <v>349417.76450142887</v>
      </c>
      <c r="F630" s="147">
        <f t="shared" si="330"/>
        <v>464728.38157828868</v>
      </c>
      <c r="G630" s="147">
        <f t="shared" si="330"/>
        <v>566783.71239029826</v>
      </c>
      <c r="H630" s="147">
        <f t="shared" si="330"/>
        <v>672264.56660895247</v>
      </c>
      <c r="I630" s="147">
        <f t="shared" si="330"/>
        <v>785248.70263452618</v>
      </c>
      <c r="J630" s="147">
        <f t="shared" si="330"/>
        <v>884171.42897984188</v>
      </c>
      <c r="K630" s="147">
        <f t="shared" si="330"/>
        <v>995275.7800524215</v>
      </c>
      <c r="L630" s="147">
        <f t="shared" si="330"/>
        <v>1098921.1911937166</v>
      </c>
      <c r="M630" s="147">
        <f t="shared" si="330"/>
        <v>1189583.1599999999</v>
      </c>
      <c r="N630" s="147" t="s">
        <v>224</v>
      </c>
      <c r="O630" s="34" t="s">
        <v>28</v>
      </c>
    </row>
    <row r="631" spans="1:15" hidden="1">
      <c r="A631" s="212" t="s">
        <v>94</v>
      </c>
      <c r="B631" s="147">
        <f t="shared" ref="B631:M631" si="331">B153</f>
        <v>63646.041535038567</v>
      </c>
      <c r="C631" s="147">
        <f t="shared" si="331"/>
        <v>129664.35671532243</v>
      </c>
      <c r="D631" s="147">
        <f t="shared" si="331"/>
        <v>206096.06591404267</v>
      </c>
      <c r="E631" s="147">
        <f t="shared" si="331"/>
        <v>282834.22527623182</v>
      </c>
      <c r="F631" s="147">
        <f t="shared" si="331"/>
        <v>372312.65455696662</v>
      </c>
      <c r="G631" s="147">
        <f t="shared" si="331"/>
        <v>454855.8650368455</v>
      </c>
      <c r="H631" s="147">
        <f t="shared" si="331"/>
        <v>543131.23856400035</v>
      </c>
      <c r="I631" s="147">
        <f t="shared" si="331"/>
        <v>643052.75057166698</v>
      </c>
      <c r="J631" s="147">
        <f t="shared" si="331"/>
        <v>725923.48718963377</v>
      </c>
      <c r="K631" s="147">
        <f t="shared" si="331"/>
        <v>823234.84218339389</v>
      </c>
      <c r="L631" s="147">
        <f t="shared" si="331"/>
        <v>904320.60743020673</v>
      </c>
      <c r="M631" s="147">
        <f t="shared" si="331"/>
        <v>981772.44000000006</v>
      </c>
      <c r="N631" s="147" t="s">
        <v>224</v>
      </c>
      <c r="O631" s="34" t="s">
        <v>28</v>
      </c>
    </row>
    <row r="632" spans="1:15" hidden="1">
      <c r="A632" s="212" t="s">
        <v>95</v>
      </c>
      <c r="B632" s="147">
        <f t="shared" ref="B632:M632" si="332">B154</f>
        <v>110442.74277105829</v>
      </c>
      <c r="C632" s="147">
        <f t="shared" si="332"/>
        <v>234294.439450982</v>
      </c>
      <c r="D632" s="147">
        <f t="shared" si="332"/>
        <v>397685.05631690659</v>
      </c>
      <c r="E632" s="147">
        <f t="shared" si="332"/>
        <v>568275.75513068167</v>
      </c>
      <c r="F632" s="147">
        <f t="shared" si="332"/>
        <v>752983.55743758089</v>
      </c>
      <c r="G632" s="147">
        <f t="shared" si="332"/>
        <v>928081.61046988086</v>
      </c>
      <c r="H632" s="147">
        <f t="shared" si="332"/>
        <v>1087414.9553689703</v>
      </c>
      <c r="I632" s="147">
        <f t="shared" si="332"/>
        <v>1264739.3294735933</v>
      </c>
      <c r="J632" s="147">
        <f t="shared" si="332"/>
        <v>1422279.9837112874</v>
      </c>
      <c r="K632" s="147">
        <f t="shared" si="332"/>
        <v>1586377.9721285438</v>
      </c>
      <c r="L632" s="147">
        <f t="shared" si="332"/>
        <v>1723859.2158736344</v>
      </c>
      <c r="M632" s="147">
        <f t="shared" si="332"/>
        <v>1856034.96</v>
      </c>
      <c r="N632" s="147" t="s">
        <v>224</v>
      </c>
      <c r="O632" s="34" t="s">
        <v>28</v>
      </c>
    </row>
    <row r="633" spans="1:15" hidden="1">
      <c r="A633" s="212" t="s">
        <v>96</v>
      </c>
      <c r="B633" s="147">
        <f t="shared" ref="B633:M633" si="333">B155</f>
        <v>20918.927029049206</v>
      </c>
      <c r="C633" s="147">
        <f t="shared" si="333"/>
        <v>42129.154709405833</v>
      </c>
      <c r="D633" s="147">
        <f t="shared" si="333"/>
        <v>66930.016303162338</v>
      </c>
      <c r="E633" s="147">
        <f t="shared" si="333"/>
        <v>92553.891742156469</v>
      </c>
      <c r="F633" s="147">
        <f t="shared" si="333"/>
        <v>120213.50600240777</v>
      </c>
      <c r="G633" s="147">
        <f t="shared" si="333"/>
        <v>147592.36744167138</v>
      </c>
      <c r="H633" s="147">
        <f t="shared" si="333"/>
        <v>174949.31777976212</v>
      </c>
      <c r="I633" s="147">
        <f t="shared" si="333"/>
        <v>206073.28071065136</v>
      </c>
      <c r="J633" s="147">
        <f t="shared" si="333"/>
        <v>236172.29271732058</v>
      </c>
      <c r="K633" s="147">
        <f t="shared" si="333"/>
        <v>267170.23725113203</v>
      </c>
      <c r="L633" s="147">
        <f t="shared" si="333"/>
        <v>298345.03806341678</v>
      </c>
      <c r="M633" s="147">
        <f t="shared" si="333"/>
        <v>324381.13</v>
      </c>
      <c r="N633" s="147" t="s">
        <v>224</v>
      </c>
      <c r="O633" s="34" t="s">
        <v>28</v>
      </c>
    </row>
    <row r="634" spans="1:15" hidden="1">
      <c r="A634" s="212" t="s">
        <v>97</v>
      </c>
      <c r="B634" s="147">
        <f t="shared" ref="B634:M634" si="334">B156</f>
        <v>117114.81673053154</v>
      </c>
      <c r="C634" s="147">
        <f t="shared" si="334"/>
        <v>274983.97785830003</v>
      </c>
      <c r="D634" s="147">
        <f t="shared" si="334"/>
        <v>478741.37532684713</v>
      </c>
      <c r="E634" s="147">
        <f t="shared" si="334"/>
        <v>670151.82906018873</v>
      </c>
      <c r="F634" s="147">
        <f t="shared" si="334"/>
        <v>887615.04566243978</v>
      </c>
      <c r="G634" s="147">
        <f t="shared" si="334"/>
        <v>1099598.6854444863</v>
      </c>
      <c r="H634" s="147">
        <f t="shared" si="334"/>
        <v>1320651.0360467753</v>
      </c>
      <c r="I634" s="147">
        <f t="shared" si="334"/>
        <v>1546178.6799554159</v>
      </c>
      <c r="J634" s="147">
        <f t="shared" si="334"/>
        <v>1739102.4567886861</v>
      </c>
      <c r="K634" s="147">
        <f t="shared" si="334"/>
        <v>1945763.7093858391</v>
      </c>
      <c r="L634" s="147">
        <f t="shared" si="334"/>
        <v>2120541.5773102883</v>
      </c>
      <c r="M634" s="147">
        <f t="shared" si="334"/>
        <v>2291324.7599999998</v>
      </c>
      <c r="N634" s="147" t="s">
        <v>224</v>
      </c>
      <c r="O634" s="34" t="s">
        <v>28</v>
      </c>
    </row>
    <row r="635" spans="1:15" hidden="1">
      <c r="A635" s="212" t="s">
        <v>98</v>
      </c>
      <c r="B635" s="147">
        <f t="shared" ref="B635:M635" si="335">B157</f>
        <v>83331.213710849072</v>
      </c>
      <c r="C635" s="147">
        <f t="shared" si="335"/>
        <v>186732.54177330481</v>
      </c>
      <c r="D635" s="147">
        <f t="shared" si="335"/>
        <v>314322.86045830313</v>
      </c>
      <c r="E635" s="147">
        <f t="shared" si="335"/>
        <v>439858.83392234542</v>
      </c>
      <c r="F635" s="147">
        <f t="shared" si="335"/>
        <v>584628.93640975666</v>
      </c>
      <c r="G635" s="147">
        <f t="shared" si="335"/>
        <v>701302.83132294181</v>
      </c>
      <c r="H635" s="147">
        <f t="shared" si="335"/>
        <v>827025.44663862255</v>
      </c>
      <c r="I635" s="147">
        <f t="shared" si="335"/>
        <v>959418.00266672322</v>
      </c>
      <c r="J635" s="147">
        <f t="shared" si="335"/>
        <v>1072918.2966999835</v>
      </c>
      <c r="K635" s="147">
        <f t="shared" si="335"/>
        <v>1187878.1504534739</v>
      </c>
      <c r="L635" s="147">
        <f t="shared" si="335"/>
        <v>1299563.3696199099</v>
      </c>
      <c r="M635" s="147">
        <f t="shared" si="335"/>
        <v>1397237.1600000001</v>
      </c>
      <c r="N635" s="147" t="s">
        <v>224</v>
      </c>
      <c r="O635" s="34" t="s">
        <v>28</v>
      </c>
    </row>
    <row r="636" spans="1:15" hidden="1">
      <c r="A636" s="212" t="s">
        <v>99</v>
      </c>
      <c r="B636" s="147">
        <f t="shared" ref="B636:M636" si="336">B158</f>
        <v>245607.7007221597</v>
      </c>
      <c r="C636" s="147">
        <f t="shared" si="336"/>
        <v>504423.28100837272</v>
      </c>
      <c r="D636" s="147">
        <f t="shared" si="336"/>
        <v>814616.87705696863</v>
      </c>
      <c r="E636" s="147">
        <f t="shared" si="336"/>
        <v>1123185.1145985776</v>
      </c>
      <c r="F636" s="147">
        <f t="shared" si="336"/>
        <v>1475761.5767970118</v>
      </c>
      <c r="G636" s="147">
        <f t="shared" si="336"/>
        <v>1801875.3957381309</v>
      </c>
      <c r="H636" s="147">
        <f t="shared" si="336"/>
        <v>2140891.8802935518</v>
      </c>
      <c r="I636" s="147">
        <f t="shared" si="336"/>
        <v>2503561.1127741118</v>
      </c>
      <c r="J636" s="147">
        <f t="shared" si="336"/>
        <v>2828072.1273019696</v>
      </c>
      <c r="K636" s="147">
        <f t="shared" si="336"/>
        <v>3180851.2625784236</v>
      </c>
      <c r="L636" s="147">
        <f t="shared" si="336"/>
        <v>3489334.3036959521</v>
      </c>
      <c r="M636" s="147">
        <f t="shared" si="336"/>
        <v>3780321.4800000004</v>
      </c>
      <c r="N636" s="147" t="s">
        <v>224</v>
      </c>
      <c r="O636" s="34" t="s">
        <v>28</v>
      </c>
    </row>
    <row r="637" spans="1:15" hidden="1">
      <c r="A637" s="212" t="s">
        <v>100</v>
      </c>
      <c r="B637" s="147">
        <f t="shared" ref="B637:M637" si="337">B159</f>
        <v>42806.731514256913</v>
      </c>
      <c r="C637" s="147">
        <f t="shared" si="337"/>
        <v>94034.324808355697</v>
      </c>
      <c r="D637" s="147">
        <f t="shared" si="337"/>
        <v>154688.74175429915</v>
      </c>
      <c r="E637" s="147">
        <f t="shared" si="337"/>
        <v>213131.39971026641</v>
      </c>
      <c r="F637" s="147">
        <f t="shared" si="337"/>
        <v>277861.43557446456</v>
      </c>
      <c r="G637" s="147">
        <f t="shared" si="337"/>
        <v>341632.81148998596</v>
      </c>
      <c r="H637" s="147">
        <f t="shared" si="337"/>
        <v>407107.71373656311</v>
      </c>
      <c r="I637" s="147">
        <f t="shared" si="337"/>
        <v>472188.06113719317</v>
      </c>
      <c r="J637" s="147">
        <f t="shared" si="337"/>
        <v>541496.82124921272</v>
      </c>
      <c r="K637" s="147">
        <f t="shared" si="337"/>
        <v>615411.40746247082</v>
      </c>
      <c r="L637" s="147">
        <f t="shared" si="337"/>
        <v>679681.9042145937</v>
      </c>
      <c r="M637" s="147">
        <f t="shared" si="337"/>
        <v>734896</v>
      </c>
      <c r="N637" s="147" t="s">
        <v>224</v>
      </c>
      <c r="O637" s="34" t="s">
        <v>28</v>
      </c>
    </row>
    <row r="638" spans="1:15" hidden="1">
      <c r="A638" s="212" t="s">
        <v>101</v>
      </c>
      <c r="B638" s="147">
        <f t="shared" ref="B638:M638" si="338">B160</f>
        <v>40196.1785999602</v>
      </c>
      <c r="C638" s="147">
        <f t="shared" si="338"/>
        <v>84597.07846806015</v>
      </c>
      <c r="D638" s="147">
        <f t="shared" si="338"/>
        <v>132764.45642067798</v>
      </c>
      <c r="E638" s="147">
        <f t="shared" si="338"/>
        <v>177841.09539750929</v>
      </c>
      <c r="F638" s="147">
        <f t="shared" si="338"/>
        <v>233348.97560465301</v>
      </c>
      <c r="G638" s="147">
        <f t="shared" si="338"/>
        <v>284756.458557748</v>
      </c>
      <c r="H638" s="147">
        <f t="shared" si="338"/>
        <v>336157.87471725431</v>
      </c>
      <c r="I638" s="147">
        <f t="shared" si="338"/>
        <v>395885.28621563705</v>
      </c>
      <c r="J638" s="147">
        <f t="shared" si="338"/>
        <v>449709.24988997442</v>
      </c>
      <c r="K638" s="147">
        <f t="shared" si="338"/>
        <v>504468.83802666003</v>
      </c>
      <c r="L638" s="147">
        <f t="shared" si="338"/>
        <v>554822.13305359206</v>
      </c>
      <c r="M638" s="147">
        <f t="shared" si="338"/>
        <v>601804.80000000005</v>
      </c>
      <c r="N638" s="147" t="s">
        <v>224</v>
      </c>
      <c r="O638" s="34" t="s">
        <v>28</v>
      </c>
    </row>
    <row r="639" spans="1:15" hidden="1">
      <c r="A639" s="212" t="s">
        <v>102</v>
      </c>
      <c r="B639" s="147">
        <f t="shared" ref="B639:M639" si="339">B161</f>
        <v>327828.0260295546</v>
      </c>
      <c r="C639" s="147">
        <f t="shared" si="339"/>
        <v>716403.97221260681</v>
      </c>
      <c r="D639" s="147">
        <f t="shared" si="339"/>
        <v>1192324.1362206235</v>
      </c>
      <c r="E639" s="147">
        <f t="shared" si="339"/>
        <v>1671943.526051295</v>
      </c>
      <c r="F639" s="147">
        <f t="shared" si="339"/>
        <v>2186404.0141539485</v>
      </c>
      <c r="G639" s="147">
        <f t="shared" si="339"/>
        <v>2636099.4428855898</v>
      </c>
      <c r="H639" s="147">
        <f t="shared" si="339"/>
        <v>3138330.4318768554</v>
      </c>
      <c r="I639" s="147">
        <f t="shared" si="339"/>
        <v>3650590.1866579358</v>
      </c>
      <c r="J639" s="147">
        <f t="shared" si="339"/>
        <v>4111980.1658750842</v>
      </c>
      <c r="K639" s="147">
        <f t="shared" si="339"/>
        <v>4612882.4489540467</v>
      </c>
      <c r="L639" s="147">
        <f t="shared" si="339"/>
        <v>5063957.3721956797</v>
      </c>
      <c r="M639" s="147">
        <f t="shared" si="339"/>
        <v>5482379.04</v>
      </c>
      <c r="N639" s="147" t="s">
        <v>224</v>
      </c>
      <c r="O639" s="34" t="s">
        <v>28</v>
      </c>
    </row>
    <row r="640" spans="1:15" hidden="1">
      <c r="A640" s="212" t="s">
        <v>103</v>
      </c>
      <c r="B640" s="147">
        <f t="shared" ref="B640:M640" si="340">B162</f>
        <v>76767.206981364972</v>
      </c>
      <c r="C640" s="147">
        <f t="shared" si="340"/>
        <v>163362.75670823824</v>
      </c>
      <c r="D640" s="147">
        <f t="shared" si="340"/>
        <v>249948.85587139093</v>
      </c>
      <c r="E640" s="147">
        <f t="shared" si="340"/>
        <v>344723.76191294048</v>
      </c>
      <c r="F640" s="147">
        <f t="shared" si="340"/>
        <v>454554.66984182806</v>
      </c>
      <c r="G640" s="147">
        <f t="shared" si="340"/>
        <v>551360.46065129992</v>
      </c>
      <c r="H640" s="147">
        <f t="shared" si="340"/>
        <v>650479.16810715233</v>
      </c>
      <c r="I640" s="147">
        <f t="shared" si="340"/>
        <v>764298.44594860624</v>
      </c>
      <c r="J640" s="147">
        <f t="shared" si="340"/>
        <v>872028.0807395383</v>
      </c>
      <c r="K640" s="147">
        <f t="shared" si="340"/>
        <v>982156.15037525527</v>
      </c>
      <c r="L640" s="147">
        <f t="shared" si="340"/>
        <v>1082948.0105564506</v>
      </c>
      <c r="M640" s="147">
        <f t="shared" si="340"/>
        <v>1178424.77</v>
      </c>
      <c r="N640" s="147" t="s">
        <v>224</v>
      </c>
      <c r="O640" s="34" t="s">
        <v>28</v>
      </c>
    </row>
    <row r="641" spans="1:15" hidden="1">
      <c r="A641" s="212" t="s">
        <v>104</v>
      </c>
      <c r="B641" s="147">
        <f t="shared" ref="B641:M641" si="341">B163</f>
        <v>20965.233699939752</v>
      </c>
      <c r="C641" s="147">
        <f t="shared" si="341"/>
        <v>39552.046288472469</v>
      </c>
      <c r="D641" s="147">
        <f t="shared" si="341"/>
        <v>63376.019575208316</v>
      </c>
      <c r="E641" s="147">
        <f t="shared" si="341"/>
        <v>87278.365097623071</v>
      </c>
      <c r="F641" s="147">
        <f t="shared" si="341"/>
        <v>113747.66462796985</v>
      </c>
      <c r="G641" s="147">
        <f t="shared" si="341"/>
        <v>141283.8773774633</v>
      </c>
      <c r="H641" s="147">
        <f t="shared" si="341"/>
        <v>168408.51050234935</v>
      </c>
      <c r="I641" s="147">
        <f t="shared" si="341"/>
        <v>199807.97270879484</v>
      </c>
      <c r="J641" s="147">
        <f t="shared" si="341"/>
        <v>225392.79444480836</v>
      </c>
      <c r="K641" s="147">
        <f t="shared" si="341"/>
        <v>258527.17938790031</v>
      </c>
      <c r="L641" s="147">
        <f t="shared" si="341"/>
        <v>286694.84249574156</v>
      </c>
      <c r="M641" s="147">
        <f t="shared" si="341"/>
        <v>309541.19999999995</v>
      </c>
      <c r="N641" s="147" t="s">
        <v>224</v>
      </c>
      <c r="O641" s="34" t="s">
        <v>28</v>
      </c>
    </row>
    <row r="642" spans="1:15" hidden="1">
      <c r="A642" s="212" t="s">
        <v>105</v>
      </c>
      <c r="B642" s="147">
        <f t="shared" ref="B642:M642" si="342">B164</f>
        <v>189870.42126029654</v>
      </c>
      <c r="C642" s="147">
        <f t="shared" si="342"/>
        <v>381781.13422025816</v>
      </c>
      <c r="D642" s="147">
        <f t="shared" si="342"/>
        <v>610364.05035540042</v>
      </c>
      <c r="E642" s="147">
        <f t="shared" si="342"/>
        <v>831094.97673161502</v>
      </c>
      <c r="F642" s="147">
        <f t="shared" si="342"/>
        <v>1091649.4295295633</v>
      </c>
      <c r="G642" s="147">
        <f t="shared" si="342"/>
        <v>1345453.6173744854</v>
      </c>
      <c r="H642" s="147">
        <f t="shared" si="342"/>
        <v>1610166.0437055256</v>
      </c>
      <c r="I642" s="147">
        <f t="shared" si="342"/>
        <v>1904868.8832083757</v>
      </c>
      <c r="J642" s="147">
        <f t="shared" si="342"/>
        <v>2165924.3592286459</v>
      </c>
      <c r="K642" s="147">
        <f t="shared" si="342"/>
        <v>2448540.9125597966</v>
      </c>
      <c r="L642" s="147">
        <f t="shared" si="342"/>
        <v>2685073.3760766219</v>
      </c>
      <c r="M642" s="147">
        <f t="shared" si="342"/>
        <v>2909820.24</v>
      </c>
      <c r="N642" s="147" t="s">
        <v>224</v>
      </c>
      <c r="O642" s="34" t="s">
        <v>28</v>
      </c>
    </row>
    <row r="643" spans="1:15" hidden="1">
      <c r="A643" s="212" t="s">
        <v>106</v>
      </c>
      <c r="B643" s="147">
        <f t="shared" ref="B643:M643" si="343">B165</f>
        <v>37728.876491559015</v>
      </c>
      <c r="C643" s="147">
        <f t="shared" si="343"/>
        <v>78929.029548954582</v>
      </c>
      <c r="D643" s="147">
        <f t="shared" si="343"/>
        <v>120924.41505130994</v>
      </c>
      <c r="E643" s="147">
        <f t="shared" si="343"/>
        <v>168679.93761377651</v>
      </c>
      <c r="F643" s="147">
        <f t="shared" si="343"/>
        <v>219748.88532222863</v>
      </c>
      <c r="G643" s="147">
        <f t="shared" si="343"/>
        <v>270238.97776484169</v>
      </c>
      <c r="H643" s="147">
        <f t="shared" si="343"/>
        <v>320578.75421631965</v>
      </c>
      <c r="I643" s="147">
        <f t="shared" si="343"/>
        <v>375116.35497696308</v>
      </c>
      <c r="J643" s="147">
        <f t="shared" si="343"/>
        <v>424131.71540574165</v>
      </c>
      <c r="K643" s="147">
        <f t="shared" si="343"/>
        <v>474276.33708921674</v>
      </c>
      <c r="L643" s="147">
        <f t="shared" si="343"/>
        <v>522526.99823517539</v>
      </c>
      <c r="M643" s="147">
        <f t="shared" si="343"/>
        <v>564975.6</v>
      </c>
      <c r="N643" s="147" t="s">
        <v>224</v>
      </c>
      <c r="O643" s="34" t="s">
        <v>28</v>
      </c>
    </row>
    <row r="644" spans="1:15" hidden="1">
      <c r="A644" s="212" t="s">
        <v>107</v>
      </c>
      <c r="B644" s="147">
        <f t="shared" ref="B644:M644" si="344">B166</f>
        <v>406676.82925484044</v>
      </c>
      <c r="C644" s="147">
        <f t="shared" si="344"/>
        <v>840723.16940482729</v>
      </c>
      <c r="D644" s="147">
        <f t="shared" si="344"/>
        <v>1348300.2606174841</v>
      </c>
      <c r="E644" s="147">
        <f t="shared" si="344"/>
        <v>1855975.1341904986</v>
      </c>
      <c r="F644" s="147">
        <f t="shared" si="344"/>
        <v>2414996.0099392552</v>
      </c>
      <c r="G644" s="147">
        <f t="shared" si="344"/>
        <v>2911446.1747217509</v>
      </c>
      <c r="H644" s="147">
        <f t="shared" si="344"/>
        <v>3460771.8178010094</v>
      </c>
      <c r="I644" s="147">
        <f t="shared" si="344"/>
        <v>4058851.4618125255</v>
      </c>
      <c r="J644" s="147">
        <f t="shared" si="344"/>
        <v>4584169.3316480843</v>
      </c>
      <c r="K644" s="147">
        <f t="shared" si="344"/>
        <v>5174244.6303427406</v>
      </c>
      <c r="L644" s="147">
        <f t="shared" si="344"/>
        <v>5707871.4255672386</v>
      </c>
      <c r="M644" s="147">
        <f t="shared" si="344"/>
        <v>6208149.3599999994</v>
      </c>
      <c r="N644" s="147" t="s">
        <v>224</v>
      </c>
      <c r="O644" s="34" t="s">
        <v>28</v>
      </c>
    </row>
    <row r="645" spans="1:15" hidden="1">
      <c r="A645" s="212" t="s">
        <v>108</v>
      </c>
      <c r="B645" s="147">
        <f t="shared" ref="B645:M645" si="345">B167</f>
        <v>34251.050286244623</v>
      </c>
      <c r="C645" s="147">
        <f t="shared" si="345"/>
        <v>75252.253333571192</v>
      </c>
      <c r="D645" s="147">
        <f t="shared" si="345"/>
        <v>130296.08614256955</v>
      </c>
      <c r="E645" s="147">
        <f t="shared" si="345"/>
        <v>184648.26452243741</v>
      </c>
      <c r="F645" s="147">
        <f t="shared" si="345"/>
        <v>245009.31236757853</v>
      </c>
      <c r="G645" s="147">
        <f t="shared" si="345"/>
        <v>309114.08713040821</v>
      </c>
      <c r="H645" s="147">
        <f t="shared" si="345"/>
        <v>375325.68571852596</v>
      </c>
      <c r="I645" s="147">
        <f t="shared" si="345"/>
        <v>445152.90680546686</v>
      </c>
      <c r="J645" s="147">
        <f t="shared" si="345"/>
        <v>504431.22932861396</v>
      </c>
      <c r="K645" s="147">
        <f t="shared" si="345"/>
        <v>564734.15118795622</v>
      </c>
      <c r="L645" s="147">
        <f t="shared" si="345"/>
        <v>620894.63586792629</v>
      </c>
      <c r="M645" s="147">
        <f t="shared" si="345"/>
        <v>673739.28</v>
      </c>
      <c r="N645" s="147" t="s">
        <v>224</v>
      </c>
      <c r="O645" s="34" t="s">
        <v>28</v>
      </c>
    </row>
    <row r="646" spans="1:15" hidden="1">
      <c r="A646" s="212" t="s">
        <v>109</v>
      </c>
      <c r="B646" s="147">
        <f t="shared" ref="B646:M646" si="346">B168</f>
        <v>6463.7657430695899</v>
      </c>
      <c r="C646" s="147">
        <f t="shared" si="346"/>
        <v>11834.177340948667</v>
      </c>
      <c r="D646" s="147">
        <f t="shared" si="346"/>
        <v>19622.113278926474</v>
      </c>
      <c r="E646" s="147">
        <f t="shared" si="346"/>
        <v>26850.058026198942</v>
      </c>
      <c r="F646" s="147">
        <f t="shared" si="346"/>
        <v>34846.88413683838</v>
      </c>
      <c r="G646" s="147">
        <f t="shared" si="346"/>
        <v>40891.172770088844</v>
      </c>
      <c r="H646" s="147">
        <f t="shared" si="346"/>
        <v>49411.176801002017</v>
      </c>
      <c r="I646" s="147">
        <f t="shared" si="346"/>
        <v>56987.442881108887</v>
      </c>
      <c r="J646" s="147">
        <f t="shared" si="346"/>
        <v>63182.977766006348</v>
      </c>
      <c r="K646" s="147">
        <f t="shared" si="346"/>
        <v>69615.514855597256</v>
      </c>
      <c r="L646" s="147">
        <f t="shared" si="346"/>
        <v>75912.889444218716</v>
      </c>
      <c r="M646" s="147">
        <f t="shared" si="346"/>
        <v>81729.48</v>
      </c>
      <c r="N646" s="147" t="s">
        <v>224</v>
      </c>
      <c r="O646" s="34" t="s">
        <v>28</v>
      </c>
    </row>
    <row r="647" spans="1:15" hidden="1">
      <c r="A647" s="212" t="s">
        <v>110</v>
      </c>
      <c r="B647" s="147">
        <f t="shared" ref="B647:M647" si="347">B169</f>
        <v>192181.25707532951</v>
      </c>
      <c r="C647" s="147">
        <f t="shared" si="347"/>
        <v>471067.25715578854</v>
      </c>
      <c r="D647" s="147">
        <f t="shared" si="347"/>
        <v>812695.08596047666</v>
      </c>
      <c r="E647" s="147">
        <f t="shared" si="347"/>
        <v>1142882.8268831484</v>
      </c>
      <c r="F647" s="147">
        <f t="shared" si="347"/>
        <v>1507331.4745401605</v>
      </c>
      <c r="G647" s="147">
        <f t="shared" si="347"/>
        <v>1835278.3169820684</v>
      </c>
      <c r="H647" s="147">
        <f t="shared" si="347"/>
        <v>2200371.6168936314</v>
      </c>
      <c r="I647" s="147">
        <f t="shared" si="347"/>
        <v>2587758.253075195</v>
      </c>
      <c r="J647" s="147">
        <f t="shared" si="347"/>
        <v>2947907.7425255938</v>
      </c>
      <c r="K647" s="147">
        <f t="shared" si="347"/>
        <v>3335698.5246441811</v>
      </c>
      <c r="L647" s="147">
        <f t="shared" si="347"/>
        <v>3679081.537482183</v>
      </c>
      <c r="M647" s="147">
        <f t="shared" si="347"/>
        <v>4019319.4799999995</v>
      </c>
      <c r="N647" s="147" t="s">
        <v>224</v>
      </c>
      <c r="O647" s="34" t="s">
        <v>28</v>
      </c>
    </row>
    <row r="648" spans="1:15" hidden="1">
      <c r="A648" s="212" t="s">
        <v>111</v>
      </c>
      <c r="B648" s="147">
        <f t="shared" ref="B648:M648" si="348">B170</f>
        <v>1146976.1774754701</v>
      </c>
      <c r="C648" s="147">
        <f t="shared" si="348"/>
        <v>2422838.038755348</v>
      </c>
      <c r="D648" s="147">
        <f t="shared" si="348"/>
        <v>4000046.6212152001</v>
      </c>
      <c r="E648" s="147">
        <f t="shared" si="348"/>
        <v>5543333.1474298658</v>
      </c>
      <c r="F648" s="147">
        <f t="shared" si="348"/>
        <v>7244180.4833021145</v>
      </c>
      <c r="G648" s="147">
        <f t="shared" si="348"/>
        <v>8740242.2646136787</v>
      </c>
      <c r="H648" s="147">
        <f t="shared" si="348"/>
        <v>10348166.044797337</v>
      </c>
      <c r="I648" s="147">
        <f t="shared" si="348"/>
        <v>12138148.550380869</v>
      </c>
      <c r="J648" s="147">
        <f t="shared" si="348"/>
        <v>13702392.034564981</v>
      </c>
      <c r="K648" s="147">
        <f t="shared" si="348"/>
        <v>15358936.029503562</v>
      </c>
      <c r="L648" s="147">
        <f t="shared" si="348"/>
        <v>16772256.567091763</v>
      </c>
      <c r="M648" s="147">
        <f t="shared" si="348"/>
        <v>18080943.120000001</v>
      </c>
      <c r="N648" s="147" t="s">
        <v>224</v>
      </c>
      <c r="O648" s="34" t="s">
        <v>28</v>
      </c>
    </row>
    <row r="649" spans="1:15" hidden="1">
      <c r="A649" s="212" t="s">
        <v>112</v>
      </c>
      <c r="B649" s="147">
        <f t="shared" ref="B649:M649" si="349">B171</f>
        <v>26968.9810264351</v>
      </c>
      <c r="C649" s="147">
        <f t="shared" si="349"/>
        <v>59208.224120227758</v>
      </c>
      <c r="D649" s="147">
        <f t="shared" si="349"/>
        <v>94205.493300882314</v>
      </c>
      <c r="E649" s="147">
        <f t="shared" si="349"/>
        <v>129758.94084655987</v>
      </c>
      <c r="F649" s="147">
        <f t="shared" si="349"/>
        <v>168733.02453843018</v>
      </c>
      <c r="G649" s="147">
        <f t="shared" si="349"/>
        <v>205278.29413194655</v>
      </c>
      <c r="H649" s="147">
        <f t="shared" si="349"/>
        <v>242126.78394738256</v>
      </c>
      <c r="I649" s="147">
        <f t="shared" si="349"/>
        <v>283266.99794571858</v>
      </c>
      <c r="J649" s="147">
        <f t="shared" si="349"/>
        <v>322339.5502899912</v>
      </c>
      <c r="K649" s="147">
        <f t="shared" si="349"/>
        <v>362034.41138430772</v>
      </c>
      <c r="L649" s="147">
        <f t="shared" si="349"/>
        <v>395521.89222866227</v>
      </c>
      <c r="M649" s="147">
        <f t="shared" si="349"/>
        <v>428707.56</v>
      </c>
      <c r="N649" s="147" t="s">
        <v>224</v>
      </c>
      <c r="O649" s="34" t="s">
        <v>28</v>
      </c>
    </row>
    <row r="650" spans="1:15" hidden="1">
      <c r="A650" s="212" t="s">
        <v>113</v>
      </c>
      <c r="B650" s="147">
        <f t="shared" ref="B650:M650" si="350">B172</f>
        <v>20474.290013235179</v>
      </c>
      <c r="C650" s="147">
        <f t="shared" si="350"/>
        <v>46528.935153494582</v>
      </c>
      <c r="D650" s="147">
        <f t="shared" si="350"/>
        <v>75786.547999917952</v>
      </c>
      <c r="E650" s="147">
        <f t="shared" si="350"/>
        <v>103903.38781942028</v>
      </c>
      <c r="F650" s="147">
        <f t="shared" si="350"/>
        <v>141159.94748451046</v>
      </c>
      <c r="G650" s="147">
        <f t="shared" si="350"/>
        <v>174419.12532480326</v>
      </c>
      <c r="H650" s="147">
        <f t="shared" si="350"/>
        <v>208117.92456280428</v>
      </c>
      <c r="I650" s="147">
        <f t="shared" si="350"/>
        <v>242867.30268991191</v>
      </c>
      <c r="J650" s="147">
        <f t="shared" si="350"/>
        <v>270855.26998047333</v>
      </c>
      <c r="K650" s="147">
        <f t="shared" si="350"/>
        <v>304108.09512016946</v>
      </c>
      <c r="L650" s="147">
        <f t="shared" si="350"/>
        <v>332873.6658599049</v>
      </c>
      <c r="M650" s="147">
        <f t="shared" si="350"/>
        <v>358810.44</v>
      </c>
      <c r="N650" s="147" t="s">
        <v>224</v>
      </c>
      <c r="O650" s="34" t="s">
        <v>28</v>
      </c>
    </row>
    <row r="651" spans="1:15" hidden="1">
      <c r="A651" s="212" t="s">
        <v>87</v>
      </c>
      <c r="B651" s="147">
        <f>AF180</f>
        <v>1657.2000000000003</v>
      </c>
      <c r="C651" s="147">
        <f t="shared" ref="C651:M651" si="351">AG180</f>
        <v>1784.0319999999999</v>
      </c>
      <c r="D651" s="147">
        <f t="shared" si="351"/>
        <v>1948.992</v>
      </c>
      <c r="E651" s="147">
        <f t="shared" si="351"/>
        <v>693.32800000000009</v>
      </c>
      <c r="F651" s="147">
        <f t="shared" si="351"/>
        <v>2495.7440000000001</v>
      </c>
      <c r="G651" s="147">
        <f t="shared" si="351"/>
        <v>2931.6960000000004</v>
      </c>
      <c r="H651" s="147">
        <f t="shared" si="351"/>
        <v>1272.9040000000002</v>
      </c>
      <c r="I651" s="147">
        <f t="shared" si="351"/>
        <v>2230.2800000000002</v>
      </c>
      <c r="J651" s="147">
        <f t="shared" si="351"/>
        <v>2638.5440000000008</v>
      </c>
      <c r="K651" s="147">
        <f t="shared" si="351"/>
        <v>2950.1840000000002</v>
      </c>
      <c r="L651" s="147">
        <f t="shared" si="351"/>
        <v>1446.4240000000004</v>
      </c>
      <c r="M651" s="147">
        <f t="shared" si="351"/>
        <v>2589.6640000000007</v>
      </c>
      <c r="N651" s="147" t="s">
        <v>177</v>
      </c>
      <c r="O651" s="34" t="s">
        <v>142</v>
      </c>
    </row>
    <row r="652" spans="1:15" hidden="1">
      <c r="A652" s="212" t="s">
        <v>88</v>
      </c>
      <c r="B652" s="147">
        <f t="shared" ref="B652:B677" si="352">AF181</f>
        <v>8492.5360000000001</v>
      </c>
      <c r="C652" s="147">
        <f t="shared" ref="C652:C677" si="353">AG181</f>
        <v>5033.6800000000012</v>
      </c>
      <c r="D652" s="147">
        <f t="shared" ref="D652:D677" si="354">AH181</f>
        <v>4618.384</v>
      </c>
      <c r="E652" s="147">
        <f t="shared" ref="E652:E677" si="355">AI181</f>
        <v>3787.4720000000002</v>
      </c>
      <c r="F652" s="147">
        <f t="shared" ref="F652:F677" si="356">AJ181</f>
        <v>2855.6959999999999</v>
      </c>
      <c r="G652" s="147">
        <f t="shared" ref="G652:G677" si="357">AK181</f>
        <v>3645.5840000000003</v>
      </c>
      <c r="H652" s="147">
        <f t="shared" ref="H652:H677" si="358">AL181</f>
        <v>4303.6480000000001</v>
      </c>
      <c r="I652" s="147">
        <f t="shared" ref="I652:I677" si="359">AM181</f>
        <v>5400.9439999999995</v>
      </c>
      <c r="J652" s="147">
        <f t="shared" ref="J652:J677" si="360">AN181</f>
        <v>7119.5039999999999</v>
      </c>
      <c r="K652" s="147">
        <f t="shared" ref="K652:K677" si="361">AO181</f>
        <v>6219.424</v>
      </c>
      <c r="L652" s="147">
        <f t="shared" ref="L652:L677" si="362">AP181</f>
        <v>6028.7920000000004</v>
      </c>
      <c r="M652" s="147">
        <f t="shared" ref="M652:M677" si="363">AQ181</f>
        <v>7661.6080000000002</v>
      </c>
      <c r="N652" s="147" t="s">
        <v>177</v>
      </c>
      <c r="O652" s="34" t="s">
        <v>142</v>
      </c>
    </row>
    <row r="653" spans="1:15" hidden="1">
      <c r="A653" s="212" t="s">
        <v>89</v>
      </c>
      <c r="B653" s="147">
        <f t="shared" si="352"/>
        <v>3571.6000000000004</v>
      </c>
      <c r="C653" s="147">
        <f t="shared" si="353"/>
        <v>2668.4560000000001</v>
      </c>
      <c r="D653" s="147">
        <f t="shared" si="354"/>
        <v>2375.1439999999998</v>
      </c>
      <c r="E653" s="147">
        <f t="shared" si="355"/>
        <v>2837.9839999999999</v>
      </c>
      <c r="F653" s="147">
        <f t="shared" si="356"/>
        <v>1129.0880000000002</v>
      </c>
      <c r="G653" s="147">
        <f t="shared" si="357"/>
        <v>1714.6480000000001</v>
      </c>
      <c r="H653" s="147">
        <f t="shared" si="358"/>
        <v>2666.7040000000006</v>
      </c>
      <c r="I653" s="147">
        <f t="shared" si="359"/>
        <v>2978.6320000000001</v>
      </c>
      <c r="J653" s="147">
        <f t="shared" si="360"/>
        <v>3262.84</v>
      </c>
      <c r="K653" s="147">
        <f t="shared" si="361"/>
        <v>3230.12</v>
      </c>
      <c r="L653" s="147">
        <f t="shared" si="362"/>
        <v>3264.0560000000005</v>
      </c>
      <c r="M653" s="147">
        <f t="shared" si="363"/>
        <v>2923.9840000000004</v>
      </c>
      <c r="N653" s="147" t="s">
        <v>177</v>
      </c>
      <c r="O653" s="34" t="s">
        <v>142</v>
      </c>
    </row>
    <row r="654" spans="1:15" hidden="1">
      <c r="A654" s="212" t="s">
        <v>90</v>
      </c>
      <c r="B654" s="147">
        <f t="shared" si="352"/>
        <v>5780.9679999999998</v>
      </c>
      <c r="C654" s="147">
        <f t="shared" si="353"/>
        <v>4908.24</v>
      </c>
      <c r="D654" s="147">
        <f t="shared" si="354"/>
        <v>5436.768</v>
      </c>
      <c r="E654" s="147">
        <f t="shared" si="355"/>
        <v>2440.4080000000008</v>
      </c>
      <c r="F654" s="147">
        <f t="shared" si="356"/>
        <v>3558.9120000000007</v>
      </c>
      <c r="G654" s="147">
        <f t="shared" si="357"/>
        <v>7074.5399999999991</v>
      </c>
      <c r="H654" s="147">
        <f t="shared" si="358"/>
        <v>4988.6559999999999</v>
      </c>
      <c r="I654" s="147">
        <f t="shared" si="359"/>
        <v>7398.1819999999998</v>
      </c>
      <c r="J654" s="147">
        <f t="shared" si="360"/>
        <v>7821.0080000000007</v>
      </c>
      <c r="K654" s="147">
        <f t="shared" si="361"/>
        <v>8012.9119999999994</v>
      </c>
      <c r="L654" s="147">
        <f t="shared" si="362"/>
        <v>7795.6</v>
      </c>
      <c r="M654" s="147">
        <f t="shared" si="363"/>
        <v>10237.296000000002</v>
      </c>
      <c r="N654" s="147" t="s">
        <v>177</v>
      </c>
      <c r="O654" s="34" t="s">
        <v>142</v>
      </c>
    </row>
    <row r="655" spans="1:15" hidden="1">
      <c r="A655" s="212" t="s">
        <v>91</v>
      </c>
      <c r="B655" s="147">
        <f t="shared" si="352"/>
        <v>17829.168000000001</v>
      </c>
      <c r="C655" s="147">
        <f t="shared" si="353"/>
        <v>18188.568000000007</v>
      </c>
      <c r="D655" s="147">
        <f t="shared" si="354"/>
        <v>11901.512000000002</v>
      </c>
      <c r="E655" s="147">
        <f t="shared" si="355"/>
        <v>7733.0240000000003</v>
      </c>
      <c r="F655" s="147">
        <f t="shared" si="356"/>
        <v>6517.1679999999997</v>
      </c>
      <c r="G655" s="147">
        <f t="shared" si="357"/>
        <v>6651.72</v>
      </c>
      <c r="H655" s="147">
        <f t="shared" si="358"/>
        <v>9969.4959999999992</v>
      </c>
      <c r="I655" s="147">
        <f t="shared" si="359"/>
        <v>10353.472</v>
      </c>
      <c r="J655" s="147">
        <f t="shared" si="360"/>
        <v>15934.376000000004</v>
      </c>
      <c r="K655" s="147">
        <f t="shared" si="361"/>
        <v>15001.344000000003</v>
      </c>
      <c r="L655" s="147">
        <f t="shared" si="362"/>
        <v>18513.511999999999</v>
      </c>
      <c r="M655" s="147">
        <f t="shared" si="363"/>
        <v>16964.896000000001</v>
      </c>
      <c r="N655" s="147" t="s">
        <v>177</v>
      </c>
      <c r="O655" s="34" t="s">
        <v>142</v>
      </c>
    </row>
    <row r="656" spans="1:15" hidden="1">
      <c r="A656" s="212" t="s">
        <v>92</v>
      </c>
      <c r="B656" s="147">
        <f t="shared" si="352"/>
        <v>8037.68</v>
      </c>
      <c r="C656" s="147">
        <f t="shared" si="353"/>
        <v>10542.575999999999</v>
      </c>
      <c r="D656" s="147">
        <f t="shared" si="354"/>
        <v>4848.1360000000004</v>
      </c>
      <c r="E656" s="147">
        <f t="shared" si="355"/>
        <v>3931.44</v>
      </c>
      <c r="F656" s="147">
        <f t="shared" si="356"/>
        <v>4578.5120000000006</v>
      </c>
      <c r="G656" s="147">
        <f t="shared" si="357"/>
        <v>9590.1839999999993</v>
      </c>
      <c r="H656" s="147">
        <f t="shared" si="358"/>
        <v>5997.9920000000011</v>
      </c>
      <c r="I656" s="147">
        <f t="shared" si="359"/>
        <v>8096.8880000000017</v>
      </c>
      <c r="J656" s="147">
        <f t="shared" si="360"/>
        <v>13045.264000000003</v>
      </c>
      <c r="K656" s="147">
        <f t="shared" si="361"/>
        <v>9985.2560000000012</v>
      </c>
      <c r="L656" s="147">
        <f t="shared" si="362"/>
        <v>9812.7599999999984</v>
      </c>
      <c r="M656" s="147">
        <f t="shared" si="363"/>
        <v>11043.496000000001</v>
      </c>
      <c r="N656" s="147" t="s">
        <v>177</v>
      </c>
      <c r="O656" s="34" t="s">
        <v>142</v>
      </c>
    </row>
    <row r="657" spans="1:15" hidden="1">
      <c r="A657" s="212" t="s">
        <v>93</v>
      </c>
      <c r="B657" s="147">
        <f t="shared" si="352"/>
        <v>22522.968000000004</v>
      </c>
      <c r="C657" s="147">
        <f t="shared" si="353"/>
        <v>16258.056000000002</v>
      </c>
      <c r="D657" s="147">
        <f t="shared" si="354"/>
        <v>16483.400000000001</v>
      </c>
      <c r="E657" s="147">
        <f t="shared" si="355"/>
        <v>10684.04</v>
      </c>
      <c r="F657" s="147">
        <f t="shared" si="356"/>
        <v>14942.055999999999</v>
      </c>
      <c r="G657" s="147">
        <f t="shared" si="357"/>
        <v>10220.784000000001</v>
      </c>
      <c r="H657" s="147">
        <f t="shared" si="358"/>
        <v>9663.52</v>
      </c>
      <c r="I657" s="147">
        <f t="shared" si="359"/>
        <v>17413.232</v>
      </c>
      <c r="J657" s="147">
        <f t="shared" si="360"/>
        <v>16664.072</v>
      </c>
      <c r="K657" s="147">
        <f t="shared" si="361"/>
        <v>20630.543999999998</v>
      </c>
      <c r="L657" s="147">
        <f t="shared" si="362"/>
        <v>22226.432000000004</v>
      </c>
      <c r="M657" s="147">
        <f t="shared" si="363"/>
        <v>15818.215999999999</v>
      </c>
      <c r="N657" s="147" t="s">
        <v>177</v>
      </c>
      <c r="O657" s="34" t="s">
        <v>142</v>
      </c>
    </row>
    <row r="658" spans="1:15" hidden="1">
      <c r="A658" s="212" t="s">
        <v>94</v>
      </c>
      <c r="B658" s="147">
        <f t="shared" si="352"/>
        <v>12693.168</v>
      </c>
      <c r="C658" s="147">
        <f t="shared" si="353"/>
        <v>11108.432000000001</v>
      </c>
      <c r="D658" s="147">
        <f t="shared" si="354"/>
        <v>9799.7920000000013</v>
      </c>
      <c r="E658" s="147">
        <f t="shared" si="355"/>
        <v>6983.8159999999998</v>
      </c>
      <c r="F658" s="147">
        <f t="shared" si="356"/>
        <v>4861.9359999999997</v>
      </c>
      <c r="G658" s="147">
        <f t="shared" si="357"/>
        <v>4955.6320000000005</v>
      </c>
      <c r="H658" s="147">
        <f t="shared" si="358"/>
        <v>4963.3040000000001</v>
      </c>
      <c r="I658" s="147">
        <f t="shared" si="359"/>
        <v>6655.6</v>
      </c>
      <c r="J658" s="147">
        <f t="shared" si="360"/>
        <v>7214.0720000000001</v>
      </c>
      <c r="K658" s="147">
        <f t="shared" si="361"/>
        <v>8883.7200000000012</v>
      </c>
      <c r="L658" s="147">
        <f t="shared" si="362"/>
        <v>9636.3040000000001</v>
      </c>
      <c r="M658" s="147">
        <f t="shared" si="363"/>
        <v>15517.103999999999</v>
      </c>
      <c r="N658" s="147" t="s">
        <v>177</v>
      </c>
      <c r="O658" s="34" t="s">
        <v>142</v>
      </c>
    </row>
    <row r="659" spans="1:15" hidden="1">
      <c r="A659" s="212" t="s">
        <v>95</v>
      </c>
      <c r="B659" s="147">
        <f t="shared" si="352"/>
        <v>13902</v>
      </c>
      <c r="C659" s="147">
        <f t="shared" si="353"/>
        <v>13566.871999999999</v>
      </c>
      <c r="D659" s="147">
        <f t="shared" si="354"/>
        <v>12007.431999999999</v>
      </c>
      <c r="E659" s="147">
        <f t="shared" si="355"/>
        <v>10820.216000000002</v>
      </c>
      <c r="F659" s="147">
        <f t="shared" si="356"/>
        <v>6865.0559999999996</v>
      </c>
      <c r="G659" s="147">
        <f t="shared" si="357"/>
        <v>11446.232</v>
      </c>
      <c r="H659" s="147">
        <f t="shared" si="358"/>
        <v>11317.624</v>
      </c>
      <c r="I659" s="147">
        <f t="shared" si="359"/>
        <v>13906.760000000002</v>
      </c>
      <c r="J659" s="147">
        <f t="shared" si="360"/>
        <v>18807.912</v>
      </c>
      <c r="K659" s="147">
        <f t="shared" si="361"/>
        <v>19051.335999999999</v>
      </c>
      <c r="L659" s="147">
        <f t="shared" si="362"/>
        <v>17154.072</v>
      </c>
      <c r="M659" s="147">
        <f t="shared" si="363"/>
        <v>17181.68</v>
      </c>
      <c r="N659" s="147" t="s">
        <v>177</v>
      </c>
      <c r="O659" s="34" t="s">
        <v>142</v>
      </c>
    </row>
    <row r="660" spans="1:15" hidden="1">
      <c r="A660" s="212" t="s">
        <v>96</v>
      </c>
      <c r="B660" s="147">
        <f t="shared" si="352"/>
        <v>5276.0319999999992</v>
      </c>
      <c r="C660" s="147">
        <f t="shared" si="353"/>
        <v>6220.6720000000005</v>
      </c>
      <c r="D660" s="147">
        <f t="shared" si="354"/>
        <v>9229.4959999999992</v>
      </c>
      <c r="E660" s="147">
        <f t="shared" si="355"/>
        <v>4121.576</v>
      </c>
      <c r="F660" s="147">
        <f t="shared" si="356"/>
        <v>2310.3680000000004</v>
      </c>
      <c r="G660" s="147">
        <f t="shared" si="357"/>
        <v>3687.5280000000007</v>
      </c>
      <c r="H660" s="147">
        <f t="shared" si="358"/>
        <v>3787.5279999999998</v>
      </c>
      <c r="I660" s="147">
        <f t="shared" si="359"/>
        <v>4394.3920000000007</v>
      </c>
      <c r="J660" s="147">
        <f t="shared" si="360"/>
        <v>7201.6239999999998</v>
      </c>
      <c r="K660" s="147">
        <f t="shared" si="361"/>
        <v>6232.1200000000008</v>
      </c>
      <c r="L660" s="147">
        <f t="shared" si="362"/>
        <v>6177.0640000000003</v>
      </c>
      <c r="M660" s="147">
        <f t="shared" si="363"/>
        <v>8216.2160000000003</v>
      </c>
      <c r="N660" s="147" t="s">
        <v>177</v>
      </c>
      <c r="O660" s="34" t="s">
        <v>142</v>
      </c>
    </row>
    <row r="661" spans="1:15" hidden="1">
      <c r="A661" s="212" t="s">
        <v>97</v>
      </c>
      <c r="B661" s="147">
        <f t="shared" si="352"/>
        <v>5504.3360000000002</v>
      </c>
      <c r="C661" s="147">
        <f t="shared" si="353"/>
        <v>6385.3919999999998</v>
      </c>
      <c r="D661" s="147">
        <f t="shared" si="354"/>
        <v>7158.5920000000006</v>
      </c>
      <c r="E661" s="147">
        <f t="shared" si="355"/>
        <v>3672.288</v>
      </c>
      <c r="F661" s="147">
        <f t="shared" si="356"/>
        <v>8091.4160000000011</v>
      </c>
      <c r="G661" s="147">
        <f t="shared" si="357"/>
        <v>13183.984</v>
      </c>
      <c r="H661" s="147">
        <f t="shared" si="358"/>
        <v>9734.0879999999997</v>
      </c>
      <c r="I661" s="147">
        <f t="shared" si="359"/>
        <v>14512.743999999999</v>
      </c>
      <c r="J661" s="147">
        <f t="shared" si="360"/>
        <v>11351.584000000001</v>
      </c>
      <c r="K661" s="147">
        <f t="shared" si="361"/>
        <v>9614.0560000000005</v>
      </c>
      <c r="L661" s="147">
        <f t="shared" si="362"/>
        <v>11433.784000000001</v>
      </c>
      <c r="M661" s="147">
        <f t="shared" si="363"/>
        <v>12366.672000000002</v>
      </c>
      <c r="N661" s="147" t="s">
        <v>177</v>
      </c>
      <c r="O661" s="34" t="s">
        <v>142</v>
      </c>
    </row>
    <row r="662" spans="1:15" hidden="1">
      <c r="A662" s="212" t="s">
        <v>98</v>
      </c>
      <c r="B662" s="147">
        <f t="shared" si="352"/>
        <v>10979.584000000004</v>
      </c>
      <c r="C662" s="147">
        <f t="shared" si="353"/>
        <v>8976.1439999999984</v>
      </c>
      <c r="D662" s="147">
        <f t="shared" si="354"/>
        <v>9400.9600000000009</v>
      </c>
      <c r="E662" s="147">
        <f t="shared" si="355"/>
        <v>8330.2720000000008</v>
      </c>
      <c r="F662" s="147">
        <f t="shared" si="356"/>
        <v>5320.5519999999997</v>
      </c>
      <c r="G662" s="147">
        <f t="shared" si="357"/>
        <v>6491.9439999999995</v>
      </c>
      <c r="H662" s="147">
        <f t="shared" si="358"/>
        <v>6688.52</v>
      </c>
      <c r="I662" s="147">
        <f t="shared" si="359"/>
        <v>8384.9840000000004</v>
      </c>
      <c r="J662" s="147">
        <f t="shared" si="360"/>
        <v>14644.839999999998</v>
      </c>
      <c r="K662" s="147">
        <f t="shared" si="361"/>
        <v>13006.72</v>
      </c>
      <c r="L662" s="147">
        <f t="shared" si="362"/>
        <v>11097.816000000001</v>
      </c>
      <c r="M662" s="147">
        <f t="shared" si="363"/>
        <v>9135.0879999999997</v>
      </c>
      <c r="N662" s="147" t="s">
        <v>177</v>
      </c>
      <c r="O662" s="34" t="s">
        <v>142</v>
      </c>
    </row>
    <row r="663" spans="1:15" hidden="1">
      <c r="A663" s="212" t="s">
        <v>99</v>
      </c>
      <c r="B663" s="147">
        <f t="shared" si="352"/>
        <v>60622.336000000003</v>
      </c>
      <c r="C663" s="147">
        <f t="shared" si="353"/>
        <v>47805.136000000006</v>
      </c>
      <c r="D663" s="147">
        <f t="shared" si="354"/>
        <v>45276.992000000006</v>
      </c>
      <c r="E663" s="147">
        <f t="shared" si="355"/>
        <v>30131.295999999998</v>
      </c>
      <c r="F663" s="147">
        <f t="shared" si="356"/>
        <v>33399.288</v>
      </c>
      <c r="G663" s="147">
        <f t="shared" si="357"/>
        <v>35544.544000000002</v>
      </c>
      <c r="H663" s="147">
        <f t="shared" si="358"/>
        <v>34341.623999999996</v>
      </c>
      <c r="I663" s="147">
        <f t="shared" si="359"/>
        <v>37508.744000000006</v>
      </c>
      <c r="J663" s="147">
        <f t="shared" si="360"/>
        <v>45116.671999999999</v>
      </c>
      <c r="K663" s="147">
        <f t="shared" si="361"/>
        <v>48610.376000000004</v>
      </c>
      <c r="L663" s="147">
        <f t="shared" si="362"/>
        <v>54979.184000000001</v>
      </c>
      <c r="M663" s="147">
        <f t="shared" si="363"/>
        <v>55572.216000000008</v>
      </c>
      <c r="N663" s="147" t="s">
        <v>177</v>
      </c>
      <c r="O663" s="34" t="s">
        <v>142</v>
      </c>
    </row>
    <row r="664" spans="1:15" hidden="1">
      <c r="A664" s="212" t="s">
        <v>100</v>
      </c>
      <c r="B664" s="147">
        <f t="shared" si="352"/>
        <v>13758.328000000001</v>
      </c>
      <c r="C664" s="147">
        <f t="shared" si="353"/>
        <v>8869.112000000001</v>
      </c>
      <c r="D664" s="147">
        <f t="shared" si="354"/>
        <v>12402.455999999998</v>
      </c>
      <c r="E664" s="147">
        <f t="shared" si="355"/>
        <v>5258.56</v>
      </c>
      <c r="F664" s="147">
        <f t="shared" si="356"/>
        <v>4842.3840000000009</v>
      </c>
      <c r="G664" s="147">
        <f t="shared" si="357"/>
        <v>5226.0880000000006</v>
      </c>
      <c r="H664" s="147">
        <f t="shared" si="358"/>
        <v>7211.3680000000013</v>
      </c>
      <c r="I664" s="147">
        <f t="shared" si="359"/>
        <v>10368.808000000001</v>
      </c>
      <c r="J664" s="147">
        <f t="shared" si="360"/>
        <v>9060.2480000000014</v>
      </c>
      <c r="K664" s="147">
        <f t="shared" si="361"/>
        <v>11953.336000000001</v>
      </c>
      <c r="L664" s="147">
        <f t="shared" si="362"/>
        <v>11905.6</v>
      </c>
      <c r="M664" s="147">
        <f t="shared" si="363"/>
        <v>9030.9840000000004</v>
      </c>
      <c r="N664" s="147" t="s">
        <v>177</v>
      </c>
      <c r="O664" s="34" t="s">
        <v>142</v>
      </c>
    </row>
    <row r="665" spans="1:15" hidden="1">
      <c r="A665" s="212" t="s">
        <v>101</v>
      </c>
      <c r="B665" s="147">
        <f t="shared" si="352"/>
        <v>9565.0160000000014</v>
      </c>
      <c r="C665" s="147">
        <f t="shared" si="353"/>
        <v>9103.5119999999988</v>
      </c>
      <c r="D665" s="147">
        <f t="shared" si="354"/>
        <v>7063.2400000000007</v>
      </c>
      <c r="E665" s="147">
        <f t="shared" si="355"/>
        <v>5017.9760000000006</v>
      </c>
      <c r="F665" s="147">
        <f t="shared" si="356"/>
        <v>2705.8160000000003</v>
      </c>
      <c r="G665" s="147">
        <f t="shared" si="357"/>
        <v>3374.2639999999997</v>
      </c>
      <c r="H665" s="147">
        <f t="shared" si="358"/>
        <v>4833.1680000000006</v>
      </c>
      <c r="I665" s="147">
        <f t="shared" si="359"/>
        <v>6454.7920000000004</v>
      </c>
      <c r="J665" s="147">
        <f t="shared" si="360"/>
        <v>9255.76</v>
      </c>
      <c r="K665" s="147">
        <f t="shared" si="361"/>
        <v>11961.128000000002</v>
      </c>
      <c r="L665" s="147">
        <f t="shared" si="362"/>
        <v>8985.5519999999997</v>
      </c>
      <c r="M665" s="147">
        <f t="shared" si="363"/>
        <v>12253.576000000001</v>
      </c>
      <c r="N665" s="147" t="s">
        <v>177</v>
      </c>
      <c r="O665" s="34" t="s">
        <v>142</v>
      </c>
    </row>
    <row r="666" spans="1:15" hidden="1">
      <c r="A666" s="212" t="s">
        <v>102</v>
      </c>
      <c r="B666" s="147">
        <f t="shared" si="352"/>
        <v>61992.088000000003</v>
      </c>
      <c r="C666" s="147">
        <f t="shared" si="353"/>
        <v>46965.248</v>
      </c>
      <c r="D666" s="147">
        <f t="shared" si="354"/>
        <v>46103.76</v>
      </c>
      <c r="E666" s="147">
        <f t="shared" si="355"/>
        <v>25708.336000000003</v>
      </c>
      <c r="F666" s="147">
        <f t="shared" si="356"/>
        <v>26532.560000000001</v>
      </c>
      <c r="G666" s="147">
        <f t="shared" si="357"/>
        <v>27349.384000000002</v>
      </c>
      <c r="H666" s="147">
        <f t="shared" si="358"/>
        <v>27767.824000000001</v>
      </c>
      <c r="I666" s="147">
        <f t="shared" si="359"/>
        <v>34528.207999999999</v>
      </c>
      <c r="J666" s="147">
        <f t="shared" si="360"/>
        <v>44242.504000000001</v>
      </c>
      <c r="K666" s="147">
        <f t="shared" si="361"/>
        <v>37896.19200000001</v>
      </c>
      <c r="L666" s="147">
        <f t="shared" si="362"/>
        <v>44387.752000000008</v>
      </c>
      <c r="M666" s="147">
        <f t="shared" si="363"/>
        <v>38493.807999999997</v>
      </c>
      <c r="N666" s="147" t="s">
        <v>177</v>
      </c>
      <c r="O666" s="34" t="s">
        <v>142</v>
      </c>
    </row>
    <row r="667" spans="1:15" hidden="1">
      <c r="A667" s="212" t="s">
        <v>103</v>
      </c>
      <c r="B667" s="147">
        <f t="shared" si="352"/>
        <v>22886.712000000003</v>
      </c>
      <c r="C667" s="147">
        <f t="shared" si="353"/>
        <v>16196.048000000001</v>
      </c>
      <c r="D667" s="147">
        <f t="shared" si="354"/>
        <v>13074.576000000001</v>
      </c>
      <c r="E667" s="147">
        <f t="shared" si="355"/>
        <v>6821.4960000000001</v>
      </c>
      <c r="F667" s="147">
        <f t="shared" si="356"/>
        <v>6117.3360000000002</v>
      </c>
      <c r="G667" s="147">
        <f t="shared" si="357"/>
        <v>6669.2720000000008</v>
      </c>
      <c r="H667" s="147">
        <f t="shared" si="358"/>
        <v>10192.831999999999</v>
      </c>
      <c r="I667" s="147">
        <f t="shared" si="359"/>
        <v>10544.544000000004</v>
      </c>
      <c r="J667" s="147">
        <f t="shared" si="360"/>
        <v>16730.688000000002</v>
      </c>
      <c r="K667" s="147">
        <f t="shared" si="361"/>
        <v>18254.448000000004</v>
      </c>
      <c r="L667" s="147">
        <f t="shared" si="362"/>
        <v>16075.903999999999</v>
      </c>
      <c r="M667" s="147">
        <f t="shared" si="363"/>
        <v>15879.288</v>
      </c>
      <c r="N667" s="147" t="s">
        <v>177</v>
      </c>
      <c r="O667" s="34" t="s">
        <v>142</v>
      </c>
    </row>
    <row r="668" spans="1:15" hidden="1">
      <c r="A668" s="212" t="s">
        <v>104</v>
      </c>
      <c r="B668" s="147">
        <f t="shared" si="352"/>
        <v>4178.4480000000003</v>
      </c>
      <c r="C668" s="147">
        <f t="shared" si="353"/>
        <v>3586.0960000000005</v>
      </c>
      <c r="D668" s="147">
        <f t="shared" si="354"/>
        <v>2315.424</v>
      </c>
      <c r="E668" s="147">
        <f t="shared" si="355"/>
        <v>2167.52</v>
      </c>
      <c r="F668" s="147">
        <f t="shared" si="356"/>
        <v>1431.3200000000002</v>
      </c>
      <c r="G668" s="147">
        <f t="shared" si="357"/>
        <v>1027.9440000000002</v>
      </c>
      <c r="H668" s="147">
        <f t="shared" si="358"/>
        <v>1362.44</v>
      </c>
      <c r="I668" s="147">
        <f t="shared" si="359"/>
        <v>5693.4080000000004</v>
      </c>
      <c r="J668" s="147">
        <f t="shared" si="360"/>
        <v>3805.5280000000002</v>
      </c>
      <c r="K668" s="147">
        <f t="shared" si="361"/>
        <v>4369.6399999999994</v>
      </c>
      <c r="L668" s="147">
        <f t="shared" si="362"/>
        <v>4494.5120000000006</v>
      </c>
      <c r="M668" s="147">
        <f t="shared" si="363"/>
        <v>8478.6080000000002</v>
      </c>
      <c r="N668" s="147" t="s">
        <v>177</v>
      </c>
      <c r="O668" s="34" t="s">
        <v>142</v>
      </c>
    </row>
    <row r="669" spans="1:15" hidden="1">
      <c r="A669" s="212" t="s">
        <v>105</v>
      </c>
      <c r="B669" s="147">
        <f t="shared" si="352"/>
        <v>61254.712000000014</v>
      </c>
      <c r="C669" s="147">
        <f t="shared" si="353"/>
        <v>51662.624000000003</v>
      </c>
      <c r="D669" s="147">
        <f t="shared" si="354"/>
        <v>51521.655999999995</v>
      </c>
      <c r="E669" s="147">
        <f t="shared" si="355"/>
        <v>31526.144000000004</v>
      </c>
      <c r="F669" s="147">
        <f t="shared" si="356"/>
        <v>22940.631999999994</v>
      </c>
      <c r="G669" s="147">
        <f t="shared" si="357"/>
        <v>31326.879999999997</v>
      </c>
      <c r="H669" s="147">
        <f t="shared" si="358"/>
        <v>32968.655999999995</v>
      </c>
      <c r="I669" s="147">
        <f t="shared" si="359"/>
        <v>36844.568000000007</v>
      </c>
      <c r="J669" s="147">
        <f t="shared" si="360"/>
        <v>49235.631999999998</v>
      </c>
      <c r="K669" s="147">
        <f t="shared" si="361"/>
        <v>49797.240000000005</v>
      </c>
      <c r="L669" s="147">
        <f t="shared" si="362"/>
        <v>52169.176000000007</v>
      </c>
      <c r="M669" s="147">
        <f t="shared" si="363"/>
        <v>47482.96</v>
      </c>
      <c r="N669" s="147" t="s">
        <v>177</v>
      </c>
      <c r="O669" s="34" t="s">
        <v>142</v>
      </c>
    </row>
    <row r="670" spans="1:15" hidden="1">
      <c r="A670" s="212" t="s">
        <v>106</v>
      </c>
      <c r="B670" s="147">
        <f t="shared" si="352"/>
        <v>11183.976000000001</v>
      </c>
      <c r="C670" s="147">
        <f t="shared" si="353"/>
        <v>8972.84</v>
      </c>
      <c r="D670" s="147">
        <f t="shared" si="354"/>
        <v>10645.76</v>
      </c>
      <c r="E670" s="147">
        <f t="shared" si="355"/>
        <v>5703.8720000000012</v>
      </c>
      <c r="F670" s="147">
        <f t="shared" si="356"/>
        <v>3906.3119999999999</v>
      </c>
      <c r="G670" s="147">
        <f t="shared" si="357"/>
        <v>5248.7120000000004</v>
      </c>
      <c r="H670" s="147">
        <f t="shared" si="358"/>
        <v>4668.8959999999997</v>
      </c>
      <c r="I670" s="147">
        <f t="shared" si="359"/>
        <v>5809.6319999999996</v>
      </c>
      <c r="J670" s="147">
        <f t="shared" si="360"/>
        <v>6459.9999999999991</v>
      </c>
      <c r="K670" s="147">
        <f t="shared" si="361"/>
        <v>7041.9199999999992</v>
      </c>
      <c r="L670" s="147">
        <f t="shared" si="362"/>
        <v>8210.0320000000011</v>
      </c>
      <c r="M670" s="147">
        <f t="shared" si="363"/>
        <v>12275.888000000001</v>
      </c>
      <c r="N670" s="147" t="s">
        <v>177</v>
      </c>
      <c r="O670" s="34" t="s">
        <v>142</v>
      </c>
    </row>
    <row r="671" spans="1:15" hidden="1">
      <c r="A671" s="212" t="s">
        <v>107</v>
      </c>
      <c r="B671" s="147">
        <f t="shared" si="352"/>
        <v>47822.792000000001</v>
      </c>
      <c r="C671" s="147">
        <f t="shared" si="353"/>
        <v>33525.144</v>
      </c>
      <c r="D671" s="147">
        <f t="shared" si="354"/>
        <v>38866.096000000005</v>
      </c>
      <c r="E671" s="147">
        <f t="shared" si="355"/>
        <v>24445.903999999999</v>
      </c>
      <c r="F671" s="147">
        <f t="shared" si="356"/>
        <v>17703.04</v>
      </c>
      <c r="G671" s="147">
        <f t="shared" si="357"/>
        <v>22149.696000000004</v>
      </c>
      <c r="H671" s="147">
        <f t="shared" si="358"/>
        <v>29538.544000000002</v>
      </c>
      <c r="I671" s="147">
        <f t="shared" si="359"/>
        <v>36322.584000000003</v>
      </c>
      <c r="J671" s="147">
        <f t="shared" si="360"/>
        <v>41373.880000000005</v>
      </c>
      <c r="K671" s="147">
        <f t="shared" si="361"/>
        <v>40667.632000000005</v>
      </c>
      <c r="L671" s="147">
        <f t="shared" si="362"/>
        <v>45341.112000000001</v>
      </c>
      <c r="M671" s="147">
        <f t="shared" si="363"/>
        <v>52777.376000000004</v>
      </c>
      <c r="N671" s="147" t="s">
        <v>177</v>
      </c>
      <c r="O671" s="34" t="s">
        <v>142</v>
      </c>
    </row>
    <row r="672" spans="1:15" hidden="1">
      <c r="A672" s="212" t="s">
        <v>108</v>
      </c>
      <c r="B672" s="147">
        <f t="shared" si="352"/>
        <v>3342.6960000000004</v>
      </c>
      <c r="C672" s="147">
        <f t="shared" si="353"/>
        <v>3575.0400000000004</v>
      </c>
      <c r="D672" s="147">
        <f t="shared" si="354"/>
        <v>2399.5680000000007</v>
      </c>
      <c r="E672" s="147">
        <f t="shared" si="355"/>
        <v>2987.5360000000001</v>
      </c>
      <c r="F672" s="147">
        <f t="shared" si="356"/>
        <v>1842.8880000000001</v>
      </c>
      <c r="G672" s="147">
        <f t="shared" si="357"/>
        <v>3936.4320000000007</v>
      </c>
      <c r="H672" s="147">
        <f t="shared" si="358"/>
        <v>3056.84</v>
      </c>
      <c r="I672" s="147">
        <f t="shared" si="359"/>
        <v>2463.44</v>
      </c>
      <c r="J672" s="147">
        <f t="shared" si="360"/>
        <v>3250.3520000000003</v>
      </c>
      <c r="K672" s="147">
        <f t="shared" si="361"/>
        <v>4280.72</v>
      </c>
      <c r="L672" s="147">
        <f t="shared" si="362"/>
        <v>3615.4480000000003</v>
      </c>
      <c r="M672" s="147">
        <f t="shared" si="363"/>
        <v>4403.1359999999995</v>
      </c>
      <c r="N672" s="147" t="s">
        <v>177</v>
      </c>
      <c r="O672" s="34" t="s">
        <v>142</v>
      </c>
    </row>
    <row r="673" spans="1:15" hidden="1">
      <c r="A673" s="212" t="s">
        <v>109</v>
      </c>
      <c r="B673" s="147">
        <f t="shared" si="352"/>
        <v>240.66400000000002</v>
      </c>
      <c r="C673" s="147">
        <f t="shared" si="353"/>
        <v>320.06400000000002</v>
      </c>
      <c r="D673" s="147">
        <f t="shared" si="354"/>
        <v>103.864</v>
      </c>
      <c r="E673" s="147">
        <f t="shared" si="355"/>
        <v>0</v>
      </c>
      <c r="F673" s="147">
        <f t="shared" si="356"/>
        <v>369.17600000000004</v>
      </c>
      <c r="G673" s="147">
        <f t="shared" si="357"/>
        <v>207.18400000000003</v>
      </c>
      <c r="H673" s="147">
        <f t="shared" si="358"/>
        <v>248.46400000000006</v>
      </c>
      <c r="I673" s="147">
        <f t="shared" si="359"/>
        <v>669.00800000000004</v>
      </c>
      <c r="J673" s="147">
        <f t="shared" si="360"/>
        <v>700.024</v>
      </c>
      <c r="K673" s="147">
        <f t="shared" si="361"/>
        <v>538.62400000000002</v>
      </c>
      <c r="L673" s="147">
        <f t="shared" si="362"/>
        <v>762.23200000000008</v>
      </c>
      <c r="M673" s="147">
        <f t="shared" si="363"/>
        <v>1045.04</v>
      </c>
      <c r="N673" s="147" t="s">
        <v>177</v>
      </c>
      <c r="O673" s="34" t="s">
        <v>142</v>
      </c>
    </row>
    <row r="674" spans="1:15" hidden="1">
      <c r="A674" s="212" t="s">
        <v>110</v>
      </c>
      <c r="B674" s="147">
        <f t="shared" si="352"/>
        <v>22701.640000000003</v>
      </c>
      <c r="C674" s="147">
        <f t="shared" si="353"/>
        <v>17646.007999999998</v>
      </c>
      <c r="D674" s="147">
        <f t="shared" si="354"/>
        <v>15142.216</v>
      </c>
      <c r="E674" s="147">
        <f t="shared" si="355"/>
        <v>9664.5759999999991</v>
      </c>
      <c r="F674" s="147">
        <f t="shared" si="356"/>
        <v>9642.4159999999993</v>
      </c>
      <c r="G674" s="147">
        <f t="shared" si="357"/>
        <v>14790.656000000003</v>
      </c>
      <c r="H674" s="147">
        <f t="shared" si="358"/>
        <v>14193.432000000001</v>
      </c>
      <c r="I674" s="147">
        <f t="shared" si="359"/>
        <v>17491.504000000001</v>
      </c>
      <c r="J674" s="147">
        <f t="shared" si="360"/>
        <v>26991.728000000003</v>
      </c>
      <c r="K674" s="147">
        <f t="shared" si="361"/>
        <v>28090.088000000011</v>
      </c>
      <c r="L674" s="147">
        <f t="shared" si="362"/>
        <v>26978.432000000001</v>
      </c>
      <c r="M674" s="147">
        <f t="shared" si="363"/>
        <v>27771.512000000002</v>
      </c>
      <c r="N674" s="147" t="s">
        <v>177</v>
      </c>
      <c r="O674" s="34" t="s">
        <v>142</v>
      </c>
    </row>
    <row r="675" spans="1:15" hidden="1">
      <c r="A675" s="212" t="s">
        <v>111</v>
      </c>
      <c r="B675" s="147">
        <f t="shared" si="352"/>
        <v>215271.36400000006</v>
      </c>
      <c r="C675" s="147">
        <f t="shared" si="353"/>
        <v>175661.73</v>
      </c>
      <c r="D675" s="147">
        <f t="shared" si="354"/>
        <v>163064.07399999999</v>
      </c>
      <c r="E675" s="147">
        <f t="shared" si="355"/>
        <v>91893.760000000009</v>
      </c>
      <c r="F675" s="147">
        <f t="shared" si="356"/>
        <v>83124.637999999992</v>
      </c>
      <c r="G675" s="147">
        <f t="shared" si="357"/>
        <v>115013.57800000001</v>
      </c>
      <c r="H675" s="147">
        <f t="shared" si="358"/>
        <v>167383.5</v>
      </c>
      <c r="I675" s="147">
        <f t="shared" si="359"/>
        <v>173812.962</v>
      </c>
      <c r="J675" s="147">
        <f t="shared" si="360"/>
        <v>210014.35400000005</v>
      </c>
      <c r="K675" s="147">
        <f t="shared" si="361"/>
        <v>221841.60400000005</v>
      </c>
      <c r="L675" s="147">
        <f t="shared" si="362"/>
        <v>207006.27</v>
      </c>
      <c r="M675" s="147">
        <f t="shared" si="363"/>
        <v>203150.78199999998</v>
      </c>
      <c r="N675" s="147" t="s">
        <v>177</v>
      </c>
      <c r="O675" s="34" t="s">
        <v>142</v>
      </c>
    </row>
    <row r="676" spans="1:15" hidden="1">
      <c r="A676" s="212" t="s">
        <v>112</v>
      </c>
      <c r="B676" s="147">
        <f t="shared" si="352"/>
        <v>4694.9279999999999</v>
      </c>
      <c r="C676" s="147">
        <f t="shared" si="353"/>
        <v>4659.9920000000002</v>
      </c>
      <c r="D676" s="147">
        <f t="shared" si="354"/>
        <v>3558.9360000000001</v>
      </c>
      <c r="E676" s="147">
        <f t="shared" si="355"/>
        <v>2073.8240000000001</v>
      </c>
      <c r="F676" s="147">
        <f t="shared" si="356"/>
        <v>1719.0239999999999</v>
      </c>
      <c r="G676" s="147">
        <f t="shared" si="357"/>
        <v>3492.4560000000001</v>
      </c>
      <c r="H676" s="147">
        <f t="shared" si="358"/>
        <v>4263.6719999999996</v>
      </c>
      <c r="I676" s="147">
        <f t="shared" si="359"/>
        <v>6630.8480000000009</v>
      </c>
      <c r="J676" s="147">
        <f t="shared" si="360"/>
        <v>5975.648000000001</v>
      </c>
      <c r="K676" s="147">
        <f t="shared" si="361"/>
        <v>7528.4720000000016</v>
      </c>
      <c r="L676" s="147">
        <f t="shared" si="362"/>
        <v>7383.1200000000008</v>
      </c>
      <c r="M676" s="147">
        <f t="shared" si="363"/>
        <v>5616.2080000000005</v>
      </c>
      <c r="N676" s="147" t="s">
        <v>177</v>
      </c>
      <c r="O676" s="34" t="s">
        <v>142</v>
      </c>
    </row>
    <row r="677" spans="1:15" hidden="1">
      <c r="A677" s="212" t="s">
        <v>113</v>
      </c>
      <c r="B677" s="147">
        <f t="shared" si="352"/>
        <v>2259.5600000000004</v>
      </c>
      <c r="C677" s="147">
        <f t="shared" si="353"/>
        <v>2598.3679999999999</v>
      </c>
      <c r="D677" s="147">
        <f t="shared" si="354"/>
        <v>3263.1760000000004</v>
      </c>
      <c r="E677" s="147">
        <f t="shared" si="355"/>
        <v>1619.3200000000002</v>
      </c>
      <c r="F677" s="147">
        <f t="shared" si="356"/>
        <v>3903.3120000000004</v>
      </c>
      <c r="G677" s="147">
        <f t="shared" si="357"/>
        <v>3467.904</v>
      </c>
      <c r="H677" s="147">
        <f t="shared" si="358"/>
        <v>2088.6400000000003</v>
      </c>
      <c r="I677" s="147">
        <f t="shared" si="359"/>
        <v>3464.1519999999996</v>
      </c>
      <c r="J677" s="147">
        <f t="shared" si="360"/>
        <v>1780.7920000000004</v>
      </c>
      <c r="K677" s="147">
        <f t="shared" si="361"/>
        <v>3636.0080000000003</v>
      </c>
      <c r="L677" s="147">
        <f t="shared" si="362"/>
        <v>3054.136</v>
      </c>
      <c r="M677" s="147">
        <f t="shared" si="363"/>
        <v>3579.1280000000002</v>
      </c>
      <c r="N677" s="147" t="s">
        <v>177</v>
      </c>
      <c r="O677" s="34" t="s">
        <v>142</v>
      </c>
    </row>
    <row r="678" spans="1:15" hidden="1">
      <c r="A678" s="212" t="s">
        <v>87</v>
      </c>
      <c r="B678" s="147">
        <f>Q180</f>
        <v>1425.2039238051864</v>
      </c>
      <c r="C678" s="147">
        <f t="shared" ref="C678:M678" si="364">R180</f>
        <v>2708.3249220074131</v>
      </c>
      <c r="D678" s="147">
        <f t="shared" si="364"/>
        <v>4019.0441043536389</v>
      </c>
      <c r="E678" s="147">
        <f t="shared" si="364"/>
        <v>5879.4732990062721</v>
      </c>
      <c r="F678" s="147">
        <f t="shared" si="364"/>
        <v>7688.4979854481826</v>
      </c>
      <c r="G678" s="147">
        <f t="shared" si="364"/>
        <v>8887.5192580349358</v>
      </c>
      <c r="H678" s="147">
        <f t="shared" si="364"/>
        <v>11499.270338177035</v>
      </c>
      <c r="I678" s="147">
        <f t="shared" si="364"/>
        <v>13292.738088276326</v>
      </c>
      <c r="J678" s="147">
        <f t="shared" si="364"/>
        <v>14912.904862017378</v>
      </c>
      <c r="K678" s="147">
        <f t="shared" si="364"/>
        <v>17291.681555924999</v>
      </c>
      <c r="L678" s="147">
        <f t="shared" si="364"/>
        <v>20859.201254577656</v>
      </c>
      <c r="M678" s="147">
        <f t="shared" si="364"/>
        <v>23519.982000000004</v>
      </c>
      <c r="N678" s="147" t="s">
        <v>176</v>
      </c>
      <c r="O678" s="34" t="s">
        <v>142</v>
      </c>
    </row>
    <row r="679" spans="1:15" hidden="1">
      <c r="A679" s="212" t="s">
        <v>88</v>
      </c>
      <c r="B679" s="147">
        <f t="shared" ref="B679:B704" si="365">Q181</f>
        <v>6113.3153934490192</v>
      </c>
      <c r="C679" s="147">
        <f t="shared" ref="C679:C704" si="366">R181</f>
        <v>13205.457168540721</v>
      </c>
      <c r="D679" s="147">
        <f t="shared" ref="D679:D704" si="367">S181</f>
        <v>17964.615356172897</v>
      </c>
      <c r="E679" s="147">
        <f t="shared" ref="E679:E704" si="368">T181</f>
        <v>22541.610140231678</v>
      </c>
      <c r="F679" s="147">
        <f t="shared" ref="F679:F704" si="369">U181</f>
        <v>29884.29262347558</v>
      </c>
      <c r="G679" s="147">
        <f t="shared" ref="G679:G704" si="370">V181</f>
        <v>34247.961699672363</v>
      </c>
      <c r="H679" s="147">
        <f t="shared" ref="H679:H704" si="371">W181</f>
        <v>40033.052928427525</v>
      </c>
      <c r="I679" s="147">
        <f t="shared" ref="I679:I704" si="372">X181</f>
        <v>46394.152625924013</v>
      </c>
      <c r="J679" s="147">
        <f t="shared" ref="J679:J704" si="373">Y181</f>
        <v>52864.403217013882</v>
      </c>
      <c r="K679" s="147">
        <f t="shared" ref="K679:K704" si="374">Z181</f>
        <v>61847.508416004181</v>
      </c>
      <c r="L679" s="147">
        <f t="shared" ref="L679:L704" si="375">AA181</f>
        <v>69715.347795865149</v>
      </c>
      <c r="M679" s="147">
        <f t="shared" ref="M679:M704" si="376">AB181</f>
        <v>76923.38</v>
      </c>
      <c r="N679" s="147" t="s">
        <v>176</v>
      </c>
      <c r="O679" s="34" t="s">
        <v>142</v>
      </c>
    </row>
    <row r="680" spans="1:15" hidden="1">
      <c r="A680" s="212" t="s">
        <v>89</v>
      </c>
      <c r="B680" s="147">
        <f t="shared" si="365"/>
        <v>1639.9360175650572</v>
      </c>
      <c r="C680" s="147">
        <f t="shared" si="366"/>
        <v>3709.7575158830241</v>
      </c>
      <c r="D680" s="147">
        <f t="shared" si="367"/>
        <v>5524.2773609606948</v>
      </c>
      <c r="E680" s="147">
        <f t="shared" si="368"/>
        <v>6681.9561991835726</v>
      </c>
      <c r="F680" s="147">
        <f t="shared" si="369"/>
        <v>8441.1529267485512</v>
      </c>
      <c r="G680" s="147">
        <f t="shared" si="370"/>
        <v>10272.8195937373</v>
      </c>
      <c r="H680" s="147">
        <f t="shared" si="371"/>
        <v>11950.483506526829</v>
      </c>
      <c r="I680" s="147">
        <f t="shared" si="372"/>
        <v>14985.41502031157</v>
      </c>
      <c r="J680" s="147">
        <f t="shared" si="373"/>
        <v>17023.024203583715</v>
      </c>
      <c r="K680" s="147">
        <f t="shared" si="374"/>
        <v>19002.89295034148</v>
      </c>
      <c r="L680" s="147">
        <f t="shared" si="375"/>
        <v>21013.375268142878</v>
      </c>
      <c r="M680" s="147">
        <f t="shared" si="376"/>
        <v>23054.03</v>
      </c>
      <c r="N680" s="147" t="s">
        <v>176</v>
      </c>
      <c r="O680" s="34" t="s">
        <v>142</v>
      </c>
    </row>
    <row r="681" spans="1:15" hidden="1">
      <c r="A681" s="212" t="s">
        <v>90</v>
      </c>
      <c r="B681" s="147">
        <f t="shared" si="365"/>
        <v>4860.5168181454555</v>
      </c>
      <c r="C681" s="147">
        <f t="shared" si="366"/>
        <v>10027.557342349777</v>
      </c>
      <c r="D681" s="147">
        <f t="shared" si="367"/>
        <v>14391.834745024671</v>
      </c>
      <c r="E681" s="147">
        <f t="shared" si="368"/>
        <v>18360.422017537552</v>
      </c>
      <c r="F681" s="147">
        <f t="shared" si="369"/>
        <v>22474.123905744538</v>
      </c>
      <c r="G681" s="147">
        <f t="shared" si="370"/>
        <v>26178.669692944219</v>
      </c>
      <c r="H681" s="147">
        <f t="shared" si="371"/>
        <v>30590.087006524587</v>
      </c>
      <c r="I681" s="147">
        <f t="shared" si="372"/>
        <v>36566.462181296105</v>
      </c>
      <c r="J681" s="147">
        <f t="shared" si="373"/>
        <v>41298.82014855434</v>
      </c>
      <c r="K681" s="147">
        <f t="shared" si="374"/>
        <v>47295.293193755155</v>
      </c>
      <c r="L681" s="147">
        <f t="shared" si="375"/>
        <v>52380.345106204913</v>
      </c>
      <c r="M681" s="147">
        <f t="shared" si="376"/>
        <v>58272.800000000003</v>
      </c>
      <c r="N681" s="147" t="s">
        <v>176</v>
      </c>
      <c r="O681" s="34" t="s">
        <v>142</v>
      </c>
    </row>
    <row r="682" spans="1:15" hidden="1">
      <c r="A682" s="212" t="s">
        <v>91</v>
      </c>
      <c r="B682" s="147">
        <f t="shared" si="365"/>
        <v>10605.888565240521</v>
      </c>
      <c r="C682" s="147">
        <f t="shared" si="366"/>
        <v>20511.301031675957</v>
      </c>
      <c r="D682" s="147">
        <f t="shared" si="367"/>
        <v>28233.923288775462</v>
      </c>
      <c r="E682" s="147">
        <f t="shared" si="368"/>
        <v>35269.199540573012</v>
      </c>
      <c r="F682" s="147">
        <f t="shared" si="369"/>
        <v>42260.846433198181</v>
      </c>
      <c r="G682" s="147">
        <f t="shared" si="370"/>
        <v>48965.279907134485</v>
      </c>
      <c r="H682" s="147">
        <f t="shared" si="371"/>
        <v>57650.758985666369</v>
      </c>
      <c r="I682" s="147">
        <f t="shared" si="372"/>
        <v>67776.829956815622</v>
      </c>
      <c r="J682" s="147">
        <f t="shared" si="373"/>
        <v>75186.672560241161</v>
      </c>
      <c r="K682" s="147">
        <f t="shared" si="374"/>
        <v>85086.371812196405</v>
      </c>
      <c r="L682" s="147">
        <f t="shared" si="375"/>
        <v>95936.131984957246</v>
      </c>
      <c r="M682" s="147">
        <f t="shared" si="376"/>
        <v>107746.69</v>
      </c>
      <c r="N682" s="147" t="s">
        <v>176</v>
      </c>
      <c r="O682" s="34" t="s">
        <v>142</v>
      </c>
    </row>
    <row r="683" spans="1:15" hidden="1">
      <c r="A683" s="212" t="s">
        <v>92</v>
      </c>
      <c r="B683" s="147">
        <f t="shared" si="365"/>
        <v>4206.3452261411094</v>
      </c>
      <c r="C683" s="147">
        <f t="shared" si="366"/>
        <v>11615.326113469861</v>
      </c>
      <c r="D683" s="147">
        <f t="shared" si="367"/>
        <v>16351.969751719926</v>
      </c>
      <c r="E683" s="147">
        <f t="shared" si="368"/>
        <v>19662.057885981787</v>
      </c>
      <c r="F683" s="147">
        <f t="shared" si="369"/>
        <v>23281.421544777859</v>
      </c>
      <c r="G683" s="147">
        <f t="shared" si="370"/>
        <v>27352.724276615871</v>
      </c>
      <c r="H683" s="147">
        <f t="shared" si="371"/>
        <v>32255.265651994614</v>
      </c>
      <c r="I683" s="147">
        <f t="shared" si="372"/>
        <v>37209.023049612864</v>
      </c>
      <c r="J683" s="147">
        <f t="shared" si="373"/>
        <v>41403.65038861108</v>
      </c>
      <c r="K683" s="147">
        <f t="shared" si="374"/>
        <v>47180.524187761475</v>
      </c>
      <c r="L683" s="147">
        <f t="shared" si="375"/>
        <v>52272.534045766137</v>
      </c>
      <c r="M683" s="147">
        <f t="shared" si="376"/>
        <v>57383.770000000004</v>
      </c>
      <c r="N683" s="147" t="s">
        <v>176</v>
      </c>
      <c r="O683" s="34" t="s">
        <v>142</v>
      </c>
    </row>
    <row r="684" spans="1:15" hidden="1">
      <c r="A684" s="212" t="s">
        <v>93</v>
      </c>
      <c r="B684" s="147">
        <f t="shared" si="365"/>
        <v>15310.18423458072</v>
      </c>
      <c r="C684" s="147">
        <f t="shared" si="366"/>
        <v>31357.513912644605</v>
      </c>
      <c r="D684" s="147">
        <f t="shared" si="367"/>
        <v>45527.375353338335</v>
      </c>
      <c r="E684" s="147">
        <f t="shared" si="368"/>
        <v>57709.536197394729</v>
      </c>
      <c r="F684" s="147">
        <f t="shared" si="369"/>
        <v>70580.596835414137</v>
      </c>
      <c r="G684" s="147">
        <f t="shared" si="370"/>
        <v>84749.003807464396</v>
      </c>
      <c r="H684" s="147">
        <f t="shared" si="371"/>
        <v>100835.35920667784</v>
      </c>
      <c r="I684" s="147">
        <f t="shared" si="372"/>
        <v>117414.01909845023</v>
      </c>
      <c r="J684" s="147">
        <f t="shared" si="373"/>
        <v>131124.24054810414</v>
      </c>
      <c r="K684" s="147">
        <f t="shared" si="374"/>
        <v>148773.41340978455</v>
      </c>
      <c r="L684" s="147">
        <f t="shared" si="375"/>
        <v>166761.38148113465</v>
      </c>
      <c r="M684" s="147">
        <f t="shared" si="376"/>
        <v>186218.79</v>
      </c>
      <c r="N684" s="147" t="s">
        <v>176</v>
      </c>
      <c r="O684" s="34" t="s">
        <v>142</v>
      </c>
    </row>
    <row r="685" spans="1:15" hidden="1">
      <c r="A685" s="212" t="s">
        <v>94</v>
      </c>
      <c r="B685" s="147">
        <f t="shared" si="365"/>
        <v>7785.2514161880017</v>
      </c>
      <c r="C685" s="147">
        <f t="shared" si="366"/>
        <v>14357.757352006514</v>
      </c>
      <c r="D685" s="147">
        <f t="shared" si="367"/>
        <v>21429.901089290259</v>
      </c>
      <c r="E685" s="147">
        <f t="shared" si="368"/>
        <v>27046.631112959956</v>
      </c>
      <c r="F685" s="147">
        <f t="shared" si="369"/>
        <v>32969.547232214412</v>
      </c>
      <c r="G685" s="147">
        <f t="shared" si="370"/>
        <v>39396.223060760371</v>
      </c>
      <c r="H685" s="147">
        <f t="shared" si="371"/>
        <v>47721.952952892047</v>
      </c>
      <c r="I685" s="147">
        <f t="shared" si="372"/>
        <v>59443.75751189248</v>
      </c>
      <c r="J685" s="147">
        <f t="shared" si="373"/>
        <v>70211.376779323429</v>
      </c>
      <c r="K685" s="147">
        <f t="shared" si="374"/>
        <v>82452.044310542246</v>
      </c>
      <c r="L685" s="147">
        <f t="shared" si="375"/>
        <v>96553.350078018455</v>
      </c>
      <c r="M685" s="147">
        <f t="shared" si="376"/>
        <v>111410.01999999999</v>
      </c>
      <c r="N685" s="147" t="s">
        <v>176</v>
      </c>
      <c r="O685" s="34" t="s">
        <v>142</v>
      </c>
    </row>
    <row r="686" spans="1:15" hidden="1">
      <c r="A686" s="212" t="s">
        <v>95</v>
      </c>
      <c r="B686" s="147">
        <f t="shared" si="365"/>
        <v>8265.9151373877376</v>
      </c>
      <c r="C686" s="147">
        <f t="shared" si="366"/>
        <v>17556.583305897529</v>
      </c>
      <c r="D686" s="147">
        <f t="shared" si="367"/>
        <v>26909.638623763411</v>
      </c>
      <c r="E686" s="147">
        <f t="shared" si="368"/>
        <v>35468.560419935617</v>
      </c>
      <c r="F686" s="147">
        <f t="shared" si="369"/>
        <v>42359.579898435222</v>
      </c>
      <c r="G686" s="147">
        <f t="shared" si="370"/>
        <v>48970.19672599656</v>
      </c>
      <c r="H686" s="147">
        <f t="shared" si="371"/>
        <v>59630.627986418018</v>
      </c>
      <c r="I686" s="147">
        <f t="shared" si="372"/>
        <v>70999.909300659594</v>
      </c>
      <c r="J686" s="147">
        <f t="shared" si="373"/>
        <v>80102.561943650027</v>
      </c>
      <c r="K686" s="147">
        <f t="shared" si="374"/>
        <v>90253.902333657985</v>
      </c>
      <c r="L686" s="147">
        <f t="shared" si="375"/>
        <v>99579.16273322927</v>
      </c>
      <c r="M686" s="147">
        <f t="shared" si="376"/>
        <v>111784</v>
      </c>
      <c r="N686" s="147" t="s">
        <v>176</v>
      </c>
      <c r="O686" s="34" t="s">
        <v>142</v>
      </c>
    </row>
    <row r="687" spans="1:15" hidden="1">
      <c r="A687" s="212" t="s">
        <v>96</v>
      </c>
      <c r="B687" s="147">
        <f t="shared" si="365"/>
        <v>4306.4532270513873</v>
      </c>
      <c r="C687" s="147">
        <f t="shared" si="366"/>
        <v>7297.0093915719881</v>
      </c>
      <c r="D687" s="147">
        <f t="shared" si="367"/>
        <v>11531.718370509099</v>
      </c>
      <c r="E687" s="147">
        <f t="shared" si="368"/>
        <v>14190.170677923827</v>
      </c>
      <c r="F687" s="147">
        <f t="shared" si="369"/>
        <v>17104.283110857592</v>
      </c>
      <c r="G687" s="147">
        <f t="shared" si="370"/>
        <v>20549.792872854749</v>
      </c>
      <c r="H687" s="147">
        <f t="shared" si="371"/>
        <v>26439.212871330703</v>
      </c>
      <c r="I687" s="147">
        <f t="shared" si="372"/>
        <v>31455.289899939322</v>
      </c>
      <c r="J687" s="147">
        <f t="shared" si="373"/>
        <v>36346.685970097984</v>
      </c>
      <c r="K687" s="147">
        <f t="shared" si="374"/>
        <v>41859.575187764349</v>
      </c>
      <c r="L687" s="147">
        <f t="shared" si="375"/>
        <v>47492.463444359506</v>
      </c>
      <c r="M687" s="147">
        <f t="shared" si="376"/>
        <v>53046.36</v>
      </c>
      <c r="N687" s="147" t="s">
        <v>176</v>
      </c>
      <c r="O687" s="34" t="s">
        <v>142</v>
      </c>
    </row>
    <row r="688" spans="1:15" hidden="1">
      <c r="A688" s="212" t="s">
        <v>97</v>
      </c>
      <c r="B688" s="147">
        <f t="shared" si="365"/>
        <v>8922.4473509453783</v>
      </c>
      <c r="C688" s="147">
        <f t="shared" si="366"/>
        <v>20289.999584089997</v>
      </c>
      <c r="D688" s="147">
        <f t="shared" si="367"/>
        <v>30350.055440415934</v>
      </c>
      <c r="E688" s="147">
        <f t="shared" si="368"/>
        <v>37376.039085671699</v>
      </c>
      <c r="F688" s="147">
        <f t="shared" si="369"/>
        <v>45701.435464316033</v>
      </c>
      <c r="G688" s="147">
        <f t="shared" si="370"/>
        <v>53298.084287127553</v>
      </c>
      <c r="H688" s="147">
        <f t="shared" si="371"/>
        <v>60099.850779440989</v>
      </c>
      <c r="I688" s="147">
        <f t="shared" si="372"/>
        <v>69223.563848098609</v>
      </c>
      <c r="J688" s="147">
        <f t="shared" si="373"/>
        <v>77335.085174407723</v>
      </c>
      <c r="K688" s="147">
        <f t="shared" si="374"/>
        <v>88878.163517858236</v>
      </c>
      <c r="L688" s="147">
        <f t="shared" si="375"/>
        <v>100942.83940851159</v>
      </c>
      <c r="M688" s="147">
        <f t="shared" si="376"/>
        <v>111791.62</v>
      </c>
      <c r="N688" s="147" t="s">
        <v>176</v>
      </c>
      <c r="O688" s="34" t="s">
        <v>142</v>
      </c>
    </row>
    <row r="689" spans="1:15" hidden="1">
      <c r="A689" s="212" t="s">
        <v>98</v>
      </c>
      <c r="B689" s="147">
        <f t="shared" si="365"/>
        <v>7695.0611397942612</v>
      </c>
      <c r="C689" s="147">
        <f t="shared" si="366"/>
        <v>16532.713053260213</v>
      </c>
      <c r="D689" s="147">
        <f t="shared" si="367"/>
        <v>23599.303219803347</v>
      </c>
      <c r="E689" s="147">
        <f t="shared" si="368"/>
        <v>32350.966618926486</v>
      </c>
      <c r="F689" s="147">
        <f t="shared" si="369"/>
        <v>41659.376602627897</v>
      </c>
      <c r="G689" s="147">
        <f t="shared" si="370"/>
        <v>52681.695968308661</v>
      </c>
      <c r="H689" s="147">
        <f t="shared" si="371"/>
        <v>61506.279319748879</v>
      </c>
      <c r="I689" s="147">
        <f t="shared" si="372"/>
        <v>71377.099374583428</v>
      </c>
      <c r="J689" s="147">
        <f t="shared" si="373"/>
        <v>83729.159757111032</v>
      </c>
      <c r="K689" s="147">
        <f t="shared" si="374"/>
        <v>94530.285897657857</v>
      </c>
      <c r="L689" s="147">
        <f t="shared" si="375"/>
        <v>104924.30357746471</v>
      </c>
      <c r="M689" s="147">
        <f t="shared" si="376"/>
        <v>117897.60000000001</v>
      </c>
      <c r="N689" s="147" t="s">
        <v>176</v>
      </c>
      <c r="O689" s="34" t="s">
        <v>142</v>
      </c>
    </row>
    <row r="690" spans="1:15" hidden="1">
      <c r="A690" s="212" t="s">
        <v>99</v>
      </c>
      <c r="B690" s="147">
        <f t="shared" si="365"/>
        <v>50309.114013855964</v>
      </c>
      <c r="C690" s="147">
        <f t="shared" si="366"/>
        <v>87067.886652868096</v>
      </c>
      <c r="D690" s="147">
        <f t="shared" si="367"/>
        <v>123133.6959685586</v>
      </c>
      <c r="E690" s="147">
        <f t="shared" si="368"/>
        <v>153129.29066250075</v>
      </c>
      <c r="F690" s="147">
        <f t="shared" si="369"/>
        <v>187963.11606504489</v>
      </c>
      <c r="G690" s="147">
        <f t="shared" si="370"/>
        <v>218972.38777877478</v>
      </c>
      <c r="H690" s="147">
        <f t="shared" si="371"/>
        <v>252595.71627971352</v>
      </c>
      <c r="I690" s="147">
        <f t="shared" si="372"/>
        <v>285990.05948629364</v>
      </c>
      <c r="J690" s="147">
        <f t="shared" si="373"/>
        <v>321189.69049040711</v>
      </c>
      <c r="K690" s="147">
        <f t="shared" si="374"/>
        <v>367069.07401011727</v>
      </c>
      <c r="L690" s="147">
        <f t="shared" si="375"/>
        <v>416410.44326295913</v>
      </c>
      <c r="M690" s="147">
        <f t="shared" si="376"/>
        <v>463078.48</v>
      </c>
      <c r="N690" s="147" t="s">
        <v>176</v>
      </c>
      <c r="O690" s="34" t="s">
        <v>142</v>
      </c>
    </row>
    <row r="691" spans="1:15" hidden="1">
      <c r="A691" s="212" t="s">
        <v>100</v>
      </c>
      <c r="B691" s="147">
        <f t="shared" si="365"/>
        <v>7229.1561440769592</v>
      </c>
      <c r="C691" s="147">
        <f t="shared" si="366"/>
        <v>14213.790823704296</v>
      </c>
      <c r="D691" s="147">
        <f t="shared" si="367"/>
        <v>19933.06204321788</v>
      </c>
      <c r="E691" s="147">
        <f t="shared" si="368"/>
        <v>24999.581001259947</v>
      </c>
      <c r="F691" s="147">
        <f t="shared" si="369"/>
        <v>30403.480372169943</v>
      </c>
      <c r="G691" s="147">
        <f t="shared" si="370"/>
        <v>35759.537913975866</v>
      </c>
      <c r="H691" s="147">
        <f t="shared" si="371"/>
        <v>41446.321883287266</v>
      </c>
      <c r="I691" s="147">
        <f t="shared" si="372"/>
        <v>47195.999775639561</v>
      </c>
      <c r="J691" s="147">
        <f t="shared" si="373"/>
        <v>53707.289828810623</v>
      </c>
      <c r="K691" s="147">
        <f t="shared" si="374"/>
        <v>60832.819142731285</v>
      </c>
      <c r="L691" s="147">
        <f t="shared" si="375"/>
        <v>69379.136055537019</v>
      </c>
      <c r="M691" s="147">
        <f t="shared" si="376"/>
        <v>76983.98</v>
      </c>
      <c r="N691" s="147" t="s">
        <v>176</v>
      </c>
      <c r="O691" s="34" t="s">
        <v>142</v>
      </c>
    </row>
    <row r="692" spans="1:15" hidden="1">
      <c r="A692" s="212" t="s">
        <v>101</v>
      </c>
      <c r="B692" s="147">
        <f t="shared" si="365"/>
        <v>5768.0659501486361</v>
      </c>
      <c r="C692" s="147">
        <f t="shared" si="366"/>
        <v>10536.16481549198</v>
      </c>
      <c r="D692" s="147">
        <f t="shared" si="367"/>
        <v>16321.723995428618</v>
      </c>
      <c r="E692" s="147">
        <f t="shared" si="368"/>
        <v>21843.664171829001</v>
      </c>
      <c r="F692" s="147">
        <f t="shared" si="369"/>
        <v>26723.755290277924</v>
      </c>
      <c r="G692" s="147">
        <f t="shared" si="370"/>
        <v>32203.269312974418</v>
      </c>
      <c r="H692" s="147">
        <f t="shared" si="371"/>
        <v>37046.017597280661</v>
      </c>
      <c r="I692" s="147">
        <f t="shared" si="372"/>
        <v>42723.946896847505</v>
      </c>
      <c r="J692" s="147">
        <f t="shared" si="373"/>
        <v>47761.014221722762</v>
      </c>
      <c r="K692" s="147">
        <f t="shared" si="374"/>
        <v>54021.596033765869</v>
      </c>
      <c r="L692" s="147">
        <f t="shared" si="375"/>
        <v>60772.990208007788</v>
      </c>
      <c r="M692" s="147">
        <f t="shared" si="376"/>
        <v>67172.36</v>
      </c>
      <c r="N692" s="147" t="s">
        <v>176</v>
      </c>
      <c r="O692" s="34" t="s">
        <v>142</v>
      </c>
    </row>
    <row r="693" spans="1:15" hidden="1">
      <c r="A693" s="212" t="s">
        <v>102</v>
      </c>
      <c r="B693" s="147">
        <f t="shared" si="365"/>
        <v>31129.968916199119</v>
      </c>
      <c r="C693" s="147">
        <f t="shared" si="366"/>
        <v>60077.58182658664</v>
      </c>
      <c r="D693" s="147">
        <f t="shared" si="367"/>
        <v>84000.570474417749</v>
      </c>
      <c r="E693" s="147">
        <f t="shared" si="368"/>
        <v>110731.94384477695</v>
      </c>
      <c r="F693" s="147">
        <f t="shared" si="369"/>
        <v>132702.79971896851</v>
      </c>
      <c r="G693" s="147">
        <f t="shared" si="370"/>
        <v>156637.09154657021</v>
      </c>
      <c r="H693" s="147">
        <f t="shared" si="371"/>
        <v>184004.91769630692</v>
      </c>
      <c r="I693" s="147">
        <f t="shared" si="372"/>
        <v>213179.08228166512</v>
      </c>
      <c r="J693" s="147">
        <f t="shared" si="373"/>
        <v>238492.29944107859</v>
      </c>
      <c r="K693" s="147">
        <f t="shared" si="374"/>
        <v>276936.11896254745</v>
      </c>
      <c r="L693" s="147">
        <f t="shared" si="375"/>
        <v>317103.58961696987</v>
      </c>
      <c r="M693" s="147">
        <f t="shared" si="376"/>
        <v>370038.78</v>
      </c>
      <c r="N693" s="147" t="s">
        <v>176</v>
      </c>
      <c r="O693" s="34" t="s">
        <v>142</v>
      </c>
    </row>
    <row r="694" spans="1:15" hidden="1">
      <c r="A694" s="212" t="s">
        <v>103</v>
      </c>
      <c r="B694" s="147">
        <f t="shared" si="365"/>
        <v>11273.368495701679</v>
      </c>
      <c r="C694" s="147">
        <f t="shared" si="366"/>
        <v>21724.67990195275</v>
      </c>
      <c r="D694" s="147">
        <f t="shared" si="367"/>
        <v>31197.005580124722</v>
      </c>
      <c r="E694" s="147">
        <f t="shared" si="368"/>
        <v>40120.726367960327</v>
      </c>
      <c r="F694" s="147">
        <f t="shared" si="369"/>
        <v>50190.439869097972</v>
      </c>
      <c r="G694" s="147">
        <f t="shared" si="370"/>
        <v>58126.547165240081</v>
      </c>
      <c r="H694" s="147">
        <f t="shared" si="371"/>
        <v>70102.254601816938</v>
      </c>
      <c r="I694" s="147">
        <f t="shared" si="372"/>
        <v>81327.095560021669</v>
      </c>
      <c r="J694" s="147">
        <f t="shared" si="373"/>
        <v>89387.80710049592</v>
      </c>
      <c r="K694" s="147">
        <f t="shared" si="374"/>
        <v>97776.01507086966</v>
      </c>
      <c r="L694" s="147">
        <f t="shared" si="375"/>
        <v>107059.32778949216</v>
      </c>
      <c r="M694" s="147">
        <f t="shared" si="376"/>
        <v>117377.69</v>
      </c>
      <c r="N694" s="147" t="s">
        <v>176</v>
      </c>
      <c r="O694" s="34" t="s">
        <v>142</v>
      </c>
    </row>
    <row r="695" spans="1:15" hidden="1">
      <c r="A695" s="212" t="s">
        <v>104</v>
      </c>
      <c r="B695" s="147">
        <f t="shared" si="365"/>
        <v>2978.4783475035929</v>
      </c>
      <c r="C695" s="147">
        <f t="shared" si="366"/>
        <v>6300.8248574339923</v>
      </c>
      <c r="D695" s="147">
        <f t="shared" si="367"/>
        <v>8592.6647560527163</v>
      </c>
      <c r="E695" s="147">
        <f t="shared" si="368"/>
        <v>11601.411820576646</v>
      </c>
      <c r="F695" s="147">
        <f t="shared" si="369"/>
        <v>14404.229539297421</v>
      </c>
      <c r="G695" s="147">
        <f t="shared" si="370"/>
        <v>16754.166195636073</v>
      </c>
      <c r="H695" s="147">
        <f t="shared" si="371"/>
        <v>19179.046443673007</v>
      </c>
      <c r="I695" s="147">
        <f t="shared" si="372"/>
        <v>21970.766781340288</v>
      </c>
      <c r="J695" s="147">
        <f t="shared" si="373"/>
        <v>24171.842016358303</v>
      </c>
      <c r="K695" s="147">
        <f t="shared" si="374"/>
        <v>26263.262665427545</v>
      </c>
      <c r="L695" s="147">
        <f t="shared" si="375"/>
        <v>29136.095521415133</v>
      </c>
      <c r="M695" s="147">
        <f t="shared" si="376"/>
        <v>31540.54</v>
      </c>
      <c r="N695" s="147" t="s">
        <v>176</v>
      </c>
      <c r="O695" s="34" t="s">
        <v>142</v>
      </c>
    </row>
    <row r="696" spans="1:15" hidden="1">
      <c r="A696" s="212" t="s">
        <v>105</v>
      </c>
      <c r="B696" s="147">
        <f t="shared" si="365"/>
        <v>42848.422359593293</v>
      </c>
      <c r="C696" s="147">
        <f t="shared" si="366"/>
        <v>80383.270364511191</v>
      </c>
      <c r="D696" s="147">
        <f t="shared" si="367"/>
        <v>110660.18720169563</v>
      </c>
      <c r="E696" s="147">
        <f t="shared" si="368"/>
        <v>144792.26652327774</v>
      </c>
      <c r="F696" s="147">
        <f t="shared" si="369"/>
        <v>179274.5198971288</v>
      </c>
      <c r="G696" s="147">
        <f t="shared" si="370"/>
        <v>215927.28781253804</v>
      </c>
      <c r="H696" s="147">
        <f t="shared" si="371"/>
        <v>266130.22852763685</v>
      </c>
      <c r="I696" s="147">
        <f t="shared" si="372"/>
        <v>326079.5312890702</v>
      </c>
      <c r="J696" s="147">
        <f t="shared" si="373"/>
        <v>371837.40651341126</v>
      </c>
      <c r="K696" s="147">
        <f t="shared" si="374"/>
        <v>429809.63444871799</v>
      </c>
      <c r="L696" s="147">
        <f t="shared" si="375"/>
        <v>476481.74513814901</v>
      </c>
      <c r="M696" s="147">
        <f t="shared" si="376"/>
        <v>529897.70799999963</v>
      </c>
      <c r="N696" s="147" t="s">
        <v>176</v>
      </c>
      <c r="O696" s="34" t="s">
        <v>142</v>
      </c>
    </row>
    <row r="697" spans="1:15" hidden="1">
      <c r="A697" s="212" t="s">
        <v>106</v>
      </c>
      <c r="B697" s="147">
        <f t="shared" si="365"/>
        <v>7893.8819775478441</v>
      </c>
      <c r="C697" s="147">
        <f t="shared" si="366"/>
        <v>16990.787304164936</v>
      </c>
      <c r="D697" s="147">
        <f t="shared" si="367"/>
        <v>25279.856331378007</v>
      </c>
      <c r="E697" s="147">
        <f t="shared" si="368"/>
        <v>31067.529931003024</v>
      </c>
      <c r="F697" s="147">
        <f t="shared" si="369"/>
        <v>37214.071941293842</v>
      </c>
      <c r="G697" s="147">
        <f t="shared" si="370"/>
        <v>42965.545280128608</v>
      </c>
      <c r="H697" s="147">
        <f t="shared" si="371"/>
        <v>50455.396999442506</v>
      </c>
      <c r="I697" s="147">
        <f t="shared" si="372"/>
        <v>57754.554644322081</v>
      </c>
      <c r="J697" s="147">
        <f t="shared" si="373"/>
        <v>65163.759950394204</v>
      </c>
      <c r="K697" s="147">
        <f t="shared" si="374"/>
        <v>73477.825639558156</v>
      </c>
      <c r="L697" s="147">
        <f t="shared" si="375"/>
        <v>83811.737708286557</v>
      </c>
      <c r="M697" s="147">
        <f t="shared" si="376"/>
        <v>92298.27</v>
      </c>
      <c r="N697" s="147" t="s">
        <v>176</v>
      </c>
      <c r="O697" s="34" t="s">
        <v>142</v>
      </c>
    </row>
    <row r="698" spans="1:15" hidden="1">
      <c r="A698" s="212" t="s">
        <v>107</v>
      </c>
      <c r="B698" s="147">
        <f t="shared" si="365"/>
        <v>39962.237978252771</v>
      </c>
      <c r="C698" s="147">
        <f t="shared" si="366"/>
        <v>73080.926930243179</v>
      </c>
      <c r="D698" s="147">
        <f t="shared" si="367"/>
        <v>101879.36444973997</v>
      </c>
      <c r="E698" s="147">
        <f t="shared" si="368"/>
        <v>133415.78432066325</v>
      </c>
      <c r="F698" s="147">
        <f t="shared" si="369"/>
        <v>166495.26031747804</v>
      </c>
      <c r="G698" s="147">
        <f t="shared" si="370"/>
        <v>196209.26246483915</v>
      </c>
      <c r="H698" s="147">
        <f t="shared" si="371"/>
        <v>236013.25910614693</v>
      </c>
      <c r="I698" s="147">
        <f t="shared" si="372"/>
        <v>272243.43022798037</v>
      </c>
      <c r="J698" s="147">
        <f t="shared" si="373"/>
        <v>304096.85395876144</v>
      </c>
      <c r="K698" s="147">
        <f t="shared" si="374"/>
        <v>349011.01291984966</v>
      </c>
      <c r="L698" s="147">
        <f t="shared" si="375"/>
        <v>391072.1224160954</v>
      </c>
      <c r="M698" s="147">
        <f t="shared" si="376"/>
        <v>439312.46</v>
      </c>
      <c r="N698" s="147" t="s">
        <v>176</v>
      </c>
      <c r="O698" s="34" t="s">
        <v>142</v>
      </c>
    </row>
    <row r="699" spans="1:15" hidden="1">
      <c r="A699" s="212" t="s">
        <v>108</v>
      </c>
      <c r="B699" s="147">
        <f t="shared" si="365"/>
        <v>2375.6630098961859</v>
      </c>
      <c r="C699" s="147">
        <f t="shared" si="366"/>
        <v>3733.7312455909228</v>
      </c>
      <c r="D699" s="147">
        <f t="shared" si="367"/>
        <v>5323.711173110737</v>
      </c>
      <c r="E699" s="147">
        <f t="shared" si="368"/>
        <v>6625.9227785210333</v>
      </c>
      <c r="F699" s="147">
        <f t="shared" si="369"/>
        <v>8400.0500145028545</v>
      </c>
      <c r="G699" s="147">
        <f t="shared" si="370"/>
        <v>10691.555963870333</v>
      </c>
      <c r="H699" s="147">
        <f t="shared" si="371"/>
        <v>12833.028864716156</v>
      </c>
      <c r="I699" s="147">
        <f t="shared" si="372"/>
        <v>15356.654538986828</v>
      </c>
      <c r="J699" s="147">
        <f t="shared" si="373"/>
        <v>17814.280139952923</v>
      </c>
      <c r="K699" s="147">
        <f t="shared" si="374"/>
        <v>21431.779577594916</v>
      </c>
      <c r="L699" s="147">
        <f t="shared" si="375"/>
        <v>23924.769509043843</v>
      </c>
      <c r="M699" s="147">
        <f t="shared" si="376"/>
        <v>27052.32</v>
      </c>
      <c r="N699" s="147" t="s">
        <v>176</v>
      </c>
      <c r="O699" s="34" t="s">
        <v>142</v>
      </c>
    </row>
    <row r="700" spans="1:15" hidden="1">
      <c r="A700" s="212" t="s">
        <v>109</v>
      </c>
      <c r="B700" s="147">
        <f t="shared" si="365"/>
        <v>267.45140501916825</v>
      </c>
      <c r="C700" s="147">
        <f t="shared" si="366"/>
        <v>470.14965399422243</v>
      </c>
      <c r="D700" s="147">
        <f t="shared" si="367"/>
        <v>677.43391957551535</v>
      </c>
      <c r="E700" s="147">
        <f t="shared" si="368"/>
        <v>844.18204251093175</v>
      </c>
      <c r="F700" s="147">
        <f t="shared" si="369"/>
        <v>890.09930790124986</v>
      </c>
      <c r="G700" s="147">
        <f t="shared" si="370"/>
        <v>1227.4650719652625</v>
      </c>
      <c r="H700" s="147">
        <f t="shared" si="371"/>
        <v>1647.0060531885219</v>
      </c>
      <c r="I700" s="147">
        <f t="shared" si="372"/>
        <v>1776.1973524659602</v>
      </c>
      <c r="J700" s="147">
        <f t="shared" si="373"/>
        <v>1934.1435705336096</v>
      </c>
      <c r="K700" s="147">
        <f t="shared" si="374"/>
        <v>2104.9334422621582</v>
      </c>
      <c r="L700" s="147">
        <f t="shared" si="375"/>
        <v>2393.6249937114549</v>
      </c>
      <c r="M700" s="147">
        <f t="shared" si="376"/>
        <v>2640.56</v>
      </c>
      <c r="N700" s="147" t="s">
        <v>176</v>
      </c>
      <c r="O700" s="34" t="s">
        <v>142</v>
      </c>
    </row>
    <row r="701" spans="1:15" hidden="1">
      <c r="A701" s="212" t="s">
        <v>110</v>
      </c>
      <c r="B701" s="147">
        <f t="shared" si="365"/>
        <v>19331.43077489654</v>
      </c>
      <c r="C701" s="147">
        <f t="shared" si="366"/>
        <v>36941.117878449317</v>
      </c>
      <c r="D701" s="147">
        <f t="shared" si="367"/>
        <v>53384.445031770192</v>
      </c>
      <c r="E701" s="147">
        <f t="shared" si="368"/>
        <v>67433.841937822348</v>
      </c>
      <c r="F701" s="147">
        <f t="shared" si="369"/>
        <v>81383.789455687511</v>
      </c>
      <c r="G701" s="147">
        <f t="shared" si="370"/>
        <v>97752.440356666193</v>
      </c>
      <c r="H701" s="147">
        <f t="shared" si="371"/>
        <v>114975.7209697068</v>
      </c>
      <c r="I701" s="147">
        <f t="shared" si="372"/>
        <v>133992.80019027347</v>
      </c>
      <c r="J701" s="147">
        <f t="shared" si="373"/>
        <v>149738.04065854757</v>
      </c>
      <c r="K701" s="147">
        <f t="shared" si="374"/>
        <v>169808.53245164687</v>
      </c>
      <c r="L701" s="147">
        <f t="shared" si="375"/>
        <v>188618.54358914765</v>
      </c>
      <c r="M701" s="147">
        <f t="shared" si="376"/>
        <v>211496.23599999945</v>
      </c>
      <c r="N701" s="147" t="s">
        <v>176</v>
      </c>
      <c r="O701" s="34" t="s">
        <v>142</v>
      </c>
    </row>
    <row r="702" spans="1:15" hidden="1">
      <c r="A702" s="212" t="s">
        <v>111</v>
      </c>
      <c r="B702" s="147">
        <f t="shared" si="365"/>
        <v>165521.01685688403</v>
      </c>
      <c r="C702" s="147">
        <f t="shared" si="366"/>
        <v>262265.11888389755</v>
      </c>
      <c r="D702" s="147">
        <f t="shared" si="367"/>
        <v>349172.0328177209</v>
      </c>
      <c r="E702" s="147">
        <f t="shared" si="368"/>
        <v>439389.52710376424</v>
      </c>
      <c r="F702" s="147">
        <f t="shared" si="369"/>
        <v>531283.65822136053</v>
      </c>
      <c r="G702" s="147">
        <f t="shared" si="370"/>
        <v>616802.1924326797</v>
      </c>
      <c r="H702" s="147">
        <f t="shared" si="371"/>
        <v>744687.1431212133</v>
      </c>
      <c r="I702" s="147">
        <f t="shared" si="372"/>
        <v>880354.14106025407</v>
      </c>
      <c r="J702" s="147">
        <f t="shared" si="373"/>
        <v>989861.14645646757</v>
      </c>
      <c r="K702" s="147">
        <f t="shared" si="374"/>
        <v>1155709.1781939517</v>
      </c>
      <c r="L702" s="147">
        <f t="shared" si="375"/>
        <v>1289388.6525986444</v>
      </c>
      <c r="M702" s="147">
        <f t="shared" si="376"/>
        <v>1422974.2455000002</v>
      </c>
      <c r="N702" s="147" t="s">
        <v>176</v>
      </c>
      <c r="O702" s="34" t="s">
        <v>142</v>
      </c>
    </row>
    <row r="703" spans="1:15" hidden="1">
      <c r="A703" s="212" t="s">
        <v>112</v>
      </c>
      <c r="B703" s="147">
        <f t="shared" si="365"/>
        <v>3968.4696405699551</v>
      </c>
      <c r="C703" s="147">
        <f t="shared" si="366"/>
        <v>7186.4709997735117</v>
      </c>
      <c r="D703" s="147">
        <f t="shared" si="367"/>
        <v>10601.963404937653</v>
      </c>
      <c r="E703" s="147">
        <f t="shared" si="368"/>
        <v>12989.841683420698</v>
      </c>
      <c r="F703" s="147">
        <f t="shared" si="369"/>
        <v>15088.791203751249</v>
      </c>
      <c r="G703" s="147">
        <f t="shared" si="370"/>
        <v>17946.180319475479</v>
      </c>
      <c r="H703" s="147">
        <f t="shared" si="371"/>
        <v>21199.046386461039</v>
      </c>
      <c r="I703" s="147">
        <f t="shared" si="372"/>
        <v>23646.782408561132</v>
      </c>
      <c r="J703" s="147">
        <f t="shared" si="373"/>
        <v>25868.99919255808</v>
      </c>
      <c r="K703" s="147">
        <f t="shared" si="374"/>
        <v>29210.098059232329</v>
      </c>
      <c r="L703" s="147">
        <f t="shared" si="375"/>
        <v>31880.126212050658</v>
      </c>
      <c r="M703" s="147">
        <f t="shared" si="376"/>
        <v>35429.54</v>
      </c>
      <c r="N703" s="147" t="s">
        <v>176</v>
      </c>
      <c r="O703" s="34" t="s">
        <v>142</v>
      </c>
    </row>
    <row r="704" spans="1:15" hidden="1">
      <c r="A704" s="212" t="s">
        <v>113</v>
      </c>
      <c r="B704" s="147">
        <f t="shared" si="365"/>
        <v>2325.2904971850253</v>
      </c>
      <c r="C704" s="147">
        <f t="shared" si="366"/>
        <v>4428.9830944793794</v>
      </c>
      <c r="D704" s="147">
        <f t="shared" si="367"/>
        <v>6426.1514720125733</v>
      </c>
      <c r="E704" s="147">
        <f t="shared" si="368"/>
        <v>8018.929564133482</v>
      </c>
      <c r="F704" s="147">
        <f t="shared" si="369"/>
        <v>9777.7962850960375</v>
      </c>
      <c r="G704" s="147">
        <f t="shared" si="370"/>
        <v>12294.834522681547</v>
      </c>
      <c r="H704" s="147">
        <f t="shared" si="371"/>
        <v>15423.718296232293</v>
      </c>
      <c r="I704" s="147">
        <f t="shared" si="372"/>
        <v>20484.528514993825</v>
      </c>
      <c r="J704" s="147">
        <f t="shared" si="373"/>
        <v>23251.560162493577</v>
      </c>
      <c r="K704" s="147">
        <f t="shared" si="374"/>
        <v>27962.969882792553</v>
      </c>
      <c r="L704" s="147">
        <f t="shared" si="375"/>
        <v>31839.576951401912</v>
      </c>
      <c r="M704" s="147">
        <f t="shared" si="376"/>
        <v>35493.51</v>
      </c>
      <c r="N704" s="147" t="s">
        <v>176</v>
      </c>
      <c r="O704" s="34" t="s">
        <v>142</v>
      </c>
    </row>
    <row r="705" spans="1:15" hidden="1">
      <c r="A705" s="212" t="s">
        <v>87</v>
      </c>
      <c r="B705" s="147">
        <f>B180</f>
        <v>1158.3569599444306</v>
      </c>
      <c r="C705" s="147">
        <f t="shared" ref="C705:M705" si="377">C180</f>
        <v>2201.2337819153204</v>
      </c>
      <c r="D705" s="147">
        <f t="shared" si="377"/>
        <v>3266.541463183647</v>
      </c>
      <c r="E705" s="147">
        <f t="shared" si="377"/>
        <v>4778.6346241089223</v>
      </c>
      <c r="F705" s="147">
        <f t="shared" si="377"/>
        <v>6248.947960502539</v>
      </c>
      <c r="G705" s="147">
        <f t="shared" si="377"/>
        <v>7223.4714044978746</v>
      </c>
      <c r="H705" s="147">
        <f t="shared" si="377"/>
        <v>9346.213273778978</v>
      </c>
      <c r="I705" s="147">
        <f t="shared" si="377"/>
        <v>10803.882464877393</v>
      </c>
      <c r="J705" s="147">
        <f t="shared" si="377"/>
        <v>12120.698555042884</v>
      </c>
      <c r="K705" s="147">
        <f t="shared" si="377"/>
        <v>14054.086818656831</v>
      </c>
      <c r="L705" s="147">
        <f t="shared" si="377"/>
        <v>16953.644702022604</v>
      </c>
      <c r="M705" s="147">
        <f t="shared" si="377"/>
        <v>19116.236204800007</v>
      </c>
      <c r="N705" s="147" t="s">
        <v>224</v>
      </c>
      <c r="O705" s="34" t="s">
        <v>142</v>
      </c>
    </row>
    <row r="706" spans="1:15" hidden="1">
      <c r="A706" s="212" t="s">
        <v>88</v>
      </c>
      <c r="B706" s="147">
        <f t="shared" ref="B706:M706" si="378">B181</f>
        <v>4710.0642534038607</v>
      </c>
      <c r="C706" s="147">
        <f t="shared" si="378"/>
        <v>10174.274964784394</v>
      </c>
      <c r="D706" s="147">
        <f t="shared" si="378"/>
        <v>13841.015417907647</v>
      </c>
      <c r="E706" s="147">
        <f t="shared" si="378"/>
        <v>17367.406276706213</v>
      </c>
      <c r="F706" s="147">
        <f t="shared" si="378"/>
        <v>23024.648552392217</v>
      </c>
      <c r="G706" s="147">
        <f t="shared" si="378"/>
        <v>26386.680511597679</v>
      </c>
      <c r="H706" s="147">
        <f t="shared" si="378"/>
        <v>30843.861213977078</v>
      </c>
      <c r="I706" s="147">
        <f t="shared" si="378"/>
        <v>35744.833332906601</v>
      </c>
      <c r="J706" s="147">
        <f t="shared" si="378"/>
        <v>40729.901836376041</v>
      </c>
      <c r="K706" s="147">
        <f t="shared" si="378"/>
        <v>47651.024003190912</v>
      </c>
      <c r="L706" s="147">
        <f t="shared" si="378"/>
        <v>53712.878599195807</v>
      </c>
      <c r="M706" s="147">
        <f t="shared" si="378"/>
        <v>59266.378236800017</v>
      </c>
      <c r="N706" s="147" t="s">
        <v>224</v>
      </c>
      <c r="O706" s="34" t="s">
        <v>142</v>
      </c>
    </row>
    <row r="707" spans="1:15" hidden="1">
      <c r="A707" s="212" t="s">
        <v>89</v>
      </c>
      <c r="B707" s="147">
        <f t="shared" ref="B707:M707" si="379">B182</f>
        <v>1918.4233321668933</v>
      </c>
      <c r="C707" s="147">
        <f t="shared" si="379"/>
        <v>4339.7335621169477</v>
      </c>
      <c r="D707" s="147">
        <f t="shared" si="379"/>
        <v>6462.3878426451611</v>
      </c>
      <c r="E707" s="147">
        <f t="shared" si="379"/>
        <v>7816.6590279931133</v>
      </c>
      <c r="F707" s="147">
        <f t="shared" si="379"/>
        <v>9874.5954425144901</v>
      </c>
      <c r="G707" s="147">
        <f t="shared" si="379"/>
        <v>12017.308349034445</v>
      </c>
      <c r="H707" s="147">
        <f t="shared" si="379"/>
        <v>13979.866375297295</v>
      </c>
      <c r="I707" s="147">
        <f t="shared" si="379"/>
        <v>17530.177707697956</v>
      </c>
      <c r="J707" s="147">
        <f t="shared" si="379"/>
        <v>19913.805457291997</v>
      </c>
      <c r="K707" s="147">
        <f t="shared" si="379"/>
        <v>22229.887522522597</v>
      </c>
      <c r="L707" s="147">
        <f t="shared" si="379"/>
        <v>24581.781831854194</v>
      </c>
      <c r="M707" s="147">
        <f t="shared" si="379"/>
        <v>26968.972312799997</v>
      </c>
      <c r="N707" s="147" t="s">
        <v>224</v>
      </c>
      <c r="O707" s="34" t="s">
        <v>142</v>
      </c>
    </row>
    <row r="708" spans="1:15" hidden="1">
      <c r="A708" s="212" t="s">
        <v>90</v>
      </c>
      <c r="B708" s="147">
        <f t="shared" ref="B708:M708" si="380">B183</f>
        <v>4633.8125665562329</v>
      </c>
      <c r="C708" s="147">
        <f t="shared" si="380"/>
        <v>9559.8519588237523</v>
      </c>
      <c r="D708" s="147">
        <f t="shared" si="380"/>
        <v>13720.570711396356</v>
      </c>
      <c r="E708" s="147">
        <f t="shared" si="380"/>
        <v>17504.055114987405</v>
      </c>
      <c r="F708" s="147">
        <f t="shared" si="380"/>
        <v>21425.885697586404</v>
      </c>
      <c r="G708" s="147">
        <f t="shared" si="380"/>
        <v>24957.644040243191</v>
      </c>
      <c r="H708" s="147">
        <f t="shared" si="380"/>
        <v>29163.304003743131</v>
      </c>
      <c r="I708" s="147">
        <f t="shared" si="380"/>
        <v>34860.929055450586</v>
      </c>
      <c r="J708" s="147">
        <f t="shared" si="380"/>
        <v>39372.560356932379</v>
      </c>
      <c r="K708" s="147">
        <f t="shared" si="380"/>
        <v>45089.345874088409</v>
      </c>
      <c r="L708" s="147">
        <f t="shared" si="380"/>
        <v>49937.220767872052</v>
      </c>
      <c r="M708" s="147">
        <f t="shared" si="380"/>
        <v>55554.839748800005</v>
      </c>
      <c r="N708" s="147" t="s">
        <v>224</v>
      </c>
      <c r="O708" s="34" t="s">
        <v>142</v>
      </c>
    </row>
    <row r="709" spans="1:15" hidden="1">
      <c r="A709" s="212" t="s">
        <v>91</v>
      </c>
      <c r="B709" s="147">
        <f t="shared" ref="B709:M709" si="381">B184</f>
        <v>15989.47880004089</v>
      </c>
      <c r="C709" s="147">
        <f t="shared" si="381"/>
        <v>30922.917112490137</v>
      </c>
      <c r="D709" s="147">
        <f t="shared" si="381"/>
        <v>42565.572426190971</v>
      </c>
      <c r="E709" s="147">
        <f t="shared" si="381"/>
        <v>53171.982232269962</v>
      </c>
      <c r="F709" s="147">
        <f t="shared" si="381"/>
        <v>63712.616246980317</v>
      </c>
      <c r="G709" s="147">
        <f t="shared" si="381"/>
        <v>73820.246195981017</v>
      </c>
      <c r="H709" s="147">
        <f t="shared" si="381"/>
        <v>86914.508193936941</v>
      </c>
      <c r="I709" s="147">
        <f t="shared" si="381"/>
        <v>102180.61212525131</v>
      </c>
      <c r="J709" s="147">
        <f t="shared" si="381"/>
        <v>113351.71961806566</v>
      </c>
      <c r="K709" s="147">
        <f t="shared" si="381"/>
        <v>128276.54466617132</v>
      </c>
      <c r="L709" s="147">
        <f t="shared" si="381"/>
        <v>144633.68524904081</v>
      </c>
      <c r="M709" s="147">
        <f t="shared" si="381"/>
        <v>162439.32839119999</v>
      </c>
      <c r="N709" s="147" t="s">
        <v>224</v>
      </c>
      <c r="O709" s="34" t="s">
        <v>142</v>
      </c>
    </row>
    <row r="710" spans="1:15" hidden="1">
      <c r="A710" s="212" t="s">
        <v>92</v>
      </c>
      <c r="B710" s="147">
        <f t="shared" ref="B710:M710" si="382">B185</f>
        <v>6939.6806292930796</v>
      </c>
      <c r="C710" s="147">
        <f t="shared" si="382"/>
        <v>19163.109373815521</v>
      </c>
      <c r="D710" s="147">
        <f t="shared" si="382"/>
        <v>26977.68291379666</v>
      </c>
      <c r="E710" s="147">
        <f t="shared" si="382"/>
        <v>32438.707454491196</v>
      </c>
      <c r="F710" s="147">
        <f t="shared" si="382"/>
        <v>38409.978599146365</v>
      </c>
      <c r="G710" s="147">
        <f t="shared" si="382"/>
        <v>45126.864443070299</v>
      </c>
      <c r="H710" s="147">
        <f t="shared" si="382"/>
        <v>53215.138131493994</v>
      </c>
      <c r="I710" s="147">
        <f t="shared" si="382"/>
        <v>61387.908649905883</v>
      </c>
      <c r="J710" s="147">
        <f t="shared" si="382"/>
        <v>68308.256963364198</v>
      </c>
      <c r="K710" s="147">
        <f t="shared" si="382"/>
        <v>77839.015150469291</v>
      </c>
      <c r="L710" s="147">
        <f t="shared" si="382"/>
        <v>86239.876296187082</v>
      </c>
      <c r="M710" s="147">
        <f t="shared" si="382"/>
        <v>94672.456894400006</v>
      </c>
      <c r="N710" s="147" t="s">
        <v>224</v>
      </c>
      <c r="O710" s="34" t="s">
        <v>142</v>
      </c>
    </row>
    <row r="711" spans="1:15" hidden="1">
      <c r="A711" s="212" t="s">
        <v>93</v>
      </c>
      <c r="B711" s="147">
        <f t="shared" ref="B711:M711" si="383">B186</f>
        <v>14008.295444231371</v>
      </c>
      <c r="C711" s="147">
        <f t="shared" si="383"/>
        <v>28691.053781884868</v>
      </c>
      <c r="D711" s="147">
        <f t="shared" si="383"/>
        <v>41655.992833155251</v>
      </c>
      <c r="E711" s="147">
        <f t="shared" si="383"/>
        <v>52802.253755818951</v>
      </c>
      <c r="F711" s="147">
        <f t="shared" si="383"/>
        <v>64578.834451089118</v>
      </c>
      <c r="G711" s="147">
        <f t="shared" si="383"/>
        <v>77542.442713248151</v>
      </c>
      <c r="H711" s="147">
        <f t="shared" si="383"/>
        <v>92260.908252291993</v>
      </c>
      <c r="I711" s="147">
        <f t="shared" si="383"/>
        <v>107429.81558058034</v>
      </c>
      <c r="J711" s="147">
        <f t="shared" si="383"/>
        <v>119974.19974538984</v>
      </c>
      <c r="K711" s="147">
        <f t="shared" si="383"/>
        <v>136122.58986301537</v>
      </c>
      <c r="L711" s="147">
        <f t="shared" si="383"/>
        <v>152580.96602126764</v>
      </c>
      <c r="M711" s="147">
        <f t="shared" si="383"/>
        <v>170383.82998000004</v>
      </c>
      <c r="N711" s="147" t="s">
        <v>224</v>
      </c>
      <c r="O711" s="34" t="s">
        <v>142</v>
      </c>
    </row>
    <row r="712" spans="1:15" hidden="1">
      <c r="A712" s="212" t="s">
        <v>94</v>
      </c>
      <c r="B712" s="147">
        <f t="shared" ref="B712:M712" si="384">B187</f>
        <v>7484.8566794222706</v>
      </c>
      <c r="C712" s="147">
        <f t="shared" si="384"/>
        <v>13803.761789148499</v>
      </c>
      <c r="D712" s="147">
        <f t="shared" si="384"/>
        <v>20603.026123730695</v>
      </c>
      <c r="E712" s="147">
        <f t="shared" si="384"/>
        <v>26003.034034427121</v>
      </c>
      <c r="F712" s="147">
        <f t="shared" si="384"/>
        <v>31697.413818319383</v>
      </c>
      <c r="G712" s="147">
        <f t="shared" si="384"/>
        <v>37876.115690651081</v>
      </c>
      <c r="H712" s="147">
        <f t="shared" si="384"/>
        <v>45880.596427729259</v>
      </c>
      <c r="I712" s="147">
        <f t="shared" si="384"/>
        <v>57150.113936937232</v>
      </c>
      <c r="J712" s="147">
        <f t="shared" si="384"/>
        <v>67502.263493434002</v>
      </c>
      <c r="K712" s="147">
        <f t="shared" si="384"/>
        <v>79270.623593035183</v>
      </c>
      <c r="L712" s="147">
        <f t="shared" si="384"/>
        <v>92827.829008753164</v>
      </c>
      <c r="M712" s="147">
        <f t="shared" si="384"/>
        <v>107111.25277440001</v>
      </c>
      <c r="N712" s="147" t="s">
        <v>224</v>
      </c>
      <c r="O712" s="34" t="s">
        <v>142</v>
      </c>
    </row>
    <row r="713" spans="1:15" hidden="1">
      <c r="A713" s="212" t="s">
        <v>95</v>
      </c>
      <c r="B713" s="147">
        <f t="shared" ref="B713:M713" si="385">B188</f>
        <v>12763.048936215231</v>
      </c>
      <c r="C713" s="147">
        <f t="shared" si="385"/>
        <v>27108.375559336284</v>
      </c>
      <c r="D713" s="147">
        <f t="shared" si="385"/>
        <v>41550.031533411013</v>
      </c>
      <c r="E713" s="147">
        <f t="shared" si="385"/>
        <v>54765.499622562878</v>
      </c>
      <c r="F713" s="147">
        <f t="shared" si="385"/>
        <v>65405.630492851204</v>
      </c>
      <c r="G713" s="147">
        <f t="shared" si="385"/>
        <v>75612.803524075556</v>
      </c>
      <c r="H713" s="147">
        <f t="shared" si="385"/>
        <v>92073.123234170765</v>
      </c>
      <c r="I713" s="147">
        <f t="shared" si="385"/>
        <v>109627.94824403898</v>
      </c>
      <c r="J713" s="147">
        <f t="shared" si="385"/>
        <v>123682.96806953543</v>
      </c>
      <c r="K713" s="147">
        <f t="shared" si="385"/>
        <v>139357.22216147801</v>
      </c>
      <c r="L713" s="147">
        <f t="shared" si="385"/>
        <v>153755.96118123177</v>
      </c>
      <c r="M713" s="147">
        <f t="shared" si="385"/>
        <v>172600.93269440005</v>
      </c>
      <c r="N713" s="147" t="s">
        <v>224</v>
      </c>
      <c r="O713" s="34" t="s">
        <v>142</v>
      </c>
    </row>
    <row r="714" spans="1:15" hidden="1">
      <c r="A714" s="212" t="s">
        <v>96</v>
      </c>
      <c r="B714" s="147">
        <f t="shared" ref="B714:M714" si="386">B189</f>
        <v>3974.2748171150984</v>
      </c>
      <c r="C714" s="147">
        <f t="shared" si="386"/>
        <v>6734.1543344784759</v>
      </c>
      <c r="D714" s="147">
        <f t="shared" si="386"/>
        <v>10642.218898394411</v>
      </c>
      <c r="E714" s="147">
        <f t="shared" si="386"/>
        <v>13095.6114004869</v>
      </c>
      <c r="F714" s="147">
        <f t="shared" si="386"/>
        <v>15784.943675989281</v>
      </c>
      <c r="G714" s="147">
        <f t="shared" si="386"/>
        <v>18964.683930269333</v>
      </c>
      <c r="H714" s="147">
        <f t="shared" si="386"/>
        <v>24399.82332533555</v>
      </c>
      <c r="I714" s="147">
        <f t="shared" si="386"/>
        <v>29028.985088961246</v>
      </c>
      <c r="J714" s="147">
        <f t="shared" si="386"/>
        <v>33543.083163928066</v>
      </c>
      <c r="K714" s="147">
        <f t="shared" si="386"/>
        <v>38630.735492226617</v>
      </c>
      <c r="L714" s="147">
        <f t="shared" si="386"/>
        <v>43829.130729677636</v>
      </c>
      <c r="M714" s="147">
        <f t="shared" si="386"/>
        <v>48954.62729360001</v>
      </c>
      <c r="N714" s="147" t="s">
        <v>224</v>
      </c>
      <c r="O714" s="34" t="s">
        <v>142</v>
      </c>
    </row>
    <row r="715" spans="1:15" hidden="1">
      <c r="A715" s="212" t="s">
        <v>97</v>
      </c>
      <c r="B715" s="147">
        <f t="shared" ref="B715:M715" si="387">B190</f>
        <v>13071.710947561642</v>
      </c>
      <c r="C715" s="147">
        <f t="shared" si="387"/>
        <v>29725.589768962709</v>
      </c>
      <c r="D715" s="147">
        <f t="shared" si="387"/>
        <v>44463.938688027389</v>
      </c>
      <c r="E715" s="147">
        <f t="shared" si="387"/>
        <v>54757.261105149599</v>
      </c>
      <c r="F715" s="147">
        <f t="shared" si="387"/>
        <v>66954.270592012472</v>
      </c>
      <c r="G715" s="147">
        <f t="shared" si="387"/>
        <v>78083.638317718927</v>
      </c>
      <c r="H715" s="147">
        <f t="shared" si="387"/>
        <v>88048.474424138869</v>
      </c>
      <c r="I715" s="147">
        <f t="shared" si="387"/>
        <v>101415.04699229715</v>
      </c>
      <c r="J715" s="147">
        <f t="shared" si="387"/>
        <v>113298.72172322846</v>
      </c>
      <c r="K715" s="147">
        <f t="shared" si="387"/>
        <v>130209.75270114242</v>
      </c>
      <c r="L715" s="147">
        <f t="shared" si="387"/>
        <v>147884.94311870501</v>
      </c>
      <c r="M715" s="147">
        <f t="shared" si="387"/>
        <v>163778.80255520003</v>
      </c>
      <c r="N715" s="147" t="s">
        <v>224</v>
      </c>
      <c r="O715" s="34" t="s">
        <v>142</v>
      </c>
    </row>
    <row r="716" spans="1:15" hidden="1">
      <c r="A716" s="212" t="s">
        <v>98</v>
      </c>
      <c r="B716" s="147">
        <f t="shared" ref="B716:M716" si="388">B191</f>
        <v>8500.2442520451877</v>
      </c>
      <c r="C716" s="147">
        <f t="shared" si="388"/>
        <v>18262.635806093789</v>
      </c>
      <c r="D716" s="147">
        <f t="shared" si="388"/>
        <v>26068.64817603882</v>
      </c>
      <c r="E716" s="147">
        <f t="shared" si="388"/>
        <v>35736.053691444467</v>
      </c>
      <c r="F716" s="147">
        <f t="shared" si="388"/>
        <v>46018.461722026201</v>
      </c>
      <c r="G716" s="147">
        <f t="shared" si="388"/>
        <v>58194.116356894927</v>
      </c>
      <c r="H716" s="147">
        <f t="shared" si="388"/>
        <v>67942.071902285039</v>
      </c>
      <c r="I716" s="147">
        <f t="shared" si="388"/>
        <v>78845.738541160244</v>
      </c>
      <c r="J716" s="147">
        <f t="shared" si="388"/>
        <v>92490.273439592842</v>
      </c>
      <c r="K716" s="147">
        <f t="shared" si="388"/>
        <v>104421.58999756016</v>
      </c>
      <c r="L716" s="147">
        <f t="shared" si="388"/>
        <v>115903.19975131925</v>
      </c>
      <c r="M716" s="147">
        <f t="shared" si="388"/>
        <v>130233.97456160001</v>
      </c>
      <c r="N716" s="147" t="s">
        <v>224</v>
      </c>
      <c r="O716" s="34" t="s">
        <v>142</v>
      </c>
    </row>
    <row r="717" spans="1:15" hidden="1">
      <c r="A717" s="212" t="s">
        <v>99</v>
      </c>
      <c r="B717" s="147">
        <f t="shared" ref="B717:M717" si="389">B192</f>
        <v>51476.763425723526</v>
      </c>
      <c r="C717" s="147">
        <f t="shared" si="389"/>
        <v>89088.688820339637</v>
      </c>
      <c r="D717" s="147">
        <f t="shared" si="389"/>
        <v>125991.56755896602</v>
      </c>
      <c r="E717" s="147">
        <f t="shared" si="389"/>
        <v>156683.34502594118</v>
      </c>
      <c r="F717" s="147">
        <f t="shared" si="389"/>
        <v>192325.64612005037</v>
      </c>
      <c r="G717" s="147">
        <f t="shared" si="389"/>
        <v>224054.62754421181</v>
      </c>
      <c r="H717" s="147">
        <f t="shared" si="389"/>
        <v>258458.33670815206</v>
      </c>
      <c r="I717" s="147">
        <f t="shared" si="389"/>
        <v>292627.74594340695</v>
      </c>
      <c r="J717" s="147">
        <f t="shared" si="389"/>
        <v>328644.34280441439</v>
      </c>
      <c r="K717" s="147">
        <f t="shared" si="389"/>
        <v>375588.5639034324</v>
      </c>
      <c r="L717" s="147">
        <f t="shared" si="389"/>
        <v>426075.12169553089</v>
      </c>
      <c r="M717" s="147">
        <f t="shared" si="389"/>
        <v>473826.30025920004</v>
      </c>
      <c r="N717" s="147" t="s">
        <v>224</v>
      </c>
      <c r="O717" s="34" t="s">
        <v>142</v>
      </c>
    </row>
    <row r="718" spans="1:15" hidden="1">
      <c r="A718" s="212" t="s">
        <v>100</v>
      </c>
      <c r="B718" s="147">
        <f t="shared" ref="B718:M718" si="390">B193</f>
        <v>7444.9176536041759</v>
      </c>
      <c r="C718" s="147">
        <f t="shared" si="390"/>
        <v>14638.015851232471</v>
      </c>
      <c r="D718" s="147">
        <f t="shared" si="390"/>
        <v>20527.984530743357</v>
      </c>
      <c r="E718" s="147">
        <f t="shared" si="390"/>
        <v>25745.718894380319</v>
      </c>
      <c r="F718" s="147">
        <f t="shared" si="390"/>
        <v>31310.903132066363</v>
      </c>
      <c r="G718" s="147">
        <f t="shared" si="390"/>
        <v>36826.817652654179</v>
      </c>
      <c r="H718" s="147">
        <f t="shared" si="390"/>
        <v>42683.32946697541</v>
      </c>
      <c r="I718" s="147">
        <f t="shared" si="390"/>
        <v>48604.612337367311</v>
      </c>
      <c r="J718" s="147">
        <f t="shared" si="390"/>
        <v>55310.238457271807</v>
      </c>
      <c r="K718" s="147">
        <f t="shared" si="390"/>
        <v>62648.436432694762</v>
      </c>
      <c r="L718" s="147">
        <f t="shared" si="390"/>
        <v>71449.826856330081</v>
      </c>
      <c r="M718" s="147">
        <f t="shared" si="390"/>
        <v>79281.64509440001</v>
      </c>
      <c r="N718" s="147" t="s">
        <v>224</v>
      </c>
      <c r="O718" s="34" t="s">
        <v>142</v>
      </c>
    </row>
    <row r="719" spans="1:15" hidden="1">
      <c r="A719" s="212" t="s">
        <v>101</v>
      </c>
      <c r="B719" s="147">
        <f t="shared" ref="B719:M719" si="391">B194</f>
        <v>6979.8386308775607</v>
      </c>
      <c r="C719" s="147">
        <f t="shared" si="391"/>
        <v>12749.634077704817</v>
      </c>
      <c r="D719" s="147">
        <f t="shared" si="391"/>
        <v>19750.640968811782</v>
      </c>
      <c r="E719" s="147">
        <f t="shared" si="391"/>
        <v>26432.646981527545</v>
      </c>
      <c r="F719" s="147">
        <f t="shared" si="391"/>
        <v>32337.962351556303</v>
      </c>
      <c r="G719" s="147">
        <f t="shared" si="391"/>
        <v>38968.629196318492</v>
      </c>
      <c r="H719" s="147">
        <f t="shared" si="391"/>
        <v>44828.75663705029</v>
      </c>
      <c r="I719" s="147">
        <f t="shared" si="391"/>
        <v>51699.522438104796</v>
      </c>
      <c r="J719" s="147">
        <f t="shared" si="391"/>
        <v>57794.792049158648</v>
      </c>
      <c r="K719" s="147">
        <f t="shared" si="391"/>
        <v>65370.615758723172</v>
      </c>
      <c r="L719" s="147">
        <f t="shared" si="391"/>
        <v>73540.363170928322</v>
      </c>
      <c r="M719" s="147">
        <f t="shared" si="391"/>
        <v>81284.131857600005</v>
      </c>
      <c r="N719" s="147" t="s">
        <v>224</v>
      </c>
      <c r="O719" s="34" t="s">
        <v>142</v>
      </c>
    </row>
    <row r="720" spans="1:15" hidden="1">
      <c r="A720" s="212" t="s">
        <v>102</v>
      </c>
      <c r="B720" s="147">
        <f t="shared" ref="B720:M720" si="392">B195</f>
        <v>43582.142896856094</v>
      </c>
      <c r="C720" s="147">
        <f t="shared" si="392"/>
        <v>84108.974317072716</v>
      </c>
      <c r="D720" s="147">
        <f t="shared" si="392"/>
        <v>117601.30168098136</v>
      </c>
      <c r="E720" s="147">
        <f t="shared" si="392"/>
        <v>155025.38447375188</v>
      </c>
      <c r="F720" s="147">
        <f t="shared" si="392"/>
        <v>185784.71426469725</v>
      </c>
      <c r="G720" s="147">
        <f t="shared" si="392"/>
        <v>219292.86614797101</v>
      </c>
      <c r="H720" s="147">
        <f t="shared" si="392"/>
        <v>257607.9866431113</v>
      </c>
      <c r="I720" s="147">
        <f t="shared" si="392"/>
        <v>298451.99176493596</v>
      </c>
      <c r="J720" s="147">
        <f t="shared" si="392"/>
        <v>333890.64737010212</v>
      </c>
      <c r="K720" s="147">
        <f t="shared" si="392"/>
        <v>387712.22491153487</v>
      </c>
      <c r="L720" s="147">
        <f t="shared" si="392"/>
        <v>443946.92436076427</v>
      </c>
      <c r="M720" s="147">
        <f t="shared" si="392"/>
        <v>518056.50788639998</v>
      </c>
      <c r="N720" s="147" t="s">
        <v>224</v>
      </c>
      <c r="O720" s="34" t="s">
        <v>142</v>
      </c>
    </row>
    <row r="721" spans="1:15" hidden="1">
      <c r="A721" s="212" t="s">
        <v>103</v>
      </c>
      <c r="B721" s="147">
        <f t="shared" ref="B721:M721" si="393">B196</f>
        <v>12776.874948577886</v>
      </c>
      <c r="C721" s="147">
        <f t="shared" si="393"/>
        <v>24622.056709222899</v>
      </c>
      <c r="D721" s="147">
        <f t="shared" si="393"/>
        <v>35357.687386810678</v>
      </c>
      <c r="E721" s="147">
        <f t="shared" si="393"/>
        <v>45471.546844671298</v>
      </c>
      <c r="F721" s="147">
        <f t="shared" si="393"/>
        <v>56884.23775609654</v>
      </c>
      <c r="G721" s="147">
        <f t="shared" si="393"/>
        <v>65878.767699827702</v>
      </c>
      <c r="H721" s="147">
        <f t="shared" si="393"/>
        <v>79451.651119387461</v>
      </c>
      <c r="I721" s="147">
        <f t="shared" si="393"/>
        <v>92173.526510521871</v>
      </c>
      <c r="J721" s="147">
        <f t="shared" si="393"/>
        <v>101309.27891571172</v>
      </c>
      <c r="K721" s="147">
        <f t="shared" si="393"/>
        <v>110816.20529011291</v>
      </c>
      <c r="L721" s="147">
        <f t="shared" si="393"/>
        <v>121337.6147303886</v>
      </c>
      <c r="M721" s="147">
        <f t="shared" si="393"/>
        <v>133032.1161288</v>
      </c>
      <c r="N721" s="147" t="s">
        <v>224</v>
      </c>
      <c r="O721" s="34" t="s">
        <v>142</v>
      </c>
    </row>
    <row r="722" spans="1:15" hidden="1">
      <c r="A722" s="212" t="s">
        <v>104</v>
      </c>
      <c r="B722" s="147">
        <f t="shared" ref="B722:M722" si="394">B197</f>
        <v>3579.5732432519421</v>
      </c>
      <c r="C722" s="147">
        <f t="shared" si="394"/>
        <v>7572.4116272294787</v>
      </c>
      <c r="D722" s="147">
        <f t="shared" si="394"/>
        <v>10326.774030363562</v>
      </c>
      <c r="E722" s="147">
        <f t="shared" si="394"/>
        <v>13942.724603551233</v>
      </c>
      <c r="F722" s="147">
        <f t="shared" si="394"/>
        <v>17311.186664070956</v>
      </c>
      <c r="G722" s="147">
        <f t="shared" si="394"/>
        <v>20135.370491164107</v>
      </c>
      <c r="H722" s="147">
        <f t="shared" si="394"/>
        <v>23049.622482029947</v>
      </c>
      <c r="I722" s="147">
        <f t="shared" si="394"/>
        <v>26404.747568546631</v>
      </c>
      <c r="J722" s="147">
        <f t="shared" si="394"/>
        <v>29050.027842032141</v>
      </c>
      <c r="K722" s="147">
        <f t="shared" si="394"/>
        <v>31563.52383641047</v>
      </c>
      <c r="L722" s="147">
        <f t="shared" si="394"/>
        <v>35016.13098134652</v>
      </c>
      <c r="M722" s="147">
        <f t="shared" si="394"/>
        <v>37905.823004000005</v>
      </c>
      <c r="N722" s="147" t="s">
        <v>224</v>
      </c>
      <c r="O722" s="34" t="s">
        <v>142</v>
      </c>
    </row>
    <row r="723" spans="1:15" hidden="1">
      <c r="A723" s="212" t="s">
        <v>105</v>
      </c>
      <c r="B723" s="147">
        <f t="shared" ref="B723:M723" si="395">B198</f>
        <v>39577.180928271802</v>
      </c>
      <c r="C723" s="147">
        <f t="shared" si="395"/>
        <v>74246.449685449857</v>
      </c>
      <c r="D723" s="147">
        <f t="shared" si="395"/>
        <v>102211.89040948171</v>
      </c>
      <c r="E723" s="147">
        <f t="shared" si="395"/>
        <v>133738.17316107851</v>
      </c>
      <c r="F723" s="147">
        <f t="shared" si="395"/>
        <v>165587.89610159816</v>
      </c>
      <c r="G723" s="147">
        <f t="shared" si="395"/>
        <v>199442.42673370044</v>
      </c>
      <c r="H723" s="147">
        <f t="shared" si="395"/>
        <v>245812.64898221986</v>
      </c>
      <c r="I723" s="147">
        <f t="shared" si="395"/>
        <v>301185.15212834295</v>
      </c>
      <c r="J723" s="147">
        <f t="shared" si="395"/>
        <v>343449.66519370151</v>
      </c>
      <c r="K723" s="147">
        <f t="shared" si="395"/>
        <v>396996.03230509092</v>
      </c>
      <c r="L723" s="147">
        <f t="shared" si="395"/>
        <v>440104.98398499755</v>
      </c>
      <c r="M723" s="147">
        <f t="shared" si="395"/>
        <v>489442.93180720008</v>
      </c>
      <c r="N723" s="147" t="s">
        <v>224</v>
      </c>
      <c r="O723" s="34" t="s">
        <v>142</v>
      </c>
    </row>
    <row r="724" spans="1:15" hidden="1">
      <c r="A724" s="212" t="s">
        <v>106</v>
      </c>
      <c r="B724" s="147">
        <f t="shared" ref="B724:M724" si="396">B199</f>
        <v>6427.6033233047501</v>
      </c>
      <c r="C724" s="147">
        <f t="shared" si="396"/>
        <v>13834.769920862145</v>
      </c>
      <c r="D724" s="147">
        <f t="shared" si="396"/>
        <v>20584.154796130795</v>
      </c>
      <c r="E724" s="147">
        <f t="shared" si="396"/>
        <v>25296.775300080742</v>
      </c>
      <c r="F724" s="147">
        <f t="shared" si="396"/>
        <v>30301.604858534582</v>
      </c>
      <c r="G724" s="147">
        <f t="shared" si="396"/>
        <v>34984.749254630158</v>
      </c>
      <c r="H724" s="147">
        <f t="shared" si="396"/>
        <v>41083.370432277479</v>
      </c>
      <c r="I724" s="147">
        <f t="shared" si="396"/>
        <v>47026.718720102683</v>
      </c>
      <c r="J724" s="147">
        <f t="shared" si="396"/>
        <v>53059.673454390482</v>
      </c>
      <c r="K724" s="147">
        <f t="shared" si="396"/>
        <v>59829.411893074946</v>
      </c>
      <c r="L724" s="147">
        <f t="shared" si="396"/>
        <v>68243.812785388669</v>
      </c>
      <c r="M724" s="147">
        <f t="shared" si="396"/>
        <v>75153.982371999999</v>
      </c>
      <c r="N724" s="147" t="s">
        <v>224</v>
      </c>
      <c r="O724" s="34" t="s">
        <v>142</v>
      </c>
    </row>
    <row r="725" spans="1:15" hidden="1">
      <c r="A725" s="212" t="s">
        <v>107</v>
      </c>
      <c r="B725" s="147">
        <f t="shared" ref="B725:M725" si="397">B200</f>
        <v>54750.61434286867</v>
      </c>
      <c r="C725" s="147">
        <f t="shared" si="397"/>
        <v>100125.16437028763</v>
      </c>
      <c r="D725" s="147">
        <f t="shared" si="397"/>
        <v>139580.71606299354</v>
      </c>
      <c r="E725" s="147">
        <f t="shared" si="397"/>
        <v>182787.46447001043</v>
      </c>
      <c r="F725" s="147">
        <f t="shared" si="397"/>
        <v>228108.29044455642</v>
      </c>
      <c r="G725" s="147">
        <f t="shared" si="397"/>
        <v>268818.21947902808</v>
      </c>
      <c r="H725" s="147">
        <f t="shared" si="397"/>
        <v>323352.03389150026</v>
      </c>
      <c r="I725" s="147">
        <f t="shared" si="397"/>
        <v>372989.4973325397</v>
      </c>
      <c r="J725" s="147">
        <f t="shared" si="397"/>
        <v>416630.55965575209</v>
      </c>
      <c r="K725" s="147">
        <f t="shared" si="397"/>
        <v>478165.59673628438</v>
      </c>
      <c r="L725" s="147">
        <f t="shared" si="397"/>
        <v>535791.78839540354</v>
      </c>
      <c r="M725" s="147">
        <f t="shared" si="397"/>
        <v>601883.88564640016</v>
      </c>
      <c r="N725" s="147" t="s">
        <v>224</v>
      </c>
      <c r="O725" s="34" t="s">
        <v>142</v>
      </c>
    </row>
    <row r="726" spans="1:15" hidden="1">
      <c r="A726" s="212" t="s">
        <v>108</v>
      </c>
      <c r="B726" s="147">
        <f t="shared" ref="B726:M726" si="398">B201</f>
        <v>4720.4756130443702</v>
      </c>
      <c r="C726" s="147">
        <f t="shared" si="398"/>
        <v>7418.9761835134714</v>
      </c>
      <c r="D726" s="147">
        <f t="shared" si="398"/>
        <v>10578.288527824174</v>
      </c>
      <c r="E726" s="147">
        <f t="shared" si="398"/>
        <v>13165.801193028015</v>
      </c>
      <c r="F726" s="147">
        <f t="shared" si="398"/>
        <v>16691.016813679522</v>
      </c>
      <c r="G726" s="147">
        <f t="shared" si="398"/>
        <v>21244.271170915967</v>
      </c>
      <c r="H726" s="147">
        <f t="shared" si="398"/>
        <v>25499.407763239236</v>
      </c>
      <c r="I726" s="147">
        <f t="shared" si="398"/>
        <v>30513.887258951861</v>
      </c>
      <c r="J726" s="147">
        <f t="shared" si="398"/>
        <v>35397.223686310273</v>
      </c>
      <c r="K726" s="147">
        <f t="shared" si="398"/>
        <v>42585.245642478614</v>
      </c>
      <c r="L726" s="147">
        <f t="shared" si="398"/>
        <v>47538.851488908862</v>
      </c>
      <c r="M726" s="147">
        <f t="shared" si="398"/>
        <v>53753.338038399997</v>
      </c>
      <c r="N726" s="147" t="s">
        <v>224</v>
      </c>
      <c r="O726" s="34" t="s">
        <v>142</v>
      </c>
    </row>
    <row r="727" spans="1:15" hidden="1">
      <c r="A727" s="212" t="s">
        <v>109</v>
      </c>
      <c r="B727" s="147">
        <f t="shared" ref="B727:M727" si="399">B202</f>
        <v>872.94230129464324</v>
      </c>
      <c r="C727" s="147">
        <f t="shared" si="399"/>
        <v>1534.5349218905112</v>
      </c>
      <c r="D727" s="147">
        <f t="shared" si="399"/>
        <v>2211.0959734420458</v>
      </c>
      <c r="E727" s="147">
        <f t="shared" si="399"/>
        <v>2755.3499479589195</v>
      </c>
      <c r="F727" s="147">
        <f t="shared" si="399"/>
        <v>2905.2206256474828</v>
      </c>
      <c r="G727" s="147">
        <f t="shared" si="399"/>
        <v>4006.3584059442733</v>
      </c>
      <c r="H727" s="147">
        <f t="shared" si="399"/>
        <v>5375.7102312233246</v>
      </c>
      <c r="I727" s="147">
        <f t="shared" si="399"/>
        <v>5797.3814132850121</v>
      </c>
      <c r="J727" s="147">
        <f t="shared" si="399"/>
        <v>6312.9065983962209</v>
      </c>
      <c r="K727" s="147">
        <f t="shared" si="399"/>
        <v>6870.3525525644218</v>
      </c>
      <c r="L727" s="147">
        <f t="shared" si="399"/>
        <v>7812.6211761613267</v>
      </c>
      <c r="M727" s="147">
        <f t="shared" si="399"/>
        <v>8618.5994160000009</v>
      </c>
      <c r="N727" s="147" t="s">
        <v>224</v>
      </c>
      <c r="O727" s="34" t="s">
        <v>142</v>
      </c>
    </row>
    <row r="728" spans="1:15" hidden="1">
      <c r="A728" s="212" t="s">
        <v>110</v>
      </c>
      <c r="B728" s="147">
        <f t="shared" ref="B728:M728" si="400">B203</f>
        <v>34667.579130484541</v>
      </c>
      <c r="C728" s="147">
        <f t="shared" si="400"/>
        <v>66247.508636698563</v>
      </c>
      <c r="D728" s="147">
        <f t="shared" si="400"/>
        <v>95735.773209254359</v>
      </c>
      <c r="E728" s="147">
        <f t="shared" si="400"/>
        <v>120930.9377393746</v>
      </c>
      <c r="F728" s="147">
        <f t="shared" si="400"/>
        <v>145947.75698431663</v>
      </c>
      <c r="G728" s="147">
        <f t="shared" si="400"/>
        <v>175302.10260812074</v>
      </c>
      <c r="H728" s="147">
        <f t="shared" si="400"/>
        <v>206189.07887448664</v>
      </c>
      <c r="I728" s="147">
        <f t="shared" si="400"/>
        <v>240292.92283650799</v>
      </c>
      <c r="J728" s="147">
        <f t="shared" si="400"/>
        <v>268529.28962272796</v>
      </c>
      <c r="K728" s="147">
        <f t="shared" si="400"/>
        <v>304522.24692253419</v>
      </c>
      <c r="L728" s="147">
        <f t="shared" si="400"/>
        <v>338254.75007493439</v>
      </c>
      <c r="M728" s="147">
        <f t="shared" si="400"/>
        <v>379281.93638160004</v>
      </c>
      <c r="N728" s="147" t="s">
        <v>224</v>
      </c>
      <c r="O728" s="34" t="s">
        <v>142</v>
      </c>
    </row>
    <row r="729" spans="1:15" hidden="1">
      <c r="A729" s="212" t="s">
        <v>111</v>
      </c>
      <c r="B729" s="147">
        <f t="shared" ref="B729:M729" si="401">B204</f>
        <v>236254.53474683678</v>
      </c>
      <c r="C729" s="147">
        <f t="shared" si="401"/>
        <v>374341.12488454109</v>
      </c>
      <c r="D729" s="147">
        <f t="shared" si="401"/>
        <v>498386.71684384934</v>
      </c>
      <c r="E729" s="147">
        <f t="shared" si="401"/>
        <v>627157.62789379619</v>
      </c>
      <c r="F729" s="147">
        <f t="shared" si="401"/>
        <v>758321.66739413468</v>
      </c>
      <c r="G729" s="147">
        <f t="shared" si="401"/>
        <v>880385.57139851828</v>
      </c>
      <c r="H729" s="147">
        <f t="shared" si="401"/>
        <v>1062920.696543172</v>
      </c>
      <c r="I729" s="147">
        <f t="shared" si="401"/>
        <v>1256563.4380344325</v>
      </c>
      <c r="J729" s="147">
        <f t="shared" si="401"/>
        <v>1412867.0126661139</v>
      </c>
      <c r="K729" s="147">
        <f t="shared" si="401"/>
        <v>1649588.3083713991</v>
      </c>
      <c r="L729" s="147">
        <f t="shared" si="401"/>
        <v>1840394.1808243799</v>
      </c>
      <c r="M729" s="147">
        <f t="shared" si="401"/>
        <v>2031066.0525848004</v>
      </c>
      <c r="N729" s="147" t="s">
        <v>224</v>
      </c>
      <c r="O729" s="34" t="s">
        <v>142</v>
      </c>
    </row>
    <row r="730" spans="1:15" hidden="1">
      <c r="A730" s="212" t="s">
        <v>112</v>
      </c>
      <c r="B730" s="147">
        <f t="shared" ref="B730:M730" si="402">B205</f>
        <v>5188.8277491029794</v>
      </c>
      <c r="C730" s="147">
        <f t="shared" si="402"/>
        <v>9396.408066358068</v>
      </c>
      <c r="D730" s="147">
        <f t="shared" si="402"/>
        <v>13862.210598293492</v>
      </c>
      <c r="E730" s="147">
        <f t="shared" si="402"/>
        <v>16984.393755802434</v>
      </c>
      <c r="F730" s="147">
        <f t="shared" si="402"/>
        <v>19728.798652772584</v>
      </c>
      <c r="G730" s="147">
        <f t="shared" si="402"/>
        <v>23464.873582534507</v>
      </c>
      <c r="H730" s="147">
        <f t="shared" si="402"/>
        <v>27718.039976939886</v>
      </c>
      <c r="I730" s="147">
        <f t="shared" si="402"/>
        <v>30918.487944113396</v>
      </c>
      <c r="J730" s="147">
        <f t="shared" si="402"/>
        <v>33824.066456154047</v>
      </c>
      <c r="K730" s="147">
        <f t="shared" si="402"/>
        <v>38192.598429956925</v>
      </c>
      <c r="L730" s="147">
        <f t="shared" si="402"/>
        <v>41683.696365694224</v>
      </c>
      <c r="M730" s="147">
        <f t="shared" si="402"/>
        <v>46324.602917600001</v>
      </c>
      <c r="N730" s="147" t="s">
        <v>224</v>
      </c>
      <c r="O730" s="34" t="s">
        <v>142</v>
      </c>
    </row>
    <row r="731" spans="1:15" hidden="1">
      <c r="A731" s="212" t="s">
        <v>113</v>
      </c>
      <c r="B731" s="147">
        <f t="shared" ref="B731:M731" si="403">B206</f>
        <v>2125.8019144728414</v>
      </c>
      <c r="C731" s="147">
        <f t="shared" si="403"/>
        <v>4049.0169949991168</v>
      </c>
      <c r="D731" s="147">
        <f t="shared" si="403"/>
        <v>5874.846656120747</v>
      </c>
      <c r="E731" s="147">
        <f t="shared" si="403"/>
        <v>7330.9790067496269</v>
      </c>
      <c r="F731" s="147">
        <f t="shared" si="403"/>
        <v>8938.9511062576967</v>
      </c>
      <c r="G731" s="147">
        <f t="shared" si="403"/>
        <v>11240.050564900888</v>
      </c>
      <c r="H731" s="147">
        <f t="shared" si="403"/>
        <v>14100.504828155004</v>
      </c>
      <c r="I731" s="147">
        <f t="shared" si="403"/>
        <v>18727.143979199082</v>
      </c>
      <c r="J731" s="147">
        <f t="shared" si="403"/>
        <v>21256.789707671629</v>
      </c>
      <c r="K731" s="147">
        <f t="shared" si="403"/>
        <v>25564.003716158833</v>
      </c>
      <c r="L731" s="147">
        <f t="shared" si="403"/>
        <v>29108.033478498241</v>
      </c>
      <c r="M731" s="147">
        <f t="shared" si="403"/>
        <v>32448.492608</v>
      </c>
      <c r="N731" s="147" t="s">
        <v>224</v>
      </c>
      <c r="O731" s="34" t="s">
        <v>142</v>
      </c>
    </row>
    <row r="732" spans="1:15" hidden="1">
      <c r="A732" s="228" t="s">
        <v>241</v>
      </c>
      <c r="B732" s="151">
        <f t="shared" ref="B732:M732" si="404">AF34</f>
        <v>2350578.52</v>
      </c>
      <c r="C732" s="151">
        <f t="shared" si="404"/>
        <v>2197988.8620000002</v>
      </c>
      <c r="D732" s="151">
        <f t="shared" si="404"/>
        <v>1187502.4280000001</v>
      </c>
      <c r="E732" s="151">
        <f t="shared" si="404"/>
        <v>519483.7</v>
      </c>
      <c r="F732" s="151">
        <f t="shared" si="404"/>
        <v>455309.89200000005</v>
      </c>
      <c r="G732" s="151">
        <f t="shared" si="404"/>
        <v>703694.44000000006</v>
      </c>
      <c r="H732" s="151">
        <f t="shared" si="404"/>
        <v>1077977.186</v>
      </c>
      <c r="I732" s="151">
        <f t="shared" si="404"/>
        <v>1148706.3840000001</v>
      </c>
      <c r="J732" s="151">
        <f t="shared" si="404"/>
        <v>456779.16800000006</v>
      </c>
      <c r="K732" s="151">
        <f t="shared" si="404"/>
        <v>192233.96400000004</v>
      </c>
      <c r="L732" s="151">
        <f t="shared" si="404"/>
        <v>329884.62</v>
      </c>
      <c r="M732" s="151">
        <f t="shared" si="404"/>
        <v>344367.16000000009</v>
      </c>
      <c r="N732" s="151" t="s">
        <v>177</v>
      </c>
      <c r="O732" s="151" t="s">
        <v>197</v>
      </c>
    </row>
    <row r="733" spans="1:15" hidden="1">
      <c r="A733" s="228" t="s">
        <v>241</v>
      </c>
      <c r="B733" s="151">
        <f t="shared" ref="B733:M733" si="405">Q34</f>
        <v>1791704.0862111999</v>
      </c>
      <c r="C733" s="151">
        <f t="shared" si="405"/>
        <v>3914330.9478754932</v>
      </c>
      <c r="D733" s="151">
        <f t="shared" si="405"/>
        <v>5015077.7134414101</v>
      </c>
      <c r="E733" s="151">
        <f t="shared" si="405"/>
        <v>5913581.1802300587</v>
      </c>
      <c r="F733" s="151">
        <f t="shared" si="405"/>
        <v>7063333.636870279</v>
      </c>
      <c r="G733" s="151">
        <f t="shared" si="405"/>
        <v>8120912.6913453247</v>
      </c>
      <c r="H733" s="151">
        <f t="shared" si="405"/>
        <v>8485257.8351652287</v>
      </c>
      <c r="I733" s="151">
        <f t="shared" si="405"/>
        <v>8820004.7382773347</v>
      </c>
      <c r="J733" s="151">
        <f t="shared" si="405"/>
        <v>9104038.8482945561</v>
      </c>
      <c r="K733" s="151">
        <f t="shared" si="405"/>
        <v>9394229.004153708</v>
      </c>
      <c r="L733" s="151">
        <f t="shared" si="405"/>
        <v>9645586.1190328188</v>
      </c>
      <c r="M733" s="151">
        <f t="shared" si="405"/>
        <v>9890494.6805000007</v>
      </c>
      <c r="N733" s="151" t="s">
        <v>176</v>
      </c>
      <c r="O733" s="151" t="s">
        <v>197</v>
      </c>
    </row>
    <row r="734" spans="1:15" hidden="1">
      <c r="A734" s="228" t="s">
        <v>241</v>
      </c>
      <c r="B734" s="151">
        <f t="shared" ref="B734:M734" si="406">B34</f>
        <v>4218151.6986671872</v>
      </c>
      <c r="C734" s="151">
        <f t="shared" si="406"/>
        <v>7760649.2504716758</v>
      </c>
      <c r="D734" s="151">
        <f t="shared" si="406"/>
        <v>9480122.1888001636</v>
      </c>
      <c r="E734" s="151">
        <f t="shared" si="406"/>
        <v>10962395.797227114</v>
      </c>
      <c r="F734" s="151">
        <f t="shared" si="406"/>
        <v>12973831.586440932</v>
      </c>
      <c r="G734" s="151">
        <f t="shared" si="406"/>
        <v>14545739.23111991</v>
      </c>
      <c r="H734" s="151">
        <f t="shared" si="406"/>
        <v>15108365.758132152</v>
      </c>
      <c r="I734" s="151">
        <f t="shared" si="406"/>
        <v>15623495.231641442</v>
      </c>
      <c r="J734" s="151">
        <f t="shared" si="406"/>
        <v>16026590.726559455</v>
      </c>
      <c r="K734" s="151">
        <f t="shared" si="406"/>
        <v>16485202.062460551</v>
      </c>
      <c r="L734" s="151">
        <f t="shared" si="406"/>
        <v>16885716.773889624</v>
      </c>
      <c r="M734" s="151">
        <f t="shared" si="406"/>
        <v>17276517.603999998</v>
      </c>
      <c r="N734" s="151" t="s">
        <v>224</v>
      </c>
      <c r="O734" s="151" t="s">
        <v>197</v>
      </c>
    </row>
    <row r="735" spans="1:15" hidden="1">
      <c r="A735" s="228" t="s">
        <v>241</v>
      </c>
      <c r="B735" s="151">
        <f t="shared" ref="B735:M735" si="407">AF68</f>
        <v>446570.304</v>
      </c>
      <c r="C735" s="151">
        <f t="shared" si="407"/>
        <v>345274.97400000005</v>
      </c>
      <c r="D735" s="151">
        <f t="shared" si="407"/>
        <v>318149.99800000008</v>
      </c>
      <c r="E735" s="151">
        <f t="shared" si="407"/>
        <v>185475.19999999998</v>
      </c>
      <c r="F735" s="151">
        <f t="shared" si="407"/>
        <v>164282.76599999997</v>
      </c>
      <c r="G735" s="151">
        <f t="shared" si="407"/>
        <v>210930.84600000005</v>
      </c>
      <c r="H735" s="151">
        <f t="shared" si="407"/>
        <v>245765.61799999996</v>
      </c>
      <c r="I735" s="151">
        <f t="shared" si="407"/>
        <v>249349.89400000003</v>
      </c>
      <c r="J735" s="151">
        <f t="shared" si="407"/>
        <v>248786.93599999993</v>
      </c>
      <c r="K735" s="151">
        <f t="shared" si="407"/>
        <v>455000.17200000002</v>
      </c>
      <c r="L735" s="151">
        <f t="shared" si="407"/>
        <v>204989.00999999995</v>
      </c>
      <c r="M735" s="151">
        <f t="shared" si="407"/>
        <v>238445.99</v>
      </c>
      <c r="N735" s="151" t="s">
        <v>177</v>
      </c>
      <c r="O735" s="151" t="s">
        <v>199</v>
      </c>
    </row>
    <row r="736" spans="1:15" hidden="1">
      <c r="A736" s="228" t="s">
        <v>241</v>
      </c>
      <c r="B736" s="151">
        <f t="shared" ref="B736:M736" si="408">Q68</f>
        <v>316387.05516852316</v>
      </c>
      <c r="C736" s="151">
        <f t="shared" si="408"/>
        <v>568806.4519549848</v>
      </c>
      <c r="D736" s="151">
        <f t="shared" si="408"/>
        <v>786494.68815587705</v>
      </c>
      <c r="E736" s="151">
        <f t="shared" si="408"/>
        <v>970452.66946456896</v>
      </c>
      <c r="F736" s="151">
        <f t="shared" si="408"/>
        <v>1155531.4653426243</v>
      </c>
      <c r="G736" s="151">
        <f t="shared" si="408"/>
        <v>1320926.37266409</v>
      </c>
      <c r="H736" s="151">
        <f t="shared" si="408"/>
        <v>1499963.4712199578</v>
      </c>
      <c r="I736" s="151">
        <f t="shared" si="408"/>
        <v>1678920.8823967762</v>
      </c>
      <c r="J736" s="151">
        <f t="shared" si="408"/>
        <v>1817062.8627865911</v>
      </c>
      <c r="K736" s="151">
        <f t="shared" si="408"/>
        <v>1975707.1793164983</v>
      </c>
      <c r="L736" s="151">
        <f t="shared" si="408"/>
        <v>2125545.9985493026</v>
      </c>
      <c r="M736" s="151">
        <f t="shared" si="408"/>
        <v>2283777.2526982254</v>
      </c>
      <c r="N736" s="151" t="s">
        <v>176</v>
      </c>
      <c r="O736" s="151" t="s">
        <v>199</v>
      </c>
    </row>
    <row r="737" spans="1:15" hidden="1">
      <c r="A737" s="228" t="s">
        <v>241</v>
      </c>
      <c r="B737" s="151">
        <f t="shared" ref="B737:M737" si="409">B68</f>
        <v>324257.29869301245</v>
      </c>
      <c r="C737" s="151">
        <f t="shared" si="409"/>
        <v>552624.36135842663</v>
      </c>
      <c r="D737" s="151">
        <f t="shared" si="409"/>
        <v>745184.41895980714</v>
      </c>
      <c r="E737" s="151">
        <f t="shared" si="409"/>
        <v>918602.49247456202</v>
      </c>
      <c r="F737" s="151">
        <f t="shared" si="409"/>
        <v>1100335.8577276345</v>
      </c>
      <c r="G737" s="151">
        <f t="shared" si="409"/>
        <v>1254440.1624638888</v>
      </c>
      <c r="H737" s="151">
        <f t="shared" si="409"/>
        <v>1437842.6142393525</v>
      </c>
      <c r="I737" s="151">
        <f t="shared" si="409"/>
        <v>1623766.8376088124</v>
      </c>
      <c r="J737" s="151">
        <f t="shared" si="409"/>
        <v>1773101.2939140066</v>
      </c>
      <c r="K737" s="151">
        <f t="shared" si="409"/>
        <v>1956245.661241231</v>
      </c>
      <c r="L737" s="151">
        <f t="shared" si="409"/>
        <v>2109044.4513248797</v>
      </c>
      <c r="M737" s="151">
        <f t="shared" si="409"/>
        <v>2283800.1553397053</v>
      </c>
      <c r="N737" s="151" t="s">
        <v>224</v>
      </c>
      <c r="O737" s="151" t="s">
        <v>199</v>
      </c>
    </row>
    <row r="738" spans="1:15" hidden="1">
      <c r="A738" s="228" t="s">
        <v>241</v>
      </c>
      <c r="B738" s="151">
        <f>AF105</f>
        <v>270686.97200000007</v>
      </c>
      <c r="C738" s="151">
        <f t="shared" ref="C738:M738" si="410">AG105</f>
        <v>333241.89399999997</v>
      </c>
      <c r="D738" s="151">
        <f t="shared" si="410"/>
        <v>167386.66600000003</v>
      </c>
      <c r="E738" s="151">
        <f t="shared" si="410"/>
        <v>68668.12999999999</v>
      </c>
      <c r="F738" s="151">
        <f t="shared" si="410"/>
        <v>57773.197999999997</v>
      </c>
      <c r="G738" s="151">
        <f t="shared" si="410"/>
        <v>89868.82</v>
      </c>
      <c r="H738" s="151">
        <f t="shared" si="410"/>
        <v>108052.53199999999</v>
      </c>
      <c r="I738" s="151">
        <f t="shared" si="410"/>
        <v>147816.73200000002</v>
      </c>
      <c r="J738" s="151">
        <f t="shared" si="410"/>
        <v>49809.873999999996</v>
      </c>
      <c r="K738" s="151">
        <f t="shared" si="410"/>
        <v>22043.035999999996</v>
      </c>
      <c r="L738" s="151">
        <f t="shared" si="410"/>
        <v>38069.322</v>
      </c>
      <c r="M738" s="151">
        <f t="shared" si="410"/>
        <v>40441.298000000003</v>
      </c>
      <c r="N738" s="151" t="s">
        <v>177</v>
      </c>
      <c r="O738" s="151" t="s">
        <v>222</v>
      </c>
    </row>
    <row r="739" spans="1:15" hidden="1">
      <c r="A739" s="228" t="s">
        <v>241</v>
      </c>
      <c r="B739" s="151">
        <f>Q105</f>
        <v>188175.28391562047</v>
      </c>
      <c r="C739" s="151">
        <f t="shared" ref="C739:M739" si="411">R105</f>
        <v>456420.07583136414</v>
      </c>
      <c r="D739" s="151">
        <f t="shared" si="411"/>
        <v>590789.6322803715</v>
      </c>
      <c r="E739" s="151">
        <f t="shared" si="411"/>
        <v>708874.57676672935</v>
      </c>
      <c r="F739" s="151">
        <f t="shared" si="411"/>
        <v>854450.49867555685</v>
      </c>
      <c r="G739" s="151">
        <f t="shared" si="411"/>
        <v>1014850.8846692762</v>
      </c>
      <c r="H739" s="151">
        <f t="shared" si="411"/>
        <v>1083324.0853798683</v>
      </c>
      <c r="I739" s="151">
        <f t="shared" si="411"/>
        <v>1147102.5621665495</v>
      </c>
      <c r="J739" s="151">
        <f t="shared" si="411"/>
        <v>1198388.7088733574</v>
      </c>
      <c r="K739" s="151">
        <f t="shared" si="411"/>
        <v>1245258.9779010774</v>
      </c>
      <c r="L739" s="151">
        <f t="shared" si="411"/>
        <v>1283198.7716020877</v>
      </c>
      <c r="M739" s="151">
        <f t="shared" si="411"/>
        <v>1319645.9160000002</v>
      </c>
      <c r="N739" s="151" t="s">
        <v>176</v>
      </c>
      <c r="O739" s="151" t="s">
        <v>222</v>
      </c>
    </row>
    <row r="740" spans="1:15" hidden="1">
      <c r="A740" s="228" t="s">
        <v>241</v>
      </c>
      <c r="B740" s="151">
        <f>B105</f>
        <v>347806.24632122932</v>
      </c>
      <c r="C740" s="151">
        <f t="shared" ref="C740:M740" si="412">C105</f>
        <v>737538.33101140836</v>
      </c>
      <c r="D740" s="151">
        <f t="shared" si="412"/>
        <v>919985.8611641021</v>
      </c>
      <c r="E740" s="151">
        <f t="shared" si="412"/>
        <v>1084015.175342435</v>
      </c>
      <c r="F740" s="151">
        <f t="shared" si="412"/>
        <v>1301456.5253308699</v>
      </c>
      <c r="G740" s="151">
        <f t="shared" si="412"/>
        <v>1509663.6790918249</v>
      </c>
      <c r="H740" s="151">
        <f t="shared" si="412"/>
        <v>1595704.5530211197</v>
      </c>
      <c r="I740" s="151">
        <f t="shared" si="412"/>
        <v>1669360.7928929683</v>
      </c>
      <c r="J740" s="151">
        <f t="shared" si="412"/>
        <v>1727270.5441207928</v>
      </c>
      <c r="K740" s="151">
        <f t="shared" si="412"/>
        <v>1791162.1007774214</v>
      </c>
      <c r="L740" s="151">
        <f t="shared" si="412"/>
        <v>1840078.0026745035</v>
      </c>
      <c r="M740" s="151">
        <f t="shared" si="412"/>
        <v>1887519.2118864681</v>
      </c>
      <c r="N740" s="151" t="s">
        <v>224</v>
      </c>
      <c r="O740" s="151" t="s">
        <v>222</v>
      </c>
    </row>
    <row r="741" spans="1:15" hidden="1">
      <c r="A741" s="228" t="s">
        <v>241</v>
      </c>
      <c r="B741" s="151">
        <f>AF139</f>
        <v>64058.687999999995</v>
      </c>
      <c r="C741" s="151">
        <f t="shared" ref="C741:M741" si="413">AG139</f>
        <v>50257.803999999996</v>
      </c>
      <c r="D741" s="151">
        <f t="shared" si="413"/>
        <v>47153.393999999993</v>
      </c>
      <c r="E741" s="151">
        <f t="shared" si="413"/>
        <v>23403.252000000004</v>
      </c>
      <c r="F741" s="151">
        <f t="shared" si="413"/>
        <v>21411.424000000003</v>
      </c>
      <c r="G741" s="151">
        <f t="shared" si="413"/>
        <v>28989.894</v>
      </c>
      <c r="H741" s="151">
        <f t="shared" si="413"/>
        <v>33191.5</v>
      </c>
      <c r="I741" s="151">
        <f t="shared" si="413"/>
        <v>31412.296000000002</v>
      </c>
      <c r="J741" s="151">
        <f t="shared" si="413"/>
        <v>27762.050000000003</v>
      </c>
      <c r="K741" s="151">
        <f t="shared" si="413"/>
        <v>41438.307999999997</v>
      </c>
      <c r="L741" s="151">
        <f t="shared" si="413"/>
        <v>25686.574000000004</v>
      </c>
      <c r="M741" s="151">
        <f t="shared" si="413"/>
        <v>32448.55</v>
      </c>
      <c r="N741" s="151" t="s">
        <v>177</v>
      </c>
      <c r="O741" s="151" t="s">
        <v>198</v>
      </c>
    </row>
    <row r="742" spans="1:15" hidden="1">
      <c r="A742" s="228" t="s">
        <v>241</v>
      </c>
      <c r="B742" s="151">
        <f>Q139</f>
        <v>42203.536029164912</v>
      </c>
      <c r="C742" s="151">
        <f t="shared" ref="C742:M742" si="414">R139</f>
        <v>79640.422976042872</v>
      </c>
      <c r="D742" s="151">
        <f t="shared" si="414"/>
        <v>112013.43531764664</v>
      </c>
      <c r="E742" s="151">
        <f t="shared" si="414"/>
        <v>144111.21350057676</v>
      </c>
      <c r="F742" s="151">
        <f t="shared" si="414"/>
        <v>174852.51258108224</v>
      </c>
      <c r="G742" s="151">
        <f t="shared" si="414"/>
        <v>202274.94439946464</v>
      </c>
      <c r="H742" s="151">
        <f t="shared" si="414"/>
        <v>230159.80166742022</v>
      </c>
      <c r="I742" s="151">
        <f t="shared" si="414"/>
        <v>255149.1214535496</v>
      </c>
      <c r="J742" s="151">
        <f t="shared" si="414"/>
        <v>275792.62351004092</v>
      </c>
      <c r="K742" s="151">
        <f t="shared" si="414"/>
        <v>299986.35888047039</v>
      </c>
      <c r="L742" s="151">
        <f t="shared" si="414"/>
        <v>320349.95523887652</v>
      </c>
      <c r="M742" s="151">
        <f t="shared" si="414"/>
        <v>341968.26831962075</v>
      </c>
      <c r="N742" s="151" t="s">
        <v>176</v>
      </c>
      <c r="O742" s="151" t="s">
        <v>198</v>
      </c>
    </row>
    <row r="743" spans="1:15" hidden="1">
      <c r="A743" s="228" t="s">
        <v>241</v>
      </c>
      <c r="B743" s="151">
        <f>B139</f>
        <v>45324.829836922858</v>
      </c>
      <c r="C743" s="151">
        <f t="shared" ref="C743:M743" si="415">C139</f>
        <v>79118.485516804183</v>
      </c>
      <c r="D743" s="151">
        <f t="shared" si="415"/>
        <v>107404.47266445663</v>
      </c>
      <c r="E743" s="151">
        <f t="shared" si="415"/>
        <v>134884.5810730177</v>
      </c>
      <c r="F743" s="151">
        <f t="shared" si="415"/>
        <v>161995.54187627463</v>
      </c>
      <c r="G743" s="151">
        <f t="shared" si="415"/>
        <v>186646.04558060269</v>
      </c>
      <c r="H743" s="151">
        <f t="shared" si="415"/>
        <v>214003.1770493463</v>
      </c>
      <c r="I743" s="151">
        <f t="shared" si="415"/>
        <v>243653.293063702</v>
      </c>
      <c r="J743" s="151">
        <f t="shared" si="415"/>
        <v>266651.15991606086</v>
      </c>
      <c r="K743" s="151">
        <f t="shared" si="415"/>
        <v>294375.98593934305</v>
      </c>
      <c r="L743" s="151">
        <f t="shared" si="415"/>
        <v>317530.17949273484</v>
      </c>
      <c r="M743" s="151">
        <f t="shared" si="415"/>
        <v>344667.38481962075</v>
      </c>
      <c r="N743" s="151" t="s">
        <v>224</v>
      </c>
      <c r="O743" s="151" t="s">
        <v>198</v>
      </c>
    </row>
    <row r="744" spans="1:15" hidden="1">
      <c r="A744" s="228" t="s">
        <v>241</v>
      </c>
      <c r="B744" s="151">
        <f>AF175</f>
        <v>1219151.0060000001</v>
      </c>
      <c r="C744" s="151">
        <f t="shared" ref="C744:M744" si="416">AG175</f>
        <v>1297343.9219999998</v>
      </c>
      <c r="D744" s="151">
        <f t="shared" si="416"/>
        <v>1314914.9140000003</v>
      </c>
      <c r="E744" s="151">
        <f t="shared" si="416"/>
        <v>753627.58000000007</v>
      </c>
      <c r="F744" s="151">
        <f t="shared" si="416"/>
        <v>962084.49000000011</v>
      </c>
      <c r="G744" s="151">
        <f t="shared" si="416"/>
        <v>1247118.99</v>
      </c>
      <c r="H744" s="151">
        <f t="shared" si="416"/>
        <v>1513739.71</v>
      </c>
      <c r="I744" s="151">
        <f t="shared" si="416"/>
        <v>1604536.9840000002</v>
      </c>
      <c r="J744" s="151">
        <f t="shared" si="416"/>
        <v>1582872</v>
      </c>
      <c r="K744" s="151">
        <f t="shared" si="416"/>
        <v>1753559.6700000002</v>
      </c>
      <c r="L744" s="151">
        <f t="shared" si="416"/>
        <v>1545164.2340000002</v>
      </c>
      <c r="M744" s="151">
        <f t="shared" si="416"/>
        <v>1488585.33</v>
      </c>
      <c r="N744" s="151" t="s">
        <v>177</v>
      </c>
      <c r="O744" s="151" t="s">
        <v>28</v>
      </c>
    </row>
    <row r="745" spans="1:15" hidden="1">
      <c r="A745" s="228" t="s">
        <v>241</v>
      </c>
      <c r="B745" s="151">
        <f>Q175</f>
        <v>877010.28707011894</v>
      </c>
      <c r="C745" s="151">
        <f t="shared" ref="C745:M745" si="417">R175</f>
        <v>1842467.889858346</v>
      </c>
      <c r="D745" s="151">
        <f t="shared" si="417"/>
        <v>2979355.8572158664</v>
      </c>
      <c r="E745" s="151">
        <f t="shared" si="417"/>
        <v>4124155.9298632178</v>
      </c>
      <c r="F745" s="151">
        <f t="shared" si="417"/>
        <v>5417683.2707981467</v>
      </c>
      <c r="G745" s="151">
        <f t="shared" si="417"/>
        <v>6620921.2024328625</v>
      </c>
      <c r="H745" s="151">
        <f t="shared" si="417"/>
        <v>7880026.9540099893</v>
      </c>
      <c r="I745" s="151">
        <f t="shared" si="417"/>
        <v>9237040.7951085549</v>
      </c>
      <c r="J745" s="151">
        <f t="shared" si="417"/>
        <v>10444155.059706248</v>
      </c>
      <c r="K745" s="151">
        <f t="shared" si="417"/>
        <v>11769389.825573334</v>
      </c>
      <c r="L745" s="151">
        <f t="shared" si="417"/>
        <v>12949400.307863209</v>
      </c>
      <c r="M745" s="151">
        <f t="shared" si="417"/>
        <v>14028394.402500002</v>
      </c>
      <c r="N745" s="151" t="s">
        <v>176</v>
      </c>
      <c r="O745" s="151" t="s">
        <v>28</v>
      </c>
    </row>
    <row r="746" spans="1:15" hidden="1">
      <c r="A746" s="228" t="s">
        <v>241</v>
      </c>
      <c r="B746" s="151">
        <f>B175</f>
        <v>869607.21220466169</v>
      </c>
      <c r="C746" s="151">
        <f t="shared" ref="C746:M746" si="418">C175</f>
        <v>1853451.8645038719</v>
      </c>
      <c r="D746" s="151">
        <f t="shared" si="418"/>
        <v>3040990.3229011097</v>
      </c>
      <c r="E746" s="151">
        <f t="shared" si="418"/>
        <v>4219227.7430349877</v>
      </c>
      <c r="F746" s="151">
        <f t="shared" si="418"/>
        <v>5531823.5756771788</v>
      </c>
      <c r="G746" s="151">
        <f t="shared" si="418"/>
        <v>6718639.1825207323</v>
      </c>
      <c r="H746" s="151">
        <f t="shared" si="418"/>
        <v>7981437.4400180215</v>
      </c>
      <c r="I746" s="151">
        <f t="shared" si="418"/>
        <v>9352643.8011774868</v>
      </c>
      <c r="J746" s="151">
        <f t="shared" si="418"/>
        <v>10569437.204349164</v>
      </c>
      <c r="K746" s="151">
        <f t="shared" si="418"/>
        <v>11881280.815214915</v>
      </c>
      <c r="L746" s="151">
        <f t="shared" si="418"/>
        <v>13031317.838523813</v>
      </c>
      <c r="M746" s="151">
        <f t="shared" si="418"/>
        <v>14105149.6855</v>
      </c>
      <c r="N746" s="151" t="s">
        <v>224</v>
      </c>
      <c r="O746" s="151" t="s">
        <v>28</v>
      </c>
    </row>
    <row r="747" spans="1:15" hidden="1">
      <c r="A747" s="228" t="s">
        <v>241</v>
      </c>
      <c r="B747" s="151">
        <f>AF209</f>
        <v>163138.07000000004</v>
      </c>
      <c r="C747" s="151">
        <f t="shared" ref="C747:M747" si="419">AG209</f>
        <v>133738.47799999997</v>
      </c>
      <c r="D747" s="151">
        <f t="shared" si="419"/>
        <v>125955.788</v>
      </c>
      <c r="E747" s="151">
        <f t="shared" si="419"/>
        <v>77524.896000000008</v>
      </c>
      <c r="F747" s="151">
        <f t="shared" si="419"/>
        <v>70690.393999999986</v>
      </c>
      <c r="G747" s="151">
        <f t="shared" si="419"/>
        <v>88802.46</v>
      </c>
      <c r="H747" s="151">
        <f t="shared" si="419"/>
        <v>101532.75599999999</v>
      </c>
      <c r="I747" s="151">
        <f t="shared" si="419"/>
        <v>118738.098</v>
      </c>
      <c r="J747" s="151">
        <f t="shared" si="419"/>
        <v>145690.24000000002</v>
      </c>
      <c r="K747" s="151">
        <f t="shared" si="419"/>
        <v>151103.64600000001</v>
      </c>
      <c r="L747" s="151">
        <f t="shared" si="419"/>
        <v>151649.60200000004</v>
      </c>
      <c r="M747" s="151">
        <f t="shared" si="419"/>
        <v>154557.87999999998</v>
      </c>
      <c r="N747" s="151" t="s">
        <v>177</v>
      </c>
      <c r="O747" s="151" t="s">
        <v>142</v>
      </c>
    </row>
    <row r="748" spans="1:15" hidden="1">
      <c r="A748" s="228" t="s">
        <v>241</v>
      </c>
      <c r="B748" s="151">
        <f>Q209</f>
        <v>105899.90806309509</v>
      </c>
      <c r="C748" s="151">
        <f t="shared" ref="C748:M748" si="420">R209</f>
        <v>206350.75106929307</v>
      </c>
      <c r="D748" s="151">
        <f t="shared" si="420"/>
        <v>296806.45157804061</v>
      </c>
      <c r="E748" s="151">
        <f t="shared" si="420"/>
        <v>377751.45315396995</v>
      </c>
      <c r="F748" s="151">
        <f t="shared" si="420"/>
        <v>461106.64888648462</v>
      </c>
      <c r="G748" s="151">
        <f t="shared" si="420"/>
        <v>549400.1262516334</v>
      </c>
      <c r="H748" s="151">
        <f t="shared" si="420"/>
        <v>656116.80712838878</v>
      </c>
      <c r="I748" s="151">
        <f t="shared" si="420"/>
        <v>767696.16365340492</v>
      </c>
      <c r="J748" s="151">
        <f t="shared" si="420"/>
        <v>864287.4670649952</v>
      </c>
      <c r="K748" s="151">
        <f t="shared" si="420"/>
        <v>985991.55212184519</v>
      </c>
      <c r="L748" s="151">
        <f t="shared" si="420"/>
        <v>1109052.2556658071</v>
      </c>
      <c r="M748" s="151">
        <f t="shared" si="420"/>
        <v>1235985.3869538163</v>
      </c>
      <c r="N748" s="151" t="s">
        <v>176</v>
      </c>
      <c r="O748" s="151" t="s">
        <v>142</v>
      </c>
    </row>
    <row r="749" spans="1:15" hidden="1">
      <c r="A749" s="228" t="s">
        <v>241</v>
      </c>
      <c r="B749" s="151">
        <f>B209</f>
        <v>151394.47961664217</v>
      </c>
      <c r="C749" s="151">
        <f t="shared" ref="C749:M749" si="421">C209</f>
        <v>271165.10671531333</v>
      </c>
      <c r="D749" s="151">
        <f t="shared" si="421"/>
        <v>377599.81906548626</v>
      </c>
      <c r="E749" s="151">
        <f t="shared" si="421"/>
        <v>480921.50690803741</v>
      </c>
      <c r="F749" s="151">
        <f t="shared" si="421"/>
        <v>586405.52013036143</v>
      </c>
      <c r="G749" s="151">
        <f t="shared" si="421"/>
        <v>689962.92935193074</v>
      </c>
      <c r="H749" s="151">
        <f t="shared" si="421"/>
        <v>823049.76583452488</v>
      </c>
      <c r="I749" s="151">
        <f t="shared" si="421"/>
        <v>964995.69198260608</v>
      </c>
      <c r="J749" s="151">
        <f t="shared" si="421"/>
        <v>1085403.7417255226</v>
      </c>
      <c r="K749" s="151">
        <f t="shared" si="421"/>
        <v>1249791.4461365016</v>
      </c>
      <c r="L749" s="151">
        <f t="shared" si="421"/>
        <v>1400784.9544066954</v>
      </c>
      <c r="M749" s="151">
        <f t="shared" si="421"/>
        <v>1563110.4944126001</v>
      </c>
      <c r="N749" s="151" t="s">
        <v>224</v>
      </c>
      <c r="O749" s="151" t="s">
        <v>142</v>
      </c>
    </row>
    <row r="750" spans="1:15" hidden="1">
      <c r="A750" s="229" t="s">
        <v>128</v>
      </c>
      <c r="B750" s="150">
        <f>SUM(B246:B272,B732)</f>
        <v>11752892.6</v>
      </c>
      <c r="C750" s="150">
        <f t="shared" ref="C750:M750" si="422">SUM(C246:C272,C732)</f>
        <v>10989944.310000001</v>
      </c>
      <c r="D750" s="150">
        <f t="shared" si="422"/>
        <v>5937512.1400000006</v>
      </c>
      <c r="E750" s="150">
        <f t="shared" si="422"/>
        <v>2597418.5</v>
      </c>
      <c r="F750" s="150">
        <f t="shared" si="422"/>
        <v>2276549.4600000004</v>
      </c>
      <c r="G750" s="150">
        <f t="shared" si="422"/>
        <v>3518472.2</v>
      </c>
      <c r="H750" s="150">
        <f t="shared" si="422"/>
        <v>5389885.9299999997</v>
      </c>
      <c r="I750" s="150">
        <f t="shared" si="422"/>
        <v>5743531.9199999999</v>
      </c>
      <c r="J750" s="150">
        <f t="shared" si="422"/>
        <v>2283895.8400000003</v>
      </c>
      <c r="K750" s="150">
        <f t="shared" si="422"/>
        <v>961169.82000000018</v>
      </c>
      <c r="L750" s="150">
        <f t="shared" si="422"/>
        <v>1649423.1</v>
      </c>
      <c r="M750" s="150">
        <f t="shared" si="422"/>
        <v>1721835.8000000005</v>
      </c>
      <c r="N750" s="150" t="s">
        <v>177</v>
      </c>
      <c r="O750" s="150" t="s">
        <v>197</v>
      </c>
    </row>
    <row r="751" spans="1:15" hidden="1">
      <c r="A751" s="229" t="s">
        <v>128</v>
      </c>
      <c r="B751" s="150">
        <f>SUM(B273:B299,B733)</f>
        <v>11653458.218121354</v>
      </c>
      <c r="C751" s="150">
        <f t="shared" ref="C751:M751" si="423">SUM(C273:C299,C733)</f>
        <v>22035632.440347433</v>
      </c>
      <c r="D751" s="150">
        <f t="shared" si="423"/>
        <v>27132453.640968576</v>
      </c>
      <c r="E751" s="150">
        <f t="shared" si="423"/>
        <v>31483422.259147026</v>
      </c>
      <c r="F751" s="150">
        <f t="shared" si="423"/>
        <v>37315309.789178088</v>
      </c>
      <c r="G751" s="150">
        <f t="shared" si="423"/>
        <v>42022123.591066256</v>
      </c>
      <c r="H751" s="150">
        <f t="shared" si="423"/>
        <v>43690331.301933676</v>
      </c>
      <c r="I751" s="150">
        <f t="shared" si="423"/>
        <v>45217834.554953516</v>
      </c>
      <c r="J751" s="150">
        <f t="shared" si="423"/>
        <v>46432719.91380921</v>
      </c>
      <c r="K751" s="150">
        <f t="shared" si="423"/>
        <v>47789213.510218218</v>
      </c>
      <c r="L751" s="150">
        <f t="shared" si="423"/>
        <v>48972903.009613022</v>
      </c>
      <c r="M751" s="150">
        <f t="shared" si="423"/>
        <v>50122525.358499996</v>
      </c>
      <c r="N751" s="150" t="s">
        <v>176</v>
      </c>
      <c r="O751" s="150" t="s">
        <v>197</v>
      </c>
    </row>
    <row r="752" spans="1:15" hidden="1">
      <c r="A752" s="229" t="s">
        <v>128</v>
      </c>
      <c r="B752" s="150">
        <f>SUM(B300:B326,B734)</f>
        <v>21090758.493335936</v>
      </c>
      <c r="C752" s="150">
        <f t="shared" ref="C752:M752" si="424">SUM(C300:C326,C734)</f>
        <v>38803246.252358377</v>
      </c>
      <c r="D752" s="150">
        <f t="shared" si="424"/>
        <v>47400610.944000818</v>
      </c>
      <c r="E752" s="150">
        <f t="shared" si="424"/>
        <v>54811978.98613558</v>
      </c>
      <c r="F752" s="150">
        <f t="shared" si="424"/>
        <v>64869157.932204664</v>
      </c>
      <c r="G752" s="150">
        <f t="shared" si="424"/>
        <v>72728696.155599549</v>
      </c>
      <c r="H752" s="150">
        <f t="shared" si="424"/>
        <v>75541828.790660769</v>
      </c>
      <c r="I752" s="150">
        <f t="shared" si="424"/>
        <v>78117476.158207208</v>
      </c>
      <c r="J752" s="150">
        <f t="shared" si="424"/>
        <v>80132953.632797271</v>
      </c>
      <c r="K752" s="150">
        <f t="shared" si="424"/>
        <v>82426010.312302753</v>
      </c>
      <c r="L752" s="150">
        <f t="shared" si="424"/>
        <v>84428583.869448125</v>
      </c>
      <c r="M752" s="150">
        <f t="shared" si="424"/>
        <v>86382588.019999996</v>
      </c>
      <c r="N752" s="150" t="s">
        <v>224</v>
      </c>
      <c r="O752" s="150" t="s">
        <v>197</v>
      </c>
    </row>
    <row r="753" spans="1:15" hidden="1">
      <c r="A753" s="229" t="s">
        <v>128</v>
      </c>
      <c r="B753" s="150">
        <f>SUM(B327:B353,B735)</f>
        <v>2232851.52</v>
      </c>
      <c r="C753" s="150">
        <f t="shared" ref="C753:M753" si="425">SUM(C327:C353,C735)</f>
        <v>1726374.87</v>
      </c>
      <c r="D753" s="150">
        <f t="shared" si="425"/>
        <v>1590749.9900000005</v>
      </c>
      <c r="E753" s="150">
        <f t="shared" si="425"/>
        <v>927375.99999999988</v>
      </c>
      <c r="F753" s="150">
        <f t="shared" si="425"/>
        <v>821413.82999999984</v>
      </c>
      <c r="G753" s="150">
        <f t="shared" si="425"/>
        <v>1054654.2300000002</v>
      </c>
      <c r="H753" s="150">
        <f t="shared" si="425"/>
        <v>1228828.0899999999</v>
      </c>
      <c r="I753" s="150">
        <f t="shared" si="425"/>
        <v>1246749.4700000002</v>
      </c>
      <c r="J753" s="150">
        <f t="shared" si="425"/>
        <v>1243934.6799999997</v>
      </c>
      <c r="K753" s="150">
        <f t="shared" si="425"/>
        <v>2275000.8600000003</v>
      </c>
      <c r="L753" s="150">
        <f t="shared" si="425"/>
        <v>1024945.0499999998</v>
      </c>
      <c r="M753" s="150">
        <f t="shared" si="425"/>
        <v>1192229.95</v>
      </c>
      <c r="N753" s="150" t="s">
        <v>177</v>
      </c>
      <c r="O753" s="150" t="s">
        <v>199</v>
      </c>
    </row>
    <row r="754" spans="1:15" hidden="1">
      <c r="A754" s="229" t="s">
        <v>128</v>
      </c>
      <c r="B754" s="150">
        <f>SUM(B354:B380,B736)</f>
        <v>1669816.1700430145</v>
      </c>
      <c r="C754" s="150">
        <f t="shared" ref="C754:M754" si="426">SUM(C354:C380,C736)</f>
        <v>2888274.0868818723</v>
      </c>
      <c r="D754" s="150">
        <f t="shared" si="426"/>
        <v>3919769.976736675</v>
      </c>
      <c r="E754" s="150">
        <f t="shared" si="426"/>
        <v>4832749.4779682178</v>
      </c>
      <c r="F754" s="150">
        <f t="shared" si="426"/>
        <v>5782259.2848388935</v>
      </c>
      <c r="G754" s="150">
        <f t="shared" si="426"/>
        <v>6596608.7422391204</v>
      </c>
      <c r="H754" s="150">
        <f t="shared" si="426"/>
        <v>7541775.2695211964</v>
      </c>
      <c r="I754" s="150">
        <f t="shared" si="426"/>
        <v>8493158.5888762828</v>
      </c>
      <c r="J754" s="150">
        <f t="shared" si="426"/>
        <v>9258298.6787793785</v>
      </c>
      <c r="K754" s="150">
        <f t="shared" si="426"/>
        <v>10182662.366565276</v>
      </c>
      <c r="L754" s="150">
        <f t="shared" si="426"/>
        <v>10978014.015212467</v>
      </c>
      <c r="M754" s="150">
        <f t="shared" si="426"/>
        <v>11865014.674057048</v>
      </c>
      <c r="N754" s="150" t="s">
        <v>176</v>
      </c>
      <c r="O754" s="150" t="s">
        <v>199</v>
      </c>
    </row>
    <row r="755" spans="1:15" hidden="1">
      <c r="A755" s="229" t="s">
        <v>128</v>
      </c>
      <c r="B755" s="150">
        <f>SUM(B381:B407,B737)</f>
        <v>1621286.4934650622</v>
      </c>
      <c r="C755" s="150">
        <f t="shared" ref="C755:M755" si="427">SUM(C381:C407,C737)</f>
        <v>2763121.806792133</v>
      </c>
      <c r="D755" s="150">
        <f t="shared" si="427"/>
        <v>3725922.0947990362</v>
      </c>
      <c r="E755" s="150">
        <f t="shared" si="427"/>
        <v>4593012.4623728096</v>
      </c>
      <c r="F755" s="150">
        <f t="shared" si="427"/>
        <v>5501679.2886381727</v>
      </c>
      <c r="G755" s="150">
        <f t="shared" si="427"/>
        <v>6272200.8123194436</v>
      </c>
      <c r="H755" s="150">
        <f t="shared" si="427"/>
        <v>7189213.0711967638</v>
      </c>
      <c r="I755" s="150">
        <f t="shared" si="427"/>
        <v>8118834.1880440619</v>
      </c>
      <c r="J755" s="150">
        <f t="shared" si="427"/>
        <v>8865506.4695700333</v>
      </c>
      <c r="K755" s="150">
        <f t="shared" si="427"/>
        <v>9781228.3062061556</v>
      </c>
      <c r="L755" s="150">
        <f t="shared" si="427"/>
        <v>10545222.256624399</v>
      </c>
      <c r="M755" s="150">
        <f t="shared" si="427"/>
        <v>11419000.776698526</v>
      </c>
      <c r="N755" s="150" t="s">
        <v>224</v>
      </c>
      <c r="O755" s="150" t="s">
        <v>199</v>
      </c>
    </row>
    <row r="756" spans="1:15" hidden="1">
      <c r="A756" s="229" t="s">
        <v>128</v>
      </c>
      <c r="B756" s="150">
        <f>SUM(B408:B434,B738)</f>
        <v>1353434.8600000003</v>
      </c>
      <c r="C756" s="150">
        <f t="shared" ref="C756:M756" si="428">SUM(C408:C434,C738)</f>
        <v>1666209.4699999997</v>
      </c>
      <c r="D756" s="150">
        <f t="shared" si="428"/>
        <v>836933.33000000007</v>
      </c>
      <c r="E756" s="150">
        <f t="shared" si="428"/>
        <v>343340.64999999997</v>
      </c>
      <c r="F756" s="150">
        <f t="shared" si="428"/>
        <v>288865.99</v>
      </c>
      <c r="G756" s="150">
        <f t="shared" si="428"/>
        <v>449344.10000000003</v>
      </c>
      <c r="H756" s="150">
        <f t="shared" si="428"/>
        <v>540262.65999999992</v>
      </c>
      <c r="I756" s="150">
        <f t="shared" si="428"/>
        <v>739083.66000000015</v>
      </c>
      <c r="J756" s="150">
        <f t="shared" si="428"/>
        <v>249049.37</v>
      </c>
      <c r="K756" s="150">
        <f t="shared" si="428"/>
        <v>110215.17999999998</v>
      </c>
      <c r="L756" s="150">
        <f t="shared" si="428"/>
        <v>190346.61</v>
      </c>
      <c r="M756" s="150">
        <f t="shared" si="428"/>
        <v>202206.49000000002</v>
      </c>
      <c r="N756" s="150" t="s">
        <v>177</v>
      </c>
      <c r="O756" s="150" t="s">
        <v>222</v>
      </c>
    </row>
    <row r="757" spans="1:15" hidden="1">
      <c r="A757" s="229" t="s">
        <v>128</v>
      </c>
      <c r="B757" s="150">
        <f>SUM(B435:B461,B739)</f>
        <v>1267120.1720103417</v>
      </c>
      <c r="C757" s="150">
        <f t="shared" ref="C757:M757" si="429">SUM(C435:C461,C739)</f>
        <v>2625222.5172540359</v>
      </c>
      <c r="D757" s="150">
        <f t="shared" si="429"/>
        <v>3265648.3125963123</v>
      </c>
      <c r="E757" s="150">
        <f t="shared" si="429"/>
        <v>3841356.2816538014</v>
      </c>
      <c r="F757" s="150">
        <f t="shared" si="429"/>
        <v>4597802.5288618635</v>
      </c>
      <c r="G757" s="150">
        <f t="shared" si="429"/>
        <v>5309646.6951622562</v>
      </c>
      <c r="H757" s="150">
        <f t="shared" si="429"/>
        <v>5609497.3913289551</v>
      </c>
      <c r="I757" s="150">
        <f t="shared" si="429"/>
        <v>5872363.8870806741</v>
      </c>
      <c r="J757" s="150">
        <f t="shared" si="429"/>
        <v>6078809.5997300614</v>
      </c>
      <c r="K757" s="150">
        <f t="shared" si="429"/>
        <v>6299343.0361589268</v>
      </c>
      <c r="L757" s="150">
        <f t="shared" si="429"/>
        <v>6474464.4115748322</v>
      </c>
      <c r="M757" s="150">
        <f t="shared" si="429"/>
        <v>6640455.4379999992</v>
      </c>
      <c r="N757" s="150" t="s">
        <v>176</v>
      </c>
      <c r="O757" s="150" t="s">
        <v>222</v>
      </c>
    </row>
    <row r="758" spans="1:15" hidden="1">
      <c r="A758" s="229" t="s">
        <v>128</v>
      </c>
      <c r="B758" s="150">
        <f>SUM(B462:B488,B740)</f>
        <v>1739031.2316061466</v>
      </c>
      <c r="C758" s="150">
        <f t="shared" ref="C758:M758" si="430">SUM(C462:C488,C740)</f>
        <v>3687691.6550570419</v>
      </c>
      <c r="D758" s="150">
        <f t="shared" si="430"/>
        <v>4599929.3058205107</v>
      </c>
      <c r="E758" s="150">
        <f t="shared" si="430"/>
        <v>5420075.8767121751</v>
      </c>
      <c r="F758" s="150">
        <f t="shared" si="430"/>
        <v>6507282.6266543493</v>
      </c>
      <c r="G758" s="150">
        <f t="shared" si="430"/>
        <v>7548318.3954591248</v>
      </c>
      <c r="H758" s="150">
        <f t="shared" si="430"/>
        <v>7978522.7651055986</v>
      </c>
      <c r="I758" s="150">
        <f t="shared" si="430"/>
        <v>8346803.9644648414</v>
      </c>
      <c r="J758" s="150">
        <f t="shared" si="430"/>
        <v>8636352.7206039634</v>
      </c>
      <c r="K758" s="150">
        <f t="shared" si="430"/>
        <v>8955810.5038871076</v>
      </c>
      <c r="L758" s="150">
        <f t="shared" si="430"/>
        <v>9200390.0133725181</v>
      </c>
      <c r="M758" s="150">
        <f t="shared" si="430"/>
        <v>9437596.0594323408</v>
      </c>
      <c r="N758" s="150" t="s">
        <v>224</v>
      </c>
      <c r="O758" s="150" t="s">
        <v>222</v>
      </c>
    </row>
    <row r="759" spans="1:15" hidden="1">
      <c r="A759" s="229" t="s">
        <v>128</v>
      </c>
      <c r="B759" s="150">
        <f>SUM(B489:B515,B741)</f>
        <v>320293.43999999994</v>
      </c>
      <c r="C759" s="150">
        <f t="shared" ref="C759:M759" si="431">SUM(C489:C515,C741)</f>
        <v>251289.02</v>
      </c>
      <c r="D759" s="150">
        <f t="shared" si="431"/>
        <v>235766.96999999997</v>
      </c>
      <c r="E759" s="150">
        <f t="shared" si="431"/>
        <v>117016.26000000002</v>
      </c>
      <c r="F759" s="150">
        <f t="shared" si="431"/>
        <v>107057.12000000001</v>
      </c>
      <c r="G759" s="150">
        <f t="shared" si="431"/>
        <v>144949.47</v>
      </c>
      <c r="H759" s="150">
        <f t="shared" si="431"/>
        <v>165957.5</v>
      </c>
      <c r="I759" s="150">
        <f t="shared" si="431"/>
        <v>157061.48000000001</v>
      </c>
      <c r="J759" s="150">
        <f t="shared" si="431"/>
        <v>138810.25</v>
      </c>
      <c r="K759" s="150">
        <f t="shared" si="431"/>
        <v>207191.53999999998</v>
      </c>
      <c r="L759" s="150">
        <f t="shared" si="431"/>
        <v>128432.87000000002</v>
      </c>
      <c r="M759" s="150">
        <f t="shared" si="431"/>
        <v>162242.75</v>
      </c>
      <c r="N759" s="150" t="s">
        <v>177</v>
      </c>
      <c r="O759" s="150" t="s">
        <v>198</v>
      </c>
    </row>
    <row r="760" spans="1:15" hidden="1">
      <c r="A760" s="229" t="s">
        <v>128</v>
      </c>
      <c r="B760" s="150">
        <f>SUM(B516:B542,B742)</f>
        <v>226171.33780694642</v>
      </c>
      <c r="C760" s="150">
        <f t="shared" ref="C760:L760" si="432">SUM(C516:C542,C742)</f>
        <v>402830.27666182735</v>
      </c>
      <c r="D760" s="150">
        <f t="shared" si="432"/>
        <v>550996.16698999784</v>
      </c>
      <c r="E760" s="150">
        <f t="shared" si="432"/>
        <v>694879.90795870486</v>
      </c>
      <c r="F760" s="150">
        <f t="shared" si="432"/>
        <v>835259.4675421007</v>
      </c>
      <c r="G760" s="150">
        <f t="shared" si="432"/>
        <v>962795.18765166204</v>
      </c>
      <c r="H760" s="150">
        <f t="shared" si="432"/>
        <v>1101615.1690039521</v>
      </c>
      <c r="I760" s="150">
        <f t="shared" si="432"/>
        <v>1247309.3989167546</v>
      </c>
      <c r="J760" s="150">
        <f t="shared" si="432"/>
        <v>1361496.4798325496</v>
      </c>
      <c r="K760" s="150">
        <f t="shared" si="432"/>
        <v>1498666.0684385095</v>
      </c>
      <c r="L760" s="150">
        <f t="shared" si="432"/>
        <v>1613100.1277208789</v>
      </c>
      <c r="M760" s="150">
        <f>SUM(M516:M542,M742)</f>
        <v>1744647.8605981038</v>
      </c>
      <c r="N760" s="150" t="s">
        <v>176</v>
      </c>
      <c r="O760" s="150" t="s">
        <v>198</v>
      </c>
    </row>
    <row r="761" spans="1:15" hidden="1">
      <c r="A761" s="229" t="s">
        <v>128</v>
      </c>
      <c r="B761" s="150">
        <f>SUM(B543:B569,B743)</f>
        <v>226624.1491846143</v>
      </c>
      <c r="C761" s="150">
        <f t="shared" ref="C761:M761" si="433">SUM(C543:C569,C743)</f>
        <v>395592.42758402089</v>
      </c>
      <c r="D761" s="150">
        <f t="shared" si="433"/>
        <v>537022.36332228302</v>
      </c>
      <c r="E761" s="150">
        <f t="shared" si="433"/>
        <v>674422.90536508849</v>
      </c>
      <c r="F761" s="150">
        <f t="shared" si="433"/>
        <v>809977.70938137313</v>
      </c>
      <c r="G761" s="150">
        <f t="shared" si="433"/>
        <v>933230.22790301347</v>
      </c>
      <c r="H761" s="150">
        <f t="shared" si="433"/>
        <v>1070015.8852467316</v>
      </c>
      <c r="I761" s="150">
        <f t="shared" si="433"/>
        <v>1218266.4653185098</v>
      </c>
      <c r="J761" s="150">
        <f t="shared" si="433"/>
        <v>1333255.7995803044</v>
      </c>
      <c r="K761" s="150">
        <f t="shared" si="433"/>
        <v>1471879.9296967152</v>
      </c>
      <c r="L761" s="150">
        <f t="shared" si="433"/>
        <v>1587650.8974636742</v>
      </c>
      <c r="M761" s="150">
        <f t="shared" si="433"/>
        <v>1723336.9240981038</v>
      </c>
      <c r="N761" s="150" t="s">
        <v>224</v>
      </c>
      <c r="O761" s="150" t="s">
        <v>198</v>
      </c>
    </row>
    <row r="762" spans="1:15" hidden="1">
      <c r="A762" s="229" t="s">
        <v>128</v>
      </c>
      <c r="B762" s="150">
        <f>SUM(B570:B596,B744)</f>
        <v>6095755.0300000003</v>
      </c>
      <c r="C762" s="150">
        <f t="shared" ref="C762:M762" si="434">SUM(C570:C596,C744)</f>
        <v>6486719.6099999994</v>
      </c>
      <c r="D762" s="150">
        <f t="shared" si="434"/>
        <v>6574574.5700000022</v>
      </c>
      <c r="E762" s="150">
        <f t="shared" si="434"/>
        <v>3768137.9000000004</v>
      </c>
      <c r="F762" s="150">
        <f t="shared" si="434"/>
        <v>4810422.45</v>
      </c>
      <c r="G762" s="150">
        <f t="shared" si="434"/>
        <v>6235594.9500000002</v>
      </c>
      <c r="H762" s="150">
        <f t="shared" si="434"/>
        <v>7568698.5499999998</v>
      </c>
      <c r="I762" s="150">
        <f t="shared" si="434"/>
        <v>8022684.9200000009</v>
      </c>
      <c r="J762" s="150">
        <f t="shared" si="434"/>
        <v>7914360</v>
      </c>
      <c r="K762" s="150">
        <f t="shared" si="434"/>
        <v>8767798.3500000015</v>
      </c>
      <c r="L762" s="150">
        <f t="shared" si="434"/>
        <v>7725821.1700000009</v>
      </c>
      <c r="M762" s="150">
        <f t="shared" si="434"/>
        <v>7442926.6500000004</v>
      </c>
      <c r="N762" s="150" t="s">
        <v>177</v>
      </c>
      <c r="O762" s="150" t="s">
        <v>28</v>
      </c>
    </row>
    <row r="763" spans="1:15" hidden="1">
      <c r="A763" s="229" t="s">
        <v>128</v>
      </c>
      <c r="B763" s="150">
        <f>SUM(B597:B623,B745)</f>
        <v>4342800.9981082175</v>
      </c>
      <c r="C763" s="150">
        <f t="shared" ref="C763:M763" si="435">SUM(C597:C623,C745)</f>
        <v>9228298.8827650305</v>
      </c>
      <c r="D763" s="150">
        <f t="shared" si="435"/>
        <v>15096935.465234717</v>
      </c>
      <c r="E763" s="150">
        <f t="shared" si="435"/>
        <v>20937313.210018564</v>
      </c>
      <c r="F763" s="150">
        <f t="shared" si="435"/>
        <v>27461986.540560611</v>
      </c>
      <c r="G763" s="150">
        <f t="shared" si="435"/>
        <v>33393089.300926641</v>
      </c>
      <c r="H763" s="150">
        <f t="shared" si="435"/>
        <v>39683546.846993819</v>
      </c>
      <c r="I763" s="150">
        <f t="shared" si="435"/>
        <v>46505985.778729334</v>
      </c>
      <c r="J763" s="150">
        <f t="shared" si="435"/>
        <v>52558949.159480534</v>
      </c>
      <c r="K763" s="150">
        <f t="shared" si="435"/>
        <v>59109244.702572055</v>
      </c>
      <c r="L763" s="150">
        <f t="shared" si="435"/>
        <v>64869748.377492353</v>
      </c>
      <c r="M763" s="150">
        <f t="shared" si="435"/>
        <v>70227432.364500001</v>
      </c>
      <c r="N763" s="150" t="s">
        <v>176</v>
      </c>
      <c r="O763" s="150" t="s">
        <v>28</v>
      </c>
    </row>
    <row r="764" spans="1:15" hidden="1">
      <c r="A764" s="229" t="s">
        <v>128</v>
      </c>
      <c r="B764" s="150">
        <f>SUM(B624:B650,B746)</f>
        <v>4348036.061023308</v>
      </c>
      <c r="C764" s="150">
        <f t="shared" ref="C764:M764" si="436">SUM(C624:C650,C746)</f>
        <v>9267259.3225193601</v>
      </c>
      <c r="D764" s="150">
        <f t="shared" si="436"/>
        <v>15204951.614505548</v>
      </c>
      <c r="E764" s="150">
        <f t="shared" si="436"/>
        <v>21096138.715174939</v>
      </c>
      <c r="F764" s="150">
        <f t="shared" si="436"/>
        <v>27659117.878385894</v>
      </c>
      <c r="G764" s="150">
        <f t="shared" si="436"/>
        <v>33593195.912603661</v>
      </c>
      <c r="H764" s="150">
        <f t="shared" si="436"/>
        <v>39907187.20009011</v>
      </c>
      <c r="I764" s="150">
        <f t="shared" si="436"/>
        <v>46763219.005887434</v>
      </c>
      <c r="J764" s="150">
        <f t="shared" si="436"/>
        <v>52847186.021745816</v>
      </c>
      <c r="K764" s="150">
        <f t="shared" si="436"/>
        <v>59406404.076074578</v>
      </c>
      <c r="L764" s="150">
        <f t="shared" si="436"/>
        <v>65156589.192619063</v>
      </c>
      <c r="M764" s="150">
        <f t="shared" si="436"/>
        <v>70525748.427499995</v>
      </c>
      <c r="N764" s="150" t="s">
        <v>224</v>
      </c>
      <c r="O764" s="150" t="s">
        <v>28</v>
      </c>
    </row>
    <row r="765" spans="1:15" hidden="1">
      <c r="A765" s="229" t="s">
        <v>128</v>
      </c>
      <c r="B765" s="150">
        <f>SUM(B651:B677,B747)</f>
        <v>821160.57000000018</v>
      </c>
      <c r="C765" s="150">
        <f t="shared" ref="C765:M765" si="437">SUM(C651:C677,C747)</f>
        <v>670526.55999999994</v>
      </c>
      <c r="D765" s="150">
        <f t="shared" si="437"/>
        <v>635966.18999999994</v>
      </c>
      <c r="E765" s="150">
        <f t="shared" si="437"/>
        <v>388580.88000000006</v>
      </c>
      <c r="F765" s="150">
        <f t="shared" si="437"/>
        <v>354397.03999999992</v>
      </c>
      <c r="G765" s="150">
        <f t="shared" si="437"/>
        <v>449221.93</v>
      </c>
      <c r="H765" s="150">
        <f t="shared" si="437"/>
        <v>521006.64</v>
      </c>
      <c r="I765" s="150">
        <f t="shared" si="437"/>
        <v>609071.41</v>
      </c>
      <c r="J765" s="150">
        <f t="shared" si="437"/>
        <v>745389.69000000006</v>
      </c>
      <c r="K765" s="150">
        <f t="shared" si="437"/>
        <v>770388.81</v>
      </c>
      <c r="L765" s="150">
        <f t="shared" si="437"/>
        <v>771584.68000000028</v>
      </c>
      <c r="M765" s="150">
        <f t="shared" si="437"/>
        <v>782024.30999999994</v>
      </c>
      <c r="N765" s="150" t="s">
        <v>177</v>
      </c>
      <c r="O765" s="150" t="s">
        <v>142</v>
      </c>
    </row>
    <row r="766" spans="1:15" hidden="1">
      <c r="A766" s="229" t="s">
        <v>128</v>
      </c>
      <c r="B766" s="150">
        <f>SUM(B678:B704,B748)</f>
        <v>580218.44288071955</v>
      </c>
      <c r="C766" s="150">
        <f t="shared" ref="C766:M766" si="438">SUM(C678:C704,C748)</f>
        <v>1060921.5369958326</v>
      </c>
      <c r="D766" s="150">
        <f t="shared" si="438"/>
        <v>1489223.9769019096</v>
      </c>
      <c r="E766" s="150">
        <f t="shared" si="438"/>
        <v>1897292.5201033165</v>
      </c>
      <c r="F766" s="150">
        <f t="shared" si="438"/>
        <v>2317707.6609487999</v>
      </c>
      <c r="G766" s="150">
        <f t="shared" si="438"/>
        <v>2735219.8615403008</v>
      </c>
      <c r="H766" s="150">
        <f t="shared" si="438"/>
        <v>3264067.8314890373</v>
      </c>
      <c r="I766" s="150">
        <f t="shared" si="438"/>
        <v>3827909.9946179804</v>
      </c>
      <c r="J766" s="150">
        <f t="shared" si="438"/>
        <v>4310102.1863197042</v>
      </c>
      <c r="K766" s="150">
        <f t="shared" si="438"/>
        <v>4951868.0593961589</v>
      </c>
      <c r="L766" s="150">
        <f t="shared" si="438"/>
        <v>5556755.1734149512</v>
      </c>
      <c r="M766" s="150">
        <f t="shared" si="438"/>
        <v>6197821.1084538158</v>
      </c>
      <c r="N766" s="150" t="s">
        <v>176</v>
      </c>
      <c r="O766" s="150" t="s">
        <v>142</v>
      </c>
    </row>
    <row r="767" spans="1:15" hidden="1">
      <c r="A767" s="229" t="s">
        <v>128</v>
      </c>
      <c r="B767" s="150">
        <f>SUM(B705:B731,B749)</f>
        <v>756972.39808321092</v>
      </c>
      <c r="C767" s="150">
        <f t="shared" ref="C767:M767" si="439">SUM(C705:C731,C749)</f>
        <v>1355825.5335765667</v>
      </c>
      <c r="D767" s="150">
        <f t="shared" si="439"/>
        <v>1887999.0953274313</v>
      </c>
      <c r="E767" s="150">
        <f t="shared" si="439"/>
        <v>2404607.5345401866</v>
      </c>
      <c r="F767" s="150">
        <f t="shared" si="439"/>
        <v>2932027.6006518072</v>
      </c>
      <c r="G767" s="150">
        <f t="shared" si="439"/>
        <v>3449814.6467596535</v>
      </c>
      <c r="H767" s="150">
        <f t="shared" si="439"/>
        <v>4115248.8291726243</v>
      </c>
      <c r="I767" s="150">
        <f t="shared" si="439"/>
        <v>4824978.4599130303</v>
      </c>
      <c r="J767" s="150">
        <f t="shared" si="439"/>
        <v>5427018.7086276133</v>
      </c>
      <c r="K767" s="150">
        <f t="shared" si="439"/>
        <v>6248957.2306825081</v>
      </c>
      <c r="L767" s="150">
        <f t="shared" si="439"/>
        <v>7003924.7720334781</v>
      </c>
      <c r="M767" s="150">
        <f t="shared" si="439"/>
        <v>7815552.4720630003</v>
      </c>
      <c r="N767" s="150" t="s">
        <v>224</v>
      </c>
      <c r="O767" s="150" t="s">
        <v>142</v>
      </c>
    </row>
    <row r="770" spans="1:6" hidden="1">
      <c r="A770" s="211" t="s">
        <v>193</v>
      </c>
      <c r="B770" s="211" t="s">
        <v>177</v>
      </c>
      <c r="C770" s="211" t="s">
        <v>176</v>
      </c>
      <c r="D770" s="211" t="s">
        <v>224</v>
      </c>
      <c r="E770" s="34" t="s">
        <v>182</v>
      </c>
      <c r="F770" s="34" t="s">
        <v>302</v>
      </c>
    </row>
    <row r="771" spans="1:6" hidden="1">
      <c r="A771" s="212" t="s">
        <v>116</v>
      </c>
      <c r="B771" s="147">
        <f>B$246</f>
        <v>14560.495999999999</v>
      </c>
      <c r="C771" s="147">
        <f>B$273</f>
        <v>14020.237106083476</v>
      </c>
      <c r="D771" s="147">
        <f>B$300</f>
        <v>32427.888733659147</v>
      </c>
      <c r="E771" s="34" t="s">
        <v>87</v>
      </c>
      <c r="F771" s="34" t="s">
        <v>197</v>
      </c>
    </row>
    <row r="772" spans="1:6" hidden="1">
      <c r="A772" s="212" t="s">
        <v>117</v>
      </c>
      <c r="B772" s="147">
        <f>C$246</f>
        <v>19304.727999999999</v>
      </c>
      <c r="C772" s="147">
        <f>C$273</f>
        <v>30352.173875986358</v>
      </c>
      <c r="D772" s="147">
        <f>C$300</f>
        <v>70202.587147979531</v>
      </c>
      <c r="E772" s="34" t="s">
        <v>87</v>
      </c>
      <c r="F772" s="34" t="s">
        <v>197</v>
      </c>
    </row>
    <row r="773" spans="1:6" hidden="1">
      <c r="A773" s="212" t="s">
        <v>118</v>
      </c>
      <c r="B773" s="147">
        <f>D$246</f>
        <v>14407.112000000001</v>
      </c>
      <c r="C773" s="147">
        <f>D$273</f>
        <v>40264.443452410829</v>
      </c>
      <c r="D773" s="147">
        <f>D$300</f>
        <v>93129.01645799847</v>
      </c>
      <c r="E773" s="34" t="s">
        <v>87</v>
      </c>
      <c r="F773" s="34" t="s">
        <v>197</v>
      </c>
    </row>
    <row r="774" spans="1:6" hidden="1">
      <c r="A774" s="212" t="s">
        <v>119</v>
      </c>
      <c r="B774" s="147">
        <f>E$246</f>
        <v>6038.5120000000006</v>
      </c>
      <c r="C774" s="147">
        <f>E$273</f>
        <v>50650.646984757943</v>
      </c>
      <c r="D774" s="147">
        <f>E$300</f>
        <v>117151.62391917677</v>
      </c>
      <c r="E774" s="34" t="s">
        <v>87</v>
      </c>
      <c r="F774" s="34" t="s">
        <v>197</v>
      </c>
    </row>
    <row r="775" spans="1:6" hidden="1">
      <c r="A775" s="212" t="s">
        <v>120</v>
      </c>
      <c r="B775" s="147">
        <f>F$246</f>
        <v>5366.7760000000007</v>
      </c>
      <c r="C775" s="147">
        <f>F$273</f>
        <v>62908.235839114626</v>
      </c>
      <c r="D775" s="147">
        <f>F$300</f>
        <v>145502.62287193674</v>
      </c>
      <c r="E775" s="34" t="s">
        <v>87</v>
      </c>
      <c r="F775" s="34" t="s">
        <v>197</v>
      </c>
    </row>
    <row r="776" spans="1:6" hidden="1">
      <c r="A776" s="212" t="s">
        <v>121</v>
      </c>
      <c r="B776" s="147">
        <f>G$246</f>
        <v>9320.3120000000017</v>
      </c>
      <c r="C776" s="147">
        <f>G$273</f>
        <v>72701.886779984226</v>
      </c>
      <c r="D776" s="147">
        <f>G$300</f>
        <v>168154.695059005</v>
      </c>
      <c r="E776" s="34" t="s">
        <v>87</v>
      </c>
      <c r="F776" s="34" t="s">
        <v>197</v>
      </c>
    </row>
    <row r="777" spans="1:6" hidden="1">
      <c r="A777" s="212" t="s">
        <v>122</v>
      </c>
      <c r="B777" s="147">
        <f>H$246</f>
        <v>14005.264000000003</v>
      </c>
      <c r="C777" s="147">
        <f>H$273</f>
        <v>77147.191511707686</v>
      </c>
      <c r="D777" s="147">
        <f>H$300</f>
        <v>178436.39330253814</v>
      </c>
      <c r="E777" s="34" t="s">
        <v>87</v>
      </c>
      <c r="F777" s="34" t="s">
        <v>197</v>
      </c>
    </row>
    <row r="778" spans="1:6" hidden="1">
      <c r="A778" s="212" t="s">
        <v>123</v>
      </c>
      <c r="B778" s="147">
        <f>I$246</f>
        <v>19565.816000000003</v>
      </c>
      <c r="C778" s="147">
        <f>I$273</f>
        <v>81266.16252411509</v>
      </c>
      <c r="D778" s="147">
        <f>I$300</f>
        <v>187963.30305997425</v>
      </c>
      <c r="E778" s="34" t="s">
        <v>87</v>
      </c>
      <c r="F778" s="34" t="s">
        <v>197</v>
      </c>
    </row>
    <row r="779" spans="1:6" hidden="1">
      <c r="A779" s="212" t="s">
        <v>124</v>
      </c>
      <c r="B779" s="147">
        <f>J$246</f>
        <v>7479.9120000000003</v>
      </c>
      <c r="C779" s="147">
        <f>J$273</f>
        <v>84838.669995525532</v>
      </c>
      <c r="D779" s="147">
        <f>J$300</f>
        <v>196226.27849373466</v>
      </c>
      <c r="E779" s="34" t="s">
        <v>87</v>
      </c>
      <c r="F779" s="34" t="s">
        <v>197</v>
      </c>
    </row>
    <row r="780" spans="1:6" hidden="1">
      <c r="A780" s="212" t="s">
        <v>125</v>
      </c>
      <c r="B780" s="147">
        <f>K$246</f>
        <v>2464.5439999999999</v>
      </c>
      <c r="C780" s="147">
        <f>K$273</f>
        <v>88018.922601022568</v>
      </c>
      <c r="D780" s="147">
        <f>K$300</f>
        <v>203581.99415358173</v>
      </c>
      <c r="E780" s="34" t="s">
        <v>87</v>
      </c>
      <c r="F780" s="34" t="s">
        <v>197</v>
      </c>
    </row>
    <row r="781" spans="1:6" hidden="1">
      <c r="A781" s="212" t="s">
        <v>126</v>
      </c>
      <c r="B781" s="147">
        <f>L$246</f>
        <v>3617.5360000000001</v>
      </c>
      <c r="C781" s="147">
        <f>L$273</f>
        <v>90500.538993470953</v>
      </c>
      <c r="D781" s="147">
        <f>L$300</f>
        <v>209321.81008144669</v>
      </c>
      <c r="E781" s="34" t="s">
        <v>87</v>
      </c>
      <c r="F781" s="34" t="s">
        <v>197</v>
      </c>
    </row>
    <row r="782" spans="1:6" hidden="1">
      <c r="A782" s="212" t="s">
        <v>127</v>
      </c>
      <c r="B782" s="147">
        <f>M$246</f>
        <v>6135.9440000000004</v>
      </c>
      <c r="C782" s="147">
        <f>M$273</f>
        <v>92896.567999999999</v>
      </c>
      <c r="D782" s="147">
        <f>M$300</f>
        <v>214863.66800000001</v>
      </c>
      <c r="E782" s="34" t="s">
        <v>87</v>
      </c>
      <c r="F782" s="34" t="s">
        <v>197</v>
      </c>
    </row>
    <row r="783" spans="1:6" hidden="1">
      <c r="A783" s="230" t="s">
        <v>116</v>
      </c>
      <c r="B783" s="149"/>
      <c r="C783" s="149"/>
      <c r="D783" s="149"/>
      <c r="E783" s="149" t="s">
        <v>87</v>
      </c>
      <c r="F783" s="34" t="s">
        <v>199</v>
      </c>
    </row>
    <row r="784" spans="1:6" hidden="1">
      <c r="A784" s="230" t="s">
        <v>117</v>
      </c>
      <c r="B784" s="149"/>
      <c r="C784" s="149"/>
      <c r="D784" s="149"/>
      <c r="E784" s="149" t="s">
        <v>87</v>
      </c>
      <c r="F784" s="34" t="s">
        <v>199</v>
      </c>
    </row>
    <row r="785" spans="1:6" hidden="1">
      <c r="A785" s="230" t="s">
        <v>118</v>
      </c>
      <c r="B785" s="149"/>
      <c r="C785" s="149"/>
      <c r="D785" s="149"/>
      <c r="E785" s="149" t="s">
        <v>87</v>
      </c>
      <c r="F785" s="34" t="s">
        <v>199</v>
      </c>
    </row>
    <row r="786" spans="1:6" hidden="1">
      <c r="A786" s="230" t="s">
        <v>119</v>
      </c>
      <c r="B786" s="149"/>
      <c r="C786" s="149"/>
      <c r="D786" s="149"/>
      <c r="E786" s="149" t="s">
        <v>87</v>
      </c>
      <c r="F786" s="34" t="s">
        <v>199</v>
      </c>
    </row>
    <row r="787" spans="1:6" hidden="1">
      <c r="A787" s="230" t="s">
        <v>120</v>
      </c>
      <c r="B787" s="149"/>
      <c r="C787" s="149"/>
      <c r="D787" s="149"/>
      <c r="E787" s="149" t="s">
        <v>87</v>
      </c>
      <c r="F787" s="34" t="s">
        <v>199</v>
      </c>
    </row>
    <row r="788" spans="1:6" hidden="1">
      <c r="A788" s="230" t="s">
        <v>121</v>
      </c>
      <c r="B788" s="149"/>
      <c r="C788" s="149"/>
      <c r="D788" s="149"/>
      <c r="E788" s="149" t="s">
        <v>87</v>
      </c>
      <c r="F788" s="34" t="s">
        <v>199</v>
      </c>
    </row>
    <row r="789" spans="1:6" hidden="1">
      <c r="A789" s="230" t="s">
        <v>122</v>
      </c>
      <c r="B789" s="149"/>
      <c r="C789" s="149"/>
      <c r="D789" s="149"/>
      <c r="E789" s="149" t="s">
        <v>87</v>
      </c>
      <c r="F789" s="34" t="s">
        <v>199</v>
      </c>
    </row>
    <row r="790" spans="1:6" hidden="1">
      <c r="A790" s="230" t="s">
        <v>123</v>
      </c>
      <c r="B790" s="149"/>
      <c r="C790" s="149"/>
      <c r="D790" s="149"/>
      <c r="E790" s="149" t="s">
        <v>87</v>
      </c>
      <c r="F790" s="34" t="s">
        <v>199</v>
      </c>
    </row>
    <row r="791" spans="1:6" hidden="1">
      <c r="A791" s="230" t="s">
        <v>124</v>
      </c>
      <c r="B791" s="149"/>
      <c r="C791" s="149"/>
      <c r="D791" s="149"/>
      <c r="E791" s="149" t="s">
        <v>87</v>
      </c>
      <c r="F791" s="34" t="s">
        <v>199</v>
      </c>
    </row>
    <row r="792" spans="1:6" hidden="1">
      <c r="A792" s="230" t="s">
        <v>125</v>
      </c>
      <c r="B792" s="149"/>
      <c r="C792" s="149"/>
      <c r="D792" s="149"/>
      <c r="E792" s="149" t="s">
        <v>87</v>
      </c>
      <c r="F792" s="34" t="s">
        <v>199</v>
      </c>
    </row>
    <row r="793" spans="1:6" hidden="1">
      <c r="A793" s="230" t="s">
        <v>126</v>
      </c>
      <c r="B793" s="149"/>
      <c r="C793" s="149"/>
      <c r="D793" s="149"/>
      <c r="E793" s="149" t="s">
        <v>87</v>
      </c>
      <c r="F793" s="34" t="s">
        <v>199</v>
      </c>
    </row>
    <row r="794" spans="1:6" hidden="1">
      <c r="A794" s="230" t="s">
        <v>127</v>
      </c>
      <c r="B794" s="149"/>
      <c r="C794" s="149"/>
      <c r="D794" s="149"/>
      <c r="E794" s="149" t="s">
        <v>87</v>
      </c>
      <c r="F794" s="34" t="s">
        <v>199</v>
      </c>
    </row>
    <row r="795" spans="1:6" hidden="1">
      <c r="A795" s="212" t="s">
        <v>116</v>
      </c>
      <c r="B795" s="147"/>
      <c r="C795" s="147"/>
      <c r="D795" s="147"/>
      <c r="E795" s="34" t="s">
        <v>87</v>
      </c>
      <c r="F795" s="34" t="s">
        <v>222</v>
      </c>
    </row>
    <row r="796" spans="1:6" hidden="1">
      <c r="A796" s="212" t="s">
        <v>117</v>
      </c>
      <c r="B796" s="147"/>
      <c r="C796" s="147"/>
      <c r="D796" s="147"/>
      <c r="E796" s="34" t="s">
        <v>87</v>
      </c>
      <c r="F796" s="34" t="s">
        <v>222</v>
      </c>
    </row>
    <row r="797" spans="1:6" hidden="1">
      <c r="A797" s="212" t="s">
        <v>118</v>
      </c>
      <c r="B797" s="147"/>
      <c r="C797" s="147"/>
      <c r="D797" s="147"/>
      <c r="E797" s="34" t="s">
        <v>87</v>
      </c>
      <c r="F797" s="34" t="s">
        <v>222</v>
      </c>
    </row>
    <row r="798" spans="1:6" hidden="1">
      <c r="A798" s="212" t="s">
        <v>119</v>
      </c>
      <c r="B798" s="147"/>
      <c r="C798" s="147"/>
      <c r="D798" s="147"/>
      <c r="E798" s="34" t="s">
        <v>87</v>
      </c>
      <c r="F798" s="34" t="s">
        <v>222</v>
      </c>
    </row>
    <row r="799" spans="1:6" hidden="1">
      <c r="A799" s="212" t="s">
        <v>120</v>
      </c>
      <c r="B799" s="147"/>
      <c r="C799" s="147"/>
      <c r="D799" s="147"/>
      <c r="E799" s="34" t="s">
        <v>87</v>
      </c>
      <c r="F799" s="34" t="s">
        <v>222</v>
      </c>
    </row>
    <row r="800" spans="1:6" hidden="1">
      <c r="A800" s="212" t="s">
        <v>121</v>
      </c>
      <c r="B800" s="147"/>
      <c r="C800" s="147"/>
      <c r="D800" s="147"/>
      <c r="E800" s="34" t="s">
        <v>87</v>
      </c>
      <c r="F800" s="34" t="s">
        <v>222</v>
      </c>
    </row>
    <row r="801" spans="1:6" hidden="1">
      <c r="A801" s="212" t="s">
        <v>122</v>
      </c>
      <c r="B801" s="147"/>
      <c r="C801" s="147"/>
      <c r="D801" s="147"/>
      <c r="E801" s="34" t="s">
        <v>87</v>
      </c>
      <c r="F801" s="34" t="s">
        <v>222</v>
      </c>
    </row>
    <row r="802" spans="1:6" hidden="1">
      <c r="A802" s="212" t="s">
        <v>123</v>
      </c>
      <c r="B802" s="147"/>
      <c r="C802" s="147"/>
      <c r="D802" s="147"/>
      <c r="E802" s="34" t="s">
        <v>87</v>
      </c>
      <c r="F802" s="34" t="s">
        <v>222</v>
      </c>
    </row>
    <row r="803" spans="1:6" hidden="1">
      <c r="A803" s="212" t="s">
        <v>124</v>
      </c>
      <c r="B803" s="147"/>
      <c r="C803" s="147"/>
      <c r="D803" s="147"/>
      <c r="E803" s="34" t="s">
        <v>87</v>
      </c>
      <c r="F803" s="34" t="s">
        <v>222</v>
      </c>
    </row>
    <row r="804" spans="1:6" hidden="1">
      <c r="A804" s="212" t="s">
        <v>125</v>
      </c>
      <c r="B804" s="147"/>
      <c r="C804" s="147"/>
      <c r="D804" s="147"/>
      <c r="E804" s="34" t="s">
        <v>87</v>
      </c>
      <c r="F804" s="34" t="s">
        <v>222</v>
      </c>
    </row>
    <row r="805" spans="1:6" hidden="1">
      <c r="A805" s="212" t="s">
        <v>126</v>
      </c>
      <c r="B805" s="147"/>
      <c r="C805" s="147"/>
      <c r="D805" s="147"/>
      <c r="E805" s="34" t="s">
        <v>87</v>
      </c>
      <c r="F805" s="34" t="s">
        <v>222</v>
      </c>
    </row>
    <row r="806" spans="1:6" hidden="1">
      <c r="A806" s="212" t="s">
        <v>127</v>
      </c>
      <c r="B806" s="147"/>
      <c r="C806" s="147"/>
      <c r="D806" s="147"/>
      <c r="E806" s="34" t="s">
        <v>87</v>
      </c>
      <c r="F806" s="34" t="s">
        <v>222</v>
      </c>
    </row>
    <row r="807" spans="1:6" hidden="1">
      <c r="A807" s="230" t="s">
        <v>116</v>
      </c>
      <c r="B807" s="149"/>
      <c r="C807" s="149"/>
      <c r="D807" s="149"/>
      <c r="E807" s="149" t="s">
        <v>87</v>
      </c>
      <c r="F807" s="34" t="s">
        <v>198</v>
      </c>
    </row>
    <row r="808" spans="1:6" hidden="1">
      <c r="A808" s="230" t="s">
        <v>117</v>
      </c>
      <c r="B808" s="149"/>
      <c r="C808" s="149"/>
      <c r="D808" s="149"/>
      <c r="E808" s="149" t="s">
        <v>87</v>
      </c>
      <c r="F808" s="34" t="s">
        <v>198</v>
      </c>
    </row>
    <row r="809" spans="1:6" hidden="1">
      <c r="A809" s="230" t="s">
        <v>118</v>
      </c>
      <c r="B809" s="149"/>
      <c r="C809" s="149"/>
      <c r="D809" s="149"/>
      <c r="E809" s="149" t="s">
        <v>87</v>
      </c>
      <c r="F809" s="34" t="s">
        <v>198</v>
      </c>
    </row>
    <row r="810" spans="1:6" hidden="1">
      <c r="A810" s="230" t="s">
        <v>119</v>
      </c>
      <c r="B810" s="149"/>
      <c r="C810" s="149"/>
      <c r="D810" s="149"/>
      <c r="E810" s="149" t="s">
        <v>87</v>
      </c>
      <c r="F810" s="34" t="s">
        <v>198</v>
      </c>
    </row>
    <row r="811" spans="1:6" hidden="1">
      <c r="A811" s="230" t="s">
        <v>120</v>
      </c>
      <c r="B811" s="149"/>
      <c r="C811" s="149"/>
      <c r="D811" s="149"/>
      <c r="E811" s="149" t="s">
        <v>87</v>
      </c>
      <c r="F811" s="34" t="s">
        <v>198</v>
      </c>
    </row>
    <row r="812" spans="1:6" hidden="1">
      <c r="A812" s="230" t="s">
        <v>121</v>
      </c>
      <c r="B812" s="149"/>
      <c r="C812" s="149"/>
      <c r="D812" s="149"/>
      <c r="E812" s="149" t="s">
        <v>87</v>
      </c>
      <c r="F812" s="34" t="s">
        <v>198</v>
      </c>
    </row>
    <row r="813" spans="1:6" hidden="1">
      <c r="A813" s="230" t="s">
        <v>122</v>
      </c>
      <c r="B813" s="149"/>
      <c r="C813" s="149"/>
      <c r="D813" s="149"/>
      <c r="E813" s="149" t="s">
        <v>87</v>
      </c>
      <c r="F813" s="34" t="s">
        <v>198</v>
      </c>
    </row>
    <row r="814" spans="1:6" hidden="1">
      <c r="A814" s="230" t="s">
        <v>123</v>
      </c>
      <c r="B814" s="149"/>
      <c r="C814" s="149"/>
      <c r="D814" s="149"/>
      <c r="E814" s="149" t="s">
        <v>87</v>
      </c>
      <c r="F814" s="34" t="s">
        <v>198</v>
      </c>
    </row>
    <row r="815" spans="1:6" hidden="1">
      <c r="A815" s="230" t="s">
        <v>124</v>
      </c>
      <c r="B815" s="149"/>
      <c r="C815" s="149"/>
      <c r="D815" s="149"/>
      <c r="E815" s="149" t="s">
        <v>87</v>
      </c>
      <c r="F815" s="34" t="s">
        <v>198</v>
      </c>
    </row>
    <row r="816" spans="1:6" hidden="1">
      <c r="A816" s="230" t="s">
        <v>125</v>
      </c>
      <c r="B816" s="149"/>
      <c r="C816" s="149"/>
      <c r="D816" s="149"/>
      <c r="E816" s="149" t="s">
        <v>87</v>
      </c>
      <c r="F816" s="34" t="s">
        <v>198</v>
      </c>
    </row>
    <row r="817" spans="1:6" hidden="1">
      <c r="A817" s="230" t="s">
        <v>126</v>
      </c>
      <c r="B817" s="149"/>
      <c r="C817" s="149"/>
      <c r="D817" s="149"/>
      <c r="E817" s="149" t="s">
        <v>87</v>
      </c>
      <c r="F817" s="34" t="s">
        <v>198</v>
      </c>
    </row>
    <row r="818" spans="1:6" hidden="1">
      <c r="A818" s="230" t="s">
        <v>127</v>
      </c>
      <c r="B818" s="149"/>
      <c r="C818" s="149"/>
      <c r="D818" s="149"/>
      <c r="E818" s="149" t="s">
        <v>87</v>
      </c>
      <c r="F818" s="34" t="s">
        <v>198</v>
      </c>
    </row>
    <row r="819" spans="1:6" hidden="1">
      <c r="A819" s="212" t="s">
        <v>116</v>
      </c>
      <c r="B819" s="147"/>
      <c r="C819" s="147"/>
      <c r="D819" s="147"/>
      <c r="E819" s="34" t="s">
        <v>87</v>
      </c>
      <c r="F819" s="34" t="s">
        <v>28</v>
      </c>
    </row>
    <row r="820" spans="1:6" hidden="1">
      <c r="A820" s="212" t="s">
        <v>117</v>
      </c>
      <c r="B820" s="147"/>
      <c r="C820" s="147"/>
      <c r="D820" s="147"/>
      <c r="E820" s="34" t="s">
        <v>87</v>
      </c>
      <c r="F820" s="34" t="s">
        <v>28</v>
      </c>
    </row>
    <row r="821" spans="1:6" hidden="1">
      <c r="A821" s="212" t="s">
        <v>118</v>
      </c>
      <c r="B821" s="147"/>
      <c r="C821" s="147"/>
      <c r="D821" s="147"/>
      <c r="E821" s="34" t="s">
        <v>87</v>
      </c>
      <c r="F821" s="34" t="s">
        <v>28</v>
      </c>
    </row>
    <row r="822" spans="1:6" hidden="1">
      <c r="A822" s="212" t="s">
        <v>119</v>
      </c>
      <c r="B822" s="147"/>
      <c r="C822" s="147"/>
      <c r="D822" s="147"/>
      <c r="E822" s="34" t="s">
        <v>87</v>
      </c>
      <c r="F822" s="34" t="s">
        <v>28</v>
      </c>
    </row>
    <row r="823" spans="1:6" hidden="1">
      <c r="A823" s="212" t="s">
        <v>120</v>
      </c>
      <c r="B823" s="147"/>
      <c r="C823" s="147"/>
      <c r="D823" s="147"/>
      <c r="E823" s="34" t="s">
        <v>87</v>
      </c>
      <c r="F823" s="34" t="s">
        <v>28</v>
      </c>
    </row>
    <row r="824" spans="1:6" hidden="1">
      <c r="A824" s="212" t="s">
        <v>121</v>
      </c>
      <c r="B824" s="147"/>
      <c r="C824" s="147"/>
      <c r="D824" s="147"/>
      <c r="E824" s="34" t="s">
        <v>87</v>
      </c>
      <c r="F824" s="34" t="s">
        <v>28</v>
      </c>
    </row>
    <row r="825" spans="1:6" hidden="1">
      <c r="A825" s="212" t="s">
        <v>122</v>
      </c>
      <c r="B825" s="147"/>
      <c r="C825" s="147"/>
      <c r="D825" s="147"/>
      <c r="E825" s="34" t="s">
        <v>87</v>
      </c>
      <c r="F825" s="34" t="s">
        <v>28</v>
      </c>
    </row>
    <row r="826" spans="1:6" hidden="1">
      <c r="A826" s="212" t="s">
        <v>123</v>
      </c>
      <c r="B826" s="147"/>
      <c r="C826" s="147"/>
      <c r="D826" s="147"/>
      <c r="E826" s="34" t="s">
        <v>87</v>
      </c>
      <c r="F826" s="34" t="s">
        <v>28</v>
      </c>
    </row>
    <row r="827" spans="1:6" hidden="1">
      <c r="A827" s="212" t="s">
        <v>124</v>
      </c>
      <c r="B827" s="147"/>
      <c r="C827" s="147"/>
      <c r="D827" s="147"/>
      <c r="E827" s="34" t="s">
        <v>87</v>
      </c>
      <c r="F827" s="34" t="s">
        <v>28</v>
      </c>
    </row>
    <row r="828" spans="1:6" hidden="1">
      <c r="A828" s="212" t="s">
        <v>125</v>
      </c>
      <c r="B828" s="147"/>
      <c r="C828" s="147"/>
      <c r="D828" s="147"/>
      <c r="E828" s="34" t="s">
        <v>87</v>
      </c>
      <c r="F828" s="34" t="s">
        <v>28</v>
      </c>
    </row>
    <row r="829" spans="1:6" hidden="1">
      <c r="A829" s="212" t="s">
        <v>126</v>
      </c>
      <c r="B829" s="147"/>
      <c r="C829" s="147"/>
      <c r="D829" s="147"/>
      <c r="E829" s="34" t="s">
        <v>87</v>
      </c>
      <c r="F829" s="34" t="s">
        <v>28</v>
      </c>
    </row>
    <row r="830" spans="1:6" hidden="1">
      <c r="A830" s="212" t="s">
        <v>127</v>
      </c>
      <c r="B830" s="147"/>
      <c r="C830" s="147"/>
      <c r="D830" s="147"/>
      <c r="E830" s="34" t="s">
        <v>87</v>
      </c>
      <c r="F830" s="34" t="s">
        <v>28</v>
      </c>
    </row>
    <row r="831" spans="1:6" hidden="1">
      <c r="A831" s="230" t="s">
        <v>116</v>
      </c>
      <c r="B831" s="149"/>
      <c r="C831" s="149"/>
      <c r="D831" s="149"/>
      <c r="E831" s="149" t="s">
        <v>87</v>
      </c>
      <c r="F831" s="149" t="s">
        <v>142</v>
      </c>
    </row>
    <row r="832" spans="1:6" hidden="1">
      <c r="A832" s="230" t="s">
        <v>117</v>
      </c>
      <c r="B832" s="149"/>
      <c r="C832" s="149"/>
      <c r="D832" s="149"/>
      <c r="E832" s="149" t="s">
        <v>87</v>
      </c>
      <c r="F832" s="149" t="s">
        <v>142</v>
      </c>
    </row>
    <row r="833" spans="1:6" hidden="1">
      <c r="A833" s="230" t="s">
        <v>118</v>
      </c>
      <c r="B833" s="149"/>
      <c r="C833" s="149"/>
      <c r="D833" s="149"/>
      <c r="E833" s="149" t="s">
        <v>87</v>
      </c>
      <c r="F833" s="149" t="s">
        <v>142</v>
      </c>
    </row>
    <row r="834" spans="1:6" hidden="1">
      <c r="A834" s="230" t="s">
        <v>119</v>
      </c>
      <c r="B834" s="149"/>
      <c r="C834" s="149"/>
      <c r="D834" s="149"/>
      <c r="E834" s="149" t="s">
        <v>87</v>
      </c>
      <c r="F834" s="149" t="s">
        <v>142</v>
      </c>
    </row>
    <row r="835" spans="1:6" hidden="1">
      <c r="A835" s="230" t="s">
        <v>120</v>
      </c>
      <c r="B835" s="149"/>
      <c r="C835" s="149"/>
      <c r="D835" s="149"/>
      <c r="E835" s="149" t="s">
        <v>87</v>
      </c>
      <c r="F835" s="149" t="s">
        <v>142</v>
      </c>
    </row>
    <row r="836" spans="1:6" hidden="1">
      <c r="A836" s="230" t="s">
        <v>121</v>
      </c>
      <c r="B836" s="149"/>
      <c r="C836" s="149"/>
      <c r="D836" s="149"/>
      <c r="E836" s="149" t="s">
        <v>87</v>
      </c>
      <c r="F836" s="149" t="s">
        <v>142</v>
      </c>
    </row>
    <row r="837" spans="1:6" hidden="1">
      <c r="A837" s="230" t="s">
        <v>122</v>
      </c>
      <c r="B837" s="149"/>
      <c r="C837" s="149"/>
      <c r="D837" s="149"/>
      <c r="E837" s="149" t="s">
        <v>87</v>
      </c>
      <c r="F837" s="149" t="s">
        <v>142</v>
      </c>
    </row>
    <row r="838" spans="1:6" hidden="1">
      <c r="A838" s="230" t="s">
        <v>123</v>
      </c>
      <c r="B838" s="149"/>
      <c r="C838" s="149"/>
      <c r="D838" s="149"/>
      <c r="E838" s="149" t="s">
        <v>87</v>
      </c>
      <c r="F838" s="149" t="s">
        <v>142</v>
      </c>
    </row>
    <row r="839" spans="1:6" hidden="1">
      <c r="A839" s="230" t="s">
        <v>124</v>
      </c>
      <c r="B839" s="149"/>
      <c r="C839" s="149"/>
      <c r="D839" s="149"/>
      <c r="E839" s="149" t="s">
        <v>87</v>
      </c>
      <c r="F839" s="149" t="s">
        <v>142</v>
      </c>
    </row>
    <row r="840" spans="1:6" hidden="1">
      <c r="A840" s="230" t="s">
        <v>125</v>
      </c>
      <c r="B840" s="149"/>
      <c r="C840" s="149"/>
      <c r="D840" s="149"/>
      <c r="E840" s="149" t="s">
        <v>87</v>
      </c>
      <c r="F840" s="149" t="s">
        <v>142</v>
      </c>
    </row>
    <row r="841" spans="1:6" hidden="1">
      <c r="A841" s="230" t="s">
        <v>126</v>
      </c>
      <c r="B841" s="149"/>
      <c r="C841" s="149"/>
      <c r="D841" s="149"/>
      <c r="E841" s="149" t="s">
        <v>87</v>
      </c>
      <c r="F841" s="149" t="s">
        <v>142</v>
      </c>
    </row>
    <row r="842" spans="1:6" hidden="1">
      <c r="A842" s="230" t="s">
        <v>127</v>
      </c>
      <c r="B842" s="149"/>
      <c r="C842" s="149"/>
      <c r="D842" s="149"/>
      <c r="E842" s="149" t="s">
        <v>87</v>
      </c>
      <c r="F842" s="149" t="s">
        <v>142</v>
      </c>
    </row>
    <row r="843" spans="1:6" hidden="1">
      <c r="A843" s="212" t="s">
        <v>116</v>
      </c>
      <c r="B843" s="147"/>
      <c r="C843" s="147"/>
      <c r="D843" s="147"/>
      <c r="E843" s="34" t="s">
        <v>88</v>
      </c>
      <c r="F843" s="34" t="s">
        <v>197</v>
      </c>
    </row>
    <row r="844" spans="1:6" hidden="1">
      <c r="A844" s="212" t="s">
        <v>117</v>
      </c>
      <c r="B844" s="147"/>
      <c r="C844" s="147"/>
      <c r="D844" s="147"/>
      <c r="E844" s="34" t="s">
        <v>88</v>
      </c>
      <c r="F844" s="34" t="s">
        <v>197</v>
      </c>
    </row>
    <row r="845" spans="1:6" hidden="1">
      <c r="A845" s="212" t="s">
        <v>118</v>
      </c>
      <c r="B845" s="147"/>
      <c r="C845" s="147"/>
      <c r="D845" s="147"/>
      <c r="E845" s="34" t="s">
        <v>88</v>
      </c>
      <c r="F845" s="34" t="s">
        <v>197</v>
      </c>
    </row>
    <row r="846" spans="1:6" hidden="1">
      <c r="A846" s="212" t="s">
        <v>119</v>
      </c>
      <c r="B846" s="147"/>
      <c r="C846" s="147"/>
      <c r="D846" s="147"/>
      <c r="E846" s="34" t="s">
        <v>88</v>
      </c>
      <c r="F846" s="34" t="s">
        <v>197</v>
      </c>
    </row>
    <row r="847" spans="1:6" hidden="1">
      <c r="A847" s="212" t="s">
        <v>120</v>
      </c>
      <c r="B847" s="147"/>
      <c r="C847" s="147"/>
      <c r="D847" s="147"/>
      <c r="E847" s="34" t="s">
        <v>88</v>
      </c>
      <c r="F847" s="34" t="s">
        <v>197</v>
      </c>
    </row>
    <row r="848" spans="1:6" hidden="1">
      <c r="A848" s="212" t="s">
        <v>121</v>
      </c>
      <c r="B848" s="147"/>
      <c r="C848" s="147"/>
      <c r="D848" s="147"/>
      <c r="E848" s="34" t="s">
        <v>88</v>
      </c>
      <c r="F848" s="34" t="s">
        <v>197</v>
      </c>
    </row>
    <row r="849" spans="1:6" hidden="1">
      <c r="A849" s="212" t="s">
        <v>122</v>
      </c>
      <c r="B849" s="147"/>
      <c r="C849" s="147"/>
      <c r="D849" s="147"/>
      <c r="E849" s="34" t="s">
        <v>88</v>
      </c>
      <c r="F849" s="34" t="s">
        <v>197</v>
      </c>
    </row>
    <row r="850" spans="1:6" hidden="1">
      <c r="A850" s="212" t="s">
        <v>123</v>
      </c>
      <c r="B850" s="147"/>
      <c r="C850" s="147"/>
      <c r="D850" s="147"/>
      <c r="E850" s="34" t="s">
        <v>88</v>
      </c>
      <c r="F850" s="34" t="s">
        <v>197</v>
      </c>
    </row>
    <row r="851" spans="1:6" hidden="1">
      <c r="A851" s="212" t="s">
        <v>124</v>
      </c>
      <c r="B851" s="147"/>
      <c r="C851" s="147"/>
      <c r="D851" s="147"/>
      <c r="E851" s="34" t="s">
        <v>88</v>
      </c>
      <c r="F851" s="34" t="s">
        <v>197</v>
      </c>
    </row>
    <row r="852" spans="1:6" hidden="1">
      <c r="A852" s="212" t="s">
        <v>125</v>
      </c>
      <c r="B852" s="147"/>
      <c r="C852" s="147"/>
      <c r="D852" s="147"/>
      <c r="E852" s="34" t="s">
        <v>88</v>
      </c>
      <c r="F852" s="34" t="s">
        <v>197</v>
      </c>
    </row>
    <row r="853" spans="1:6" hidden="1">
      <c r="A853" s="212" t="s">
        <v>126</v>
      </c>
      <c r="B853" s="147"/>
      <c r="C853" s="147"/>
      <c r="D853" s="147"/>
      <c r="E853" s="34" t="s">
        <v>88</v>
      </c>
      <c r="F853" s="34" t="s">
        <v>197</v>
      </c>
    </row>
    <row r="854" spans="1:6" hidden="1">
      <c r="A854" s="212" t="s">
        <v>127</v>
      </c>
      <c r="B854" s="147"/>
      <c r="C854" s="147"/>
      <c r="D854" s="147"/>
      <c r="E854" s="34" t="s">
        <v>88</v>
      </c>
      <c r="F854" s="34" t="s">
        <v>197</v>
      </c>
    </row>
    <row r="855" spans="1:6" hidden="1">
      <c r="A855" s="230" t="s">
        <v>116</v>
      </c>
      <c r="B855" s="149"/>
      <c r="C855" s="149"/>
      <c r="D855" s="149"/>
      <c r="E855" s="34" t="s">
        <v>88</v>
      </c>
      <c r="F855" s="34" t="s">
        <v>199</v>
      </c>
    </row>
    <row r="856" spans="1:6" hidden="1">
      <c r="A856" s="230" t="s">
        <v>117</v>
      </c>
      <c r="B856" s="149"/>
      <c r="C856" s="149"/>
      <c r="D856" s="149"/>
      <c r="E856" s="34" t="s">
        <v>88</v>
      </c>
      <c r="F856" s="34" t="s">
        <v>199</v>
      </c>
    </row>
    <row r="857" spans="1:6" hidden="1">
      <c r="A857" s="230" t="s">
        <v>118</v>
      </c>
      <c r="B857" s="149"/>
      <c r="C857" s="149"/>
      <c r="D857" s="149"/>
      <c r="E857" s="34" t="s">
        <v>88</v>
      </c>
      <c r="F857" s="34" t="s">
        <v>199</v>
      </c>
    </row>
    <row r="858" spans="1:6" hidden="1">
      <c r="A858" s="230" t="s">
        <v>119</v>
      </c>
      <c r="B858" s="149"/>
      <c r="C858" s="149"/>
      <c r="D858" s="149"/>
      <c r="E858" s="34" t="s">
        <v>88</v>
      </c>
      <c r="F858" s="34" t="s">
        <v>199</v>
      </c>
    </row>
    <row r="859" spans="1:6" hidden="1">
      <c r="A859" s="230" t="s">
        <v>120</v>
      </c>
      <c r="B859" s="149"/>
      <c r="C859" s="149"/>
      <c r="D859" s="149"/>
      <c r="E859" s="34" t="s">
        <v>88</v>
      </c>
      <c r="F859" s="34" t="s">
        <v>199</v>
      </c>
    </row>
    <row r="860" spans="1:6" hidden="1">
      <c r="A860" s="230" t="s">
        <v>121</v>
      </c>
      <c r="B860" s="149"/>
      <c r="C860" s="149"/>
      <c r="D860" s="149"/>
      <c r="E860" s="34" t="s">
        <v>88</v>
      </c>
      <c r="F860" s="34" t="s">
        <v>199</v>
      </c>
    </row>
    <row r="861" spans="1:6" hidden="1">
      <c r="A861" s="230" t="s">
        <v>122</v>
      </c>
      <c r="B861" s="149"/>
      <c r="C861" s="149"/>
      <c r="D861" s="149"/>
      <c r="E861" s="34" t="s">
        <v>88</v>
      </c>
      <c r="F861" s="34" t="s">
        <v>199</v>
      </c>
    </row>
    <row r="862" spans="1:6" hidden="1">
      <c r="A862" s="230" t="s">
        <v>123</v>
      </c>
      <c r="B862" s="149"/>
      <c r="C862" s="149"/>
      <c r="D862" s="149"/>
      <c r="E862" s="34" t="s">
        <v>88</v>
      </c>
      <c r="F862" s="34" t="s">
        <v>199</v>
      </c>
    </row>
    <row r="863" spans="1:6" hidden="1">
      <c r="A863" s="230" t="s">
        <v>124</v>
      </c>
      <c r="B863" s="149"/>
      <c r="C863" s="149"/>
      <c r="D863" s="149"/>
      <c r="E863" s="34" t="s">
        <v>88</v>
      </c>
      <c r="F863" s="34" t="s">
        <v>199</v>
      </c>
    </row>
    <row r="864" spans="1:6" hidden="1">
      <c r="A864" s="230" t="s">
        <v>125</v>
      </c>
      <c r="B864" s="149"/>
      <c r="C864" s="149"/>
      <c r="D864" s="149"/>
      <c r="E864" s="34" t="s">
        <v>88</v>
      </c>
      <c r="F864" s="34" t="s">
        <v>199</v>
      </c>
    </row>
    <row r="865" spans="1:6" hidden="1">
      <c r="A865" s="230" t="s">
        <v>126</v>
      </c>
      <c r="B865" s="149"/>
      <c r="C865" s="149"/>
      <c r="D865" s="149"/>
      <c r="E865" s="34" t="s">
        <v>88</v>
      </c>
      <c r="F865" s="34" t="s">
        <v>199</v>
      </c>
    </row>
    <row r="866" spans="1:6" hidden="1">
      <c r="A866" s="230" t="s">
        <v>127</v>
      </c>
      <c r="B866" s="149"/>
      <c r="C866" s="149"/>
      <c r="D866" s="149"/>
      <c r="E866" s="34" t="s">
        <v>88</v>
      </c>
      <c r="F866" s="34" t="s">
        <v>199</v>
      </c>
    </row>
    <row r="867" spans="1:6" hidden="1">
      <c r="A867" s="212" t="s">
        <v>116</v>
      </c>
      <c r="B867" s="147"/>
      <c r="C867" s="147"/>
      <c r="D867" s="147"/>
      <c r="E867" s="34" t="s">
        <v>88</v>
      </c>
      <c r="F867" s="34" t="s">
        <v>222</v>
      </c>
    </row>
    <row r="868" spans="1:6" hidden="1">
      <c r="A868" s="212" t="s">
        <v>117</v>
      </c>
      <c r="B868" s="147"/>
      <c r="C868" s="147"/>
      <c r="D868" s="147"/>
      <c r="E868" s="34" t="s">
        <v>88</v>
      </c>
      <c r="F868" s="34" t="s">
        <v>222</v>
      </c>
    </row>
    <row r="869" spans="1:6" hidden="1">
      <c r="A869" s="212" t="s">
        <v>118</v>
      </c>
      <c r="B869" s="147"/>
      <c r="C869" s="147"/>
      <c r="D869" s="147"/>
      <c r="E869" s="34" t="s">
        <v>88</v>
      </c>
      <c r="F869" s="34" t="s">
        <v>222</v>
      </c>
    </row>
    <row r="870" spans="1:6" hidden="1">
      <c r="A870" s="212" t="s">
        <v>119</v>
      </c>
      <c r="B870" s="147"/>
      <c r="C870" s="147"/>
      <c r="D870" s="147"/>
      <c r="E870" s="34" t="s">
        <v>88</v>
      </c>
      <c r="F870" s="34" t="s">
        <v>222</v>
      </c>
    </row>
    <row r="871" spans="1:6" hidden="1">
      <c r="A871" s="212" t="s">
        <v>120</v>
      </c>
      <c r="B871" s="147"/>
      <c r="C871" s="147"/>
      <c r="D871" s="147"/>
      <c r="E871" s="34" t="s">
        <v>88</v>
      </c>
      <c r="F871" s="34" t="s">
        <v>222</v>
      </c>
    </row>
    <row r="872" spans="1:6" hidden="1">
      <c r="A872" s="212" t="s">
        <v>121</v>
      </c>
      <c r="B872" s="147"/>
      <c r="C872" s="147"/>
      <c r="D872" s="147"/>
      <c r="E872" s="34" t="s">
        <v>88</v>
      </c>
      <c r="F872" s="34" t="s">
        <v>222</v>
      </c>
    </row>
    <row r="873" spans="1:6" hidden="1">
      <c r="A873" s="212" t="s">
        <v>122</v>
      </c>
      <c r="B873" s="147"/>
      <c r="C873" s="147"/>
      <c r="D873" s="147"/>
      <c r="E873" s="34" t="s">
        <v>88</v>
      </c>
      <c r="F873" s="34" t="s">
        <v>222</v>
      </c>
    </row>
    <row r="874" spans="1:6" hidden="1">
      <c r="A874" s="212" t="s">
        <v>123</v>
      </c>
      <c r="B874" s="147"/>
      <c r="C874" s="147"/>
      <c r="D874" s="147"/>
      <c r="E874" s="34" t="s">
        <v>88</v>
      </c>
      <c r="F874" s="34" t="s">
        <v>222</v>
      </c>
    </row>
    <row r="875" spans="1:6" hidden="1">
      <c r="A875" s="212" t="s">
        <v>124</v>
      </c>
      <c r="B875" s="147"/>
      <c r="C875" s="147"/>
      <c r="D875" s="147"/>
      <c r="E875" s="34" t="s">
        <v>88</v>
      </c>
      <c r="F875" s="34" t="s">
        <v>222</v>
      </c>
    </row>
    <row r="876" spans="1:6" hidden="1">
      <c r="A876" s="212" t="s">
        <v>125</v>
      </c>
      <c r="B876" s="147"/>
      <c r="C876" s="147"/>
      <c r="D876" s="147"/>
      <c r="E876" s="34" t="s">
        <v>88</v>
      </c>
      <c r="F876" s="34" t="s">
        <v>222</v>
      </c>
    </row>
    <row r="877" spans="1:6" hidden="1">
      <c r="A877" s="212" t="s">
        <v>126</v>
      </c>
      <c r="B877" s="147"/>
      <c r="C877" s="147"/>
      <c r="D877" s="147"/>
      <c r="E877" s="34" t="s">
        <v>88</v>
      </c>
      <c r="F877" s="34" t="s">
        <v>222</v>
      </c>
    </row>
    <row r="878" spans="1:6" hidden="1">
      <c r="A878" s="212" t="s">
        <v>127</v>
      </c>
      <c r="B878" s="147"/>
      <c r="C878" s="147"/>
      <c r="D878" s="147"/>
      <c r="E878" s="34" t="s">
        <v>88</v>
      </c>
      <c r="F878" s="34" t="s">
        <v>222</v>
      </c>
    </row>
    <row r="879" spans="1:6" hidden="1">
      <c r="A879" s="230" t="s">
        <v>116</v>
      </c>
      <c r="B879" s="149"/>
      <c r="C879" s="149"/>
      <c r="D879" s="149"/>
      <c r="E879" s="34" t="s">
        <v>88</v>
      </c>
      <c r="F879" s="34" t="s">
        <v>198</v>
      </c>
    </row>
    <row r="880" spans="1:6" hidden="1">
      <c r="A880" s="230" t="s">
        <v>117</v>
      </c>
      <c r="B880" s="149"/>
      <c r="C880" s="149"/>
      <c r="D880" s="149"/>
      <c r="E880" s="34" t="s">
        <v>88</v>
      </c>
      <c r="F880" s="34" t="s">
        <v>198</v>
      </c>
    </row>
    <row r="881" spans="1:6" hidden="1">
      <c r="A881" s="230" t="s">
        <v>118</v>
      </c>
      <c r="B881" s="149"/>
      <c r="C881" s="149"/>
      <c r="D881" s="149"/>
      <c r="E881" s="34" t="s">
        <v>88</v>
      </c>
      <c r="F881" s="34" t="s">
        <v>198</v>
      </c>
    </row>
    <row r="882" spans="1:6" hidden="1">
      <c r="A882" s="230" t="s">
        <v>119</v>
      </c>
      <c r="B882" s="149"/>
      <c r="C882" s="149"/>
      <c r="D882" s="149"/>
      <c r="E882" s="34" t="s">
        <v>88</v>
      </c>
      <c r="F882" s="34" t="s">
        <v>198</v>
      </c>
    </row>
    <row r="883" spans="1:6" hidden="1">
      <c r="A883" s="230" t="s">
        <v>120</v>
      </c>
      <c r="B883" s="149"/>
      <c r="C883" s="149"/>
      <c r="D883" s="149"/>
      <c r="E883" s="34" t="s">
        <v>88</v>
      </c>
      <c r="F883" s="34" t="s">
        <v>198</v>
      </c>
    </row>
    <row r="884" spans="1:6" hidden="1">
      <c r="A884" s="230" t="s">
        <v>121</v>
      </c>
      <c r="B884" s="149"/>
      <c r="C884" s="149"/>
      <c r="D884" s="149"/>
      <c r="E884" s="34" t="s">
        <v>88</v>
      </c>
      <c r="F884" s="34" t="s">
        <v>198</v>
      </c>
    </row>
    <row r="885" spans="1:6" hidden="1">
      <c r="A885" s="230" t="s">
        <v>122</v>
      </c>
      <c r="B885" s="149"/>
      <c r="C885" s="149"/>
      <c r="D885" s="149"/>
      <c r="E885" s="34" t="s">
        <v>88</v>
      </c>
      <c r="F885" s="34" t="s">
        <v>198</v>
      </c>
    </row>
    <row r="886" spans="1:6" hidden="1">
      <c r="A886" s="230" t="s">
        <v>123</v>
      </c>
      <c r="B886" s="149"/>
      <c r="C886" s="149"/>
      <c r="D886" s="149"/>
      <c r="E886" s="34" t="s">
        <v>88</v>
      </c>
      <c r="F886" s="34" t="s">
        <v>198</v>
      </c>
    </row>
    <row r="887" spans="1:6" hidden="1">
      <c r="A887" s="230" t="s">
        <v>124</v>
      </c>
      <c r="B887" s="149"/>
      <c r="C887" s="149"/>
      <c r="D887" s="149"/>
      <c r="E887" s="34" t="s">
        <v>88</v>
      </c>
      <c r="F887" s="34" t="s">
        <v>198</v>
      </c>
    </row>
    <row r="888" spans="1:6" hidden="1">
      <c r="A888" s="230" t="s">
        <v>125</v>
      </c>
      <c r="B888" s="149"/>
      <c r="C888" s="149"/>
      <c r="D888" s="149"/>
      <c r="E888" s="34" t="s">
        <v>88</v>
      </c>
      <c r="F888" s="34" t="s">
        <v>198</v>
      </c>
    </row>
    <row r="889" spans="1:6" hidden="1">
      <c r="A889" s="230" t="s">
        <v>126</v>
      </c>
      <c r="B889" s="149"/>
      <c r="C889" s="149"/>
      <c r="D889" s="149"/>
      <c r="E889" s="34" t="s">
        <v>88</v>
      </c>
      <c r="F889" s="34" t="s">
        <v>198</v>
      </c>
    </row>
    <row r="890" spans="1:6" hidden="1">
      <c r="A890" s="230" t="s">
        <v>127</v>
      </c>
      <c r="B890" s="149"/>
      <c r="C890" s="149"/>
      <c r="D890" s="149"/>
      <c r="E890" s="34" t="s">
        <v>88</v>
      </c>
      <c r="F890" s="34" t="s">
        <v>198</v>
      </c>
    </row>
    <row r="891" spans="1:6" hidden="1">
      <c r="A891" s="212" t="s">
        <v>116</v>
      </c>
      <c r="B891" s="147"/>
      <c r="C891" s="147"/>
      <c r="D891" s="147"/>
      <c r="E891" s="34" t="s">
        <v>88</v>
      </c>
      <c r="F891" s="34" t="s">
        <v>28</v>
      </c>
    </row>
    <row r="892" spans="1:6" hidden="1">
      <c r="A892" s="212" t="s">
        <v>117</v>
      </c>
      <c r="B892" s="147"/>
      <c r="C892" s="147"/>
      <c r="D892" s="147"/>
      <c r="E892" s="34" t="s">
        <v>88</v>
      </c>
      <c r="F892" s="34" t="s">
        <v>28</v>
      </c>
    </row>
    <row r="893" spans="1:6" hidden="1">
      <c r="A893" s="212" t="s">
        <v>118</v>
      </c>
      <c r="B893" s="147"/>
      <c r="C893" s="147"/>
      <c r="D893" s="147"/>
      <c r="E893" s="34" t="s">
        <v>88</v>
      </c>
      <c r="F893" s="34" t="s">
        <v>28</v>
      </c>
    </row>
    <row r="894" spans="1:6" hidden="1">
      <c r="A894" s="212" t="s">
        <v>119</v>
      </c>
      <c r="B894" s="147"/>
      <c r="C894" s="147"/>
      <c r="D894" s="147"/>
      <c r="E894" s="34" t="s">
        <v>88</v>
      </c>
      <c r="F894" s="34" t="s">
        <v>28</v>
      </c>
    </row>
    <row r="895" spans="1:6" hidden="1">
      <c r="A895" s="212" t="s">
        <v>120</v>
      </c>
      <c r="B895" s="147"/>
      <c r="C895" s="147"/>
      <c r="D895" s="147"/>
      <c r="E895" s="34" t="s">
        <v>88</v>
      </c>
      <c r="F895" s="34" t="s">
        <v>28</v>
      </c>
    </row>
    <row r="896" spans="1:6" hidden="1">
      <c r="A896" s="212" t="s">
        <v>121</v>
      </c>
      <c r="B896" s="147"/>
      <c r="C896" s="147"/>
      <c r="D896" s="147"/>
      <c r="E896" s="34" t="s">
        <v>88</v>
      </c>
      <c r="F896" s="34" t="s">
        <v>28</v>
      </c>
    </row>
    <row r="897" spans="1:6" hidden="1">
      <c r="A897" s="212" t="s">
        <v>122</v>
      </c>
      <c r="B897" s="147"/>
      <c r="C897" s="147"/>
      <c r="D897" s="147"/>
      <c r="E897" s="34" t="s">
        <v>88</v>
      </c>
      <c r="F897" s="34" t="s">
        <v>28</v>
      </c>
    </row>
    <row r="898" spans="1:6" hidden="1">
      <c r="A898" s="212" t="s">
        <v>123</v>
      </c>
      <c r="B898" s="147"/>
      <c r="C898" s="147"/>
      <c r="D898" s="147"/>
      <c r="E898" s="34" t="s">
        <v>88</v>
      </c>
      <c r="F898" s="34" t="s">
        <v>28</v>
      </c>
    </row>
    <row r="899" spans="1:6" hidden="1">
      <c r="A899" s="212" t="s">
        <v>124</v>
      </c>
      <c r="B899" s="147"/>
      <c r="C899" s="147"/>
      <c r="D899" s="147"/>
      <c r="E899" s="34" t="s">
        <v>88</v>
      </c>
      <c r="F899" s="34" t="s">
        <v>28</v>
      </c>
    </row>
    <row r="900" spans="1:6" hidden="1">
      <c r="A900" s="212" t="s">
        <v>125</v>
      </c>
      <c r="B900" s="147"/>
      <c r="C900" s="147"/>
      <c r="D900" s="147"/>
      <c r="E900" s="34" t="s">
        <v>88</v>
      </c>
      <c r="F900" s="34" t="s">
        <v>28</v>
      </c>
    </row>
    <row r="901" spans="1:6" hidden="1">
      <c r="A901" s="212" t="s">
        <v>126</v>
      </c>
      <c r="B901" s="147"/>
      <c r="C901" s="147"/>
      <c r="D901" s="147"/>
      <c r="E901" s="34" t="s">
        <v>88</v>
      </c>
      <c r="F901" s="34" t="s">
        <v>28</v>
      </c>
    </row>
    <row r="902" spans="1:6" hidden="1">
      <c r="A902" s="212" t="s">
        <v>127</v>
      </c>
      <c r="B902" s="147"/>
      <c r="C902" s="147"/>
      <c r="D902" s="147"/>
      <c r="E902" s="34" t="s">
        <v>88</v>
      </c>
      <c r="F902" s="34" t="s">
        <v>28</v>
      </c>
    </row>
    <row r="903" spans="1:6" hidden="1">
      <c r="A903" s="230" t="s">
        <v>116</v>
      </c>
      <c r="B903" s="149"/>
      <c r="C903" s="149"/>
      <c r="D903" s="149"/>
      <c r="E903" s="34" t="s">
        <v>88</v>
      </c>
      <c r="F903" s="149" t="s">
        <v>142</v>
      </c>
    </row>
    <row r="904" spans="1:6" hidden="1">
      <c r="A904" s="230" t="s">
        <v>117</v>
      </c>
      <c r="B904" s="149"/>
      <c r="C904" s="149"/>
      <c r="D904" s="149"/>
      <c r="E904" s="34" t="s">
        <v>88</v>
      </c>
      <c r="F904" s="149" t="s">
        <v>142</v>
      </c>
    </row>
    <row r="905" spans="1:6" hidden="1">
      <c r="A905" s="230" t="s">
        <v>118</v>
      </c>
      <c r="B905" s="149"/>
      <c r="C905" s="149"/>
      <c r="D905" s="149"/>
      <c r="E905" s="34" t="s">
        <v>88</v>
      </c>
      <c r="F905" s="149" t="s">
        <v>142</v>
      </c>
    </row>
    <row r="906" spans="1:6" hidden="1">
      <c r="A906" s="230" t="s">
        <v>119</v>
      </c>
      <c r="B906" s="149"/>
      <c r="C906" s="149"/>
      <c r="D906" s="149"/>
      <c r="E906" s="34" t="s">
        <v>88</v>
      </c>
      <c r="F906" s="149" t="s">
        <v>142</v>
      </c>
    </row>
    <row r="907" spans="1:6" hidden="1">
      <c r="A907" s="230" t="s">
        <v>120</v>
      </c>
      <c r="B907" s="149"/>
      <c r="C907" s="149"/>
      <c r="D907" s="149"/>
      <c r="E907" s="34" t="s">
        <v>88</v>
      </c>
      <c r="F907" s="149" t="s">
        <v>142</v>
      </c>
    </row>
    <row r="908" spans="1:6" hidden="1">
      <c r="A908" s="230" t="s">
        <v>121</v>
      </c>
      <c r="B908" s="149"/>
      <c r="C908" s="149"/>
      <c r="D908" s="149"/>
      <c r="E908" s="34" t="s">
        <v>88</v>
      </c>
      <c r="F908" s="149" t="s">
        <v>142</v>
      </c>
    </row>
    <row r="909" spans="1:6" hidden="1">
      <c r="A909" s="230" t="s">
        <v>122</v>
      </c>
      <c r="B909" s="149"/>
      <c r="C909" s="149"/>
      <c r="D909" s="149"/>
      <c r="E909" s="34" t="s">
        <v>88</v>
      </c>
      <c r="F909" s="149" t="s">
        <v>142</v>
      </c>
    </row>
    <row r="910" spans="1:6" hidden="1">
      <c r="A910" s="230" t="s">
        <v>123</v>
      </c>
      <c r="B910" s="149"/>
      <c r="C910" s="149"/>
      <c r="D910" s="149"/>
      <c r="E910" s="34" t="s">
        <v>88</v>
      </c>
      <c r="F910" s="149" t="s">
        <v>142</v>
      </c>
    </row>
    <row r="911" spans="1:6" hidden="1">
      <c r="A911" s="230" t="s">
        <v>124</v>
      </c>
      <c r="B911" s="149"/>
      <c r="C911" s="149"/>
      <c r="D911" s="149"/>
      <c r="E911" s="34" t="s">
        <v>88</v>
      </c>
      <c r="F911" s="149" t="s">
        <v>142</v>
      </c>
    </row>
    <row r="912" spans="1:6" hidden="1">
      <c r="A912" s="230" t="s">
        <v>125</v>
      </c>
      <c r="B912" s="149"/>
      <c r="C912" s="149"/>
      <c r="D912" s="149"/>
      <c r="E912" s="34" t="s">
        <v>88</v>
      </c>
      <c r="F912" s="149" t="s">
        <v>142</v>
      </c>
    </row>
    <row r="913" spans="1:6" hidden="1">
      <c r="A913" s="230" t="s">
        <v>126</v>
      </c>
      <c r="B913" s="149"/>
      <c r="C913" s="149"/>
      <c r="D913" s="149"/>
      <c r="E913" s="34" t="s">
        <v>88</v>
      </c>
      <c r="F913" s="149" t="s">
        <v>142</v>
      </c>
    </row>
    <row r="914" spans="1:6" hidden="1">
      <c r="A914" s="230" t="s">
        <v>127</v>
      </c>
      <c r="B914" s="149"/>
      <c r="C914" s="149"/>
      <c r="D914" s="149"/>
      <c r="E914" s="34" t="s">
        <v>88</v>
      </c>
      <c r="F914" s="149" t="s">
        <v>142</v>
      </c>
    </row>
    <row r="915" spans="1:6" hidden="1">
      <c r="A915" s="212" t="s">
        <v>116</v>
      </c>
      <c r="B915" s="147"/>
      <c r="C915" s="147"/>
      <c r="D915" s="147"/>
      <c r="E915" s="34" t="s">
        <v>89</v>
      </c>
      <c r="F915" s="34" t="s">
        <v>197</v>
      </c>
    </row>
    <row r="916" spans="1:6" hidden="1">
      <c r="A916" s="212" t="s">
        <v>117</v>
      </c>
      <c r="B916" s="147"/>
      <c r="C916" s="147"/>
      <c r="D916" s="147"/>
      <c r="E916" s="34" t="s">
        <v>89</v>
      </c>
      <c r="F916" s="34" t="s">
        <v>197</v>
      </c>
    </row>
    <row r="917" spans="1:6" hidden="1">
      <c r="A917" s="212" t="s">
        <v>118</v>
      </c>
      <c r="B917" s="147"/>
      <c r="C917" s="147"/>
      <c r="D917" s="147"/>
      <c r="E917" s="34" t="s">
        <v>89</v>
      </c>
      <c r="F917" s="34" t="s">
        <v>197</v>
      </c>
    </row>
    <row r="918" spans="1:6" hidden="1">
      <c r="A918" s="212" t="s">
        <v>119</v>
      </c>
      <c r="B918" s="147"/>
      <c r="C918" s="147"/>
      <c r="D918" s="147"/>
      <c r="E918" s="34" t="s">
        <v>89</v>
      </c>
      <c r="F918" s="34" t="s">
        <v>197</v>
      </c>
    </row>
    <row r="919" spans="1:6" hidden="1">
      <c r="A919" s="212" t="s">
        <v>120</v>
      </c>
      <c r="B919" s="147"/>
      <c r="C919" s="147"/>
      <c r="D919" s="147"/>
      <c r="E919" s="34" t="s">
        <v>89</v>
      </c>
      <c r="F919" s="34" t="s">
        <v>197</v>
      </c>
    </row>
    <row r="920" spans="1:6" hidden="1">
      <c r="A920" s="212" t="s">
        <v>121</v>
      </c>
      <c r="B920" s="147"/>
      <c r="C920" s="147"/>
      <c r="D920" s="147"/>
      <c r="E920" s="34" t="s">
        <v>89</v>
      </c>
      <c r="F920" s="34" t="s">
        <v>197</v>
      </c>
    </row>
    <row r="921" spans="1:6" hidden="1">
      <c r="A921" s="212" t="s">
        <v>122</v>
      </c>
      <c r="B921" s="147"/>
      <c r="C921" s="147"/>
      <c r="D921" s="147"/>
      <c r="E921" s="34" t="s">
        <v>89</v>
      </c>
      <c r="F921" s="34" t="s">
        <v>197</v>
      </c>
    </row>
    <row r="922" spans="1:6" hidden="1">
      <c r="A922" s="212" t="s">
        <v>123</v>
      </c>
      <c r="B922" s="147"/>
      <c r="C922" s="147"/>
      <c r="D922" s="147"/>
      <c r="E922" s="34" t="s">
        <v>89</v>
      </c>
      <c r="F922" s="34" t="s">
        <v>197</v>
      </c>
    </row>
    <row r="923" spans="1:6" hidden="1">
      <c r="A923" s="212" t="s">
        <v>124</v>
      </c>
      <c r="B923" s="147"/>
      <c r="C923" s="147"/>
      <c r="D923" s="147"/>
      <c r="E923" s="34" t="s">
        <v>89</v>
      </c>
      <c r="F923" s="34" t="s">
        <v>197</v>
      </c>
    </row>
    <row r="924" spans="1:6" hidden="1">
      <c r="A924" s="212" t="s">
        <v>125</v>
      </c>
      <c r="B924" s="147"/>
      <c r="C924" s="147"/>
      <c r="D924" s="147"/>
      <c r="E924" s="34" t="s">
        <v>89</v>
      </c>
      <c r="F924" s="34" t="s">
        <v>197</v>
      </c>
    </row>
    <row r="925" spans="1:6" hidden="1">
      <c r="A925" s="212" t="s">
        <v>126</v>
      </c>
      <c r="B925" s="147"/>
      <c r="C925" s="147"/>
      <c r="D925" s="147"/>
      <c r="E925" s="34" t="s">
        <v>89</v>
      </c>
      <c r="F925" s="34" t="s">
        <v>197</v>
      </c>
    </row>
    <row r="926" spans="1:6" hidden="1">
      <c r="A926" s="212" t="s">
        <v>127</v>
      </c>
      <c r="B926" s="147"/>
      <c r="C926" s="147"/>
      <c r="D926" s="147"/>
      <c r="E926" s="34" t="s">
        <v>89</v>
      </c>
      <c r="F926" s="34" t="s">
        <v>197</v>
      </c>
    </row>
    <row r="927" spans="1:6" hidden="1">
      <c r="A927" s="230" t="s">
        <v>116</v>
      </c>
      <c r="B927" s="149"/>
      <c r="C927" s="149"/>
      <c r="D927" s="149"/>
      <c r="E927" s="34" t="s">
        <v>89</v>
      </c>
      <c r="F927" s="34" t="s">
        <v>199</v>
      </c>
    </row>
    <row r="928" spans="1:6" hidden="1">
      <c r="A928" s="230" t="s">
        <v>117</v>
      </c>
      <c r="B928" s="149"/>
      <c r="C928" s="149"/>
      <c r="D928" s="149"/>
      <c r="E928" s="34" t="s">
        <v>89</v>
      </c>
      <c r="F928" s="34" t="s">
        <v>199</v>
      </c>
    </row>
    <row r="929" spans="1:6" hidden="1">
      <c r="A929" s="230" t="s">
        <v>118</v>
      </c>
      <c r="B929" s="149"/>
      <c r="C929" s="149"/>
      <c r="D929" s="149"/>
      <c r="E929" s="34" t="s">
        <v>89</v>
      </c>
      <c r="F929" s="34" t="s">
        <v>199</v>
      </c>
    </row>
    <row r="930" spans="1:6" hidden="1">
      <c r="A930" s="230" t="s">
        <v>119</v>
      </c>
      <c r="B930" s="149"/>
      <c r="C930" s="149"/>
      <c r="D930" s="149"/>
      <c r="E930" s="34" t="s">
        <v>89</v>
      </c>
      <c r="F930" s="34" t="s">
        <v>199</v>
      </c>
    </row>
    <row r="931" spans="1:6" hidden="1">
      <c r="A931" s="230" t="s">
        <v>120</v>
      </c>
      <c r="B931" s="149"/>
      <c r="C931" s="149"/>
      <c r="D931" s="149"/>
      <c r="E931" s="34" t="s">
        <v>89</v>
      </c>
      <c r="F931" s="34" t="s">
        <v>199</v>
      </c>
    </row>
    <row r="932" spans="1:6" hidden="1">
      <c r="A932" s="230" t="s">
        <v>121</v>
      </c>
      <c r="B932" s="149"/>
      <c r="C932" s="149"/>
      <c r="D932" s="149"/>
      <c r="E932" s="34" t="s">
        <v>89</v>
      </c>
      <c r="F932" s="34" t="s">
        <v>199</v>
      </c>
    </row>
    <row r="933" spans="1:6" hidden="1">
      <c r="A933" s="230" t="s">
        <v>122</v>
      </c>
      <c r="B933" s="149"/>
      <c r="C933" s="149"/>
      <c r="D933" s="149"/>
      <c r="E933" s="34" t="s">
        <v>89</v>
      </c>
      <c r="F933" s="34" t="s">
        <v>199</v>
      </c>
    </row>
    <row r="934" spans="1:6" hidden="1">
      <c r="A934" s="230" t="s">
        <v>123</v>
      </c>
      <c r="B934" s="149"/>
      <c r="C934" s="149"/>
      <c r="D934" s="149"/>
      <c r="E934" s="34" t="s">
        <v>89</v>
      </c>
      <c r="F934" s="34" t="s">
        <v>199</v>
      </c>
    </row>
    <row r="935" spans="1:6" hidden="1">
      <c r="A935" s="230" t="s">
        <v>124</v>
      </c>
      <c r="B935" s="149"/>
      <c r="C935" s="149"/>
      <c r="D935" s="149"/>
      <c r="E935" s="34" t="s">
        <v>89</v>
      </c>
      <c r="F935" s="34" t="s">
        <v>199</v>
      </c>
    </row>
    <row r="936" spans="1:6" hidden="1">
      <c r="A936" s="230" t="s">
        <v>125</v>
      </c>
      <c r="B936" s="149"/>
      <c r="C936" s="149"/>
      <c r="D936" s="149"/>
      <c r="E936" s="34" t="s">
        <v>89</v>
      </c>
      <c r="F936" s="34" t="s">
        <v>199</v>
      </c>
    </row>
    <row r="937" spans="1:6" hidden="1">
      <c r="A937" s="230" t="s">
        <v>126</v>
      </c>
      <c r="B937" s="149"/>
      <c r="C937" s="149"/>
      <c r="D937" s="149"/>
      <c r="E937" s="34" t="s">
        <v>89</v>
      </c>
      <c r="F937" s="34" t="s">
        <v>199</v>
      </c>
    </row>
    <row r="938" spans="1:6" hidden="1">
      <c r="A938" s="230" t="s">
        <v>127</v>
      </c>
      <c r="B938" s="149"/>
      <c r="C938" s="149"/>
      <c r="D938" s="149"/>
      <c r="E938" s="34" t="s">
        <v>89</v>
      </c>
      <c r="F938" s="34" t="s">
        <v>199</v>
      </c>
    </row>
    <row r="939" spans="1:6" hidden="1">
      <c r="A939" s="212" t="s">
        <v>116</v>
      </c>
      <c r="B939" s="147"/>
      <c r="C939" s="147"/>
      <c r="D939" s="147"/>
      <c r="E939" s="34" t="s">
        <v>89</v>
      </c>
      <c r="F939" s="34" t="s">
        <v>222</v>
      </c>
    </row>
    <row r="940" spans="1:6" hidden="1">
      <c r="A940" s="212" t="s">
        <v>117</v>
      </c>
      <c r="B940" s="147"/>
      <c r="C940" s="147"/>
      <c r="D940" s="147"/>
      <c r="E940" s="34" t="s">
        <v>89</v>
      </c>
      <c r="F940" s="34" t="s">
        <v>222</v>
      </c>
    </row>
    <row r="941" spans="1:6" hidden="1">
      <c r="A941" s="212" t="s">
        <v>118</v>
      </c>
      <c r="B941" s="147"/>
      <c r="C941" s="147"/>
      <c r="D941" s="147"/>
      <c r="E941" s="34" t="s">
        <v>89</v>
      </c>
      <c r="F941" s="34" t="s">
        <v>222</v>
      </c>
    </row>
    <row r="942" spans="1:6" hidden="1">
      <c r="A942" s="212" t="s">
        <v>119</v>
      </c>
      <c r="B942" s="147"/>
      <c r="C942" s="147"/>
      <c r="D942" s="147"/>
      <c r="E942" s="34" t="s">
        <v>89</v>
      </c>
      <c r="F942" s="34" t="s">
        <v>222</v>
      </c>
    </row>
    <row r="943" spans="1:6" hidden="1">
      <c r="A943" s="212" t="s">
        <v>120</v>
      </c>
      <c r="B943" s="147"/>
      <c r="C943" s="147"/>
      <c r="D943" s="147"/>
      <c r="E943" s="34" t="s">
        <v>89</v>
      </c>
      <c r="F943" s="34" t="s">
        <v>222</v>
      </c>
    </row>
    <row r="944" spans="1:6" hidden="1">
      <c r="A944" s="212" t="s">
        <v>121</v>
      </c>
      <c r="B944" s="147"/>
      <c r="C944" s="147"/>
      <c r="D944" s="147"/>
      <c r="E944" s="34" t="s">
        <v>89</v>
      </c>
      <c r="F944" s="34" t="s">
        <v>222</v>
      </c>
    </row>
    <row r="945" spans="1:6" hidden="1">
      <c r="A945" s="212" t="s">
        <v>122</v>
      </c>
      <c r="B945" s="147"/>
      <c r="C945" s="147"/>
      <c r="D945" s="147"/>
      <c r="E945" s="34" t="s">
        <v>89</v>
      </c>
      <c r="F945" s="34" t="s">
        <v>222</v>
      </c>
    </row>
    <row r="946" spans="1:6" hidden="1">
      <c r="A946" s="212" t="s">
        <v>123</v>
      </c>
      <c r="B946" s="147"/>
      <c r="C946" s="147"/>
      <c r="D946" s="147"/>
      <c r="E946" s="34" t="s">
        <v>89</v>
      </c>
      <c r="F946" s="34" t="s">
        <v>222</v>
      </c>
    </row>
    <row r="947" spans="1:6" hidden="1">
      <c r="A947" s="212" t="s">
        <v>124</v>
      </c>
      <c r="B947" s="147"/>
      <c r="C947" s="147"/>
      <c r="D947" s="147"/>
      <c r="E947" s="34" t="s">
        <v>89</v>
      </c>
      <c r="F947" s="34" t="s">
        <v>222</v>
      </c>
    </row>
    <row r="948" spans="1:6" hidden="1">
      <c r="A948" s="212" t="s">
        <v>125</v>
      </c>
      <c r="B948" s="147"/>
      <c r="C948" s="147"/>
      <c r="D948" s="147"/>
      <c r="E948" s="34" t="s">
        <v>89</v>
      </c>
      <c r="F948" s="34" t="s">
        <v>222</v>
      </c>
    </row>
    <row r="949" spans="1:6" hidden="1">
      <c r="A949" s="212" t="s">
        <v>126</v>
      </c>
      <c r="B949" s="147"/>
      <c r="C949" s="147"/>
      <c r="D949" s="147"/>
      <c r="E949" s="34" t="s">
        <v>89</v>
      </c>
      <c r="F949" s="34" t="s">
        <v>222</v>
      </c>
    </row>
    <row r="950" spans="1:6" hidden="1">
      <c r="A950" s="212" t="s">
        <v>127</v>
      </c>
      <c r="B950" s="147"/>
      <c r="C950" s="147"/>
      <c r="D950" s="147"/>
      <c r="E950" s="34" t="s">
        <v>89</v>
      </c>
      <c r="F950" s="34" t="s">
        <v>222</v>
      </c>
    </row>
    <row r="951" spans="1:6" hidden="1">
      <c r="A951" s="230" t="s">
        <v>116</v>
      </c>
      <c r="B951" s="149"/>
      <c r="C951" s="149"/>
      <c r="D951" s="149"/>
      <c r="E951" s="34" t="s">
        <v>89</v>
      </c>
      <c r="F951" s="34" t="s">
        <v>198</v>
      </c>
    </row>
    <row r="952" spans="1:6" hidden="1">
      <c r="A952" s="230" t="s">
        <v>117</v>
      </c>
      <c r="B952" s="149"/>
      <c r="C952" s="149"/>
      <c r="D952" s="149"/>
      <c r="E952" s="34" t="s">
        <v>89</v>
      </c>
      <c r="F952" s="34" t="s">
        <v>198</v>
      </c>
    </row>
    <row r="953" spans="1:6" hidden="1">
      <c r="A953" s="230" t="s">
        <v>118</v>
      </c>
      <c r="B953" s="149"/>
      <c r="C953" s="149"/>
      <c r="D953" s="149"/>
      <c r="E953" s="34" t="s">
        <v>89</v>
      </c>
      <c r="F953" s="34" t="s">
        <v>198</v>
      </c>
    </row>
    <row r="954" spans="1:6" hidden="1">
      <c r="A954" s="230" t="s">
        <v>119</v>
      </c>
      <c r="B954" s="149"/>
      <c r="C954" s="149"/>
      <c r="D954" s="149"/>
      <c r="E954" s="34" t="s">
        <v>89</v>
      </c>
      <c r="F954" s="34" t="s">
        <v>198</v>
      </c>
    </row>
    <row r="955" spans="1:6" hidden="1">
      <c r="A955" s="230" t="s">
        <v>120</v>
      </c>
      <c r="B955" s="149"/>
      <c r="C955" s="149"/>
      <c r="D955" s="149"/>
      <c r="E955" s="34" t="s">
        <v>89</v>
      </c>
      <c r="F955" s="34" t="s">
        <v>198</v>
      </c>
    </row>
    <row r="956" spans="1:6" hidden="1">
      <c r="A956" s="230" t="s">
        <v>121</v>
      </c>
      <c r="B956" s="149"/>
      <c r="C956" s="149"/>
      <c r="D956" s="149"/>
      <c r="E956" s="34" t="s">
        <v>89</v>
      </c>
      <c r="F956" s="34" t="s">
        <v>198</v>
      </c>
    </row>
    <row r="957" spans="1:6" hidden="1">
      <c r="A957" s="230" t="s">
        <v>122</v>
      </c>
      <c r="B957" s="149"/>
      <c r="C957" s="149"/>
      <c r="D957" s="149"/>
      <c r="E957" s="34" t="s">
        <v>89</v>
      </c>
      <c r="F957" s="34" t="s">
        <v>198</v>
      </c>
    </row>
    <row r="958" spans="1:6" hidden="1">
      <c r="A958" s="230" t="s">
        <v>123</v>
      </c>
      <c r="B958" s="149"/>
      <c r="C958" s="149"/>
      <c r="D958" s="149"/>
      <c r="E958" s="34" t="s">
        <v>89</v>
      </c>
      <c r="F958" s="34" t="s">
        <v>198</v>
      </c>
    </row>
    <row r="959" spans="1:6" hidden="1">
      <c r="A959" s="230" t="s">
        <v>124</v>
      </c>
      <c r="B959" s="149"/>
      <c r="C959" s="149"/>
      <c r="D959" s="149"/>
      <c r="E959" s="34" t="s">
        <v>89</v>
      </c>
      <c r="F959" s="34" t="s">
        <v>198</v>
      </c>
    </row>
    <row r="960" spans="1:6" hidden="1">
      <c r="A960" s="230" t="s">
        <v>125</v>
      </c>
      <c r="B960" s="149"/>
      <c r="C960" s="149"/>
      <c r="D960" s="149"/>
      <c r="E960" s="34" t="s">
        <v>89</v>
      </c>
      <c r="F960" s="34" t="s">
        <v>198</v>
      </c>
    </row>
    <row r="961" spans="1:6" hidden="1">
      <c r="A961" s="230" t="s">
        <v>126</v>
      </c>
      <c r="B961" s="149"/>
      <c r="C961" s="149"/>
      <c r="D961" s="149"/>
      <c r="E961" s="34" t="s">
        <v>89</v>
      </c>
      <c r="F961" s="34" t="s">
        <v>198</v>
      </c>
    </row>
    <row r="962" spans="1:6" hidden="1">
      <c r="A962" s="230" t="s">
        <v>127</v>
      </c>
      <c r="B962" s="149"/>
      <c r="C962" s="149"/>
      <c r="D962" s="149"/>
      <c r="E962" s="34" t="s">
        <v>89</v>
      </c>
      <c r="F962" s="34" t="s">
        <v>198</v>
      </c>
    </row>
    <row r="963" spans="1:6" hidden="1">
      <c r="A963" s="212" t="s">
        <v>116</v>
      </c>
      <c r="B963" s="147"/>
      <c r="C963" s="147"/>
      <c r="D963" s="147"/>
      <c r="E963" s="34" t="s">
        <v>89</v>
      </c>
      <c r="F963" s="34" t="s">
        <v>28</v>
      </c>
    </row>
    <row r="964" spans="1:6" hidden="1">
      <c r="A964" s="212" t="s">
        <v>117</v>
      </c>
      <c r="B964" s="147"/>
      <c r="C964" s="147"/>
      <c r="D964" s="147"/>
      <c r="E964" s="34" t="s">
        <v>89</v>
      </c>
      <c r="F964" s="34" t="s">
        <v>28</v>
      </c>
    </row>
    <row r="965" spans="1:6" hidden="1">
      <c r="A965" s="212" t="s">
        <v>118</v>
      </c>
      <c r="B965" s="147"/>
      <c r="C965" s="147"/>
      <c r="D965" s="147"/>
      <c r="E965" s="34" t="s">
        <v>89</v>
      </c>
      <c r="F965" s="34" t="s">
        <v>28</v>
      </c>
    </row>
    <row r="966" spans="1:6" hidden="1">
      <c r="A966" s="212" t="s">
        <v>119</v>
      </c>
      <c r="B966" s="147"/>
      <c r="C966" s="147"/>
      <c r="D966" s="147"/>
      <c r="E966" s="34" t="s">
        <v>89</v>
      </c>
      <c r="F966" s="34" t="s">
        <v>28</v>
      </c>
    </row>
    <row r="967" spans="1:6" hidden="1">
      <c r="A967" s="212" t="s">
        <v>120</v>
      </c>
      <c r="B967" s="147"/>
      <c r="C967" s="147"/>
      <c r="D967" s="147"/>
      <c r="E967" s="34" t="s">
        <v>89</v>
      </c>
      <c r="F967" s="34" t="s">
        <v>28</v>
      </c>
    </row>
    <row r="968" spans="1:6" hidden="1">
      <c r="A968" s="212" t="s">
        <v>121</v>
      </c>
      <c r="B968" s="147"/>
      <c r="C968" s="147"/>
      <c r="D968" s="147"/>
      <c r="E968" s="34" t="s">
        <v>89</v>
      </c>
      <c r="F968" s="34" t="s">
        <v>28</v>
      </c>
    </row>
    <row r="969" spans="1:6" hidden="1">
      <c r="A969" s="212" t="s">
        <v>122</v>
      </c>
      <c r="B969" s="147"/>
      <c r="C969" s="147"/>
      <c r="D969" s="147"/>
      <c r="E969" s="34" t="s">
        <v>89</v>
      </c>
      <c r="F969" s="34" t="s">
        <v>28</v>
      </c>
    </row>
    <row r="970" spans="1:6" hidden="1">
      <c r="A970" s="212" t="s">
        <v>123</v>
      </c>
      <c r="B970" s="147"/>
      <c r="C970" s="147"/>
      <c r="D970" s="147"/>
      <c r="E970" s="34" t="s">
        <v>89</v>
      </c>
      <c r="F970" s="34" t="s">
        <v>28</v>
      </c>
    </row>
    <row r="971" spans="1:6" hidden="1">
      <c r="A971" s="212" t="s">
        <v>124</v>
      </c>
      <c r="B971" s="147"/>
      <c r="C971" s="147"/>
      <c r="D971" s="147"/>
      <c r="E971" s="34" t="s">
        <v>89</v>
      </c>
      <c r="F971" s="34" t="s">
        <v>28</v>
      </c>
    </row>
    <row r="972" spans="1:6" hidden="1">
      <c r="A972" s="212" t="s">
        <v>125</v>
      </c>
      <c r="B972" s="147"/>
      <c r="C972" s="147"/>
      <c r="D972" s="147"/>
      <c r="E972" s="34" t="s">
        <v>89</v>
      </c>
      <c r="F972" s="34" t="s">
        <v>28</v>
      </c>
    </row>
    <row r="973" spans="1:6" hidden="1">
      <c r="A973" s="212" t="s">
        <v>126</v>
      </c>
      <c r="B973" s="147"/>
      <c r="C973" s="147"/>
      <c r="D973" s="147"/>
      <c r="E973" s="34" t="s">
        <v>89</v>
      </c>
      <c r="F973" s="34" t="s">
        <v>28</v>
      </c>
    </row>
    <row r="974" spans="1:6" hidden="1">
      <c r="A974" s="212" t="s">
        <v>127</v>
      </c>
      <c r="B974" s="147"/>
      <c r="C974" s="147"/>
      <c r="D974" s="147"/>
      <c r="E974" s="34" t="s">
        <v>89</v>
      </c>
      <c r="F974" s="34" t="s">
        <v>28</v>
      </c>
    </row>
    <row r="975" spans="1:6" hidden="1">
      <c r="A975" s="230" t="s">
        <v>116</v>
      </c>
      <c r="B975" s="149"/>
      <c r="C975" s="149"/>
      <c r="D975" s="149"/>
      <c r="E975" s="34" t="s">
        <v>89</v>
      </c>
      <c r="F975" s="149" t="s">
        <v>142</v>
      </c>
    </row>
    <row r="976" spans="1:6" hidden="1">
      <c r="A976" s="230" t="s">
        <v>117</v>
      </c>
      <c r="B976" s="149"/>
      <c r="C976" s="149"/>
      <c r="D976" s="149"/>
      <c r="E976" s="34" t="s">
        <v>89</v>
      </c>
      <c r="F976" s="149" t="s">
        <v>142</v>
      </c>
    </row>
    <row r="977" spans="1:6" hidden="1">
      <c r="A977" s="230" t="s">
        <v>118</v>
      </c>
      <c r="B977" s="149"/>
      <c r="C977" s="149"/>
      <c r="D977" s="149"/>
      <c r="E977" s="34" t="s">
        <v>89</v>
      </c>
      <c r="F977" s="149" t="s">
        <v>142</v>
      </c>
    </row>
    <row r="978" spans="1:6" hidden="1">
      <c r="A978" s="230" t="s">
        <v>119</v>
      </c>
      <c r="B978" s="149"/>
      <c r="C978" s="149"/>
      <c r="D978" s="149"/>
      <c r="E978" s="34" t="s">
        <v>89</v>
      </c>
      <c r="F978" s="149" t="s">
        <v>142</v>
      </c>
    </row>
    <row r="979" spans="1:6" hidden="1">
      <c r="A979" s="230" t="s">
        <v>120</v>
      </c>
      <c r="B979" s="149"/>
      <c r="C979" s="149"/>
      <c r="D979" s="149"/>
      <c r="E979" s="34" t="s">
        <v>89</v>
      </c>
      <c r="F979" s="149" t="s">
        <v>142</v>
      </c>
    </row>
    <row r="980" spans="1:6" hidden="1">
      <c r="A980" s="230" t="s">
        <v>121</v>
      </c>
      <c r="B980" s="149"/>
      <c r="C980" s="149"/>
      <c r="D980" s="149"/>
      <c r="E980" s="34" t="s">
        <v>89</v>
      </c>
      <c r="F980" s="149" t="s">
        <v>142</v>
      </c>
    </row>
    <row r="981" spans="1:6" hidden="1">
      <c r="A981" s="230" t="s">
        <v>122</v>
      </c>
      <c r="B981" s="149"/>
      <c r="C981" s="149"/>
      <c r="D981" s="149"/>
      <c r="E981" s="34" t="s">
        <v>89</v>
      </c>
      <c r="F981" s="149" t="s">
        <v>142</v>
      </c>
    </row>
    <row r="982" spans="1:6" hidden="1">
      <c r="A982" s="230" t="s">
        <v>123</v>
      </c>
      <c r="B982" s="149"/>
      <c r="C982" s="149"/>
      <c r="D982" s="149"/>
      <c r="E982" s="34" t="s">
        <v>89</v>
      </c>
      <c r="F982" s="149" t="s">
        <v>142</v>
      </c>
    </row>
    <row r="983" spans="1:6" hidden="1">
      <c r="A983" s="230" t="s">
        <v>124</v>
      </c>
      <c r="B983" s="149"/>
      <c r="C983" s="149"/>
      <c r="D983" s="149"/>
      <c r="E983" s="34" t="s">
        <v>89</v>
      </c>
      <c r="F983" s="149" t="s">
        <v>142</v>
      </c>
    </row>
    <row r="984" spans="1:6" hidden="1">
      <c r="A984" s="230" t="s">
        <v>125</v>
      </c>
      <c r="B984" s="149"/>
      <c r="C984" s="149"/>
      <c r="D984" s="149"/>
      <c r="E984" s="34" t="s">
        <v>89</v>
      </c>
      <c r="F984" s="149" t="s">
        <v>142</v>
      </c>
    </row>
    <row r="985" spans="1:6" hidden="1">
      <c r="A985" s="230" t="s">
        <v>126</v>
      </c>
      <c r="B985" s="149"/>
      <c r="C985" s="149"/>
      <c r="D985" s="149"/>
      <c r="E985" s="34" t="s">
        <v>89</v>
      </c>
      <c r="F985" s="149" t="s">
        <v>142</v>
      </c>
    </row>
    <row r="986" spans="1:6" hidden="1">
      <c r="A986" s="230" t="s">
        <v>127</v>
      </c>
      <c r="B986" s="149"/>
      <c r="C986" s="149"/>
      <c r="D986" s="149"/>
      <c r="E986" s="34" t="s">
        <v>89</v>
      </c>
      <c r="F986" s="149" t="s">
        <v>142</v>
      </c>
    </row>
    <row r="987" spans="1:6" hidden="1">
      <c r="A987" s="212" t="s">
        <v>116</v>
      </c>
      <c r="B987" s="147"/>
      <c r="C987" s="147"/>
      <c r="D987" s="147"/>
      <c r="E987" s="34" t="s">
        <v>90</v>
      </c>
      <c r="F987" s="34" t="s">
        <v>197</v>
      </c>
    </row>
    <row r="988" spans="1:6" hidden="1">
      <c r="A988" s="212" t="s">
        <v>117</v>
      </c>
      <c r="B988" s="147"/>
      <c r="C988" s="147"/>
      <c r="D988" s="147"/>
      <c r="E988" s="34" t="s">
        <v>90</v>
      </c>
      <c r="F988" s="34" t="s">
        <v>197</v>
      </c>
    </row>
    <row r="989" spans="1:6" hidden="1">
      <c r="A989" s="212" t="s">
        <v>118</v>
      </c>
      <c r="B989" s="147"/>
      <c r="C989" s="147"/>
      <c r="D989" s="147"/>
      <c r="E989" s="34" t="s">
        <v>90</v>
      </c>
      <c r="F989" s="34" t="s">
        <v>197</v>
      </c>
    </row>
    <row r="990" spans="1:6" hidden="1">
      <c r="A990" s="212" t="s">
        <v>119</v>
      </c>
      <c r="B990" s="147"/>
      <c r="C990" s="147"/>
      <c r="D990" s="147"/>
      <c r="E990" s="34" t="s">
        <v>90</v>
      </c>
      <c r="F990" s="34" t="s">
        <v>197</v>
      </c>
    </row>
    <row r="991" spans="1:6" hidden="1">
      <c r="A991" s="212" t="s">
        <v>120</v>
      </c>
      <c r="B991" s="147"/>
      <c r="C991" s="147"/>
      <c r="D991" s="147"/>
      <c r="E991" s="34" t="s">
        <v>90</v>
      </c>
      <c r="F991" s="34" t="s">
        <v>197</v>
      </c>
    </row>
    <row r="992" spans="1:6" hidden="1">
      <c r="A992" s="212" t="s">
        <v>121</v>
      </c>
      <c r="B992" s="147"/>
      <c r="C992" s="147"/>
      <c r="D992" s="147"/>
      <c r="E992" s="34" t="s">
        <v>90</v>
      </c>
      <c r="F992" s="34" t="s">
        <v>197</v>
      </c>
    </row>
    <row r="993" spans="1:6" hidden="1">
      <c r="A993" s="212" t="s">
        <v>122</v>
      </c>
      <c r="B993" s="147"/>
      <c r="C993" s="147"/>
      <c r="D993" s="147"/>
      <c r="E993" s="34" t="s">
        <v>90</v>
      </c>
      <c r="F993" s="34" t="s">
        <v>197</v>
      </c>
    </row>
    <row r="994" spans="1:6" hidden="1">
      <c r="A994" s="212" t="s">
        <v>123</v>
      </c>
      <c r="B994" s="147"/>
      <c r="C994" s="147"/>
      <c r="D994" s="147"/>
      <c r="E994" s="34" t="s">
        <v>90</v>
      </c>
      <c r="F994" s="34" t="s">
        <v>197</v>
      </c>
    </row>
    <row r="995" spans="1:6" hidden="1">
      <c r="A995" s="212" t="s">
        <v>124</v>
      </c>
      <c r="B995" s="147"/>
      <c r="C995" s="147"/>
      <c r="D995" s="147"/>
      <c r="E995" s="34" t="s">
        <v>90</v>
      </c>
      <c r="F995" s="34" t="s">
        <v>197</v>
      </c>
    </row>
    <row r="996" spans="1:6" hidden="1">
      <c r="A996" s="212" t="s">
        <v>125</v>
      </c>
      <c r="B996" s="147"/>
      <c r="C996" s="147"/>
      <c r="D996" s="147"/>
      <c r="E996" s="34" t="s">
        <v>90</v>
      </c>
      <c r="F996" s="34" t="s">
        <v>197</v>
      </c>
    </row>
    <row r="997" spans="1:6" hidden="1">
      <c r="A997" s="212" t="s">
        <v>126</v>
      </c>
      <c r="B997" s="147"/>
      <c r="C997" s="147"/>
      <c r="D997" s="147"/>
      <c r="E997" s="34" t="s">
        <v>90</v>
      </c>
      <c r="F997" s="34" t="s">
        <v>197</v>
      </c>
    </row>
    <row r="998" spans="1:6" hidden="1">
      <c r="A998" s="212" t="s">
        <v>127</v>
      </c>
      <c r="B998" s="147"/>
      <c r="C998" s="147"/>
      <c r="D998" s="147"/>
      <c r="E998" s="34" t="s">
        <v>90</v>
      </c>
      <c r="F998" s="34" t="s">
        <v>197</v>
      </c>
    </row>
    <row r="999" spans="1:6" hidden="1">
      <c r="A999" s="230" t="s">
        <v>116</v>
      </c>
      <c r="B999" s="149"/>
      <c r="C999" s="149"/>
      <c r="D999" s="149"/>
      <c r="E999" s="34" t="s">
        <v>90</v>
      </c>
      <c r="F999" s="34" t="s">
        <v>199</v>
      </c>
    </row>
    <row r="1000" spans="1:6" hidden="1">
      <c r="A1000" s="230" t="s">
        <v>117</v>
      </c>
      <c r="B1000" s="149"/>
      <c r="C1000" s="149"/>
      <c r="D1000" s="149"/>
      <c r="E1000" s="34" t="s">
        <v>90</v>
      </c>
      <c r="F1000" s="34" t="s">
        <v>199</v>
      </c>
    </row>
    <row r="1001" spans="1:6" hidden="1">
      <c r="A1001" s="230" t="s">
        <v>118</v>
      </c>
      <c r="B1001" s="149"/>
      <c r="C1001" s="149"/>
      <c r="D1001" s="149"/>
      <c r="E1001" s="34" t="s">
        <v>90</v>
      </c>
      <c r="F1001" s="34" t="s">
        <v>199</v>
      </c>
    </row>
    <row r="1002" spans="1:6" hidden="1">
      <c r="A1002" s="230" t="s">
        <v>119</v>
      </c>
      <c r="B1002" s="149"/>
      <c r="C1002" s="149"/>
      <c r="D1002" s="149"/>
      <c r="E1002" s="34" t="s">
        <v>90</v>
      </c>
      <c r="F1002" s="34" t="s">
        <v>199</v>
      </c>
    </row>
    <row r="1003" spans="1:6" hidden="1">
      <c r="A1003" s="230" t="s">
        <v>120</v>
      </c>
      <c r="B1003" s="149"/>
      <c r="C1003" s="149"/>
      <c r="D1003" s="149"/>
      <c r="E1003" s="34" t="s">
        <v>90</v>
      </c>
      <c r="F1003" s="34" t="s">
        <v>199</v>
      </c>
    </row>
    <row r="1004" spans="1:6" hidden="1">
      <c r="A1004" s="230" t="s">
        <v>121</v>
      </c>
      <c r="B1004" s="149"/>
      <c r="C1004" s="149"/>
      <c r="D1004" s="149"/>
      <c r="E1004" s="34" t="s">
        <v>90</v>
      </c>
      <c r="F1004" s="34" t="s">
        <v>199</v>
      </c>
    </row>
    <row r="1005" spans="1:6" hidden="1">
      <c r="A1005" s="230" t="s">
        <v>122</v>
      </c>
      <c r="B1005" s="149"/>
      <c r="C1005" s="149"/>
      <c r="D1005" s="149"/>
      <c r="E1005" s="34" t="s">
        <v>90</v>
      </c>
      <c r="F1005" s="34" t="s">
        <v>199</v>
      </c>
    </row>
    <row r="1006" spans="1:6" hidden="1">
      <c r="A1006" s="230" t="s">
        <v>123</v>
      </c>
      <c r="B1006" s="149"/>
      <c r="C1006" s="149"/>
      <c r="D1006" s="149"/>
      <c r="E1006" s="34" t="s">
        <v>90</v>
      </c>
      <c r="F1006" s="34" t="s">
        <v>199</v>
      </c>
    </row>
    <row r="1007" spans="1:6" hidden="1">
      <c r="A1007" s="230" t="s">
        <v>124</v>
      </c>
      <c r="B1007" s="149"/>
      <c r="C1007" s="149"/>
      <c r="D1007" s="149"/>
      <c r="E1007" s="34" t="s">
        <v>90</v>
      </c>
      <c r="F1007" s="34" t="s">
        <v>199</v>
      </c>
    </row>
    <row r="1008" spans="1:6" hidden="1">
      <c r="A1008" s="230" t="s">
        <v>125</v>
      </c>
      <c r="B1008" s="149"/>
      <c r="C1008" s="149"/>
      <c r="D1008" s="149"/>
      <c r="E1008" s="34" t="s">
        <v>90</v>
      </c>
      <c r="F1008" s="34" t="s">
        <v>199</v>
      </c>
    </row>
    <row r="1009" spans="1:6" hidden="1">
      <c r="A1009" s="230" t="s">
        <v>126</v>
      </c>
      <c r="B1009" s="149"/>
      <c r="C1009" s="149"/>
      <c r="D1009" s="149"/>
      <c r="E1009" s="34" t="s">
        <v>90</v>
      </c>
      <c r="F1009" s="34" t="s">
        <v>199</v>
      </c>
    </row>
    <row r="1010" spans="1:6" hidden="1">
      <c r="A1010" s="230" t="s">
        <v>127</v>
      </c>
      <c r="B1010" s="149"/>
      <c r="C1010" s="149"/>
      <c r="D1010" s="149"/>
      <c r="E1010" s="34" t="s">
        <v>90</v>
      </c>
      <c r="F1010" s="34" t="s">
        <v>199</v>
      </c>
    </row>
    <row r="1011" spans="1:6" hidden="1">
      <c r="A1011" s="212" t="s">
        <v>116</v>
      </c>
      <c r="B1011" s="147"/>
      <c r="C1011" s="147"/>
      <c r="D1011" s="147"/>
      <c r="E1011" s="34" t="s">
        <v>90</v>
      </c>
      <c r="F1011" s="34" t="s">
        <v>222</v>
      </c>
    </row>
    <row r="1012" spans="1:6" hidden="1">
      <c r="A1012" s="212" t="s">
        <v>117</v>
      </c>
      <c r="B1012" s="147"/>
      <c r="C1012" s="147"/>
      <c r="D1012" s="147"/>
      <c r="E1012" s="34" t="s">
        <v>90</v>
      </c>
      <c r="F1012" s="34" t="s">
        <v>222</v>
      </c>
    </row>
    <row r="1013" spans="1:6" hidden="1">
      <c r="A1013" s="212" t="s">
        <v>118</v>
      </c>
      <c r="B1013" s="147"/>
      <c r="C1013" s="147"/>
      <c r="D1013" s="147"/>
      <c r="E1013" s="34" t="s">
        <v>90</v>
      </c>
      <c r="F1013" s="34" t="s">
        <v>222</v>
      </c>
    </row>
    <row r="1014" spans="1:6" hidden="1">
      <c r="A1014" s="212" t="s">
        <v>119</v>
      </c>
      <c r="B1014" s="147"/>
      <c r="C1014" s="147"/>
      <c r="D1014" s="147"/>
      <c r="E1014" s="34" t="s">
        <v>90</v>
      </c>
      <c r="F1014" s="34" t="s">
        <v>222</v>
      </c>
    </row>
    <row r="1015" spans="1:6" hidden="1">
      <c r="A1015" s="212" t="s">
        <v>120</v>
      </c>
      <c r="B1015" s="147"/>
      <c r="C1015" s="147"/>
      <c r="D1015" s="147"/>
      <c r="E1015" s="34" t="s">
        <v>90</v>
      </c>
      <c r="F1015" s="34" t="s">
        <v>222</v>
      </c>
    </row>
    <row r="1016" spans="1:6" hidden="1">
      <c r="A1016" s="212" t="s">
        <v>121</v>
      </c>
      <c r="B1016" s="147"/>
      <c r="C1016" s="147"/>
      <c r="D1016" s="147"/>
      <c r="E1016" s="34" t="s">
        <v>90</v>
      </c>
      <c r="F1016" s="34" t="s">
        <v>222</v>
      </c>
    </row>
    <row r="1017" spans="1:6" hidden="1">
      <c r="A1017" s="212" t="s">
        <v>122</v>
      </c>
      <c r="B1017" s="147"/>
      <c r="C1017" s="147"/>
      <c r="D1017" s="147"/>
      <c r="E1017" s="34" t="s">
        <v>90</v>
      </c>
      <c r="F1017" s="34" t="s">
        <v>222</v>
      </c>
    </row>
    <row r="1018" spans="1:6" hidden="1">
      <c r="A1018" s="212" t="s">
        <v>123</v>
      </c>
      <c r="B1018" s="147"/>
      <c r="C1018" s="147"/>
      <c r="D1018" s="147"/>
      <c r="E1018" s="34" t="s">
        <v>90</v>
      </c>
      <c r="F1018" s="34" t="s">
        <v>222</v>
      </c>
    </row>
    <row r="1019" spans="1:6" hidden="1">
      <c r="A1019" s="212" t="s">
        <v>124</v>
      </c>
      <c r="B1019" s="147"/>
      <c r="C1019" s="147"/>
      <c r="D1019" s="147"/>
      <c r="E1019" s="34" t="s">
        <v>90</v>
      </c>
      <c r="F1019" s="34" t="s">
        <v>222</v>
      </c>
    </row>
    <row r="1020" spans="1:6" hidden="1">
      <c r="A1020" s="212" t="s">
        <v>125</v>
      </c>
      <c r="B1020" s="147"/>
      <c r="C1020" s="147"/>
      <c r="D1020" s="147"/>
      <c r="E1020" s="34" t="s">
        <v>90</v>
      </c>
      <c r="F1020" s="34" t="s">
        <v>222</v>
      </c>
    </row>
    <row r="1021" spans="1:6" hidden="1">
      <c r="A1021" s="212" t="s">
        <v>126</v>
      </c>
      <c r="B1021" s="147"/>
      <c r="C1021" s="147"/>
      <c r="D1021" s="147"/>
      <c r="E1021" s="34" t="s">
        <v>90</v>
      </c>
      <c r="F1021" s="34" t="s">
        <v>222</v>
      </c>
    </row>
    <row r="1022" spans="1:6" hidden="1">
      <c r="A1022" s="212" t="s">
        <v>127</v>
      </c>
      <c r="B1022" s="147"/>
      <c r="C1022" s="147"/>
      <c r="D1022" s="147"/>
      <c r="E1022" s="34" t="s">
        <v>90</v>
      </c>
      <c r="F1022" s="34" t="s">
        <v>222</v>
      </c>
    </row>
    <row r="1023" spans="1:6" hidden="1">
      <c r="A1023" s="230" t="s">
        <v>116</v>
      </c>
      <c r="B1023" s="149"/>
      <c r="C1023" s="149"/>
      <c r="D1023" s="149"/>
      <c r="E1023" s="34" t="s">
        <v>90</v>
      </c>
      <c r="F1023" s="34" t="s">
        <v>198</v>
      </c>
    </row>
    <row r="1024" spans="1:6" hidden="1">
      <c r="A1024" s="230" t="s">
        <v>117</v>
      </c>
      <c r="B1024" s="149"/>
      <c r="C1024" s="149"/>
      <c r="D1024" s="149"/>
      <c r="E1024" s="34" t="s">
        <v>90</v>
      </c>
      <c r="F1024" s="34" t="s">
        <v>198</v>
      </c>
    </row>
    <row r="1025" spans="1:6" hidden="1">
      <c r="A1025" s="230" t="s">
        <v>118</v>
      </c>
      <c r="B1025" s="149"/>
      <c r="C1025" s="149"/>
      <c r="D1025" s="149"/>
      <c r="E1025" s="34" t="s">
        <v>90</v>
      </c>
      <c r="F1025" s="34" t="s">
        <v>198</v>
      </c>
    </row>
    <row r="1026" spans="1:6" hidden="1">
      <c r="A1026" s="230" t="s">
        <v>119</v>
      </c>
      <c r="B1026" s="149"/>
      <c r="C1026" s="149"/>
      <c r="D1026" s="149"/>
      <c r="E1026" s="34" t="s">
        <v>90</v>
      </c>
      <c r="F1026" s="34" t="s">
        <v>198</v>
      </c>
    </row>
    <row r="1027" spans="1:6" hidden="1">
      <c r="A1027" s="230" t="s">
        <v>120</v>
      </c>
      <c r="B1027" s="149"/>
      <c r="C1027" s="149"/>
      <c r="D1027" s="149"/>
      <c r="E1027" s="34" t="s">
        <v>90</v>
      </c>
      <c r="F1027" s="34" t="s">
        <v>198</v>
      </c>
    </row>
    <row r="1028" spans="1:6" hidden="1">
      <c r="A1028" s="230" t="s">
        <v>121</v>
      </c>
      <c r="B1028" s="149"/>
      <c r="C1028" s="149"/>
      <c r="D1028" s="149"/>
      <c r="E1028" s="34" t="s">
        <v>90</v>
      </c>
      <c r="F1028" s="34" t="s">
        <v>198</v>
      </c>
    </row>
    <row r="1029" spans="1:6" hidden="1">
      <c r="A1029" s="230" t="s">
        <v>122</v>
      </c>
      <c r="B1029" s="149"/>
      <c r="C1029" s="149"/>
      <c r="D1029" s="149"/>
      <c r="E1029" s="34" t="s">
        <v>90</v>
      </c>
      <c r="F1029" s="34" t="s">
        <v>198</v>
      </c>
    </row>
    <row r="1030" spans="1:6" hidden="1">
      <c r="A1030" s="230" t="s">
        <v>123</v>
      </c>
      <c r="B1030" s="149"/>
      <c r="C1030" s="149"/>
      <c r="D1030" s="149"/>
      <c r="E1030" s="34" t="s">
        <v>90</v>
      </c>
      <c r="F1030" s="34" t="s">
        <v>198</v>
      </c>
    </row>
    <row r="1031" spans="1:6" hidden="1">
      <c r="A1031" s="230" t="s">
        <v>124</v>
      </c>
      <c r="B1031" s="149"/>
      <c r="C1031" s="149"/>
      <c r="D1031" s="149"/>
      <c r="E1031" s="34" t="s">
        <v>90</v>
      </c>
      <c r="F1031" s="34" t="s">
        <v>198</v>
      </c>
    </row>
    <row r="1032" spans="1:6" hidden="1">
      <c r="A1032" s="230" t="s">
        <v>125</v>
      </c>
      <c r="B1032" s="149"/>
      <c r="C1032" s="149"/>
      <c r="D1032" s="149"/>
      <c r="E1032" s="34" t="s">
        <v>90</v>
      </c>
      <c r="F1032" s="34" t="s">
        <v>198</v>
      </c>
    </row>
    <row r="1033" spans="1:6" hidden="1">
      <c r="A1033" s="230" t="s">
        <v>126</v>
      </c>
      <c r="B1033" s="149"/>
      <c r="C1033" s="149"/>
      <c r="D1033" s="149"/>
      <c r="E1033" s="34" t="s">
        <v>90</v>
      </c>
      <c r="F1033" s="34" t="s">
        <v>198</v>
      </c>
    </row>
    <row r="1034" spans="1:6" hidden="1">
      <c r="A1034" s="230" t="s">
        <v>127</v>
      </c>
      <c r="B1034" s="149"/>
      <c r="C1034" s="149"/>
      <c r="D1034" s="149"/>
      <c r="E1034" s="34" t="s">
        <v>90</v>
      </c>
      <c r="F1034" s="34" t="s">
        <v>198</v>
      </c>
    </row>
    <row r="1035" spans="1:6" hidden="1">
      <c r="A1035" s="212" t="s">
        <v>116</v>
      </c>
      <c r="B1035" s="147"/>
      <c r="C1035" s="147"/>
      <c r="D1035" s="147"/>
      <c r="E1035" s="34" t="s">
        <v>90</v>
      </c>
      <c r="F1035" s="34" t="s">
        <v>28</v>
      </c>
    </row>
    <row r="1036" spans="1:6" hidden="1">
      <c r="A1036" s="212" t="s">
        <v>117</v>
      </c>
      <c r="B1036" s="147"/>
      <c r="C1036" s="147"/>
      <c r="D1036" s="147"/>
      <c r="E1036" s="34" t="s">
        <v>90</v>
      </c>
      <c r="F1036" s="34" t="s">
        <v>28</v>
      </c>
    </row>
    <row r="1037" spans="1:6" hidden="1">
      <c r="A1037" s="212" t="s">
        <v>118</v>
      </c>
      <c r="B1037" s="147"/>
      <c r="C1037" s="147"/>
      <c r="D1037" s="147"/>
      <c r="E1037" s="34" t="s">
        <v>90</v>
      </c>
      <c r="F1037" s="34" t="s">
        <v>28</v>
      </c>
    </row>
    <row r="1038" spans="1:6" hidden="1">
      <c r="A1038" s="212" t="s">
        <v>119</v>
      </c>
      <c r="B1038" s="147"/>
      <c r="C1038" s="147"/>
      <c r="D1038" s="147"/>
      <c r="E1038" s="34" t="s">
        <v>90</v>
      </c>
      <c r="F1038" s="34" t="s">
        <v>28</v>
      </c>
    </row>
    <row r="1039" spans="1:6" hidden="1">
      <c r="A1039" s="212" t="s">
        <v>120</v>
      </c>
      <c r="B1039" s="147"/>
      <c r="C1039" s="147"/>
      <c r="D1039" s="147"/>
      <c r="E1039" s="34" t="s">
        <v>90</v>
      </c>
      <c r="F1039" s="34" t="s">
        <v>28</v>
      </c>
    </row>
    <row r="1040" spans="1:6" hidden="1">
      <c r="A1040" s="212" t="s">
        <v>121</v>
      </c>
      <c r="B1040" s="147"/>
      <c r="C1040" s="147"/>
      <c r="D1040" s="147"/>
      <c r="E1040" s="34" t="s">
        <v>90</v>
      </c>
      <c r="F1040" s="34" t="s">
        <v>28</v>
      </c>
    </row>
    <row r="1041" spans="1:6" hidden="1">
      <c r="A1041" s="212" t="s">
        <v>122</v>
      </c>
      <c r="B1041" s="147"/>
      <c r="C1041" s="147"/>
      <c r="D1041" s="147"/>
      <c r="E1041" s="34" t="s">
        <v>90</v>
      </c>
      <c r="F1041" s="34" t="s">
        <v>28</v>
      </c>
    </row>
    <row r="1042" spans="1:6" hidden="1">
      <c r="A1042" s="212" t="s">
        <v>123</v>
      </c>
      <c r="B1042" s="147"/>
      <c r="C1042" s="147"/>
      <c r="D1042" s="147"/>
      <c r="E1042" s="34" t="s">
        <v>90</v>
      </c>
      <c r="F1042" s="34" t="s">
        <v>28</v>
      </c>
    </row>
    <row r="1043" spans="1:6" hidden="1">
      <c r="A1043" s="212" t="s">
        <v>124</v>
      </c>
      <c r="B1043" s="147"/>
      <c r="C1043" s="147"/>
      <c r="D1043" s="147"/>
      <c r="E1043" s="34" t="s">
        <v>90</v>
      </c>
      <c r="F1043" s="34" t="s">
        <v>28</v>
      </c>
    </row>
    <row r="1044" spans="1:6" hidden="1">
      <c r="A1044" s="212" t="s">
        <v>125</v>
      </c>
      <c r="B1044" s="147"/>
      <c r="C1044" s="147"/>
      <c r="D1044" s="147"/>
      <c r="E1044" s="34" t="s">
        <v>90</v>
      </c>
      <c r="F1044" s="34" t="s">
        <v>28</v>
      </c>
    </row>
    <row r="1045" spans="1:6" hidden="1">
      <c r="A1045" s="212" t="s">
        <v>126</v>
      </c>
      <c r="B1045" s="147"/>
      <c r="C1045" s="147"/>
      <c r="D1045" s="147"/>
      <c r="E1045" s="34" t="s">
        <v>90</v>
      </c>
      <c r="F1045" s="34" t="s">
        <v>28</v>
      </c>
    </row>
    <row r="1046" spans="1:6" hidden="1">
      <c r="A1046" s="212" t="s">
        <v>127</v>
      </c>
      <c r="B1046" s="147"/>
      <c r="C1046" s="147"/>
      <c r="D1046" s="147"/>
      <c r="E1046" s="34" t="s">
        <v>90</v>
      </c>
      <c r="F1046" s="34" t="s">
        <v>28</v>
      </c>
    </row>
    <row r="1047" spans="1:6" hidden="1">
      <c r="A1047" s="230" t="s">
        <v>116</v>
      </c>
      <c r="B1047" s="149"/>
      <c r="C1047" s="149"/>
      <c r="D1047" s="149"/>
      <c r="E1047" s="34" t="s">
        <v>90</v>
      </c>
      <c r="F1047" s="149" t="s">
        <v>142</v>
      </c>
    </row>
    <row r="1048" spans="1:6" hidden="1">
      <c r="A1048" s="230" t="s">
        <v>117</v>
      </c>
      <c r="B1048" s="149"/>
      <c r="C1048" s="149"/>
      <c r="D1048" s="149"/>
      <c r="E1048" s="34" t="s">
        <v>90</v>
      </c>
      <c r="F1048" s="149" t="s">
        <v>142</v>
      </c>
    </row>
    <row r="1049" spans="1:6" hidden="1">
      <c r="A1049" s="230" t="s">
        <v>118</v>
      </c>
      <c r="B1049" s="149"/>
      <c r="C1049" s="149"/>
      <c r="D1049" s="149"/>
      <c r="E1049" s="34" t="s">
        <v>90</v>
      </c>
      <c r="F1049" s="149" t="s">
        <v>142</v>
      </c>
    </row>
    <row r="1050" spans="1:6" hidden="1">
      <c r="A1050" s="230" t="s">
        <v>119</v>
      </c>
      <c r="B1050" s="149"/>
      <c r="C1050" s="149"/>
      <c r="D1050" s="149"/>
      <c r="E1050" s="34" t="s">
        <v>90</v>
      </c>
      <c r="F1050" s="149" t="s">
        <v>142</v>
      </c>
    </row>
    <row r="1051" spans="1:6" hidden="1">
      <c r="A1051" s="230" t="s">
        <v>120</v>
      </c>
      <c r="B1051" s="149"/>
      <c r="C1051" s="149"/>
      <c r="D1051" s="149"/>
      <c r="E1051" s="34" t="s">
        <v>90</v>
      </c>
      <c r="F1051" s="149" t="s">
        <v>142</v>
      </c>
    </row>
    <row r="1052" spans="1:6" hidden="1">
      <c r="A1052" s="230" t="s">
        <v>121</v>
      </c>
      <c r="B1052" s="149"/>
      <c r="C1052" s="149"/>
      <c r="D1052" s="149"/>
      <c r="E1052" s="34" t="s">
        <v>90</v>
      </c>
      <c r="F1052" s="149" t="s">
        <v>142</v>
      </c>
    </row>
    <row r="1053" spans="1:6" hidden="1">
      <c r="A1053" s="230" t="s">
        <v>122</v>
      </c>
      <c r="B1053" s="149"/>
      <c r="C1053" s="149"/>
      <c r="D1053" s="149"/>
      <c r="E1053" s="34" t="s">
        <v>90</v>
      </c>
      <c r="F1053" s="149" t="s">
        <v>142</v>
      </c>
    </row>
    <row r="1054" spans="1:6" hidden="1">
      <c r="A1054" s="230" t="s">
        <v>123</v>
      </c>
      <c r="B1054" s="149"/>
      <c r="C1054" s="149"/>
      <c r="D1054" s="149"/>
      <c r="E1054" s="34" t="s">
        <v>90</v>
      </c>
      <c r="F1054" s="149" t="s">
        <v>142</v>
      </c>
    </row>
    <row r="1055" spans="1:6" hidden="1">
      <c r="A1055" s="230" t="s">
        <v>124</v>
      </c>
      <c r="B1055" s="149"/>
      <c r="C1055" s="149"/>
      <c r="D1055" s="149"/>
      <c r="E1055" s="34" t="s">
        <v>90</v>
      </c>
      <c r="F1055" s="149" t="s">
        <v>142</v>
      </c>
    </row>
    <row r="1056" spans="1:6" hidden="1">
      <c r="A1056" s="230" t="s">
        <v>125</v>
      </c>
      <c r="B1056" s="149"/>
      <c r="C1056" s="149"/>
      <c r="D1056" s="149"/>
      <c r="E1056" s="34" t="s">
        <v>90</v>
      </c>
      <c r="F1056" s="149" t="s">
        <v>142</v>
      </c>
    </row>
    <row r="1057" spans="1:6" hidden="1">
      <c r="A1057" s="230" t="s">
        <v>126</v>
      </c>
      <c r="B1057" s="149"/>
      <c r="C1057" s="149"/>
      <c r="D1057" s="149"/>
      <c r="E1057" s="34" t="s">
        <v>90</v>
      </c>
      <c r="F1057" s="149" t="s">
        <v>142</v>
      </c>
    </row>
    <row r="1058" spans="1:6" hidden="1">
      <c r="A1058" s="230" t="s">
        <v>127</v>
      </c>
      <c r="B1058" s="149"/>
      <c r="C1058" s="149"/>
      <c r="D1058" s="149"/>
      <c r="E1058" s="34" t="s">
        <v>90</v>
      </c>
      <c r="F1058" s="149" t="s">
        <v>142</v>
      </c>
    </row>
    <row r="1059" spans="1:6" hidden="1">
      <c r="A1059" s="212" t="s">
        <v>116</v>
      </c>
      <c r="B1059" s="147"/>
      <c r="C1059" s="147"/>
      <c r="D1059" s="147"/>
      <c r="E1059" s="34" t="s">
        <v>91</v>
      </c>
      <c r="F1059" s="34" t="s">
        <v>197</v>
      </c>
    </row>
    <row r="1060" spans="1:6" hidden="1">
      <c r="A1060" s="212" t="s">
        <v>117</v>
      </c>
      <c r="B1060" s="147"/>
      <c r="C1060" s="147"/>
      <c r="D1060" s="147"/>
      <c r="E1060" s="34" t="s">
        <v>91</v>
      </c>
      <c r="F1060" s="34" t="s">
        <v>197</v>
      </c>
    </row>
    <row r="1061" spans="1:6" hidden="1">
      <c r="A1061" s="212" t="s">
        <v>118</v>
      </c>
      <c r="B1061" s="147"/>
      <c r="C1061" s="147"/>
      <c r="D1061" s="147"/>
      <c r="E1061" s="34" t="s">
        <v>91</v>
      </c>
      <c r="F1061" s="34" t="s">
        <v>197</v>
      </c>
    </row>
    <row r="1062" spans="1:6" hidden="1">
      <c r="A1062" s="212" t="s">
        <v>119</v>
      </c>
      <c r="B1062" s="147"/>
      <c r="C1062" s="147"/>
      <c r="D1062" s="147"/>
      <c r="E1062" s="34" t="s">
        <v>91</v>
      </c>
      <c r="F1062" s="34" t="s">
        <v>197</v>
      </c>
    </row>
    <row r="1063" spans="1:6" hidden="1">
      <c r="A1063" s="212" t="s">
        <v>120</v>
      </c>
      <c r="B1063" s="147"/>
      <c r="C1063" s="147"/>
      <c r="D1063" s="147"/>
      <c r="E1063" s="34" t="s">
        <v>91</v>
      </c>
      <c r="F1063" s="34" t="s">
        <v>197</v>
      </c>
    </row>
    <row r="1064" spans="1:6" hidden="1">
      <c r="A1064" s="212" t="s">
        <v>121</v>
      </c>
      <c r="B1064" s="147"/>
      <c r="C1064" s="147"/>
      <c r="D1064" s="147"/>
      <c r="E1064" s="34" t="s">
        <v>91</v>
      </c>
      <c r="F1064" s="34" t="s">
        <v>197</v>
      </c>
    </row>
    <row r="1065" spans="1:6" hidden="1">
      <c r="A1065" s="212" t="s">
        <v>122</v>
      </c>
      <c r="B1065" s="147"/>
      <c r="C1065" s="147"/>
      <c r="D1065" s="147"/>
      <c r="E1065" s="34" t="s">
        <v>91</v>
      </c>
      <c r="F1065" s="34" t="s">
        <v>197</v>
      </c>
    </row>
    <row r="1066" spans="1:6" hidden="1">
      <c r="A1066" s="212" t="s">
        <v>123</v>
      </c>
      <c r="B1066" s="147"/>
      <c r="C1066" s="147"/>
      <c r="D1066" s="147"/>
      <c r="E1066" s="34" t="s">
        <v>91</v>
      </c>
      <c r="F1066" s="34" t="s">
        <v>197</v>
      </c>
    </row>
    <row r="1067" spans="1:6" hidden="1">
      <c r="A1067" s="212" t="s">
        <v>124</v>
      </c>
      <c r="B1067" s="147"/>
      <c r="C1067" s="147"/>
      <c r="D1067" s="147"/>
      <c r="E1067" s="34" t="s">
        <v>91</v>
      </c>
      <c r="F1067" s="34" t="s">
        <v>197</v>
      </c>
    </row>
    <row r="1068" spans="1:6" hidden="1">
      <c r="A1068" s="212" t="s">
        <v>125</v>
      </c>
      <c r="B1068" s="147"/>
      <c r="C1068" s="147"/>
      <c r="D1068" s="147"/>
      <c r="E1068" s="34" t="s">
        <v>91</v>
      </c>
      <c r="F1068" s="34" t="s">
        <v>197</v>
      </c>
    </row>
    <row r="1069" spans="1:6" hidden="1">
      <c r="A1069" s="212" t="s">
        <v>126</v>
      </c>
      <c r="B1069" s="147"/>
      <c r="C1069" s="147"/>
      <c r="D1069" s="147"/>
      <c r="E1069" s="34" t="s">
        <v>91</v>
      </c>
      <c r="F1069" s="34" t="s">
        <v>197</v>
      </c>
    </row>
    <row r="1070" spans="1:6" hidden="1">
      <c r="A1070" s="212" t="s">
        <v>127</v>
      </c>
      <c r="B1070" s="147"/>
      <c r="C1070" s="147"/>
      <c r="D1070" s="147"/>
      <c r="E1070" s="34" t="s">
        <v>91</v>
      </c>
      <c r="F1070" s="34" t="s">
        <v>197</v>
      </c>
    </row>
    <row r="1071" spans="1:6" hidden="1">
      <c r="A1071" s="230" t="s">
        <v>116</v>
      </c>
      <c r="B1071" s="149"/>
      <c r="C1071" s="149"/>
      <c r="D1071" s="149"/>
      <c r="E1071" s="34" t="s">
        <v>91</v>
      </c>
      <c r="F1071" s="34" t="s">
        <v>199</v>
      </c>
    </row>
    <row r="1072" spans="1:6" hidden="1">
      <c r="A1072" s="230" t="s">
        <v>117</v>
      </c>
      <c r="B1072" s="149"/>
      <c r="C1072" s="149"/>
      <c r="D1072" s="149"/>
      <c r="E1072" s="34" t="s">
        <v>91</v>
      </c>
      <c r="F1072" s="34" t="s">
        <v>199</v>
      </c>
    </row>
    <row r="1073" spans="1:6" hidden="1">
      <c r="A1073" s="230" t="s">
        <v>118</v>
      </c>
      <c r="B1073" s="149"/>
      <c r="C1073" s="149"/>
      <c r="D1073" s="149"/>
      <c r="E1073" s="34" t="s">
        <v>91</v>
      </c>
      <c r="F1073" s="34" t="s">
        <v>199</v>
      </c>
    </row>
    <row r="1074" spans="1:6" hidden="1">
      <c r="A1074" s="230" t="s">
        <v>119</v>
      </c>
      <c r="B1074" s="149"/>
      <c r="C1074" s="149"/>
      <c r="D1074" s="149"/>
      <c r="E1074" s="34" t="s">
        <v>91</v>
      </c>
      <c r="F1074" s="34" t="s">
        <v>199</v>
      </c>
    </row>
    <row r="1075" spans="1:6" hidden="1">
      <c r="A1075" s="230" t="s">
        <v>120</v>
      </c>
      <c r="B1075" s="149"/>
      <c r="C1075" s="149"/>
      <c r="D1075" s="149"/>
      <c r="E1075" s="34" t="s">
        <v>91</v>
      </c>
      <c r="F1075" s="34" t="s">
        <v>199</v>
      </c>
    </row>
    <row r="1076" spans="1:6" hidden="1">
      <c r="A1076" s="230" t="s">
        <v>121</v>
      </c>
      <c r="B1076" s="149"/>
      <c r="C1076" s="149"/>
      <c r="D1076" s="149"/>
      <c r="E1076" s="34" t="s">
        <v>91</v>
      </c>
      <c r="F1076" s="34" t="s">
        <v>199</v>
      </c>
    </row>
    <row r="1077" spans="1:6" hidden="1">
      <c r="A1077" s="230" t="s">
        <v>122</v>
      </c>
      <c r="B1077" s="149"/>
      <c r="C1077" s="149"/>
      <c r="D1077" s="149"/>
      <c r="E1077" s="34" t="s">
        <v>91</v>
      </c>
      <c r="F1077" s="34" t="s">
        <v>199</v>
      </c>
    </row>
    <row r="1078" spans="1:6" hidden="1">
      <c r="A1078" s="230" t="s">
        <v>123</v>
      </c>
      <c r="B1078" s="149"/>
      <c r="C1078" s="149"/>
      <c r="D1078" s="149"/>
      <c r="E1078" s="34" t="s">
        <v>91</v>
      </c>
      <c r="F1078" s="34" t="s">
        <v>199</v>
      </c>
    </row>
    <row r="1079" spans="1:6" hidden="1">
      <c r="A1079" s="230" t="s">
        <v>124</v>
      </c>
      <c r="B1079" s="149"/>
      <c r="C1079" s="149"/>
      <c r="D1079" s="149"/>
      <c r="E1079" s="34" t="s">
        <v>91</v>
      </c>
      <c r="F1079" s="34" t="s">
        <v>199</v>
      </c>
    </row>
    <row r="1080" spans="1:6" hidden="1">
      <c r="A1080" s="230" t="s">
        <v>125</v>
      </c>
      <c r="B1080" s="149"/>
      <c r="C1080" s="149"/>
      <c r="D1080" s="149"/>
      <c r="E1080" s="34" t="s">
        <v>91</v>
      </c>
      <c r="F1080" s="34" t="s">
        <v>199</v>
      </c>
    </row>
    <row r="1081" spans="1:6" hidden="1">
      <c r="A1081" s="230" t="s">
        <v>126</v>
      </c>
      <c r="B1081" s="149"/>
      <c r="C1081" s="149"/>
      <c r="D1081" s="149"/>
      <c r="E1081" s="34" t="s">
        <v>91</v>
      </c>
      <c r="F1081" s="34" t="s">
        <v>199</v>
      </c>
    </row>
    <row r="1082" spans="1:6" hidden="1">
      <c r="A1082" s="230" t="s">
        <v>127</v>
      </c>
      <c r="B1082" s="149"/>
      <c r="C1082" s="149"/>
      <c r="D1082" s="149"/>
      <c r="E1082" s="34" t="s">
        <v>91</v>
      </c>
      <c r="F1082" s="34" t="s">
        <v>199</v>
      </c>
    </row>
    <row r="1083" spans="1:6" hidden="1">
      <c r="A1083" s="212" t="s">
        <v>116</v>
      </c>
      <c r="B1083" s="147"/>
      <c r="C1083" s="147"/>
      <c r="D1083" s="147"/>
      <c r="E1083" s="34" t="s">
        <v>91</v>
      </c>
      <c r="F1083" s="34" t="s">
        <v>222</v>
      </c>
    </row>
    <row r="1084" spans="1:6" hidden="1">
      <c r="A1084" s="212" t="s">
        <v>117</v>
      </c>
      <c r="B1084" s="147"/>
      <c r="C1084" s="147"/>
      <c r="D1084" s="147"/>
      <c r="E1084" s="34" t="s">
        <v>91</v>
      </c>
      <c r="F1084" s="34" t="s">
        <v>222</v>
      </c>
    </row>
    <row r="1085" spans="1:6" hidden="1">
      <c r="A1085" s="212" t="s">
        <v>118</v>
      </c>
      <c r="B1085" s="147"/>
      <c r="C1085" s="147"/>
      <c r="D1085" s="147"/>
      <c r="E1085" s="34" t="s">
        <v>91</v>
      </c>
      <c r="F1085" s="34" t="s">
        <v>222</v>
      </c>
    </row>
    <row r="1086" spans="1:6" hidden="1">
      <c r="A1086" s="212" t="s">
        <v>119</v>
      </c>
      <c r="B1086" s="147"/>
      <c r="C1086" s="147"/>
      <c r="D1086" s="147"/>
      <c r="E1086" s="34" t="s">
        <v>91</v>
      </c>
      <c r="F1086" s="34" t="s">
        <v>222</v>
      </c>
    </row>
    <row r="1087" spans="1:6" hidden="1">
      <c r="A1087" s="212" t="s">
        <v>120</v>
      </c>
      <c r="B1087" s="147"/>
      <c r="C1087" s="147"/>
      <c r="D1087" s="147"/>
      <c r="E1087" s="34" t="s">
        <v>91</v>
      </c>
      <c r="F1087" s="34" t="s">
        <v>222</v>
      </c>
    </row>
    <row r="1088" spans="1:6" hidden="1">
      <c r="A1088" s="212" t="s">
        <v>121</v>
      </c>
      <c r="B1088" s="147"/>
      <c r="C1088" s="147"/>
      <c r="D1088" s="147"/>
      <c r="E1088" s="34" t="s">
        <v>91</v>
      </c>
      <c r="F1088" s="34" t="s">
        <v>222</v>
      </c>
    </row>
    <row r="1089" spans="1:6" hidden="1">
      <c r="A1089" s="212" t="s">
        <v>122</v>
      </c>
      <c r="B1089" s="147"/>
      <c r="C1089" s="147"/>
      <c r="D1089" s="147"/>
      <c r="E1089" s="34" t="s">
        <v>91</v>
      </c>
      <c r="F1089" s="34" t="s">
        <v>222</v>
      </c>
    </row>
    <row r="1090" spans="1:6" hidden="1">
      <c r="A1090" s="212" t="s">
        <v>123</v>
      </c>
      <c r="B1090" s="147"/>
      <c r="C1090" s="147"/>
      <c r="D1090" s="147"/>
      <c r="E1090" s="34" t="s">
        <v>91</v>
      </c>
      <c r="F1090" s="34" t="s">
        <v>222</v>
      </c>
    </row>
    <row r="1091" spans="1:6" hidden="1">
      <c r="A1091" s="212" t="s">
        <v>124</v>
      </c>
      <c r="B1091" s="147"/>
      <c r="C1091" s="147"/>
      <c r="D1091" s="147"/>
      <c r="E1091" s="34" t="s">
        <v>91</v>
      </c>
      <c r="F1091" s="34" t="s">
        <v>222</v>
      </c>
    </row>
    <row r="1092" spans="1:6" hidden="1">
      <c r="A1092" s="212" t="s">
        <v>125</v>
      </c>
      <c r="B1092" s="147"/>
      <c r="C1092" s="147"/>
      <c r="D1092" s="147"/>
      <c r="E1092" s="34" t="s">
        <v>91</v>
      </c>
      <c r="F1092" s="34" t="s">
        <v>222</v>
      </c>
    </row>
    <row r="1093" spans="1:6" hidden="1">
      <c r="A1093" s="212" t="s">
        <v>126</v>
      </c>
      <c r="B1093" s="147"/>
      <c r="C1093" s="147"/>
      <c r="D1093" s="147"/>
      <c r="E1093" s="34" t="s">
        <v>91</v>
      </c>
      <c r="F1093" s="34" t="s">
        <v>222</v>
      </c>
    </row>
    <row r="1094" spans="1:6" hidden="1">
      <c r="A1094" s="212" t="s">
        <v>127</v>
      </c>
      <c r="B1094" s="147"/>
      <c r="C1094" s="147"/>
      <c r="D1094" s="147"/>
      <c r="E1094" s="34" t="s">
        <v>91</v>
      </c>
      <c r="F1094" s="34" t="s">
        <v>222</v>
      </c>
    </row>
    <row r="1095" spans="1:6" hidden="1">
      <c r="A1095" s="230" t="s">
        <v>116</v>
      </c>
      <c r="B1095" s="149"/>
      <c r="C1095" s="149"/>
      <c r="D1095" s="149"/>
      <c r="E1095" s="34" t="s">
        <v>91</v>
      </c>
      <c r="F1095" s="34" t="s">
        <v>198</v>
      </c>
    </row>
    <row r="1096" spans="1:6" hidden="1">
      <c r="A1096" s="230" t="s">
        <v>117</v>
      </c>
      <c r="B1096" s="149"/>
      <c r="C1096" s="149"/>
      <c r="D1096" s="149"/>
      <c r="E1096" s="34" t="s">
        <v>91</v>
      </c>
      <c r="F1096" s="34" t="s">
        <v>198</v>
      </c>
    </row>
    <row r="1097" spans="1:6" hidden="1">
      <c r="A1097" s="230" t="s">
        <v>118</v>
      </c>
      <c r="B1097" s="149"/>
      <c r="C1097" s="149"/>
      <c r="D1097" s="149"/>
      <c r="E1097" s="34" t="s">
        <v>91</v>
      </c>
      <c r="F1097" s="34" t="s">
        <v>198</v>
      </c>
    </row>
    <row r="1098" spans="1:6" hidden="1">
      <c r="A1098" s="230" t="s">
        <v>119</v>
      </c>
      <c r="B1098" s="149"/>
      <c r="C1098" s="149"/>
      <c r="D1098" s="149"/>
      <c r="E1098" s="34" t="s">
        <v>91</v>
      </c>
      <c r="F1098" s="34" t="s">
        <v>198</v>
      </c>
    </row>
    <row r="1099" spans="1:6" hidden="1">
      <c r="A1099" s="230" t="s">
        <v>120</v>
      </c>
      <c r="B1099" s="149"/>
      <c r="C1099" s="149"/>
      <c r="D1099" s="149"/>
      <c r="E1099" s="34" t="s">
        <v>91</v>
      </c>
      <c r="F1099" s="34" t="s">
        <v>198</v>
      </c>
    </row>
    <row r="1100" spans="1:6" hidden="1">
      <c r="A1100" s="230" t="s">
        <v>121</v>
      </c>
      <c r="B1100" s="149"/>
      <c r="C1100" s="149"/>
      <c r="D1100" s="149"/>
      <c r="E1100" s="34" t="s">
        <v>91</v>
      </c>
      <c r="F1100" s="34" t="s">
        <v>198</v>
      </c>
    </row>
    <row r="1101" spans="1:6" hidden="1">
      <c r="A1101" s="230" t="s">
        <v>122</v>
      </c>
      <c r="B1101" s="149"/>
      <c r="C1101" s="149"/>
      <c r="D1101" s="149"/>
      <c r="E1101" s="34" t="s">
        <v>91</v>
      </c>
      <c r="F1101" s="34" t="s">
        <v>198</v>
      </c>
    </row>
    <row r="1102" spans="1:6" hidden="1">
      <c r="A1102" s="230" t="s">
        <v>123</v>
      </c>
      <c r="B1102" s="149"/>
      <c r="C1102" s="149"/>
      <c r="D1102" s="149"/>
      <c r="E1102" s="34" t="s">
        <v>91</v>
      </c>
      <c r="F1102" s="34" t="s">
        <v>198</v>
      </c>
    </row>
    <row r="1103" spans="1:6" hidden="1">
      <c r="A1103" s="230" t="s">
        <v>124</v>
      </c>
      <c r="B1103" s="149"/>
      <c r="C1103" s="149"/>
      <c r="D1103" s="149"/>
      <c r="E1103" s="34" t="s">
        <v>91</v>
      </c>
      <c r="F1103" s="34" t="s">
        <v>198</v>
      </c>
    </row>
    <row r="1104" spans="1:6" hidden="1">
      <c r="A1104" s="230" t="s">
        <v>125</v>
      </c>
      <c r="B1104" s="149"/>
      <c r="C1104" s="149"/>
      <c r="D1104" s="149"/>
      <c r="E1104" s="34" t="s">
        <v>91</v>
      </c>
      <c r="F1104" s="34" t="s">
        <v>198</v>
      </c>
    </row>
    <row r="1105" spans="1:6" hidden="1">
      <c r="A1105" s="230" t="s">
        <v>126</v>
      </c>
      <c r="B1105" s="149"/>
      <c r="C1105" s="149"/>
      <c r="D1105" s="149"/>
      <c r="E1105" s="34" t="s">
        <v>91</v>
      </c>
      <c r="F1105" s="34" t="s">
        <v>198</v>
      </c>
    </row>
    <row r="1106" spans="1:6" hidden="1">
      <c r="A1106" s="230" t="s">
        <v>127</v>
      </c>
      <c r="B1106" s="149"/>
      <c r="C1106" s="149"/>
      <c r="D1106" s="149"/>
      <c r="E1106" s="34" t="s">
        <v>91</v>
      </c>
      <c r="F1106" s="34" t="s">
        <v>198</v>
      </c>
    </row>
    <row r="1107" spans="1:6" hidden="1">
      <c r="A1107" s="212" t="s">
        <v>116</v>
      </c>
      <c r="B1107" s="147"/>
      <c r="C1107" s="147"/>
      <c r="D1107" s="147"/>
      <c r="E1107" s="34" t="s">
        <v>91</v>
      </c>
      <c r="F1107" s="34" t="s">
        <v>28</v>
      </c>
    </row>
    <row r="1108" spans="1:6" hidden="1">
      <c r="A1108" s="212" t="s">
        <v>117</v>
      </c>
      <c r="B1108" s="147"/>
      <c r="C1108" s="147"/>
      <c r="D1108" s="147"/>
      <c r="E1108" s="34" t="s">
        <v>91</v>
      </c>
      <c r="F1108" s="34" t="s">
        <v>28</v>
      </c>
    </row>
    <row r="1109" spans="1:6" hidden="1">
      <c r="A1109" s="212" t="s">
        <v>118</v>
      </c>
      <c r="B1109" s="147"/>
      <c r="C1109" s="147"/>
      <c r="D1109" s="147"/>
      <c r="E1109" s="34" t="s">
        <v>91</v>
      </c>
      <c r="F1109" s="34" t="s">
        <v>28</v>
      </c>
    </row>
    <row r="1110" spans="1:6" hidden="1">
      <c r="A1110" s="212" t="s">
        <v>119</v>
      </c>
      <c r="B1110" s="147"/>
      <c r="C1110" s="147"/>
      <c r="D1110" s="147"/>
      <c r="E1110" s="34" t="s">
        <v>91</v>
      </c>
      <c r="F1110" s="34" t="s">
        <v>28</v>
      </c>
    </row>
    <row r="1111" spans="1:6" hidden="1">
      <c r="A1111" s="212" t="s">
        <v>120</v>
      </c>
      <c r="B1111" s="147"/>
      <c r="C1111" s="147"/>
      <c r="D1111" s="147"/>
      <c r="E1111" s="34" t="s">
        <v>91</v>
      </c>
      <c r="F1111" s="34" t="s">
        <v>28</v>
      </c>
    </row>
    <row r="1112" spans="1:6" hidden="1">
      <c r="A1112" s="212" t="s">
        <v>121</v>
      </c>
      <c r="B1112" s="147"/>
      <c r="C1112" s="147"/>
      <c r="D1112" s="147"/>
      <c r="E1112" s="34" t="s">
        <v>91</v>
      </c>
      <c r="F1112" s="34" t="s">
        <v>28</v>
      </c>
    </row>
    <row r="1113" spans="1:6" hidden="1">
      <c r="A1113" s="212" t="s">
        <v>122</v>
      </c>
      <c r="B1113" s="147"/>
      <c r="C1113" s="147"/>
      <c r="D1113" s="147"/>
      <c r="E1113" s="34" t="s">
        <v>91</v>
      </c>
      <c r="F1113" s="34" t="s">
        <v>28</v>
      </c>
    </row>
    <row r="1114" spans="1:6" hidden="1">
      <c r="A1114" s="212" t="s">
        <v>123</v>
      </c>
      <c r="B1114" s="147"/>
      <c r="C1114" s="147"/>
      <c r="D1114" s="147"/>
      <c r="E1114" s="34" t="s">
        <v>91</v>
      </c>
      <c r="F1114" s="34" t="s">
        <v>28</v>
      </c>
    </row>
    <row r="1115" spans="1:6" hidden="1">
      <c r="A1115" s="212" t="s">
        <v>124</v>
      </c>
      <c r="B1115" s="147"/>
      <c r="C1115" s="147"/>
      <c r="D1115" s="147"/>
      <c r="E1115" s="34" t="s">
        <v>91</v>
      </c>
      <c r="F1115" s="34" t="s">
        <v>28</v>
      </c>
    </row>
    <row r="1116" spans="1:6" hidden="1">
      <c r="A1116" s="212" t="s">
        <v>125</v>
      </c>
      <c r="B1116" s="147"/>
      <c r="C1116" s="147"/>
      <c r="D1116" s="147"/>
      <c r="E1116" s="34" t="s">
        <v>91</v>
      </c>
      <c r="F1116" s="34" t="s">
        <v>28</v>
      </c>
    </row>
    <row r="1117" spans="1:6" hidden="1">
      <c r="A1117" s="212" t="s">
        <v>126</v>
      </c>
      <c r="B1117" s="147"/>
      <c r="C1117" s="147"/>
      <c r="D1117" s="147"/>
      <c r="E1117" s="34" t="s">
        <v>91</v>
      </c>
      <c r="F1117" s="34" t="s">
        <v>28</v>
      </c>
    </row>
    <row r="1118" spans="1:6" hidden="1">
      <c r="A1118" s="212" t="s">
        <v>127</v>
      </c>
      <c r="B1118" s="147"/>
      <c r="C1118" s="147"/>
      <c r="D1118" s="147"/>
      <c r="E1118" s="34" t="s">
        <v>91</v>
      </c>
      <c r="F1118" s="34" t="s">
        <v>28</v>
      </c>
    </row>
    <row r="1119" spans="1:6" hidden="1">
      <c r="A1119" s="230" t="s">
        <v>116</v>
      </c>
      <c r="B1119" s="149"/>
      <c r="C1119" s="149"/>
      <c r="D1119" s="149"/>
      <c r="E1119" s="34" t="s">
        <v>91</v>
      </c>
      <c r="F1119" s="149" t="s">
        <v>142</v>
      </c>
    </row>
    <row r="1120" spans="1:6" hidden="1">
      <c r="A1120" s="230" t="s">
        <v>117</v>
      </c>
      <c r="B1120" s="149"/>
      <c r="C1120" s="149"/>
      <c r="D1120" s="149"/>
      <c r="E1120" s="34" t="s">
        <v>91</v>
      </c>
      <c r="F1120" s="149" t="s">
        <v>142</v>
      </c>
    </row>
    <row r="1121" spans="1:6" hidden="1">
      <c r="A1121" s="230" t="s">
        <v>118</v>
      </c>
      <c r="B1121" s="149"/>
      <c r="C1121" s="149"/>
      <c r="D1121" s="149"/>
      <c r="E1121" s="34" t="s">
        <v>91</v>
      </c>
      <c r="F1121" s="149" t="s">
        <v>142</v>
      </c>
    </row>
    <row r="1122" spans="1:6" hidden="1">
      <c r="A1122" s="230" t="s">
        <v>119</v>
      </c>
      <c r="B1122" s="149"/>
      <c r="C1122" s="149"/>
      <c r="D1122" s="149"/>
      <c r="E1122" s="34" t="s">
        <v>91</v>
      </c>
      <c r="F1122" s="149" t="s">
        <v>142</v>
      </c>
    </row>
    <row r="1123" spans="1:6" hidden="1">
      <c r="A1123" s="230" t="s">
        <v>120</v>
      </c>
      <c r="B1123" s="149"/>
      <c r="C1123" s="149"/>
      <c r="D1123" s="149"/>
      <c r="E1123" s="34" t="s">
        <v>91</v>
      </c>
      <c r="F1123" s="149" t="s">
        <v>142</v>
      </c>
    </row>
    <row r="1124" spans="1:6" hidden="1">
      <c r="A1124" s="230" t="s">
        <v>121</v>
      </c>
      <c r="B1124" s="149"/>
      <c r="C1124" s="149"/>
      <c r="D1124" s="149"/>
      <c r="E1124" s="34" t="s">
        <v>91</v>
      </c>
      <c r="F1124" s="149" t="s">
        <v>142</v>
      </c>
    </row>
    <row r="1125" spans="1:6" hidden="1">
      <c r="A1125" s="230" t="s">
        <v>122</v>
      </c>
      <c r="B1125" s="149"/>
      <c r="C1125" s="149"/>
      <c r="D1125" s="149"/>
      <c r="E1125" s="34" t="s">
        <v>91</v>
      </c>
      <c r="F1125" s="149" t="s">
        <v>142</v>
      </c>
    </row>
    <row r="1126" spans="1:6" hidden="1">
      <c r="A1126" s="230" t="s">
        <v>123</v>
      </c>
      <c r="B1126" s="149"/>
      <c r="C1126" s="149"/>
      <c r="D1126" s="149"/>
      <c r="E1126" s="34" t="s">
        <v>91</v>
      </c>
      <c r="F1126" s="149" t="s">
        <v>142</v>
      </c>
    </row>
    <row r="1127" spans="1:6" hidden="1">
      <c r="A1127" s="230" t="s">
        <v>124</v>
      </c>
      <c r="B1127" s="149"/>
      <c r="C1127" s="149"/>
      <c r="D1127" s="149"/>
      <c r="E1127" s="34" t="s">
        <v>91</v>
      </c>
      <c r="F1127" s="149" t="s">
        <v>142</v>
      </c>
    </row>
    <row r="1128" spans="1:6" hidden="1">
      <c r="A1128" s="230" t="s">
        <v>125</v>
      </c>
      <c r="B1128" s="149"/>
      <c r="C1128" s="149"/>
      <c r="D1128" s="149"/>
      <c r="E1128" s="34" t="s">
        <v>91</v>
      </c>
      <c r="F1128" s="149" t="s">
        <v>142</v>
      </c>
    </row>
    <row r="1129" spans="1:6" hidden="1">
      <c r="A1129" s="230" t="s">
        <v>126</v>
      </c>
      <c r="B1129" s="149"/>
      <c r="C1129" s="149"/>
      <c r="D1129" s="149"/>
      <c r="E1129" s="34" t="s">
        <v>91</v>
      </c>
      <c r="F1129" s="149" t="s">
        <v>142</v>
      </c>
    </row>
    <row r="1130" spans="1:6" hidden="1">
      <c r="A1130" s="230" t="s">
        <v>127</v>
      </c>
      <c r="B1130" s="149"/>
      <c r="C1130" s="149"/>
      <c r="D1130" s="149"/>
      <c r="E1130" s="34" t="s">
        <v>91</v>
      </c>
      <c r="F1130" s="149" t="s">
        <v>142</v>
      </c>
    </row>
    <row r="1131" spans="1:6" hidden="1">
      <c r="A1131" s="212" t="s">
        <v>116</v>
      </c>
      <c r="B1131" s="147"/>
      <c r="C1131" s="147"/>
      <c r="D1131" s="147"/>
      <c r="E1131" s="34" t="s">
        <v>92</v>
      </c>
      <c r="F1131" s="34" t="s">
        <v>197</v>
      </c>
    </row>
    <row r="1132" spans="1:6" hidden="1">
      <c r="A1132" s="212" t="s">
        <v>117</v>
      </c>
      <c r="B1132" s="147"/>
      <c r="C1132" s="147"/>
      <c r="D1132" s="147"/>
      <c r="E1132" s="34" t="s">
        <v>92</v>
      </c>
      <c r="F1132" s="34" t="s">
        <v>197</v>
      </c>
    </row>
    <row r="1133" spans="1:6" hidden="1">
      <c r="A1133" s="212" t="s">
        <v>118</v>
      </c>
      <c r="B1133" s="147"/>
      <c r="C1133" s="147"/>
      <c r="D1133" s="147"/>
      <c r="E1133" s="34" t="s">
        <v>92</v>
      </c>
      <c r="F1133" s="34" t="s">
        <v>197</v>
      </c>
    </row>
    <row r="1134" spans="1:6" hidden="1">
      <c r="A1134" s="212" t="s">
        <v>119</v>
      </c>
      <c r="B1134" s="147"/>
      <c r="C1134" s="147"/>
      <c r="D1134" s="147"/>
      <c r="E1134" s="34" t="s">
        <v>92</v>
      </c>
      <c r="F1134" s="34" t="s">
        <v>197</v>
      </c>
    </row>
    <row r="1135" spans="1:6" hidden="1">
      <c r="A1135" s="212" t="s">
        <v>120</v>
      </c>
      <c r="B1135" s="147"/>
      <c r="C1135" s="147"/>
      <c r="D1135" s="147"/>
      <c r="E1135" s="34" t="s">
        <v>92</v>
      </c>
      <c r="F1135" s="34" t="s">
        <v>197</v>
      </c>
    </row>
    <row r="1136" spans="1:6" hidden="1">
      <c r="A1136" s="212" t="s">
        <v>121</v>
      </c>
      <c r="B1136" s="147"/>
      <c r="C1136" s="147"/>
      <c r="D1136" s="147"/>
      <c r="E1136" s="34" t="s">
        <v>92</v>
      </c>
      <c r="F1136" s="34" t="s">
        <v>197</v>
      </c>
    </row>
    <row r="1137" spans="1:6" hidden="1">
      <c r="A1137" s="212" t="s">
        <v>122</v>
      </c>
      <c r="B1137" s="147"/>
      <c r="C1137" s="147"/>
      <c r="D1137" s="147"/>
      <c r="E1137" s="34" t="s">
        <v>92</v>
      </c>
      <c r="F1137" s="34" t="s">
        <v>197</v>
      </c>
    </row>
    <row r="1138" spans="1:6" hidden="1">
      <c r="A1138" s="212" t="s">
        <v>123</v>
      </c>
      <c r="B1138" s="147"/>
      <c r="C1138" s="147"/>
      <c r="D1138" s="147"/>
      <c r="E1138" s="34" t="s">
        <v>92</v>
      </c>
      <c r="F1138" s="34" t="s">
        <v>197</v>
      </c>
    </row>
    <row r="1139" spans="1:6" hidden="1">
      <c r="A1139" s="212" t="s">
        <v>124</v>
      </c>
      <c r="B1139" s="147"/>
      <c r="C1139" s="147"/>
      <c r="D1139" s="147"/>
      <c r="E1139" s="34" t="s">
        <v>92</v>
      </c>
      <c r="F1139" s="34" t="s">
        <v>197</v>
      </c>
    </row>
    <row r="1140" spans="1:6" hidden="1">
      <c r="A1140" s="212" t="s">
        <v>125</v>
      </c>
      <c r="B1140" s="147"/>
      <c r="C1140" s="147"/>
      <c r="D1140" s="147"/>
      <c r="E1140" s="34" t="s">
        <v>92</v>
      </c>
      <c r="F1140" s="34" t="s">
        <v>197</v>
      </c>
    </row>
    <row r="1141" spans="1:6" hidden="1">
      <c r="A1141" s="212" t="s">
        <v>126</v>
      </c>
      <c r="B1141" s="147"/>
      <c r="C1141" s="147"/>
      <c r="D1141" s="147"/>
      <c r="E1141" s="34" t="s">
        <v>92</v>
      </c>
      <c r="F1141" s="34" t="s">
        <v>197</v>
      </c>
    </row>
    <row r="1142" spans="1:6" hidden="1">
      <c r="A1142" s="212" t="s">
        <v>127</v>
      </c>
      <c r="B1142" s="147"/>
      <c r="C1142" s="147"/>
      <c r="D1142" s="147"/>
      <c r="E1142" s="34" t="s">
        <v>92</v>
      </c>
      <c r="F1142" s="34" t="s">
        <v>197</v>
      </c>
    </row>
    <row r="1143" spans="1:6" hidden="1">
      <c r="A1143" s="230" t="s">
        <v>116</v>
      </c>
      <c r="B1143" s="149"/>
      <c r="C1143" s="149"/>
      <c r="D1143" s="149"/>
      <c r="E1143" s="34" t="s">
        <v>92</v>
      </c>
      <c r="F1143" s="34" t="s">
        <v>199</v>
      </c>
    </row>
    <row r="1144" spans="1:6" hidden="1">
      <c r="A1144" s="230" t="s">
        <v>117</v>
      </c>
      <c r="B1144" s="149"/>
      <c r="C1144" s="149"/>
      <c r="D1144" s="149"/>
      <c r="E1144" s="34" t="s">
        <v>92</v>
      </c>
      <c r="F1144" s="34" t="s">
        <v>199</v>
      </c>
    </row>
    <row r="1145" spans="1:6" hidden="1">
      <c r="A1145" s="230" t="s">
        <v>118</v>
      </c>
      <c r="B1145" s="149"/>
      <c r="C1145" s="149"/>
      <c r="D1145" s="149"/>
      <c r="E1145" s="34" t="s">
        <v>92</v>
      </c>
      <c r="F1145" s="34" t="s">
        <v>199</v>
      </c>
    </row>
    <row r="1146" spans="1:6" hidden="1">
      <c r="A1146" s="230" t="s">
        <v>119</v>
      </c>
      <c r="B1146" s="149"/>
      <c r="C1146" s="149"/>
      <c r="D1146" s="149"/>
      <c r="E1146" s="34" t="s">
        <v>92</v>
      </c>
      <c r="F1146" s="34" t="s">
        <v>199</v>
      </c>
    </row>
    <row r="1147" spans="1:6" hidden="1">
      <c r="A1147" s="230" t="s">
        <v>120</v>
      </c>
      <c r="B1147" s="149"/>
      <c r="C1147" s="149"/>
      <c r="D1147" s="149"/>
      <c r="E1147" s="34" t="s">
        <v>92</v>
      </c>
      <c r="F1147" s="34" t="s">
        <v>199</v>
      </c>
    </row>
    <row r="1148" spans="1:6" hidden="1">
      <c r="A1148" s="230" t="s">
        <v>121</v>
      </c>
      <c r="B1148" s="149"/>
      <c r="C1148" s="149"/>
      <c r="D1148" s="149"/>
      <c r="E1148" s="34" t="s">
        <v>92</v>
      </c>
      <c r="F1148" s="34" t="s">
        <v>199</v>
      </c>
    </row>
    <row r="1149" spans="1:6" hidden="1">
      <c r="A1149" s="230" t="s">
        <v>122</v>
      </c>
      <c r="B1149" s="149"/>
      <c r="C1149" s="149"/>
      <c r="D1149" s="149"/>
      <c r="E1149" s="34" t="s">
        <v>92</v>
      </c>
      <c r="F1149" s="34" t="s">
        <v>199</v>
      </c>
    </row>
    <row r="1150" spans="1:6" hidden="1">
      <c r="A1150" s="230" t="s">
        <v>123</v>
      </c>
      <c r="B1150" s="149"/>
      <c r="C1150" s="149"/>
      <c r="D1150" s="149"/>
      <c r="E1150" s="34" t="s">
        <v>92</v>
      </c>
      <c r="F1150" s="34" t="s">
        <v>199</v>
      </c>
    </row>
    <row r="1151" spans="1:6" hidden="1">
      <c r="A1151" s="230" t="s">
        <v>124</v>
      </c>
      <c r="B1151" s="149"/>
      <c r="C1151" s="149"/>
      <c r="D1151" s="149"/>
      <c r="E1151" s="34" t="s">
        <v>92</v>
      </c>
      <c r="F1151" s="34" t="s">
        <v>199</v>
      </c>
    </row>
    <row r="1152" spans="1:6" hidden="1">
      <c r="A1152" s="230" t="s">
        <v>125</v>
      </c>
      <c r="B1152" s="149"/>
      <c r="C1152" s="149"/>
      <c r="D1152" s="149"/>
      <c r="E1152" s="34" t="s">
        <v>92</v>
      </c>
      <c r="F1152" s="34" t="s">
        <v>199</v>
      </c>
    </row>
    <row r="1153" spans="1:6" hidden="1">
      <c r="A1153" s="230" t="s">
        <v>126</v>
      </c>
      <c r="B1153" s="149"/>
      <c r="C1153" s="149"/>
      <c r="D1153" s="149"/>
      <c r="E1153" s="34" t="s">
        <v>92</v>
      </c>
      <c r="F1153" s="34" t="s">
        <v>199</v>
      </c>
    </row>
    <row r="1154" spans="1:6" hidden="1">
      <c r="A1154" s="230" t="s">
        <v>127</v>
      </c>
      <c r="B1154" s="149"/>
      <c r="C1154" s="149"/>
      <c r="D1154" s="149"/>
      <c r="E1154" s="34" t="s">
        <v>92</v>
      </c>
      <c r="F1154" s="34" t="s">
        <v>199</v>
      </c>
    </row>
    <row r="1155" spans="1:6" hidden="1">
      <c r="A1155" s="212" t="s">
        <v>116</v>
      </c>
      <c r="B1155" s="147"/>
      <c r="C1155" s="147"/>
      <c r="D1155" s="147"/>
      <c r="E1155" s="34" t="s">
        <v>92</v>
      </c>
      <c r="F1155" s="34" t="s">
        <v>222</v>
      </c>
    </row>
    <row r="1156" spans="1:6" hidden="1">
      <c r="A1156" s="212" t="s">
        <v>117</v>
      </c>
      <c r="B1156" s="147"/>
      <c r="C1156" s="147"/>
      <c r="D1156" s="147"/>
      <c r="E1156" s="34" t="s">
        <v>92</v>
      </c>
      <c r="F1156" s="34" t="s">
        <v>222</v>
      </c>
    </row>
    <row r="1157" spans="1:6" hidden="1">
      <c r="A1157" s="212" t="s">
        <v>118</v>
      </c>
      <c r="B1157" s="147"/>
      <c r="C1157" s="147"/>
      <c r="D1157" s="147"/>
      <c r="E1157" s="34" t="s">
        <v>92</v>
      </c>
      <c r="F1157" s="34" t="s">
        <v>222</v>
      </c>
    </row>
    <row r="1158" spans="1:6" hidden="1">
      <c r="A1158" s="212" t="s">
        <v>119</v>
      </c>
      <c r="B1158" s="147"/>
      <c r="C1158" s="147"/>
      <c r="D1158" s="147"/>
      <c r="E1158" s="34" t="s">
        <v>92</v>
      </c>
      <c r="F1158" s="34" t="s">
        <v>222</v>
      </c>
    </row>
    <row r="1159" spans="1:6" hidden="1">
      <c r="A1159" s="212" t="s">
        <v>120</v>
      </c>
      <c r="B1159" s="147"/>
      <c r="C1159" s="147"/>
      <c r="D1159" s="147"/>
      <c r="E1159" s="34" t="s">
        <v>92</v>
      </c>
      <c r="F1159" s="34" t="s">
        <v>222</v>
      </c>
    </row>
    <row r="1160" spans="1:6" hidden="1">
      <c r="A1160" s="212" t="s">
        <v>121</v>
      </c>
      <c r="B1160" s="147"/>
      <c r="C1160" s="147"/>
      <c r="D1160" s="147"/>
      <c r="E1160" s="34" t="s">
        <v>92</v>
      </c>
      <c r="F1160" s="34" t="s">
        <v>222</v>
      </c>
    </row>
    <row r="1161" spans="1:6" hidden="1">
      <c r="A1161" s="212" t="s">
        <v>122</v>
      </c>
      <c r="B1161" s="147"/>
      <c r="C1161" s="147"/>
      <c r="D1161" s="147"/>
      <c r="E1161" s="34" t="s">
        <v>92</v>
      </c>
      <c r="F1161" s="34" t="s">
        <v>222</v>
      </c>
    </row>
    <row r="1162" spans="1:6" hidden="1">
      <c r="A1162" s="212" t="s">
        <v>123</v>
      </c>
      <c r="B1162" s="147"/>
      <c r="C1162" s="147"/>
      <c r="D1162" s="147"/>
      <c r="E1162" s="34" t="s">
        <v>92</v>
      </c>
      <c r="F1162" s="34" t="s">
        <v>222</v>
      </c>
    </row>
    <row r="1163" spans="1:6" hidden="1">
      <c r="A1163" s="212" t="s">
        <v>124</v>
      </c>
      <c r="B1163" s="147"/>
      <c r="C1163" s="147"/>
      <c r="D1163" s="147"/>
      <c r="E1163" s="34" t="s">
        <v>92</v>
      </c>
      <c r="F1163" s="34" t="s">
        <v>222</v>
      </c>
    </row>
    <row r="1164" spans="1:6" hidden="1">
      <c r="A1164" s="212" t="s">
        <v>125</v>
      </c>
      <c r="B1164" s="147"/>
      <c r="C1164" s="147"/>
      <c r="D1164" s="147"/>
      <c r="E1164" s="34" t="s">
        <v>92</v>
      </c>
      <c r="F1164" s="34" t="s">
        <v>222</v>
      </c>
    </row>
    <row r="1165" spans="1:6" hidden="1">
      <c r="A1165" s="212" t="s">
        <v>126</v>
      </c>
      <c r="B1165" s="147"/>
      <c r="C1165" s="147"/>
      <c r="D1165" s="147"/>
      <c r="E1165" s="34" t="s">
        <v>92</v>
      </c>
      <c r="F1165" s="34" t="s">
        <v>222</v>
      </c>
    </row>
    <row r="1166" spans="1:6" hidden="1">
      <c r="A1166" s="212" t="s">
        <v>127</v>
      </c>
      <c r="B1166" s="147"/>
      <c r="C1166" s="147"/>
      <c r="D1166" s="147"/>
      <c r="E1166" s="34" t="s">
        <v>92</v>
      </c>
      <c r="F1166" s="34" t="s">
        <v>222</v>
      </c>
    </row>
    <row r="1167" spans="1:6" hidden="1">
      <c r="A1167" s="230" t="s">
        <v>116</v>
      </c>
      <c r="B1167" s="149"/>
      <c r="C1167" s="149"/>
      <c r="D1167" s="149"/>
      <c r="E1167" s="34" t="s">
        <v>92</v>
      </c>
      <c r="F1167" s="34" t="s">
        <v>198</v>
      </c>
    </row>
    <row r="1168" spans="1:6" hidden="1">
      <c r="A1168" s="230" t="s">
        <v>117</v>
      </c>
      <c r="B1168" s="149"/>
      <c r="C1168" s="149"/>
      <c r="D1168" s="149"/>
      <c r="E1168" s="34" t="s">
        <v>92</v>
      </c>
      <c r="F1168" s="34" t="s">
        <v>198</v>
      </c>
    </row>
    <row r="1169" spans="1:6" hidden="1">
      <c r="A1169" s="230" t="s">
        <v>118</v>
      </c>
      <c r="B1169" s="149"/>
      <c r="C1169" s="149"/>
      <c r="D1169" s="149"/>
      <c r="E1169" s="34" t="s">
        <v>92</v>
      </c>
      <c r="F1169" s="34" t="s">
        <v>198</v>
      </c>
    </row>
    <row r="1170" spans="1:6" hidden="1">
      <c r="A1170" s="230" t="s">
        <v>119</v>
      </c>
      <c r="B1170" s="149"/>
      <c r="C1170" s="149"/>
      <c r="D1170" s="149"/>
      <c r="E1170" s="34" t="s">
        <v>92</v>
      </c>
      <c r="F1170" s="34" t="s">
        <v>198</v>
      </c>
    </row>
    <row r="1171" spans="1:6" hidden="1">
      <c r="A1171" s="230" t="s">
        <v>120</v>
      </c>
      <c r="B1171" s="149"/>
      <c r="C1171" s="149"/>
      <c r="D1171" s="149"/>
      <c r="E1171" s="34" t="s">
        <v>92</v>
      </c>
      <c r="F1171" s="34" t="s">
        <v>198</v>
      </c>
    </row>
    <row r="1172" spans="1:6" hidden="1">
      <c r="A1172" s="230" t="s">
        <v>121</v>
      </c>
      <c r="B1172" s="149"/>
      <c r="C1172" s="149"/>
      <c r="D1172" s="149"/>
      <c r="E1172" s="34" t="s">
        <v>92</v>
      </c>
      <c r="F1172" s="34" t="s">
        <v>198</v>
      </c>
    </row>
    <row r="1173" spans="1:6" hidden="1">
      <c r="A1173" s="230" t="s">
        <v>122</v>
      </c>
      <c r="B1173" s="149"/>
      <c r="C1173" s="149"/>
      <c r="D1173" s="149"/>
      <c r="E1173" s="34" t="s">
        <v>92</v>
      </c>
      <c r="F1173" s="34" t="s">
        <v>198</v>
      </c>
    </row>
    <row r="1174" spans="1:6" hidden="1">
      <c r="A1174" s="230" t="s">
        <v>123</v>
      </c>
      <c r="B1174" s="149"/>
      <c r="C1174" s="149"/>
      <c r="D1174" s="149"/>
      <c r="E1174" s="34" t="s">
        <v>92</v>
      </c>
      <c r="F1174" s="34" t="s">
        <v>198</v>
      </c>
    </row>
    <row r="1175" spans="1:6" hidden="1">
      <c r="A1175" s="230" t="s">
        <v>124</v>
      </c>
      <c r="B1175" s="149"/>
      <c r="C1175" s="149"/>
      <c r="D1175" s="149"/>
      <c r="E1175" s="34" t="s">
        <v>92</v>
      </c>
      <c r="F1175" s="34" t="s">
        <v>198</v>
      </c>
    </row>
    <row r="1176" spans="1:6" hidden="1">
      <c r="A1176" s="230" t="s">
        <v>125</v>
      </c>
      <c r="B1176" s="149"/>
      <c r="C1176" s="149"/>
      <c r="D1176" s="149"/>
      <c r="E1176" s="34" t="s">
        <v>92</v>
      </c>
      <c r="F1176" s="34" t="s">
        <v>198</v>
      </c>
    </row>
    <row r="1177" spans="1:6" hidden="1">
      <c r="A1177" s="230" t="s">
        <v>126</v>
      </c>
      <c r="B1177" s="149"/>
      <c r="C1177" s="149"/>
      <c r="D1177" s="149"/>
      <c r="E1177" s="34" t="s">
        <v>92</v>
      </c>
      <c r="F1177" s="34" t="s">
        <v>198</v>
      </c>
    </row>
    <row r="1178" spans="1:6" hidden="1">
      <c r="A1178" s="230" t="s">
        <v>127</v>
      </c>
      <c r="B1178" s="149"/>
      <c r="C1178" s="149"/>
      <c r="D1178" s="149"/>
      <c r="E1178" s="34" t="s">
        <v>92</v>
      </c>
      <c r="F1178" s="34" t="s">
        <v>198</v>
      </c>
    </row>
    <row r="1179" spans="1:6" hidden="1">
      <c r="A1179" s="212" t="s">
        <v>116</v>
      </c>
      <c r="B1179" s="147"/>
      <c r="C1179" s="147"/>
      <c r="D1179" s="147"/>
      <c r="E1179" s="34" t="s">
        <v>92</v>
      </c>
      <c r="F1179" s="34" t="s">
        <v>28</v>
      </c>
    </row>
    <row r="1180" spans="1:6" hidden="1">
      <c r="A1180" s="212" t="s">
        <v>117</v>
      </c>
      <c r="B1180" s="147"/>
      <c r="C1180" s="147"/>
      <c r="D1180" s="147"/>
      <c r="E1180" s="34" t="s">
        <v>92</v>
      </c>
      <c r="F1180" s="34" t="s">
        <v>28</v>
      </c>
    </row>
    <row r="1181" spans="1:6" hidden="1">
      <c r="A1181" s="212" t="s">
        <v>118</v>
      </c>
      <c r="B1181" s="147"/>
      <c r="C1181" s="147"/>
      <c r="D1181" s="147"/>
      <c r="E1181" s="34" t="s">
        <v>92</v>
      </c>
      <c r="F1181" s="34" t="s">
        <v>28</v>
      </c>
    </row>
    <row r="1182" spans="1:6" hidden="1">
      <c r="A1182" s="212" t="s">
        <v>119</v>
      </c>
      <c r="B1182" s="147"/>
      <c r="C1182" s="147"/>
      <c r="D1182" s="147"/>
      <c r="E1182" s="34" t="s">
        <v>92</v>
      </c>
      <c r="F1182" s="34" t="s">
        <v>28</v>
      </c>
    </row>
    <row r="1183" spans="1:6" hidden="1">
      <c r="A1183" s="212" t="s">
        <v>120</v>
      </c>
      <c r="B1183" s="147"/>
      <c r="C1183" s="147"/>
      <c r="D1183" s="147"/>
      <c r="E1183" s="34" t="s">
        <v>92</v>
      </c>
      <c r="F1183" s="34" t="s">
        <v>28</v>
      </c>
    </row>
    <row r="1184" spans="1:6" hidden="1">
      <c r="A1184" s="212" t="s">
        <v>121</v>
      </c>
      <c r="B1184" s="147"/>
      <c r="C1184" s="147"/>
      <c r="D1184" s="147"/>
      <c r="E1184" s="34" t="s">
        <v>92</v>
      </c>
      <c r="F1184" s="34" t="s">
        <v>28</v>
      </c>
    </row>
    <row r="1185" spans="1:6" hidden="1">
      <c r="A1185" s="212" t="s">
        <v>122</v>
      </c>
      <c r="B1185" s="147"/>
      <c r="C1185" s="147"/>
      <c r="D1185" s="147"/>
      <c r="E1185" s="34" t="s">
        <v>92</v>
      </c>
      <c r="F1185" s="34" t="s">
        <v>28</v>
      </c>
    </row>
    <row r="1186" spans="1:6" hidden="1">
      <c r="A1186" s="212" t="s">
        <v>123</v>
      </c>
      <c r="B1186" s="147"/>
      <c r="C1186" s="147"/>
      <c r="D1186" s="147"/>
      <c r="E1186" s="34" t="s">
        <v>92</v>
      </c>
      <c r="F1186" s="34" t="s">
        <v>28</v>
      </c>
    </row>
    <row r="1187" spans="1:6" hidden="1">
      <c r="A1187" s="212" t="s">
        <v>124</v>
      </c>
      <c r="B1187" s="147"/>
      <c r="C1187" s="147"/>
      <c r="D1187" s="147"/>
      <c r="E1187" s="34" t="s">
        <v>92</v>
      </c>
      <c r="F1187" s="34" t="s">
        <v>28</v>
      </c>
    </row>
    <row r="1188" spans="1:6" hidden="1">
      <c r="A1188" s="212" t="s">
        <v>125</v>
      </c>
      <c r="B1188" s="147"/>
      <c r="C1188" s="147"/>
      <c r="D1188" s="147"/>
      <c r="E1188" s="34" t="s">
        <v>92</v>
      </c>
      <c r="F1188" s="34" t="s">
        <v>28</v>
      </c>
    </row>
    <row r="1189" spans="1:6" hidden="1">
      <c r="A1189" s="212" t="s">
        <v>126</v>
      </c>
      <c r="B1189" s="147"/>
      <c r="C1189" s="147"/>
      <c r="D1189" s="147"/>
      <c r="E1189" s="34" t="s">
        <v>92</v>
      </c>
      <c r="F1189" s="34" t="s">
        <v>28</v>
      </c>
    </row>
    <row r="1190" spans="1:6" hidden="1">
      <c r="A1190" s="212" t="s">
        <v>127</v>
      </c>
      <c r="B1190" s="147"/>
      <c r="C1190" s="147"/>
      <c r="D1190" s="147"/>
      <c r="E1190" s="34" t="s">
        <v>92</v>
      </c>
      <c r="F1190" s="34" t="s">
        <v>28</v>
      </c>
    </row>
    <row r="1191" spans="1:6" hidden="1">
      <c r="A1191" s="230" t="s">
        <v>116</v>
      </c>
      <c r="B1191" s="149"/>
      <c r="C1191" s="149"/>
      <c r="D1191" s="149"/>
      <c r="E1191" s="34" t="s">
        <v>92</v>
      </c>
      <c r="F1191" s="149" t="s">
        <v>142</v>
      </c>
    </row>
    <row r="1192" spans="1:6" hidden="1">
      <c r="A1192" s="230" t="s">
        <v>117</v>
      </c>
      <c r="B1192" s="149"/>
      <c r="C1192" s="149"/>
      <c r="D1192" s="149"/>
      <c r="E1192" s="34" t="s">
        <v>92</v>
      </c>
      <c r="F1192" s="149" t="s">
        <v>142</v>
      </c>
    </row>
    <row r="1193" spans="1:6" hidden="1">
      <c r="A1193" s="230" t="s">
        <v>118</v>
      </c>
      <c r="B1193" s="149"/>
      <c r="C1193" s="149"/>
      <c r="D1193" s="149"/>
      <c r="E1193" s="34" t="s">
        <v>92</v>
      </c>
      <c r="F1193" s="149" t="s">
        <v>142</v>
      </c>
    </row>
    <row r="1194" spans="1:6" hidden="1">
      <c r="A1194" s="230" t="s">
        <v>119</v>
      </c>
      <c r="B1194" s="149"/>
      <c r="C1194" s="149"/>
      <c r="D1194" s="149"/>
      <c r="E1194" s="34" t="s">
        <v>92</v>
      </c>
      <c r="F1194" s="149" t="s">
        <v>142</v>
      </c>
    </row>
    <row r="1195" spans="1:6" hidden="1">
      <c r="A1195" s="230" t="s">
        <v>120</v>
      </c>
      <c r="B1195" s="149"/>
      <c r="C1195" s="149"/>
      <c r="D1195" s="149"/>
      <c r="E1195" s="34" t="s">
        <v>92</v>
      </c>
      <c r="F1195" s="149" t="s">
        <v>142</v>
      </c>
    </row>
    <row r="1196" spans="1:6" hidden="1">
      <c r="A1196" s="230" t="s">
        <v>121</v>
      </c>
      <c r="B1196" s="149"/>
      <c r="C1196" s="149"/>
      <c r="D1196" s="149"/>
      <c r="E1196" s="34" t="s">
        <v>92</v>
      </c>
      <c r="F1196" s="149" t="s">
        <v>142</v>
      </c>
    </row>
    <row r="1197" spans="1:6" hidden="1">
      <c r="A1197" s="230" t="s">
        <v>122</v>
      </c>
      <c r="B1197" s="149"/>
      <c r="C1197" s="149"/>
      <c r="D1197" s="149"/>
      <c r="E1197" s="34" t="s">
        <v>92</v>
      </c>
      <c r="F1197" s="149" t="s">
        <v>142</v>
      </c>
    </row>
    <row r="1198" spans="1:6" hidden="1">
      <c r="A1198" s="230" t="s">
        <v>123</v>
      </c>
      <c r="B1198" s="149"/>
      <c r="C1198" s="149"/>
      <c r="D1198" s="149"/>
      <c r="E1198" s="34" t="s">
        <v>92</v>
      </c>
      <c r="F1198" s="149" t="s">
        <v>142</v>
      </c>
    </row>
    <row r="1199" spans="1:6" hidden="1">
      <c r="A1199" s="230" t="s">
        <v>124</v>
      </c>
      <c r="B1199" s="149"/>
      <c r="C1199" s="149"/>
      <c r="D1199" s="149"/>
      <c r="E1199" s="34" t="s">
        <v>92</v>
      </c>
      <c r="F1199" s="149" t="s">
        <v>142</v>
      </c>
    </row>
    <row r="1200" spans="1:6" hidden="1">
      <c r="A1200" s="230" t="s">
        <v>125</v>
      </c>
      <c r="B1200" s="149"/>
      <c r="C1200" s="149"/>
      <c r="D1200" s="149"/>
      <c r="E1200" s="34" t="s">
        <v>92</v>
      </c>
      <c r="F1200" s="149" t="s">
        <v>142</v>
      </c>
    </row>
    <row r="1201" spans="1:6" hidden="1">
      <c r="A1201" s="230" t="s">
        <v>126</v>
      </c>
      <c r="B1201" s="149"/>
      <c r="C1201" s="149"/>
      <c r="D1201" s="149"/>
      <c r="E1201" s="34" t="s">
        <v>92</v>
      </c>
      <c r="F1201" s="149" t="s">
        <v>142</v>
      </c>
    </row>
    <row r="1202" spans="1:6" hidden="1">
      <c r="A1202" s="230" t="s">
        <v>127</v>
      </c>
      <c r="B1202" s="149"/>
      <c r="C1202" s="149"/>
      <c r="D1202" s="149"/>
      <c r="E1202" s="34" t="s">
        <v>92</v>
      </c>
      <c r="F1202" s="149" t="s">
        <v>142</v>
      </c>
    </row>
    <row r="1203" spans="1:6" hidden="1">
      <c r="A1203" s="212" t="s">
        <v>116</v>
      </c>
      <c r="B1203" s="147"/>
      <c r="C1203" s="147"/>
      <c r="D1203" s="147"/>
      <c r="E1203" s="34" t="s">
        <v>93</v>
      </c>
      <c r="F1203" s="34" t="s">
        <v>197</v>
      </c>
    </row>
    <row r="1204" spans="1:6" hidden="1">
      <c r="A1204" s="212" t="s">
        <v>117</v>
      </c>
      <c r="B1204" s="147"/>
      <c r="C1204" s="147"/>
      <c r="D1204" s="147"/>
      <c r="E1204" s="34" t="s">
        <v>93</v>
      </c>
      <c r="F1204" s="34" t="s">
        <v>197</v>
      </c>
    </row>
    <row r="1205" spans="1:6" hidden="1">
      <c r="A1205" s="212" t="s">
        <v>118</v>
      </c>
      <c r="B1205" s="147"/>
      <c r="C1205" s="147"/>
      <c r="D1205" s="147"/>
      <c r="E1205" s="34" t="s">
        <v>93</v>
      </c>
      <c r="F1205" s="34" t="s">
        <v>197</v>
      </c>
    </row>
    <row r="1206" spans="1:6" hidden="1">
      <c r="A1206" s="212" t="s">
        <v>119</v>
      </c>
      <c r="B1206" s="147"/>
      <c r="C1206" s="147"/>
      <c r="D1206" s="147"/>
      <c r="E1206" s="34" t="s">
        <v>93</v>
      </c>
      <c r="F1206" s="34" t="s">
        <v>197</v>
      </c>
    </row>
    <row r="1207" spans="1:6" hidden="1">
      <c r="A1207" s="212" t="s">
        <v>120</v>
      </c>
      <c r="B1207" s="147"/>
      <c r="C1207" s="147"/>
      <c r="D1207" s="147"/>
      <c r="E1207" s="34" t="s">
        <v>93</v>
      </c>
      <c r="F1207" s="34" t="s">
        <v>197</v>
      </c>
    </row>
    <row r="1208" spans="1:6" hidden="1">
      <c r="A1208" s="212" t="s">
        <v>121</v>
      </c>
      <c r="B1208" s="147"/>
      <c r="C1208" s="147"/>
      <c r="D1208" s="147"/>
      <c r="E1208" s="34" t="s">
        <v>93</v>
      </c>
      <c r="F1208" s="34" t="s">
        <v>197</v>
      </c>
    </row>
    <row r="1209" spans="1:6" hidden="1">
      <c r="A1209" s="212" t="s">
        <v>122</v>
      </c>
      <c r="B1209" s="147"/>
      <c r="C1209" s="147"/>
      <c r="D1209" s="147"/>
      <c r="E1209" s="34" t="s">
        <v>93</v>
      </c>
      <c r="F1209" s="34" t="s">
        <v>197</v>
      </c>
    </row>
    <row r="1210" spans="1:6" hidden="1">
      <c r="A1210" s="212" t="s">
        <v>123</v>
      </c>
      <c r="B1210" s="147"/>
      <c r="C1210" s="147"/>
      <c r="D1210" s="147"/>
      <c r="E1210" s="34" t="s">
        <v>93</v>
      </c>
      <c r="F1210" s="34" t="s">
        <v>197</v>
      </c>
    </row>
    <row r="1211" spans="1:6" hidden="1">
      <c r="A1211" s="212" t="s">
        <v>124</v>
      </c>
      <c r="B1211" s="147"/>
      <c r="C1211" s="147"/>
      <c r="D1211" s="147"/>
      <c r="E1211" s="34" t="s">
        <v>93</v>
      </c>
      <c r="F1211" s="34" t="s">
        <v>197</v>
      </c>
    </row>
    <row r="1212" spans="1:6" hidden="1">
      <c r="A1212" s="212" t="s">
        <v>125</v>
      </c>
      <c r="B1212" s="147"/>
      <c r="C1212" s="147"/>
      <c r="D1212" s="147"/>
      <c r="E1212" s="34" t="s">
        <v>93</v>
      </c>
      <c r="F1212" s="34" t="s">
        <v>197</v>
      </c>
    </row>
    <row r="1213" spans="1:6" hidden="1">
      <c r="A1213" s="212" t="s">
        <v>126</v>
      </c>
      <c r="B1213" s="147"/>
      <c r="C1213" s="147"/>
      <c r="D1213" s="147"/>
      <c r="E1213" s="34" t="s">
        <v>93</v>
      </c>
      <c r="F1213" s="34" t="s">
        <v>197</v>
      </c>
    </row>
    <row r="1214" spans="1:6" hidden="1">
      <c r="A1214" s="212" t="s">
        <v>127</v>
      </c>
      <c r="B1214" s="147"/>
      <c r="C1214" s="147"/>
      <c r="D1214" s="147"/>
      <c r="E1214" s="34" t="s">
        <v>93</v>
      </c>
      <c r="F1214" s="34" t="s">
        <v>197</v>
      </c>
    </row>
    <row r="1215" spans="1:6" hidden="1">
      <c r="A1215" s="230" t="s">
        <v>116</v>
      </c>
      <c r="B1215" s="149"/>
      <c r="C1215" s="149"/>
      <c r="D1215" s="149"/>
      <c r="E1215" s="34" t="s">
        <v>93</v>
      </c>
      <c r="F1215" s="34" t="s">
        <v>199</v>
      </c>
    </row>
    <row r="1216" spans="1:6" hidden="1">
      <c r="A1216" s="230" t="s">
        <v>117</v>
      </c>
      <c r="B1216" s="149"/>
      <c r="C1216" s="149"/>
      <c r="D1216" s="149"/>
      <c r="E1216" s="34" t="s">
        <v>93</v>
      </c>
      <c r="F1216" s="34" t="s">
        <v>199</v>
      </c>
    </row>
    <row r="1217" spans="1:6" hidden="1">
      <c r="A1217" s="230" t="s">
        <v>118</v>
      </c>
      <c r="B1217" s="149"/>
      <c r="C1217" s="149"/>
      <c r="D1217" s="149"/>
      <c r="E1217" s="34" t="s">
        <v>93</v>
      </c>
      <c r="F1217" s="34" t="s">
        <v>199</v>
      </c>
    </row>
    <row r="1218" spans="1:6" hidden="1">
      <c r="A1218" s="230" t="s">
        <v>119</v>
      </c>
      <c r="B1218" s="149"/>
      <c r="C1218" s="149"/>
      <c r="D1218" s="149"/>
      <c r="E1218" s="34" t="s">
        <v>93</v>
      </c>
      <c r="F1218" s="34" t="s">
        <v>199</v>
      </c>
    </row>
    <row r="1219" spans="1:6" hidden="1">
      <c r="A1219" s="230" t="s">
        <v>120</v>
      </c>
      <c r="B1219" s="149"/>
      <c r="C1219" s="149"/>
      <c r="D1219" s="149"/>
      <c r="E1219" s="34" t="s">
        <v>93</v>
      </c>
      <c r="F1219" s="34" t="s">
        <v>199</v>
      </c>
    </row>
    <row r="1220" spans="1:6" hidden="1">
      <c r="A1220" s="230" t="s">
        <v>121</v>
      </c>
      <c r="B1220" s="149"/>
      <c r="C1220" s="149"/>
      <c r="D1220" s="149"/>
      <c r="E1220" s="34" t="s">
        <v>93</v>
      </c>
      <c r="F1220" s="34" t="s">
        <v>199</v>
      </c>
    </row>
    <row r="1221" spans="1:6" hidden="1">
      <c r="A1221" s="230" t="s">
        <v>122</v>
      </c>
      <c r="B1221" s="149"/>
      <c r="C1221" s="149"/>
      <c r="D1221" s="149"/>
      <c r="E1221" s="34" t="s">
        <v>93</v>
      </c>
      <c r="F1221" s="34" t="s">
        <v>199</v>
      </c>
    </row>
    <row r="1222" spans="1:6" hidden="1">
      <c r="A1222" s="230" t="s">
        <v>123</v>
      </c>
      <c r="B1222" s="149"/>
      <c r="C1222" s="149"/>
      <c r="D1222" s="149"/>
      <c r="E1222" s="34" t="s">
        <v>93</v>
      </c>
      <c r="F1222" s="34" t="s">
        <v>199</v>
      </c>
    </row>
    <row r="1223" spans="1:6" hidden="1">
      <c r="A1223" s="230" t="s">
        <v>124</v>
      </c>
      <c r="B1223" s="149"/>
      <c r="C1223" s="149"/>
      <c r="D1223" s="149"/>
      <c r="E1223" s="34" t="s">
        <v>93</v>
      </c>
      <c r="F1223" s="34" t="s">
        <v>199</v>
      </c>
    </row>
    <row r="1224" spans="1:6" hidden="1">
      <c r="A1224" s="230" t="s">
        <v>125</v>
      </c>
      <c r="B1224" s="149"/>
      <c r="C1224" s="149"/>
      <c r="D1224" s="149"/>
      <c r="E1224" s="34" t="s">
        <v>93</v>
      </c>
      <c r="F1224" s="34" t="s">
        <v>199</v>
      </c>
    </row>
    <row r="1225" spans="1:6" hidden="1">
      <c r="A1225" s="230" t="s">
        <v>126</v>
      </c>
      <c r="B1225" s="149"/>
      <c r="C1225" s="149"/>
      <c r="D1225" s="149"/>
      <c r="E1225" s="34" t="s">
        <v>93</v>
      </c>
      <c r="F1225" s="34" t="s">
        <v>199</v>
      </c>
    </row>
    <row r="1226" spans="1:6" hidden="1">
      <c r="A1226" s="230" t="s">
        <v>127</v>
      </c>
      <c r="B1226" s="149"/>
      <c r="C1226" s="149"/>
      <c r="D1226" s="149"/>
      <c r="E1226" s="34" t="s">
        <v>93</v>
      </c>
      <c r="F1226" s="34" t="s">
        <v>199</v>
      </c>
    </row>
    <row r="1227" spans="1:6" hidden="1">
      <c r="A1227" s="212" t="s">
        <v>116</v>
      </c>
      <c r="B1227" s="147"/>
      <c r="C1227" s="147"/>
      <c r="D1227" s="147"/>
      <c r="E1227" s="34" t="s">
        <v>93</v>
      </c>
      <c r="F1227" s="34" t="s">
        <v>222</v>
      </c>
    </row>
    <row r="1228" spans="1:6" hidden="1">
      <c r="A1228" s="212" t="s">
        <v>117</v>
      </c>
      <c r="B1228" s="147"/>
      <c r="C1228" s="147"/>
      <c r="D1228" s="147"/>
      <c r="E1228" s="34" t="s">
        <v>93</v>
      </c>
      <c r="F1228" s="34" t="s">
        <v>222</v>
      </c>
    </row>
    <row r="1229" spans="1:6" hidden="1">
      <c r="A1229" s="212" t="s">
        <v>118</v>
      </c>
      <c r="B1229" s="147"/>
      <c r="C1229" s="147"/>
      <c r="D1229" s="147"/>
      <c r="E1229" s="34" t="s">
        <v>93</v>
      </c>
      <c r="F1229" s="34" t="s">
        <v>222</v>
      </c>
    </row>
    <row r="1230" spans="1:6" hidden="1">
      <c r="A1230" s="212" t="s">
        <v>119</v>
      </c>
      <c r="B1230" s="147"/>
      <c r="C1230" s="147"/>
      <c r="D1230" s="147"/>
      <c r="E1230" s="34" t="s">
        <v>93</v>
      </c>
      <c r="F1230" s="34" t="s">
        <v>222</v>
      </c>
    </row>
    <row r="1231" spans="1:6" hidden="1">
      <c r="A1231" s="212" t="s">
        <v>120</v>
      </c>
      <c r="B1231" s="147"/>
      <c r="C1231" s="147"/>
      <c r="D1231" s="147"/>
      <c r="E1231" s="34" t="s">
        <v>93</v>
      </c>
      <c r="F1231" s="34" t="s">
        <v>222</v>
      </c>
    </row>
    <row r="1232" spans="1:6" hidden="1">
      <c r="A1232" s="212" t="s">
        <v>121</v>
      </c>
      <c r="B1232" s="147"/>
      <c r="C1232" s="147"/>
      <c r="D1232" s="147"/>
      <c r="E1232" s="34" t="s">
        <v>93</v>
      </c>
      <c r="F1232" s="34" t="s">
        <v>222</v>
      </c>
    </row>
    <row r="1233" spans="1:6" hidden="1">
      <c r="A1233" s="212" t="s">
        <v>122</v>
      </c>
      <c r="B1233" s="147"/>
      <c r="C1233" s="147"/>
      <c r="D1233" s="147"/>
      <c r="E1233" s="34" t="s">
        <v>93</v>
      </c>
      <c r="F1233" s="34" t="s">
        <v>222</v>
      </c>
    </row>
    <row r="1234" spans="1:6" hidden="1">
      <c r="A1234" s="212" t="s">
        <v>123</v>
      </c>
      <c r="B1234" s="147"/>
      <c r="C1234" s="147"/>
      <c r="D1234" s="147"/>
      <c r="E1234" s="34" t="s">
        <v>93</v>
      </c>
      <c r="F1234" s="34" t="s">
        <v>222</v>
      </c>
    </row>
    <row r="1235" spans="1:6" hidden="1">
      <c r="A1235" s="212" t="s">
        <v>124</v>
      </c>
      <c r="B1235" s="147"/>
      <c r="C1235" s="147"/>
      <c r="D1235" s="147"/>
      <c r="E1235" s="34" t="s">
        <v>93</v>
      </c>
      <c r="F1235" s="34" t="s">
        <v>222</v>
      </c>
    </row>
    <row r="1236" spans="1:6" hidden="1">
      <c r="A1236" s="212" t="s">
        <v>125</v>
      </c>
      <c r="B1236" s="147"/>
      <c r="C1236" s="147"/>
      <c r="D1236" s="147"/>
      <c r="E1236" s="34" t="s">
        <v>93</v>
      </c>
      <c r="F1236" s="34" t="s">
        <v>222</v>
      </c>
    </row>
    <row r="1237" spans="1:6" hidden="1">
      <c r="A1237" s="212" t="s">
        <v>126</v>
      </c>
      <c r="B1237" s="147"/>
      <c r="C1237" s="147"/>
      <c r="D1237" s="147"/>
      <c r="E1237" s="34" t="s">
        <v>93</v>
      </c>
      <c r="F1237" s="34" t="s">
        <v>222</v>
      </c>
    </row>
    <row r="1238" spans="1:6" hidden="1">
      <c r="A1238" s="212" t="s">
        <v>127</v>
      </c>
      <c r="B1238" s="147"/>
      <c r="C1238" s="147"/>
      <c r="D1238" s="147"/>
      <c r="E1238" s="34" t="s">
        <v>93</v>
      </c>
      <c r="F1238" s="34" t="s">
        <v>222</v>
      </c>
    </row>
    <row r="1239" spans="1:6" hidden="1">
      <c r="A1239" s="230" t="s">
        <v>116</v>
      </c>
      <c r="B1239" s="149"/>
      <c r="C1239" s="149"/>
      <c r="D1239" s="149"/>
      <c r="E1239" s="34" t="s">
        <v>93</v>
      </c>
      <c r="F1239" s="34" t="s">
        <v>198</v>
      </c>
    </row>
    <row r="1240" spans="1:6" hidden="1">
      <c r="A1240" s="230" t="s">
        <v>117</v>
      </c>
      <c r="B1240" s="149"/>
      <c r="C1240" s="149"/>
      <c r="D1240" s="149"/>
      <c r="E1240" s="34" t="s">
        <v>93</v>
      </c>
      <c r="F1240" s="34" t="s">
        <v>198</v>
      </c>
    </row>
    <row r="1241" spans="1:6" hidden="1">
      <c r="A1241" s="230" t="s">
        <v>118</v>
      </c>
      <c r="B1241" s="149"/>
      <c r="C1241" s="149"/>
      <c r="D1241" s="149"/>
      <c r="E1241" s="34" t="s">
        <v>93</v>
      </c>
      <c r="F1241" s="34" t="s">
        <v>198</v>
      </c>
    </row>
    <row r="1242" spans="1:6" hidden="1">
      <c r="A1242" s="230" t="s">
        <v>119</v>
      </c>
      <c r="B1242" s="149"/>
      <c r="C1242" s="149"/>
      <c r="D1242" s="149"/>
      <c r="E1242" s="34" t="s">
        <v>93</v>
      </c>
      <c r="F1242" s="34" t="s">
        <v>198</v>
      </c>
    </row>
    <row r="1243" spans="1:6" hidden="1">
      <c r="A1243" s="230" t="s">
        <v>120</v>
      </c>
      <c r="B1243" s="149"/>
      <c r="C1243" s="149"/>
      <c r="D1243" s="149"/>
      <c r="E1243" s="34" t="s">
        <v>93</v>
      </c>
      <c r="F1243" s="34" t="s">
        <v>198</v>
      </c>
    </row>
    <row r="1244" spans="1:6" hidden="1">
      <c r="A1244" s="230" t="s">
        <v>121</v>
      </c>
      <c r="B1244" s="149"/>
      <c r="C1244" s="149"/>
      <c r="D1244" s="149"/>
      <c r="E1244" s="34" t="s">
        <v>93</v>
      </c>
      <c r="F1244" s="34" t="s">
        <v>198</v>
      </c>
    </row>
    <row r="1245" spans="1:6" hidden="1">
      <c r="A1245" s="230" t="s">
        <v>122</v>
      </c>
      <c r="B1245" s="149"/>
      <c r="C1245" s="149"/>
      <c r="D1245" s="149"/>
      <c r="E1245" s="34" t="s">
        <v>93</v>
      </c>
      <c r="F1245" s="34" t="s">
        <v>198</v>
      </c>
    </row>
    <row r="1246" spans="1:6" hidden="1">
      <c r="A1246" s="230" t="s">
        <v>123</v>
      </c>
      <c r="B1246" s="149"/>
      <c r="C1246" s="149"/>
      <c r="D1246" s="149"/>
      <c r="E1246" s="34" t="s">
        <v>93</v>
      </c>
      <c r="F1246" s="34" t="s">
        <v>198</v>
      </c>
    </row>
    <row r="1247" spans="1:6" hidden="1">
      <c r="A1247" s="230" t="s">
        <v>124</v>
      </c>
      <c r="B1247" s="149"/>
      <c r="C1247" s="149"/>
      <c r="D1247" s="149"/>
      <c r="E1247" s="34" t="s">
        <v>93</v>
      </c>
      <c r="F1247" s="34" t="s">
        <v>198</v>
      </c>
    </row>
    <row r="1248" spans="1:6" hidden="1">
      <c r="A1248" s="230" t="s">
        <v>125</v>
      </c>
      <c r="B1248" s="149"/>
      <c r="C1248" s="149"/>
      <c r="D1248" s="149"/>
      <c r="E1248" s="34" t="s">
        <v>93</v>
      </c>
      <c r="F1248" s="34" t="s">
        <v>198</v>
      </c>
    </row>
    <row r="1249" spans="1:6" hidden="1">
      <c r="A1249" s="230" t="s">
        <v>126</v>
      </c>
      <c r="B1249" s="149"/>
      <c r="C1249" s="149"/>
      <c r="D1249" s="149"/>
      <c r="E1249" s="34" t="s">
        <v>93</v>
      </c>
      <c r="F1249" s="34" t="s">
        <v>198</v>
      </c>
    </row>
    <row r="1250" spans="1:6" hidden="1">
      <c r="A1250" s="230" t="s">
        <v>127</v>
      </c>
      <c r="B1250" s="149"/>
      <c r="C1250" s="149"/>
      <c r="D1250" s="149"/>
      <c r="E1250" s="34" t="s">
        <v>93</v>
      </c>
      <c r="F1250" s="34" t="s">
        <v>198</v>
      </c>
    </row>
    <row r="1251" spans="1:6" hidden="1">
      <c r="A1251" s="212" t="s">
        <v>116</v>
      </c>
      <c r="B1251" s="147"/>
      <c r="C1251" s="147"/>
      <c r="D1251" s="147"/>
      <c r="E1251" s="34" t="s">
        <v>93</v>
      </c>
      <c r="F1251" s="34" t="s">
        <v>28</v>
      </c>
    </row>
    <row r="1252" spans="1:6" hidden="1">
      <c r="A1252" s="212" t="s">
        <v>117</v>
      </c>
      <c r="B1252" s="147"/>
      <c r="C1252" s="147"/>
      <c r="D1252" s="147"/>
      <c r="E1252" s="34" t="s">
        <v>93</v>
      </c>
      <c r="F1252" s="34" t="s">
        <v>28</v>
      </c>
    </row>
    <row r="1253" spans="1:6" hidden="1">
      <c r="A1253" s="212" t="s">
        <v>118</v>
      </c>
      <c r="B1253" s="147"/>
      <c r="C1253" s="147"/>
      <c r="D1253" s="147"/>
      <c r="E1253" s="34" t="s">
        <v>93</v>
      </c>
      <c r="F1253" s="34" t="s">
        <v>28</v>
      </c>
    </row>
    <row r="1254" spans="1:6" hidden="1">
      <c r="A1254" s="212" t="s">
        <v>119</v>
      </c>
      <c r="B1254" s="147"/>
      <c r="C1254" s="147"/>
      <c r="D1254" s="147"/>
      <c r="E1254" s="34" t="s">
        <v>93</v>
      </c>
      <c r="F1254" s="34" t="s">
        <v>28</v>
      </c>
    </row>
    <row r="1255" spans="1:6" hidden="1">
      <c r="A1255" s="212" t="s">
        <v>120</v>
      </c>
      <c r="B1255" s="147"/>
      <c r="C1255" s="147"/>
      <c r="D1255" s="147"/>
      <c r="E1255" s="34" t="s">
        <v>93</v>
      </c>
      <c r="F1255" s="34" t="s">
        <v>28</v>
      </c>
    </row>
    <row r="1256" spans="1:6" hidden="1">
      <c r="A1256" s="212" t="s">
        <v>121</v>
      </c>
      <c r="B1256" s="147"/>
      <c r="C1256" s="147"/>
      <c r="D1256" s="147"/>
      <c r="E1256" s="34" t="s">
        <v>93</v>
      </c>
      <c r="F1256" s="34" t="s">
        <v>28</v>
      </c>
    </row>
    <row r="1257" spans="1:6" hidden="1">
      <c r="A1257" s="212" t="s">
        <v>122</v>
      </c>
      <c r="B1257" s="147"/>
      <c r="C1257" s="147"/>
      <c r="D1257" s="147"/>
      <c r="E1257" s="34" t="s">
        <v>93</v>
      </c>
      <c r="F1257" s="34" t="s">
        <v>28</v>
      </c>
    </row>
    <row r="1258" spans="1:6" hidden="1">
      <c r="A1258" s="212" t="s">
        <v>123</v>
      </c>
      <c r="B1258" s="147"/>
      <c r="C1258" s="147"/>
      <c r="D1258" s="147"/>
      <c r="E1258" s="34" t="s">
        <v>93</v>
      </c>
      <c r="F1258" s="34" t="s">
        <v>28</v>
      </c>
    </row>
    <row r="1259" spans="1:6" hidden="1">
      <c r="A1259" s="212" t="s">
        <v>124</v>
      </c>
      <c r="B1259" s="147"/>
      <c r="C1259" s="147"/>
      <c r="D1259" s="147"/>
      <c r="E1259" s="34" t="s">
        <v>93</v>
      </c>
      <c r="F1259" s="34" t="s">
        <v>28</v>
      </c>
    </row>
    <row r="1260" spans="1:6" hidden="1">
      <c r="A1260" s="212" t="s">
        <v>125</v>
      </c>
      <c r="B1260" s="147"/>
      <c r="C1260" s="147"/>
      <c r="D1260" s="147"/>
      <c r="E1260" s="34" t="s">
        <v>93</v>
      </c>
      <c r="F1260" s="34" t="s">
        <v>28</v>
      </c>
    </row>
    <row r="1261" spans="1:6" hidden="1">
      <c r="A1261" s="212" t="s">
        <v>126</v>
      </c>
      <c r="B1261" s="147"/>
      <c r="C1261" s="147"/>
      <c r="D1261" s="147"/>
      <c r="E1261" s="34" t="s">
        <v>93</v>
      </c>
      <c r="F1261" s="34" t="s">
        <v>28</v>
      </c>
    </row>
    <row r="1262" spans="1:6" hidden="1">
      <c r="A1262" s="212" t="s">
        <v>127</v>
      </c>
      <c r="B1262" s="147"/>
      <c r="C1262" s="147"/>
      <c r="D1262" s="147"/>
      <c r="E1262" s="34" t="s">
        <v>93</v>
      </c>
      <c r="F1262" s="34" t="s">
        <v>28</v>
      </c>
    </row>
    <row r="1263" spans="1:6" hidden="1">
      <c r="A1263" s="230" t="s">
        <v>116</v>
      </c>
      <c r="B1263" s="149"/>
      <c r="C1263" s="149"/>
      <c r="D1263" s="149"/>
      <c r="E1263" s="34" t="s">
        <v>93</v>
      </c>
      <c r="F1263" s="149" t="s">
        <v>142</v>
      </c>
    </row>
    <row r="1264" spans="1:6" hidden="1">
      <c r="A1264" s="230" t="s">
        <v>117</v>
      </c>
      <c r="B1264" s="149"/>
      <c r="C1264" s="149"/>
      <c r="D1264" s="149"/>
      <c r="E1264" s="34" t="s">
        <v>93</v>
      </c>
      <c r="F1264" s="149" t="s">
        <v>142</v>
      </c>
    </row>
    <row r="1265" spans="1:6" hidden="1">
      <c r="A1265" s="230" t="s">
        <v>118</v>
      </c>
      <c r="B1265" s="149"/>
      <c r="C1265" s="149"/>
      <c r="D1265" s="149"/>
      <c r="E1265" s="34" t="s">
        <v>93</v>
      </c>
      <c r="F1265" s="149" t="s">
        <v>142</v>
      </c>
    </row>
    <row r="1266" spans="1:6" hidden="1">
      <c r="A1266" s="230" t="s">
        <v>119</v>
      </c>
      <c r="B1266" s="149"/>
      <c r="C1266" s="149"/>
      <c r="D1266" s="149"/>
      <c r="E1266" s="34" t="s">
        <v>93</v>
      </c>
      <c r="F1266" s="149" t="s">
        <v>142</v>
      </c>
    </row>
    <row r="1267" spans="1:6" hidden="1">
      <c r="A1267" s="230" t="s">
        <v>120</v>
      </c>
      <c r="B1267" s="149"/>
      <c r="C1267" s="149"/>
      <c r="D1267" s="149"/>
      <c r="E1267" s="34" t="s">
        <v>93</v>
      </c>
      <c r="F1267" s="149" t="s">
        <v>142</v>
      </c>
    </row>
    <row r="1268" spans="1:6" hidden="1">
      <c r="A1268" s="230" t="s">
        <v>121</v>
      </c>
      <c r="B1268" s="149"/>
      <c r="C1268" s="149"/>
      <c r="D1268" s="149"/>
      <c r="E1268" s="34" t="s">
        <v>93</v>
      </c>
      <c r="F1268" s="149" t="s">
        <v>142</v>
      </c>
    </row>
    <row r="1269" spans="1:6" hidden="1">
      <c r="A1269" s="230" t="s">
        <v>122</v>
      </c>
      <c r="B1269" s="149"/>
      <c r="C1269" s="149"/>
      <c r="D1269" s="149"/>
      <c r="E1269" s="34" t="s">
        <v>93</v>
      </c>
      <c r="F1269" s="149" t="s">
        <v>142</v>
      </c>
    </row>
    <row r="1270" spans="1:6" hidden="1">
      <c r="A1270" s="230" t="s">
        <v>123</v>
      </c>
      <c r="B1270" s="149"/>
      <c r="C1270" s="149"/>
      <c r="D1270" s="149"/>
      <c r="E1270" s="34" t="s">
        <v>93</v>
      </c>
      <c r="F1270" s="149" t="s">
        <v>142</v>
      </c>
    </row>
    <row r="1271" spans="1:6" hidden="1">
      <c r="A1271" s="230" t="s">
        <v>124</v>
      </c>
      <c r="B1271" s="149"/>
      <c r="C1271" s="149"/>
      <c r="D1271" s="149"/>
      <c r="E1271" s="34" t="s">
        <v>93</v>
      </c>
      <c r="F1271" s="149" t="s">
        <v>142</v>
      </c>
    </row>
    <row r="1272" spans="1:6" hidden="1">
      <c r="A1272" s="230" t="s">
        <v>125</v>
      </c>
      <c r="B1272" s="149"/>
      <c r="C1272" s="149"/>
      <c r="D1272" s="149"/>
      <c r="E1272" s="34" t="s">
        <v>93</v>
      </c>
      <c r="F1272" s="149" t="s">
        <v>142</v>
      </c>
    </row>
    <row r="1273" spans="1:6" hidden="1">
      <c r="A1273" s="230" t="s">
        <v>126</v>
      </c>
      <c r="B1273" s="149"/>
      <c r="C1273" s="149"/>
      <c r="D1273" s="149"/>
      <c r="E1273" s="34" t="s">
        <v>93</v>
      </c>
      <c r="F1273" s="149" t="s">
        <v>142</v>
      </c>
    </row>
    <row r="1274" spans="1:6" hidden="1">
      <c r="A1274" s="230" t="s">
        <v>127</v>
      </c>
      <c r="B1274" s="149"/>
      <c r="C1274" s="149"/>
      <c r="D1274" s="149"/>
      <c r="E1274" s="34" t="s">
        <v>93</v>
      </c>
      <c r="F1274" s="149" t="s">
        <v>142</v>
      </c>
    </row>
    <row r="1275" spans="1:6" hidden="1">
      <c r="A1275" s="212" t="s">
        <v>116</v>
      </c>
      <c r="B1275" s="147"/>
      <c r="C1275" s="147"/>
      <c r="D1275" s="147"/>
      <c r="E1275" s="34" t="s">
        <v>94</v>
      </c>
      <c r="F1275" s="34" t="s">
        <v>197</v>
      </c>
    </row>
    <row r="1276" spans="1:6" hidden="1">
      <c r="A1276" s="212" t="s">
        <v>117</v>
      </c>
      <c r="B1276" s="147"/>
      <c r="C1276" s="147"/>
      <c r="D1276" s="147"/>
      <c r="E1276" s="34" t="s">
        <v>94</v>
      </c>
      <c r="F1276" s="34" t="s">
        <v>197</v>
      </c>
    </row>
    <row r="1277" spans="1:6" hidden="1">
      <c r="A1277" s="212" t="s">
        <v>118</v>
      </c>
      <c r="B1277" s="147"/>
      <c r="C1277" s="147"/>
      <c r="D1277" s="147"/>
      <c r="E1277" s="34" t="s">
        <v>94</v>
      </c>
      <c r="F1277" s="34" t="s">
        <v>197</v>
      </c>
    </row>
    <row r="1278" spans="1:6" hidden="1">
      <c r="A1278" s="212" t="s">
        <v>119</v>
      </c>
      <c r="B1278" s="147"/>
      <c r="C1278" s="147"/>
      <c r="D1278" s="147"/>
      <c r="E1278" s="34" t="s">
        <v>94</v>
      </c>
      <c r="F1278" s="34" t="s">
        <v>197</v>
      </c>
    </row>
    <row r="1279" spans="1:6" hidden="1">
      <c r="A1279" s="212" t="s">
        <v>120</v>
      </c>
      <c r="B1279" s="147"/>
      <c r="C1279" s="147"/>
      <c r="D1279" s="147"/>
      <c r="E1279" s="34" t="s">
        <v>94</v>
      </c>
      <c r="F1279" s="34" t="s">
        <v>197</v>
      </c>
    </row>
    <row r="1280" spans="1:6" hidden="1">
      <c r="A1280" s="212" t="s">
        <v>121</v>
      </c>
      <c r="B1280" s="147"/>
      <c r="C1280" s="147"/>
      <c r="D1280" s="147"/>
      <c r="E1280" s="34" t="s">
        <v>94</v>
      </c>
      <c r="F1280" s="34" t="s">
        <v>197</v>
      </c>
    </row>
    <row r="1281" spans="1:6" hidden="1">
      <c r="A1281" s="212" t="s">
        <v>122</v>
      </c>
      <c r="B1281" s="147"/>
      <c r="C1281" s="147"/>
      <c r="D1281" s="147"/>
      <c r="E1281" s="34" t="s">
        <v>94</v>
      </c>
      <c r="F1281" s="34" t="s">
        <v>197</v>
      </c>
    </row>
    <row r="1282" spans="1:6" hidden="1">
      <c r="A1282" s="212" t="s">
        <v>123</v>
      </c>
      <c r="B1282" s="147"/>
      <c r="C1282" s="147"/>
      <c r="D1282" s="147"/>
      <c r="E1282" s="34" t="s">
        <v>94</v>
      </c>
      <c r="F1282" s="34" t="s">
        <v>197</v>
      </c>
    </row>
    <row r="1283" spans="1:6" hidden="1">
      <c r="A1283" s="212" t="s">
        <v>124</v>
      </c>
      <c r="B1283" s="147"/>
      <c r="C1283" s="147"/>
      <c r="D1283" s="147"/>
      <c r="E1283" s="34" t="s">
        <v>94</v>
      </c>
      <c r="F1283" s="34" t="s">
        <v>197</v>
      </c>
    </row>
    <row r="1284" spans="1:6" hidden="1">
      <c r="A1284" s="212" t="s">
        <v>125</v>
      </c>
      <c r="B1284" s="147"/>
      <c r="C1284" s="147"/>
      <c r="D1284" s="147"/>
      <c r="E1284" s="34" t="s">
        <v>94</v>
      </c>
      <c r="F1284" s="34" t="s">
        <v>197</v>
      </c>
    </row>
    <row r="1285" spans="1:6" hidden="1">
      <c r="A1285" s="212" t="s">
        <v>126</v>
      </c>
      <c r="B1285" s="147"/>
      <c r="C1285" s="147"/>
      <c r="D1285" s="147"/>
      <c r="E1285" s="34" t="s">
        <v>94</v>
      </c>
      <c r="F1285" s="34" t="s">
        <v>197</v>
      </c>
    </row>
    <row r="1286" spans="1:6" hidden="1">
      <c r="A1286" s="212" t="s">
        <v>127</v>
      </c>
      <c r="B1286" s="147"/>
      <c r="C1286" s="147"/>
      <c r="D1286" s="147"/>
      <c r="E1286" s="34" t="s">
        <v>94</v>
      </c>
      <c r="F1286" s="34" t="s">
        <v>197</v>
      </c>
    </row>
    <row r="1287" spans="1:6" hidden="1">
      <c r="A1287" s="230" t="s">
        <v>116</v>
      </c>
      <c r="B1287" s="149"/>
      <c r="C1287" s="149"/>
      <c r="D1287" s="149"/>
      <c r="E1287" s="34" t="s">
        <v>94</v>
      </c>
      <c r="F1287" s="34" t="s">
        <v>199</v>
      </c>
    </row>
    <row r="1288" spans="1:6" hidden="1">
      <c r="A1288" s="230" t="s">
        <v>117</v>
      </c>
      <c r="B1288" s="149"/>
      <c r="C1288" s="149"/>
      <c r="D1288" s="149"/>
      <c r="E1288" s="34" t="s">
        <v>94</v>
      </c>
      <c r="F1288" s="34" t="s">
        <v>199</v>
      </c>
    </row>
    <row r="1289" spans="1:6" hidden="1">
      <c r="A1289" s="230" t="s">
        <v>118</v>
      </c>
      <c r="B1289" s="149"/>
      <c r="C1289" s="149"/>
      <c r="D1289" s="149"/>
      <c r="E1289" s="34" t="s">
        <v>94</v>
      </c>
      <c r="F1289" s="34" t="s">
        <v>199</v>
      </c>
    </row>
    <row r="1290" spans="1:6" hidden="1">
      <c r="A1290" s="230" t="s">
        <v>119</v>
      </c>
      <c r="B1290" s="149"/>
      <c r="C1290" s="149"/>
      <c r="D1290" s="149"/>
      <c r="E1290" s="34" t="s">
        <v>94</v>
      </c>
      <c r="F1290" s="34" t="s">
        <v>199</v>
      </c>
    </row>
    <row r="1291" spans="1:6" hidden="1">
      <c r="A1291" s="230" t="s">
        <v>120</v>
      </c>
      <c r="B1291" s="149"/>
      <c r="C1291" s="149"/>
      <c r="D1291" s="149"/>
      <c r="E1291" s="34" t="s">
        <v>94</v>
      </c>
      <c r="F1291" s="34" t="s">
        <v>199</v>
      </c>
    </row>
    <row r="1292" spans="1:6" hidden="1">
      <c r="A1292" s="230" t="s">
        <v>121</v>
      </c>
      <c r="B1292" s="149"/>
      <c r="C1292" s="149"/>
      <c r="D1292" s="149"/>
      <c r="E1292" s="34" t="s">
        <v>94</v>
      </c>
      <c r="F1292" s="34" t="s">
        <v>199</v>
      </c>
    </row>
    <row r="1293" spans="1:6" hidden="1">
      <c r="A1293" s="230" t="s">
        <v>122</v>
      </c>
      <c r="B1293" s="149"/>
      <c r="C1293" s="149"/>
      <c r="D1293" s="149"/>
      <c r="E1293" s="34" t="s">
        <v>94</v>
      </c>
      <c r="F1293" s="34" t="s">
        <v>199</v>
      </c>
    </row>
    <row r="1294" spans="1:6" hidden="1">
      <c r="A1294" s="230" t="s">
        <v>123</v>
      </c>
      <c r="B1294" s="149"/>
      <c r="C1294" s="149"/>
      <c r="D1294" s="149"/>
      <c r="E1294" s="34" t="s">
        <v>94</v>
      </c>
      <c r="F1294" s="34" t="s">
        <v>199</v>
      </c>
    </row>
    <row r="1295" spans="1:6" hidden="1">
      <c r="A1295" s="230" t="s">
        <v>124</v>
      </c>
      <c r="B1295" s="149"/>
      <c r="C1295" s="149"/>
      <c r="D1295" s="149"/>
      <c r="E1295" s="34" t="s">
        <v>94</v>
      </c>
      <c r="F1295" s="34" t="s">
        <v>199</v>
      </c>
    </row>
    <row r="1296" spans="1:6" hidden="1">
      <c r="A1296" s="230" t="s">
        <v>125</v>
      </c>
      <c r="B1296" s="149"/>
      <c r="C1296" s="149"/>
      <c r="D1296" s="149"/>
      <c r="E1296" s="34" t="s">
        <v>94</v>
      </c>
      <c r="F1296" s="34" t="s">
        <v>199</v>
      </c>
    </row>
    <row r="1297" spans="1:6" hidden="1">
      <c r="A1297" s="230" t="s">
        <v>126</v>
      </c>
      <c r="B1297" s="149"/>
      <c r="C1297" s="149"/>
      <c r="D1297" s="149"/>
      <c r="E1297" s="34" t="s">
        <v>94</v>
      </c>
      <c r="F1297" s="34" t="s">
        <v>199</v>
      </c>
    </row>
    <row r="1298" spans="1:6" hidden="1">
      <c r="A1298" s="230" t="s">
        <v>127</v>
      </c>
      <c r="B1298" s="149"/>
      <c r="C1298" s="149"/>
      <c r="D1298" s="149"/>
      <c r="E1298" s="34" t="s">
        <v>94</v>
      </c>
      <c r="F1298" s="34" t="s">
        <v>199</v>
      </c>
    </row>
    <row r="1299" spans="1:6" hidden="1">
      <c r="A1299" s="212" t="s">
        <v>116</v>
      </c>
      <c r="B1299" s="147"/>
      <c r="C1299" s="147"/>
      <c r="D1299" s="147"/>
      <c r="E1299" s="34" t="s">
        <v>94</v>
      </c>
      <c r="F1299" s="34" t="s">
        <v>222</v>
      </c>
    </row>
    <row r="1300" spans="1:6" hidden="1">
      <c r="A1300" s="212" t="s">
        <v>117</v>
      </c>
      <c r="B1300" s="147"/>
      <c r="C1300" s="147"/>
      <c r="D1300" s="147"/>
      <c r="E1300" s="34" t="s">
        <v>94</v>
      </c>
      <c r="F1300" s="34" t="s">
        <v>222</v>
      </c>
    </row>
    <row r="1301" spans="1:6" hidden="1">
      <c r="A1301" s="212" t="s">
        <v>118</v>
      </c>
      <c r="B1301" s="147"/>
      <c r="C1301" s="147"/>
      <c r="D1301" s="147"/>
      <c r="E1301" s="34" t="s">
        <v>94</v>
      </c>
      <c r="F1301" s="34" t="s">
        <v>222</v>
      </c>
    </row>
    <row r="1302" spans="1:6" hidden="1">
      <c r="A1302" s="212" t="s">
        <v>119</v>
      </c>
      <c r="B1302" s="147"/>
      <c r="C1302" s="147"/>
      <c r="D1302" s="147"/>
      <c r="E1302" s="34" t="s">
        <v>94</v>
      </c>
      <c r="F1302" s="34" t="s">
        <v>222</v>
      </c>
    </row>
    <row r="1303" spans="1:6" hidden="1">
      <c r="A1303" s="212" t="s">
        <v>120</v>
      </c>
      <c r="B1303" s="147"/>
      <c r="C1303" s="147"/>
      <c r="D1303" s="147"/>
      <c r="E1303" s="34" t="s">
        <v>94</v>
      </c>
      <c r="F1303" s="34" t="s">
        <v>222</v>
      </c>
    </row>
    <row r="1304" spans="1:6" hidden="1">
      <c r="A1304" s="212" t="s">
        <v>121</v>
      </c>
      <c r="B1304" s="147"/>
      <c r="C1304" s="147"/>
      <c r="D1304" s="147"/>
      <c r="E1304" s="34" t="s">
        <v>94</v>
      </c>
      <c r="F1304" s="34" t="s">
        <v>222</v>
      </c>
    </row>
    <row r="1305" spans="1:6" hidden="1">
      <c r="A1305" s="212" t="s">
        <v>122</v>
      </c>
      <c r="B1305" s="147"/>
      <c r="C1305" s="147"/>
      <c r="D1305" s="147"/>
      <c r="E1305" s="34" t="s">
        <v>94</v>
      </c>
      <c r="F1305" s="34" t="s">
        <v>222</v>
      </c>
    </row>
    <row r="1306" spans="1:6" hidden="1">
      <c r="A1306" s="212" t="s">
        <v>123</v>
      </c>
      <c r="B1306" s="147"/>
      <c r="C1306" s="147"/>
      <c r="D1306" s="147"/>
      <c r="E1306" s="34" t="s">
        <v>94</v>
      </c>
      <c r="F1306" s="34" t="s">
        <v>222</v>
      </c>
    </row>
    <row r="1307" spans="1:6" hidden="1">
      <c r="A1307" s="212" t="s">
        <v>124</v>
      </c>
      <c r="B1307" s="147"/>
      <c r="C1307" s="147"/>
      <c r="D1307" s="147"/>
      <c r="E1307" s="34" t="s">
        <v>94</v>
      </c>
      <c r="F1307" s="34" t="s">
        <v>222</v>
      </c>
    </row>
    <row r="1308" spans="1:6" hidden="1">
      <c r="A1308" s="212" t="s">
        <v>125</v>
      </c>
      <c r="B1308" s="147"/>
      <c r="C1308" s="147"/>
      <c r="D1308" s="147"/>
      <c r="E1308" s="34" t="s">
        <v>94</v>
      </c>
      <c r="F1308" s="34" t="s">
        <v>222</v>
      </c>
    </row>
    <row r="1309" spans="1:6" hidden="1">
      <c r="A1309" s="212" t="s">
        <v>126</v>
      </c>
      <c r="B1309" s="147"/>
      <c r="C1309" s="147"/>
      <c r="D1309" s="147"/>
      <c r="E1309" s="34" t="s">
        <v>94</v>
      </c>
      <c r="F1309" s="34" t="s">
        <v>222</v>
      </c>
    </row>
    <row r="1310" spans="1:6" hidden="1">
      <c r="A1310" s="212" t="s">
        <v>127</v>
      </c>
      <c r="B1310" s="147"/>
      <c r="C1310" s="147"/>
      <c r="D1310" s="147"/>
      <c r="E1310" s="34" t="s">
        <v>94</v>
      </c>
      <c r="F1310" s="34" t="s">
        <v>222</v>
      </c>
    </row>
    <row r="1311" spans="1:6" hidden="1">
      <c r="A1311" s="230" t="s">
        <v>116</v>
      </c>
      <c r="B1311" s="149"/>
      <c r="C1311" s="149"/>
      <c r="D1311" s="149"/>
      <c r="E1311" s="34" t="s">
        <v>94</v>
      </c>
      <c r="F1311" s="34" t="s">
        <v>198</v>
      </c>
    </row>
    <row r="1312" spans="1:6" hidden="1">
      <c r="A1312" s="230" t="s">
        <v>117</v>
      </c>
      <c r="B1312" s="149"/>
      <c r="C1312" s="149"/>
      <c r="D1312" s="149"/>
      <c r="E1312" s="34" t="s">
        <v>94</v>
      </c>
      <c r="F1312" s="34" t="s">
        <v>198</v>
      </c>
    </row>
    <row r="1313" spans="1:6" hidden="1">
      <c r="A1313" s="230" t="s">
        <v>118</v>
      </c>
      <c r="B1313" s="149"/>
      <c r="C1313" s="149"/>
      <c r="D1313" s="149"/>
      <c r="E1313" s="34" t="s">
        <v>94</v>
      </c>
      <c r="F1313" s="34" t="s">
        <v>198</v>
      </c>
    </row>
    <row r="1314" spans="1:6" hidden="1">
      <c r="A1314" s="230" t="s">
        <v>119</v>
      </c>
      <c r="B1314" s="149"/>
      <c r="C1314" s="149"/>
      <c r="D1314" s="149"/>
      <c r="E1314" s="34" t="s">
        <v>94</v>
      </c>
      <c r="F1314" s="34" t="s">
        <v>198</v>
      </c>
    </row>
    <row r="1315" spans="1:6" hidden="1">
      <c r="A1315" s="230" t="s">
        <v>120</v>
      </c>
      <c r="B1315" s="149"/>
      <c r="C1315" s="149"/>
      <c r="D1315" s="149"/>
      <c r="E1315" s="34" t="s">
        <v>94</v>
      </c>
      <c r="F1315" s="34" t="s">
        <v>198</v>
      </c>
    </row>
    <row r="1316" spans="1:6" hidden="1">
      <c r="A1316" s="230" t="s">
        <v>121</v>
      </c>
      <c r="B1316" s="149"/>
      <c r="C1316" s="149"/>
      <c r="D1316" s="149"/>
      <c r="E1316" s="34" t="s">
        <v>94</v>
      </c>
      <c r="F1316" s="34" t="s">
        <v>198</v>
      </c>
    </row>
    <row r="1317" spans="1:6" hidden="1">
      <c r="A1317" s="230" t="s">
        <v>122</v>
      </c>
      <c r="B1317" s="149"/>
      <c r="C1317" s="149"/>
      <c r="D1317" s="149"/>
      <c r="E1317" s="34" t="s">
        <v>94</v>
      </c>
      <c r="F1317" s="34" t="s">
        <v>198</v>
      </c>
    </row>
    <row r="1318" spans="1:6" hidden="1">
      <c r="A1318" s="230" t="s">
        <v>123</v>
      </c>
      <c r="B1318" s="149"/>
      <c r="C1318" s="149"/>
      <c r="D1318" s="149"/>
      <c r="E1318" s="34" t="s">
        <v>94</v>
      </c>
      <c r="F1318" s="34" t="s">
        <v>198</v>
      </c>
    </row>
    <row r="1319" spans="1:6" hidden="1">
      <c r="A1319" s="230" t="s">
        <v>124</v>
      </c>
      <c r="B1319" s="149"/>
      <c r="C1319" s="149"/>
      <c r="D1319" s="149"/>
      <c r="E1319" s="34" t="s">
        <v>94</v>
      </c>
      <c r="F1319" s="34" t="s">
        <v>198</v>
      </c>
    </row>
    <row r="1320" spans="1:6" hidden="1">
      <c r="A1320" s="230" t="s">
        <v>125</v>
      </c>
      <c r="B1320" s="149"/>
      <c r="C1320" s="149"/>
      <c r="D1320" s="149"/>
      <c r="E1320" s="34" t="s">
        <v>94</v>
      </c>
      <c r="F1320" s="34" t="s">
        <v>198</v>
      </c>
    </row>
    <row r="1321" spans="1:6" hidden="1">
      <c r="A1321" s="230" t="s">
        <v>126</v>
      </c>
      <c r="B1321" s="149"/>
      <c r="C1321" s="149"/>
      <c r="D1321" s="149"/>
      <c r="E1321" s="34" t="s">
        <v>94</v>
      </c>
      <c r="F1321" s="34" t="s">
        <v>198</v>
      </c>
    </row>
    <row r="1322" spans="1:6" hidden="1">
      <c r="A1322" s="230" t="s">
        <v>127</v>
      </c>
      <c r="B1322" s="149"/>
      <c r="C1322" s="149"/>
      <c r="D1322" s="149"/>
      <c r="E1322" s="34" t="s">
        <v>94</v>
      </c>
      <c r="F1322" s="34" t="s">
        <v>198</v>
      </c>
    </row>
    <row r="1323" spans="1:6" hidden="1">
      <c r="A1323" s="212" t="s">
        <v>116</v>
      </c>
      <c r="B1323" s="147"/>
      <c r="C1323" s="147"/>
      <c r="D1323" s="147"/>
      <c r="E1323" s="34" t="s">
        <v>94</v>
      </c>
      <c r="F1323" s="34" t="s">
        <v>28</v>
      </c>
    </row>
    <row r="1324" spans="1:6" hidden="1">
      <c r="A1324" s="212" t="s">
        <v>117</v>
      </c>
      <c r="B1324" s="147"/>
      <c r="C1324" s="147"/>
      <c r="D1324" s="147"/>
      <c r="E1324" s="34" t="s">
        <v>94</v>
      </c>
      <c r="F1324" s="34" t="s">
        <v>28</v>
      </c>
    </row>
    <row r="1325" spans="1:6" hidden="1">
      <c r="A1325" s="212" t="s">
        <v>118</v>
      </c>
      <c r="B1325" s="147"/>
      <c r="C1325" s="147"/>
      <c r="D1325" s="147"/>
      <c r="E1325" s="34" t="s">
        <v>94</v>
      </c>
      <c r="F1325" s="34" t="s">
        <v>28</v>
      </c>
    </row>
    <row r="1326" spans="1:6" hidden="1">
      <c r="A1326" s="212" t="s">
        <v>119</v>
      </c>
      <c r="B1326" s="147"/>
      <c r="C1326" s="147"/>
      <c r="D1326" s="147"/>
      <c r="E1326" s="34" t="s">
        <v>94</v>
      </c>
      <c r="F1326" s="34" t="s">
        <v>28</v>
      </c>
    </row>
    <row r="1327" spans="1:6" hidden="1">
      <c r="A1327" s="212" t="s">
        <v>120</v>
      </c>
      <c r="B1327" s="147"/>
      <c r="C1327" s="147"/>
      <c r="D1327" s="147"/>
      <c r="E1327" s="34" t="s">
        <v>94</v>
      </c>
      <c r="F1327" s="34" t="s">
        <v>28</v>
      </c>
    </row>
    <row r="1328" spans="1:6" hidden="1">
      <c r="A1328" s="212" t="s">
        <v>121</v>
      </c>
      <c r="B1328" s="147"/>
      <c r="C1328" s="147"/>
      <c r="D1328" s="147"/>
      <c r="E1328" s="34" t="s">
        <v>94</v>
      </c>
      <c r="F1328" s="34" t="s">
        <v>28</v>
      </c>
    </row>
    <row r="1329" spans="1:6" hidden="1">
      <c r="A1329" s="212" t="s">
        <v>122</v>
      </c>
      <c r="B1329" s="147"/>
      <c r="C1329" s="147"/>
      <c r="D1329" s="147"/>
      <c r="E1329" s="34" t="s">
        <v>94</v>
      </c>
      <c r="F1329" s="34" t="s">
        <v>28</v>
      </c>
    </row>
    <row r="1330" spans="1:6" hidden="1">
      <c r="A1330" s="212" t="s">
        <v>123</v>
      </c>
      <c r="B1330" s="147"/>
      <c r="C1330" s="147"/>
      <c r="D1330" s="147"/>
      <c r="E1330" s="34" t="s">
        <v>94</v>
      </c>
      <c r="F1330" s="34" t="s">
        <v>28</v>
      </c>
    </row>
    <row r="1331" spans="1:6" hidden="1">
      <c r="A1331" s="212" t="s">
        <v>124</v>
      </c>
      <c r="B1331" s="147"/>
      <c r="C1331" s="147"/>
      <c r="D1331" s="147"/>
      <c r="E1331" s="34" t="s">
        <v>94</v>
      </c>
      <c r="F1331" s="34" t="s">
        <v>28</v>
      </c>
    </row>
    <row r="1332" spans="1:6" hidden="1">
      <c r="A1332" s="212" t="s">
        <v>125</v>
      </c>
      <c r="B1332" s="147"/>
      <c r="C1332" s="147"/>
      <c r="D1332" s="147"/>
      <c r="E1332" s="34" t="s">
        <v>94</v>
      </c>
      <c r="F1332" s="34" t="s">
        <v>28</v>
      </c>
    </row>
    <row r="1333" spans="1:6" hidden="1">
      <c r="A1333" s="212" t="s">
        <v>126</v>
      </c>
      <c r="B1333" s="147"/>
      <c r="C1333" s="147"/>
      <c r="D1333" s="147"/>
      <c r="E1333" s="34" t="s">
        <v>94</v>
      </c>
      <c r="F1333" s="34" t="s">
        <v>28</v>
      </c>
    </row>
    <row r="1334" spans="1:6" hidden="1">
      <c r="A1334" s="212" t="s">
        <v>127</v>
      </c>
      <c r="B1334" s="147"/>
      <c r="C1334" s="147"/>
      <c r="D1334" s="147"/>
      <c r="E1334" s="34" t="s">
        <v>94</v>
      </c>
      <c r="F1334" s="34" t="s">
        <v>28</v>
      </c>
    </row>
    <row r="1335" spans="1:6" hidden="1">
      <c r="A1335" s="230" t="s">
        <v>116</v>
      </c>
      <c r="B1335" s="149"/>
      <c r="C1335" s="149"/>
      <c r="D1335" s="149"/>
      <c r="E1335" s="34" t="s">
        <v>94</v>
      </c>
      <c r="F1335" s="149" t="s">
        <v>142</v>
      </c>
    </row>
    <row r="1336" spans="1:6" hidden="1">
      <c r="A1336" s="230" t="s">
        <v>117</v>
      </c>
      <c r="B1336" s="149"/>
      <c r="C1336" s="149"/>
      <c r="D1336" s="149"/>
      <c r="E1336" s="34" t="s">
        <v>94</v>
      </c>
      <c r="F1336" s="149" t="s">
        <v>142</v>
      </c>
    </row>
    <row r="1337" spans="1:6" hidden="1">
      <c r="A1337" s="230" t="s">
        <v>118</v>
      </c>
      <c r="B1337" s="149"/>
      <c r="C1337" s="149"/>
      <c r="D1337" s="149"/>
      <c r="E1337" s="34" t="s">
        <v>94</v>
      </c>
      <c r="F1337" s="149" t="s">
        <v>142</v>
      </c>
    </row>
    <row r="1338" spans="1:6" hidden="1">
      <c r="A1338" s="230" t="s">
        <v>119</v>
      </c>
      <c r="B1338" s="149"/>
      <c r="C1338" s="149"/>
      <c r="D1338" s="149"/>
      <c r="E1338" s="34" t="s">
        <v>94</v>
      </c>
      <c r="F1338" s="149" t="s">
        <v>142</v>
      </c>
    </row>
    <row r="1339" spans="1:6" hidden="1">
      <c r="A1339" s="230" t="s">
        <v>120</v>
      </c>
      <c r="B1339" s="149"/>
      <c r="C1339" s="149"/>
      <c r="D1339" s="149"/>
      <c r="E1339" s="34" t="s">
        <v>94</v>
      </c>
      <c r="F1339" s="149" t="s">
        <v>142</v>
      </c>
    </row>
    <row r="1340" spans="1:6" hidden="1">
      <c r="A1340" s="230" t="s">
        <v>121</v>
      </c>
      <c r="B1340" s="149"/>
      <c r="C1340" s="149"/>
      <c r="D1340" s="149"/>
      <c r="E1340" s="34" t="s">
        <v>94</v>
      </c>
      <c r="F1340" s="149" t="s">
        <v>142</v>
      </c>
    </row>
    <row r="1341" spans="1:6" hidden="1">
      <c r="A1341" s="230" t="s">
        <v>122</v>
      </c>
      <c r="B1341" s="149"/>
      <c r="C1341" s="149"/>
      <c r="D1341" s="149"/>
      <c r="E1341" s="34" t="s">
        <v>94</v>
      </c>
      <c r="F1341" s="149" t="s">
        <v>142</v>
      </c>
    </row>
    <row r="1342" spans="1:6" hidden="1">
      <c r="A1342" s="230" t="s">
        <v>123</v>
      </c>
      <c r="B1342" s="149"/>
      <c r="C1342" s="149"/>
      <c r="D1342" s="149"/>
      <c r="E1342" s="34" t="s">
        <v>94</v>
      </c>
      <c r="F1342" s="149" t="s">
        <v>142</v>
      </c>
    </row>
    <row r="1343" spans="1:6" hidden="1">
      <c r="A1343" s="230" t="s">
        <v>124</v>
      </c>
      <c r="B1343" s="149"/>
      <c r="C1343" s="149"/>
      <c r="D1343" s="149"/>
      <c r="E1343" s="34" t="s">
        <v>94</v>
      </c>
      <c r="F1343" s="149" t="s">
        <v>142</v>
      </c>
    </row>
    <row r="1344" spans="1:6" hidden="1">
      <c r="A1344" s="230" t="s">
        <v>125</v>
      </c>
      <c r="B1344" s="149"/>
      <c r="C1344" s="149"/>
      <c r="D1344" s="149"/>
      <c r="E1344" s="34" t="s">
        <v>94</v>
      </c>
      <c r="F1344" s="149" t="s">
        <v>142</v>
      </c>
    </row>
    <row r="1345" spans="1:6" hidden="1">
      <c r="A1345" s="230" t="s">
        <v>126</v>
      </c>
      <c r="B1345" s="149"/>
      <c r="C1345" s="149"/>
      <c r="D1345" s="149"/>
      <c r="E1345" s="34" t="s">
        <v>94</v>
      </c>
      <c r="F1345" s="149" t="s">
        <v>142</v>
      </c>
    </row>
    <row r="1346" spans="1:6" hidden="1">
      <c r="A1346" s="230" t="s">
        <v>127</v>
      </c>
      <c r="B1346" s="149"/>
      <c r="C1346" s="149"/>
      <c r="D1346" s="149"/>
      <c r="E1346" s="34" t="s">
        <v>94</v>
      </c>
      <c r="F1346" s="149" t="s">
        <v>142</v>
      </c>
    </row>
    <row r="1347" spans="1:6" hidden="1">
      <c r="A1347" s="212" t="s">
        <v>116</v>
      </c>
      <c r="B1347" s="147"/>
      <c r="C1347" s="147"/>
      <c r="D1347" s="147"/>
      <c r="E1347" s="34" t="s">
        <v>95</v>
      </c>
      <c r="F1347" s="34" t="s">
        <v>197</v>
      </c>
    </row>
    <row r="1348" spans="1:6" hidden="1">
      <c r="A1348" s="212" t="s">
        <v>117</v>
      </c>
      <c r="B1348" s="147"/>
      <c r="C1348" s="147"/>
      <c r="D1348" s="147"/>
      <c r="E1348" s="34" t="s">
        <v>95</v>
      </c>
      <c r="F1348" s="34" t="s">
        <v>197</v>
      </c>
    </row>
    <row r="1349" spans="1:6" hidden="1">
      <c r="A1349" s="212" t="s">
        <v>118</v>
      </c>
      <c r="B1349" s="147"/>
      <c r="C1349" s="147"/>
      <c r="D1349" s="147"/>
      <c r="E1349" s="34" t="s">
        <v>95</v>
      </c>
      <c r="F1349" s="34" t="s">
        <v>197</v>
      </c>
    </row>
    <row r="1350" spans="1:6" hidden="1">
      <c r="A1350" s="212" t="s">
        <v>119</v>
      </c>
      <c r="B1350" s="147"/>
      <c r="C1350" s="147"/>
      <c r="D1350" s="147"/>
      <c r="E1350" s="34" t="s">
        <v>95</v>
      </c>
      <c r="F1350" s="34" t="s">
        <v>197</v>
      </c>
    </row>
    <row r="1351" spans="1:6" hidden="1">
      <c r="A1351" s="212" t="s">
        <v>120</v>
      </c>
      <c r="B1351" s="147"/>
      <c r="C1351" s="147"/>
      <c r="D1351" s="147"/>
      <c r="E1351" s="34" t="s">
        <v>95</v>
      </c>
      <c r="F1351" s="34" t="s">
        <v>197</v>
      </c>
    </row>
    <row r="1352" spans="1:6" hidden="1">
      <c r="A1352" s="212" t="s">
        <v>121</v>
      </c>
      <c r="B1352" s="147"/>
      <c r="C1352" s="147"/>
      <c r="D1352" s="147"/>
      <c r="E1352" s="34" t="s">
        <v>95</v>
      </c>
      <c r="F1352" s="34" t="s">
        <v>197</v>
      </c>
    </row>
    <row r="1353" spans="1:6" hidden="1">
      <c r="A1353" s="212" t="s">
        <v>122</v>
      </c>
      <c r="B1353" s="147"/>
      <c r="C1353" s="147"/>
      <c r="D1353" s="147"/>
      <c r="E1353" s="34" t="s">
        <v>95</v>
      </c>
      <c r="F1353" s="34" t="s">
        <v>197</v>
      </c>
    </row>
    <row r="1354" spans="1:6" hidden="1">
      <c r="A1354" s="212" t="s">
        <v>123</v>
      </c>
      <c r="B1354" s="147"/>
      <c r="C1354" s="147"/>
      <c r="D1354" s="147"/>
      <c r="E1354" s="34" t="s">
        <v>95</v>
      </c>
      <c r="F1354" s="34" t="s">
        <v>197</v>
      </c>
    </row>
    <row r="1355" spans="1:6" hidden="1">
      <c r="A1355" s="212" t="s">
        <v>124</v>
      </c>
      <c r="B1355" s="147"/>
      <c r="C1355" s="147"/>
      <c r="D1355" s="147"/>
      <c r="E1355" s="34" t="s">
        <v>95</v>
      </c>
      <c r="F1355" s="34" t="s">
        <v>197</v>
      </c>
    </row>
    <row r="1356" spans="1:6" hidden="1">
      <c r="A1356" s="212" t="s">
        <v>125</v>
      </c>
      <c r="B1356" s="147"/>
      <c r="C1356" s="147"/>
      <c r="D1356" s="147"/>
      <c r="E1356" s="34" t="s">
        <v>95</v>
      </c>
      <c r="F1356" s="34" t="s">
        <v>197</v>
      </c>
    </row>
    <row r="1357" spans="1:6" hidden="1">
      <c r="A1357" s="212" t="s">
        <v>126</v>
      </c>
      <c r="B1357" s="147"/>
      <c r="C1357" s="147"/>
      <c r="D1357" s="147"/>
      <c r="E1357" s="34" t="s">
        <v>95</v>
      </c>
      <c r="F1357" s="34" t="s">
        <v>197</v>
      </c>
    </row>
    <row r="1358" spans="1:6" hidden="1">
      <c r="A1358" s="212" t="s">
        <v>127</v>
      </c>
      <c r="B1358" s="147"/>
      <c r="C1358" s="147"/>
      <c r="D1358" s="147"/>
      <c r="E1358" s="34" t="s">
        <v>95</v>
      </c>
      <c r="F1358" s="34" t="s">
        <v>197</v>
      </c>
    </row>
    <row r="1359" spans="1:6" hidden="1">
      <c r="A1359" s="230" t="s">
        <v>116</v>
      </c>
      <c r="B1359" s="149"/>
      <c r="C1359" s="149"/>
      <c r="D1359" s="149"/>
      <c r="E1359" s="34" t="s">
        <v>95</v>
      </c>
      <c r="F1359" s="34" t="s">
        <v>199</v>
      </c>
    </row>
    <row r="1360" spans="1:6" hidden="1">
      <c r="A1360" s="230" t="s">
        <v>117</v>
      </c>
      <c r="B1360" s="149"/>
      <c r="C1360" s="149"/>
      <c r="D1360" s="149"/>
      <c r="E1360" s="34" t="s">
        <v>95</v>
      </c>
      <c r="F1360" s="34" t="s">
        <v>199</v>
      </c>
    </row>
    <row r="1361" spans="1:6" hidden="1">
      <c r="A1361" s="230" t="s">
        <v>118</v>
      </c>
      <c r="B1361" s="149"/>
      <c r="C1361" s="149"/>
      <c r="D1361" s="149"/>
      <c r="E1361" s="34" t="s">
        <v>95</v>
      </c>
      <c r="F1361" s="34" t="s">
        <v>199</v>
      </c>
    </row>
    <row r="1362" spans="1:6" hidden="1">
      <c r="A1362" s="230" t="s">
        <v>119</v>
      </c>
      <c r="B1362" s="149"/>
      <c r="C1362" s="149"/>
      <c r="D1362" s="149"/>
      <c r="E1362" s="34" t="s">
        <v>95</v>
      </c>
      <c r="F1362" s="34" t="s">
        <v>199</v>
      </c>
    </row>
    <row r="1363" spans="1:6" hidden="1">
      <c r="A1363" s="230" t="s">
        <v>120</v>
      </c>
      <c r="B1363" s="149"/>
      <c r="C1363" s="149"/>
      <c r="D1363" s="149"/>
      <c r="E1363" s="34" t="s">
        <v>95</v>
      </c>
      <c r="F1363" s="34" t="s">
        <v>199</v>
      </c>
    </row>
    <row r="1364" spans="1:6" hidden="1">
      <c r="A1364" s="230" t="s">
        <v>121</v>
      </c>
      <c r="B1364" s="149"/>
      <c r="C1364" s="149"/>
      <c r="D1364" s="149"/>
      <c r="E1364" s="34" t="s">
        <v>95</v>
      </c>
      <c r="F1364" s="34" t="s">
        <v>199</v>
      </c>
    </row>
    <row r="1365" spans="1:6" hidden="1">
      <c r="A1365" s="230" t="s">
        <v>122</v>
      </c>
      <c r="B1365" s="149"/>
      <c r="C1365" s="149"/>
      <c r="D1365" s="149"/>
      <c r="E1365" s="34" t="s">
        <v>95</v>
      </c>
      <c r="F1365" s="34" t="s">
        <v>199</v>
      </c>
    </row>
    <row r="1366" spans="1:6" hidden="1">
      <c r="A1366" s="230" t="s">
        <v>123</v>
      </c>
      <c r="B1366" s="149"/>
      <c r="C1366" s="149"/>
      <c r="D1366" s="149"/>
      <c r="E1366" s="34" t="s">
        <v>95</v>
      </c>
      <c r="F1366" s="34" t="s">
        <v>199</v>
      </c>
    </row>
    <row r="1367" spans="1:6" hidden="1">
      <c r="A1367" s="230" t="s">
        <v>124</v>
      </c>
      <c r="B1367" s="149"/>
      <c r="C1367" s="149"/>
      <c r="D1367" s="149"/>
      <c r="E1367" s="34" t="s">
        <v>95</v>
      </c>
      <c r="F1367" s="34" t="s">
        <v>199</v>
      </c>
    </row>
    <row r="1368" spans="1:6" hidden="1">
      <c r="A1368" s="230" t="s">
        <v>125</v>
      </c>
      <c r="B1368" s="149"/>
      <c r="C1368" s="149"/>
      <c r="D1368" s="149"/>
      <c r="E1368" s="34" t="s">
        <v>95</v>
      </c>
      <c r="F1368" s="34" t="s">
        <v>199</v>
      </c>
    </row>
    <row r="1369" spans="1:6" hidden="1">
      <c r="A1369" s="230" t="s">
        <v>126</v>
      </c>
      <c r="B1369" s="149"/>
      <c r="C1369" s="149"/>
      <c r="D1369" s="149"/>
      <c r="E1369" s="34" t="s">
        <v>95</v>
      </c>
      <c r="F1369" s="34" t="s">
        <v>199</v>
      </c>
    </row>
    <row r="1370" spans="1:6" hidden="1">
      <c r="A1370" s="230" t="s">
        <v>127</v>
      </c>
      <c r="B1370" s="149"/>
      <c r="C1370" s="149"/>
      <c r="D1370" s="149"/>
      <c r="E1370" s="34" t="s">
        <v>95</v>
      </c>
      <c r="F1370" s="34" t="s">
        <v>199</v>
      </c>
    </row>
    <row r="1371" spans="1:6" hidden="1">
      <c r="A1371" s="212" t="s">
        <v>116</v>
      </c>
      <c r="B1371" s="147"/>
      <c r="C1371" s="147"/>
      <c r="D1371" s="147"/>
      <c r="E1371" s="34" t="s">
        <v>95</v>
      </c>
      <c r="F1371" s="34" t="s">
        <v>222</v>
      </c>
    </row>
    <row r="1372" spans="1:6" hidden="1">
      <c r="A1372" s="212" t="s">
        <v>117</v>
      </c>
      <c r="B1372" s="147"/>
      <c r="C1372" s="147"/>
      <c r="D1372" s="147"/>
      <c r="E1372" s="34" t="s">
        <v>95</v>
      </c>
      <c r="F1372" s="34" t="s">
        <v>222</v>
      </c>
    </row>
    <row r="1373" spans="1:6" hidden="1">
      <c r="A1373" s="212" t="s">
        <v>118</v>
      </c>
      <c r="B1373" s="147"/>
      <c r="C1373" s="147"/>
      <c r="D1373" s="147"/>
      <c r="E1373" s="34" t="s">
        <v>95</v>
      </c>
      <c r="F1373" s="34" t="s">
        <v>222</v>
      </c>
    </row>
    <row r="1374" spans="1:6" hidden="1">
      <c r="A1374" s="212" t="s">
        <v>119</v>
      </c>
      <c r="B1374" s="147"/>
      <c r="C1374" s="147"/>
      <c r="D1374" s="147"/>
      <c r="E1374" s="34" t="s">
        <v>95</v>
      </c>
      <c r="F1374" s="34" t="s">
        <v>222</v>
      </c>
    </row>
    <row r="1375" spans="1:6" hidden="1">
      <c r="A1375" s="212" t="s">
        <v>120</v>
      </c>
      <c r="B1375" s="147"/>
      <c r="C1375" s="147"/>
      <c r="D1375" s="147"/>
      <c r="E1375" s="34" t="s">
        <v>95</v>
      </c>
      <c r="F1375" s="34" t="s">
        <v>222</v>
      </c>
    </row>
    <row r="1376" spans="1:6" hidden="1">
      <c r="A1376" s="212" t="s">
        <v>121</v>
      </c>
      <c r="B1376" s="147"/>
      <c r="C1376" s="147"/>
      <c r="D1376" s="147"/>
      <c r="E1376" s="34" t="s">
        <v>95</v>
      </c>
      <c r="F1376" s="34" t="s">
        <v>222</v>
      </c>
    </row>
    <row r="1377" spans="1:6" hidden="1">
      <c r="A1377" s="212" t="s">
        <v>122</v>
      </c>
      <c r="B1377" s="147"/>
      <c r="C1377" s="147"/>
      <c r="D1377" s="147"/>
      <c r="E1377" s="34" t="s">
        <v>95</v>
      </c>
      <c r="F1377" s="34" t="s">
        <v>222</v>
      </c>
    </row>
    <row r="1378" spans="1:6" hidden="1">
      <c r="A1378" s="212" t="s">
        <v>123</v>
      </c>
      <c r="B1378" s="147"/>
      <c r="C1378" s="147"/>
      <c r="D1378" s="147"/>
      <c r="E1378" s="34" t="s">
        <v>95</v>
      </c>
      <c r="F1378" s="34" t="s">
        <v>222</v>
      </c>
    </row>
    <row r="1379" spans="1:6" hidden="1">
      <c r="A1379" s="212" t="s">
        <v>124</v>
      </c>
      <c r="B1379" s="147"/>
      <c r="C1379" s="147"/>
      <c r="D1379" s="147"/>
      <c r="E1379" s="34" t="s">
        <v>95</v>
      </c>
      <c r="F1379" s="34" t="s">
        <v>222</v>
      </c>
    </row>
    <row r="1380" spans="1:6" hidden="1">
      <c r="A1380" s="212" t="s">
        <v>125</v>
      </c>
      <c r="B1380" s="147"/>
      <c r="C1380" s="147"/>
      <c r="D1380" s="147"/>
      <c r="E1380" s="34" t="s">
        <v>95</v>
      </c>
      <c r="F1380" s="34" t="s">
        <v>222</v>
      </c>
    </row>
    <row r="1381" spans="1:6" hidden="1">
      <c r="A1381" s="212" t="s">
        <v>126</v>
      </c>
      <c r="B1381" s="147"/>
      <c r="C1381" s="147"/>
      <c r="D1381" s="147"/>
      <c r="E1381" s="34" t="s">
        <v>95</v>
      </c>
      <c r="F1381" s="34" t="s">
        <v>222</v>
      </c>
    </row>
    <row r="1382" spans="1:6" hidden="1">
      <c r="A1382" s="212" t="s">
        <v>127</v>
      </c>
      <c r="B1382" s="147"/>
      <c r="C1382" s="147"/>
      <c r="D1382" s="147"/>
      <c r="E1382" s="34" t="s">
        <v>95</v>
      </c>
      <c r="F1382" s="34" t="s">
        <v>222</v>
      </c>
    </row>
    <row r="1383" spans="1:6" hidden="1">
      <c r="A1383" s="230" t="s">
        <v>116</v>
      </c>
      <c r="B1383" s="149"/>
      <c r="C1383" s="149"/>
      <c r="D1383" s="149"/>
      <c r="E1383" s="34" t="s">
        <v>95</v>
      </c>
      <c r="F1383" s="34" t="s">
        <v>198</v>
      </c>
    </row>
    <row r="1384" spans="1:6" hidden="1">
      <c r="A1384" s="230" t="s">
        <v>117</v>
      </c>
      <c r="B1384" s="149"/>
      <c r="C1384" s="149"/>
      <c r="D1384" s="149"/>
      <c r="E1384" s="34" t="s">
        <v>95</v>
      </c>
      <c r="F1384" s="34" t="s">
        <v>198</v>
      </c>
    </row>
    <row r="1385" spans="1:6" hidden="1">
      <c r="A1385" s="230" t="s">
        <v>118</v>
      </c>
      <c r="B1385" s="149"/>
      <c r="C1385" s="149"/>
      <c r="D1385" s="149"/>
      <c r="E1385" s="34" t="s">
        <v>95</v>
      </c>
      <c r="F1385" s="34" t="s">
        <v>198</v>
      </c>
    </row>
    <row r="1386" spans="1:6" hidden="1">
      <c r="A1386" s="230" t="s">
        <v>119</v>
      </c>
      <c r="B1386" s="149"/>
      <c r="C1386" s="149"/>
      <c r="D1386" s="149"/>
      <c r="E1386" s="34" t="s">
        <v>95</v>
      </c>
      <c r="F1386" s="34" t="s">
        <v>198</v>
      </c>
    </row>
    <row r="1387" spans="1:6" hidden="1">
      <c r="A1387" s="230" t="s">
        <v>120</v>
      </c>
      <c r="B1387" s="149"/>
      <c r="C1387" s="149"/>
      <c r="D1387" s="149"/>
      <c r="E1387" s="34" t="s">
        <v>95</v>
      </c>
      <c r="F1387" s="34" t="s">
        <v>198</v>
      </c>
    </row>
    <row r="1388" spans="1:6" hidden="1">
      <c r="A1388" s="230" t="s">
        <v>121</v>
      </c>
      <c r="B1388" s="149"/>
      <c r="C1388" s="149"/>
      <c r="D1388" s="149"/>
      <c r="E1388" s="34" t="s">
        <v>95</v>
      </c>
      <c r="F1388" s="34" t="s">
        <v>198</v>
      </c>
    </row>
    <row r="1389" spans="1:6" hidden="1">
      <c r="A1389" s="230" t="s">
        <v>122</v>
      </c>
      <c r="B1389" s="149"/>
      <c r="C1389" s="149"/>
      <c r="D1389" s="149"/>
      <c r="E1389" s="34" t="s">
        <v>95</v>
      </c>
      <c r="F1389" s="34" t="s">
        <v>198</v>
      </c>
    </row>
    <row r="1390" spans="1:6" hidden="1">
      <c r="A1390" s="230" t="s">
        <v>123</v>
      </c>
      <c r="B1390" s="149"/>
      <c r="C1390" s="149"/>
      <c r="D1390" s="149"/>
      <c r="E1390" s="34" t="s">
        <v>95</v>
      </c>
      <c r="F1390" s="34" t="s">
        <v>198</v>
      </c>
    </row>
    <row r="1391" spans="1:6" hidden="1">
      <c r="A1391" s="230" t="s">
        <v>124</v>
      </c>
      <c r="B1391" s="149"/>
      <c r="C1391" s="149"/>
      <c r="D1391" s="149"/>
      <c r="E1391" s="34" t="s">
        <v>95</v>
      </c>
      <c r="F1391" s="34" t="s">
        <v>198</v>
      </c>
    </row>
    <row r="1392" spans="1:6" hidden="1">
      <c r="A1392" s="230" t="s">
        <v>125</v>
      </c>
      <c r="B1392" s="149"/>
      <c r="C1392" s="149"/>
      <c r="D1392" s="149"/>
      <c r="E1392" s="34" t="s">
        <v>95</v>
      </c>
      <c r="F1392" s="34" t="s">
        <v>198</v>
      </c>
    </row>
    <row r="1393" spans="1:6" hidden="1">
      <c r="A1393" s="230" t="s">
        <v>126</v>
      </c>
      <c r="B1393" s="149"/>
      <c r="C1393" s="149"/>
      <c r="D1393" s="149"/>
      <c r="E1393" s="34" t="s">
        <v>95</v>
      </c>
      <c r="F1393" s="34" t="s">
        <v>198</v>
      </c>
    </row>
    <row r="1394" spans="1:6" hidden="1">
      <c r="A1394" s="230" t="s">
        <v>127</v>
      </c>
      <c r="B1394" s="149"/>
      <c r="C1394" s="149"/>
      <c r="D1394" s="149"/>
      <c r="E1394" s="34" t="s">
        <v>95</v>
      </c>
      <c r="F1394" s="34" t="s">
        <v>198</v>
      </c>
    </row>
    <row r="1395" spans="1:6" hidden="1">
      <c r="A1395" s="212" t="s">
        <v>116</v>
      </c>
      <c r="B1395" s="147"/>
      <c r="C1395" s="147"/>
      <c r="D1395" s="147"/>
      <c r="E1395" s="34" t="s">
        <v>95</v>
      </c>
      <c r="F1395" s="34" t="s">
        <v>28</v>
      </c>
    </row>
    <row r="1396" spans="1:6" hidden="1">
      <c r="A1396" s="212" t="s">
        <v>117</v>
      </c>
      <c r="B1396" s="147"/>
      <c r="C1396" s="147"/>
      <c r="D1396" s="147"/>
      <c r="E1396" s="34" t="s">
        <v>95</v>
      </c>
      <c r="F1396" s="34" t="s">
        <v>28</v>
      </c>
    </row>
    <row r="1397" spans="1:6" hidden="1">
      <c r="A1397" s="212" t="s">
        <v>118</v>
      </c>
      <c r="B1397" s="147"/>
      <c r="C1397" s="147"/>
      <c r="D1397" s="147"/>
      <c r="E1397" s="34" t="s">
        <v>95</v>
      </c>
      <c r="F1397" s="34" t="s">
        <v>28</v>
      </c>
    </row>
    <row r="1398" spans="1:6" hidden="1">
      <c r="A1398" s="212" t="s">
        <v>119</v>
      </c>
      <c r="B1398" s="147"/>
      <c r="C1398" s="147"/>
      <c r="D1398" s="147"/>
      <c r="E1398" s="34" t="s">
        <v>95</v>
      </c>
      <c r="F1398" s="34" t="s">
        <v>28</v>
      </c>
    </row>
    <row r="1399" spans="1:6" hidden="1">
      <c r="A1399" s="212" t="s">
        <v>120</v>
      </c>
      <c r="B1399" s="147"/>
      <c r="C1399" s="147"/>
      <c r="D1399" s="147"/>
      <c r="E1399" s="34" t="s">
        <v>95</v>
      </c>
      <c r="F1399" s="34" t="s">
        <v>28</v>
      </c>
    </row>
    <row r="1400" spans="1:6" hidden="1">
      <c r="A1400" s="212" t="s">
        <v>121</v>
      </c>
      <c r="B1400" s="147"/>
      <c r="C1400" s="147"/>
      <c r="D1400" s="147"/>
      <c r="E1400" s="34" t="s">
        <v>95</v>
      </c>
      <c r="F1400" s="34" t="s">
        <v>28</v>
      </c>
    </row>
    <row r="1401" spans="1:6" hidden="1">
      <c r="A1401" s="212" t="s">
        <v>122</v>
      </c>
      <c r="B1401" s="147"/>
      <c r="C1401" s="147"/>
      <c r="D1401" s="147"/>
      <c r="E1401" s="34" t="s">
        <v>95</v>
      </c>
      <c r="F1401" s="34" t="s">
        <v>28</v>
      </c>
    </row>
    <row r="1402" spans="1:6" hidden="1">
      <c r="A1402" s="212" t="s">
        <v>123</v>
      </c>
      <c r="B1402" s="147"/>
      <c r="C1402" s="147"/>
      <c r="D1402" s="147"/>
      <c r="E1402" s="34" t="s">
        <v>95</v>
      </c>
      <c r="F1402" s="34" t="s">
        <v>28</v>
      </c>
    </row>
    <row r="1403" spans="1:6" hidden="1">
      <c r="A1403" s="212" t="s">
        <v>124</v>
      </c>
      <c r="B1403" s="147"/>
      <c r="C1403" s="147"/>
      <c r="D1403" s="147"/>
      <c r="E1403" s="34" t="s">
        <v>95</v>
      </c>
      <c r="F1403" s="34" t="s">
        <v>28</v>
      </c>
    </row>
    <row r="1404" spans="1:6" hidden="1">
      <c r="A1404" s="212" t="s">
        <v>125</v>
      </c>
      <c r="B1404" s="147"/>
      <c r="C1404" s="147"/>
      <c r="D1404" s="147"/>
      <c r="E1404" s="34" t="s">
        <v>95</v>
      </c>
      <c r="F1404" s="34" t="s">
        <v>28</v>
      </c>
    </row>
    <row r="1405" spans="1:6" hidden="1">
      <c r="A1405" s="212" t="s">
        <v>126</v>
      </c>
      <c r="B1405" s="147"/>
      <c r="C1405" s="147"/>
      <c r="D1405" s="147"/>
      <c r="E1405" s="34" t="s">
        <v>95</v>
      </c>
      <c r="F1405" s="34" t="s">
        <v>28</v>
      </c>
    </row>
    <row r="1406" spans="1:6" hidden="1">
      <c r="A1406" s="212" t="s">
        <v>127</v>
      </c>
      <c r="B1406" s="147"/>
      <c r="C1406" s="147"/>
      <c r="D1406" s="147"/>
      <c r="E1406" s="34" t="s">
        <v>95</v>
      </c>
      <c r="F1406" s="34" t="s">
        <v>28</v>
      </c>
    </row>
    <row r="1407" spans="1:6" hidden="1">
      <c r="A1407" s="230" t="s">
        <v>116</v>
      </c>
      <c r="B1407" s="149"/>
      <c r="C1407" s="149"/>
      <c r="D1407" s="149"/>
      <c r="E1407" s="34" t="s">
        <v>95</v>
      </c>
      <c r="F1407" s="149" t="s">
        <v>142</v>
      </c>
    </row>
    <row r="1408" spans="1:6" hidden="1">
      <c r="A1408" s="230" t="s">
        <v>117</v>
      </c>
      <c r="B1408" s="149"/>
      <c r="C1408" s="149"/>
      <c r="D1408" s="149"/>
      <c r="E1408" s="34" t="s">
        <v>95</v>
      </c>
      <c r="F1408" s="149" t="s">
        <v>142</v>
      </c>
    </row>
    <row r="1409" spans="1:6" hidden="1">
      <c r="A1409" s="230" t="s">
        <v>118</v>
      </c>
      <c r="B1409" s="149"/>
      <c r="C1409" s="149"/>
      <c r="D1409" s="149"/>
      <c r="E1409" s="34" t="s">
        <v>95</v>
      </c>
      <c r="F1409" s="149" t="s">
        <v>142</v>
      </c>
    </row>
    <row r="1410" spans="1:6" hidden="1">
      <c r="A1410" s="230" t="s">
        <v>119</v>
      </c>
      <c r="B1410" s="149"/>
      <c r="C1410" s="149"/>
      <c r="D1410" s="149"/>
      <c r="E1410" s="34" t="s">
        <v>95</v>
      </c>
      <c r="F1410" s="149" t="s">
        <v>142</v>
      </c>
    </row>
    <row r="1411" spans="1:6" hidden="1">
      <c r="A1411" s="230" t="s">
        <v>120</v>
      </c>
      <c r="B1411" s="149"/>
      <c r="C1411" s="149"/>
      <c r="D1411" s="149"/>
      <c r="E1411" s="34" t="s">
        <v>95</v>
      </c>
      <c r="F1411" s="149" t="s">
        <v>142</v>
      </c>
    </row>
    <row r="1412" spans="1:6" hidden="1">
      <c r="A1412" s="230" t="s">
        <v>121</v>
      </c>
      <c r="B1412" s="149"/>
      <c r="C1412" s="149"/>
      <c r="D1412" s="149"/>
      <c r="E1412" s="34" t="s">
        <v>95</v>
      </c>
      <c r="F1412" s="149" t="s">
        <v>142</v>
      </c>
    </row>
    <row r="1413" spans="1:6" hidden="1">
      <c r="A1413" s="230" t="s">
        <v>122</v>
      </c>
      <c r="B1413" s="149"/>
      <c r="C1413" s="149"/>
      <c r="D1413" s="149"/>
      <c r="E1413" s="34" t="s">
        <v>95</v>
      </c>
      <c r="F1413" s="149" t="s">
        <v>142</v>
      </c>
    </row>
    <row r="1414" spans="1:6" hidden="1">
      <c r="A1414" s="230" t="s">
        <v>123</v>
      </c>
      <c r="B1414" s="149"/>
      <c r="C1414" s="149"/>
      <c r="D1414" s="149"/>
      <c r="E1414" s="34" t="s">
        <v>95</v>
      </c>
      <c r="F1414" s="149" t="s">
        <v>142</v>
      </c>
    </row>
    <row r="1415" spans="1:6" hidden="1">
      <c r="A1415" s="230" t="s">
        <v>124</v>
      </c>
      <c r="B1415" s="149"/>
      <c r="C1415" s="149"/>
      <c r="D1415" s="149"/>
      <c r="E1415" s="34" t="s">
        <v>95</v>
      </c>
      <c r="F1415" s="149" t="s">
        <v>142</v>
      </c>
    </row>
    <row r="1416" spans="1:6" hidden="1">
      <c r="A1416" s="230" t="s">
        <v>125</v>
      </c>
      <c r="B1416" s="149"/>
      <c r="C1416" s="149"/>
      <c r="D1416" s="149"/>
      <c r="E1416" s="34" t="s">
        <v>95</v>
      </c>
      <c r="F1416" s="149" t="s">
        <v>142</v>
      </c>
    </row>
    <row r="1417" spans="1:6" hidden="1">
      <c r="A1417" s="230" t="s">
        <v>126</v>
      </c>
      <c r="B1417" s="149"/>
      <c r="C1417" s="149"/>
      <c r="D1417" s="149"/>
      <c r="E1417" s="34" t="s">
        <v>95</v>
      </c>
      <c r="F1417" s="149" t="s">
        <v>142</v>
      </c>
    </row>
    <row r="1418" spans="1:6" hidden="1">
      <c r="A1418" s="230" t="s">
        <v>127</v>
      </c>
      <c r="B1418" s="149"/>
      <c r="C1418" s="149"/>
      <c r="D1418" s="149"/>
      <c r="E1418" s="34" t="s">
        <v>95</v>
      </c>
      <c r="F1418" s="149" t="s">
        <v>142</v>
      </c>
    </row>
    <row r="1419" spans="1:6" hidden="1">
      <c r="A1419" s="212" t="s">
        <v>116</v>
      </c>
      <c r="B1419" s="147"/>
      <c r="C1419" s="147"/>
      <c r="D1419" s="147"/>
      <c r="E1419" s="34" t="s">
        <v>96</v>
      </c>
      <c r="F1419" s="34" t="s">
        <v>197</v>
      </c>
    </row>
    <row r="1420" spans="1:6" hidden="1">
      <c r="A1420" s="212" t="s">
        <v>117</v>
      </c>
      <c r="B1420" s="147"/>
      <c r="C1420" s="147"/>
      <c r="D1420" s="147"/>
      <c r="E1420" s="34" t="s">
        <v>96</v>
      </c>
      <c r="F1420" s="34" t="s">
        <v>197</v>
      </c>
    </row>
    <row r="1421" spans="1:6" hidden="1">
      <c r="A1421" s="212" t="s">
        <v>118</v>
      </c>
      <c r="B1421" s="147"/>
      <c r="C1421" s="147"/>
      <c r="D1421" s="147"/>
      <c r="E1421" s="34" t="s">
        <v>96</v>
      </c>
      <c r="F1421" s="34" t="s">
        <v>197</v>
      </c>
    </row>
    <row r="1422" spans="1:6" hidden="1">
      <c r="A1422" s="212" t="s">
        <v>119</v>
      </c>
      <c r="B1422" s="147"/>
      <c r="C1422" s="147"/>
      <c r="D1422" s="147"/>
      <c r="E1422" s="34" t="s">
        <v>96</v>
      </c>
      <c r="F1422" s="34" t="s">
        <v>197</v>
      </c>
    </row>
    <row r="1423" spans="1:6" hidden="1">
      <c r="A1423" s="212" t="s">
        <v>120</v>
      </c>
      <c r="B1423" s="147"/>
      <c r="C1423" s="147"/>
      <c r="D1423" s="147"/>
      <c r="E1423" s="34" t="s">
        <v>96</v>
      </c>
      <c r="F1423" s="34" t="s">
        <v>197</v>
      </c>
    </row>
    <row r="1424" spans="1:6" hidden="1">
      <c r="A1424" s="212" t="s">
        <v>121</v>
      </c>
      <c r="B1424" s="147"/>
      <c r="C1424" s="147"/>
      <c r="D1424" s="147"/>
      <c r="E1424" s="34" t="s">
        <v>96</v>
      </c>
      <c r="F1424" s="34" t="s">
        <v>197</v>
      </c>
    </row>
    <row r="1425" spans="1:6" hidden="1">
      <c r="A1425" s="212" t="s">
        <v>122</v>
      </c>
      <c r="B1425" s="147"/>
      <c r="C1425" s="147"/>
      <c r="D1425" s="147"/>
      <c r="E1425" s="34" t="s">
        <v>96</v>
      </c>
      <c r="F1425" s="34" t="s">
        <v>197</v>
      </c>
    </row>
    <row r="1426" spans="1:6" hidden="1">
      <c r="A1426" s="212" t="s">
        <v>123</v>
      </c>
      <c r="B1426" s="147"/>
      <c r="C1426" s="147"/>
      <c r="D1426" s="147"/>
      <c r="E1426" s="34" t="s">
        <v>96</v>
      </c>
      <c r="F1426" s="34" t="s">
        <v>197</v>
      </c>
    </row>
    <row r="1427" spans="1:6" hidden="1">
      <c r="A1427" s="212" t="s">
        <v>124</v>
      </c>
      <c r="B1427" s="147"/>
      <c r="C1427" s="147"/>
      <c r="D1427" s="147"/>
      <c r="E1427" s="34" t="s">
        <v>96</v>
      </c>
      <c r="F1427" s="34" t="s">
        <v>197</v>
      </c>
    </row>
    <row r="1428" spans="1:6" hidden="1">
      <c r="A1428" s="212" t="s">
        <v>125</v>
      </c>
      <c r="B1428" s="147"/>
      <c r="C1428" s="147"/>
      <c r="D1428" s="147"/>
      <c r="E1428" s="34" t="s">
        <v>96</v>
      </c>
      <c r="F1428" s="34" t="s">
        <v>197</v>
      </c>
    </row>
    <row r="1429" spans="1:6" hidden="1">
      <c r="A1429" s="212" t="s">
        <v>126</v>
      </c>
      <c r="B1429" s="147"/>
      <c r="C1429" s="147"/>
      <c r="D1429" s="147"/>
      <c r="E1429" s="34" t="s">
        <v>96</v>
      </c>
      <c r="F1429" s="34" t="s">
        <v>197</v>
      </c>
    </row>
    <row r="1430" spans="1:6" hidden="1">
      <c r="A1430" s="212" t="s">
        <v>127</v>
      </c>
      <c r="B1430" s="147"/>
      <c r="C1430" s="147"/>
      <c r="D1430" s="147"/>
      <c r="E1430" s="34" t="s">
        <v>96</v>
      </c>
      <c r="F1430" s="34" t="s">
        <v>197</v>
      </c>
    </row>
    <row r="1431" spans="1:6" hidden="1">
      <c r="A1431" s="230" t="s">
        <v>116</v>
      </c>
      <c r="B1431" s="149"/>
      <c r="C1431" s="149"/>
      <c r="D1431" s="149"/>
      <c r="E1431" s="34" t="s">
        <v>96</v>
      </c>
      <c r="F1431" s="34" t="s">
        <v>199</v>
      </c>
    </row>
    <row r="1432" spans="1:6" hidden="1">
      <c r="A1432" s="230" t="s">
        <v>117</v>
      </c>
      <c r="B1432" s="149"/>
      <c r="C1432" s="149"/>
      <c r="D1432" s="149"/>
      <c r="E1432" s="34" t="s">
        <v>96</v>
      </c>
      <c r="F1432" s="34" t="s">
        <v>199</v>
      </c>
    </row>
    <row r="1433" spans="1:6" hidden="1">
      <c r="A1433" s="230" t="s">
        <v>118</v>
      </c>
      <c r="B1433" s="149"/>
      <c r="C1433" s="149"/>
      <c r="D1433" s="149"/>
      <c r="E1433" s="34" t="s">
        <v>96</v>
      </c>
      <c r="F1433" s="34" t="s">
        <v>199</v>
      </c>
    </row>
    <row r="1434" spans="1:6" hidden="1">
      <c r="A1434" s="230" t="s">
        <v>119</v>
      </c>
      <c r="B1434" s="149"/>
      <c r="C1434" s="149"/>
      <c r="D1434" s="149"/>
      <c r="E1434" s="34" t="s">
        <v>96</v>
      </c>
      <c r="F1434" s="34" t="s">
        <v>199</v>
      </c>
    </row>
    <row r="1435" spans="1:6" hidden="1">
      <c r="A1435" s="230" t="s">
        <v>120</v>
      </c>
      <c r="B1435" s="149"/>
      <c r="C1435" s="149"/>
      <c r="D1435" s="149"/>
      <c r="E1435" s="34" t="s">
        <v>96</v>
      </c>
      <c r="F1435" s="34" t="s">
        <v>199</v>
      </c>
    </row>
    <row r="1436" spans="1:6" hidden="1">
      <c r="A1436" s="230" t="s">
        <v>121</v>
      </c>
      <c r="B1436" s="149"/>
      <c r="C1436" s="149"/>
      <c r="D1436" s="149"/>
      <c r="E1436" s="34" t="s">
        <v>96</v>
      </c>
      <c r="F1436" s="34" t="s">
        <v>199</v>
      </c>
    </row>
    <row r="1437" spans="1:6" hidden="1">
      <c r="A1437" s="230" t="s">
        <v>122</v>
      </c>
      <c r="B1437" s="149"/>
      <c r="C1437" s="149"/>
      <c r="D1437" s="149"/>
      <c r="E1437" s="34" t="s">
        <v>96</v>
      </c>
      <c r="F1437" s="34" t="s">
        <v>199</v>
      </c>
    </row>
    <row r="1438" spans="1:6" hidden="1">
      <c r="A1438" s="230" t="s">
        <v>123</v>
      </c>
      <c r="B1438" s="149"/>
      <c r="C1438" s="149"/>
      <c r="D1438" s="149"/>
      <c r="E1438" s="34" t="s">
        <v>96</v>
      </c>
      <c r="F1438" s="34" t="s">
        <v>199</v>
      </c>
    </row>
    <row r="1439" spans="1:6" hidden="1">
      <c r="A1439" s="230" t="s">
        <v>124</v>
      </c>
      <c r="B1439" s="149"/>
      <c r="C1439" s="149"/>
      <c r="D1439" s="149"/>
      <c r="E1439" s="34" t="s">
        <v>96</v>
      </c>
      <c r="F1439" s="34" t="s">
        <v>199</v>
      </c>
    </row>
    <row r="1440" spans="1:6" hidden="1">
      <c r="A1440" s="230" t="s">
        <v>125</v>
      </c>
      <c r="B1440" s="149"/>
      <c r="C1440" s="149"/>
      <c r="D1440" s="149"/>
      <c r="E1440" s="34" t="s">
        <v>96</v>
      </c>
      <c r="F1440" s="34" t="s">
        <v>199</v>
      </c>
    </row>
    <row r="1441" spans="1:6" hidden="1">
      <c r="A1441" s="230" t="s">
        <v>126</v>
      </c>
      <c r="B1441" s="149"/>
      <c r="C1441" s="149"/>
      <c r="D1441" s="149"/>
      <c r="E1441" s="34" t="s">
        <v>96</v>
      </c>
      <c r="F1441" s="34" t="s">
        <v>199</v>
      </c>
    </row>
    <row r="1442" spans="1:6" hidden="1">
      <c r="A1442" s="230" t="s">
        <v>127</v>
      </c>
      <c r="B1442" s="149"/>
      <c r="C1442" s="149"/>
      <c r="D1442" s="149"/>
      <c r="E1442" s="34" t="s">
        <v>96</v>
      </c>
      <c r="F1442" s="34" t="s">
        <v>199</v>
      </c>
    </row>
    <row r="1443" spans="1:6" hidden="1">
      <c r="A1443" s="212" t="s">
        <v>116</v>
      </c>
      <c r="B1443" s="147"/>
      <c r="C1443" s="147"/>
      <c r="D1443" s="147"/>
      <c r="E1443" s="34" t="s">
        <v>96</v>
      </c>
      <c r="F1443" s="34" t="s">
        <v>222</v>
      </c>
    </row>
    <row r="1444" spans="1:6" hidden="1">
      <c r="A1444" s="212" t="s">
        <v>117</v>
      </c>
      <c r="B1444" s="147"/>
      <c r="C1444" s="147"/>
      <c r="D1444" s="147"/>
      <c r="E1444" s="34" t="s">
        <v>96</v>
      </c>
      <c r="F1444" s="34" t="s">
        <v>222</v>
      </c>
    </row>
    <row r="1445" spans="1:6" hidden="1">
      <c r="A1445" s="212" t="s">
        <v>118</v>
      </c>
      <c r="B1445" s="147"/>
      <c r="C1445" s="147"/>
      <c r="D1445" s="147"/>
      <c r="E1445" s="34" t="s">
        <v>96</v>
      </c>
      <c r="F1445" s="34" t="s">
        <v>222</v>
      </c>
    </row>
    <row r="1446" spans="1:6" hidden="1">
      <c r="A1446" s="212" t="s">
        <v>119</v>
      </c>
      <c r="B1446" s="147"/>
      <c r="C1446" s="147"/>
      <c r="D1446" s="147"/>
      <c r="E1446" s="34" t="s">
        <v>96</v>
      </c>
      <c r="F1446" s="34" t="s">
        <v>222</v>
      </c>
    </row>
    <row r="1447" spans="1:6" hidden="1">
      <c r="A1447" s="212" t="s">
        <v>120</v>
      </c>
      <c r="B1447" s="147"/>
      <c r="C1447" s="147"/>
      <c r="D1447" s="147"/>
      <c r="E1447" s="34" t="s">
        <v>96</v>
      </c>
      <c r="F1447" s="34" t="s">
        <v>222</v>
      </c>
    </row>
    <row r="1448" spans="1:6" hidden="1">
      <c r="A1448" s="212" t="s">
        <v>121</v>
      </c>
      <c r="B1448" s="147"/>
      <c r="C1448" s="147"/>
      <c r="D1448" s="147"/>
      <c r="E1448" s="34" t="s">
        <v>96</v>
      </c>
      <c r="F1448" s="34" t="s">
        <v>222</v>
      </c>
    </row>
    <row r="1449" spans="1:6" hidden="1">
      <c r="A1449" s="212" t="s">
        <v>122</v>
      </c>
      <c r="B1449" s="147"/>
      <c r="C1449" s="147"/>
      <c r="D1449" s="147"/>
      <c r="E1449" s="34" t="s">
        <v>96</v>
      </c>
      <c r="F1449" s="34" t="s">
        <v>222</v>
      </c>
    </row>
    <row r="1450" spans="1:6" hidden="1">
      <c r="A1450" s="212" t="s">
        <v>123</v>
      </c>
      <c r="B1450" s="147"/>
      <c r="C1450" s="147"/>
      <c r="D1450" s="147"/>
      <c r="E1450" s="34" t="s">
        <v>96</v>
      </c>
      <c r="F1450" s="34" t="s">
        <v>222</v>
      </c>
    </row>
    <row r="1451" spans="1:6" hidden="1">
      <c r="A1451" s="212" t="s">
        <v>124</v>
      </c>
      <c r="B1451" s="147"/>
      <c r="C1451" s="147"/>
      <c r="D1451" s="147"/>
      <c r="E1451" s="34" t="s">
        <v>96</v>
      </c>
      <c r="F1451" s="34" t="s">
        <v>222</v>
      </c>
    </row>
    <row r="1452" spans="1:6" hidden="1">
      <c r="A1452" s="212" t="s">
        <v>125</v>
      </c>
      <c r="B1452" s="147"/>
      <c r="C1452" s="147"/>
      <c r="D1452" s="147"/>
      <c r="E1452" s="34" t="s">
        <v>96</v>
      </c>
      <c r="F1452" s="34" t="s">
        <v>222</v>
      </c>
    </row>
    <row r="1453" spans="1:6" hidden="1">
      <c r="A1453" s="212" t="s">
        <v>126</v>
      </c>
      <c r="B1453" s="147"/>
      <c r="C1453" s="147"/>
      <c r="D1453" s="147"/>
      <c r="E1453" s="34" t="s">
        <v>96</v>
      </c>
      <c r="F1453" s="34" t="s">
        <v>222</v>
      </c>
    </row>
    <row r="1454" spans="1:6" hidden="1">
      <c r="A1454" s="212" t="s">
        <v>127</v>
      </c>
      <c r="B1454" s="147"/>
      <c r="C1454" s="147"/>
      <c r="D1454" s="147"/>
      <c r="E1454" s="34" t="s">
        <v>96</v>
      </c>
      <c r="F1454" s="34" t="s">
        <v>222</v>
      </c>
    </row>
    <row r="1455" spans="1:6" hidden="1">
      <c r="A1455" s="230" t="s">
        <v>116</v>
      </c>
      <c r="B1455" s="149"/>
      <c r="C1455" s="149"/>
      <c r="D1455" s="149"/>
      <c r="E1455" s="34" t="s">
        <v>96</v>
      </c>
      <c r="F1455" s="34" t="s">
        <v>198</v>
      </c>
    </row>
    <row r="1456" spans="1:6" hidden="1">
      <c r="A1456" s="230" t="s">
        <v>117</v>
      </c>
      <c r="B1456" s="149"/>
      <c r="C1456" s="149"/>
      <c r="D1456" s="149"/>
      <c r="E1456" s="34" t="s">
        <v>96</v>
      </c>
      <c r="F1456" s="34" t="s">
        <v>198</v>
      </c>
    </row>
    <row r="1457" spans="1:6" hidden="1">
      <c r="A1457" s="230" t="s">
        <v>118</v>
      </c>
      <c r="B1457" s="149"/>
      <c r="C1457" s="149"/>
      <c r="D1457" s="149"/>
      <c r="E1457" s="34" t="s">
        <v>96</v>
      </c>
      <c r="F1457" s="34" t="s">
        <v>198</v>
      </c>
    </row>
    <row r="1458" spans="1:6" hidden="1">
      <c r="A1458" s="230" t="s">
        <v>119</v>
      </c>
      <c r="B1458" s="149"/>
      <c r="C1458" s="149"/>
      <c r="D1458" s="149"/>
      <c r="E1458" s="34" t="s">
        <v>96</v>
      </c>
      <c r="F1458" s="34" t="s">
        <v>198</v>
      </c>
    </row>
    <row r="1459" spans="1:6" hidden="1">
      <c r="A1459" s="230" t="s">
        <v>120</v>
      </c>
      <c r="B1459" s="149"/>
      <c r="C1459" s="149"/>
      <c r="D1459" s="149"/>
      <c r="E1459" s="34" t="s">
        <v>96</v>
      </c>
      <c r="F1459" s="34" t="s">
        <v>198</v>
      </c>
    </row>
    <row r="1460" spans="1:6" hidden="1">
      <c r="A1460" s="230" t="s">
        <v>121</v>
      </c>
      <c r="B1460" s="149"/>
      <c r="C1460" s="149"/>
      <c r="D1460" s="149"/>
      <c r="E1460" s="34" t="s">
        <v>96</v>
      </c>
      <c r="F1460" s="34" t="s">
        <v>198</v>
      </c>
    </row>
    <row r="1461" spans="1:6" hidden="1">
      <c r="A1461" s="230" t="s">
        <v>122</v>
      </c>
      <c r="B1461" s="149"/>
      <c r="C1461" s="149"/>
      <c r="D1461" s="149"/>
      <c r="E1461" s="34" t="s">
        <v>96</v>
      </c>
      <c r="F1461" s="34" t="s">
        <v>198</v>
      </c>
    </row>
    <row r="1462" spans="1:6" hidden="1">
      <c r="A1462" s="230" t="s">
        <v>123</v>
      </c>
      <c r="B1462" s="149"/>
      <c r="C1462" s="149"/>
      <c r="D1462" s="149"/>
      <c r="E1462" s="34" t="s">
        <v>96</v>
      </c>
      <c r="F1462" s="34" t="s">
        <v>198</v>
      </c>
    </row>
    <row r="1463" spans="1:6" hidden="1">
      <c r="A1463" s="230" t="s">
        <v>124</v>
      </c>
      <c r="B1463" s="149"/>
      <c r="C1463" s="149"/>
      <c r="D1463" s="149"/>
      <c r="E1463" s="34" t="s">
        <v>96</v>
      </c>
      <c r="F1463" s="34" t="s">
        <v>198</v>
      </c>
    </row>
    <row r="1464" spans="1:6" hidden="1">
      <c r="A1464" s="230" t="s">
        <v>125</v>
      </c>
      <c r="B1464" s="149"/>
      <c r="C1464" s="149"/>
      <c r="D1464" s="149"/>
      <c r="E1464" s="34" t="s">
        <v>96</v>
      </c>
      <c r="F1464" s="34" t="s">
        <v>198</v>
      </c>
    </row>
    <row r="1465" spans="1:6" hidden="1">
      <c r="A1465" s="230" t="s">
        <v>126</v>
      </c>
      <c r="B1465" s="149"/>
      <c r="C1465" s="149"/>
      <c r="D1465" s="149"/>
      <c r="E1465" s="34" t="s">
        <v>96</v>
      </c>
      <c r="F1465" s="34" t="s">
        <v>198</v>
      </c>
    </row>
    <row r="1466" spans="1:6" hidden="1">
      <c r="A1466" s="230" t="s">
        <v>127</v>
      </c>
      <c r="B1466" s="149"/>
      <c r="C1466" s="149"/>
      <c r="D1466" s="149"/>
      <c r="E1466" s="34" t="s">
        <v>96</v>
      </c>
      <c r="F1466" s="34" t="s">
        <v>198</v>
      </c>
    </row>
    <row r="1467" spans="1:6" hidden="1">
      <c r="A1467" s="212" t="s">
        <v>116</v>
      </c>
      <c r="B1467" s="147"/>
      <c r="C1467" s="147"/>
      <c r="D1467" s="147"/>
      <c r="E1467" s="34" t="s">
        <v>96</v>
      </c>
      <c r="F1467" s="34" t="s">
        <v>28</v>
      </c>
    </row>
    <row r="1468" spans="1:6" hidden="1">
      <c r="A1468" s="212" t="s">
        <v>117</v>
      </c>
      <c r="B1468" s="147"/>
      <c r="C1468" s="147"/>
      <c r="D1468" s="147"/>
      <c r="E1468" s="34" t="s">
        <v>96</v>
      </c>
      <c r="F1468" s="34" t="s">
        <v>28</v>
      </c>
    </row>
    <row r="1469" spans="1:6" hidden="1">
      <c r="A1469" s="212" t="s">
        <v>118</v>
      </c>
      <c r="B1469" s="147"/>
      <c r="C1469" s="147"/>
      <c r="D1469" s="147"/>
      <c r="E1469" s="34" t="s">
        <v>96</v>
      </c>
      <c r="F1469" s="34" t="s">
        <v>28</v>
      </c>
    </row>
    <row r="1470" spans="1:6" hidden="1">
      <c r="A1470" s="212" t="s">
        <v>119</v>
      </c>
      <c r="B1470" s="147"/>
      <c r="C1470" s="147"/>
      <c r="D1470" s="147"/>
      <c r="E1470" s="34" t="s">
        <v>96</v>
      </c>
      <c r="F1470" s="34" t="s">
        <v>28</v>
      </c>
    </row>
    <row r="1471" spans="1:6" hidden="1">
      <c r="A1471" s="212" t="s">
        <v>120</v>
      </c>
      <c r="B1471" s="147"/>
      <c r="C1471" s="147"/>
      <c r="D1471" s="147"/>
      <c r="E1471" s="34" t="s">
        <v>96</v>
      </c>
      <c r="F1471" s="34" t="s">
        <v>28</v>
      </c>
    </row>
    <row r="1472" spans="1:6" hidden="1">
      <c r="A1472" s="212" t="s">
        <v>121</v>
      </c>
      <c r="B1472" s="147"/>
      <c r="C1472" s="147"/>
      <c r="D1472" s="147"/>
      <c r="E1472" s="34" t="s">
        <v>96</v>
      </c>
      <c r="F1472" s="34" t="s">
        <v>28</v>
      </c>
    </row>
    <row r="1473" spans="1:6" hidden="1">
      <c r="A1473" s="212" t="s">
        <v>122</v>
      </c>
      <c r="B1473" s="147"/>
      <c r="C1473" s="147"/>
      <c r="D1473" s="147"/>
      <c r="E1473" s="34" t="s">
        <v>96</v>
      </c>
      <c r="F1473" s="34" t="s">
        <v>28</v>
      </c>
    </row>
    <row r="1474" spans="1:6" hidden="1">
      <c r="A1474" s="212" t="s">
        <v>123</v>
      </c>
      <c r="B1474" s="147"/>
      <c r="C1474" s="147"/>
      <c r="D1474" s="147"/>
      <c r="E1474" s="34" t="s">
        <v>96</v>
      </c>
      <c r="F1474" s="34" t="s">
        <v>28</v>
      </c>
    </row>
    <row r="1475" spans="1:6" hidden="1">
      <c r="A1475" s="212" t="s">
        <v>124</v>
      </c>
      <c r="B1475" s="147"/>
      <c r="C1475" s="147"/>
      <c r="D1475" s="147"/>
      <c r="E1475" s="34" t="s">
        <v>96</v>
      </c>
      <c r="F1475" s="34" t="s">
        <v>28</v>
      </c>
    </row>
    <row r="1476" spans="1:6" hidden="1">
      <c r="A1476" s="212" t="s">
        <v>125</v>
      </c>
      <c r="B1476" s="147"/>
      <c r="C1476" s="147"/>
      <c r="D1476" s="147"/>
      <c r="E1476" s="34" t="s">
        <v>96</v>
      </c>
      <c r="F1476" s="34" t="s">
        <v>28</v>
      </c>
    </row>
    <row r="1477" spans="1:6" hidden="1">
      <c r="A1477" s="212" t="s">
        <v>126</v>
      </c>
      <c r="B1477" s="147"/>
      <c r="C1477" s="147"/>
      <c r="D1477" s="147"/>
      <c r="E1477" s="34" t="s">
        <v>96</v>
      </c>
      <c r="F1477" s="34" t="s">
        <v>28</v>
      </c>
    </row>
    <row r="1478" spans="1:6" hidden="1">
      <c r="A1478" s="212" t="s">
        <v>127</v>
      </c>
      <c r="B1478" s="147"/>
      <c r="C1478" s="147"/>
      <c r="D1478" s="147"/>
      <c r="E1478" s="34" t="s">
        <v>96</v>
      </c>
      <c r="F1478" s="34" t="s">
        <v>28</v>
      </c>
    </row>
    <row r="1479" spans="1:6" hidden="1">
      <c r="A1479" s="230" t="s">
        <v>116</v>
      </c>
      <c r="B1479" s="149"/>
      <c r="C1479" s="149"/>
      <c r="D1479" s="149"/>
      <c r="E1479" s="34" t="s">
        <v>96</v>
      </c>
      <c r="F1479" s="149" t="s">
        <v>142</v>
      </c>
    </row>
    <row r="1480" spans="1:6" hidden="1">
      <c r="A1480" s="230" t="s">
        <v>117</v>
      </c>
      <c r="B1480" s="149"/>
      <c r="C1480" s="149"/>
      <c r="D1480" s="149"/>
      <c r="E1480" s="34" t="s">
        <v>96</v>
      </c>
      <c r="F1480" s="149" t="s">
        <v>142</v>
      </c>
    </row>
    <row r="1481" spans="1:6" hidden="1">
      <c r="A1481" s="230" t="s">
        <v>118</v>
      </c>
      <c r="B1481" s="149"/>
      <c r="C1481" s="149"/>
      <c r="D1481" s="149"/>
      <c r="E1481" s="34" t="s">
        <v>96</v>
      </c>
      <c r="F1481" s="149" t="s">
        <v>142</v>
      </c>
    </row>
    <row r="1482" spans="1:6" hidden="1">
      <c r="A1482" s="230" t="s">
        <v>119</v>
      </c>
      <c r="B1482" s="149"/>
      <c r="C1482" s="149"/>
      <c r="D1482" s="149"/>
      <c r="E1482" s="34" t="s">
        <v>96</v>
      </c>
      <c r="F1482" s="149" t="s">
        <v>142</v>
      </c>
    </row>
    <row r="1483" spans="1:6" hidden="1">
      <c r="A1483" s="230" t="s">
        <v>120</v>
      </c>
      <c r="B1483" s="149"/>
      <c r="C1483" s="149"/>
      <c r="D1483" s="149"/>
      <c r="E1483" s="34" t="s">
        <v>96</v>
      </c>
      <c r="F1483" s="149" t="s">
        <v>142</v>
      </c>
    </row>
    <row r="1484" spans="1:6" hidden="1">
      <c r="A1484" s="230" t="s">
        <v>121</v>
      </c>
      <c r="B1484" s="149"/>
      <c r="C1484" s="149"/>
      <c r="D1484" s="149"/>
      <c r="E1484" s="34" t="s">
        <v>96</v>
      </c>
      <c r="F1484" s="149" t="s">
        <v>142</v>
      </c>
    </row>
    <row r="1485" spans="1:6" hidden="1">
      <c r="A1485" s="230" t="s">
        <v>122</v>
      </c>
      <c r="B1485" s="149"/>
      <c r="C1485" s="149"/>
      <c r="D1485" s="149"/>
      <c r="E1485" s="34" t="s">
        <v>96</v>
      </c>
      <c r="F1485" s="149" t="s">
        <v>142</v>
      </c>
    </row>
    <row r="1486" spans="1:6" hidden="1">
      <c r="A1486" s="230" t="s">
        <v>123</v>
      </c>
      <c r="B1486" s="149"/>
      <c r="C1486" s="149"/>
      <c r="D1486" s="149"/>
      <c r="E1486" s="34" t="s">
        <v>96</v>
      </c>
      <c r="F1486" s="149" t="s">
        <v>142</v>
      </c>
    </row>
    <row r="1487" spans="1:6" hidden="1">
      <c r="A1487" s="230" t="s">
        <v>124</v>
      </c>
      <c r="B1487" s="149"/>
      <c r="C1487" s="149"/>
      <c r="D1487" s="149"/>
      <c r="E1487" s="34" t="s">
        <v>96</v>
      </c>
      <c r="F1487" s="149" t="s">
        <v>142</v>
      </c>
    </row>
    <row r="1488" spans="1:6" hidden="1">
      <c r="A1488" s="230" t="s">
        <v>125</v>
      </c>
      <c r="B1488" s="149"/>
      <c r="C1488" s="149"/>
      <c r="D1488" s="149"/>
      <c r="E1488" s="34" t="s">
        <v>96</v>
      </c>
      <c r="F1488" s="149" t="s">
        <v>142</v>
      </c>
    </row>
    <row r="1489" spans="1:6" hidden="1">
      <c r="A1489" s="230" t="s">
        <v>126</v>
      </c>
      <c r="B1489" s="149"/>
      <c r="C1489" s="149"/>
      <c r="D1489" s="149"/>
      <c r="E1489" s="34" t="s">
        <v>96</v>
      </c>
      <c r="F1489" s="149" t="s">
        <v>142</v>
      </c>
    </row>
    <row r="1490" spans="1:6" hidden="1">
      <c r="A1490" s="230" t="s">
        <v>127</v>
      </c>
      <c r="B1490" s="149"/>
      <c r="C1490" s="149"/>
      <c r="D1490" s="149"/>
      <c r="E1490" s="34" t="s">
        <v>96</v>
      </c>
      <c r="F1490" s="149" t="s">
        <v>142</v>
      </c>
    </row>
    <row r="1491" spans="1:6" hidden="1">
      <c r="A1491" s="212" t="s">
        <v>116</v>
      </c>
      <c r="B1491" s="147"/>
      <c r="C1491" s="147"/>
      <c r="D1491" s="147"/>
      <c r="E1491" s="34" t="s">
        <v>97</v>
      </c>
      <c r="F1491" s="34" t="s">
        <v>197</v>
      </c>
    </row>
    <row r="1492" spans="1:6" hidden="1">
      <c r="A1492" s="212" t="s">
        <v>117</v>
      </c>
      <c r="B1492" s="147"/>
      <c r="C1492" s="147"/>
      <c r="D1492" s="147"/>
      <c r="E1492" s="34" t="s">
        <v>97</v>
      </c>
      <c r="F1492" s="34" t="s">
        <v>197</v>
      </c>
    </row>
    <row r="1493" spans="1:6" hidden="1">
      <c r="A1493" s="212" t="s">
        <v>118</v>
      </c>
      <c r="B1493" s="147"/>
      <c r="C1493" s="147"/>
      <c r="D1493" s="147"/>
      <c r="E1493" s="34" t="s">
        <v>97</v>
      </c>
      <c r="F1493" s="34" t="s">
        <v>197</v>
      </c>
    </row>
    <row r="1494" spans="1:6" hidden="1">
      <c r="A1494" s="212" t="s">
        <v>119</v>
      </c>
      <c r="B1494" s="147"/>
      <c r="C1494" s="147"/>
      <c r="D1494" s="147"/>
      <c r="E1494" s="34" t="s">
        <v>97</v>
      </c>
      <c r="F1494" s="34" t="s">
        <v>197</v>
      </c>
    </row>
    <row r="1495" spans="1:6" hidden="1">
      <c r="A1495" s="212" t="s">
        <v>120</v>
      </c>
      <c r="B1495" s="147"/>
      <c r="C1495" s="147"/>
      <c r="D1495" s="147"/>
      <c r="E1495" s="34" t="s">
        <v>97</v>
      </c>
      <c r="F1495" s="34" t="s">
        <v>197</v>
      </c>
    </row>
    <row r="1496" spans="1:6" hidden="1">
      <c r="A1496" s="212" t="s">
        <v>121</v>
      </c>
      <c r="B1496" s="147"/>
      <c r="C1496" s="147"/>
      <c r="D1496" s="147"/>
      <c r="E1496" s="34" t="s">
        <v>97</v>
      </c>
      <c r="F1496" s="34" t="s">
        <v>197</v>
      </c>
    </row>
    <row r="1497" spans="1:6" hidden="1">
      <c r="A1497" s="212" t="s">
        <v>122</v>
      </c>
      <c r="B1497" s="147"/>
      <c r="C1497" s="147"/>
      <c r="D1497" s="147"/>
      <c r="E1497" s="34" t="s">
        <v>97</v>
      </c>
      <c r="F1497" s="34" t="s">
        <v>197</v>
      </c>
    </row>
    <row r="1498" spans="1:6" hidden="1">
      <c r="A1498" s="212" t="s">
        <v>123</v>
      </c>
      <c r="B1498" s="147"/>
      <c r="C1498" s="147"/>
      <c r="D1498" s="147"/>
      <c r="E1498" s="34" t="s">
        <v>97</v>
      </c>
      <c r="F1498" s="34" t="s">
        <v>197</v>
      </c>
    </row>
    <row r="1499" spans="1:6" hidden="1">
      <c r="A1499" s="212" t="s">
        <v>124</v>
      </c>
      <c r="B1499" s="147"/>
      <c r="C1499" s="147"/>
      <c r="D1499" s="147"/>
      <c r="E1499" s="34" t="s">
        <v>97</v>
      </c>
      <c r="F1499" s="34" t="s">
        <v>197</v>
      </c>
    </row>
    <row r="1500" spans="1:6" hidden="1">
      <c r="A1500" s="212" t="s">
        <v>125</v>
      </c>
      <c r="B1500" s="147"/>
      <c r="C1500" s="147"/>
      <c r="D1500" s="147"/>
      <c r="E1500" s="34" t="s">
        <v>97</v>
      </c>
      <c r="F1500" s="34" t="s">
        <v>197</v>
      </c>
    </row>
    <row r="1501" spans="1:6" hidden="1">
      <c r="A1501" s="212" t="s">
        <v>126</v>
      </c>
      <c r="B1501" s="147"/>
      <c r="C1501" s="147"/>
      <c r="D1501" s="147"/>
      <c r="E1501" s="34" t="s">
        <v>97</v>
      </c>
      <c r="F1501" s="34" t="s">
        <v>197</v>
      </c>
    </row>
    <row r="1502" spans="1:6" hidden="1">
      <c r="A1502" s="212" t="s">
        <v>127</v>
      </c>
      <c r="B1502" s="147"/>
      <c r="C1502" s="147"/>
      <c r="D1502" s="147"/>
      <c r="E1502" s="34" t="s">
        <v>97</v>
      </c>
      <c r="F1502" s="34" t="s">
        <v>197</v>
      </c>
    </row>
    <row r="1503" spans="1:6" hidden="1">
      <c r="A1503" s="230" t="s">
        <v>116</v>
      </c>
      <c r="B1503" s="149"/>
      <c r="C1503" s="149"/>
      <c r="D1503" s="149"/>
      <c r="E1503" s="34" t="s">
        <v>97</v>
      </c>
      <c r="F1503" s="34" t="s">
        <v>199</v>
      </c>
    </row>
    <row r="1504" spans="1:6" hidden="1">
      <c r="A1504" s="230" t="s">
        <v>117</v>
      </c>
      <c r="B1504" s="149"/>
      <c r="C1504" s="149"/>
      <c r="D1504" s="149"/>
      <c r="E1504" s="34" t="s">
        <v>97</v>
      </c>
      <c r="F1504" s="34" t="s">
        <v>199</v>
      </c>
    </row>
    <row r="1505" spans="1:6" hidden="1">
      <c r="A1505" s="230" t="s">
        <v>118</v>
      </c>
      <c r="B1505" s="149"/>
      <c r="C1505" s="149"/>
      <c r="D1505" s="149"/>
      <c r="E1505" s="34" t="s">
        <v>97</v>
      </c>
      <c r="F1505" s="34" t="s">
        <v>199</v>
      </c>
    </row>
    <row r="1506" spans="1:6" hidden="1">
      <c r="A1506" s="230" t="s">
        <v>119</v>
      </c>
      <c r="B1506" s="149"/>
      <c r="C1506" s="149"/>
      <c r="D1506" s="149"/>
      <c r="E1506" s="34" t="s">
        <v>97</v>
      </c>
      <c r="F1506" s="34" t="s">
        <v>199</v>
      </c>
    </row>
    <row r="1507" spans="1:6" hidden="1">
      <c r="A1507" s="230" t="s">
        <v>120</v>
      </c>
      <c r="B1507" s="149"/>
      <c r="C1507" s="149"/>
      <c r="D1507" s="149"/>
      <c r="E1507" s="34" t="s">
        <v>97</v>
      </c>
      <c r="F1507" s="34" t="s">
        <v>199</v>
      </c>
    </row>
    <row r="1508" spans="1:6" hidden="1">
      <c r="A1508" s="230" t="s">
        <v>121</v>
      </c>
      <c r="B1508" s="149"/>
      <c r="C1508" s="149"/>
      <c r="D1508" s="149"/>
      <c r="E1508" s="34" t="s">
        <v>97</v>
      </c>
      <c r="F1508" s="34" t="s">
        <v>199</v>
      </c>
    </row>
    <row r="1509" spans="1:6" hidden="1">
      <c r="A1509" s="230" t="s">
        <v>122</v>
      </c>
      <c r="B1509" s="149"/>
      <c r="C1509" s="149"/>
      <c r="D1509" s="149"/>
      <c r="E1509" s="34" t="s">
        <v>97</v>
      </c>
      <c r="F1509" s="34" t="s">
        <v>199</v>
      </c>
    </row>
    <row r="1510" spans="1:6" hidden="1">
      <c r="A1510" s="230" t="s">
        <v>123</v>
      </c>
      <c r="B1510" s="149"/>
      <c r="C1510" s="149"/>
      <c r="D1510" s="149"/>
      <c r="E1510" s="34" t="s">
        <v>97</v>
      </c>
      <c r="F1510" s="34" t="s">
        <v>199</v>
      </c>
    </row>
    <row r="1511" spans="1:6" hidden="1">
      <c r="A1511" s="230" t="s">
        <v>124</v>
      </c>
      <c r="B1511" s="149"/>
      <c r="C1511" s="149"/>
      <c r="D1511" s="149"/>
      <c r="E1511" s="34" t="s">
        <v>97</v>
      </c>
      <c r="F1511" s="34" t="s">
        <v>199</v>
      </c>
    </row>
    <row r="1512" spans="1:6" hidden="1">
      <c r="A1512" s="230" t="s">
        <v>125</v>
      </c>
      <c r="B1512" s="149"/>
      <c r="C1512" s="149"/>
      <c r="D1512" s="149"/>
      <c r="E1512" s="34" t="s">
        <v>97</v>
      </c>
      <c r="F1512" s="34" t="s">
        <v>199</v>
      </c>
    </row>
    <row r="1513" spans="1:6" hidden="1">
      <c r="A1513" s="230" t="s">
        <v>126</v>
      </c>
      <c r="B1513" s="149"/>
      <c r="C1513" s="149"/>
      <c r="D1513" s="149"/>
      <c r="E1513" s="34" t="s">
        <v>97</v>
      </c>
      <c r="F1513" s="34" t="s">
        <v>199</v>
      </c>
    </row>
    <row r="1514" spans="1:6" hidden="1">
      <c r="A1514" s="230" t="s">
        <v>127</v>
      </c>
      <c r="B1514" s="149"/>
      <c r="C1514" s="149"/>
      <c r="D1514" s="149"/>
      <c r="E1514" s="34" t="s">
        <v>97</v>
      </c>
      <c r="F1514" s="34" t="s">
        <v>199</v>
      </c>
    </row>
    <row r="1515" spans="1:6" hidden="1">
      <c r="A1515" s="212" t="s">
        <v>116</v>
      </c>
      <c r="B1515" s="147"/>
      <c r="C1515" s="147"/>
      <c r="D1515" s="147"/>
      <c r="E1515" s="34" t="s">
        <v>97</v>
      </c>
      <c r="F1515" s="34" t="s">
        <v>222</v>
      </c>
    </row>
    <row r="1516" spans="1:6" hidden="1">
      <c r="A1516" s="212" t="s">
        <v>117</v>
      </c>
      <c r="B1516" s="147"/>
      <c r="C1516" s="147"/>
      <c r="D1516" s="147"/>
      <c r="E1516" s="34" t="s">
        <v>97</v>
      </c>
      <c r="F1516" s="34" t="s">
        <v>222</v>
      </c>
    </row>
    <row r="1517" spans="1:6" hidden="1">
      <c r="A1517" s="212" t="s">
        <v>118</v>
      </c>
      <c r="B1517" s="147"/>
      <c r="C1517" s="147"/>
      <c r="D1517" s="147"/>
      <c r="E1517" s="34" t="s">
        <v>97</v>
      </c>
      <c r="F1517" s="34" t="s">
        <v>222</v>
      </c>
    </row>
    <row r="1518" spans="1:6" hidden="1">
      <c r="A1518" s="212" t="s">
        <v>119</v>
      </c>
      <c r="B1518" s="147"/>
      <c r="C1518" s="147"/>
      <c r="D1518" s="147"/>
      <c r="E1518" s="34" t="s">
        <v>97</v>
      </c>
      <c r="F1518" s="34" t="s">
        <v>222</v>
      </c>
    </row>
    <row r="1519" spans="1:6" hidden="1">
      <c r="A1519" s="212" t="s">
        <v>120</v>
      </c>
      <c r="B1519" s="147"/>
      <c r="C1519" s="147"/>
      <c r="D1519" s="147"/>
      <c r="E1519" s="34" t="s">
        <v>97</v>
      </c>
      <c r="F1519" s="34" t="s">
        <v>222</v>
      </c>
    </row>
    <row r="1520" spans="1:6" hidden="1">
      <c r="A1520" s="212" t="s">
        <v>121</v>
      </c>
      <c r="B1520" s="147"/>
      <c r="C1520" s="147"/>
      <c r="D1520" s="147"/>
      <c r="E1520" s="34" t="s">
        <v>97</v>
      </c>
      <c r="F1520" s="34" t="s">
        <v>222</v>
      </c>
    </row>
    <row r="1521" spans="1:6" hidden="1">
      <c r="A1521" s="212" t="s">
        <v>122</v>
      </c>
      <c r="B1521" s="147"/>
      <c r="C1521" s="147"/>
      <c r="D1521" s="147"/>
      <c r="E1521" s="34" t="s">
        <v>97</v>
      </c>
      <c r="F1521" s="34" t="s">
        <v>222</v>
      </c>
    </row>
    <row r="1522" spans="1:6" hidden="1">
      <c r="A1522" s="212" t="s">
        <v>123</v>
      </c>
      <c r="B1522" s="147"/>
      <c r="C1522" s="147"/>
      <c r="D1522" s="147"/>
      <c r="E1522" s="34" t="s">
        <v>97</v>
      </c>
      <c r="F1522" s="34" t="s">
        <v>222</v>
      </c>
    </row>
    <row r="1523" spans="1:6" hidden="1">
      <c r="A1523" s="212" t="s">
        <v>124</v>
      </c>
      <c r="B1523" s="147"/>
      <c r="C1523" s="147"/>
      <c r="D1523" s="147"/>
      <c r="E1523" s="34" t="s">
        <v>97</v>
      </c>
      <c r="F1523" s="34" t="s">
        <v>222</v>
      </c>
    </row>
    <row r="1524" spans="1:6" hidden="1">
      <c r="A1524" s="212" t="s">
        <v>125</v>
      </c>
      <c r="B1524" s="147"/>
      <c r="C1524" s="147"/>
      <c r="D1524" s="147"/>
      <c r="E1524" s="34" t="s">
        <v>97</v>
      </c>
      <c r="F1524" s="34" t="s">
        <v>222</v>
      </c>
    </row>
    <row r="1525" spans="1:6" hidden="1">
      <c r="A1525" s="212" t="s">
        <v>126</v>
      </c>
      <c r="B1525" s="147"/>
      <c r="C1525" s="147"/>
      <c r="D1525" s="147"/>
      <c r="E1525" s="34" t="s">
        <v>97</v>
      </c>
      <c r="F1525" s="34" t="s">
        <v>222</v>
      </c>
    </row>
    <row r="1526" spans="1:6" hidden="1">
      <c r="A1526" s="212" t="s">
        <v>127</v>
      </c>
      <c r="B1526" s="147"/>
      <c r="C1526" s="147"/>
      <c r="D1526" s="147"/>
      <c r="E1526" s="34" t="s">
        <v>97</v>
      </c>
      <c r="F1526" s="34" t="s">
        <v>222</v>
      </c>
    </row>
    <row r="1527" spans="1:6" hidden="1">
      <c r="A1527" s="230" t="s">
        <v>116</v>
      </c>
      <c r="B1527" s="149"/>
      <c r="C1527" s="149"/>
      <c r="D1527" s="149"/>
      <c r="E1527" s="34" t="s">
        <v>97</v>
      </c>
      <c r="F1527" s="34" t="s">
        <v>198</v>
      </c>
    </row>
    <row r="1528" spans="1:6" hidden="1">
      <c r="A1528" s="230" t="s">
        <v>117</v>
      </c>
      <c r="B1528" s="149"/>
      <c r="C1528" s="149"/>
      <c r="D1528" s="149"/>
      <c r="E1528" s="34" t="s">
        <v>97</v>
      </c>
      <c r="F1528" s="34" t="s">
        <v>198</v>
      </c>
    </row>
    <row r="1529" spans="1:6" hidden="1">
      <c r="A1529" s="230" t="s">
        <v>118</v>
      </c>
      <c r="B1529" s="149"/>
      <c r="C1529" s="149"/>
      <c r="D1529" s="149"/>
      <c r="E1529" s="34" t="s">
        <v>97</v>
      </c>
      <c r="F1529" s="34" t="s">
        <v>198</v>
      </c>
    </row>
    <row r="1530" spans="1:6" hidden="1">
      <c r="A1530" s="230" t="s">
        <v>119</v>
      </c>
      <c r="B1530" s="149"/>
      <c r="C1530" s="149"/>
      <c r="D1530" s="149"/>
      <c r="E1530" s="34" t="s">
        <v>97</v>
      </c>
      <c r="F1530" s="34" t="s">
        <v>198</v>
      </c>
    </row>
    <row r="1531" spans="1:6" hidden="1">
      <c r="A1531" s="230" t="s">
        <v>120</v>
      </c>
      <c r="B1531" s="149"/>
      <c r="C1531" s="149"/>
      <c r="D1531" s="149"/>
      <c r="E1531" s="34" t="s">
        <v>97</v>
      </c>
      <c r="F1531" s="34" t="s">
        <v>198</v>
      </c>
    </row>
    <row r="1532" spans="1:6" hidden="1">
      <c r="A1532" s="230" t="s">
        <v>121</v>
      </c>
      <c r="B1532" s="149"/>
      <c r="C1532" s="149"/>
      <c r="D1532" s="149"/>
      <c r="E1532" s="34" t="s">
        <v>97</v>
      </c>
      <c r="F1532" s="34" t="s">
        <v>198</v>
      </c>
    </row>
    <row r="1533" spans="1:6" hidden="1">
      <c r="A1533" s="230" t="s">
        <v>122</v>
      </c>
      <c r="B1533" s="149"/>
      <c r="C1533" s="149"/>
      <c r="D1533" s="149"/>
      <c r="E1533" s="34" t="s">
        <v>97</v>
      </c>
      <c r="F1533" s="34" t="s">
        <v>198</v>
      </c>
    </row>
    <row r="1534" spans="1:6" hidden="1">
      <c r="A1534" s="230" t="s">
        <v>123</v>
      </c>
      <c r="B1534" s="149"/>
      <c r="C1534" s="149"/>
      <c r="D1534" s="149"/>
      <c r="E1534" s="34" t="s">
        <v>97</v>
      </c>
      <c r="F1534" s="34" t="s">
        <v>198</v>
      </c>
    </row>
    <row r="1535" spans="1:6" hidden="1">
      <c r="A1535" s="230" t="s">
        <v>124</v>
      </c>
      <c r="B1535" s="149"/>
      <c r="C1535" s="149"/>
      <c r="D1535" s="149"/>
      <c r="E1535" s="34" t="s">
        <v>97</v>
      </c>
      <c r="F1535" s="34" t="s">
        <v>198</v>
      </c>
    </row>
    <row r="1536" spans="1:6" hidden="1">
      <c r="A1536" s="230" t="s">
        <v>125</v>
      </c>
      <c r="B1536" s="149"/>
      <c r="C1536" s="149"/>
      <c r="D1536" s="149"/>
      <c r="E1536" s="34" t="s">
        <v>97</v>
      </c>
      <c r="F1536" s="34" t="s">
        <v>198</v>
      </c>
    </row>
    <row r="1537" spans="1:6" hidden="1">
      <c r="A1537" s="230" t="s">
        <v>126</v>
      </c>
      <c r="B1537" s="149"/>
      <c r="C1537" s="149"/>
      <c r="D1537" s="149"/>
      <c r="E1537" s="34" t="s">
        <v>97</v>
      </c>
      <c r="F1537" s="34" t="s">
        <v>198</v>
      </c>
    </row>
    <row r="1538" spans="1:6" hidden="1">
      <c r="A1538" s="230" t="s">
        <v>127</v>
      </c>
      <c r="B1538" s="149"/>
      <c r="C1538" s="149"/>
      <c r="D1538" s="149"/>
      <c r="E1538" s="34" t="s">
        <v>97</v>
      </c>
      <c r="F1538" s="34" t="s">
        <v>198</v>
      </c>
    </row>
    <row r="1539" spans="1:6" hidden="1">
      <c r="A1539" s="212" t="s">
        <v>116</v>
      </c>
      <c r="B1539" s="147"/>
      <c r="C1539" s="147"/>
      <c r="D1539" s="147"/>
      <c r="E1539" s="34" t="s">
        <v>97</v>
      </c>
      <c r="F1539" s="34" t="s">
        <v>28</v>
      </c>
    </row>
    <row r="1540" spans="1:6" hidden="1">
      <c r="A1540" s="212" t="s">
        <v>117</v>
      </c>
      <c r="B1540" s="147"/>
      <c r="C1540" s="147"/>
      <c r="D1540" s="147"/>
      <c r="E1540" s="34" t="s">
        <v>97</v>
      </c>
      <c r="F1540" s="34" t="s">
        <v>28</v>
      </c>
    </row>
    <row r="1541" spans="1:6" hidden="1">
      <c r="A1541" s="212" t="s">
        <v>118</v>
      </c>
      <c r="B1541" s="147"/>
      <c r="C1541" s="147"/>
      <c r="D1541" s="147"/>
      <c r="E1541" s="34" t="s">
        <v>97</v>
      </c>
      <c r="F1541" s="34" t="s">
        <v>28</v>
      </c>
    </row>
    <row r="1542" spans="1:6" hidden="1">
      <c r="A1542" s="212" t="s">
        <v>119</v>
      </c>
      <c r="B1542" s="147"/>
      <c r="C1542" s="147"/>
      <c r="D1542" s="147"/>
      <c r="E1542" s="34" t="s">
        <v>97</v>
      </c>
      <c r="F1542" s="34" t="s">
        <v>28</v>
      </c>
    </row>
    <row r="1543" spans="1:6" hidden="1">
      <c r="A1543" s="212" t="s">
        <v>120</v>
      </c>
      <c r="B1543" s="147"/>
      <c r="C1543" s="147"/>
      <c r="D1543" s="147"/>
      <c r="E1543" s="34" t="s">
        <v>97</v>
      </c>
      <c r="F1543" s="34" t="s">
        <v>28</v>
      </c>
    </row>
    <row r="1544" spans="1:6" hidden="1">
      <c r="A1544" s="212" t="s">
        <v>121</v>
      </c>
      <c r="B1544" s="147"/>
      <c r="C1544" s="147"/>
      <c r="D1544" s="147"/>
      <c r="E1544" s="34" t="s">
        <v>97</v>
      </c>
      <c r="F1544" s="34" t="s">
        <v>28</v>
      </c>
    </row>
    <row r="1545" spans="1:6" hidden="1">
      <c r="A1545" s="212" t="s">
        <v>122</v>
      </c>
      <c r="B1545" s="147"/>
      <c r="C1545" s="147"/>
      <c r="D1545" s="147"/>
      <c r="E1545" s="34" t="s">
        <v>97</v>
      </c>
      <c r="F1545" s="34" t="s">
        <v>28</v>
      </c>
    </row>
    <row r="1546" spans="1:6" hidden="1">
      <c r="A1546" s="212" t="s">
        <v>123</v>
      </c>
      <c r="B1546" s="147"/>
      <c r="C1546" s="147"/>
      <c r="D1546" s="147"/>
      <c r="E1546" s="34" t="s">
        <v>97</v>
      </c>
      <c r="F1546" s="34" t="s">
        <v>28</v>
      </c>
    </row>
    <row r="1547" spans="1:6" hidden="1">
      <c r="A1547" s="212" t="s">
        <v>124</v>
      </c>
      <c r="B1547" s="147"/>
      <c r="C1547" s="147"/>
      <c r="D1547" s="147"/>
      <c r="E1547" s="34" t="s">
        <v>97</v>
      </c>
      <c r="F1547" s="34" t="s">
        <v>28</v>
      </c>
    </row>
    <row r="1548" spans="1:6" hidden="1">
      <c r="A1548" s="212" t="s">
        <v>125</v>
      </c>
      <c r="B1548" s="147"/>
      <c r="C1548" s="147"/>
      <c r="D1548" s="147"/>
      <c r="E1548" s="34" t="s">
        <v>97</v>
      </c>
      <c r="F1548" s="34" t="s">
        <v>28</v>
      </c>
    </row>
    <row r="1549" spans="1:6" hidden="1">
      <c r="A1549" s="212" t="s">
        <v>126</v>
      </c>
      <c r="B1549" s="147"/>
      <c r="C1549" s="147"/>
      <c r="D1549" s="147"/>
      <c r="E1549" s="34" t="s">
        <v>97</v>
      </c>
      <c r="F1549" s="34" t="s">
        <v>28</v>
      </c>
    </row>
    <row r="1550" spans="1:6" hidden="1">
      <c r="A1550" s="212" t="s">
        <v>127</v>
      </c>
      <c r="B1550" s="147"/>
      <c r="C1550" s="147"/>
      <c r="D1550" s="147"/>
      <c r="E1550" s="34" t="s">
        <v>97</v>
      </c>
      <c r="F1550" s="34" t="s">
        <v>28</v>
      </c>
    </row>
    <row r="1551" spans="1:6" hidden="1">
      <c r="A1551" s="230" t="s">
        <v>116</v>
      </c>
      <c r="B1551" s="149"/>
      <c r="C1551" s="149"/>
      <c r="D1551" s="149"/>
      <c r="E1551" s="34" t="s">
        <v>97</v>
      </c>
      <c r="F1551" s="149" t="s">
        <v>142</v>
      </c>
    </row>
    <row r="1552" spans="1:6" hidden="1">
      <c r="A1552" s="230" t="s">
        <v>117</v>
      </c>
      <c r="B1552" s="149"/>
      <c r="C1552" s="149"/>
      <c r="D1552" s="149"/>
      <c r="E1552" s="34" t="s">
        <v>97</v>
      </c>
      <c r="F1552" s="149" t="s">
        <v>142</v>
      </c>
    </row>
    <row r="1553" spans="1:6" hidden="1">
      <c r="A1553" s="230" t="s">
        <v>118</v>
      </c>
      <c r="B1553" s="149"/>
      <c r="C1553" s="149"/>
      <c r="D1553" s="149"/>
      <c r="E1553" s="34" t="s">
        <v>97</v>
      </c>
      <c r="F1553" s="149" t="s">
        <v>142</v>
      </c>
    </row>
    <row r="1554" spans="1:6" hidden="1">
      <c r="A1554" s="230" t="s">
        <v>119</v>
      </c>
      <c r="B1554" s="149"/>
      <c r="C1554" s="149"/>
      <c r="D1554" s="149"/>
      <c r="E1554" s="34" t="s">
        <v>97</v>
      </c>
      <c r="F1554" s="149" t="s">
        <v>142</v>
      </c>
    </row>
    <row r="1555" spans="1:6" hidden="1">
      <c r="A1555" s="230" t="s">
        <v>120</v>
      </c>
      <c r="B1555" s="149"/>
      <c r="C1555" s="149"/>
      <c r="D1555" s="149"/>
      <c r="E1555" s="34" t="s">
        <v>97</v>
      </c>
      <c r="F1555" s="149" t="s">
        <v>142</v>
      </c>
    </row>
    <row r="1556" spans="1:6" hidden="1">
      <c r="A1556" s="230" t="s">
        <v>121</v>
      </c>
      <c r="B1556" s="149"/>
      <c r="C1556" s="149"/>
      <c r="D1556" s="149"/>
      <c r="E1556" s="34" t="s">
        <v>97</v>
      </c>
      <c r="F1556" s="149" t="s">
        <v>142</v>
      </c>
    </row>
    <row r="1557" spans="1:6" hidden="1">
      <c r="A1557" s="230" t="s">
        <v>122</v>
      </c>
      <c r="B1557" s="149"/>
      <c r="C1557" s="149"/>
      <c r="D1557" s="149"/>
      <c r="E1557" s="34" t="s">
        <v>97</v>
      </c>
      <c r="F1557" s="149" t="s">
        <v>142</v>
      </c>
    </row>
    <row r="1558" spans="1:6" hidden="1">
      <c r="A1558" s="230" t="s">
        <v>123</v>
      </c>
      <c r="B1558" s="149"/>
      <c r="C1558" s="149"/>
      <c r="D1558" s="149"/>
      <c r="E1558" s="34" t="s">
        <v>97</v>
      </c>
      <c r="F1558" s="149" t="s">
        <v>142</v>
      </c>
    </row>
    <row r="1559" spans="1:6" hidden="1">
      <c r="A1559" s="230" t="s">
        <v>124</v>
      </c>
      <c r="B1559" s="149"/>
      <c r="C1559" s="149"/>
      <c r="D1559" s="149"/>
      <c r="E1559" s="34" t="s">
        <v>97</v>
      </c>
      <c r="F1559" s="149" t="s">
        <v>142</v>
      </c>
    </row>
    <row r="1560" spans="1:6" hidden="1">
      <c r="A1560" s="230" t="s">
        <v>125</v>
      </c>
      <c r="B1560" s="149"/>
      <c r="C1560" s="149"/>
      <c r="D1560" s="149"/>
      <c r="E1560" s="34" t="s">
        <v>97</v>
      </c>
      <c r="F1560" s="149" t="s">
        <v>142</v>
      </c>
    </row>
    <row r="1561" spans="1:6" hidden="1">
      <c r="A1561" s="230" t="s">
        <v>126</v>
      </c>
      <c r="B1561" s="149"/>
      <c r="C1561" s="149"/>
      <c r="D1561" s="149"/>
      <c r="E1561" s="34" t="s">
        <v>97</v>
      </c>
      <c r="F1561" s="149" t="s">
        <v>142</v>
      </c>
    </row>
    <row r="1562" spans="1:6" hidden="1">
      <c r="A1562" s="230" t="s">
        <v>127</v>
      </c>
      <c r="B1562" s="149"/>
      <c r="C1562" s="149"/>
      <c r="D1562" s="149"/>
      <c r="E1562" s="34" t="s">
        <v>97</v>
      </c>
      <c r="F1562" s="149" t="s">
        <v>142</v>
      </c>
    </row>
    <row r="1563" spans="1:6" hidden="1">
      <c r="A1563" s="212" t="s">
        <v>116</v>
      </c>
      <c r="B1563" s="147"/>
      <c r="C1563" s="147"/>
      <c r="D1563" s="147"/>
      <c r="E1563" s="34" t="s">
        <v>98</v>
      </c>
      <c r="F1563" s="34" t="s">
        <v>197</v>
      </c>
    </row>
    <row r="1564" spans="1:6" hidden="1">
      <c r="A1564" s="212" t="s">
        <v>117</v>
      </c>
      <c r="B1564" s="147"/>
      <c r="C1564" s="147"/>
      <c r="D1564" s="147"/>
      <c r="E1564" s="34" t="s">
        <v>98</v>
      </c>
      <c r="F1564" s="34" t="s">
        <v>197</v>
      </c>
    </row>
    <row r="1565" spans="1:6" hidden="1">
      <c r="A1565" s="212" t="s">
        <v>118</v>
      </c>
      <c r="B1565" s="147"/>
      <c r="C1565" s="147"/>
      <c r="D1565" s="147"/>
      <c r="E1565" s="34" t="s">
        <v>98</v>
      </c>
      <c r="F1565" s="34" t="s">
        <v>197</v>
      </c>
    </row>
    <row r="1566" spans="1:6" hidden="1">
      <c r="A1566" s="212" t="s">
        <v>119</v>
      </c>
      <c r="B1566" s="147"/>
      <c r="C1566" s="147"/>
      <c r="D1566" s="147"/>
      <c r="E1566" s="34" t="s">
        <v>98</v>
      </c>
      <c r="F1566" s="34" t="s">
        <v>197</v>
      </c>
    </row>
    <row r="1567" spans="1:6" hidden="1">
      <c r="A1567" s="212" t="s">
        <v>120</v>
      </c>
      <c r="B1567" s="147"/>
      <c r="C1567" s="147"/>
      <c r="D1567" s="147"/>
      <c r="E1567" s="34" t="s">
        <v>98</v>
      </c>
      <c r="F1567" s="34" t="s">
        <v>197</v>
      </c>
    </row>
    <row r="1568" spans="1:6" hidden="1">
      <c r="A1568" s="212" t="s">
        <v>121</v>
      </c>
      <c r="B1568" s="147"/>
      <c r="C1568" s="147"/>
      <c r="D1568" s="147"/>
      <c r="E1568" s="34" t="s">
        <v>98</v>
      </c>
      <c r="F1568" s="34" t="s">
        <v>197</v>
      </c>
    </row>
    <row r="1569" spans="1:6" hidden="1">
      <c r="A1569" s="212" t="s">
        <v>122</v>
      </c>
      <c r="B1569" s="147"/>
      <c r="C1569" s="147"/>
      <c r="D1569" s="147"/>
      <c r="E1569" s="34" t="s">
        <v>98</v>
      </c>
      <c r="F1569" s="34" t="s">
        <v>197</v>
      </c>
    </row>
    <row r="1570" spans="1:6" hidden="1">
      <c r="A1570" s="212" t="s">
        <v>123</v>
      </c>
      <c r="B1570" s="147"/>
      <c r="C1570" s="147"/>
      <c r="D1570" s="147"/>
      <c r="E1570" s="34" t="s">
        <v>98</v>
      </c>
      <c r="F1570" s="34" t="s">
        <v>197</v>
      </c>
    </row>
    <row r="1571" spans="1:6" hidden="1">
      <c r="A1571" s="212" t="s">
        <v>124</v>
      </c>
      <c r="B1571" s="147"/>
      <c r="C1571" s="147"/>
      <c r="D1571" s="147"/>
      <c r="E1571" s="34" t="s">
        <v>98</v>
      </c>
      <c r="F1571" s="34" t="s">
        <v>197</v>
      </c>
    </row>
    <row r="1572" spans="1:6" hidden="1">
      <c r="A1572" s="212" t="s">
        <v>125</v>
      </c>
      <c r="B1572" s="147"/>
      <c r="C1572" s="147"/>
      <c r="D1572" s="147"/>
      <c r="E1572" s="34" t="s">
        <v>98</v>
      </c>
      <c r="F1572" s="34" t="s">
        <v>197</v>
      </c>
    </row>
    <row r="1573" spans="1:6" hidden="1">
      <c r="A1573" s="212" t="s">
        <v>126</v>
      </c>
      <c r="B1573" s="147"/>
      <c r="C1573" s="147"/>
      <c r="D1573" s="147"/>
      <c r="E1573" s="34" t="s">
        <v>98</v>
      </c>
      <c r="F1573" s="34" t="s">
        <v>197</v>
      </c>
    </row>
    <row r="1574" spans="1:6" hidden="1">
      <c r="A1574" s="212" t="s">
        <v>127</v>
      </c>
      <c r="B1574" s="147"/>
      <c r="C1574" s="147"/>
      <c r="D1574" s="147"/>
      <c r="E1574" s="34" t="s">
        <v>98</v>
      </c>
      <c r="F1574" s="34" t="s">
        <v>197</v>
      </c>
    </row>
    <row r="1575" spans="1:6" hidden="1">
      <c r="A1575" s="230" t="s">
        <v>116</v>
      </c>
      <c r="B1575" s="149"/>
      <c r="C1575" s="149"/>
      <c r="D1575" s="149"/>
      <c r="E1575" s="34" t="s">
        <v>98</v>
      </c>
      <c r="F1575" s="34" t="s">
        <v>199</v>
      </c>
    </row>
    <row r="1576" spans="1:6" hidden="1">
      <c r="A1576" s="230" t="s">
        <v>117</v>
      </c>
      <c r="B1576" s="149"/>
      <c r="C1576" s="149"/>
      <c r="D1576" s="149"/>
      <c r="E1576" s="34" t="s">
        <v>98</v>
      </c>
      <c r="F1576" s="34" t="s">
        <v>199</v>
      </c>
    </row>
    <row r="1577" spans="1:6" hidden="1">
      <c r="A1577" s="230" t="s">
        <v>118</v>
      </c>
      <c r="B1577" s="149"/>
      <c r="C1577" s="149"/>
      <c r="D1577" s="149"/>
      <c r="E1577" s="34" t="s">
        <v>98</v>
      </c>
      <c r="F1577" s="34" t="s">
        <v>199</v>
      </c>
    </row>
    <row r="1578" spans="1:6" hidden="1">
      <c r="A1578" s="230" t="s">
        <v>119</v>
      </c>
      <c r="B1578" s="149"/>
      <c r="C1578" s="149"/>
      <c r="D1578" s="149"/>
      <c r="E1578" s="34" t="s">
        <v>98</v>
      </c>
      <c r="F1578" s="34" t="s">
        <v>199</v>
      </c>
    </row>
    <row r="1579" spans="1:6" hidden="1">
      <c r="A1579" s="230" t="s">
        <v>120</v>
      </c>
      <c r="B1579" s="149"/>
      <c r="C1579" s="149"/>
      <c r="D1579" s="149"/>
      <c r="E1579" s="34" t="s">
        <v>98</v>
      </c>
      <c r="F1579" s="34" t="s">
        <v>199</v>
      </c>
    </row>
    <row r="1580" spans="1:6" hidden="1">
      <c r="A1580" s="230" t="s">
        <v>121</v>
      </c>
      <c r="B1580" s="149"/>
      <c r="C1580" s="149"/>
      <c r="D1580" s="149"/>
      <c r="E1580" s="34" t="s">
        <v>98</v>
      </c>
      <c r="F1580" s="34" t="s">
        <v>199</v>
      </c>
    </row>
    <row r="1581" spans="1:6" hidden="1">
      <c r="A1581" s="230" t="s">
        <v>122</v>
      </c>
      <c r="B1581" s="149"/>
      <c r="C1581" s="149"/>
      <c r="D1581" s="149"/>
      <c r="E1581" s="34" t="s">
        <v>98</v>
      </c>
      <c r="F1581" s="34" t="s">
        <v>199</v>
      </c>
    </row>
    <row r="1582" spans="1:6" hidden="1">
      <c r="A1582" s="230" t="s">
        <v>123</v>
      </c>
      <c r="B1582" s="149"/>
      <c r="C1582" s="149"/>
      <c r="D1582" s="149"/>
      <c r="E1582" s="34" t="s">
        <v>98</v>
      </c>
      <c r="F1582" s="34" t="s">
        <v>199</v>
      </c>
    </row>
    <row r="1583" spans="1:6" hidden="1">
      <c r="A1583" s="230" t="s">
        <v>124</v>
      </c>
      <c r="B1583" s="149"/>
      <c r="C1583" s="149"/>
      <c r="D1583" s="149"/>
      <c r="E1583" s="34" t="s">
        <v>98</v>
      </c>
      <c r="F1583" s="34" t="s">
        <v>199</v>
      </c>
    </row>
    <row r="1584" spans="1:6" hidden="1">
      <c r="A1584" s="230" t="s">
        <v>125</v>
      </c>
      <c r="B1584" s="149"/>
      <c r="C1584" s="149"/>
      <c r="D1584" s="149"/>
      <c r="E1584" s="34" t="s">
        <v>98</v>
      </c>
      <c r="F1584" s="34" t="s">
        <v>199</v>
      </c>
    </row>
    <row r="1585" spans="1:6" hidden="1">
      <c r="A1585" s="230" t="s">
        <v>126</v>
      </c>
      <c r="B1585" s="149"/>
      <c r="C1585" s="149"/>
      <c r="D1585" s="149"/>
      <c r="E1585" s="34" t="s">
        <v>98</v>
      </c>
      <c r="F1585" s="34" t="s">
        <v>199</v>
      </c>
    </row>
    <row r="1586" spans="1:6" hidden="1">
      <c r="A1586" s="230" t="s">
        <v>127</v>
      </c>
      <c r="B1586" s="149"/>
      <c r="C1586" s="149"/>
      <c r="D1586" s="149"/>
      <c r="E1586" s="34" t="s">
        <v>98</v>
      </c>
      <c r="F1586" s="34" t="s">
        <v>199</v>
      </c>
    </row>
    <row r="1587" spans="1:6" hidden="1">
      <c r="A1587" s="212" t="s">
        <v>116</v>
      </c>
      <c r="B1587" s="147"/>
      <c r="C1587" s="147"/>
      <c r="D1587" s="147"/>
      <c r="E1587" s="34" t="s">
        <v>98</v>
      </c>
      <c r="F1587" s="34" t="s">
        <v>222</v>
      </c>
    </row>
    <row r="1588" spans="1:6" hidden="1">
      <c r="A1588" s="212" t="s">
        <v>117</v>
      </c>
      <c r="B1588" s="147"/>
      <c r="C1588" s="147"/>
      <c r="D1588" s="147"/>
      <c r="E1588" s="34" t="s">
        <v>98</v>
      </c>
      <c r="F1588" s="34" t="s">
        <v>222</v>
      </c>
    </row>
    <row r="1589" spans="1:6" hidden="1">
      <c r="A1589" s="212" t="s">
        <v>118</v>
      </c>
      <c r="B1589" s="147"/>
      <c r="C1589" s="147"/>
      <c r="D1589" s="147"/>
      <c r="E1589" s="34" t="s">
        <v>98</v>
      </c>
      <c r="F1589" s="34" t="s">
        <v>222</v>
      </c>
    </row>
    <row r="1590" spans="1:6" hidden="1">
      <c r="A1590" s="212" t="s">
        <v>119</v>
      </c>
      <c r="B1590" s="147"/>
      <c r="C1590" s="147"/>
      <c r="D1590" s="147"/>
      <c r="E1590" s="34" t="s">
        <v>98</v>
      </c>
      <c r="F1590" s="34" t="s">
        <v>222</v>
      </c>
    </row>
    <row r="1591" spans="1:6" hidden="1">
      <c r="A1591" s="212" t="s">
        <v>120</v>
      </c>
      <c r="B1591" s="147"/>
      <c r="C1591" s="147"/>
      <c r="D1591" s="147"/>
      <c r="E1591" s="34" t="s">
        <v>98</v>
      </c>
      <c r="F1591" s="34" t="s">
        <v>222</v>
      </c>
    </row>
    <row r="1592" spans="1:6" hidden="1">
      <c r="A1592" s="212" t="s">
        <v>121</v>
      </c>
      <c r="B1592" s="147"/>
      <c r="C1592" s="147"/>
      <c r="D1592" s="147"/>
      <c r="E1592" s="34" t="s">
        <v>98</v>
      </c>
      <c r="F1592" s="34" t="s">
        <v>222</v>
      </c>
    </row>
    <row r="1593" spans="1:6" hidden="1">
      <c r="A1593" s="212" t="s">
        <v>122</v>
      </c>
      <c r="B1593" s="147"/>
      <c r="C1593" s="147"/>
      <c r="D1593" s="147"/>
      <c r="E1593" s="34" t="s">
        <v>98</v>
      </c>
      <c r="F1593" s="34" t="s">
        <v>222</v>
      </c>
    </row>
    <row r="1594" spans="1:6" hidden="1">
      <c r="A1594" s="212" t="s">
        <v>123</v>
      </c>
      <c r="B1594" s="147"/>
      <c r="C1594" s="147"/>
      <c r="D1594" s="147"/>
      <c r="E1594" s="34" t="s">
        <v>98</v>
      </c>
      <c r="F1594" s="34" t="s">
        <v>222</v>
      </c>
    </row>
    <row r="1595" spans="1:6" hidden="1">
      <c r="A1595" s="212" t="s">
        <v>124</v>
      </c>
      <c r="B1595" s="147"/>
      <c r="C1595" s="147"/>
      <c r="D1595" s="147"/>
      <c r="E1595" s="34" t="s">
        <v>98</v>
      </c>
      <c r="F1595" s="34" t="s">
        <v>222</v>
      </c>
    </row>
    <row r="1596" spans="1:6" hidden="1">
      <c r="A1596" s="212" t="s">
        <v>125</v>
      </c>
      <c r="B1596" s="147"/>
      <c r="C1596" s="147"/>
      <c r="D1596" s="147"/>
      <c r="E1596" s="34" t="s">
        <v>98</v>
      </c>
      <c r="F1596" s="34" t="s">
        <v>222</v>
      </c>
    </row>
    <row r="1597" spans="1:6" hidden="1">
      <c r="A1597" s="212" t="s">
        <v>126</v>
      </c>
      <c r="B1597" s="147"/>
      <c r="C1597" s="147"/>
      <c r="D1597" s="147"/>
      <c r="E1597" s="34" t="s">
        <v>98</v>
      </c>
      <c r="F1597" s="34" t="s">
        <v>222</v>
      </c>
    </row>
    <row r="1598" spans="1:6" hidden="1">
      <c r="A1598" s="212" t="s">
        <v>127</v>
      </c>
      <c r="B1598" s="147"/>
      <c r="C1598" s="147"/>
      <c r="D1598" s="147"/>
      <c r="E1598" s="34" t="s">
        <v>98</v>
      </c>
      <c r="F1598" s="34" t="s">
        <v>222</v>
      </c>
    </row>
    <row r="1599" spans="1:6" hidden="1">
      <c r="A1599" s="230" t="s">
        <v>116</v>
      </c>
      <c r="B1599" s="149"/>
      <c r="C1599" s="149"/>
      <c r="D1599" s="149"/>
      <c r="E1599" s="34" t="s">
        <v>98</v>
      </c>
      <c r="F1599" s="34" t="s">
        <v>198</v>
      </c>
    </row>
    <row r="1600" spans="1:6" hidden="1">
      <c r="A1600" s="230" t="s">
        <v>117</v>
      </c>
      <c r="B1600" s="149"/>
      <c r="C1600" s="149"/>
      <c r="D1600" s="149"/>
      <c r="E1600" s="34" t="s">
        <v>98</v>
      </c>
      <c r="F1600" s="34" t="s">
        <v>198</v>
      </c>
    </row>
    <row r="1601" spans="1:6" hidden="1">
      <c r="A1601" s="230" t="s">
        <v>118</v>
      </c>
      <c r="B1601" s="149"/>
      <c r="C1601" s="149"/>
      <c r="D1601" s="149"/>
      <c r="E1601" s="34" t="s">
        <v>98</v>
      </c>
      <c r="F1601" s="34" t="s">
        <v>198</v>
      </c>
    </row>
    <row r="1602" spans="1:6" hidden="1">
      <c r="A1602" s="230" t="s">
        <v>119</v>
      </c>
      <c r="B1602" s="149"/>
      <c r="C1602" s="149"/>
      <c r="D1602" s="149"/>
      <c r="E1602" s="34" t="s">
        <v>98</v>
      </c>
      <c r="F1602" s="34" t="s">
        <v>198</v>
      </c>
    </row>
    <row r="1603" spans="1:6" hidden="1">
      <c r="A1603" s="230" t="s">
        <v>120</v>
      </c>
      <c r="B1603" s="149"/>
      <c r="C1603" s="149"/>
      <c r="D1603" s="149"/>
      <c r="E1603" s="34" t="s">
        <v>98</v>
      </c>
      <c r="F1603" s="34" t="s">
        <v>198</v>
      </c>
    </row>
    <row r="1604" spans="1:6" hidden="1">
      <c r="A1604" s="230" t="s">
        <v>121</v>
      </c>
      <c r="B1604" s="149"/>
      <c r="C1604" s="149"/>
      <c r="D1604" s="149"/>
      <c r="E1604" s="34" t="s">
        <v>98</v>
      </c>
      <c r="F1604" s="34" t="s">
        <v>198</v>
      </c>
    </row>
    <row r="1605" spans="1:6" hidden="1">
      <c r="A1605" s="230" t="s">
        <v>122</v>
      </c>
      <c r="B1605" s="149"/>
      <c r="C1605" s="149"/>
      <c r="D1605" s="149"/>
      <c r="E1605" s="34" t="s">
        <v>98</v>
      </c>
      <c r="F1605" s="34" t="s">
        <v>198</v>
      </c>
    </row>
    <row r="1606" spans="1:6" hidden="1">
      <c r="A1606" s="230" t="s">
        <v>123</v>
      </c>
      <c r="B1606" s="149"/>
      <c r="C1606" s="149"/>
      <c r="D1606" s="149"/>
      <c r="E1606" s="34" t="s">
        <v>98</v>
      </c>
      <c r="F1606" s="34" t="s">
        <v>198</v>
      </c>
    </row>
    <row r="1607" spans="1:6" hidden="1">
      <c r="A1607" s="230" t="s">
        <v>124</v>
      </c>
      <c r="B1607" s="149"/>
      <c r="C1607" s="149"/>
      <c r="D1607" s="149"/>
      <c r="E1607" s="34" t="s">
        <v>98</v>
      </c>
      <c r="F1607" s="34" t="s">
        <v>198</v>
      </c>
    </row>
    <row r="1608" spans="1:6" hidden="1">
      <c r="A1608" s="230" t="s">
        <v>125</v>
      </c>
      <c r="B1608" s="149"/>
      <c r="C1608" s="149"/>
      <c r="D1608" s="149"/>
      <c r="E1608" s="34" t="s">
        <v>98</v>
      </c>
      <c r="F1608" s="34" t="s">
        <v>198</v>
      </c>
    </row>
    <row r="1609" spans="1:6" hidden="1">
      <c r="A1609" s="230" t="s">
        <v>126</v>
      </c>
      <c r="B1609" s="149"/>
      <c r="C1609" s="149"/>
      <c r="D1609" s="149"/>
      <c r="E1609" s="34" t="s">
        <v>98</v>
      </c>
      <c r="F1609" s="34" t="s">
        <v>198</v>
      </c>
    </row>
    <row r="1610" spans="1:6" hidden="1">
      <c r="A1610" s="230" t="s">
        <v>127</v>
      </c>
      <c r="B1610" s="149"/>
      <c r="C1610" s="149"/>
      <c r="D1610" s="149"/>
      <c r="E1610" s="34" t="s">
        <v>98</v>
      </c>
      <c r="F1610" s="34" t="s">
        <v>198</v>
      </c>
    </row>
    <row r="1611" spans="1:6" hidden="1">
      <c r="A1611" s="212" t="s">
        <v>116</v>
      </c>
      <c r="B1611" s="147"/>
      <c r="C1611" s="147"/>
      <c r="D1611" s="147"/>
      <c r="E1611" s="34" t="s">
        <v>98</v>
      </c>
      <c r="F1611" s="34" t="s">
        <v>28</v>
      </c>
    </row>
    <row r="1612" spans="1:6" hidden="1">
      <c r="A1612" s="212" t="s">
        <v>117</v>
      </c>
      <c r="B1612" s="147"/>
      <c r="C1612" s="147"/>
      <c r="D1612" s="147"/>
      <c r="E1612" s="34" t="s">
        <v>98</v>
      </c>
      <c r="F1612" s="34" t="s">
        <v>28</v>
      </c>
    </row>
    <row r="1613" spans="1:6" hidden="1">
      <c r="A1613" s="212" t="s">
        <v>118</v>
      </c>
      <c r="B1613" s="147"/>
      <c r="C1613" s="147"/>
      <c r="D1613" s="147"/>
      <c r="E1613" s="34" t="s">
        <v>98</v>
      </c>
      <c r="F1613" s="34" t="s">
        <v>28</v>
      </c>
    </row>
    <row r="1614" spans="1:6" hidden="1">
      <c r="A1614" s="212" t="s">
        <v>119</v>
      </c>
      <c r="B1614" s="147"/>
      <c r="C1614" s="147"/>
      <c r="D1614" s="147"/>
      <c r="E1614" s="34" t="s">
        <v>98</v>
      </c>
      <c r="F1614" s="34" t="s">
        <v>28</v>
      </c>
    </row>
    <row r="1615" spans="1:6" hidden="1">
      <c r="A1615" s="212" t="s">
        <v>120</v>
      </c>
      <c r="B1615" s="147"/>
      <c r="C1615" s="147"/>
      <c r="D1615" s="147"/>
      <c r="E1615" s="34" t="s">
        <v>98</v>
      </c>
      <c r="F1615" s="34" t="s">
        <v>28</v>
      </c>
    </row>
    <row r="1616" spans="1:6" hidden="1">
      <c r="A1616" s="212" t="s">
        <v>121</v>
      </c>
      <c r="B1616" s="147"/>
      <c r="C1616" s="147"/>
      <c r="D1616" s="147"/>
      <c r="E1616" s="34" t="s">
        <v>98</v>
      </c>
      <c r="F1616" s="34" t="s">
        <v>28</v>
      </c>
    </row>
    <row r="1617" spans="1:6" hidden="1">
      <c r="A1617" s="212" t="s">
        <v>122</v>
      </c>
      <c r="B1617" s="147"/>
      <c r="C1617" s="147"/>
      <c r="D1617" s="147"/>
      <c r="E1617" s="34" t="s">
        <v>98</v>
      </c>
      <c r="F1617" s="34" t="s">
        <v>28</v>
      </c>
    </row>
    <row r="1618" spans="1:6" hidden="1">
      <c r="A1618" s="212" t="s">
        <v>123</v>
      </c>
      <c r="B1618" s="147"/>
      <c r="C1618" s="147"/>
      <c r="D1618" s="147"/>
      <c r="E1618" s="34" t="s">
        <v>98</v>
      </c>
      <c r="F1618" s="34" t="s">
        <v>28</v>
      </c>
    </row>
    <row r="1619" spans="1:6" hidden="1">
      <c r="A1619" s="212" t="s">
        <v>124</v>
      </c>
      <c r="B1619" s="147"/>
      <c r="C1619" s="147"/>
      <c r="D1619" s="147"/>
      <c r="E1619" s="34" t="s">
        <v>98</v>
      </c>
      <c r="F1619" s="34" t="s">
        <v>28</v>
      </c>
    </row>
    <row r="1620" spans="1:6" hidden="1">
      <c r="A1620" s="212" t="s">
        <v>125</v>
      </c>
      <c r="B1620" s="147"/>
      <c r="C1620" s="147"/>
      <c r="D1620" s="147"/>
      <c r="E1620" s="34" t="s">
        <v>98</v>
      </c>
      <c r="F1620" s="34" t="s">
        <v>28</v>
      </c>
    </row>
    <row r="1621" spans="1:6" hidden="1">
      <c r="A1621" s="212" t="s">
        <v>126</v>
      </c>
      <c r="B1621" s="147"/>
      <c r="C1621" s="147"/>
      <c r="D1621" s="147"/>
      <c r="E1621" s="34" t="s">
        <v>98</v>
      </c>
      <c r="F1621" s="34" t="s">
        <v>28</v>
      </c>
    </row>
    <row r="1622" spans="1:6" hidden="1">
      <c r="A1622" s="212" t="s">
        <v>127</v>
      </c>
      <c r="B1622" s="147"/>
      <c r="C1622" s="147"/>
      <c r="D1622" s="147"/>
      <c r="E1622" s="34" t="s">
        <v>98</v>
      </c>
      <c r="F1622" s="34" t="s">
        <v>28</v>
      </c>
    </row>
    <row r="1623" spans="1:6" hidden="1">
      <c r="A1623" s="230" t="s">
        <v>116</v>
      </c>
      <c r="B1623" s="149"/>
      <c r="C1623" s="149"/>
      <c r="D1623" s="149"/>
      <c r="E1623" s="34" t="s">
        <v>98</v>
      </c>
      <c r="F1623" s="149" t="s">
        <v>142</v>
      </c>
    </row>
    <row r="1624" spans="1:6" hidden="1">
      <c r="A1624" s="230" t="s">
        <v>117</v>
      </c>
      <c r="B1624" s="149"/>
      <c r="C1624" s="149"/>
      <c r="D1624" s="149"/>
      <c r="E1624" s="34" t="s">
        <v>98</v>
      </c>
      <c r="F1624" s="149" t="s">
        <v>142</v>
      </c>
    </row>
    <row r="1625" spans="1:6" hidden="1">
      <c r="A1625" s="230" t="s">
        <v>118</v>
      </c>
      <c r="B1625" s="149"/>
      <c r="C1625" s="149"/>
      <c r="D1625" s="149"/>
      <c r="E1625" s="34" t="s">
        <v>98</v>
      </c>
      <c r="F1625" s="149" t="s">
        <v>142</v>
      </c>
    </row>
    <row r="1626" spans="1:6" hidden="1">
      <c r="A1626" s="230" t="s">
        <v>119</v>
      </c>
      <c r="B1626" s="149"/>
      <c r="C1626" s="149"/>
      <c r="D1626" s="149"/>
      <c r="E1626" s="34" t="s">
        <v>98</v>
      </c>
      <c r="F1626" s="149" t="s">
        <v>142</v>
      </c>
    </row>
    <row r="1627" spans="1:6" hidden="1">
      <c r="A1627" s="230" t="s">
        <v>120</v>
      </c>
      <c r="B1627" s="149"/>
      <c r="C1627" s="149"/>
      <c r="D1627" s="149"/>
      <c r="E1627" s="34" t="s">
        <v>98</v>
      </c>
      <c r="F1627" s="149" t="s">
        <v>142</v>
      </c>
    </row>
    <row r="1628" spans="1:6" hidden="1">
      <c r="A1628" s="230" t="s">
        <v>121</v>
      </c>
      <c r="B1628" s="149"/>
      <c r="C1628" s="149"/>
      <c r="D1628" s="149"/>
      <c r="E1628" s="34" t="s">
        <v>98</v>
      </c>
      <c r="F1628" s="149" t="s">
        <v>142</v>
      </c>
    </row>
    <row r="1629" spans="1:6" hidden="1">
      <c r="A1629" s="230" t="s">
        <v>122</v>
      </c>
      <c r="B1629" s="149"/>
      <c r="C1629" s="149"/>
      <c r="D1629" s="149"/>
      <c r="E1629" s="34" t="s">
        <v>98</v>
      </c>
      <c r="F1629" s="149" t="s">
        <v>142</v>
      </c>
    </row>
    <row r="1630" spans="1:6" hidden="1">
      <c r="A1630" s="230" t="s">
        <v>123</v>
      </c>
      <c r="B1630" s="149"/>
      <c r="C1630" s="149"/>
      <c r="D1630" s="149"/>
      <c r="E1630" s="34" t="s">
        <v>98</v>
      </c>
      <c r="F1630" s="149" t="s">
        <v>142</v>
      </c>
    </row>
    <row r="1631" spans="1:6" hidden="1">
      <c r="A1631" s="230" t="s">
        <v>124</v>
      </c>
      <c r="B1631" s="149"/>
      <c r="C1631" s="149"/>
      <c r="D1631" s="149"/>
      <c r="E1631" s="34" t="s">
        <v>98</v>
      </c>
      <c r="F1631" s="149" t="s">
        <v>142</v>
      </c>
    </row>
    <row r="1632" spans="1:6" hidden="1">
      <c r="A1632" s="230" t="s">
        <v>125</v>
      </c>
      <c r="B1632" s="149"/>
      <c r="C1632" s="149"/>
      <c r="D1632" s="149"/>
      <c r="E1632" s="34" t="s">
        <v>98</v>
      </c>
      <c r="F1632" s="149" t="s">
        <v>142</v>
      </c>
    </row>
    <row r="1633" spans="1:6" hidden="1">
      <c r="A1633" s="230" t="s">
        <v>126</v>
      </c>
      <c r="B1633" s="149"/>
      <c r="C1633" s="149"/>
      <c r="D1633" s="149"/>
      <c r="E1633" s="34" t="s">
        <v>98</v>
      </c>
      <c r="F1633" s="149" t="s">
        <v>142</v>
      </c>
    </row>
    <row r="1634" spans="1:6" hidden="1">
      <c r="A1634" s="230" t="s">
        <v>127</v>
      </c>
      <c r="B1634" s="149"/>
      <c r="C1634" s="149"/>
      <c r="D1634" s="149"/>
      <c r="E1634" s="34" t="s">
        <v>98</v>
      </c>
      <c r="F1634" s="149" t="s">
        <v>142</v>
      </c>
    </row>
    <row r="1635" spans="1:6" hidden="1">
      <c r="A1635" s="212" t="s">
        <v>116</v>
      </c>
      <c r="B1635" s="147"/>
      <c r="C1635" s="147"/>
      <c r="D1635" s="147"/>
      <c r="E1635" s="34" t="s">
        <v>99</v>
      </c>
      <c r="F1635" s="34" t="s">
        <v>197</v>
      </c>
    </row>
    <row r="1636" spans="1:6" hidden="1">
      <c r="A1636" s="212" t="s">
        <v>117</v>
      </c>
      <c r="B1636" s="147"/>
      <c r="C1636" s="147"/>
      <c r="D1636" s="147"/>
      <c r="E1636" s="34" t="s">
        <v>99</v>
      </c>
      <c r="F1636" s="34" t="s">
        <v>197</v>
      </c>
    </row>
    <row r="1637" spans="1:6" hidden="1">
      <c r="A1637" s="212" t="s">
        <v>118</v>
      </c>
      <c r="B1637" s="147"/>
      <c r="C1637" s="147"/>
      <c r="D1637" s="147"/>
      <c r="E1637" s="34" t="s">
        <v>99</v>
      </c>
      <c r="F1637" s="34" t="s">
        <v>197</v>
      </c>
    </row>
    <row r="1638" spans="1:6" hidden="1">
      <c r="A1638" s="212" t="s">
        <v>119</v>
      </c>
      <c r="B1638" s="147"/>
      <c r="C1638" s="147"/>
      <c r="D1638" s="147"/>
      <c r="E1638" s="34" t="s">
        <v>99</v>
      </c>
      <c r="F1638" s="34" t="s">
        <v>197</v>
      </c>
    </row>
    <row r="1639" spans="1:6" hidden="1">
      <c r="A1639" s="212" t="s">
        <v>120</v>
      </c>
      <c r="B1639" s="147"/>
      <c r="C1639" s="147"/>
      <c r="D1639" s="147"/>
      <c r="E1639" s="34" t="s">
        <v>99</v>
      </c>
      <c r="F1639" s="34" t="s">
        <v>197</v>
      </c>
    </row>
    <row r="1640" spans="1:6" hidden="1">
      <c r="A1640" s="212" t="s">
        <v>121</v>
      </c>
      <c r="B1640" s="147"/>
      <c r="C1640" s="147"/>
      <c r="D1640" s="147"/>
      <c r="E1640" s="34" t="s">
        <v>99</v>
      </c>
      <c r="F1640" s="34" t="s">
        <v>197</v>
      </c>
    </row>
    <row r="1641" spans="1:6" hidden="1">
      <c r="A1641" s="212" t="s">
        <v>122</v>
      </c>
      <c r="B1641" s="147"/>
      <c r="C1641" s="147"/>
      <c r="D1641" s="147"/>
      <c r="E1641" s="34" t="s">
        <v>99</v>
      </c>
      <c r="F1641" s="34" t="s">
        <v>197</v>
      </c>
    </row>
    <row r="1642" spans="1:6" hidden="1">
      <c r="A1642" s="212" t="s">
        <v>123</v>
      </c>
      <c r="B1642" s="147"/>
      <c r="C1642" s="147"/>
      <c r="D1642" s="147"/>
      <c r="E1642" s="34" t="s">
        <v>99</v>
      </c>
      <c r="F1642" s="34" t="s">
        <v>197</v>
      </c>
    </row>
    <row r="1643" spans="1:6" hidden="1">
      <c r="A1643" s="212" t="s">
        <v>124</v>
      </c>
      <c r="B1643" s="147"/>
      <c r="C1643" s="147"/>
      <c r="D1643" s="147"/>
      <c r="E1643" s="34" t="s">
        <v>99</v>
      </c>
      <c r="F1643" s="34" t="s">
        <v>197</v>
      </c>
    </row>
    <row r="1644" spans="1:6" hidden="1">
      <c r="A1644" s="212" t="s">
        <v>125</v>
      </c>
      <c r="B1644" s="147"/>
      <c r="C1644" s="147"/>
      <c r="D1644" s="147"/>
      <c r="E1644" s="34" t="s">
        <v>99</v>
      </c>
      <c r="F1644" s="34" t="s">
        <v>197</v>
      </c>
    </row>
    <row r="1645" spans="1:6" hidden="1">
      <c r="A1645" s="212" t="s">
        <v>126</v>
      </c>
      <c r="B1645" s="147"/>
      <c r="C1645" s="147"/>
      <c r="D1645" s="147"/>
      <c r="E1645" s="34" t="s">
        <v>99</v>
      </c>
      <c r="F1645" s="34" t="s">
        <v>197</v>
      </c>
    </row>
    <row r="1646" spans="1:6" hidden="1">
      <c r="A1646" s="212" t="s">
        <v>127</v>
      </c>
      <c r="B1646" s="147"/>
      <c r="C1646" s="147"/>
      <c r="D1646" s="147"/>
      <c r="E1646" s="34" t="s">
        <v>99</v>
      </c>
      <c r="F1646" s="34" t="s">
        <v>197</v>
      </c>
    </row>
    <row r="1647" spans="1:6" hidden="1">
      <c r="A1647" s="230" t="s">
        <v>116</v>
      </c>
      <c r="B1647" s="149"/>
      <c r="C1647" s="149"/>
      <c r="D1647" s="149"/>
      <c r="E1647" s="34" t="s">
        <v>99</v>
      </c>
      <c r="F1647" s="34" t="s">
        <v>199</v>
      </c>
    </row>
    <row r="1648" spans="1:6" hidden="1">
      <c r="A1648" s="230" t="s">
        <v>117</v>
      </c>
      <c r="B1648" s="149"/>
      <c r="C1648" s="149"/>
      <c r="D1648" s="149"/>
      <c r="E1648" s="34" t="s">
        <v>99</v>
      </c>
      <c r="F1648" s="34" t="s">
        <v>199</v>
      </c>
    </row>
    <row r="1649" spans="1:6" hidden="1">
      <c r="A1649" s="230" t="s">
        <v>118</v>
      </c>
      <c r="B1649" s="149"/>
      <c r="C1649" s="149"/>
      <c r="D1649" s="149"/>
      <c r="E1649" s="34" t="s">
        <v>99</v>
      </c>
      <c r="F1649" s="34" t="s">
        <v>199</v>
      </c>
    </row>
    <row r="1650" spans="1:6" hidden="1">
      <c r="A1650" s="230" t="s">
        <v>119</v>
      </c>
      <c r="B1650" s="149"/>
      <c r="C1650" s="149"/>
      <c r="D1650" s="149"/>
      <c r="E1650" s="34" t="s">
        <v>99</v>
      </c>
      <c r="F1650" s="34" t="s">
        <v>199</v>
      </c>
    </row>
    <row r="1651" spans="1:6" hidden="1">
      <c r="A1651" s="230" t="s">
        <v>120</v>
      </c>
      <c r="B1651" s="149"/>
      <c r="C1651" s="149"/>
      <c r="D1651" s="149"/>
      <c r="E1651" s="34" t="s">
        <v>99</v>
      </c>
      <c r="F1651" s="34" t="s">
        <v>199</v>
      </c>
    </row>
    <row r="1652" spans="1:6" hidden="1">
      <c r="A1652" s="230" t="s">
        <v>121</v>
      </c>
      <c r="B1652" s="149"/>
      <c r="C1652" s="149"/>
      <c r="D1652" s="149"/>
      <c r="E1652" s="34" t="s">
        <v>99</v>
      </c>
      <c r="F1652" s="34" t="s">
        <v>199</v>
      </c>
    </row>
    <row r="1653" spans="1:6" hidden="1">
      <c r="A1653" s="230" t="s">
        <v>122</v>
      </c>
      <c r="B1653" s="149"/>
      <c r="C1653" s="149"/>
      <c r="D1653" s="149"/>
      <c r="E1653" s="34" t="s">
        <v>99</v>
      </c>
      <c r="F1653" s="34" t="s">
        <v>199</v>
      </c>
    </row>
    <row r="1654" spans="1:6" hidden="1">
      <c r="A1654" s="230" t="s">
        <v>123</v>
      </c>
      <c r="B1654" s="149"/>
      <c r="C1654" s="149"/>
      <c r="D1654" s="149"/>
      <c r="E1654" s="34" t="s">
        <v>99</v>
      </c>
      <c r="F1654" s="34" t="s">
        <v>199</v>
      </c>
    </row>
    <row r="1655" spans="1:6" hidden="1">
      <c r="A1655" s="230" t="s">
        <v>124</v>
      </c>
      <c r="B1655" s="149"/>
      <c r="C1655" s="149"/>
      <c r="D1655" s="149"/>
      <c r="E1655" s="34" t="s">
        <v>99</v>
      </c>
      <c r="F1655" s="34" t="s">
        <v>199</v>
      </c>
    </row>
    <row r="1656" spans="1:6" hidden="1">
      <c r="A1656" s="230" t="s">
        <v>125</v>
      </c>
      <c r="B1656" s="149"/>
      <c r="C1656" s="149"/>
      <c r="D1656" s="149"/>
      <c r="E1656" s="34" t="s">
        <v>99</v>
      </c>
      <c r="F1656" s="34" t="s">
        <v>199</v>
      </c>
    </row>
    <row r="1657" spans="1:6" hidden="1">
      <c r="A1657" s="230" t="s">
        <v>126</v>
      </c>
      <c r="B1657" s="149"/>
      <c r="C1657" s="149"/>
      <c r="D1657" s="149"/>
      <c r="E1657" s="34" t="s">
        <v>99</v>
      </c>
      <c r="F1657" s="34" t="s">
        <v>199</v>
      </c>
    </row>
    <row r="1658" spans="1:6" hidden="1">
      <c r="A1658" s="230" t="s">
        <v>127</v>
      </c>
      <c r="B1658" s="149"/>
      <c r="C1658" s="149"/>
      <c r="D1658" s="149"/>
      <c r="E1658" s="34" t="s">
        <v>99</v>
      </c>
      <c r="F1658" s="34" t="s">
        <v>199</v>
      </c>
    </row>
    <row r="1659" spans="1:6" hidden="1">
      <c r="A1659" s="212" t="s">
        <v>116</v>
      </c>
      <c r="B1659" s="147"/>
      <c r="C1659" s="147"/>
      <c r="D1659" s="147"/>
      <c r="E1659" s="34" t="s">
        <v>99</v>
      </c>
      <c r="F1659" s="34" t="s">
        <v>222</v>
      </c>
    </row>
    <row r="1660" spans="1:6" hidden="1">
      <c r="A1660" s="212" t="s">
        <v>117</v>
      </c>
      <c r="B1660" s="147"/>
      <c r="C1660" s="147"/>
      <c r="D1660" s="147"/>
      <c r="E1660" s="34" t="s">
        <v>99</v>
      </c>
      <c r="F1660" s="34" t="s">
        <v>222</v>
      </c>
    </row>
    <row r="1661" spans="1:6" hidden="1">
      <c r="A1661" s="212" t="s">
        <v>118</v>
      </c>
      <c r="B1661" s="147"/>
      <c r="C1661" s="147"/>
      <c r="D1661" s="147"/>
      <c r="E1661" s="34" t="s">
        <v>99</v>
      </c>
      <c r="F1661" s="34" t="s">
        <v>222</v>
      </c>
    </row>
    <row r="1662" spans="1:6" hidden="1">
      <c r="A1662" s="212" t="s">
        <v>119</v>
      </c>
      <c r="B1662" s="147"/>
      <c r="C1662" s="147"/>
      <c r="D1662" s="147"/>
      <c r="E1662" s="34" t="s">
        <v>99</v>
      </c>
      <c r="F1662" s="34" t="s">
        <v>222</v>
      </c>
    </row>
    <row r="1663" spans="1:6" hidden="1">
      <c r="A1663" s="212" t="s">
        <v>120</v>
      </c>
      <c r="B1663" s="147"/>
      <c r="C1663" s="147"/>
      <c r="D1663" s="147"/>
      <c r="E1663" s="34" t="s">
        <v>99</v>
      </c>
      <c r="F1663" s="34" t="s">
        <v>222</v>
      </c>
    </row>
    <row r="1664" spans="1:6" hidden="1">
      <c r="A1664" s="212" t="s">
        <v>121</v>
      </c>
      <c r="B1664" s="147"/>
      <c r="C1664" s="147"/>
      <c r="D1664" s="147"/>
      <c r="E1664" s="34" t="s">
        <v>99</v>
      </c>
      <c r="F1664" s="34" t="s">
        <v>222</v>
      </c>
    </row>
    <row r="1665" spans="1:6" hidden="1">
      <c r="A1665" s="212" t="s">
        <v>122</v>
      </c>
      <c r="B1665" s="147"/>
      <c r="C1665" s="147"/>
      <c r="D1665" s="147"/>
      <c r="E1665" s="34" t="s">
        <v>99</v>
      </c>
      <c r="F1665" s="34" t="s">
        <v>222</v>
      </c>
    </row>
    <row r="1666" spans="1:6" hidden="1">
      <c r="A1666" s="212" t="s">
        <v>123</v>
      </c>
      <c r="B1666" s="147"/>
      <c r="C1666" s="147"/>
      <c r="D1666" s="147"/>
      <c r="E1666" s="34" t="s">
        <v>99</v>
      </c>
      <c r="F1666" s="34" t="s">
        <v>222</v>
      </c>
    </row>
    <row r="1667" spans="1:6" hidden="1">
      <c r="A1667" s="212" t="s">
        <v>124</v>
      </c>
      <c r="B1667" s="147"/>
      <c r="C1667" s="147"/>
      <c r="D1667" s="147"/>
      <c r="E1667" s="34" t="s">
        <v>99</v>
      </c>
      <c r="F1667" s="34" t="s">
        <v>222</v>
      </c>
    </row>
    <row r="1668" spans="1:6" hidden="1">
      <c r="A1668" s="212" t="s">
        <v>125</v>
      </c>
      <c r="B1668" s="147"/>
      <c r="C1668" s="147"/>
      <c r="D1668" s="147"/>
      <c r="E1668" s="34" t="s">
        <v>99</v>
      </c>
      <c r="F1668" s="34" t="s">
        <v>222</v>
      </c>
    </row>
    <row r="1669" spans="1:6" hidden="1">
      <c r="A1669" s="212" t="s">
        <v>126</v>
      </c>
      <c r="B1669" s="147"/>
      <c r="C1669" s="147"/>
      <c r="D1669" s="147"/>
      <c r="E1669" s="34" t="s">
        <v>99</v>
      </c>
      <c r="F1669" s="34" t="s">
        <v>222</v>
      </c>
    </row>
    <row r="1670" spans="1:6" hidden="1">
      <c r="A1670" s="212" t="s">
        <v>127</v>
      </c>
      <c r="B1670" s="147"/>
      <c r="C1670" s="147"/>
      <c r="D1670" s="147"/>
      <c r="E1670" s="34" t="s">
        <v>99</v>
      </c>
      <c r="F1670" s="34" t="s">
        <v>222</v>
      </c>
    </row>
    <row r="1671" spans="1:6" hidden="1">
      <c r="A1671" s="230" t="s">
        <v>116</v>
      </c>
      <c r="B1671" s="149"/>
      <c r="C1671" s="149"/>
      <c r="D1671" s="149"/>
      <c r="E1671" s="34" t="s">
        <v>99</v>
      </c>
      <c r="F1671" s="34" t="s">
        <v>198</v>
      </c>
    </row>
    <row r="1672" spans="1:6" hidden="1">
      <c r="A1672" s="230" t="s">
        <v>117</v>
      </c>
      <c r="B1672" s="149"/>
      <c r="C1672" s="149"/>
      <c r="D1672" s="149"/>
      <c r="E1672" s="34" t="s">
        <v>99</v>
      </c>
      <c r="F1672" s="34" t="s">
        <v>198</v>
      </c>
    </row>
    <row r="1673" spans="1:6" hidden="1">
      <c r="A1673" s="230" t="s">
        <v>118</v>
      </c>
      <c r="B1673" s="149"/>
      <c r="C1673" s="149"/>
      <c r="D1673" s="149"/>
      <c r="E1673" s="34" t="s">
        <v>99</v>
      </c>
      <c r="F1673" s="34" t="s">
        <v>198</v>
      </c>
    </row>
    <row r="1674" spans="1:6" hidden="1">
      <c r="A1674" s="230" t="s">
        <v>119</v>
      </c>
      <c r="B1674" s="149"/>
      <c r="C1674" s="149"/>
      <c r="D1674" s="149"/>
      <c r="E1674" s="34" t="s">
        <v>99</v>
      </c>
      <c r="F1674" s="34" t="s">
        <v>198</v>
      </c>
    </row>
    <row r="1675" spans="1:6" hidden="1">
      <c r="A1675" s="230" t="s">
        <v>120</v>
      </c>
      <c r="B1675" s="149"/>
      <c r="C1675" s="149"/>
      <c r="D1675" s="149"/>
      <c r="E1675" s="34" t="s">
        <v>99</v>
      </c>
      <c r="F1675" s="34" t="s">
        <v>198</v>
      </c>
    </row>
    <row r="1676" spans="1:6" hidden="1">
      <c r="A1676" s="230" t="s">
        <v>121</v>
      </c>
      <c r="B1676" s="149"/>
      <c r="C1676" s="149"/>
      <c r="D1676" s="149"/>
      <c r="E1676" s="34" t="s">
        <v>99</v>
      </c>
      <c r="F1676" s="34" t="s">
        <v>198</v>
      </c>
    </row>
    <row r="1677" spans="1:6" hidden="1">
      <c r="A1677" s="230" t="s">
        <v>122</v>
      </c>
      <c r="B1677" s="149"/>
      <c r="C1677" s="149"/>
      <c r="D1677" s="149"/>
      <c r="E1677" s="34" t="s">
        <v>99</v>
      </c>
      <c r="F1677" s="34" t="s">
        <v>198</v>
      </c>
    </row>
    <row r="1678" spans="1:6" hidden="1">
      <c r="A1678" s="230" t="s">
        <v>123</v>
      </c>
      <c r="B1678" s="149"/>
      <c r="C1678" s="149"/>
      <c r="D1678" s="149"/>
      <c r="E1678" s="34" t="s">
        <v>99</v>
      </c>
      <c r="F1678" s="34" t="s">
        <v>198</v>
      </c>
    </row>
    <row r="1679" spans="1:6" hidden="1">
      <c r="A1679" s="230" t="s">
        <v>124</v>
      </c>
      <c r="B1679" s="149"/>
      <c r="C1679" s="149"/>
      <c r="D1679" s="149"/>
      <c r="E1679" s="34" t="s">
        <v>99</v>
      </c>
      <c r="F1679" s="34" t="s">
        <v>198</v>
      </c>
    </row>
    <row r="1680" spans="1:6" hidden="1">
      <c r="A1680" s="230" t="s">
        <v>125</v>
      </c>
      <c r="B1680" s="149"/>
      <c r="C1680" s="149"/>
      <c r="D1680" s="149"/>
      <c r="E1680" s="34" t="s">
        <v>99</v>
      </c>
      <c r="F1680" s="34" t="s">
        <v>198</v>
      </c>
    </row>
    <row r="1681" spans="1:6" hidden="1">
      <c r="A1681" s="230" t="s">
        <v>126</v>
      </c>
      <c r="B1681" s="149"/>
      <c r="C1681" s="149"/>
      <c r="D1681" s="149"/>
      <c r="E1681" s="34" t="s">
        <v>99</v>
      </c>
      <c r="F1681" s="34" t="s">
        <v>198</v>
      </c>
    </row>
    <row r="1682" spans="1:6" hidden="1">
      <c r="A1682" s="230" t="s">
        <v>127</v>
      </c>
      <c r="B1682" s="149"/>
      <c r="C1682" s="149"/>
      <c r="D1682" s="149"/>
      <c r="E1682" s="34" t="s">
        <v>99</v>
      </c>
      <c r="F1682" s="34" t="s">
        <v>198</v>
      </c>
    </row>
    <row r="1683" spans="1:6" hidden="1">
      <c r="A1683" s="212" t="s">
        <v>116</v>
      </c>
      <c r="B1683" s="147"/>
      <c r="C1683" s="147"/>
      <c r="D1683" s="147"/>
      <c r="E1683" s="34" t="s">
        <v>99</v>
      </c>
      <c r="F1683" s="34" t="s">
        <v>28</v>
      </c>
    </row>
    <row r="1684" spans="1:6" hidden="1">
      <c r="A1684" s="212" t="s">
        <v>117</v>
      </c>
      <c r="B1684" s="147"/>
      <c r="C1684" s="147"/>
      <c r="D1684" s="147"/>
      <c r="E1684" s="34" t="s">
        <v>99</v>
      </c>
      <c r="F1684" s="34" t="s">
        <v>28</v>
      </c>
    </row>
    <row r="1685" spans="1:6" hidden="1">
      <c r="A1685" s="212" t="s">
        <v>118</v>
      </c>
      <c r="B1685" s="147"/>
      <c r="C1685" s="147"/>
      <c r="D1685" s="147"/>
      <c r="E1685" s="34" t="s">
        <v>99</v>
      </c>
      <c r="F1685" s="34" t="s">
        <v>28</v>
      </c>
    </row>
    <row r="1686" spans="1:6" hidden="1">
      <c r="A1686" s="212" t="s">
        <v>119</v>
      </c>
      <c r="B1686" s="147"/>
      <c r="C1686" s="147"/>
      <c r="D1686" s="147"/>
      <c r="E1686" s="34" t="s">
        <v>99</v>
      </c>
      <c r="F1686" s="34" t="s">
        <v>28</v>
      </c>
    </row>
    <row r="1687" spans="1:6" hidden="1">
      <c r="A1687" s="212" t="s">
        <v>120</v>
      </c>
      <c r="B1687" s="147"/>
      <c r="C1687" s="147"/>
      <c r="D1687" s="147"/>
      <c r="E1687" s="34" t="s">
        <v>99</v>
      </c>
      <c r="F1687" s="34" t="s">
        <v>28</v>
      </c>
    </row>
    <row r="1688" spans="1:6" hidden="1">
      <c r="A1688" s="212" t="s">
        <v>121</v>
      </c>
      <c r="B1688" s="147"/>
      <c r="C1688" s="147"/>
      <c r="D1688" s="147"/>
      <c r="E1688" s="34" t="s">
        <v>99</v>
      </c>
      <c r="F1688" s="34" t="s">
        <v>28</v>
      </c>
    </row>
    <row r="1689" spans="1:6" hidden="1">
      <c r="A1689" s="212" t="s">
        <v>122</v>
      </c>
      <c r="B1689" s="147"/>
      <c r="C1689" s="147"/>
      <c r="D1689" s="147"/>
      <c r="E1689" s="34" t="s">
        <v>99</v>
      </c>
      <c r="F1689" s="34" t="s">
        <v>28</v>
      </c>
    </row>
    <row r="1690" spans="1:6" hidden="1">
      <c r="A1690" s="212" t="s">
        <v>123</v>
      </c>
      <c r="B1690" s="147"/>
      <c r="C1690" s="147"/>
      <c r="D1690" s="147"/>
      <c r="E1690" s="34" t="s">
        <v>99</v>
      </c>
      <c r="F1690" s="34" t="s">
        <v>28</v>
      </c>
    </row>
    <row r="1691" spans="1:6" hidden="1">
      <c r="A1691" s="212" t="s">
        <v>124</v>
      </c>
      <c r="B1691" s="147"/>
      <c r="C1691" s="147"/>
      <c r="D1691" s="147"/>
      <c r="E1691" s="34" t="s">
        <v>99</v>
      </c>
      <c r="F1691" s="34" t="s">
        <v>28</v>
      </c>
    </row>
    <row r="1692" spans="1:6" hidden="1">
      <c r="A1692" s="212" t="s">
        <v>125</v>
      </c>
      <c r="B1692" s="147"/>
      <c r="C1692" s="147"/>
      <c r="D1692" s="147"/>
      <c r="E1692" s="34" t="s">
        <v>99</v>
      </c>
      <c r="F1692" s="34" t="s">
        <v>28</v>
      </c>
    </row>
    <row r="1693" spans="1:6" hidden="1">
      <c r="A1693" s="212" t="s">
        <v>126</v>
      </c>
      <c r="B1693" s="147"/>
      <c r="C1693" s="147"/>
      <c r="D1693" s="147"/>
      <c r="E1693" s="34" t="s">
        <v>99</v>
      </c>
      <c r="F1693" s="34" t="s">
        <v>28</v>
      </c>
    </row>
    <row r="1694" spans="1:6" hidden="1">
      <c r="A1694" s="212" t="s">
        <v>127</v>
      </c>
      <c r="B1694" s="147"/>
      <c r="C1694" s="147"/>
      <c r="D1694" s="147"/>
      <c r="E1694" s="34" t="s">
        <v>99</v>
      </c>
      <c r="F1694" s="34" t="s">
        <v>28</v>
      </c>
    </row>
    <row r="1695" spans="1:6" hidden="1">
      <c r="A1695" s="230" t="s">
        <v>116</v>
      </c>
      <c r="B1695" s="149"/>
      <c r="C1695" s="149"/>
      <c r="D1695" s="149"/>
      <c r="E1695" s="34" t="s">
        <v>99</v>
      </c>
      <c r="F1695" s="149" t="s">
        <v>142</v>
      </c>
    </row>
    <row r="1696" spans="1:6" hidden="1">
      <c r="A1696" s="230" t="s">
        <v>117</v>
      </c>
      <c r="B1696" s="149"/>
      <c r="C1696" s="149"/>
      <c r="D1696" s="149"/>
      <c r="E1696" s="34" t="s">
        <v>99</v>
      </c>
      <c r="F1696" s="149" t="s">
        <v>142</v>
      </c>
    </row>
    <row r="1697" spans="1:6" hidden="1">
      <c r="A1697" s="230" t="s">
        <v>118</v>
      </c>
      <c r="B1697" s="149"/>
      <c r="C1697" s="149"/>
      <c r="D1697" s="149"/>
      <c r="E1697" s="34" t="s">
        <v>99</v>
      </c>
      <c r="F1697" s="149" t="s">
        <v>142</v>
      </c>
    </row>
    <row r="1698" spans="1:6" hidden="1">
      <c r="A1698" s="230" t="s">
        <v>119</v>
      </c>
      <c r="B1698" s="149"/>
      <c r="C1698" s="149"/>
      <c r="D1698" s="149"/>
      <c r="E1698" s="34" t="s">
        <v>99</v>
      </c>
      <c r="F1698" s="149" t="s">
        <v>142</v>
      </c>
    </row>
    <row r="1699" spans="1:6" hidden="1">
      <c r="A1699" s="230" t="s">
        <v>120</v>
      </c>
      <c r="B1699" s="149"/>
      <c r="C1699" s="149"/>
      <c r="D1699" s="149"/>
      <c r="E1699" s="34" t="s">
        <v>99</v>
      </c>
      <c r="F1699" s="149" t="s">
        <v>142</v>
      </c>
    </row>
    <row r="1700" spans="1:6" hidden="1">
      <c r="A1700" s="230" t="s">
        <v>121</v>
      </c>
      <c r="B1700" s="149"/>
      <c r="C1700" s="149"/>
      <c r="D1700" s="149"/>
      <c r="E1700" s="34" t="s">
        <v>99</v>
      </c>
      <c r="F1700" s="149" t="s">
        <v>142</v>
      </c>
    </row>
    <row r="1701" spans="1:6" hidden="1">
      <c r="A1701" s="230" t="s">
        <v>122</v>
      </c>
      <c r="B1701" s="149"/>
      <c r="C1701" s="149"/>
      <c r="D1701" s="149"/>
      <c r="E1701" s="34" t="s">
        <v>99</v>
      </c>
      <c r="F1701" s="149" t="s">
        <v>142</v>
      </c>
    </row>
    <row r="1702" spans="1:6" hidden="1">
      <c r="A1702" s="230" t="s">
        <v>123</v>
      </c>
      <c r="B1702" s="149"/>
      <c r="C1702" s="149"/>
      <c r="D1702" s="149"/>
      <c r="E1702" s="34" t="s">
        <v>99</v>
      </c>
      <c r="F1702" s="149" t="s">
        <v>142</v>
      </c>
    </row>
    <row r="1703" spans="1:6" hidden="1">
      <c r="A1703" s="230" t="s">
        <v>124</v>
      </c>
      <c r="B1703" s="149"/>
      <c r="C1703" s="149"/>
      <c r="D1703" s="149"/>
      <c r="E1703" s="34" t="s">
        <v>99</v>
      </c>
      <c r="F1703" s="149" t="s">
        <v>142</v>
      </c>
    </row>
    <row r="1704" spans="1:6" hidden="1">
      <c r="A1704" s="230" t="s">
        <v>125</v>
      </c>
      <c r="B1704" s="149"/>
      <c r="C1704" s="149"/>
      <c r="D1704" s="149"/>
      <c r="E1704" s="34" t="s">
        <v>99</v>
      </c>
      <c r="F1704" s="149" t="s">
        <v>142</v>
      </c>
    </row>
    <row r="1705" spans="1:6" hidden="1">
      <c r="A1705" s="230" t="s">
        <v>126</v>
      </c>
      <c r="B1705" s="149"/>
      <c r="C1705" s="149"/>
      <c r="D1705" s="149"/>
      <c r="E1705" s="34" t="s">
        <v>99</v>
      </c>
      <c r="F1705" s="149" t="s">
        <v>142</v>
      </c>
    </row>
    <row r="1706" spans="1:6" hidden="1">
      <c r="A1706" s="230" t="s">
        <v>127</v>
      </c>
      <c r="B1706" s="149"/>
      <c r="C1706" s="149"/>
      <c r="D1706" s="149"/>
      <c r="E1706" s="34" t="s">
        <v>99</v>
      </c>
      <c r="F1706" s="149" t="s">
        <v>142</v>
      </c>
    </row>
    <row r="1707" spans="1:6" hidden="1">
      <c r="A1707" s="212" t="s">
        <v>116</v>
      </c>
      <c r="B1707" s="147"/>
      <c r="C1707" s="147"/>
      <c r="D1707" s="147"/>
      <c r="E1707" s="34" t="s">
        <v>100</v>
      </c>
      <c r="F1707" s="34" t="s">
        <v>197</v>
      </c>
    </row>
    <row r="1708" spans="1:6" hidden="1">
      <c r="A1708" s="212" t="s">
        <v>117</v>
      </c>
      <c r="B1708" s="147"/>
      <c r="C1708" s="147"/>
      <c r="D1708" s="147"/>
      <c r="E1708" s="34" t="s">
        <v>100</v>
      </c>
      <c r="F1708" s="34" t="s">
        <v>197</v>
      </c>
    </row>
    <row r="1709" spans="1:6" hidden="1">
      <c r="A1709" s="212" t="s">
        <v>118</v>
      </c>
      <c r="B1709" s="147"/>
      <c r="C1709" s="147"/>
      <c r="D1709" s="147"/>
      <c r="E1709" s="34" t="s">
        <v>100</v>
      </c>
      <c r="F1709" s="34" t="s">
        <v>197</v>
      </c>
    </row>
    <row r="1710" spans="1:6" hidden="1">
      <c r="A1710" s="212" t="s">
        <v>119</v>
      </c>
      <c r="B1710" s="147"/>
      <c r="C1710" s="147"/>
      <c r="D1710" s="147"/>
      <c r="E1710" s="34" t="s">
        <v>100</v>
      </c>
      <c r="F1710" s="34" t="s">
        <v>197</v>
      </c>
    </row>
    <row r="1711" spans="1:6" hidden="1">
      <c r="A1711" s="212" t="s">
        <v>120</v>
      </c>
      <c r="B1711" s="147"/>
      <c r="C1711" s="147"/>
      <c r="D1711" s="147"/>
      <c r="E1711" s="34" t="s">
        <v>100</v>
      </c>
      <c r="F1711" s="34" t="s">
        <v>197</v>
      </c>
    </row>
    <row r="1712" spans="1:6" hidden="1">
      <c r="A1712" s="212" t="s">
        <v>121</v>
      </c>
      <c r="B1712" s="147"/>
      <c r="C1712" s="147"/>
      <c r="D1712" s="147"/>
      <c r="E1712" s="34" t="s">
        <v>100</v>
      </c>
      <c r="F1712" s="34" t="s">
        <v>197</v>
      </c>
    </row>
    <row r="1713" spans="1:6" hidden="1">
      <c r="A1713" s="212" t="s">
        <v>122</v>
      </c>
      <c r="B1713" s="147"/>
      <c r="C1713" s="147"/>
      <c r="D1713" s="147"/>
      <c r="E1713" s="34" t="s">
        <v>100</v>
      </c>
      <c r="F1713" s="34" t="s">
        <v>197</v>
      </c>
    </row>
    <row r="1714" spans="1:6" hidden="1">
      <c r="A1714" s="212" t="s">
        <v>123</v>
      </c>
      <c r="B1714" s="147"/>
      <c r="C1714" s="147"/>
      <c r="D1714" s="147"/>
      <c r="E1714" s="34" t="s">
        <v>100</v>
      </c>
      <c r="F1714" s="34" t="s">
        <v>197</v>
      </c>
    </row>
    <row r="1715" spans="1:6" hidden="1">
      <c r="A1715" s="212" t="s">
        <v>124</v>
      </c>
      <c r="B1715" s="147"/>
      <c r="C1715" s="147"/>
      <c r="D1715" s="147"/>
      <c r="E1715" s="34" t="s">
        <v>100</v>
      </c>
      <c r="F1715" s="34" t="s">
        <v>197</v>
      </c>
    </row>
    <row r="1716" spans="1:6" hidden="1">
      <c r="A1716" s="212" t="s">
        <v>125</v>
      </c>
      <c r="B1716" s="147"/>
      <c r="C1716" s="147"/>
      <c r="D1716" s="147"/>
      <c r="E1716" s="34" t="s">
        <v>100</v>
      </c>
      <c r="F1716" s="34" t="s">
        <v>197</v>
      </c>
    </row>
    <row r="1717" spans="1:6" hidden="1">
      <c r="A1717" s="212" t="s">
        <v>126</v>
      </c>
      <c r="B1717" s="147"/>
      <c r="C1717" s="147"/>
      <c r="D1717" s="147"/>
      <c r="E1717" s="34" t="s">
        <v>100</v>
      </c>
      <c r="F1717" s="34" t="s">
        <v>197</v>
      </c>
    </row>
    <row r="1718" spans="1:6" hidden="1">
      <c r="A1718" s="212" t="s">
        <v>127</v>
      </c>
      <c r="B1718" s="147"/>
      <c r="C1718" s="147"/>
      <c r="D1718" s="147"/>
      <c r="E1718" s="34" t="s">
        <v>100</v>
      </c>
      <c r="F1718" s="34" t="s">
        <v>197</v>
      </c>
    </row>
    <row r="1719" spans="1:6" hidden="1">
      <c r="A1719" s="230" t="s">
        <v>116</v>
      </c>
      <c r="B1719" s="149"/>
      <c r="C1719" s="149"/>
      <c r="D1719" s="149"/>
      <c r="E1719" s="34" t="s">
        <v>100</v>
      </c>
      <c r="F1719" s="34" t="s">
        <v>199</v>
      </c>
    </row>
    <row r="1720" spans="1:6" hidden="1">
      <c r="A1720" s="230" t="s">
        <v>117</v>
      </c>
      <c r="B1720" s="149"/>
      <c r="C1720" s="149"/>
      <c r="D1720" s="149"/>
      <c r="E1720" s="34" t="s">
        <v>100</v>
      </c>
      <c r="F1720" s="34" t="s">
        <v>199</v>
      </c>
    </row>
    <row r="1721" spans="1:6" hidden="1">
      <c r="A1721" s="230" t="s">
        <v>118</v>
      </c>
      <c r="B1721" s="149"/>
      <c r="C1721" s="149"/>
      <c r="D1721" s="149"/>
      <c r="E1721" s="34" t="s">
        <v>100</v>
      </c>
      <c r="F1721" s="34" t="s">
        <v>199</v>
      </c>
    </row>
    <row r="1722" spans="1:6" hidden="1">
      <c r="A1722" s="230" t="s">
        <v>119</v>
      </c>
      <c r="B1722" s="149"/>
      <c r="C1722" s="149"/>
      <c r="D1722" s="149"/>
      <c r="E1722" s="34" t="s">
        <v>100</v>
      </c>
      <c r="F1722" s="34" t="s">
        <v>199</v>
      </c>
    </row>
    <row r="1723" spans="1:6" hidden="1">
      <c r="A1723" s="230" t="s">
        <v>120</v>
      </c>
      <c r="B1723" s="149"/>
      <c r="C1723" s="149"/>
      <c r="D1723" s="149"/>
      <c r="E1723" s="34" t="s">
        <v>100</v>
      </c>
      <c r="F1723" s="34" t="s">
        <v>199</v>
      </c>
    </row>
    <row r="1724" spans="1:6" hidden="1">
      <c r="A1724" s="230" t="s">
        <v>121</v>
      </c>
      <c r="B1724" s="149"/>
      <c r="C1724" s="149"/>
      <c r="D1724" s="149"/>
      <c r="E1724" s="34" t="s">
        <v>100</v>
      </c>
      <c r="F1724" s="34" t="s">
        <v>199</v>
      </c>
    </row>
    <row r="1725" spans="1:6" hidden="1">
      <c r="A1725" s="230" t="s">
        <v>122</v>
      </c>
      <c r="B1725" s="149"/>
      <c r="C1725" s="149"/>
      <c r="D1725" s="149"/>
      <c r="E1725" s="34" t="s">
        <v>100</v>
      </c>
      <c r="F1725" s="34" t="s">
        <v>199</v>
      </c>
    </row>
    <row r="1726" spans="1:6" hidden="1">
      <c r="A1726" s="230" t="s">
        <v>123</v>
      </c>
      <c r="B1726" s="149"/>
      <c r="C1726" s="149"/>
      <c r="D1726" s="149"/>
      <c r="E1726" s="34" t="s">
        <v>100</v>
      </c>
      <c r="F1726" s="34" t="s">
        <v>199</v>
      </c>
    </row>
    <row r="1727" spans="1:6" hidden="1">
      <c r="A1727" s="230" t="s">
        <v>124</v>
      </c>
      <c r="B1727" s="149"/>
      <c r="C1727" s="149"/>
      <c r="D1727" s="149"/>
      <c r="E1727" s="34" t="s">
        <v>100</v>
      </c>
      <c r="F1727" s="34" t="s">
        <v>199</v>
      </c>
    </row>
    <row r="1728" spans="1:6" hidden="1">
      <c r="A1728" s="230" t="s">
        <v>125</v>
      </c>
      <c r="B1728" s="149"/>
      <c r="C1728" s="149"/>
      <c r="D1728" s="149"/>
      <c r="E1728" s="34" t="s">
        <v>100</v>
      </c>
      <c r="F1728" s="34" t="s">
        <v>199</v>
      </c>
    </row>
    <row r="1729" spans="1:6" hidden="1">
      <c r="A1729" s="230" t="s">
        <v>126</v>
      </c>
      <c r="B1729" s="149"/>
      <c r="C1729" s="149"/>
      <c r="D1729" s="149"/>
      <c r="E1729" s="34" t="s">
        <v>100</v>
      </c>
      <c r="F1729" s="34" t="s">
        <v>199</v>
      </c>
    </row>
    <row r="1730" spans="1:6" hidden="1">
      <c r="A1730" s="230" t="s">
        <v>127</v>
      </c>
      <c r="B1730" s="149"/>
      <c r="C1730" s="149"/>
      <c r="D1730" s="149"/>
      <c r="E1730" s="34" t="s">
        <v>100</v>
      </c>
      <c r="F1730" s="34" t="s">
        <v>199</v>
      </c>
    </row>
    <row r="1731" spans="1:6" hidden="1">
      <c r="A1731" s="212" t="s">
        <v>116</v>
      </c>
      <c r="B1731" s="147"/>
      <c r="C1731" s="147"/>
      <c r="D1731" s="147"/>
      <c r="E1731" s="34" t="s">
        <v>100</v>
      </c>
      <c r="F1731" s="34" t="s">
        <v>222</v>
      </c>
    </row>
    <row r="1732" spans="1:6" hidden="1">
      <c r="A1732" s="212" t="s">
        <v>117</v>
      </c>
      <c r="B1732" s="147"/>
      <c r="C1732" s="147"/>
      <c r="D1732" s="147"/>
      <c r="E1732" s="34" t="s">
        <v>100</v>
      </c>
      <c r="F1732" s="34" t="s">
        <v>222</v>
      </c>
    </row>
    <row r="1733" spans="1:6" hidden="1">
      <c r="A1733" s="212" t="s">
        <v>118</v>
      </c>
      <c r="B1733" s="147"/>
      <c r="C1733" s="147"/>
      <c r="D1733" s="147"/>
      <c r="E1733" s="34" t="s">
        <v>100</v>
      </c>
      <c r="F1733" s="34" t="s">
        <v>222</v>
      </c>
    </row>
    <row r="1734" spans="1:6" hidden="1">
      <c r="A1734" s="212" t="s">
        <v>119</v>
      </c>
      <c r="B1734" s="147"/>
      <c r="C1734" s="147"/>
      <c r="D1734" s="147"/>
      <c r="E1734" s="34" t="s">
        <v>100</v>
      </c>
      <c r="F1734" s="34" t="s">
        <v>222</v>
      </c>
    </row>
    <row r="1735" spans="1:6" hidden="1">
      <c r="A1735" s="212" t="s">
        <v>120</v>
      </c>
      <c r="B1735" s="147"/>
      <c r="C1735" s="147"/>
      <c r="D1735" s="147"/>
      <c r="E1735" s="34" t="s">
        <v>100</v>
      </c>
      <c r="F1735" s="34" t="s">
        <v>222</v>
      </c>
    </row>
    <row r="1736" spans="1:6" hidden="1">
      <c r="A1736" s="212" t="s">
        <v>121</v>
      </c>
      <c r="B1736" s="147"/>
      <c r="C1736" s="147"/>
      <c r="D1736" s="147"/>
      <c r="E1736" s="34" t="s">
        <v>100</v>
      </c>
      <c r="F1736" s="34" t="s">
        <v>222</v>
      </c>
    </row>
    <row r="1737" spans="1:6" hidden="1">
      <c r="A1737" s="212" t="s">
        <v>122</v>
      </c>
      <c r="B1737" s="147"/>
      <c r="C1737" s="147"/>
      <c r="D1737" s="147"/>
      <c r="E1737" s="34" t="s">
        <v>100</v>
      </c>
      <c r="F1737" s="34" t="s">
        <v>222</v>
      </c>
    </row>
    <row r="1738" spans="1:6" hidden="1">
      <c r="A1738" s="212" t="s">
        <v>123</v>
      </c>
      <c r="B1738" s="147"/>
      <c r="C1738" s="147"/>
      <c r="D1738" s="147"/>
      <c r="E1738" s="34" t="s">
        <v>100</v>
      </c>
      <c r="F1738" s="34" t="s">
        <v>222</v>
      </c>
    </row>
    <row r="1739" spans="1:6" hidden="1">
      <c r="A1739" s="212" t="s">
        <v>124</v>
      </c>
      <c r="B1739" s="147"/>
      <c r="C1739" s="147"/>
      <c r="D1739" s="147"/>
      <c r="E1739" s="34" t="s">
        <v>100</v>
      </c>
      <c r="F1739" s="34" t="s">
        <v>222</v>
      </c>
    </row>
    <row r="1740" spans="1:6" hidden="1">
      <c r="A1740" s="212" t="s">
        <v>125</v>
      </c>
      <c r="B1740" s="147"/>
      <c r="C1740" s="147"/>
      <c r="D1740" s="147"/>
      <c r="E1740" s="34" t="s">
        <v>100</v>
      </c>
      <c r="F1740" s="34" t="s">
        <v>222</v>
      </c>
    </row>
    <row r="1741" spans="1:6" hidden="1">
      <c r="A1741" s="212" t="s">
        <v>126</v>
      </c>
      <c r="B1741" s="147"/>
      <c r="C1741" s="147"/>
      <c r="D1741" s="147"/>
      <c r="E1741" s="34" t="s">
        <v>100</v>
      </c>
      <c r="F1741" s="34" t="s">
        <v>222</v>
      </c>
    </row>
    <row r="1742" spans="1:6" hidden="1">
      <c r="A1742" s="212" t="s">
        <v>127</v>
      </c>
      <c r="B1742" s="147"/>
      <c r="C1742" s="147"/>
      <c r="D1742" s="147"/>
      <c r="E1742" s="34" t="s">
        <v>100</v>
      </c>
      <c r="F1742" s="34" t="s">
        <v>222</v>
      </c>
    </row>
    <row r="1743" spans="1:6" hidden="1">
      <c r="A1743" s="230" t="s">
        <v>116</v>
      </c>
      <c r="B1743" s="149"/>
      <c r="C1743" s="149"/>
      <c r="D1743" s="149"/>
      <c r="E1743" s="34" t="s">
        <v>100</v>
      </c>
      <c r="F1743" s="34" t="s">
        <v>198</v>
      </c>
    </row>
    <row r="1744" spans="1:6" hidden="1">
      <c r="A1744" s="230" t="s">
        <v>117</v>
      </c>
      <c r="B1744" s="149"/>
      <c r="C1744" s="149"/>
      <c r="D1744" s="149"/>
      <c r="E1744" s="34" t="s">
        <v>100</v>
      </c>
      <c r="F1744" s="34" t="s">
        <v>198</v>
      </c>
    </row>
    <row r="1745" spans="1:6" hidden="1">
      <c r="A1745" s="230" t="s">
        <v>118</v>
      </c>
      <c r="B1745" s="149"/>
      <c r="C1745" s="149"/>
      <c r="D1745" s="149"/>
      <c r="E1745" s="34" t="s">
        <v>100</v>
      </c>
      <c r="F1745" s="34" t="s">
        <v>198</v>
      </c>
    </row>
    <row r="1746" spans="1:6" hidden="1">
      <c r="A1746" s="230" t="s">
        <v>119</v>
      </c>
      <c r="B1746" s="149"/>
      <c r="C1746" s="149"/>
      <c r="D1746" s="149"/>
      <c r="E1746" s="34" t="s">
        <v>100</v>
      </c>
      <c r="F1746" s="34" t="s">
        <v>198</v>
      </c>
    </row>
    <row r="1747" spans="1:6" hidden="1">
      <c r="A1747" s="230" t="s">
        <v>120</v>
      </c>
      <c r="B1747" s="149"/>
      <c r="C1747" s="149"/>
      <c r="D1747" s="149"/>
      <c r="E1747" s="34" t="s">
        <v>100</v>
      </c>
      <c r="F1747" s="34" t="s">
        <v>198</v>
      </c>
    </row>
    <row r="1748" spans="1:6" hidden="1">
      <c r="A1748" s="230" t="s">
        <v>121</v>
      </c>
      <c r="B1748" s="149"/>
      <c r="C1748" s="149"/>
      <c r="D1748" s="149"/>
      <c r="E1748" s="34" t="s">
        <v>100</v>
      </c>
      <c r="F1748" s="34" t="s">
        <v>198</v>
      </c>
    </row>
    <row r="1749" spans="1:6" hidden="1">
      <c r="A1749" s="230" t="s">
        <v>122</v>
      </c>
      <c r="B1749" s="149"/>
      <c r="C1749" s="149"/>
      <c r="D1749" s="149"/>
      <c r="E1749" s="34" t="s">
        <v>100</v>
      </c>
      <c r="F1749" s="34" t="s">
        <v>198</v>
      </c>
    </row>
    <row r="1750" spans="1:6" hidden="1">
      <c r="A1750" s="230" t="s">
        <v>123</v>
      </c>
      <c r="B1750" s="149"/>
      <c r="C1750" s="149"/>
      <c r="D1750" s="149"/>
      <c r="E1750" s="34" t="s">
        <v>100</v>
      </c>
      <c r="F1750" s="34" t="s">
        <v>198</v>
      </c>
    </row>
    <row r="1751" spans="1:6" hidden="1">
      <c r="A1751" s="230" t="s">
        <v>124</v>
      </c>
      <c r="B1751" s="149"/>
      <c r="C1751" s="149"/>
      <c r="D1751" s="149"/>
      <c r="E1751" s="34" t="s">
        <v>100</v>
      </c>
      <c r="F1751" s="34" t="s">
        <v>198</v>
      </c>
    </row>
    <row r="1752" spans="1:6" hidden="1">
      <c r="A1752" s="230" t="s">
        <v>125</v>
      </c>
      <c r="B1752" s="149"/>
      <c r="C1752" s="149"/>
      <c r="D1752" s="149"/>
      <c r="E1752" s="34" t="s">
        <v>100</v>
      </c>
      <c r="F1752" s="34" t="s">
        <v>198</v>
      </c>
    </row>
    <row r="1753" spans="1:6" hidden="1">
      <c r="A1753" s="230" t="s">
        <v>126</v>
      </c>
      <c r="B1753" s="149"/>
      <c r="C1753" s="149"/>
      <c r="D1753" s="149"/>
      <c r="E1753" s="34" t="s">
        <v>100</v>
      </c>
      <c r="F1753" s="34" t="s">
        <v>198</v>
      </c>
    </row>
    <row r="1754" spans="1:6" hidden="1">
      <c r="A1754" s="230" t="s">
        <v>127</v>
      </c>
      <c r="B1754" s="149"/>
      <c r="C1754" s="149"/>
      <c r="D1754" s="149"/>
      <c r="E1754" s="34" t="s">
        <v>100</v>
      </c>
      <c r="F1754" s="34" t="s">
        <v>198</v>
      </c>
    </row>
    <row r="1755" spans="1:6" hidden="1">
      <c r="A1755" s="212" t="s">
        <v>116</v>
      </c>
      <c r="B1755" s="147"/>
      <c r="C1755" s="147"/>
      <c r="D1755" s="147"/>
      <c r="E1755" s="34" t="s">
        <v>100</v>
      </c>
      <c r="F1755" s="34" t="s">
        <v>28</v>
      </c>
    </row>
    <row r="1756" spans="1:6" hidden="1">
      <c r="A1756" s="212" t="s">
        <v>117</v>
      </c>
      <c r="B1756" s="147"/>
      <c r="C1756" s="147"/>
      <c r="D1756" s="147"/>
      <c r="E1756" s="34" t="s">
        <v>100</v>
      </c>
      <c r="F1756" s="34" t="s">
        <v>28</v>
      </c>
    </row>
    <row r="1757" spans="1:6" hidden="1">
      <c r="A1757" s="212" t="s">
        <v>118</v>
      </c>
      <c r="B1757" s="147"/>
      <c r="C1757" s="147"/>
      <c r="D1757" s="147"/>
      <c r="E1757" s="34" t="s">
        <v>100</v>
      </c>
      <c r="F1757" s="34" t="s">
        <v>28</v>
      </c>
    </row>
    <row r="1758" spans="1:6" hidden="1">
      <c r="A1758" s="212" t="s">
        <v>119</v>
      </c>
      <c r="B1758" s="147"/>
      <c r="C1758" s="147"/>
      <c r="D1758" s="147"/>
      <c r="E1758" s="34" t="s">
        <v>100</v>
      </c>
      <c r="F1758" s="34" t="s">
        <v>28</v>
      </c>
    </row>
    <row r="1759" spans="1:6" hidden="1">
      <c r="A1759" s="212" t="s">
        <v>120</v>
      </c>
      <c r="B1759" s="147"/>
      <c r="C1759" s="147"/>
      <c r="D1759" s="147"/>
      <c r="E1759" s="34" t="s">
        <v>100</v>
      </c>
      <c r="F1759" s="34" t="s">
        <v>28</v>
      </c>
    </row>
    <row r="1760" spans="1:6" hidden="1">
      <c r="A1760" s="212" t="s">
        <v>121</v>
      </c>
      <c r="B1760" s="147"/>
      <c r="C1760" s="147"/>
      <c r="D1760" s="147"/>
      <c r="E1760" s="34" t="s">
        <v>100</v>
      </c>
      <c r="F1760" s="34" t="s">
        <v>28</v>
      </c>
    </row>
    <row r="1761" spans="1:6" hidden="1">
      <c r="A1761" s="212" t="s">
        <v>122</v>
      </c>
      <c r="B1761" s="147"/>
      <c r="C1761" s="147"/>
      <c r="D1761" s="147"/>
      <c r="E1761" s="34" t="s">
        <v>100</v>
      </c>
      <c r="F1761" s="34" t="s">
        <v>28</v>
      </c>
    </row>
    <row r="1762" spans="1:6" hidden="1">
      <c r="A1762" s="212" t="s">
        <v>123</v>
      </c>
      <c r="B1762" s="147"/>
      <c r="C1762" s="147"/>
      <c r="D1762" s="147"/>
      <c r="E1762" s="34" t="s">
        <v>100</v>
      </c>
      <c r="F1762" s="34" t="s">
        <v>28</v>
      </c>
    </row>
    <row r="1763" spans="1:6" hidden="1">
      <c r="A1763" s="212" t="s">
        <v>124</v>
      </c>
      <c r="B1763" s="147"/>
      <c r="C1763" s="147"/>
      <c r="D1763" s="147"/>
      <c r="E1763" s="34" t="s">
        <v>100</v>
      </c>
      <c r="F1763" s="34" t="s">
        <v>28</v>
      </c>
    </row>
    <row r="1764" spans="1:6" hidden="1">
      <c r="A1764" s="212" t="s">
        <v>125</v>
      </c>
      <c r="B1764" s="147"/>
      <c r="C1764" s="147"/>
      <c r="D1764" s="147"/>
      <c r="E1764" s="34" t="s">
        <v>100</v>
      </c>
      <c r="F1764" s="34" t="s">
        <v>28</v>
      </c>
    </row>
    <row r="1765" spans="1:6" hidden="1">
      <c r="A1765" s="212" t="s">
        <v>126</v>
      </c>
      <c r="B1765" s="147"/>
      <c r="C1765" s="147"/>
      <c r="D1765" s="147"/>
      <c r="E1765" s="34" t="s">
        <v>100</v>
      </c>
      <c r="F1765" s="34" t="s">
        <v>28</v>
      </c>
    </row>
    <row r="1766" spans="1:6" hidden="1">
      <c r="A1766" s="212" t="s">
        <v>127</v>
      </c>
      <c r="B1766" s="147"/>
      <c r="C1766" s="147"/>
      <c r="D1766" s="147"/>
      <c r="E1766" s="34" t="s">
        <v>100</v>
      </c>
      <c r="F1766" s="34" t="s">
        <v>28</v>
      </c>
    </row>
    <row r="1767" spans="1:6" hidden="1">
      <c r="A1767" s="230" t="s">
        <v>116</v>
      </c>
      <c r="B1767" s="149"/>
      <c r="C1767" s="149"/>
      <c r="D1767" s="149"/>
      <c r="E1767" s="34" t="s">
        <v>100</v>
      </c>
      <c r="F1767" s="149" t="s">
        <v>142</v>
      </c>
    </row>
    <row r="1768" spans="1:6" hidden="1">
      <c r="A1768" s="230" t="s">
        <v>117</v>
      </c>
      <c r="B1768" s="149"/>
      <c r="C1768" s="149"/>
      <c r="D1768" s="149"/>
      <c r="E1768" s="34" t="s">
        <v>100</v>
      </c>
      <c r="F1768" s="149" t="s">
        <v>142</v>
      </c>
    </row>
    <row r="1769" spans="1:6" hidden="1">
      <c r="A1769" s="230" t="s">
        <v>118</v>
      </c>
      <c r="B1769" s="149"/>
      <c r="C1769" s="149"/>
      <c r="D1769" s="149"/>
      <c r="E1769" s="34" t="s">
        <v>100</v>
      </c>
      <c r="F1769" s="149" t="s">
        <v>142</v>
      </c>
    </row>
    <row r="1770" spans="1:6" hidden="1">
      <c r="A1770" s="230" t="s">
        <v>119</v>
      </c>
      <c r="B1770" s="149"/>
      <c r="C1770" s="149"/>
      <c r="D1770" s="149"/>
      <c r="E1770" s="34" t="s">
        <v>100</v>
      </c>
      <c r="F1770" s="149" t="s">
        <v>142</v>
      </c>
    </row>
    <row r="1771" spans="1:6" hidden="1">
      <c r="A1771" s="230" t="s">
        <v>120</v>
      </c>
      <c r="B1771" s="149"/>
      <c r="C1771" s="149"/>
      <c r="D1771" s="149"/>
      <c r="E1771" s="34" t="s">
        <v>100</v>
      </c>
      <c r="F1771" s="149" t="s">
        <v>142</v>
      </c>
    </row>
    <row r="1772" spans="1:6" hidden="1">
      <c r="A1772" s="230" t="s">
        <v>121</v>
      </c>
      <c r="B1772" s="149"/>
      <c r="C1772" s="149"/>
      <c r="D1772" s="149"/>
      <c r="E1772" s="34" t="s">
        <v>100</v>
      </c>
      <c r="F1772" s="149" t="s">
        <v>142</v>
      </c>
    </row>
    <row r="1773" spans="1:6" hidden="1">
      <c r="A1773" s="230" t="s">
        <v>122</v>
      </c>
      <c r="B1773" s="149"/>
      <c r="C1773" s="149"/>
      <c r="D1773" s="149"/>
      <c r="E1773" s="34" t="s">
        <v>100</v>
      </c>
      <c r="F1773" s="149" t="s">
        <v>142</v>
      </c>
    </row>
    <row r="1774" spans="1:6" hidden="1">
      <c r="A1774" s="230" t="s">
        <v>123</v>
      </c>
      <c r="B1774" s="149"/>
      <c r="C1774" s="149"/>
      <c r="D1774" s="149"/>
      <c r="E1774" s="34" t="s">
        <v>100</v>
      </c>
      <c r="F1774" s="149" t="s">
        <v>142</v>
      </c>
    </row>
    <row r="1775" spans="1:6" hidden="1">
      <c r="A1775" s="230" t="s">
        <v>124</v>
      </c>
      <c r="B1775" s="149"/>
      <c r="C1775" s="149"/>
      <c r="D1775" s="149"/>
      <c r="E1775" s="34" t="s">
        <v>100</v>
      </c>
      <c r="F1775" s="149" t="s">
        <v>142</v>
      </c>
    </row>
    <row r="1776" spans="1:6" hidden="1">
      <c r="A1776" s="230" t="s">
        <v>125</v>
      </c>
      <c r="B1776" s="149"/>
      <c r="C1776" s="149"/>
      <c r="D1776" s="149"/>
      <c r="E1776" s="34" t="s">
        <v>100</v>
      </c>
      <c r="F1776" s="149" t="s">
        <v>142</v>
      </c>
    </row>
    <row r="1777" spans="1:6" hidden="1">
      <c r="A1777" s="230" t="s">
        <v>126</v>
      </c>
      <c r="B1777" s="149"/>
      <c r="C1777" s="149"/>
      <c r="D1777" s="149"/>
      <c r="E1777" s="34" t="s">
        <v>100</v>
      </c>
      <c r="F1777" s="149" t="s">
        <v>142</v>
      </c>
    </row>
    <row r="1778" spans="1:6" hidden="1">
      <c r="A1778" s="230" t="s">
        <v>127</v>
      </c>
      <c r="B1778" s="149"/>
      <c r="C1778" s="149"/>
      <c r="D1778" s="149"/>
      <c r="E1778" s="34" t="s">
        <v>100</v>
      </c>
      <c r="F1778" s="149" t="s">
        <v>142</v>
      </c>
    </row>
    <row r="1779" spans="1:6" hidden="1">
      <c r="A1779" s="212" t="s">
        <v>116</v>
      </c>
      <c r="B1779" s="147"/>
      <c r="C1779" s="147"/>
      <c r="D1779" s="147"/>
      <c r="E1779" s="34" t="s">
        <v>101</v>
      </c>
      <c r="F1779" s="34" t="s">
        <v>197</v>
      </c>
    </row>
    <row r="1780" spans="1:6" hidden="1">
      <c r="A1780" s="212" t="s">
        <v>117</v>
      </c>
      <c r="B1780" s="147"/>
      <c r="C1780" s="147"/>
      <c r="D1780" s="147"/>
      <c r="E1780" s="34" t="s">
        <v>101</v>
      </c>
      <c r="F1780" s="34" t="s">
        <v>197</v>
      </c>
    </row>
    <row r="1781" spans="1:6" hidden="1">
      <c r="A1781" s="212" t="s">
        <v>118</v>
      </c>
      <c r="B1781" s="147"/>
      <c r="C1781" s="147"/>
      <c r="D1781" s="147"/>
      <c r="E1781" s="34" t="s">
        <v>101</v>
      </c>
      <c r="F1781" s="34" t="s">
        <v>197</v>
      </c>
    </row>
    <row r="1782" spans="1:6" hidden="1">
      <c r="A1782" s="212" t="s">
        <v>119</v>
      </c>
      <c r="B1782" s="147"/>
      <c r="C1782" s="147"/>
      <c r="D1782" s="147"/>
      <c r="E1782" s="34" t="s">
        <v>101</v>
      </c>
      <c r="F1782" s="34" t="s">
        <v>197</v>
      </c>
    </row>
    <row r="1783" spans="1:6" hidden="1">
      <c r="A1783" s="212" t="s">
        <v>120</v>
      </c>
      <c r="B1783" s="147"/>
      <c r="C1783" s="147"/>
      <c r="D1783" s="147"/>
      <c r="E1783" s="34" t="s">
        <v>101</v>
      </c>
      <c r="F1783" s="34" t="s">
        <v>197</v>
      </c>
    </row>
    <row r="1784" spans="1:6" hidden="1">
      <c r="A1784" s="212" t="s">
        <v>121</v>
      </c>
      <c r="B1784" s="147"/>
      <c r="C1784" s="147"/>
      <c r="D1784" s="147"/>
      <c r="E1784" s="34" t="s">
        <v>101</v>
      </c>
      <c r="F1784" s="34" t="s">
        <v>197</v>
      </c>
    </row>
    <row r="1785" spans="1:6" hidden="1">
      <c r="A1785" s="212" t="s">
        <v>122</v>
      </c>
      <c r="B1785" s="147"/>
      <c r="C1785" s="147"/>
      <c r="D1785" s="147"/>
      <c r="E1785" s="34" t="s">
        <v>101</v>
      </c>
      <c r="F1785" s="34" t="s">
        <v>197</v>
      </c>
    </row>
    <row r="1786" spans="1:6" hidden="1">
      <c r="A1786" s="212" t="s">
        <v>123</v>
      </c>
      <c r="B1786" s="147"/>
      <c r="C1786" s="147"/>
      <c r="D1786" s="147"/>
      <c r="E1786" s="34" t="s">
        <v>101</v>
      </c>
      <c r="F1786" s="34" t="s">
        <v>197</v>
      </c>
    </row>
    <row r="1787" spans="1:6" hidden="1">
      <c r="A1787" s="212" t="s">
        <v>124</v>
      </c>
      <c r="B1787" s="147"/>
      <c r="C1787" s="147"/>
      <c r="D1787" s="147"/>
      <c r="E1787" s="34" t="s">
        <v>101</v>
      </c>
      <c r="F1787" s="34" t="s">
        <v>197</v>
      </c>
    </row>
    <row r="1788" spans="1:6" hidden="1">
      <c r="A1788" s="212" t="s">
        <v>125</v>
      </c>
      <c r="B1788" s="147"/>
      <c r="C1788" s="147"/>
      <c r="D1788" s="147"/>
      <c r="E1788" s="34" t="s">
        <v>101</v>
      </c>
      <c r="F1788" s="34" t="s">
        <v>197</v>
      </c>
    </row>
    <row r="1789" spans="1:6" hidden="1">
      <c r="A1789" s="212" t="s">
        <v>126</v>
      </c>
      <c r="B1789" s="147"/>
      <c r="C1789" s="147"/>
      <c r="D1789" s="147"/>
      <c r="E1789" s="34" t="s">
        <v>101</v>
      </c>
      <c r="F1789" s="34" t="s">
        <v>197</v>
      </c>
    </row>
    <row r="1790" spans="1:6" hidden="1">
      <c r="A1790" s="212" t="s">
        <v>127</v>
      </c>
      <c r="B1790" s="147"/>
      <c r="C1790" s="147"/>
      <c r="D1790" s="147"/>
      <c r="E1790" s="34" t="s">
        <v>101</v>
      </c>
      <c r="F1790" s="34" t="s">
        <v>197</v>
      </c>
    </row>
    <row r="1791" spans="1:6" hidden="1">
      <c r="A1791" s="230" t="s">
        <v>116</v>
      </c>
      <c r="B1791" s="149"/>
      <c r="C1791" s="149"/>
      <c r="D1791" s="149"/>
      <c r="E1791" s="34" t="s">
        <v>101</v>
      </c>
      <c r="F1791" s="34" t="s">
        <v>199</v>
      </c>
    </row>
    <row r="1792" spans="1:6" hidden="1">
      <c r="A1792" s="230" t="s">
        <v>117</v>
      </c>
      <c r="B1792" s="149"/>
      <c r="C1792" s="149"/>
      <c r="D1792" s="149"/>
      <c r="E1792" s="34" t="s">
        <v>101</v>
      </c>
      <c r="F1792" s="34" t="s">
        <v>199</v>
      </c>
    </row>
    <row r="1793" spans="1:6" hidden="1">
      <c r="A1793" s="230" t="s">
        <v>118</v>
      </c>
      <c r="B1793" s="149"/>
      <c r="C1793" s="149"/>
      <c r="D1793" s="149"/>
      <c r="E1793" s="34" t="s">
        <v>101</v>
      </c>
      <c r="F1793" s="34" t="s">
        <v>199</v>
      </c>
    </row>
    <row r="1794" spans="1:6" hidden="1">
      <c r="A1794" s="230" t="s">
        <v>119</v>
      </c>
      <c r="B1794" s="149"/>
      <c r="C1794" s="149"/>
      <c r="D1794" s="149"/>
      <c r="E1794" s="34" t="s">
        <v>101</v>
      </c>
      <c r="F1794" s="34" t="s">
        <v>199</v>
      </c>
    </row>
    <row r="1795" spans="1:6" hidden="1">
      <c r="A1795" s="230" t="s">
        <v>120</v>
      </c>
      <c r="B1795" s="149"/>
      <c r="C1795" s="149"/>
      <c r="D1795" s="149"/>
      <c r="E1795" s="34" t="s">
        <v>101</v>
      </c>
      <c r="F1795" s="34" t="s">
        <v>199</v>
      </c>
    </row>
    <row r="1796" spans="1:6" hidden="1">
      <c r="A1796" s="230" t="s">
        <v>121</v>
      </c>
      <c r="B1796" s="149"/>
      <c r="C1796" s="149"/>
      <c r="D1796" s="149"/>
      <c r="E1796" s="34" t="s">
        <v>101</v>
      </c>
      <c r="F1796" s="34" t="s">
        <v>199</v>
      </c>
    </row>
    <row r="1797" spans="1:6" hidden="1">
      <c r="A1797" s="230" t="s">
        <v>122</v>
      </c>
      <c r="B1797" s="149"/>
      <c r="C1797" s="149"/>
      <c r="D1797" s="149"/>
      <c r="E1797" s="34" t="s">
        <v>101</v>
      </c>
      <c r="F1797" s="34" t="s">
        <v>199</v>
      </c>
    </row>
    <row r="1798" spans="1:6" hidden="1">
      <c r="A1798" s="230" t="s">
        <v>123</v>
      </c>
      <c r="B1798" s="149"/>
      <c r="C1798" s="149"/>
      <c r="D1798" s="149"/>
      <c r="E1798" s="34" t="s">
        <v>101</v>
      </c>
      <c r="F1798" s="34" t="s">
        <v>199</v>
      </c>
    </row>
    <row r="1799" spans="1:6" hidden="1">
      <c r="A1799" s="230" t="s">
        <v>124</v>
      </c>
      <c r="B1799" s="149"/>
      <c r="C1799" s="149"/>
      <c r="D1799" s="149"/>
      <c r="E1799" s="34" t="s">
        <v>101</v>
      </c>
      <c r="F1799" s="34" t="s">
        <v>199</v>
      </c>
    </row>
    <row r="1800" spans="1:6" hidden="1">
      <c r="A1800" s="230" t="s">
        <v>125</v>
      </c>
      <c r="B1800" s="149"/>
      <c r="C1800" s="149"/>
      <c r="D1800" s="149"/>
      <c r="E1800" s="34" t="s">
        <v>101</v>
      </c>
      <c r="F1800" s="34" t="s">
        <v>199</v>
      </c>
    </row>
    <row r="1801" spans="1:6" hidden="1">
      <c r="A1801" s="230" t="s">
        <v>126</v>
      </c>
      <c r="B1801" s="149"/>
      <c r="C1801" s="149"/>
      <c r="D1801" s="149"/>
      <c r="E1801" s="34" t="s">
        <v>101</v>
      </c>
      <c r="F1801" s="34" t="s">
        <v>199</v>
      </c>
    </row>
    <row r="1802" spans="1:6" hidden="1">
      <c r="A1802" s="230" t="s">
        <v>127</v>
      </c>
      <c r="B1802" s="149"/>
      <c r="C1802" s="149"/>
      <c r="D1802" s="149"/>
      <c r="E1802" s="34" t="s">
        <v>101</v>
      </c>
      <c r="F1802" s="34" t="s">
        <v>199</v>
      </c>
    </row>
    <row r="1803" spans="1:6" hidden="1">
      <c r="A1803" s="212" t="s">
        <v>116</v>
      </c>
      <c r="B1803" s="147"/>
      <c r="C1803" s="147"/>
      <c r="D1803" s="147"/>
      <c r="E1803" s="34" t="s">
        <v>101</v>
      </c>
      <c r="F1803" s="34" t="s">
        <v>222</v>
      </c>
    </row>
    <row r="1804" spans="1:6" hidden="1">
      <c r="A1804" s="212" t="s">
        <v>117</v>
      </c>
      <c r="B1804" s="147"/>
      <c r="C1804" s="147"/>
      <c r="D1804" s="147"/>
      <c r="E1804" s="34" t="s">
        <v>101</v>
      </c>
      <c r="F1804" s="34" t="s">
        <v>222</v>
      </c>
    </row>
    <row r="1805" spans="1:6" hidden="1">
      <c r="A1805" s="212" t="s">
        <v>118</v>
      </c>
      <c r="B1805" s="147"/>
      <c r="C1805" s="147"/>
      <c r="D1805" s="147"/>
      <c r="E1805" s="34" t="s">
        <v>101</v>
      </c>
      <c r="F1805" s="34" t="s">
        <v>222</v>
      </c>
    </row>
    <row r="1806" spans="1:6" hidden="1">
      <c r="A1806" s="212" t="s">
        <v>119</v>
      </c>
      <c r="B1806" s="147"/>
      <c r="C1806" s="147"/>
      <c r="D1806" s="147"/>
      <c r="E1806" s="34" t="s">
        <v>101</v>
      </c>
      <c r="F1806" s="34" t="s">
        <v>222</v>
      </c>
    </row>
    <row r="1807" spans="1:6" hidden="1">
      <c r="A1807" s="212" t="s">
        <v>120</v>
      </c>
      <c r="B1807" s="147"/>
      <c r="C1807" s="147"/>
      <c r="D1807" s="147"/>
      <c r="E1807" s="34" t="s">
        <v>101</v>
      </c>
      <c r="F1807" s="34" t="s">
        <v>222</v>
      </c>
    </row>
    <row r="1808" spans="1:6" hidden="1">
      <c r="A1808" s="212" t="s">
        <v>121</v>
      </c>
      <c r="B1808" s="147"/>
      <c r="C1808" s="147"/>
      <c r="D1808" s="147"/>
      <c r="E1808" s="34" t="s">
        <v>101</v>
      </c>
      <c r="F1808" s="34" t="s">
        <v>222</v>
      </c>
    </row>
    <row r="1809" spans="1:6" hidden="1">
      <c r="A1809" s="212" t="s">
        <v>122</v>
      </c>
      <c r="B1809" s="147"/>
      <c r="C1809" s="147"/>
      <c r="D1809" s="147"/>
      <c r="E1809" s="34" t="s">
        <v>101</v>
      </c>
      <c r="F1809" s="34" t="s">
        <v>222</v>
      </c>
    </row>
    <row r="1810" spans="1:6" hidden="1">
      <c r="A1810" s="212" t="s">
        <v>123</v>
      </c>
      <c r="B1810" s="147"/>
      <c r="C1810" s="147"/>
      <c r="D1810" s="147"/>
      <c r="E1810" s="34" t="s">
        <v>101</v>
      </c>
      <c r="F1810" s="34" t="s">
        <v>222</v>
      </c>
    </row>
    <row r="1811" spans="1:6" hidden="1">
      <c r="A1811" s="212" t="s">
        <v>124</v>
      </c>
      <c r="B1811" s="147"/>
      <c r="C1811" s="147"/>
      <c r="D1811" s="147"/>
      <c r="E1811" s="34" t="s">
        <v>101</v>
      </c>
      <c r="F1811" s="34" t="s">
        <v>222</v>
      </c>
    </row>
    <row r="1812" spans="1:6" hidden="1">
      <c r="A1812" s="212" t="s">
        <v>125</v>
      </c>
      <c r="B1812" s="147"/>
      <c r="C1812" s="147"/>
      <c r="D1812" s="147"/>
      <c r="E1812" s="34" t="s">
        <v>101</v>
      </c>
      <c r="F1812" s="34" t="s">
        <v>222</v>
      </c>
    </row>
    <row r="1813" spans="1:6" hidden="1">
      <c r="A1813" s="212" t="s">
        <v>126</v>
      </c>
      <c r="B1813" s="147"/>
      <c r="C1813" s="147"/>
      <c r="D1813" s="147"/>
      <c r="E1813" s="34" t="s">
        <v>101</v>
      </c>
      <c r="F1813" s="34" t="s">
        <v>222</v>
      </c>
    </row>
    <row r="1814" spans="1:6" hidden="1">
      <c r="A1814" s="212" t="s">
        <v>127</v>
      </c>
      <c r="B1814" s="147"/>
      <c r="C1814" s="147"/>
      <c r="D1814" s="147"/>
      <c r="E1814" s="34" t="s">
        <v>101</v>
      </c>
      <c r="F1814" s="34" t="s">
        <v>222</v>
      </c>
    </row>
    <row r="1815" spans="1:6" hidden="1">
      <c r="A1815" s="230" t="s">
        <v>116</v>
      </c>
      <c r="B1815" s="149"/>
      <c r="C1815" s="149"/>
      <c r="D1815" s="149"/>
      <c r="E1815" s="34" t="s">
        <v>101</v>
      </c>
      <c r="F1815" s="34" t="s">
        <v>198</v>
      </c>
    </row>
    <row r="1816" spans="1:6" hidden="1">
      <c r="A1816" s="230" t="s">
        <v>117</v>
      </c>
      <c r="B1816" s="149"/>
      <c r="C1816" s="149"/>
      <c r="D1816" s="149"/>
      <c r="E1816" s="34" t="s">
        <v>101</v>
      </c>
      <c r="F1816" s="34" t="s">
        <v>198</v>
      </c>
    </row>
    <row r="1817" spans="1:6" hidden="1">
      <c r="A1817" s="230" t="s">
        <v>118</v>
      </c>
      <c r="B1817" s="149"/>
      <c r="C1817" s="149"/>
      <c r="D1817" s="149"/>
      <c r="E1817" s="34" t="s">
        <v>101</v>
      </c>
      <c r="F1817" s="34" t="s">
        <v>198</v>
      </c>
    </row>
    <row r="1818" spans="1:6" hidden="1">
      <c r="A1818" s="230" t="s">
        <v>119</v>
      </c>
      <c r="B1818" s="149"/>
      <c r="C1818" s="149"/>
      <c r="D1818" s="149"/>
      <c r="E1818" s="34" t="s">
        <v>101</v>
      </c>
      <c r="F1818" s="34" t="s">
        <v>198</v>
      </c>
    </row>
    <row r="1819" spans="1:6" hidden="1">
      <c r="A1819" s="230" t="s">
        <v>120</v>
      </c>
      <c r="B1819" s="149"/>
      <c r="C1819" s="149"/>
      <c r="D1819" s="149"/>
      <c r="E1819" s="34" t="s">
        <v>101</v>
      </c>
      <c r="F1819" s="34" t="s">
        <v>198</v>
      </c>
    </row>
    <row r="1820" spans="1:6" hidden="1">
      <c r="A1820" s="230" t="s">
        <v>121</v>
      </c>
      <c r="B1820" s="149"/>
      <c r="C1820" s="149"/>
      <c r="D1820" s="149"/>
      <c r="E1820" s="34" t="s">
        <v>101</v>
      </c>
      <c r="F1820" s="34" t="s">
        <v>198</v>
      </c>
    </row>
    <row r="1821" spans="1:6" hidden="1">
      <c r="A1821" s="230" t="s">
        <v>122</v>
      </c>
      <c r="B1821" s="149"/>
      <c r="C1821" s="149"/>
      <c r="D1821" s="149"/>
      <c r="E1821" s="34" t="s">
        <v>101</v>
      </c>
      <c r="F1821" s="34" t="s">
        <v>198</v>
      </c>
    </row>
    <row r="1822" spans="1:6" hidden="1">
      <c r="A1822" s="230" t="s">
        <v>123</v>
      </c>
      <c r="B1822" s="149"/>
      <c r="C1822" s="149"/>
      <c r="D1822" s="149"/>
      <c r="E1822" s="34" t="s">
        <v>101</v>
      </c>
      <c r="F1822" s="34" t="s">
        <v>198</v>
      </c>
    </row>
    <row r="1823" spans="1:6" hidden="1">
      <c r="A1823" s="230" t="s">
        <v>124</v>
      </c>
      <c r="B1823" s="149"/>
      <c r="C1823" s="149"/>
      <c r="D1823" s="149"/>
      <c r="E1823" s="34" t="s">
        <v>101</v>
      </c>
      <c r="F1823" s="34" t="s">
        <v>198</v>
      </c>
    </row>
    <row r="1824" spans="1:6" hidden="1">
      <c r="A1824" s="230" t="s">
        <v>125</v>
      </c>
      <c r="B1824" s="149"/>
      <c r="C1824" s="149"/>
      <c r="D1824" s="149"/>
      <c r="E1824" s="34" t="s">
        <v>101</v>
      </c>
      <c r="F1824" s="34" t="s">
        <v>198</v>
      </c>
    </row>
    <row r="1825" spans="1:6" hidden="1">
      <c r="A1825" s="230" t="s">
        <v>126</v>
      </c>
      <c r="B1825" s="149"/>
      <c r="C1825" s="149"/>
      <c r="D1825" s="149"/>
      <c r="E1825" s="34" t="s">
        <v>101</v>
      </c>
      <c r="F1825" s="34" t="s">
        <v>198</v>
      </c>
    </row>
    <row r="1826" spans="1:6" hidden="1">
      <c r="A1826" s="230" t="s">
        <v>127</v>
      </c>
      <c r="B1826" s="149"/>
      <c r="C1826" s="149"/>
      <c r="D1826" s="149"/>
      <c r="E1826" s="34" t="s">
        <v>101</v>
      </c>
      <c r="F1826" s="34" t="s">
        <v>198</v>
      </c>
    </row>
    <row r="1827" spans="1:6" hidden="1">
      <c r="A1827" s="212" t="s">
        <v>116</v>
      </c>
      <c r="B1827" s="147"/>
      <c r="C1827" s="147"/>
      <c r="D1827" s="147"/>
      <c r="E1827" s="34" t="s">
        <v>101</v>
      </c>
      <c r="F1827" s="34" t="s">
        <v>28</v>
      </c>
    </row>
    <row r="1828" spans="1:6" hidden="1">
      <c r="A1828" s="212" t="s">
        <v>117</v>
      </c>
      <c r="B1828" s="147"/>
      <c r="C1828" s="147"/>
      <c r="D1828" s="147"/>
      <c r="E1828" s="34" t="s">
        <v>101</v>
      </c>
      <c r="F1828" s="34" t="s">
        <v>28</v>
      </c>
    </row>
    <row r="1829" spans="1:6" hidden="1">
      <c r="A1829" s="212" t="s">
        <v>118</v>
      </c>
      <c r="B1829" s="147"/>
      <c r="C1829" s="147"/>
      <c r="D1829" s="147"/>
      <c r="E1829" s="34" t="s">
        <v>101</v>
      </c>
      <c r="F1829" s="34" t="s">
        <v>28</v>
      </c>
    </row>
    <row r="1830" spans="1:6" hidden="1">
      <c r="A1830" s="212" t="s">
        <v>119</v>
      </c>
      <c r="B1830" s="147"/>
      <c r="C1830" s="147"/>
      <c r="D1830" s="147"/>
      <c r="E1830" s="34" t="s">
        <v>101</v>
      </c>
      <c r="F1830" s="34" t="s">
        <v>28</v>
      </c>
    </row>
    <row r="1831" spans="1:6" hidden="1">
      <c r="A1831" s="212" t="s">
        <v>120</v>
      </c>
      <c r="B1831" s="147"/>
      <c r="C1831" s="147"/>
      <c r="D1831" s="147"/>
      <c r="E1831" s="34" t="s">
        <v>101</v>
      </c>
      <c r="F1831" s="34" t="s">
        <v>28</v>
      </c>
    </row>
    <row r="1832" spans="1:6" hidden="1">
      <c r="A1832" s="212" t="s">
        <v>121</v>
      </c>
      <c r="B1832" s="147"/>
      <c r="C1832" s="147"/>
      <c r="D1832" s="147"/>
      <c r="E1832" s="34" t="s">
        <v>101</v>
      </c>
      <c r="F1832" s="34" t="s">
        <v>28</v>
      </c>
    </row>
    <row r="1833" spans="1:6" hidden="1">
      <c r="A1833" s="212" t="s">
        <v>122</v>
      </c>
      <c r="B1833" s="147"/>
      <c r="C1833" s="147"/>
      <c r="D1833" s="147"/>
      <c r="E1833" s="34" t="s">
        <v>101</v>
      </c>
      <c r="F1833" s="34" t="s">
        <v>28</v>
      </c>
    </row>
    <row r="1834" spans="1:6" hidden="1">
      <c r="A1834" s="212" t="s">
        <v>123</v>
      </c>
      <c r="B1834" s="147"/>
      <c r="C1834" s="147"/>
      <c r="D1834" s="147"/>
      <c r="E1834" s="34" t="s">
        <v>101</v>
      </c>
      <c r="F1834" s="34" t="s">
        <v>28</v>
      </c>
    </row>
    <row r="1835" spans="1:6" hidden="1">
      <c r="A1835" s="212" t="s">
        <v>124</v>
      </c>
      <c r="B1835" s="147"/>
      <c r="C1835" s="147"/>
      <c r="D1835" s="147"/>
      <c r="E1835" s="34" t="s">
        <v>101</v>
      </c>
      <c r="F1835" s="34" t="s">
        <v>28</v>
      </c>
    </row>
    <row r="1836" spans="1:6" hidden="1">
      <c r="A1836" s="212" t="s">
        <v>125</v>
      </c>
      <c r="B1836" s="147"/>
      <c r="C1836" s="147"/>
      <c r="D1836" s="147"/>
      <c r="E1836" s="34" t="s">
        <v>101</v>
      </c>
      <c r="F1836" s="34" t="s">
        <v>28</v>
      </c>
    </row>
    <row r="1837" spans="1:6" hidden="1">
      <c r="A1837" s="212" t="s">
        <v>126</v>
      </c>
      <c r="B1837" s="147"/>
      <c r="C1837" s="147"/>
      <c r="D1837" s="147"/>
      <c r="E1837" s="34" t="s">
        <v>101</v>
      </c>
      <c r="F1837" s="34" t="s">
        <v>28</v>
      </c>
    </row>
    <row r="1838" spans="1:6" hidden="1">
      <c r="A1838" s="212" t="s">
        <v>127</v>
      </c>
      <c r="B1838" s="147"/>
      <c r="C1838" s="147"/>
      <c r="D1838" s="147"/>
      <c r="E1838" s="34" t="s">
        <v>101</v>
      </c>
      <c r="F1838" s="34" t="s">
        <v>28</v>
      </c>
    </row>
    <row r="1839" spans="1:6" hidden="1">
      <c r="A1839" s="230" t="s">
        <v>116</v>
      </c>
      <c r="B1839" s="149"/>
      <c r="C1839" s="149"/>
      <c r="D1839" s="149"/>
      <c r="E1839" s="34" t="s">
        <v>101</v>
      </c>
      <c r="F1839" s="149" t="s">
        <v>142</v>
      </c>
    </row>
    <row r="1840" spans="1:6" hidden="1">
      <c r="A1840" s="230" t="s">
        <v>117</v>
      </c>
      <c r="B1840" s="149"/>
      <c r="C1840" s="149"/>
      <c r="D1840" s="149"/>
      <c r="E1840" s="34" t="s">
        <v>101</v>
      </c>
      <c r="F1840" s="149" t="s">
        <v>142</v>
      </c>
    </row>
    <row r="1841" spans="1:6" hidden="1">
      <c r="A1841" s="230" t="s">
        <v>118</v>
      </c>
      <c r="B1841" s="149"/>
      <c r="C1841" s="149"/>
      <c r="D1841" s="149"/>
      <c r="E1841" s="34" t="s">
        <v>101</v>
      </c>
      <c r="F1841" s="149" t="s">
        <v>142</v>
      </c>
    </row>
    <row r="1842" spans="1:6" hidden="1">
      <c r="A1842" s="230" t="s">
        <v>119</v>
      </c>
      <c r="B1842" s="149"/>
      <c r="C1842" s="149"/>
      <c r="D1842" s="149"/>
      <c r="E1842" s="34" t="s">
        <v>101</v>
      </c>
      <c r="F1842" s="149" t="s">
        <v>142</v>
      </c>
    </row>
    <row r="1843" spans="1:6" hidden="1">
      <c r="A1843" s="230" t="s">
        <v>120</v>
      </c>
      <c r="B1843" s="149"/>
      <c r="C1843" s="149"/>
      <c r="D1843" s="149"/>
      <c r="E1843" s="34" t="s">
        <v>101</v>
      </c>
      <c r="F1843" s="149" t="s">
        <v>142</v>
      </c>
    </row>
    <row r="1844" spans="1:6" hidden="1">
      <c r="A1844" s="230" t="s">
        <v>121</v>
      </c>
      <c r="B1844" s="149"/>
      <c r="C1844" s="149"/>
      <c r="D1844" s="149"/>
      <c r="E1844" s="34" t="s">
        <v>101</v>
      </c>
      <c r="F1844" s="149" t="s">
        <v>142</v>
      </c>
    </row>
    <row r="1845" spans="1:6" hidden="1">
      <c r="A1845" s="230" t="s">
        <v>122</v>
      </c>
      <c r="B1845" s="149"/>
      <c r="C1845" s="149"/>
      <c r="D1845" s="149"/>
      <c r="E1845" s="34" t="s">
        <v>101</v>
      </c>
      <c r="F1845" s="149" t="s">
        <v>142</v>
      </c>
    </row>
    <row r="1846" spans="1:6" hidden="1">
      <c r="A1846" s="230" t="s">
        <v>123</v>
      </c>
      <c r="B1846" s="149"/>
      <c r="C1846" s="149"/>
      <c r="D1846" s="149"/>
      <c r="E1846" s="34" t="s">
        <v>101</v>
      </c>
      <c r="F1846" s="149" t="s">
        <v>142</v>
      </c>
    </row>
    <row r="1847" spans="1:6" hidden="1">
      <c r="A1847" s="230" t="s">
        <v>124</v>
      </c>
      <c r="B1847" s="149"/>
      <c r="C1847" s="149"/>
      <c r="D1847" s="149"/>
      <c r="E1847" s="34" t="s">
        <v>101</v>
      </c>
      <c r="F1847" s="149" t="s">
        <v>142</v>
      </c>
    </row>
    <row r="1848" spans="1:6" hidden="1">
      <c r="A1848" s="230" t="s">
        <v>125</v>
      </c>
      <c r="B1848" s="149"/>
      <c r="C1848" s="149"/>
      <c r="D1848" s="149"/>
      <c r="E1848" s="34" t="s">
        <v>101</v>
      </c>
      <c r="F1848" s="149" t="s">
        <v>142</v>
      </c>
    </row>
    <row r="1849" spans="1:6" hidden="1">
      <c r="A1849" s="230" t="s">
        <v>126</v>
      </c>
      <c r="B1849" s="149"/>
      <c r="C1849" s="149"/>
      <c r="D1849" s="149"/>
      <c r="E1849" s="34" t="s">
        <v>101</v>
      </c>
      <c r="F1849" s="149" t="s">
        <v>142</v>
      </c>
    </row>
    <row r="1850" spans="1:6" hidden="1">
      <c r="A1850" s="230" t="s">
        <v>127</v>
      </c>
      <c r="B1850" s="149"/>
      <c r="C1850" s="149"/>
      <c r="D1850" s="149"/>
      <c r="E1850" s="34" t="s">
        <v>101</v>
      </c>
      <c r="F1850" s="149" t="s">
        <v>142</v>
      </c>
    </row>
    <row r="1851" spans="1:6" hidden="1">
      <c r="A1851" s="212" t="s">
        <v>116</v>
      </c>
      <c r="B1851" s="147"/>
      <c r="C1851" s="147"/>
      <c r="D1851" s="147"/>
      <c r="E1851" s="34" t="s">
        <v>102</v>
      </c>
      <c r="F1851" s="34" t="s">
        <v>197</v>
      </c>
    </row>
    <row r="1852" spans="1:6" hidden="1">
      <c r="A1852" s="212" t="s">
        <v>117</v>
      </c>
      <c r="B1852" s="147"/>
      <c r="C1852" s="147"/>
      <c r="D1852" s="147"/>
      <c r="E1852" s="34" t="s">
        <v>102</v>
      </c>
      <c r="F1852" s="34" t="s">
        <v>197</v>
      </c>
    </row>
    <row r="1853" spans="1:6" hidden="1">
      <c r="A1853" s="212" t="s">
        <v>118</v>
      </c>
      <c r="B1853" s="147"/>
      <c r="C1853" s="147"/>
      <c r="D1853" s="147"/>
      <c r="E1853" s="34" t="s">
        <v>102</v>
      </c>
      <c r="F1853" s="34" t="s">
        <v>197</v>
      </c>
    </row>
    <row r="1854" spans="1:6" hidden="1">
      <c r="A1854" s="212" t="s">
        <v>119</v>
      </c>
      <c r="B1854" s="147"/>
      <c r="C1854" s="147"/>
      <c r="D1854" s="147"/>
      <c r="E1854" s="34" t="s">
        <v>102</v>
      </c>
      <c r="F1854" s="34" t="s">
        <v>197</v>
      </c>
    </row>
    <row r="1855" spans="1:6" hidden="1">
      <c r="A1855" s="212" t="s">
        <v>120</v>
      </c>
      <c r="B1855" s="147"/>
      <c r="C1855" s="147"/>
      <c r="D1855" s="147"/>
      <c r="E1855" s="34" t="s">
        <v>102</v>
      </c>
      <c r="F1855" s="34" t="s">
        <v>197</v>
      </c>
    </row>
    <row r="1856" spans="1:6" hidden="1">
      <c r="A1856" s="212" t="s">
        <v>121</v>
      </c>
      <c r="B1856" s="147"/>
      <c r="C1856" s="147"/>
      <c r="D1856" s="147"/>
      <c r="E1856" s="34" t="s">
        <v>102</v>
      </c>
      <c r="F1856" s="34" t="s">
        <v>197</v>
      </c>
    </row>
    <row r="1857" spans="1:6" hidden="1">
      <c r="A1857" s="212" t="s">
        <v>122</v>
      </c>
      <c r="B1857" s="147"/>
      <c r="C1857" s="147"/>
      <c r="D1857" s="147"/>
      <c r="E1857" s="34" t="s">
        <v>102</v>
      </c>
      <c r="F1857" s="34" t="s">
        <v>197</v>
      </c>
    </row>
    <row r="1858" spans="1:6" hidden="1">
      <c r="A1858" s="212" t="s">
        <v>123</v>
      </c>
      <c r="B1858" s="147"/>
      <c r="C1858" s="147"/>
      <c r="D1858" s="147"/>
      <c r="E1858" s="34" t="s">
        <v>102</v>
      </c>
      <c r="F1858" s="34" t="s">
        <v>197</v>
      </c>
    </row>
    <row r="1859" spans="1:6" hidden="1">
      <c r="A1859" s="212" t="s">
        <v>124</v>
      </c>
      <c r="B1859" s="147"/>
      <c r="C1859" s="147"/>
      <c r="D1859" s="147"/>
      <c r="E1859" s="34" t="s">
        <v>102</v>
      </c>
      <c r="F1859" s="34" t="s">
        <v>197</v>
      </c>
    </row>
    <row r="1860" spans="1:6" hidden="1">
      <c r="A1860" s="212" t="s">
        <v>125</v>
      </c>
      <c r="B1860" s="147"/>
      <c r="C1860" s="147"/>
      <c r="D1860" s="147"/>
      <c r="E1860" s="34" t="s">
        <v>102</v>
      </c>
      <c r="F1860" s="34" t="s">
        <v>197</v>
      </c>
    </row>
    <row r="1861" spans="1:6" hidden="1">
      <c r="A1861" s="212" t="s">
        <v>126</v>
      </c>
      <c r="B1861" s="147"/>
      <c r="C1861" s="147"/>
      <c r="D1861" s="147"/>
      <c r="E1861" s="34" t="s">
        <v>102</v>
      </c>
      <c r="F1861" s="34" t="s">
        <v>197</v>
      </c>
    </row>
    <row r="1862" spans="1:6" hidden="1">
      <c r="A1862" s="212" t="s">
        <v>127</v>
      </c>
      <c r="B1862" s="147"/>
      <c r="C1862" s="147"/>
      <c r="D1862" s="147"/>
      <c r="E1862" s="34" t="s">
        <v>102</v>
      </c>
      <c r="F1862" s="34" t="s">
        <v>197</v>
      </c>
    </row>
    <row r="1863" spans="1:6" hidden="1">
      <c r="A1863" s="230" t="s">
        <v>116</v>
      </c>
      <c r="B1863" s="149"/>
      <c r="C1863" s="149"/>
      <c r="D1863" s="149"/>
      <c r="E1863" s="34" t="s">
        <v>102</v>
      </c>
      <c r="F1863" s="34" t="s">
        <v>199</v>
      </c>
    </row>
    <row r="1864" spans="1:6" hidden="1">
      <c r="A1864" s="230" t="s">
        <v>117</v>
      </c>
      <c r="B1864" s="149"/>
      <c r="C1864" s="149"/>
      <c r="D1864" s="149"/>
      <c r="E1864" s="34" t="s">
        <v>102</v>
      </c>
      <c r="F1864" s="34" t="s">
        <v>199</v>
      </c>
    </row>
    <row r="1865" spans="1:6" hidden="1">
      <c r="A1865" s="230" t="s">
        <v>118</v>
      </c>
      <c r="B1865" s="149"/>
      <c r="C1865" s="149"/>
      <c r="D1865" s="149"/>
      <c r="E1865" s="34" t="s">
        <v>102</v>
      </c>
      <c r="F1865" s="34" t="s">
        <v>199</v>
      </c>
    </row>
    <row r="1866" spans="1:6" hidden="1">
      <c r="A1866" s="230" t="s">
        <v>119</v>
      </c>
      <c r="B1866" s="149"/>
      <c r="C1866" s="149"/>
      <c r="D1866" s="149"/>
      <c r="E1866" s="34" t="s">
        <v>102</v>
      </c>
      <c r="F1866" s="34" t="s">
        <v>199</v>
      </c>
    </row>
    <row r="1867" spans="1:6" hidden="1">
      <c r="A1867" s="230" t="s">
        <v>120</v>
      </c>
      <c r="B1867" s="149"/>
      <c r="C1867" s="149"/>
      <c r="D1867" s="149"/>
      <c r="E1867" s="34" t="s">
        <v>102</v>
      </c>
      <c r="F1867" s="34" t="s">
        <v>199</v>
      </c>
    </row>
    <row r="1868" spans="1:6" hidden="1">
      <c r="A1868" s="230" t="s">
        <v>121</v>
      </c>
      <c r="B1868" s="149"/>
      <c r="C1868" s="149"/>
      <c r="D1868" s="149"/>
      <c r="E1868" s="34" t="s">
        <v>102</v>
      </c>
      <c r="F1868" s="34" t="s">
        <v>199</v>
      </c>
    </row>
    <row r="1869" spans="1:6" hidden="1">
      <c r="A1869" s="230" t="s">
        <v>122</v>
      </c>
      <c r="B1869" s="149"/>
      <c r="C1869" s="149"/>
      <c r="D1869" s="149"/>
      <c r="E1869" s="34" t="s">
        <v>102</v>
      </c>
      <c r="F1869" s="34" t="s">
        <v>199</v>
      </c>
    </row>
    <row r="1870" spans="1:6" hidden="1">
      <c r="A1870" s="230" t="s">
        <v>123</v>
      </c>
      <c r="B1870" s="149"/>
      <c r="C1870" s="149"/>
      <c r="D1870" s="149"/>
      <c r="E1870" s="34" t="s">
        <v>102</v>
      </c>
      <c r="F1870" s="34" t="s">
        <v>199</v>
      </c>
    </row>
    <row r="1871" spans="1:6" hidden="1">
      <c r="A1871" s="230" t="s">
        <v>124</v>
      </c>
      <c r="B1871" s="149"/>
      <c r="C1871" s="149"/>
      <c r="D1871" s="149"/>
      <c r="E1871" s="34" t="s">
        <v>102</v>
      </c>
      <c r="F1871" s="34" t="s">
        <v>199</v>
      </c>
    </row>
    <row r="1872" spans="1:6" hidden="1">
      <c r="A1872" s="230" t="s">
        <v>125</v>
      </c>
      <c r="B1872" s="149"/>
      <c r="C1872" s="149"/>
      <c r="D1872" s="149"/>
      <c r="E1872" s="34" t="s">
        <v>102</v>
      </c>
      <c r="F1872" s="34" t="s">
        <v>199</v>
      </c>
    </row>
    <row r="1873" spans="1:6" hidden="1">
      <c r="A1873" s="230" t="s">
        <v>126</v>
      </c>
      <c r="B1873" s="149"/>
      <c r="C1873" s="149"/>
      <c r="D1873" s="149"/>
      <c r="E1873" s="34" t="s">
        <v>102</v>
      </c>
      <c r="F1873" s="34" t="s">
        <v>199</v>
      </c>
    </row>
    <row r="1874" spans="1:6" hidden="1">
      <c r="A1874" s="230" t="s">
        <v>127</v>
      </c>
      <c r="B1874" s="149"/>
      <c r="C1874" s="149"/>
      <c r="D1874" s="149"/>
      <c r="E1874" s="34" t="s">
        <v>102</v>
      </c>
      <c r="F1874" s="34" t="s">
        <v>199</v>
      </c>
    </row>
    <row r="1875" spans="1:6" hidden="1">
      <c r="A1875" s="212" t="s">
        <v>116</v>
      </c>
      <c r="B1875" s="147"/>
      <c r="C1875" s="147"/>
      <c r="D1875" s="147"/>
      <c r="E1875" s="34" t="s">
        <v>102</v>
      </c>
      <c r="F1875" s="34" t="s">
        <v>222</v>
      </c>
    </row>
    <row r="1876" spans="1:6" hidden="1">
      <c r="A1876" s="212" t="s">
        <v>117</v>
      </c>
      <c r="B1876" s="147"/>
      <c r="C1876" s="147"/>
      <c r="D1876" s="147"/>
      <c r="E1876" s="34" t="s">
        <v>102</v>
      </c>
      <c r="F1876" s="34" t="s">
        <v>222</v>
      </c>
    </row>
    <row r="1877" spans="1:6" hidden="1">
      <c r="A1877" s="212" t="s">
        <v>118</v>
      </c>
      <c r="B1877" s="147"/>
      <c r="C1877" s="147"/>
      <c r="D1877" s="147"/>
      <c r="E1877" s="34" t="s">
        <v>102</v>
      </c>
      <c r="F1877" s="34" t="s">
        <v>222</v>
      </c>
    </row>
    <row r="1878" spans="1:6" hidden="1">
      <c r="A1878" s="212" t="s">
        <v>119</v>
      </c>
      <c r="B1878" s="147"/>
      <c r="C1878" s="147"/>
      <c r="D1878" s="147"/>
      <c r="E1878" s="34" t="s">
        <v>102</v>
      </c>
      <c r="F1878" s="34" t="s">
        <v>222</v>
      </c>
    </row>
    <row r="1879" spans="1:6" hidden="1">
      <c r="A1879" s="212" t="s">
        <v>120</v>
      </c>
      <c r="B1879" s="147"/>
      <c r="C1879" s="147"/>
      <c r="D1879" s="147"/>
      <c r="E1879" s="34" t="s">
        <v>102</v>
      </c>
      <c r="F1879" s="34" t="s">
        <v>222</v>
      </c>
    </row>
    <row r="1880" spans="1:6" hidden="1">
      <c r="A1880" s="212" t="s">
        <v>121</v>
      </c>
      <c r="B1880" s="147"/>
      <c r="C1880" s="147"/>
      <c r="D1880" s="147"/>
      <c r="E1880" s="34" t="s">
        <v>102</v>
      </c>
      <c r="F1880" s="34" t="s">
        <v>222</v>
      </c>
    </row>
    <row r="1881" spans="1:6" hidden="1">
      <c r="A1881" s="212" t="s">
        <v>122</v>
      </c>
      <c r="B1881" s="147"/>
      <c r="C1881" s="147"/>
      <c r="D1881" s="147"/>
      <c r="E1881" s="34" t="s">
        <v>102</v>
      </c>
      <c r="F1881" s="34" t="s">
        <v>222</v>
      </c>
    </row>
    <row r="1882" spans="1:6" hidden="1">
      <c r="A1882" s="212" t="s">
        <v>123</v>
      </c>
      <c r="B1882" s="147"/>
      <c r="C1882" s="147"/>
      <c r="D1882" s="147"/>
      <c r="E1882" s="34" t="s">
        <v>102</v>
      </c>
      <c r="F1882" s="34" t="s">
        <v>222</v>
      </c>
    </row>
    <row r="1883" spans="1:6" hidden="1">
      <c r="A1883" s="212" t="s">
        <v>124</v>
      </c>
      <c r="B1883" s="147"/>
      <c r="C1883" s="147"/>
      <c r="D1883" s="147"/>
      <c r="E1883" s="34" t="s">
        <v>102</v>
      </c>
      <c r="F1883" s="34" t="s">
        <v>222</v>
      </c>
    </row>
    <row r="1884" spans="1:6" hidden="1">
      <c r="A1884" s="212" t="s">
        <v>125</v>
      </c>
      <c r="B1884" s="147"/>
      <c r="C1884" s="147"/>
      <c r="D1884" s="147"/>
      <c r="E1884" s="34" t="s">
        <v>102</v>
      </c>
      <c r="F1884" s="34" t="s">
        <v>222</v>
      </c>
    </row>
    <row r="1885" spans="1:6" hidden="1">
      <c r="A1885" s="212" t="s">
        <v>126</v>
      </c>
      <c r="B1885" s="147"/>
      <c r="C1885" s="147"/>
      <c r="D1885" s="147"/>
      <c r="E1885" s="34" t="s">
        <v>102</v>
      </c>
      <c r="F1885" s="34" t="s">
        <v>222</v>
      </c>
    </row>
    <row r="1886" spans="1:6" hidden="1">
      <c r="A1886" s="212" t="s">
        <v>127</v>
      </c>
      <c r="B1886" s="147"/>
      <c r="C1886" s="147"/>
      <c r="D1886" s="147"/>
      <c r="E1886" s="34" t="s">
        <v>102</v>
      </c>
      <c r="F1886" s="34" t="s">
        <v>222</v>
      </c>
    </row>
    <row r="1887" spans="1:6" hidden="1">
      <c r="A1887" s="230" t="s">
        <v>116</v>
      </c>
      <c r="B1887" s="149"/>
      <c r="C1887" s="149"/>
      <c r="D1887" s="149"/>
      <c r="E1887" s="34" t="s">
        <v>102</v>
      </c>
      <c r="F1887" s="34" t="s">
        <v>198</v>
      </c>
    </row>
    <row r="1888" spans="1:6" hidden="1">
      <c r="A1888" s="230" t="s">
        <v>117</v>
      </c>
      <c r="B1888" s="149"/>
      <c r="C1888" s="149"/>
      <c r="D1888" s="149"/>
      <c r="E1888" s="34" t="s">
        <v>102</v>
      </c>
      <c r="F1888" s="34" t="s">
        <v>198</v>
      </c>
    </row>
    <row r="1889" spans="1:6" hidden="1">
      <c r="A1889" s="230" t="s">
        <v>118</v>
      </c>
      <c r="B1889" s="149"/>
      <c r="C1889" s="149"/>
      <c r="D1889" s="149"/>
      <c r="E1889" s="34" t="s">
        <v>102</v>
      </c>
      <c r="F1889" s="34" t="s">
        <v>198</v>
      </c>
    </row>
    <row r="1890" spans="1:6" hidden="1">
      <c r="A1890" s="230" t="s">
        <v>119</v>
      </c>
      <c r="B1890" s="149"/>
      <c r="C1890" s="149"/>
      <c r="D1890" s="149"/>
      <c r="E1890" s="34" t="s">
        <v>102</v>
      </c>
      <c r="F1890" s="34" t="s">
        <v>198</v>
      </c>
    </row>
    <row r="1891" spans="1:6" hidden="1">
      <c r="A1891" s="230" t="s">
        <v>120</v>
      </c>
      <c r="B1891" s="149"/>
      <c r="C1891" s="149"/>
      <c r="D1891" s="149"/>
      <c r="E1891" s="34" t="s">
        <v>102</v>
      </c>
      <c r="F1891" s="34" t="s">
        <v>198</v>
      </c>
    </row>
    <row r="1892" spans="1:6" hidden="1">
      <c r="A1892" s="230" t="s">
        <v>121</v>
      </c>
      <c r="B1892" s="149"/>
      <c r="C1892" s="149"/>
      <c r="D1892" s="149"/>
      <c r="E1892" s="34" t="s">
        <v>102</v>
      </c>
      <c r="F1892" s="34" t="s">
        <v>198</v>
      </c>
    </row>
    <row r="1893" spans="1:6" hidden="1">
      <c r="A1893" s="230" t="s">
        <v>122</v>
      </c>
      <c r="B1893" s="149"/>
      <c r="C1893" s="149"/>
      <c r="D1893" s="149"/>
      <c r="E1893" s="34" t="s">
        <v>102</v>
      </c>
      <c r="F1893" s="34" t="s">
        <v>198</v>
      </c>
    </row>
    <row r="1894" spans="1:6" hidden="1">
      <c r="A1894" s="230" t="s">
        <v>123</v>
      </c>
      <c r="B1894" s="149"/>
      <c r="C1894" s="149"/>
      <c r="D1894" s="149"/>
      <c r="E1894" s="34" t="s">
        <v>102</v>
      </c>
      <c r="F1894" s="34" t="s">
        <v>198</v>
      </c>
    </row>
    <row r="1895" spans="1:6" hidden="1">
      <c r="A1895" s="230" t="s">
        <v>124</v>
      </c>
      <c r="B1895" s="149"/>
      <c r="C1895" s="149"/>
      <c r="D1895" s="149"/>
      <c r="E1895" s="34" t="s">
        <v>102</v>
      </c>
      <c r="F1895" s="34" t="s">
        <v>198</v>
      </c>
    </row>
    <row r="1896" spans="1:6" hidden="1">
      <c r="A1896" s="230" t="s">
        <v>125</v>
      </c>
      <c r="B1896" s="149"/>
      <c r="C1896" s="149"/>
      <c r="D1896" s="149"/>
      <c r="E1896" s="34" t="s">
        <v>102</v>
      </c>
      <c r="F1896" s="34" t="s">
        <v>198</v>
      </c>
    </row>
    <row r="1897" spans="1:6" hidden="1">
      <c r="A1897" s="230" t="s">
        <v>126</v>
      </c>
      <c r="B1897" s="149"/>
      <c r="C1897" s="149"/>
      <c r="D1897" s="149"/>
      <c r="E1897" s="34" t="s">
        <v>102</v>
      </c>
      <c r="F1897" s="34" t="s">
        <v>198</v>
      </c>
    </row>
    <row r="1898" spans="1:6" hidden="1">
      <c r="A1898" s="230" t="s">
        <v>127</v>
      </c>
      <c r="B1898" s="149"/>
      <c r="C1898" s="149"/>
      <c r="D1898" s="149"/>
      <c r="E1898" s="34" t="s">
        <v>102</v>
      </c>
      <c r="F1898" s="34" t="s">
        <v>198</v>
      </c>
    </row>
    <row r="1899" spans="1:6" hidden="1">
      <c r="A1899" s="212" t="s">
        <v>116</v>
      </c>
      <c r="B1899" s="147"/>
      <c r="C1899" s="147"/>
      <c r="D1899" s="147"/>
      <c r="E1899" s="34" t="s">
        <v>102</v>
      </c>
      <c r="F1899" s="34" t="s">
        <v>28</v>
      </c>
    </row>
    <row r="1900" spans="1:6" hidden="1">
      <c r="A1900" s="212" t="s">
        <v>117</v>
      </c>
      <c r="B1900" s="147"/>
      <c r="C1900" s="147"/>
      <c r="D1900" s="147"/>
      <c r="E1900" s="34" t="s">
        <v>102</v>
      </c>
      <c r="F1900" s="34" t="s">
        <v>28</v>
      </c>
    </row>
    <row r="1901" spans="1:6" hidden="1">
      <c r="A1901" s="212" t="s">
        <v>118</v>
      </c>
      <c r="B1901" s="147"/>
      <c r="C1901" s="147"/>
      <c r="D1901" s="147"/>
      <c r="E1901" s="34" t="s">
        <v>102</v>
      </c>
      <c r="F1901" s="34" t="s">
        <v>28</v>
      </c>
    </row>
    <row r="1902" spans="1:6" hidden="1">
      <c r="A1902" s="212" t="s">
        <v>119</v>
      </c>
      <c r="B1902" s="147"/>
      <c r="C1902" s="147"/>
      <c r="D1902" s="147"/>
      <c r="E1902" s="34" t="s">
        <v>102</v>
      </c>
      <c r="F1902" s="34" t="s">
        <v>28</v>
      </c>
    </row>
    <row r="1903" spans="1:6" hidden="1">
      <c r="A1903" s="212" t="s">
        <v>120</v>
      </c>
      <c r="B1903" s="147"/>
      <c r="C1903" s="147"/>
      <c r="D1903" s="147"/>
      <c r="E1903" s="34" t="s">
        <v>102</v>
      </c>
      <c r="F1903" s="34" t="s">
        <v>28</v>
      </c>
    </row>
    <row r="1904" spans="1:6" hidden="1">
      <c r="A1904" s="212" t="s">
        <v>121</v>
      </c>
      <c r="B1904" s="147"/>
      <c r="C1904" s="147"/>
      <c r="D1904" s="147"/>
      <c r="E1904" s="34" t="s">
        <v>102</v>
      </c>
      <c r="F1904" s="34" t="s">
        <v>28</v>
      </c>
    </row>
    <row r="1905" spans="1:6" hidden="1">
      <c r="A1905" s="212" t="s">
        <v>122</v>
      </c>
      <c r="B1905" s="147"/>
      <c r="C1905" s="147"/>
      <c r="D1905" s="147"/>
      <c r="E1905" s="34" t="s">
        <v>102</v>
      </c>
      <c r="F1905" s="34" t="s">
        <v>28</v>
      </c>
    </row>
    <row r="1906" spans="1:6" hidden="1">
      <c r="A1906" s="212" t="s">
        <v>123</v>
      </c>
      <c r="B1906" s="147"/>
      <c r="C1906" s="147"/>
      <c r="D1906" s="147"/>
      <c r="E1906" s="34" t="s">
        <v>102</v>
      </c>
      <c r="F1906" s="34" t="s">
        <v>28</v>
      </c>
    </row>
    <row r="1907" spans="1:6" hidden="1">
      <c r="A1907" s="212" t="s">
        <v>124</v>
      </c>
      <c r="B1907" s="147"/>
      <c r="C1907" s="147"/>
      <c r="D1907" s="147"/>
      <c r="E1907" s="34" t="s">
        <v>102</v>
      </c>
      <c r="F1907" s="34" t="s">
        <v>28</v>
      </c>
    </row>
    <row r="1908" spans="1:6" hidden="1">
      <c r="A1908" s="212" t="s">
        <v>125</v>
      </c>
      <c r="B1908" s="147"/>
      <c r="C1908" s="147"/>
      <c r="D1908" s="147"/>
      <c r="E1908" s="34" t="s">
        <v>102</v>
      </c>
      <c r="F1908" s="34" t="s">
        <v>28</v>
      </c>
    </row>
    <row r="1909" spans="1:6" hidden="1">
      <c r="A1909" s="212" t="s">
        <v>126</v>
      </c>
      <c r="B1909" s="147"/>
      <c r="C1909" s="147"/>
      <c r="D1909" s="147"/>
      <c r="E1909" s="34" t="s">
        <v>102</v>
      </c>
      <c r="F1909" s="34" t="s">
        <v>28</v>
      </c>
    </row>
    <row r="1910" spans="1:6" hidden="1">
      <c r="A1910" s="212" t="s">
        <v>127</v>
      </c>
      <c r="B1910" s="147"/>
      <c r="C1910" s="147"/>
      <c r="D1910" s="147"/>
      <c r="E1910" s="34" t="s">
        <v>102</v>
      </c>
      <c r="F1910" s="34" t="s">
        <v>28</v>
      </c>
    </row>
    <row r="1911" spans="1:6" hidden="1">
      <c r="A1911" s="230" t="s">
        <v>116</v>
      </c>
      <c r="B1911" s="149"/>
      <c r="C1911" s="149"/>
      <c r="D1911" s="149"/>
      <c r="E1911" s="34" t="s">
        <v>102</v>
      </c>
      <c r="F1911" s="149" t="s">
        <v>142</v>
      </c>
    </row>
    <row r="1912" spans="1:6" hidden="1">
      <c r="A1912" s="230" t="s">
        <v>117</v>
      </c>
      <c r="B1912" s="149"/>
      <c r="C1912" s="149"/>
      <c r="D1912" s="149"/>
      <c r="E1912" s="34" t="s">
        <v>102</v>
      </c>
      <c r="F1912" s="149" t="s">
        <v>142</v>
      </c>
    </row>
    <row r="1913" spans="1:6" hidden="1">
      <c r="A1913" s="230" t="s">
        <v>118</v>
      </c>
      <c r="B1913" s="149"/>
      <c r="C1913" s="149"/>
      <c r="D1913" s="149"/>
      <c r="E1913" s="34" t="s">
        <v>102</v>
      </c>
      <c r="F1913" s="149" t="s">
        <v>142</v>
      </c>
    </row>
    <row r="1914" spans="1:6" hidden="1">
      <c r="A1914" s="230" t="s">
        <v>119</v>
      </c>
      <c r="B1914" s="149"/>
      <c r="C1914" s="149"/>
      <c r="D1914" s="149"/>
      <c r="E1914" s="34" t="s">
        <v>102</v>
      </c>
      <c r="F1914" s="149" t="s">
        <v>142</v>
      </c>
    </row>
    <row r="1915" spans="1:6" hidden="1">
      <c r="A1915" s="230" t="s">
        <v>120</v>
      </c>
      <c r="B1915" s="149"/>
      <c r="C1915" s="149"/>
      <c r="D1915" s="149"/>
      <c r="E1915" s="34" t="s">
        <v>102</v>
      </c>
      <c r="F1915" s="149" t="s">
        <v>142</v>
      </c>
    </row>
    <row r="1916" spans="1:6" hidden="1">
      <c r="A1916" s="230" t="s">
        <v>121</v>
      </c>
      <c r="B1916" s="149"/>
      <c r="C1916" s="149"/>
      <c r="D1916" s="149"/>
      <c r="E1916" s="34" t="s">
        <v>102</v>
      </c>
      <c r="F1916" s="149" t="s">
        <v>142</v>
      </c>
    </row>
    <row r="1917" spans="1:6" hidden="1">
      <c r="A1917" s="230" t="s">
        <v>122</v>
      </c>
      <c r="B1917" s="149"/>
      <c r="C1917" s="149"/>
      <c r="D1917" s="149"/>
      <c r="E1917" s="34" t="s">
        <v>102</v>
      </c>
      <c r="F1917" s="149" t="s">
        <v>142</v>
      </c>
    </row>
    <row r="1918" spans="1:6" hidden="1">
      <c r="A1918" s="230" t="s">
        <v>123</v>
      </c>
      <c r="B1918" s="149"/>
      <c r="C1918" s="149"/>
      <c r="D1918" s="149"/>
      <c r="E1918" s="34" t="s">
        <v>102</v>
      </c>
      <c r="F1918" s="149" t="s">
        <v>142</v>
      </c>
    </row>
    <row r="1919" spans="1:6" hidden="1">
      <c r="A1919" s="230" t="s">
        <v>124</v>
      </c>
      <c r="B1919" s="149"/>
      <c r="C1919" s="149"/>
      <c r="D1919" s="149"/>
      <c r="E1919" s="34" t="s">
        <v>102</v>
      </c>
      <c r="F1919" s="149" t="s">
        <v>142</v>
      </c>
    </row>
    <row r="1920" spans="1:6" hidden="1">
      <c r="A1920" s="230" t="s">
        <v>125</v>
      </c>
      <c r="B1920" s="149"/>
      <c r="C1920" s="149"/>
      <c r="D1920" s="149"/>
      <c r="E1920" s="34" t="s">
        <v>102</v>
      </c>
      <c r="F1920" s="149" t="s">
        <v>142</v>
      </c>
    </row>
    <row r="1921" spans="1:6" hidden="1">
      <c r="A1921" s="230" t="s">
        <v>126</v>
      </c>
      <c r="B1921" s="149"/>
      <c r="C1921" s="149"/>
      <c r="D1921" s="149"/>
      <c r="E1921" s="34" t="s">
        <v>102</v>
      </c>
      <c r="F1921" s="149" t="s">
        <v>142</v>
      </c>
    </row>
    <row r="1922" spans="1:6" hidden="1">
      <c r="A1922" s="230" t="s">
        <v>127</v>
      </c>
      <c r="B1922" s="149"/>
      <c r="C1922" s="149"/>
      <c r="D1922" s="149"/>
      <c r="E1922" s="34" t="s">
        <v>102</v>
      </c>
      <c r="F1922" s="149" t="s">
        <v>142</v>
      </c>
    </row>
    <row r="1923" spans="1:6" hidden="1">
      <c r="A1923" s="212" t="s">
        <v>116</v>
      </c>
      <c r="B1923" s="147"/>
      <c r="C1923" s="147"/>
      <c r="D1923" s="147"/>
      <c r="E1923" s="34" t="s">
        <v>103</v>
      </c>
      <c r="F1923" s="34" t="s">
        <v>197</v>
      </c>
    </row>
    <row r="1924" spans="1:6" hidden="1">
      <c r="A1924" s="212" t="s">
        <v>117</v>
      </c>
      <c r="B1924" s="147"/>
      <c r="C1924" s="147"/>
      <c r="D1924" s="147"/>
      <c r="E1924" s="34" t="s">
        <v>103</v>
      </c>
      <c r="F1924" s="34" t="s">
        <v>197</v>
      </c>
    </row>
    <row r="1925" spans="1:6" hidden="1">
      <c r="A1925" s="212" t="s">
        <v>118</v>
      </c>
      <c r="B1925" s="147"/>
      <c r="C1925" s="147"/>
      <c r="D1925" s="147"/>
      <c r="E1925" s="34" t="s">
        <v>103</v>
      </c>
      <c r="F1925" s="34" t="s">
        <v>197</v>
      </c>
    </row>
    <row r="1926" spans="1:6" hidden="1">
      <c r="A1926" s="212" t="s">
        <v>119</v>
      </c>
      <c r="B1926" s="147"/>
      <c r="C1926" s="147"/>
      <c r="D1926" s="147"/>
      <c r="E1926" s="34" t="s">
        <v>103</v>
      </c>
      <c r="F1926" s="34" t="s">
        <v>197</v>
      </c>
    </row>
    <row r="1927" spans="1:6" hidden="1">
      <c r="A1927" s="212" t="s">
        <v>120</v>
      </c>
      <c r="B1927" s="147"/>
      <c r="C1927" s="147"/>
      <c r="D1927" s="147"/>
      <c r="E1927" s="34" t="s">
        <v>103</v>
      </c>
      <c r="F1927" s="34" t="s">
        <v>197</v>
      </c>
    </row>
    <row r="1928" spans="1:6" hidden="1">
      <c r="A1928" s="212" t="s">
        <v>121</v>
      </c>
      <c r="B1928" s="147"/>
      <c r="C1928" s="147"/>
      <c r="D1928" s="147"/>
      <c r="E1928" s="34" t="s">
        <v>103</v>
      </c>
      <c r="F1928" s="34" t="s">
        <v>197</v>
      </c>
    </row>
    <row r="1929" spans="1:6" hidden="1">
      <c r="A1929" s="212" t="s">
        <v>122</v>
      </c>
      <c r="B1929" s="147"/>
      <c r="C1929" s="147"/>
      <c r="D1929" s="147"/>
      <c r="E1929" s="34" t="s">
        <v>103</v>
      </c>
      <c r="F1929" s="34" t="s">
        <v>197</v>
      </c>
    </row>
    <row r="1930" spans="1:6" hidden="1">
      <c r="A1930" s="212" t="s">
        <v>123</v>
      </c>
      <c r="B1930" s="147"/>
      <c r="C1930" s="147"/>
      <c r="D1930" s="147"/>
      <c r="E1930" s="34" t="s">
        <v>103</v>
      </c>
      <c r="F1930" s="34" t="s">
        <v>197</v>
      </c>
    </row>
    <row r="1931" spans="1:6" hidden="1">
      <c r="A1931" s="212" t="s">
        <v>124</v>
      </c>
      <c r="B1931" s="147"/>
      <c r="C1931" s="147"/>
      <c r="D1931" s="147"/>
      <c r="E1931" s="34" t="s">
        <v>103</v>
      </c>
      <c r="F1931" s="34" t="s">
        <v>197</v>
      </c>
    </row>
    <row r="1932" spans="1:6" hidden="1">
      <c r="A1932" s="212" t="s">
        <v>125</v>
      </c>
      <c r="B1932" s="147"/>
      <c r="C1932" s="147"/>
      <c r="D1932" s="147"/>
      <c r="E1932" s="34" t="s">
        <v>103</v>
      </c>
      <c r="F1932" s="34" t="s">
        <v>197</v>
      </c>
    </row>
    <row r="1933" spans="1:6" hidden="1">
      <c r="A1933" s="212" t="s">
        <v>126</v>
      </c>
      <c r="B1933" s="147"/>
      <c r="C1933" s="147"/>
      <c r="D1933" s="147"/>
      <c r="E1933" s="34" t="s">
        <v>103</v>
      </c>
      <c r="F1933" s="34" t="s">
        <v>197</v>
      </c>
    </row>
    <row r="1934" spans="1:6" hidden="1">
      <c r="A1934" s="212" t="s">
        <v>127</v>
      </c>
      <c r="B1934" s="147"/>
      <c r="C1934" s="147"/>
      <c r="D1934" s="147"/>
      <c r="E1934" s="34" t="s">
        <v>103</v>
      </c>
      <c r="F1934" s="34" t="s">
        <v>197</v>
      </c>
    </row>
    <row r="1935" spans="1:6" hidden="1">
      <c r="A1935" s="230" t="s">
        <v>116</v>
      </c>
      <c r="B1935" s="149"/>
      <c r="C1935" s="149"/>
      <c r="D1935" s="149"/>
      <c r="E1935" s="34" t="s">
        <v>103</v>
      </c>
      <c r="F1935" s="34" t="s">
        <v>199</v>
      </c>
    </row>
    <row r="1936" spans="1:6" hidden="1">
      <c r="A1936" s="230" t="s">
        <v>117</v>
      </c>
      <c r="B1936" s="149"/>
      <c r="C1936" s="149"/>
      <c r="D1936" s="149"/>
      <c r="E1936" s="34" t="s">
        <v>103</v>
      </c>
      <c r="F1936" s="34" t="s">
        <v>199</v>
      </c>
    </row>
    <row r="1937" spans="1:6" hidden="1">
      <c r="A1937" s="230" t="s">
        <v>118</v>
      </c>
      <c r="B1937" s="149"/>
      <c r="C1937" s="149"/>
      <c r="D1937" s="149"/>
      <c r="E1937" s="34" t="s">
        <v>103</v>
      </c>
      <c r="F1937" s="34" t="s">
        <v>199</v>
      </c>
    </row>
    <row r="1938" spans="1:6" hidden="1">
      <c r="A1938" s="230" t="s">
        <v>119</v>
      </c>
      <c r="B1938" s="149"/>
      <c r="C1938" s="149"/>
      <c r="D1938" s="149"/>
      <c r="E1938" s="34" t="s">
        <v>103</v>
      </c>
      <c r="F1938" s="34" t="s">
        <v>199</v>
      </c>
    </row>
    <row r="1939" spans="1:6" hidden="1">
      <c r="A1939" s="230" t="s">
        <v>120</v>
      </c>
      <c r="B1939" s="149"/>
      <c r="C1939" s="149"/>
      <c r="D1939" s="149"/>
      <c r="E1939" s="34" t="s">
        <v>103</v>
      </c>
      <c r="F1939" s="34" t="s">
        <v>199</v>
      </c>
    </row>
    <row r="1940" spans="1:6" hidden="1">
      <c r="A1940" s="230" t="s">
        <v>121</v>
      </c>
      <c r="B1940" s="149"/>
      <c r="C1940" s="149"/>
      <c r="D1940" s="149"/>
      <c r="E1940" s="34" t="s">
        <v>103</v>
      </c>
      <c r="F1940" s="34" t="s">
        <v>199</v>
      </c>
    </row>
    <row r="1941" spans="1:6" hidden="1">
      <c r="A1941" s="230" t="s">
        <v>122</v>
      </c>
      <c r="B1941" s="149"/>
      <c r="C1941" s="149"/>
      <c r="D1941" s="149"/>
      <c r="E1941" s="34" t="s">
        <v>103</v>
      </c>
      <c r="F1941" s="34" t="s">
        <v>199</v>
      </c>
    </row>
    <row r="1942" spans="1:6" hidden="1">
      <c r="A1942" s="230" t="s">
        <v>123</v>
      </c>
      <c r="B1942" s="149"/>
      <c r="C1942" s="149"/>
      <c r="D1942" s="149"/>
      <c r="E1942" s="34" t="s">
        <v>103</v>
      </c>
      <c r="F1942" s="34" t="s">
        <v>199</v>
      </c>
    </row>
    <row r="1943" spans="1:6" hidden="1">
      <c r="A1943" s="230" t="s">
        <v>124</v>
      </c>
      <c r="B1943" s="149"/>
      <c r="C1943" s="149"/>
      <c r="D1943" s="149"/>
      <c r="E1943" s="34" t="s">
        <v>103</v>
      </c>
      <c r="F1943" s="34" t="s">
        <v>199</v>
      </c>
    </row>
    <row r="1944" spans="1:6" hidden="1">
      <c r="A1944" s="230" t="s">
        <v>125</v>
      </c>
      <c r="B1944" s="149"/>
      <c r="C1944" s="149"/>
      <c r="D1944" s="149"/>
      <c r="E1944" s="34" t="s">
        <v>103</v>
      </c>
      <c r="F1944" s="34" t="s">
        <v>199</v>
      </c>
    </row>
    <row r="1945" spans="1:6" hidden="1">
      <c r="A1945" s="230" t="s">
        <v>126</v>
      </c>
      <c r="B1945" s="149"/>
      <c r="C1945" s="149"/>
      <c r="D1945" s="149"/>
      <c r="E1945" s="34" t="s">
        <v>103</v>
      </c>
      <c r="F1945" s="34" t="s">
        <v>199</v>
      </c>
    </row>
    <row r="1946" spans="1:6" hidden="1">
      <c r="A1946" s="230" t="s">
        <v>127</v>
      </c>
      <c r="B1946" s="149"/>
      <c r="C1946" s="149"/>
      <c r="D1946" s="149"/>
      <c r="E1946" s="34" t="s">
        <v>103</v>
      </c>
      <c r="F1946" s="34" t="s">
        <v>199</v>
      </c>
    </row>
    <row r="1947" spans="1:6" hidden="1">
      <c r="A1947" s="212" t="s">
        <v>116</v>
      </c>
      <c r="B1947" s="147"/>
      <c r="C1947" s="147"/>
      <c r="D1947" s="147"/>
      <c r="E1947" s="34" t="s">
        <v>103</v>
      </c>
      <c r="F1947" s="34" t="s">
        <v>222</v>
      </c>
    </row>
    <row r="1948" spans="1:6" hidden="1">
      <c r="A1948" s="212" t="s">
        <v>117</v>
      </c>
      <c r="B1948" s="147"/>
      <c r="C1948" s="147"/>
      <c r="D1948" s="147"/>
      <c r="E1948" s="34" t="s">
        <v>103</v>
      </c>
      <c r="F1948" s="34" t="s">
        <v>222</v>
      </c>
    </row>
    <row r="1949" spans="1:6" hidden="1">
      <c r="A1949" s="212" t="s">
        <v>118</v>
      </c>
      <c r="B1949" s="147"/>
      <c r="C1949" s="147"/>
      <c r="D1949" s="147"/>
      <c r="E1949" s="34" t="s">
        <v>103</v>
      </c>
      <c r="F1949" s="34" t="s">
        <v>222</v>
      </c>
    </row>
    <row r="1950" spans="1:6" hidden="1">
      <c r="A1950" s="212" t="s">
        <v>119</v>
      </c>
      <c r="B1950" s="147"/>
      <c r="C1950" s="147"/>
      <c r="D1950" s="147"/>
      <c r="E1950" s="34" t="s">
        <v>103</v>
      </c>
      <c r="F1950" s="34" t="s">
        <v>222</v>
      </c>
    </row>
    <row r="1951" spans="1:6" hidden="1">
      <c r="A1951" s="212" t="s">
        <v>120</v>
      </c>
      <c r="B1951" s="147"/>
      <c r="C1951" s="147"/>
      <c r="D1951" s="147"/>
      <c r="E1951" s="34" t="s">
        <v>103</v>
      </c>
      <c r="F1951" s="34" t="s">
        <v>222</v>
      </c>
    </row>
    <row r="1952" spans="1:6" hidden="1">
      <c r="A1952" s="212" t="s">
        <v>121</v>
      </c>
      <c r="B1952" s="147"/>
      <c r="C1952" s="147"/>
      <c r="D1952" s="147"/>
      <c r="E1952" s="34" t="s">
        <v>103</v>
      </c>
      <c r="F1952" s="34" t="s">
        <v>222</v>
      </c>
    </row>
    <row r="1953" spans="1:6" hidden="1">
      <c r="A1953" s="212" t="s">
        <v>122</v>
      </c>
      <c r="B1953" s="147"/>
      <c r="C1953" s="147"/>
      <c r="D1953" s="147"/>
      <c r="E1953" s="34" t="s">
        <v>103</v>
      </c>
      <c r="F1953" s="34" t="s">
        <v>222</v>
      </c>
    </row>
    <row r="1954" spans="1:6" hidden="1">
      <c r="A1954" s="212" t="s">
        <v>123</v>
      </c>
      <c r="B1954" s="147"/>
      <c r="C1954" s="147"/>
      <c r="D1954" s="147"/>
      <c r="E1954" s="34" t="s">
        <v>103</v>
      </c>
      <c r="F1954" s="34" t="s">
        <v>222</v>
      </c>
    </row>
    <row r="1955" spans="1:6" hidden="1">
      <c r="A1955" s="212" t="s">
        <v>124</v>
      </c>
      <c r="B1955" s="147"/>
      <c r="C1955" s="147"/>
      <c r="D1955" s="147"/>
      <c r="E1955" s="34" t="s">
        <v>103</v>
      </c>
      <c r="F1955" s="34" t="s">
        <v>222</v>
      </c>
    </row>
    <row r="1956" spans="1:6" hidden="1">
      <c r="A1956" s="212" t="s">
        <v>125</v>
      </c>
      <c r="B1956" s="147"/>
      <c r="C1956" s="147"/>
      <c r="D1956" s="147"/>
      <c r="E1956" s="34" t="s">
        <v>103</v>
      </c>
      <c r="F1956" s="34" t="s">
        <v>222</v>
      </c>
    </row>
    <row r="1957" spans="1:6" hidden="1">
      <c r="A1957" s="212" t="s">
        <v>126</v>
      </c>
      <c r="B1957" s="147"/>
      <c r="C1957" s="147"/>
      <c r="D1957" s="147"/>
      <c r="E1957" s="34" t="s">
        <v>103</v>
      </c>
      <c r="F1957" s="34" t="s">
        <v>222</v>
      </c>
    </row>
    <row r="1958" spans="1:6" hidden="1">
      <c r="A1958" s="212" t="s">
        <v>127</v>
      </c>
      <c r="B1958" s="147"/>
      <c r="C1958" s="147"/>
      <c r="D1958" s="147"/>
      <c r="E1958" s="34" t="s">
        <v>103</v>
      </c>
      <c r="F1958" s="34" t="s">
        <v>222</v>
      </c>
    </row>
    <row r="1959" spans="1:6" hidden="1">
      <c r="A1959" s="230" t="s">
        <v>116</v>
      </c>
      <c r="B1959" s="149"/>
      <c r="C1959" s="149"/>
      <c r="D1959" s="149"/>
      <c r="E1959" s="34" t="s">
        <v>103</v>
      </c>
      <c r="F1959" s="34" t="s">
        <v>198</v>
      </c>
    </row>
    <row r="1960" spans="1:6" hidden="1">
      <c r="A1960" s="230" t="s">
        <v>117</v>
      </c>
      <c r="B1960" s="149"/>
      <c r="C1960" s="149"/>
      <c r="D1960" s="149"/>
      <c r="E1960" s="34" t="s">
        <v>103</v>
      </c>
      <c r="F1960" s="34" t="s">
        <v>198</v>
      </c>
    </row>
    <row r="1961" spans="1:6" hidden="1">
      <c r="A1961" s="230" t="s">
        <v>118</v>
      </c>
      <c r="B1961" s="149"/>
      <c r="C1961" s="149"/>
      <c r="D1961" s="149"/>
      <c r="E1961" s="34" t="s">
        <v>103</v>
      </c>
      <c r="F1961" s="34" t="s">
        <v>198</v>
      </c>
    </row>
    <row r="1962" spans="1:6" hidden="1">
      <c r="A1962" s="230" t="s">
        <v>119</v>
      </c>
      <c r="B1962" s="149"/>
      <c r="C1962" s="149"/>
      <c r="D1962" s="149"/>
      <c r="E1962" s="34" t="s">
        <v>103</v>
      </c>
      <c r="F1962" s="34" t="s">
        <v>198</v>
      </c>
    </row>
    <row r="1963" spans="1:6" hidden="1">
      <c r="A1963" s="230" t="s">
        <v>120</v>
      </c>
      <c r="B1963" s="149"/>
      <c r="C1963" s="149"/>
      <c r="D1963" s="149"/>
      <c r="E1963" s="34" t="s">
        <v>103</v>
      </c>
      <c r="F1963" s="34" t="s">
        <v>198</v>
      </c>
    </row>
    <row r="1964" spans="1:6" hidden="1">
      <c r="A1964" s="230" t="s">
        <v>121</v>
      </c>
      <c r="B1964" s="149"/>
      <c r="C1964" s="149"/>
      <c r="D1964" s="149"/>
      <c r="E1964" s="34" t="s">
        <v>103</v>
      </c>
      <c r="F1964" s="34" t="s">
        <v>198</v>
      </c>
    </row>
    <row r="1965" spans="1:6" hidden="1">
      <c r="A1965" s="230" t="s">
        <v>122</v>
      </c>
      <c r="B1965" s="149"/>
      <c r="C1965" s="149"/>
      <c r="D1965" s="149"/>
      <c r="E1965" s="34" t="s">
        <v>103</v>
      </c>
      <c r="F1965" s="34" t="s">
        <v>198</v>
      </c>
    </row>
    <row r="1966" spans="1:6" hidden="1">
      <c r="A1966" s="230" t="s">
        <v>123</v>
      </c>
      <c r="B1966" s="149"/>
      <c r="C1966" s="149"/>
      <c r="D1966" s="149"/>
      <c r="E1966" s="34" t="s">
        <v>103</v>
      </c>
      <c r="F1966" s="34" t="s">
        <v>198</v>
      </c>
    </row>
    <row r="1967" spans="1:6" hidden="1">
      <c r="A1967" s="230" t="s">
        <v>124</v>
      </c>
      <c r="B1967" s="149"/>
      <c r="C1967" s="149"/>
      <c r="D1967" s="149"/>
      <c r="E1967" s="34" t="s">
        <v>103</v>
      </c>
      <c r="F1967" s="34" t="s">
        <v>198</v>
      </c>
    </row>
    <row r="1968" spans="1:6" hidden="1">
      <c r="A1968" s="230" t="s">
        <v>125</v>
      </c>
      <c r="B1968" s="149"/>
      <c r="C1968" s="149"/>
      <c r="D1968" s="149"/>
      <c r="E1968" s="34" t="s">
        <v>103</v>
      </c>
      <c r="F1968" s="34" t="s">
        <v>198</v>
      </c>
    </row>
    <row r="1969" spans="1:6" hidden="1">
      <c r="A1969" s="230" t="s">
        <v>126</v>
      </c>
      <c r="B1969" s="149"/>
      <c r="C1969" s="149"/>
      <c r="D1969" s="149"/>
      <c r="E1969" s="34" t="s">
        <v>103</v>
      </c>
      <c r="F1969" s="34" t="s">
        <v>198</v>
      </c>
    </row>
    <row r="1970" spans="1:6" hidden="1">
      <c r="A1970" s="230" t="s">
        <v>127</v>
      </c>
      <c r="B1970" s="149"/>
      <c r="C1970" s="149"/>
      <c r="D1970" s="149"/>
      <c r="E1970" s="34" t="s">
        <v>103</v>
      </c>
      <c r="F1970" s="34" t="s">
        <v>198</v>
      </c>
    </row>
    <row r="1971" spans="1:6" hidden="1">
      <c r="A1971" s="212" t="s">
        <v>116</v>
      </c>
      <c r="B1971" s="147"/>
      <c r="C1971" s="147"/>
      <c r="D1971" s="147"/>
      <c r="E1971" s="34" t="s">
        <v>103</v>
      </c>
      <c r="F1971" s="34" t="s">
        <v>28</v>
      </c>
    </row>
    <row r="1972" spans="1:6" hidden="1">
      <c r="A1972" s="212" t="s">
        <v>117</v>
      </c>
      <c r="B1972" s="147"/>
      <c r="C1972" s="147"/>
      <c r="D1972" s="147"/>
      <c r="E1972" s="34" t="s">
        <v>103</v>
      </c>
      <c r="F1972" s="34" t="s">
        <v>28</v>
      </c>
    </row>
    <row r="1973" spans="1:6" hidden="1">
      <c r="A1973" s="212" t="s">
        <v>118</v>
      </c>
      <c r="B1973" s="147"/>
      <c r="C1973" s="147"/>
      <c r="D1973" s="147"/>
      <c r="E1973" s="34" t="s">
        <v>103</v>
      </c>
      <c r="F1973" s="34" t="s">
        <v>28</v>
      </c>
    </row>
    <row r="1974" spans="1:6" hidden="1">
      <c r="A1974" s="212" t="s">
        <v>119</v>
      </c>
      <c r="B1974" s="147"/>
      <c r="C1974" s="147"/>
      <c r="D1974" s="147"/>
      <c r="E1974" s="34" t="s">
        <v>103</v>
      </c>
      <c r="F1974" s="34" t="s">
        <v>28</v>
      </c>
    </row>
    <row r="1975" spans="1:6" hidden="1">
      <c r="A1975" s="212" t="s">
        <v>120</v>
      </c>
      <c r="B1975" s="147"/>
      <c r="C1975" s="147"/>
      <c r="D1975" s="147"/>
      <c r="E1975" s="34" t="s">
        <v>103</v>
      </c>
      <c r="F1975" s="34" t="s">
        <v>28</v>
      </c>
    </row>
    <row r="1976" spans="1:6" hidden="1">
      <c r="A1976" s="212" t="s">
        <v>121</v>
      </c>
      <c r="B1976" s="147"/>
      <c r="C1976" s="147"/>
      <c r="D1976" s="147"/>
      <c r="E1976" s="34" t="s">
        <v>103</v>
      </c>
      <c r="F1976" s="34" t="s">
        <v>28</v>
      </c>
    </row>
    <row r="1977" spans="1:6" hidden="1">
      <c r="A1977" s="212" t="s">
        <v>122</v>
      </c>
      <c r="B1977" s="147"/>
      <c r="C1977" s="147"/>
      <c r="D1977" s="147"/>
      <c r="E1977" s="34" t="s">
        <v>103</v>
      </c>
      <c r="F1977" s="34" t="s">
        <v>28</v>
      </c>
    </row>
    <row r="1978" spans="1:6" hidden="1">
      <c r="A1978" s="212" t="s">
        <v>123</v>
      </c>
      <c r="B1978" s="147"/>
      <c r="C1978" s="147"/>
      <c r="D1978" s="147"/>
      <c r="E1978" s="34" t="s">
        <v>103</v>
      </c>
      <c r="F1978" s="34" t="s">
        <v>28</v>
      </c>
    </row>
    <row r="1979" spans="1:6" hidden="1">
      <c r="A1979" s="212" t="s">
        <v>124</v>
      </c>
      <c r="B1979" s="147"/>
      <c r="C1979" s="147"/>
      <c r="D1979" s="147"/>
      <c r="E1979" s="34" t="s">
        <v>103</v>
      </c>
      <c r="F1979" s="34" t="s">
        <v>28</v>
      </c>
    </row>
    <row r="1980" spans="1:6" hidden="1">
      <c r="A1980" s="212" t="s">
        <v>125</v>
      </c>
      <c r="B1980" s="147"/>
      <c r="C1980" s="147"/>
      <c r="D1980" s="147"/>
      <c r="E1980" s="34" t="s">
        <v>103</v>
      </c>
      <c r="F1980" s="34" t="s">
        <v>28</v>
      </c>
    </row>
    <row r="1981" spans="1:6" hidden="1">
      <c r="A1981" s="212" t="s">
        <v>126</v>
      </c>
      <c r="B1981" s="147"/>
      <c r="C1981" s="147"/>
      <c r="D1981" s="147"/>
      <c r="E1981" s="34" t="s">
        <v>103</v>
      </c>
      <c r="F1981" s="34" t="s">
        <v>28</v>
      </c>
    </row>
    <row r="1982" spans="1:6" hidden="1">
      <c r="A1982" s="212" t="s">
        <v>127</v>
      </c>
      <c r="B1982" s="147"/>
      <c r="C1982" s="147"/>
      <c r="D1982" s="147"/>
      <c r="E1982" s="34" t="s">
        <v>103</v>
      </c>
      <c r="F1982" s="34" t="s">
        <v>28</v>
      </c>
    </row>
    <row r="1983" spans="1:6" hidden="1">
      <c r="A1983" s="230" t="s">
        <v>116</v>
      </c>
      <c r="B1983" s="149"/>
      <c r="C1983" s="149"/>
      <c r="D1983" s="149"/>
      <c r="E1983" s="34" t="s">
        <v>103</v>
      </c>
      <c r="F1983" s="149" t="s">
        <v>142</v>
      </c>
    </row>
    <row r="1984" spans="1:6" hidden="1">
      <c r="A1984" s="230" t="s">
        <v>117</v>
      </c>
      <c r="B1984" s="149"/>
      <c r="C1984" s="149"/>
      <c r="D1984" s="149"/>
      <c r="E1984" s="34" t="s">
        <v>103</v>
      </c>
      <c r="F1984" s="149" t="s">
        <v>142</v>
      </c>
    </row>
    <row r="1985" spans="1:6" hidden="1">
      <c r="A1985" s="230" t="s">
        <v>118</v>
      </c>
      <c r="B1985" s="149"/>
      <c r="C1985" s="149"/>
      <c r="D1985" s="149"/>
      <c r="E1985" s="34" t="s">
        <v>103</v>
      </c>
      <c r="F1985" s="149" t="s">
        <v>142</v>
      </c>
    </row>
    <row r="1986" spans="1:6" hidden="1">
      <c r="A1986" s="230" t="s">
        <v>119</v>
      </c>
      <c r="B1986" s="149"/>
      <c r="C1986" s="149"/>
      <c r="D1986" s="149"/>
      <c r="E1986" s="34" t="s">
        <v>103</v>
      </c>
      <c r="F1986" s="149" t="s">
        <v>142</v>
      </c>
    </row>
    <row r="1987" spans="1:6" hidden="1">
      <c r="A1987" s="230" t="s">
        <v>120</v>
      </c>
      <c r="B1987" s="149"/>
      <c r="C1987" s="149"/>
      <c r="D1987" s="149"/>
      <c r="E1987" s="34" t="s">
        <v>103</v>
      </c>
      <c r="F1987" s="149" t="s">
        <v>142</v>
      </c>
    </row>
    <row r="1988" spans="1:6" hidden="1">
      <c r="A1988" s="230" t="s">
        <v>121</v>
      </c>
      <c r="B1988" s="149"/>
      <c r="C1988" s="149"/>
      <c r="D1988" s="149"/>
      <c r="E1988" s="34" t="s">
        <v>103</v>
      </c>
      <c r="F1988" s="149" t="s">
        <v>142</v>
      </c>
    </row>
    <row r="1989" spans="1:6" hidden="1">
      <c r="A1989" s="230" t="s">
        <v>122</v>
      </c>
      <c r="B1989" s="149"/>
      <c r="C1989" s="149"/>
      <c r="D1989" s="149"/>
      <c r="E1989" s="34" t="s">
        <v>103</v>
      </c>
      <c r="F1989" s="149" t="s">
        <v>142</v>
      </c>
    </row>
    <row r="1990" spans="1:6" hidden="1">
      <c r="A1990" s="230" t="s">
        <v>123</v>
      </c>
      <c r="B1990" s="149"/>
      <c r="C1990" s="149"/>
      <c r="D1990" s="149"/>
      <c r="E1990" s="34" t="s">
        <v>103</v>
      </c>
      <c r="F1990" s="149" t="s">
        <v>142</v>
      </c>
    </row>
    <row r="1991" spans="1:6" hidden="1">
      <c r="A1991" s="230" t="s">
        <v>124</v>
      </c>
      <c r="B1991" s="149"/>
      <c r="C1991" s="149"/>
      <c r="D1991" s="149"/>
      <c r="E1991" s="34" t="s">
        <v>103</v>
      </c>
      <c r="F1991" s="149" t="s">
        <v>142</v>
      </c>
    </row>
    <row r="1992" spans="1:6" hidden="1">
      <c r="A1992" s="230" t="s">
        <v>125</v>
      </c>
      <c r="B1992" s="149"/>
      <c r="C1992" s="149"/>
      <c r="D1992" s="149"/>
      <c r="E1992" s="34" t="s">
        <v>103</v>
      </c>
      <c r="F1992" s="149" t="s">
        <v>142</v>
      </c>
    </row>
    <row r="1993" spans="1:6" hidden="1">
      <c r="A1993" s="230" t="s">
        <v>126</v>
      </c>
      <c r="B1993" s="149"/>
      <c r="C1993" s="149"/>
      <c r="D1993" s="149"/>
      <c r="E1993" s="34" t="s">
        <v>103</v>
      </c>
      <c r="F1993" s="149" t="s">
        <v>142</v>
      </c>
    </row>
    <row r="1994" spans="1:6" hidden="1">
      <c r="A1994" s="230" t="s">
        <v>127</v>
      </c>
      <c r="B1994" s="149"/>
      <c r="C1994" s="149"/>
      <c r="D1994" s="149"/>
      <c r="E1994" s="34" t="s">
        <v>103</v>
      </c>
      <c r="F1994" s="149" t="s">
        <v>142</v>
      </c>
    </row>
    <row r="1995" spans="1:6" hidden="1">
      <c r="A1995" s="212" t="s">
        <v>116</v>
      </c>
      <c r="B1995" s="147"/>
      <c r="C1995" s="147"/>
      <c r="D1995" s="147"/>
      <c r="E1995" s="34" t="s">
        <v>104</v>
      </c>
      <c r="F1995" s="34" t="s">
        <v>197</v>
      </c>
    </row>
    <row r="1996" spans="1:6" hidden="1">
      <c r="A1996" s="212" t="s">
        <v>117</v>
      </c>
      <c r="B1996" s="147"/>
      <c r="C1996" s="147"/>
      <c r="D1996" s="147"/>
      <c r="E1996" s="34" t="s">
        <v>104</v>
      </c>
      <c r="F1996" s="34" t="s">
        <v>197</v>
      </c>
    </row>
    <row r="1997" spans="1:6" hidden="1">
      <c r="A1997" s="212" t="s">
        <v>118</v>
      </c>
      <c r="B1997" s="147"/>
      <c r="C1997" s="147"/>
      <c r="D1997" s="147"/>
      <c r="E1997" s="34" t="s">
        <v>104</v>
      </c>
      <c r="F1997" s="34" t="s">
        <v>197</v>
      </c>
    </row>
    <row r="1998" spans="1:6" hidden="1">
      <c r="A1998" s="212" t="s">
        <v>119</v>
      </c>
      <c r="B1998" s="147"/>
      <c r="C1998" s="147"/>
      <c r="D1998" s="147"/>
      <c r="E1998" s="34" t="s">
        <v>104</v>
      </c>
      <c r="F1998" s="34" t="s">
        <v>197</v>
      </c>
    </row>
    <row r="1999" spans="1:6" hidden="1">
      <c r="A1999" s="212" t="s">
        <v>120</v>
      </c>
      <c r="B1999" s="147"/>
      <c r="C1999" s="147"/>
      <c r="D1999" s="147"/>
      <c r="E1999" s="34" t="s">
        <v>104</v>
      </c>
      <c r="F1999" s="34" t="s">
        <v>197</v>
      </c>
    </row>
    <row r="2000" spans="1:6" hidden="1">
      <c r="A2000" s="212" t="s">
        <v>121</v>
      </c>
      <c r="B2000" s="147"/>
      <c r="C2000" s="147"/>
      <c r="D2000" s="147"/>
      <c r="E2000" s="34" t="s">
        <v>104</v>
      </c>
      <c r="F2000" s="34" t="s">
        <v>197</v>
      </c>
    </row>
    <row r="2001" spans="1:6" hidden="1">
      <c r="A2001" s="212" t="s">
        <v>122</v>
      </c>
      <c r="B2001" s="147"/>
      <c r="C2001" s="147"/>
      <c r="D2001" s="147"/>
      <c r="E2001" s="34" t="s">
        <v>104</v>
      </c>
      <c r="F2001" s="34" t="s">
        <v>197</v>
      </c>
    </row>
    <row r="2002" spans="1:6" hidden="1">
      <c r="A2002" s="212" t="s">
        <v>123</v>
      </c>
      <c r="B2002" s="147"/>
      <c r="C2002" s="147"/>
      <c r="D2002" s="147"/>
      <c r="E2002" s="34" t="s">
        <v>104</v>
      </c>
      <c r="F2002" s="34" t="s">
        <v>197</v>
      </c>
    </row>
    <row r="2003" spans="1:6" hidden="1">
      <c r="A2003" s="212" t="s">
        <v>124</v>
      </c>
      <c r="B2003" s="147"/>
      <c r="C2003" s="147"/>
      <c r="D2003" s="147"/>
      <c r="E2003" s="34" t="s">
        <v>104</v>
      </c>
      <c r="F2003" s="34" t="s">
        <v>197</v>
      </c>
    </row>
    <row r="2004" spans="1:6" hidden="1">
      <c r="A2004" s="212" t="s">
        <v>125</v>
      </c>
      <c r="B2004" s="147"/>
      <c r="C2004" s="147"/>
      <c r="D2004" s="147"/>
      <c r="E2004" s="34" t="s">
        <v>104</v>
      </c>
      <c r="F2004" s="34" t="s">
        <v>197</v>
      </c>
    </row>
    <row r="2005" spans="1:6" hidden="1">
      <c r="A2005" s="212" t="s">
        <v>126</v>
      </c>
      <c r="B2005" s="147"/>
      <c r="C2005" s="147"/>
      <c r="D2005" s="147"/>
      <c r="E2005" s="34" t="s">
        <v>104</v>
      </c>
      <c r="F2005" s="34" t="s">
        <v>197</v>
      </c>
    </row>
    <row r="2006" spans="1:6" hidden="1">
      <c r="A2006" s="212" t="s">
        <v>127</v>
      </c>
      <c r="B2006" s="147"/>
      <c r="C2006" s="147"/>
      <c r="D2006" s="147"/>
      <c r="E2006" s="34" t="s">
        <v>104</v>
      </c>
      <c r="F2006" s="34" t="s">
        <v>197</v>
      </c>
    </row>
    <row r="2007" spans="1:6" hidden="1">
      <c r="A2007" s="230" t="s">
        <v>116</v>
      </c>
      <c r="B2007" s="149"/>
      <c r="C2007" s="149"/>
      <c r="D2007" s="149"/>
      <c r="E2007" s="34" t="s">
        <v>104</v>
      </c>
      <c r="F2007" s="34" t="s">
        <v>199</v>
      </c>
    </row>
    <row r="2008" spans="1:6" hidden="1">
      <c r="A2008" s="230" t="s">
        <v>117</v>
      </c>
      <c r="B2008" s="149"/>
      <c r="C2008" s="149"/>
      <c r="D2008" s="149"/>
      <c r="E2008" s="34" t="s">
        <v>104</v>
      </c>
      <c r="F2008" s="34" t="s">
        <v>199</v>
      </c>
    </row>
    <row r="2009" spans="1:6" hidden="1">
      <c r="A2009" s="230" t="s">
        <v>118</v>
      </c>
      <c r="B2009" s="149"/>
      <c r="C2009" s="149"/>
      <c r="D2009" s="149"/>
      <c r="E2009" s="34" t="s">
        <v>104</v>
      </c>
      <c r="F2009" s="34" t="s">
        <v>199</v>
      </c>
    </row>
    <row r="2010" spans="1:6" hidden="1">
      <c r="A2010" s="230" t="s">
        <v>119</v>
      </c>
      <c r="B2010" s="149"/>
      <c r="C2010" s="149"/>
      <c r="D2010" s="149"/>
      <c r="E2010" s="34" t="s">
        <v>104</v>
      </c>
      <c r="F2010" s="34" t="s">
        <v>199</v>
      </c>
    </row>
    <row r="2011" spans="1:6" hidden="1">
      <c r="A2011" s="230" t="s">
        <v>120</v>
      </c>
      <c r="B2011" s="149"/>
      <c r="C2011" s="149"/>
      <c r="D2011" s="149"/>
      <c r="E2011" s="34" t="s">
        <v>104</v>
      </c>
      <c r="F2011" s="34" t="s">
        <v>199</v>
      </c>
    </row>
    <row r="2012" spans="1:6" hidden="1">
      <c r="A2012" s="230" t="s">
        <v>121</v>
      </c>
      <c r="B2012" s="149"/>
      <c r="C2012" s="149"/>
      <c r="D2012" s="149"/>
      <c r="E2012" s="34" t="s">
        <v>104</v>
      </c>
      <c r="F2012" s="34" t="s">
        <v>199</v>
      </c>
    </row>
    <row r="2013" spans="1:6" hidden="1">
      <c r="A2013" s="230" t="s">
        <v>122</v>
      </c>
      <c r="B2013" s="149"/>
      <c r="C2013" s="149"/>
      <c r="D2013" s="149"/>
      <c r="E2013" s="34" t="s">
        <v>104</v>
      </c>
      <c r="F2013" s="34" t="s">
        <v>199</v>
      </c>
    </row>
    <row r="2014" spans="1:6" hidden="1">
      <c r="A2014" s="230" t="s">
        <v>123</v>
      </c>
      <c r="B2014" s="149"/>
      <c r="C2014" s="149"/>
      <c r="D2014" s="149"/>
      <c r="E2014" s="34" t="s">
        <v>104</v>
      </c>
      <c r="F2014" s="34" t="s">
        <v>199</v>
      </c>
    </row>
    <row r="2015" spans="1:6" hidden="1">
      <c r="A2015" s="230" t="s">
        <v>124</v>
      </c>
      <c r="B2015" s="149"/>
      <c r="C2015" s="149"/>
      <c r="D2015" s="149"/>
      <c r="E2015" s="34" t="s">
        <v>104</v>
      </c>
      <c r="F2015" s="34" t="s">
        <v>199</v>
      </c>
    </row>
    <row r="2016" spans="1:6" hidden="1">
      <c r="A2016" s="230" t="s">
        <v>125</v>
      </c>
      <c r="B2016" s="149"/>
      <c r="C2016" s="149"/>
      <c r="D2016" s="149"/>
      <c r="E2016" s="34" t="s">
        <v>104</v>
      </c>
      <c r="F2016" s="34" t="s">
        <v>199</v>
      </c>
    </row>
    <row r="2017" spans="1:6" hidden="1">
      <c r="A2017" s="230" t="s">
        <v>126</v>
      </c>
      <c r="B2017" s="149"/>
      <c r="C2017" s="149"/>
      <c r="D2017" s="149"/>
      <c r="E2017" s="34" t="s">
        <v>104</v>
      </c>
      <c r="F2017" s="34" t="s">
        <v>199</v>
      </c>
    </row>
    <row r="2018" spans="1:6" hidden="1">
      <c r="A2018" s="230" t="s">
        <v>127</v>
      </c>
      <c r="B2018" s="149"/>
      <c r="C2018" s="149"/>
      <c r="D2018" s="149"/>
      <c r="E2018" s="34" t="s">
        <v>104</v>
      </c>
      <c r="F2018" s="34" t="s">
        <v>199</v>
      </c>
    </row>
    <row r="2019" spans="1:6" hidden="1">
      <c r="A2019" s="212" t="s">
        <v>116</v>
      </c>
      <c r="B2019" s="147"/>
      <c r="C2019" s="147"/>
      <c r="D2019" s="147"/>
      <c r="E2019" s="34" t="s">
        <v>104</v>
      </c>
      <c r="F2019" s="34" t="s">
        <v>222</v>
      </c>
    </row>
    <row r="2020" spans="1:6" hidden="1">
      <c r="A2020" s="212" t="s">
        <v>117</v>
      </c>
      <c r="B2020" s="147"/>
      <c r="C2020" s="147"/>
      <c r="D2020" s="147"/>
      <c r="E2020" s="34" t="s">
        <v>104</v>
      </c>
      <c r="F2020" s="34" t="s">
        <v>222</v>
      </c>
    </row>
    <row r="2021" spans="1:6" hidden="1">
      <c r="A2021" s="212" t="s">
        <v>118</v>
      </c>
      <c r="B2021" s="147"/>
      <c r="C2021" s="147"/>
      <c r="D2021" s="147"/>
      <c r="E2021" s="34" t="s">
        <v>104</v>
      </c>
      <c r="F2021" s="34" t="s">
        <v>222</v>
      </c>
    </row>
    <row r="2022" spans="1:6" hidden="1">
      <c r="A2022" s="212" t="s">
        <v>119</v>
      </c>
      <c r="B2022" s="147"/>
      <c r="C2022" s="147"/>
      <c r="D2022" s="147"/>
      <c r="E2022" s="34" t="s">
        <v>104</v>
      </c>
      <c r="F2022" s="34" t="s">
        <v>222</v>
      </c>
    </row>
    <row r="2023" spans="1:6" hidden="1">
      <c r="A2023" s="212" t="s">
        <v>120</v>
      </c>
      <c r="B2023" s="147"/>
      <c r="C2023" s="147"/>
      <c r="D2023" s="147"/>
      <c r="E2023" s="34" t="s">
        <v>104</v>
      </c>
      <c r="F2023" s="34" t="s">
        <v>222</v>
      </c>
    </row>
    <row r="2024" spans="1:6" hidden="1">
      <c r="A2024" s="212" t="s">
        <v>121</v>
      </c>
      <c r="B2024" s="147"/>
      <c r="C2024" s="147"/>
      <c r="D2024" s="147"/>
      <c r="E2024" s="34" t="s">
        <v>104</v>
      </c>
      <c r="F2024" s="34" t="s">
        <v>222</v>
      </c>
    </row>
    <row r="2025" spans="1:6" hidden="1">
      <c r="A2025" s="212" t="s">
        <v>122</v>
      </c>
      <c r="B2025" s="147"/>
      <c r="C2025" s="147"/>
      <c r="D2025" s="147"/>
      <c r="E2025" s="34" t="s">
        <v>104</v>
      </c>
      <c r="F2025" s="34" t="s">
        <v>222</v>
      </c>
    </row>
    <row r="2026" spans="1:6" hidden="1">
      <c r="A2026" s="212" t="s">
        <v>123</v>
      </c>
      <c r="B2026" s="147"/>
      <c r="C2026" s="147"/>
      <c r="D2026" s="147"/>
      <c r="E2026" s="34" t="s">
        <v>104</v>
      </c>
      <c r="F2026" s="34" t="s">
        <v>222</v>
      </c>
    </row>
    <row r="2027" spans="1:6" hidden="1">
      <c r="A2027" s="212" t="s">
        <v>124</v>
      </c>
      <c r="B2027" s="147"/>
      <c r="C2027" s="147"/>
      <c r="D2027" s="147"/>
      <c r="E2027" s="34" t="s">
        <v>104</v>
      </c>
      <c r="F2027" s="34" t="s">
        <v>222</v>
      </c>
    </row>
    <row r="2028" spans="1:6" hidden="1">
      <c r="A2028" s="212" t="s">
        <v>125</v>
      </c>
      <c r="B2028" s="147"/>
      <c r="C2028" s="147"/>
      <c r="D2028" s="147"/>
      <c r="E2028" s="34" t="s">
        <v>104</v>
      </c>
      <c r="F2028" s="34" t="s">
        <v>222</v>
      </c>
    </row>
    <row r="2029" spans="1:6" hidden="1">
      <c r="A2029" s="212" t="s">
        <v>126</v>
      </c>
      <c r="B2029" s="147"/>
      <c r="C2029" s="147"/>
      <c r="D2029" s="147"/>
      <c r="E2029" s="34" t="s">
        <v>104</v>
      </c>
      <c r="F2029" s="34" t="s">
        <v>222</v>
      </c>
    </row>
    <row r="2030" spans="1:6" hidden="1">
      <c r="A2030" s="212" t="s">
        <v>127</v>
      </c>
      <c r="B2030" s="147"/>
      <c r="C2030" s="147"/>
      <c r="D2030" s="147"/>
      <c r="E2030" s="34" t="s">
        <v>104</v>
      </c>
      <c r="F2030" s="34" t="s">
        <v>222</v>
      </c>
    </row>
    <row r="2031" spans="1:6" hidden="1">
      <c r="A2031" s="230" t="s">
        <v>116</v>
      </c>
      <c r="B2031" s="149"/>
      <c r="C2031" s="149"/>
      <c r="D2031" s="149"/>
      <c r="E2031" s="34" t="s">
        <v>104</v>
      </c>
      <c r="F2031" s="34" t="s">
        <v>198</v>
      </c>
    </row>
    <row r="2032" spans="1:6" hidden="1">
      <c r="A2032" s="230" t="s">
        <v>117</v>
      </c>
      <c r="B2032" s="149"/>
      <c r="C2032" s="149"/>
      <c r="D2032" s="149"/>
      <c r="E2032" s="34" t="s">
        <v>104</v>
      </c>
      <c r="F2032" s="34" t="s">
        <v>198</v>
      </c>
    </row>
    <row r="2033" spans="1:6" hidden="1">
      <c r="A2033" s="230" t="s">
        <v>118</v>
      </c>
      <c r="B2033" s="149"/>
      <c r="C2033" s="149"/>
      <c r="D2033" s="149"/>
      <c r="E2033" s="34" t="s">
        <v>104</v>
      </c>
      <c r="F2033" s="34" t="s">
        <v>198</v>
      </c>
    </row>
    <row r="2034" spans="1:6" hidden="1">
      <c r="A2034" s="230" t="s">
        <v>119</v>
      </c>
      <c r="B2034" s="149"/>
      <c r="C2034" s="149"/>
      <c r="D2034" s="149"/>
      <c r="E2034" s="34" t="s">
        <v>104</v>
      </c>
      <c r="F2034" s="34" t="s">
        <v>198</v>
      </c>
    </row>
    <row r="2035" spans="1:6" hidden="1">
      <c r="A2035" s="230" t="s">
        <v>120</v>
      </c>
      <c r="B2035" s="149"/>
      <c r="C2035" s="149"/>
      <c r="D2035" s="149"/>
      <c r="E2035" s="34" t="s">
        <v>104</v>
      </c>
      <c r="F2035" s="34" t="s">
        <v>198</v>
      </c>
    </row>
    <row r="2036" spans="1:6" hidden="1">
      <c r="A2036" s="230" t="s">
        <v>121</v>
      </c>
      <c r="B2036" s="149"/>
      <c r="C2036" s="149"/>
      <c r="D2036" s="149"/>
      <c r="E2036" s="34" t="s">
        <v>104</v>
      </c>
      <c r="F2036" s="34" t="s">
        <v>198</v>
      </c>
    </row>
    <row r="2037" spans="1:6" hidden="1">
      <c r="A2037" s="230" t="s">
        <v>122</v>
      </c>
      <c r="B2037" s="149"/>
      <c r="C2037" s="149"/>
      <c r="D2037" s="149"/>
      <c r="E2037" s="34" t="s">
        <v>104</v>
      </c>
      <c r="F2037" s="34" t="s">
        <v>198</v>
      </c>
    </row>
    <row r="2038" spans="1:6" hidden="1">
      <c r="A2038" s="230" t="s">
        <v>123</v>
      </c>
      <c r="B2038" s="149"/>
      <c r="C2038" s="149"/>
      <c r="D2038" s="149"/>
      <c r="E2038" s="34" t="s">
        <v>104</v>
      </c>
      <c r="F2038" s="34" t="s">
        <v>198</v>
      </c>
    </row>
    <row r="2039" spans="1:6" hidden="1">
      <c r="A2039" s="230" t="s">
        <v>124</v>
      </c>
      <c r="B2039" s="149"/>
      <c r="C2039" s="149"/>
      <c r="D2039" s="149"/>
      <c r="E2039" s="34" t="s">
        <v>104</v>
      </c>
      <c r="F2039" s="34" t="s">
        <v>198</v>
      </c>
    </row>
    <row r="2040" spans="1:6" hidden="1">
      <c r="A2040" s="230" t="s">
        <v>125</v>
      </c>
      <c r="B2040" s="149"/>
      <c r="C2040" s="149"/>
      <c r="D2040" s="149"/>
      <c r="E2040" s="34" t="s">
        <v>104</v>
      </c>
      <c r="F2040" s="34" t="s">
        <v>198</v>
      </c>
    </row>
    <row r="2041" spans="1:6" hidden="1">
      <c r="A2041" s="230" t="s">
        <v>126</v>
      </c>
      <c r="B2041" s="149"/>
      <c r="C2041" s="149"/>
      <c r="D2041" s="149"/>
      <c r="E2041" s="34" t="s">
        <v>104</v>
      </c>
      <c r="F2041" s="34" t="s">
        <v>198</v>
      </c>
    </row>
    <row r="2042" spans="1:6" hidden="1">
      <c r="A2042" s="230" t="s">
        <v>127</v>
      </c>
      <c r="B2042" s="149"/>
      <c r="C2042" s="149"/>
      <c r="D2042" s="149"/>
      <c r="E2042" s="34" t="s">
        <v>104</v>
      </c>
      <c r="F2042" s="34" t="s">
        <v>198</v>
      </c>
    </row>
    <row r="2043" spans="1:6" hidden="1">
      <c r="A2043" s="212" t="s">
        <v>116</v>
      </c>
      <c r="B2043" s="147"/>
      <c r="C2043" s="147"/>
      <c r="D2043" s="147"/>
      <c r="E2043" s="34" t="s">
        <v>104</v>
      </c>
      <c r="F2043" s="34" t="s">
        <v>28</v>
      </c>
    </row>
    <row r="2044" spans="1:6" hidden="1">
      <c r="A2044" s="212" t="s">
        <v>117</v>
      </c>
      <c r="B2044" s="147"/>
      <c r="C2044" s="147"/>
      <c r="D2044" s="147"/>
      <c r="E2044" s="34" t="s">
        <v>104</v>
      </c>
      <c r="F2044" s="34" t="s">
        <v>28</v>
      </c>
    </row>
    <row r="2045" spans="1:6" hidden="1">
      <c r="A2045" s="212" t="s">
        <v>118</v>
      </c>
      <c r="B2045" s="147"/>
      <c r="C2045" s="147"/>
      <c r="D2045" s="147"/>
      <c r="E2045" s="34" t="s">
        <v>104</v>
      </c>
      <c r="F2045" s="34" t="s">
        <v>28</v>
      </c>
    </row>
    <row r="2046" spans="1:6" hidden="1">
      <c r="A2046" s="212" t="s">
        <v>119</v>
      </c>
      <c r="B2046" s="147"/>
      <c r="C2046" s="147"/>
      <c r="D2046" s="147"/>
      <c r="E2046" s="34" t="s">
        <v>104</v>
      </c>
      <c r="F2046" s="34" t="s">
        <v>28</v>
      </c>
    </row>
    <row r="2047" spans="1:6" hidden="1">
      <c r="A2047" s="212" t="s">
        <v>120</v>
      </c>
      <c r="B2047" s="147"/>
      <c r="C2047" s="147"/>
      <c r="D2047" s="147"/>
      <c r="E2047" s="34" t="s">
        <v>104</v>
      </c>
      <c r="F2047" s="34" t="s">
        <v>28</v>
      </c>
    </row>
    <row r="2048" spans="1:6" hidden="1">
      <c r="A2048" s="212" t="s">
        <v>121</v>
      </c>
      <c r="B2048" s="147"/>
      <c r="C2048" s="147"/>
      <c r="D2048" s="147"/>
      <c r="E2048" s="34" t="s">
        <v>104</v>
      </c>
      <c r="F2048" s="34" t="s">
        <v>28</v>
      </c>
    </row>
    <row r="2049" spans="1:6" hidden="1">
      <c r="A2049" s="212" t="s">
        <v>122</v>
      </c>
      <c r="B2049" s="147"/>
      <c r="C2049" s="147"/>
      <c r="D2049" s="147"/>
      <c r="E2049" s="34" t="s">
        <v>104</v>
      </c>
      <c r="F2049" s="34" t="s">
        <v>28</v>
      </c>
    </row>
    <row r="2050" spans="1:6" hidden="1">
      <c r="A2050" s="212" t="s">
        <v>123</v>
      </c>
      <c r="B2050" s="147"/>
      <c r="C2050" s="147"/>
      <c r="D2050" s="147"/>
      <c r="E2050" s="34" t="s">
        <v>104</v>
      </c>
      <c r="F2050" s="34" t="s">
        <v>28</v>
      </c>
    </row>
    <row r="2051" spans="1:6" hidden="1">
      <c r="A2051" s="212" t="s">
        <v>124</v>
      </c>
      <c r="B2051" s="147"/>
      <c r="C2051" s="147"/>
      <c r="D2051" s="147"/>
      <c r="E2051" s="34" t="s">
        <v>104</v>
      </c>
      <c r="F2051" s="34" t="s">
        <v>28</v>
      </c>
    </row>
    <row r="2052" spans="1:6" hidden="1">
      <c r="A2052" s="212" t="s">
        <v>125</v>
      </c>
      <c r="B2052" s="147"/>
      <c r="C2052" s="147"/>
      <c r="D2052" s="147"/>
      <c r="E2052" s="34" t="s">
        <v>104</v>
      </c>
      <c r="F2052" s="34" t="s">
        <v>28</v>
      </c>
    </row>
    <row r="2053" spans="1:6" hidden="1">
      <c r="A2053" s="212" t="s">
        <v>126</v>
      </c>
      <c r="B2053" s="147"/>
      <c r="C2053" s="147"/>
      <c r="D2053" s="147"/>
      <c r="E2053" s="34" t="s">
        <v>104</v>
      </c>
      <c r="F2053" s="34" t="s">
        <v>28</v>
      </c>
    </row>
    <row r="2054" spans="1:6" hidden="1">
      <c r="A2054" s="212" t="s">
        <v>127</v>
      </c>
      <c r="B2054" s="147"/>
      <c r="C2054" s="147"/>
      <c r="D2054" s="147"/>
      <c r="E2054" s="34" t="s">
        <v>104</v>
      </c>
      <c r="F2054" s="34" t="s">
        <v>28</v>
      </c>
    </row>
    <row r="2055" spans="1:6" hidden="1">
      <c r="A2055" s="230" t="s">
        <v>116</v>
      </c>
      <c r="B2055" s="149"/>
      <c r="C2055" s="149"/>
      <c r="D2055" s="149"/>
      <c r="E2055" s="34" t="s">
        <v>104</v>
      </c>
      <c r="F2055" s="149" t="s">
        <v>142</v>
      </c>
    </row>
    <row r="2056" spans="1:6" hidden="1">
      <c r="A2056" s="230" t="s">
        <v>117</v>
      </c>
      <c r="B2056" s="149"/>
      <c r="C2056" s="149"/>
      <c r="D2056" s="149"/>
      <c r="E2056" s="34" t="s">
        <v>104</v>
      </c>
      <c r="F2056" s="149" t="s">
        <v>142</v>
      </c>
    </row>
    <row r="2057" spans="1:6" hidden="1">
      <c r="A2057" s="230" t="s">
        <v>118</v>
      </c>
      <c r="B2057" s="149"/>
      <c r="C2057" s="149"/>
      <c r="D2057" s="149"/>
      <c r="E2057" s="34" t="s">
        <v>104</v>
      </c>
      <c r="F2057" s="149" t="s">
        <v>142</v>
      </c>
    </row>
    <row r="2058" spans="1:6" hidden="1">
      <c r="A2058" s="230" t="s">
        <v>119</v>
      </c>
      <c r="B2058" s="149"/>
      <c r="C2058" s="149"/>
      <c r="D2058" s="149"/>
      <c r="E2058" s="34" t="s">
        <v>104</v>
      </c>
      <c r="F2058" s="149" t="s">
        <v>142</v>
      </c>
    </row>
    <row r="2059" spans="1:6" hidden="1">
      <c r="A2059" s="230" t="s">
        <v>120</v>
      </c>
      <c r="B2059" s="149"/>
      <c r="C2059" s="149"/>
      <c r="D2059" s="149"/>
      <c r="E2059" s="34" t="s">
        <v>104</v>
      </c>
      <c r="F2059" s="149" t="s">
        <v>142</v>
      </c>
    </row>
    <row r="2060" spans="1:6" hidden="1">
      <c r="A2060" s="230" t="s">
        <v>121</v>
      </c>
      <c r="B2060" s="149"/>
      <c r="C2060" s="149"/>
      <c r="D2060" s="149"/>
      <c r="E2060" s="34" t="s">
        <v>104</v>
      </c>
      <c r="F2060" s="149" t="s">
        <v>142</v>
      </c>
    </row>
    <row r="2061" spans="1:6" hidden="1">
      <c r="A2061" s="230" t="s">
        <v>122</v>
      </c>
      <c r="B2061" s="149"/>
      <c r="C2061" s="149"/>
      <c r="D2061" s="149"/>
      <c r="E2061" s="34" t="s">
        <v>104</v>
      </c>
      <c r="F2061" s="149" t="s">
        <v>142</v>
      </c>
    </row>
    <row r="2062" spans="1:6" hidden="1">
      <c r="A2062" s="230" t="s">
        <v>123</v>
      </c>
      <c r="B2062" s="149"/>
      <c r="C2062" s="149"/>
      <c r="D2062" s="149"/>
      <c r="E2062" s="34" t="s">
        <v>104</v>
      </c>
      <c r="F2062" s="149" t="s">
        <v>142</v>
      </c>
    </row>
    <row r="2063" spans="1:6" hidden="1">
      <c r="A2063" s="230" t="s">
        <v>124</v>
      </c>
      <c r="B2063" s="149"/>
      <c r="C2063" s="149"/>
      <c r="D2063" s="149"/>
      <c r="E2063" s="34" t="s">
        <v>104</v>
      </c>
      <c r="F2063" s="149" t="s">
        <v>142</v>
      </c>
    </row>
    <row r="2064" spans="1:6" hidden="1">
      <c r="A2064" s="230" t="s">
        <v>125</v>
      </c>
      <c r="B2064" s="149"/>
      <c r="C2064" s="149"/>
      <c r="D2064" s="149"/>
      <c r="E2064" s="34" t="s">
        <v>104</v>
      </c>
      <c r="F2064" s="149" t="s">
        <v>142</v>
      </c>
    </row>
    <row r="2065" spans="1:6" hidden="1">
      <c r="A2065" s="230" t="s">
        <v>126</v>
      </c>
      <c r="B2065" s="149"/>
      <c r="C2065" s="149"/>
      <c r="D2065" s="149"/>
      <c r="E2065" s="34" t="s">
        <v>104</v>
      </c>
      <c r="F2065" s="149" t="s">
        <v>142</v>
      </c>
    </row>
    <row r="2066" spans="1:6" hidden="1">
      <c r="A2066" s="230" t="s">
        <v>127</v>
      </c>
      <c r="B2066" s="149"/>
      <c r="C2066" s="149"/>
      <c r="D2066" s="149"/>
      <c r="E2066" s="34" t="s">
        <v>104</v>
      </c>
      <c r="F2066" s="149" t="s">
        <v>142</v>
      </c>
    </row>
    <row r="2067" spans="1:6" hidden="1">
      <c r="A2067" s="212" t="s">
        <v>116</v>
      </c>
      <c r="B2067" s="147"/>
      <c r="C2067" s="147"/>
      <c r="D2067" s="147"/>
      <c r="E2067" s="34" t="s">
        <v>105</v>
      </c>
      <c r="F2067" s="34" t="s">
        <v>197</v>
      </c>
    </row>
    <row r="2068" spans="1:6" hidden="1">
      <c r="A2068" s="212" t="s">
        <v>117</v>
      </c>
      <c r="B2068" s="147"/>
      <c r="C2068" s="147"/>
      <c r="D2068" s="147"/>
      <c r="E2068" s="34" t="s">
        <v>105</v>
      </c>
      <c r="F2068" s="34" t="s">
        <v>197</v>
      </c>
    </row>
    <row r="2069" spans="1:6" hidden="1">
      <c r="A2069" s="212" t="s">
        <v>118</v>
      </c>
      <c r="B2069" s="147"/>
      <c r="C2069" s="147"/>
      <c r="D2069" s="147"/>
      <c r="E2069" s="34" t="s">
        <v>105</v>
      </c>
      <c r="F2069" s="34" t="s">
        <v>197</v>
      </c>
    </row>
    <row r="2070" spans="1:6" hidden="1">
      <c r="A2070" s="212" t="s">
        <v>119</v>
      </c>
      <c r="B2070" s="147"/>
      <c r="C2070" s="147"/>
      <c r="D2070" s="147"/>
      <c r="E2070" s="34" t="s">
        <v>105</v>
      </c>
      <c r="F2070" s="34" t="s">
        <v>197</v>
      </c>
    </row>
    <row r="2071" spans="1:6" hidden="1">
      <c r="A2071" s="212" t="s">
        <v>120</v>
      </c>
      <c r="B2071" s="147"/>
      <c r="C2071" s="147"/>
      <c r="D2071" s="147"/>
      <c r="E2071" s="34" t="s">
        <v>105</v>
      </c>
      <c r="F2071" s="34" t="s">
        <v>197</v>
      </c>
    </row>
    <row r="2072" spans="1:6" hidden="1">
      <c r="A2072" s="212" t="s">
        <v>121</v>
      </c>
      <c r="B2072" s="147"/>
      <c r="C2072" s="147"/>
      <c r="D2072" s="147"/>
      <c r="E2072" s="34" t="s">
        <v>105</v>
      </c>
      <c r="F2072" s="34" t="s">
        <v>197</v>
      </c>
    </row>
    <row r="2073" spans="1:6" hidden="1">
      <c r="A2073" s="212" t="s">
        <v>122</v>
      </c>
      <c r="B2073" s="147"/>
      <c r="C2073" s="147"/>
      <c r="D2073" s="147"/>
      <c r="E2073" s="34" t="s">
        <v>105</v>
      </c>
      <c r="F2073" s="34" t="s">
        <v>197</v>
      </c>
    </row>
    <row r="2074" spans="1:6" hidden="1">
      <c r="A2074" s="212" t="s">
        <v>123</v>
      </c>
      <c r="B2074" s="147"/>
      <c r="C2074" s="147"/>
      <c r="D2074" s="147"/>
      <c r="E2074" s="34" t="s">
        <v>105</v>
      </c>
      <c r="F2074" s="34" t="s">
        <v>197</v>
      </c>
    </row>
    <row r="2075" spans="1:6" hidden="1">
      <c r="A2075" s="212" t="s">
        <v>124</v>
      </c>
      <c r="B2075" s="147"/>
      <c r="C2075" s="147"/>
      <c r="D2075" s="147"/>
      <c r="E2075" s="34" t="s">
        <v>105</v>
      </c>
      <c r="F2075" s="34" t="s">
        <v>197</v>
      </c>
    </row>
    <row r="2076" spans="1:6" hidden="1">
      <c r="A2076" s="212" t="s">
        <v>125</v>
      </c>
      <c r="B2076" s="147"/>
      <c r="C2076" s="147"/>
      <c r="D2076" s="147"/>
      <c r="E2076" s="34" t="s">
        <v>105</v>
      </c>
      <c r="F2076" s="34" t="s">
        <v>197</v>
      </c>
    </row>
    <row r="2077" spans="1:6" hidden="1">
      <c r="A2077" s="212" t="s">
        <v>126</v>
      </c>
      <c r="B2077" s="147"/>
      <c r="C2077" s="147"/>
      <c r="D2077" s="147"/>
      <c r="E2077" s="34" t="s">
        <v>105</v>
      </c>
      <c r="F2077" s="34" t="s">
        <v>197</v>
      </c>
    </row>
    <row r="2078" spans="1:6" hidden="1">
      <c r="A2078" s="212" t="s">
        <v>127</v>
      </c>
      <c r="B2078" s="147"/>
      <c r="C2078" s="147"/>
      <c r="D2078" s="147"/>
      <c r="E2078" s="34" t="s">
        <v>105</v>
      </c>
      <c r="F2078" s="34" t="s">
        <v>197</v>
      </c>
    </row>
    <row r="2079" spans="1:6" hidden="1">
      <c r="A2079" s="230" t="s">
        <v>116</v>
      </c>
      <c r="B2079" s="149"/>
      <c r="C2079" s="149"/>
      <c r="D2079" s="149"/>
      <c r="E2079" s="34" t="s">
        <v>105</v>
      </c>
      <c r="F2079" s="34" t="s">
        <v>199</v>
      </c>
    </row>
    <row r="2080" spans="1:6" hidden="1">
      <c r="A2080" s="230" t="s">
        <v>117</v>
      </c>
      <c r="B2080" s="149"/>
      <c r="C2080" s="149"/>
      <c r="D2080" s="149"/>
      <c r="E2080" s="34" t="s">
        <v>105</v>
      </c>
      <c r="F2080" s="34" t="s">
        <v>199</v>
      </c>
    </row>
    <row r="2081" spans="1:6" hidden="1">
      <c r="A2081" s="230" t="s">
        <v>118</v>
      </c>
      <c r="B2081" s="149"/>
      <c r="C2081" s="149"/>
      <c r="D2081" s="149"/>
      <c r="E2081" s="34" t="s">
        <v>105</v>
      </c>
      <c r="F2081" s="34" t="s">
        <v>199</v>
      </c>
    </row>
    <row r="2082" spans="1:6" hidden="1">
      <c r="A2082" s="230" t="s">
        <v>119</v>
      </c>
      <c r="B2082" s="149"/>
      <c r="C2082" s="149"/>
      <c r="D2082" s="149"/>
      <c r="E2082" s="34" t="s">
        <v>105</v>
      </c>
      <c r="F2082" s="34" t="s">
        <v>199</v>
      </c>
    </row>
    <row r="2083" spans="1:6" hidden="1">
      <c r="A2083" s="230" t="s">
        <v>120</v>
      </c>
      <c r="B2083" s="149"/>
      <c r="C2083" s="149"/>
      <c r="D2083" s="149"/>
      <c r="E2083" s="34" t="s">
        <v>105</v>
      </c>
      <c r="F2083" s="34" t="s">
        <v>199</v>
      </c>
    </row>
    <row r="2084" spans="1:6" hidden="1">
      <c r="A2084" s="230" t="s">
        <v>121</v>
      </c>
      <c r="B2084" s="149"/>
      <c r="C2084" s="149"/>
      <c r="D2084" s="149"/>
      <c r="E2084" s="34" t="s">
        <v>105</v>
      </c>
      <c r="F2084" s="34" t="s">
        <v>199</v>
      </c>
    </row>
    <row r="2085" spans="1:6" hidden="1">
      <c r="A2085" s="230" t="s">
        <v>122</v>
      </c>
      <c r="B2085" s="149"/>
      <c r="C2085" s="149"/>
      <c r="D2085" s="149"/>
      <c r="E2085" s="34" t="s">
        <v>105</v>
      </c>
      <c r="F2085" s="34" t="s">
        <v>199</v>
      </c>
    </row>
    <row r="2086" spans="1:6" hidden="1">
      <c r="A2086" s="230" t="s">
        <v>123</v>
      </c>
      <c r="B2086" s="149"/>
      <c r="C2086" s="149"/>
      <c r="D2086" s="149"/>
      <c r="E2086" s="34" t="s">
        <v>105</v>
      </c>
      <c r="F2086" s="34" t="s">
        <v>199</v>
      </c>
    </row>
    <row r="2087" spans="1:6" hidden="1">
      <c r="A2087" s="230" t="s">
        <v>124</v>
      </c>
      <c r="B2087" s="149"/>
      <c r="C2087" s="149"/>
      <c r="D2087" s="149"/>
      <c r="E2087" s="34" t="s">
        <v>105</v>
      </c>
      <c r="F2087" s="34" t="s">
        <v>199</v>
      </c>
    </row>
    <row r="2088" spans="1:6" hidden="1">
      <c r="A2088" s="230" t="s">
        <v>125</v>
      </c>
      <c r="B2088" s="149"/>
      <c r="C2088" s="149"/>
      <c r="D2088" s="149"/>
      <c r="E2088" s="34" t="s">
        <v>105</v>
      </c>
      <c r="F2088" s="34" t="s">
        <v>199</v>
      </c>
    </row>
    <row r="2089" spans="1:6" hidden="1">
      <c r="A2089" s="230" t="s">
        <v>126</v>
      </c>
      <c r="B2089" s="149"/>
      <c r="C2089" s="149"/>
      <c r="D2089" s="149"/>
      <c r="E2089" s="34" t="s">
        <v>105</v>
      </c>
      <c r="F2089" s="34" t="s">
        <v>199</v>
      </c>
    </row>
    <row r="2090" spans="1:6" hidden="1">
      <c r="A2090" s="230" t="s">
        <v>127</v>
      </c>
      <c r="B2090" s="149"/>
      <c r="C2090" s="149"/>
      <c r="D2090" s="149"/>
      <c r="E2090" s="34" t="s">
        <v>105</v>
      </c>
      <c r="F2090" s="34" t="s">
        <v>199</v>
      </c>
    </row>
    <row r="2091" spans="1:6" hidden="1">
      <c r="A2091" s="212" t="s">
        <v>116</v>
      </c>
      <c r="B2091" s="147"/>
      <c r="C2091" s="147"/>
      <c r="D2091" s="147"/>
      <c r="E2091" s="34" t="s">
        <v>105</v>
      </c>
      <c r="F2091" s="34" t="s">
        <v>222</v>
      </c>
    </row>
    <row r="2092" spans="1:6" hidden="1">
      <c r="A2092" s="212" t="s">
        <v>117</v>
      </c>
      <c r="B2092" s="147"/>
      <c r="C2092" s="147"/>
      <c r="D2092" s="147"/>
      <c r="E2092" s="34" t="s">
        <v>105</v>
      </c>
      <c r="F2092" s="34" t="s">
        <v>222</v>
      </c>
    </row>
    <row r="2093" spans="1:6" hidden="1">
      <c r="A2093" s="212" t="s">
        <v>118</v>
      </c>
      <c r="B2093" s="147"/>
      <c r="C2093" s="147"/>
      <c r="D2093" s="147"/>
      <c r="E2093" s="34" t="s">
        <v>105</v>
      </c>
      <c r="F2093" s="34" t="s">
        <v>222</v>
      </c>
    </row>
    <row r="2094" spans="1:6" hidden="1">
      <c r="A2094" s="212" t="s">
        <v>119</v>
      </c>
      <c r="B2094" s="147"/>
      <c r="C2094" s="147"/>
      <c r="D2094" s="147"/>
      <c r="E2094" s="34" t="s">
        <v>105</v>
      </c>
      <c r="F2094" s="34" t="s">
        <v>222</v>
      </c>
    </row>
    <row r="2095" spans="1:6" hidden="1">
      <c r="A2095" s="212" t="s">
        <v>120</v>
      </c>
      <c r="B2095" s="147"/>
      <c r="C2095" s="147"/>
      <c r="D2095" s="147"/>
      <c r="E2095" s="34" t="s">
        <v>105</v>
      </c>
      <c r="F2095" s="34" t="s">
        <v>222</v>
      </c>
    </row>
    <row r="2096" spans="1:6" hidden="1">
      <c r="A2096" s="212" t="s">
        <v>121</v>
      </c>
      <c r="B2096" s="147"/>
      <c r="C2096" s="147"/>
      <c r="D2096" s="147"/>
      <c r="E2096" s="34" t="s">
        <v>105</v>
      </c>
      <c r="F2096" s="34" t="s">
        <v>222</v>
      </c>
    </row>
    <row r="2097" spans="1:6" hidden="1">
      <c r="A2097" s="212" t="s">
        <v>122</v>
      </c>
      <c r="B2097" s="147"/>
      <c r="C2097" s="147"/>
      <c r="D2097" s="147"/>
      <c r="E2097" s="34" t="s">
        <v>105</v>
      </c>
      <c r="F2097" s="34" t="s">
        <v>222</v>
      </c>
    </row>
    <row r="2098" spans="1:6" hidden="1">
      <c r="A2098" s="212" t="s">
        <v>123</v>
      </c>
      <c r="B2098" s="147"/>
      <c r="C2098" s="147"/>
      <c r="D2098" s="147"/>
      <c r="E2098" s="34" t="s">
        <v>105</v>
      </c>
      <c r="F2098" s="34" t="s">
        <v>222</v>
      </c>
    </row>
    <row r="2099" spans="1:6" hidden="1">
      <c r="A2099" s="212" t="s">
        <v>124</v>
      </c>
      <c r="B2099" s="147"/>
      <c r="C2099" s="147"/>
      <c r="D2099" s="147"/>
      <c r="E2099" s="34" t="s">
        <v>105</v>
      </c>
      <c r="F2099" s="34" t="s">
        <v>222</v>
      </c>
    </row>
    <row r="2100" spans="1:6" hidden="1">
      <c r="A2100" s="212" t="s">
        <v>125</v>
      </c>
      <c r="B2100" s="147"/>
      <c r="C2100" s="147"/>
      <c r="D2100" s="147"/>
      <c r="E2100" s="34" t="s">
        <v>105</v>
      </c>
      <c r="F2100" s="34" t="s">
        <v>222</v>
      </c>
    </row>
    <row r="2101" spans="1:6" hidden="1">
      <c r="A2101" s="212" t="s">
        <v>126</v>
      </c>
      <c r="B2101" s="147"/>
      <c r="C2101" s="147"/>
      <c r="D2101" s="147"/>
      <c r="E2101" s="34" t="s">
        <v>105</v>
      </c>
      <c r="F2101" s="34" t="s">
        <v>222</v>
      </c>
    </row>
    <row r="2102" spans="1:6" hidden="1">
      <c r="A2102" s="212" t="s">
        <v>127</v>
      </c>
      <c r="B2102" s="147"/>
      <c r="C2102" s="147"/>
      <c r="D2102" s="147"/>
      <c r="E2102" s="34" t="s">
        <v>105</v>
      </c>
      <c r="F2102" s="34" t="s">
        <v>222</v>
      </c>
    </row>
    <row r="2103" spans="1:6" hidden="1">
      <c r="A2103" s="230" t="s">
        <v>116</v>
      </c>
      <c r="B2103" s="149"/>
      <c r="C2103" s="149"/>
      <c r="D2103" s="149"/>
      <c r="E2103" s="34" t="s">
        <v>105</v>
      </c>
      <c r="F2103" s="34" t="s">
        <v>198</v>
      </c>
    </row>
    <row r="2104" spans="1:6" hidden="1">
      <c r="A2104" s="230" t="s">
        <v>117</v>
      </c>
      <c r="B2104" s="149"/>
      <c r="C2104" s="149"/>
      <c r="D2104" s="149"/>
      <c r="E2104" s="34" t="s">
        <v>105</v>
      </c>
      <c r="F2104" s="34" t="s">
        <v>198</v>
      </c>
    </row>
    <row r="2105" spans="1:6" hidden="1">
      <c r="A2105" s="230" t="s">
        <v>118</v>
      </c>
      <c r="B2105" s="149"/>
      <c r="C2105" s="149"/>
      <c r="D2105" s="149"/>
      <c r="E2105" s="34" t="s">
        <v>105</v>
      </c>
      <c r="F2105" s="34" t="s">
        <v>198</v>
      </c>
    </row>
    <row r="2106" spans="1:6" hidden="1">
      <c r="A2106" s="230" t="s">
        <v>119</v>
      </c>
      <c r="B2106" s="149"/>
      <c r="C2106" s="149"/>
      <c r="D2106" s="149"/>
      <c r="E2106" s="34" t="s">
        <v>105</v>
      </c>
      <c r="F2106" s="34" t="s">
        <v>198</v>
      </c>
    </row>
    <row r="2107" spans="1:6" hidden="1">
      <c r="A2107" s="230" t="s">
        <v>120</v>
      </c>
      <c r="B2107" s="149"/>
      <c r="C2107" s="149"/>
      <c r="D2107" s="149"/>
      <c r="E2107" s="34" t="s">
        <v>105</v>
      </c>
      <c r="F2107" s="34" t="s">
        <v>198</v>
      </c>
    </row>
    <row r="2108" spans="1:6" hidden="1">
      <c r="A2108" s="230" t="s">
        <v>121</v>
      </c>
      <c r="B2108" s="149"/>
      <c r="C2108" s="149"/>
      <c r="D2108" s="149"/>
      <c r="E2108" s="34" t="s">
        <v>105</v>
      </c>
      <c r="F2108" s="34" t="s">
        <v>198</v>
      </c>
    </row>
    <row r="2109" spans="1:6" hidden="1">
      <c r="A2109" s="230" t="s">
        <v>122</v>
      </c>
      <c r="B2109" s="149"/>
      <c r="C2109" s="149"/>
      <c r="D2109" s="149"/>
      <c r="E2109" s="34" t="s">
        <v>105</v>
      </c>
      <c r="F2109" s="34" t="s">
        <v>198</v>
      </c>
    </row>
    <row r="2110" spans="1:6" hidden="1">
      <c r="A2110" s="230" t="s">
        <v>123</v>
      </c>
      <c r="B2110" s="149"/>
      <c r="C2110" s="149"/>
      <c r="D2110" s="149"/>
      <c r="E2110" s="34" t="s">
        <v>105</v>
      </c>
      <c r="F2110" s="34" t="s">
        <v>198</v>
      </c>
    </row>
    <row r="2111" spans="1:6" hidden="1">
      <c r="A2111" s="230" t="s">
        <v>124</v>
      </c>
      <c r="B2111" s="149"/>
      <c r="C2111" s="149"/>
      <c r="D2111" s="149"/>
      <c r="E2111" s="34" t="s">
        <v>105</v>
      </c>
      <c r="F2111" s="34" t="s">
        <v>198</v>
      </c>
    </row>
    <row r="2112" spans="1:6" hidden="1">
      <c r="A2112" s="230" t="s">
        <v>125</v>
      </c>
      <c r="B2112" s="149"/>
      <c r="C2112" s="149"/>
      <c r="D2112" s="149"/>
      <c r="E2112" s="34" t="s">
        <v>105</v>
      </c>
      <c r="F2112" s="34" t="s">
        <v>198</v>
      </c>
    </row>
    <row r="2113" spans="1:6" hidden="1">
      <c r="A2113" s="230" t="s">
        <v>126</v>
      </c>
      <c r="B2113" s="149"/>
      <c r="C2113" s="149"/>
      <c r="D2113" s="149"/>
      <c r="E2113" s="34" t="s">
        <v>105</v>
      </c>
      <c r="F2113" s="34" t="s">
        <v>198</v>
      </c>
    </row>
    <row r="2114" spans="1:6" hidden="1">
      <c r="A2114" s="230" t="s">
        <v>127</v>
      </c>
      <c r="B2114" s="149"/>
      <c r="C2114" s="149"/>
      <c r="D2114" s="149"/>
      <c r="E2114" s="34" t="s">
        <v>105</v>
      </c>
      <c r="F2114" s="34" t="s">
        <v>198</v>
      </c>
    </row>
    <row r="2115" spans="1:6" hidden="1">
      <c r="A2115" s="212" t="s">
        <v>116</v>
      </c>
      <c r="B2115" s="147"/>
      <c r="C2115" s="147"/>
      <c r="D2115" s="147"/>
      <c r="E2115" s="34" t="s">
        <v>105</v>
      </c>
      <c r="F2115" s="34" t="s">
        <v>28</v>
      </c>
    </row>
    <row r="2116" spans="1:6" hidden="1">
      <c r="A2116" s="212" t="s">
        <v>117</v>
      </c>
      <c r="B2116" s="147"/>
      <c r="C2116" s="147"/>
      <c r="D2116" s="147"/>
      <c r="E2116" s="34" t="s">
        <v>105</v>
      </c>
      <c r="F2116" s="34" t="s">
        <v>28</v>
      </c>
    </row>
    <row r="2117" spans="1:6" hidden="1">
      <c r="A2117" s="212" t="s">
        <v>118</v>
      </c>
      <c r="B2117" s="147"/>
      <c r="C2117" s="147"/>
      <c r="D2117" s="147"/>
      <c r="E2117" s="34" t="s">
        <v>105</v>
      </c>
      <c r="F2117" s="34" t="s">
        <v>28</v>
      </c>
    </row>
    <row r="2118" spans="1:6" hidden="1">
      <c r="A2118" s="212" t="s">
        <v>119</v>
      </c>
      <c r="B2118" s="147"/>
      <c r="C2118" s="147"/>
      <c r="D2118" s="147"/>
      <c r="E2118" s="34" t="s">
        <v>105</v>
      </c>
      <c r="F2118" s="34" t="s">
        <v>28</v>
      </c>
    </row>
    <row r="2119" spans="1:6" hidden="1">
      <c r="A2119" s="212" t="s">
        <v>120</v>
      </c>
      <c r="B2119" s="147"/>
      <c r="C2119" s="147"/>
      <c r="D2119" s="147"/>
      <c r="E2119" s="34" t="s">
        <v>105</v>
      </c>
      <c r="F2119" s="34" t="s">
        <v>28</v>
      </c>
    </row>
    <row r="2120" spans="1:6" hidden="1">
      <c r="A2120" s="212" t="s">
        <v>121</v>
      </c>
      <c r="B2120" s="147"/>
      <c r="C2120" s="147"/>
      <c r="D2120" s="147"/>
      <c r="E2120" s="34" t="s">
        <v>105</v>
      </c>
      <c r="F2120" s="34" t="s">
        <v>28</v>
      </c>
    </row>
    <row r="2121" spans="1:6" hidden="1">
      <c r="A2121" s="212" t="s">
        <v>122</v>
      </c>
      <c r="B2121" s="147"/>
      <c r="C2121" s="147"/>
      <c r="D2121" s="147"/>
      <c r="E2121" s="34" t="s">
        <v>105</v>
      </c>
      <c r="F2121" s="34" t="s">
        <v>28</v>
      </c>
    </row>
    <row r="2122" spans="1:6" hidden="1">
      <c r="A2122" s="212" t="s">
        <v>123</v>
      </c>
      <c r="B2122" s="147"/>
      <c r="C2122" s="147"/>
      <c r="D2122" s="147"/>
      <c r="E2122" s="34" t="s">
        <v>105</v>
      </c>
      <c r="F2122" s="34" t="s">
        <v>28</v>
      </c>
    </row>
    <row r="2123" spans="1:6" hidden="1">
      <c r="A2123" s="212" t="s">
        <v>124</v>
      </c>
      <c r="B2123" s="147"/>
      <c r="C2123" s="147"/>
      <c r="D2123" s="147"/>
      <c r="E2123" s="34" t="s">
        <v>105</v>
      </c>
      <c r="F2123" s="34" t="s">
        <v>28</v>
      </c>
    </row>
    <row r="2124" spans="1:6" hidden="1">
      <c r="A2124" s="212" t="s">
        <v>125</v>
      </c>
      <c r="B2124" s="147"/>
      <c r="C2124" s="147"/>
      <c r="D2124" s="147"/>
      <c r="E2124" s="34" t="s">
        <v>105</v>
      </c>
      <c r="F2124" s="34" t="s">
        <v>28</v>
      </c>
    </row>
    <row r="2125" spans="1:6" hidden="1">
      <c r="A2125" s="212" t="s">
        <v>126</v>
      </c>
      <c r="B2125" s="147"/>
      <c r="C2125" s="147"/>
      <c r="D2125" s="147"/>
      <c r="E2125" s="34" t="s">
        <v>105</v>
      </c>
      <c r="F2125" s="34" t="s">
        <v>28</v>
      </c>
    </row>
    <row r="2126" spans="1:6" hidden="1">
      <c r="A2126" s="212" t="s">
        <v>127</v>
      </c>
      <c r="B2126" s="147"/>
      <c r="C2126" s="147"/>
      <c r="D2126" s="147"/>
      <c r="E2126" s="34" t="s">
        <v>105</v>
      </c>
      <c r="F2126" s="34" t="s">
        <v>28</v>
      </c>
    </row>
    <row r="2127" spans="1:6" hidden="1">
      <c r="A2127" s="230" t="s">
        <v>116</v>
      </c>
      <c r="B2127" s="149"/>
      <c r="C2127" s="149"/>
      <c r="D2127" s="149"/>
      <c r="E2127" s="34" t="s">
        <v>105</v>
      </c>
      <c r="F2127" s="149" t="s">
        <v>142</v>
      </c>
    </row>
    <row r="2128" spans="1:6" hidden="1">
      <c r="A2128" s="230" t="s">
        <v>117</v>
      </c>
      <c r="B2128" s="149"/>
      <c r="C2128" s="149"/>
      <c r="D2128" s="149"/>
      <c r="E2128" s="34" t="s">
        <v>105</v>
      </c>
      <c r="F2128" s="149" t="s">
        <v>142</v>
      </c>
    </row>
    <row r="2129" spans="1:6" hidden="1">
      <c r="A2129" s="230" t="s">
        <v>118</v>
      </c>
      <c r="B2129" s="149"/>
      <c r="C2129" s="149"/>
      <c r="D2129" s="149"/>
      <c r="E2129" s="34" t="s">
        <v>105</v>
      </c>
      <c r="F2129" s="149" t="s">
        <v>142</v>
      </c>
    </row>
    <row r="2130" spans="1:6" hidden="1">
      <c r="A2130" s="230" t="s">
        <v>119</v>
      </c>
      <c r="B2130" s="149"/>
      <c r="C2130" s="149"/>
      <c r="D2130" s="149"/>
      <c r="E2130" s="34" t="s">
        <v>105</v>
      </c>
      <c r="F2130" s="149" t="s">
        <v>142</v>
      </c>
    </row>
    <row r="2131" spans="1:6" hidden="1">
      <c r="A2131" s="230" t="s">
        <v>120</v>
      </c>
      <c r="B2131" s="149"/>
      <c r="C2131" s="149"/>
      <c r="D2131" s="149"/>
      <c r="E2131" s="34" t="s">
        <v>105</v>
      </c>
      <c r="F2131" s="149" t="s">
        <v>142</v>
      </c>
    </row>
    <row r="2132" spans="1:6" hidden="1">
      <c r="A2132" s="230" t="s">
        <v>121</v>
      </c>
      <c r="B2132" s="149"/>
      <c r="C2132" s="149"/>
      <c r="D2132" s="149"/>
      <c r="E2132" s="34" t="s">
        <v>105</v>
      </c>
      <c r="F2132" s="149" t="s">
        <v>142</v>
      </c>
    </row>
    <row r="2133" spans="1:6" hidden="1">
      <c r="A2133" s="230" t="s">
        <v>122</v>
      </c>
      <c r="B2133" s="149"/>
      <c r="C2133" s="149"/>
      <c r="D2133" s="149"/>
      <c r="E2133" s="34" t="s">
        <v>105</v>
      </c>
      <c r="F2133" s="149" t="s">
        <v>142</v>
      </c>
    </row>
    <row r="2134" spans="1:6" hidden="1">
      <c r="A2134" s="230" t="s">
        <v>123</v>
      </c>
      <c r="B2134" s="149"/>
      <c r="C2134" s="149"/>
      <c r="D2134" s="149"/>
      <c r="E2134" s="34" t="s">
        <v>105</v>
      </c>
      <c r="F2134" s="149" t="s">
        <v>142</v>
      </c>
    </row>
    <row r="2135" spans="1:6" hidden="1">
      <c r="A2135" s="230" t="s">
        <v>124</v>
      </c>
      <c r="B2135" s="149"/>
      <c r="C2135" s="149"/>
      <c r="D2135" s="149"/>
      <c r="E2135" s="34" t="s">
        <v>105</v>
      </c>
      <c r="F2135" s="149" t="s">
        <v>142</v>
      </c>
    </row>
    <row r="2136" spans="1:6" hidden="1">
      <c r="A2136" s="230" t="s">
        <v>125</v>
      </c>
      <c r="B2136" s="149"/>
      <c r="C2136" s="149"/>
      <c r="D2136" s="149"/>
      <c r="E2136" s="34" t="s">
        <v>105</v>
      </c>
      <c r="F2136" s="149" t="s">
        <v>142</v>
      </c>
    </row>
    <row r="2137" spans="1:6" hidden="1">
      <c r="A2137" s="230" t="s">
        <v>126</v>
      </c>
      <c r="B2137" s="149"/>
      <c r="C2137" s="149"/>
      <c r="D2137" s="149"/>
      <c r="E2137" s="34" t="s">
        <v>105</v>
      </c>
      <c r="F2137" s="149" t="s">
        <v>142</v>
      </c>
    </row>
    <row r="2138" spans="1:6" hidden="1">
      <c r="A2138" s="230" t="s">
        <v>127</v>
      </c>
      <c r="B2138" s="149"/>
      <c r="C2138" s="149"/>
      <c r="D2138" s="149"/>
      <c r="E2138" s="34" t="s">
        <v>105</v>
      </c>
      <c r="F2138" s="149" t="s">
        <v>142</v>
      </c>
    </row>
    <row r="2139" spans="1:6" hidden="1">
      <c r="A2139" s="212" t="s">
        <v>116</v>
      </c>
      <c r="B2139" s="147"/>
      <c r="C2139" s="147"/>
      <c r="D2139" s="147"/>
      <c r="E2139" s="34" t="s">
        <v>106</v>
      </c>
      <c r="F2139" s="34" t="s">
        <v>197</v>
      </c>
    </row>
    <row r="2140" spans="1:6" hidden="1">
      <c r="A2140" s="212" t="s">
        <v>117</v>
      </c>
      <c r="B2140" s="147"/>
      <c r="C2140" s="147"/>
      <c r="D2140" s="147"/>
      <c r="E2140" s="34" t="s">
        <v>106</v>
      </c>
      <c r="F2140" s="34" t="s">
        <v>197</v>
      </c>
    </row>
    <row r="2141" spans="1:6" hidden="1">
      <c r="A2141" s="212" t="s">
        <v>118</v>
      </c>
      <c r="B2141" s="147"/>
      <c r="C2141" s="147"/>
      <c r="D2141" s="147"/>
      <c r="E2141" s="34" t="s">
        <v>106</v>
      </c>
      <c r="F2141" s="34" t="s">
        <v>197</v>
      </c>
    </row>
    <row r="2142" spans="1:6" hidden="1">
      <c r="A2142" s="212" t="s">
        <v>119</v>
      </c>
      <c r="B2142" s="147"/>
      <c r="C2142" s="147"/>
      <c r="D2142" s="147"/>
      <c r="E2142" s="34" t="s">
        <v>106</v>
      </c>
      <c r="F2142" s="34" t="s">
        <v>197</v>
      </c>
    </row>
    <row r="2143" spans="1:6" hidden="1">
      <c r="A2143" s="212" t="s">
        <v>120</v>
      </c>
      <c r="B2143" s="147"/>
      <c r="C2143" s="147"/>
      <c r="D2143" s="147"/>
      <c r="E2143" s="34" t="s">
        <v>106</v>
      </c>
      <c r="F2143" s="34" t="s">
        <v>197</v>
      </c>
    </row>
    <row r="2144" spans="1:6" hidden="1">
      <c r="A2144" s="212" t="s">
        <v>121</v>
      </c>
      <c r="B2144" s="147"/>
      <c r="C2144" s="147"/>
      <c r="D2144" s="147"/>
      <c r="E2144" s="34" t="s">
        <v>106</v>
      </c>
      <c r="F2144" s="34" t="s">
        <v>197</v>
      </c>
    </row>
    <row r="2145" spans="1:6" hidden="1">
      <c r="A2145" s="212" t="s">
        <v>122</v>
      </c>
      <c r="B2145" s="147"/>
      <c r="C2145" s="147"/>
      <c r="D2145" s="147"/>
      <c r="E2145" s="34" t="s">
        <v>106</v>
      </c>
      <c r="F2145" s="34" t="s">
        <v>197</v>
      </c>
    </row>
    <row r="2146" spans="1:6" hidden="1">
      <c r="A2146" s="212" t="s">
        <v>123</v>
      </c>
      <c r="B2146" s="147"/>
      <c r="C2146" s="147"/>
      <c r="D2146" s="147"/>
      <c r="E2146" s="34" t="s">
        <v>106</v>
      </c>
      <c r="F2146" s="34" t="s">
        <v>197</v>
      </c>
    </row>
    <row r="2147" spans="1:6" hidden="1">
      <c r="A2147" s="212" t="s">
        <v>124</v>
      </c>
      <c r="B2147" s="147"/>
      <c r="C2147" s="147"/>
      <c r="D2147" s="147"/>
      <c r="E2147" s="34" t="s">
        <v>106</v>
      </c>
      <c r="F2147" s="34" t="s">
        <v>197</v>
      </c>
    </row>
    <row r="2148" spans="1:6" hidden="1">
      <c r="A2148" s="212" t="s">
        <v>125</v>
      </c>
      <c r="B2148" s="147"/>
      <c r="C2148" s="147"/>
      <c r="D2148" s="147"/>
      <c r="E2148" s="34" t="s">
        <v>106</v>
      </c>
      <c r="F2148" s="34" t="s">
        <v>197</v>
      </c>
    </row>
    <row r="2149" spans="1:6" hidden="1">
      <c r="A2149" s="212" t="s">
        <v>126</v>
      </c>
      <c r="B2149" s="147"/>
      <c r="C2149" s="147"/>
      <c r="D2149" s="147"/>
      <c r="E2149" s="34" t="s">
        <v>106</v>
      </c>
      <c r="F2149" s="34" t="s">
        <v>197</v>
      </c>
    </row>
    <row r="2150" spans="1:6" hidden="1">
      <c r="A2150" s="212" t="s">
        <v>127</v>
      </c>
      <c r="B2150" s="147"/>
      <c r="C2150" s="147"/>
      <c r="D2150" s="147"/>
      <c r="E2150" s="34" t="s">
        <v>106</v>
      </c>
      <c r="F2150" s="34" t="s">
        <v>197</v>
      </c>
    </row>
    <row r="2151" spans="1:6" hidden="1">
      <c r="A2151" s="230" t="s">
        <v>116</v>
      </c>
      <c r="B2151" s="149"/>
      <c r="C2151" s="149"/>
      <c r="D2151" s="149"/>
      <c r="E2151" s="34" t="s">
        <v>106</v>
      </c>
      <c r="F2151" s="34" t="s">
        <v>199</v>
      </c>
    </row>
    <row r="2152" spans="1:6" hidden="1">
      <c r="A2152" s="230" t="s">
        <v>117</v>
      </c>
      <c r="B2152" s="149"/>
      <c r="C2152" s="149"/>
      <c r="D2152" s="149"/>
      <c r="E2152" s="34" t="s">
        <v>106</v>
      </c>
      <c r="F2152" s="34" t="s">
        <v>199</v>
      </c>
    </row>
    <row r="2153" spans="1:6" hidden="1">
      <c r="A2153" s="230" t="s">
        <v>118</v>
      </c>
      <c r="B2153" s="149"/>
      <c r="C2153" s="149"/>
      <c r="D2153" s="149"/>
      <c r="E2153" s="34" t="s">
        <v>106</v>
      </c>
      <c r="F2153" s="34" t="s">
        <v>199</v>
      </c>
    </row>
    <row r="2154" spans="1:6" hidden="1">
      <c r="A2154" s="230" t="s">
        <v>119</v>
      </c>
      <c r="B2154" s="149"/>
      <c r="C2154" s="149"/>
      <c r="D2154" s="149"/>
      <c r="E2154" s="34" t="s">
        <v>106</v>
      </c>
      <c r="F2154" s="34" t="s">
        <v>199</v>
      </c>
    </row>
    <row r="2155" spans="1:6" hidden="1">
      <c r="A2155" s="230" t="s">
        <v>120</v>
      </c>
      <c r="B2155" s="149"/>
      <c r="C2155" s="149"/>
      <c r="D2155" s="149"/>
      <c r="E2155" s="34" t="s">
        <v>106</v>
      </c>
      <c r="F2155" s="34" t="s">
        <v>199</v>
      </c>
    </row>
    <row r="2156" spans="1:6" hidden="1">
      <c r="A2156" s="230" t="s">
        <v>121</v>
      </c>
      <c r="B2156" s="149"/>
      <c r="C2156" s="149"/>
      <c r="D2156" s="149"/>
      <c r="E2156" s="34" t="s">
        <v>106</v>
      </c>
      <c r="F2156" s="34" t="s">
        <v>199</v>
      </c>
    </row>
    <row r="2157" spans="1:6" hidden="1">
      <c r="A2157" s="230" t="s">
        <v>122</v>
      </c>
      <c r="B2157" s="149"/>
      <c r="C2157" s="149"/>
      <c r="D2157" s="149"/>
      <c r="E2157" s="34" t="s">
        <v>106</v>
      </c>
      <c r="F2157" s="34" t="s">
        <v>199</v>
      </c>
    </row>
    <row r="2158" spans="1:6" hidden="1">
      <c r="A2158" s="230" t="s">
        <v>123</v>
      </c>
      <c r="B2158" s="149"/>
      <c r="C2158" s="149"/>
      <c r="D2158" s="149"/>
      <c r="E2158" s="34" t="s">
        <v>106</v>
      </c>
      <c r="F2158" s="34" t="s">
        <v>199</v>
      </c>
    </row>
    <row r="2159" spans="1:6" hidden="1">
      <c r="A2159" s="230" t="s">
        <v>124</v>
      </c>
      <c r="B2159" s="149"/>
      <c r="C2159" s="149"/>
      <c r="D2159" s="149"/>
      <c r="E2159" s="34" t="s">
        <v>106</v>
      </c>
      <c r="F2159" s="34" t="s">
        <v>199</v>
      </c>
    </row>
    <row r="2160" spans="1:6" hidden="1">
      <c r="A2160" s="230" t="s">
        <v>125</v>
      </c>
      <c r="B2160" s="149"/>
      <c r="C2160" s="149"/>
      <c r="D2160" s="149"/>
      <c r="E2160" s="34" t="s">
        <v>106</v>
      </c>
      <c r="F2160" s="34" t="s">
        <v>199</v>
      </c>
    </row>
    <row r="2161" spans="1:6" hidden="1">
      <c r="A2161" s="230" t="s">
        <v>126</v>
      </c>
      <c r="B2161" s="149"/>
      <c r="C2161" s="149"/>
      <c r="D2161" s="149"/>
      <c r="E2161" s="34" t="s">
        <v>106</v>
      </c>
      <c r="F2161" s="34" t="s">
        <v>199</v>
      </c>
    </row>
    <row r="2162" spans="1:6" hidden="1">
      <c r="A2162" s="230" t="s">
        <v>127</v>
      </c>
      <c r="B2162" s="149"/>
      <c r="C2162" s="149"/>
      <c r="D2162" s="149"/>
      <c r="E2162" s="34" t="s">
        <v>106</v>
      </c>
      <c r="F2162" s="34" t="s">
        <v>199</v>
      </c>
    </row>
    <row r="2163" spans="1:6" hidden="1">
      <c r="A2163" s="212" t="s">
        <v>116</v>
      </c>
      <c r="B2163" s="147"/>
      <c r="C2163" s="147"/>
      <c r="D2163" s="147"/>
      <c r="E2163" s="34" t="s">
        <v>106</v>
      </c>
      <c r="F2163" s="34" t="s">
        <v>222</v>
      </c>
    </row>
    <row r="2164" spans="1:6" hidden="1">
      <c r="A2164" s="212" t="s">
        <v>117</v>
      </c>
      <c r="B2164" s="147"/>
      <c r="C2164" s="147"/>
      <c r="D2164" s="147"/>
      <c r="E2164" s="34" t="s">
        <v>106</v>
      </c>
      <c r="F2164" s="34" t="s">
        <v>222</v>
      </c>
    </row>
    <row r="2165" spans="1:6" hidden="1">
      <c r="A2165" s="212" t="s">
        <v>118</v>
      </c>
      <c r="B2165" s="147"/>
      <c r="C2165" s="147"/>
      <c r="D2165" s="147"/>
      <c r="E2165" s="34" t="s">
        <v>106</v>
      </c>
      <c r="F2165" s="34" t="s">
        <v>222</v>
      </c>
    </row>
    <row r="2166" spans="1:6" hidden="1">
      <c r="A2166" s="212" t="s">
        <v>119</v>
      </c>
      <c r="B2166" s="147"/>
      <c r="C2166" s="147"/>
      <c r="D2166" s="147"/>
      <c r="E2166" s="34" t="s">
        <v>106</v>
      </c>
      <c r="F2166" s="34" t="s">
        <v>222</v>
      </c>
    </row>
    <row r="2167" spans="1:6" hidden="1">
      <c r="A2167" s="212" t="s">
        <v>120</v>
      </c>
      <c r="B2167" s="147"/>
      <c r="C2167" s="147"/>
      <c r="D2167" s="147"/>
      <c r="E2167" s="34" t="s">
        <v>106</v>
      </c>
      <c r="F2167" s="34" t="s">
        <v>222</v>
      </c>
    </row>
    <row r="2168" spans="1:6" hidden="1">
      <c r="A2168" s="212" t="s">
        <v>121</v>
      </c>
      <c r="B2168" s="147"/>
      <c r="C2168" s="147"/>
      <c r="D2168" s="147"/>
      <c r="E2168" s="34" t="s">
        <v>106</v>
      </c>
      <c r="F2168" s="34" t="s">
        <v>222</v>
      </c>
    </row>
    <row r="2169" spans="1:6" hidden="1">
      <c r="A2169" s="212" t="s">
        <v>122</v>
      </c>
      <c r="B2169" s="147"/>
      <c r="C2169" s="147"/>
      <c r="D2169" s="147"/>
      <c r="E2169" s="34" t="s">
        <v>106</v>
      </c>
      <c r="F2169" s="34" t="s">
        <v>222</v>
      </c>
    </row>
    <row r="2170" spans="1:6" hidden="1">
      <c r="A2170" s="212" t="s">
        <v>123</v>
      </c>
      <c r="B2170" s="147"/>
      <c r="C2170" s="147"/>
      <c r="D2170" s="147"/>
      <c r="E2170" s="34" t="s">
        <v>106</v>
      </c>
      <c r="F2170" s="34" t="s">
        <v>222</v>
      </c>
    </row>
    <row r="2171" spans="1:6" hidden="1">
      <c r="A2171" s="212" t="s">
        <v>124</v>
      </c>
      <c r="B2171" s="147"/>
      <c r="C2171" s="147"/>
      <c r="D2171" s="147"/>
      <c r="E2171" s="34" t="s">
        <v>106</v>
      </c>
      <c r="F2171" s="34" t="s">
        <v>222</v>
      </c>
    </row>
    <row r="2172" spans="1:6" hidden="1">
      <c r="A2172" s="212" t="s">
        <v>125</v>
      </c>
      <c r="B2172" s="147"/>
      <c r="C2172" s="147"/>
      <c r="D2172" s="147"/>
      <c r="E2172" s="34" t="s">
        <v>106</v>
      </c>
      <c r="F2172" s="34" t="s">
        <v>222</v>
      </c>
    </row>
    <row r="2173" spans="1:6" hidden="1">
      <c r="A2173" s="212" t="s">
        <v>126</v>
      </c>
      <c r="B2173" s="147"/>
      <c r="C2173" s="147"/>
      <c r="D2173" s="147"/>
      <c r="E2173" s="34" t="s">
        <v>106</v>
      </c>
      <c r="F2173" s="34" t="s">
        <v>222</v>
      </c>
    </row>
    <row r="2174" spans="1:6" hidden="1">
      <c r="A2174" s="212" t="s">
        <v>127</v>
      </c>
      <c r="B2174" s="147"/>
      <c r="C2174" s="147"/>
      <c r="D2174" s="147"/>
      <c r="E2174" s="34" t="s">
        <v>106</v>
      </c>
      <c r="F2174" s="34" t="s">
        <v>222</v>
      </c>
    </row>
    <row r="2175" spans="1:6" hidden="1">
      <c r="A2175" s="230" t="s">
        <v>116</v>
      </c>
      <c r="B2175" s="149"/>
      <c r="C2175" s="149"/>
      <c r="D2175" s="149"/>
      <c r="E2175" s="34" t="s">
        <v>106</v>
      </c>
      <c r="F2175" s="34" t="s">
        <v>198</v>
      </c>
    </row>
    <row r="2176" spans="1:6" hidden="1">
      <c r="A2176" s="230" t="s">
        <v>117</v>
      </c>
      <c r="B2176" s="149"/>
      <c r="C2176" s="149"/>
      <c r="D2176" s="149"/>
      <c r="E2176" s="34" t="s">
        <v>106</v>
      </c>
      <c r="F2176" s="34" t="s">
        <v>198</v>
      </c>
    </row>
    <row r="2177" spans="1:6" hidden="1">
      <c r="A2177" s="230" t="s">
        <v>118</v>
      </c>
      <c r="B2177" s="149"/>
      <c r="C2177" s="149"/>
      <c r="D2177" s="149"/>
      <c r="E2177" s="34" t="s">
        <v>106</v>
      </c>
      <c r="F2177" s="34" t="s">
        <v>198</v>
      </c>
    </row>
    <row r="2178" spans="1:6" hidden="1">
      <c r="A2178" s="230" t="s">
        <v>119</v>
      </c>
      <c r="B2178" s="149"/>
      <c r="C2178" s="149"/>
      <c r="D2178" s="149"/>
      <c r="E2178" s="34" t="s">
        <v>106</v>
      </c>
      <c r="F2178" s="34" t="s">
        <v>198</v>
      </c>
    </row>
    <row r="2179" spans="1:6" hidden="1">
      <c r="A2179" s="230" t="s">
        <v>120</v>
      </c>
      <c r="B2179" s="149"/>
      <c r="C2179" s="149"/>
      <c r="D2179" s="149"/>
      <c r="E2179" s="34" t="s">
        <v>106</v>
      </c>
      <c r="F2179" s="34" t="s">
        <v>198</v>
      </c>
    </row>
    <row r="2180" spans="1:6" hidden="1">
      <c r="A2180" s="230" t="s">
        <v>121</v>
      </c>
      <c r="B2180" s="149"/>
      <c r="C2180" s="149"/>
      <c r="D2180" s="149"/>
      <c r="E2180" s="34" t="s">
        <v>106</v>
      </c>
      <c r="F2180" s="34" t="s">
        <v>198</v>
      </c>
    </row>
    <row r="2181" spans="1:6" hidden="1">
      <c r="A2181" s="230" t="s">
        <v>122</v>
      </c>
      <c r="B2181" s="149"/>
      <c r="C2181" s="149"/>
      <c r="D2181" s="149"/>
      <c r="E2181" s="34" t="s">
        <v>106</v>
      </c>
      <c r="F2181" s="34" t="s">
        <v>198</v>
      </c>
    </row>
    <row r="2182" spans="1:6" hidden="1">
      <c r="A2182" s="230" t="s">
        <v>123</v>
      </c>
      <c r="B2182" s="149"/>
      <c r="C2182" s="149"/>
      <c r="D2182" s="149"/>
      <c r="E2182" s="34" t="s">
        <v>106</v>
      </c>
      <c r="F2182" s="34" t="s">
        <v>198</v>
      </c>
    </row>
    <row r="2183" spans="1:6" hidden="1">
      <c r="A2183" s="230" t="s">
        <v>124</v>
      </c>
      <c r="B2183" s="149"/>
      <c r="C2183" s="149"/>
      <c r="D2183" s="149"/>
      <c r="E2183" s="34" t="s">
        <v>106</v>
      </c>
      <c r="F2183" s="34" t="s">
        <v>198</v>
      </c>
    </row>
    <row r="2184" spans="1:6" hidden="1">
      <c r="A2184" s="230" t="s">
        <v>125</v>
      </c>
      <c r="B2184" s="149"/>
      <c r="C2184" s="149"/>
      <c r="D2184" s="149"/>
      <c r="E2184" s="34" t="s">
        <v>106</v>
      </c>
      <c r="F2184" s="34" t="s">
        <v>198</v>
      </c>
    </row>
    <row r="2185" spans="1:6" hidden="1">
      <c r="A2185" s="230" t="s">
        <v>126</v>
      </c>
      <c r="B2185" s="149"/>
      <c r="C2185" s="149"/>
      <c r="D2185" s="149"/>
      <c r="E2185" s="34" t="s">
        <v>106</v>
      </c>
      <c r="F2185" s="34" t="s">
        <v>198</v>
      </c>
    </row>
    <row r="2186" spans="1:6" hidden="1">
      <c r="A2186" s="230" t="s">
        <v>127</v>
      </c>
      <c r="B2186" s="149"/>
      <c r="C2186" s="149"/>
      <c r="D2186" s="149"/>
      <c r="E2186" s="34" t="s">
        <v>106</v>
      </c>
      <c r="F2186" s="34" t="s">
        <v>198</v>
      </c>
    </row>
    <row r="2187" spans="1:6" hidden="1">
      <c r="A2187" s="212" t="s">
        <v>116</v>
      </c>
      <c r="B2187" s="147"/>
      <c r="C2187" s="147"/>
      <c r="D2187" s="147"/>
      <c r="E2187" s="34" t="s">
        <v>106</v>
      </c>
      <c r="F2187" s="34" t="s">
        <v>28</v>
      </c>
    </row>
    <row r="2188" spans="1:6" hidden="1">
      <c r="A2188" s="212" t="s">
        <v>117</v>
      </c>
      <c r="B2188" s="147"/>
      <c r="C2188" s="147"/>
      <c r="D2188" s="147"/>
      <c r="E2188" s="34" t="s">
        <v>106</v>
      </c>
      <c r="F2188" s="34" t="s">
        <v>28</v>
      </c>
    </row>
    <row r="2189" spans="1:6" hidden="1">
      <c r="A2189" s="212" t="s">
        <v>118</v>
      </c>
      <c r="B2189" s="147"/>
      <c r="C2189" s="147"/>
      <c r="D2189" s="147"/>
      <c r="E2189" s="34" t="s">
        <v>106</v>
      </c>
      <c r="F2189" s="34" t="s">
        <v>28</v>
      </c>
    </row>
    <row r="2190" spans="1:6" hidden="1">
      <c r="A2190" s="212" t="s">
        <v>119</v>
      </c>
      <c r="B2190" s="147"/>
      <c r="C2190" s="147"/>
      <c r="D2190" s="147"/>
      <c r="E2190" s="34" t="s">
        <v>106</v>
      </c>
      <c r="F2190" s="34" t="s">
        <v>28</v>
      </c>
    </row>
    <row r="2191" spans="1:6" hidden="1">
      <c r="A2191" s="212" t="s">
        <v>120</v>
      </c>
      <c r="B2191" s="147"/>
      <c r="C2191" s="147"/>
      <c r="D2191" s="147"/>
      <c r="E2191" s="34" t="s">
        <v>106</v>
      </c>
      <c r="F2191" s="34" t="s">
        <v>28</v>
      </c>
    </row>
    <row r="2192" spans="1:6" hidden="1">
      <c r="A2192" s="212" t="s">
        <v>121</v>
      </c>
      <c r="B2192" s="147"/>
      <c r="C2192" s="147"/>
      <c r="D2192" s="147"/>
      <c r="E2192" s="34" t="s">
        <v>106</v>
      </c>
      <c r="F2192" s="34" t="s">
        <v>28</v>
      </c>
    </row>
    <row r="2193" spans="1:6" hidden="1">
      <c r="A2193" s="212" t="s">
        <v>122</v>
      </c>
      <c r="B2193" s="147"/>
      <c r="C2193" s="147"/>
      <c r="D2193" s="147"/>
      <c r="E2193" s="34" t="s">
        <v>106</v>
      </c>
      <c r="F2193" s="34" t="s">
        <v>28</v>
      </c>
    </row>
    <row r="2194" spans="1:6" hidden="1">
      <c r="A2194" s="212" t="s">
        <v>123</v>
      </c>
      <c r="B2194" s="147"/>
      <c r="C2194" s="147"/>
      <c r="D2194" s="147"/>
      <c r="E2194" s="34" t="s">
        <v>106</v>
      </c>
      <c r="F2194" s="34" t="s">
        <v>28</v>
      </c>
    </row>
    <row r="2195" spans="1:6" hidden="1">
      <c r="A2195" s="212" t="s">
        <v>124</v>
      </c>
      <c r="B2195" s="147"/>
      <c r="C2195" s="147"/>
      <c r="D2195" s="147"/>
      <c r="E2195" s="34" t="s">
        <v>106</v>
      </c>
      <c r="F2195" s="34" t="s">
        <v>28</v>
      </c>
    </row>
    <row r="2196" spans="1:6" hidden="1">
      <c r="A2196" s="212" t="s">
        <v>125</v>
      </c>
      <c r="B2196" s="147"/>
      <c r="C2196" s="147"/>
      <c r="D2196" s="147"/>
      <c r="E2196" s="34" t="s">
        <v>106</v>
      </c>
      <c r="F2196" s="34" t="s">
        <v>28</v>
      </c>
    </row>
    <row r="2197" spans="1:6" hidden="1">
      <c r="A2197" s="212" t="s">
        <v>126</v>
      </c>
      <c r="B2197" s="147"/>
      <c r="C2197" s="147"/>
      <c r="D2197" s="147"/>
      <c r="E2197" s="34" t="s">
        <v>106</v>
      </c>
      <c r="F2197" s="34" t="s">
        <v>28</v>
      </c>
    </row>
    <row r="2198" spans="1:6" hidden="1">
      <c r="A2198" s="212" t="s">
        <v>127</v>
      </c>
      <c r="B2198" s="147"/>
      <c r="C2198" s="147"/>
      <c r="D2198" s="147"/>
      <c r="E2198" s="34" t="s">
        <v>106</v>
      </c>
      <c r="F2198" s="34" t="s">
        <v>28</v>
      </c>
    </row>
    <row r="2199" spans="1:6" hidden="1">
      <c r="A2199" s="230" t="s">
        <v>116</v>
      </c>
      <c r="B2199" s="149"/>
      <c r="C2199" s="149"/>
      <c r="D2199" s="149"/>
      <c r="E2199" s="34" t="s">
        <v>106</v>
      </c>
      <c r="F2199" s="149" t="s">
        <v>142</v>
      </c>
    </row>
    <row r="2200" spans="1:6" hidden="1">
      <c r="A2200" s="230" t="s">
        <v>117</v>
      </c>
      <c r="B2200" s="149"/>
      <c r="C2200" s="149"/>
      <c r="D2200" s="149"/>
      <c r="E2200" s="34" t="s">
        <v>106</v>
      </c>
      <c r="F2200" s="149" t="s">
        <v>142</v>
      </c>
    </row>
    <row r="2201" spans="1:6" hidden="1">
      <c r="A2201" s="230" t="s">
        <v>118</v>
      </c>
      <c r="B2201" s="149"/>
      <c r="C2201" s="149"/>
      <c r="D2201" s="149"/>
      <c r="E2201" s="34" t="s">
        <v>106</v>
      </c>
      <c r="F2201" s="149" t="s">
        <v>142</v>
      </c>
    </row>
    <row r="2202" spans="1:6" hidden="1">
      <c r="A2202" s="230" t="s">
        <v>119</v>
      </c>
      <c r="B2202" s="149"/>
      <c r="C2202" s="149"/>
      <c r="D2202" s="149"/>
      <c r="E2202" s="34" t="s">
        <v>106</v>
      </c>
      <c r="F2202" s="149" t="s">
        <v>142</v>
      </c>
    </row>
    <row r="2203" spans="1:6" hidden="1">
      <c r="A2203" s="230" t="s">
        <v>120</v>
      </c>
      <c r="B2203" s="149"/>
      <c r="C2203" s="149"/>
      <c r="D2203" s="149"/>
      <c r="E2203" s="34" t="s">
        <v>106</v>
      </c>
      <c r="F2203" s="149" t="s">
        <v>142</v>
      </c>
    </row>
    <row r="2204" spans="1:6" hidden="1">
      <c r="A2204" s="230" t="s">
        <v>121</v>
      </c>
      <c r="B2204" s="149"/>
      <c r="C2204" s="149"/>
      <c r="D2204" s="149"/>
      <c r="E2204" s="34" t="s">
        <v>106</v>
      </c>
      <c r="F2204" s="149" t="s">
        <v>142</v>
      </c>
    </row>
    <row r="2205" spans="1:6" hidden="1">
      <c r="A2205" s="230" t="s">
        <v>122</v>
      </c>
      <c r="B2205" s="149"/>
      <c r="C2205" s="149"/>
      <c r="D2205" s="149"/>
      <c r="E2205" s="34" t="s">
        <v>106</v>
      </c>
      <c r="F2205" s="149" t="s">
        <v>142</v>
      </c>
    </row>
    <row r="2206" spans="1:6" hidden="1">
      <c r="A2206" s="230" t="s">
        <v>123</v>
      </c>
      <c r="B2206" s="149"/>
      <c r="C2206" s="149"/>
      <c r="D2206" s="149"/>
      <c r="E2206" s="34" t="s">
        <v>106</v>
      </c>
      <c r="F2206" s="149" t="s">
        <v>142</v>
      </c>
    </row>
    <row r="2207" spans="1:6" hidden="1">
      <c r="A2207" s="230" t="s">
        <v>124</v>
      </c>
      <c r="B2207" s="149"/>
      <c r="C2207" s="149"/>
      <c r="D2207" s="149"/>
      <c r="E2207" s="34" t="s">
        <v>106</v>
      </c>
      <c r="F2207" s="149" t="s">
        <v>142</v>
      </c>
    </row>
    <row r="2208" spans="1:6" hidden="1">
      <c r="A2208" s="230" t="s">
        <v>125</v>
      </c>
      <c r="B2208" s="149"/>
      <c r="C2208" s="149"/>
      <c r="D2208" s="149"/>
      <c r="E2208" s="34" t="s">
        <v>106</v>
      </c>
      <c r="F2208" s="149" t="s">
        <v>142</v>
      </c>
    </row>
    <row r="2209" spans="1:6" hidden="1">
      <c r="A2209" s="230" t="s">
        <v>126</v>
      </c>
      <c r="B2209" s="149"/>
      <c r="C2209" s="149"/>
      <c r="D2209" s="149"/>
      <c r="E2209" s="34" t="s">
        <v>106</v>
      </c>
      <c r="F2209" s="149" t="s">
        <v>142</v>
      </c>
    </row>
    <row r="2210" spans="1:6" hidden="1">
      <c r="A2210" s="230" t="s">
        <v>127</v>
      </c>
      <c r="B2210" s="149"/>
      <c r="C2210" s="149"/>
      <c r="D2210" s="149"/>
      <c r="E2210" s="34" t="s">
        <v>106</v>
      </c>
      <c r="F2210" s="149" t="s">
        <v>142</v>
      </c>
    </row>
    <row r="2211" spans="1:6" hidden="1">
      <c r="A2211" s="212" t="s">
        <v>116</v>
      </c>
      <c r="B2211" s="147"/>
      <c r="C2211" s="147"/>
      <c r="D2211" s="147"/>
      <c r="E2211" s="34" t="s">
        <v>107</v>
      </c>
      <c r="F2211" s="34" t="s">
        <v>197</v>
      </c>
    </row>
    <row r="2212" spans="1:6" hidden="1">
      <c r="A2212" s="212" t="s">
        <v>117</v>
      </c>
      <c r="B2212" s="147"/>
      <c r="C2212" s="147"/>
      <c r="D2212" s="147"/>
      <c r="E2212" s="34" t="s">
        <v>107</v>
      </c>
      <c r="F2212" s="34" t="s">
        <v>197</v>
      </c>
    </row>
    <row r="2213" spans="1:6" hidden="1">
      <c r="A2213" s="212" t="s">
        <v>118</v>
      </c>
      <c r="B2213" s="147"/>
      <c r="C2213" s="147"/>
      <c r="D2213" s="147"/>
      <c r="E2213" s="34" t="s">
        <v>107</v>
      </c>
      <c r="F2213" s="34" t="s">
        <v>197</v>
      </c>
    </row>
    <row r="2214" spans="1:6" hidden="1">
      <c r="A2214" s="212" t="s">
        <v>119</v>
      </c>
      <c r="B2214" s="147"/>
      <c r="C2214" s="147"/>
      <c r="D2214" s="147"/>
      <c r="E2214" s="34" t="s">
        <v>107</v>
      </c>
      <c r="F2214" s="34" t="s">
        <v>197</v>
      </c>
    </row>
    <row r="2215" spans="1:6" hidden="1">
      <c r="A2215" s="212" t="s">
        <v>120</v>
      </c>
      <c r="B2215" s="147"/>
      <c r="C2215" s="147"/>
      <c r="D2215" s="147"/>
      <c r="E2215" s="34" t="s">
        <v>107</v>
      </c>
      <c r="F2215" s="34" t="s">
        <v>197</v>
      </c>
    </row>
    <row r="2216" spans="1:6" hidden="1">
      <c r="A2216" s="212" t="s">
        <v>121</v>
      </c>
      <c r="B2216" s="147"/>
      <c r="C2216" s="147"/>
      <c r="D2216" s="147"/>
      <c r="E2216" s="34" t="s">
        <v>107</v>
      </c>
      <c r="F2216" s="34" t="s">
        <v>197</v>
      </c>
    </row>
    <row r="2217" spans="1:6" hidden="1">
      <c r="A2217" s="212" t="s">
        <v>122</v>
      </c>
      <c r="B2217" s="147"/>
      <c r="C2217" s="147"/>
      <c r="D2217" s="147"/>
      <c r="E2217" s="34" t="s">
        <v>107</v>
      </c>
      <c r="F2217" s="34" t="s">
        <v>197</v>
      </c>
    </row>
    <row r="2218" spans="1:6" hidden="1">
      <c r="A2218" s="212" t="s">
        <v>123</v>
      </c>
      <c r="B2218" s="147"/>
      <c r="C2218" s="147"/>
      <c r="D2218" s="147"/>
      <c r="E2218" s="34" t="s">
        <v>107</v>
      </c>
      <c r="F2218" s="34" t="s">
        <v>197</v>
      </c>
    </row>
    <row r="2219" spans="1:6" hidden="1">
      <c r="A2219" s="212" t="s">
        <v>124</v>
      </c>
      <c r="B2219" s="147"/>
      <c r="C2219" s="147"/>
      <c r="D2219" s="147"/>
      <c r="E2219" s="34" t="s">
        <v>107</v>
      </c>
      <c r="F2219" s="34" t="s">
        <v>197</v>
      </c>
    </row>
    <row r="2220" spans="1:6" hidden="1">
      <c r="A2220" s="212" t="s">
        <v>125</v>
      </c>
      <c r="B2220" s="147"/>
      <c r="C2220" s="147"/>
      <c r="D2220" s="147"/>
      <c r="E2220" s="34" t="s">
        <v>107</v>
      </c>
      <c r="F2220" s="34" t="s">
        <v>197</v>
      </c>
    </row>
    <row r="2221" spans="1:6" hidden="1">
      <c r="A2221" s="212" t="s">
        <v>126</v>
      </c>
      <c r="B2221" s="147"/>
      <c r="C2221" s="147"/>
      <c r="D2221" s="147"/>
      <c r="E2221" s="34" t="s">
        <v>107</v>
      </c>
      <c r="F2221" s="34" t="s">
        <v>197</v>
      </c>
    </row>
    <row r="2222" spans="1:6" hidden="1">
      <c r="A2222" s="212" t="s">
        <v>127</v>
      </c>
      <c r="B2222" s="147"/>
      <c r="C2222" s="147"/>
      <c r="D2222" s="147"/>
      <c r="E2222" s="34" t="s">
        <v>107</v>
      </c>
      <c r="F2222" s="34" t="s">
        <v>197</v>
      </c>
    </row>
    <row r="2223" spans="1:6" hidden="1">
      <c r="A2223" s="230" t="s">
        <v>116</v>
      </c>
      <c r="B2223" s="149"/>
      <c r="C2223" s="149"/>
      <c r="D2223" s="149"/>
      <c r="E2223" s="34" t="s">
        <v>107</v>
      </c>
      <c r="F2223" s="34" t="s">
        <v>199</v>
      </c>
    </row>
    <row r="2224" spans="1:6" hidden="1">
      <c r="A2224" s="230" t="s">
        <v>117</v>
      </c>
      <c r="B2224" s="149"/>
      <c r="C2224" s="149"/>
      <c r="D2224" s="149"/>
      <c r="E2224" s="34" t="s">
        <v>107</v>
      </c>
      <c r="F2224" s="34" t="s">
        <v>199</v>
      </c>
    </row>
    <row r="2225" spans="1:6" hidden="1">
      <c r="A2225" s="230" t="s">
        <v>118</v>
      </c>
      <c r="B2225" s="149"/>
      <c r="C2225" s="149"/>
      <c r="D2225" s="149"/>
      <c r="E2225" s="34" t="s">
        <v>107</v>
      </c>
      <c r="F2225" s="34" t="s">
        <v>199</v>
      </c>
    </row>
    <row r="2226" spans="1:6" hidden="1">
      <c r="A2226" s="230" t="s">
        <v>119</v>
      </c>
      <c r="B2226" s="149"/>
      <c r="C2226" s="149"/>
      <c r="D2226" s="149"/>
      <c r="E2226" s="34" t="s">
        <v>107</v>
      </c>
      <c r="F2226" s="34" t="s">
        <v>199</v>
      </c>
    </row>
    <row r="2227" spans="1:6" hidden="1">
      <c r="A2227" s="230" t="s">
        <v>120</v>
      </c>
      <c r="B2227" s="149"/>
      <c r="C2227" s="149"/>
      <c r="D2227" s="149"/>
      <c r="E2227" s="34" t="s">
        <v>107</v>
      </c>
      <c r="F2227" s="34" t="s">
        <v>199</v>
      </c>
    </row>
    <row r="2228" spans="1:6" hidden="1">
      <c r="A2228" s="230" t="s">
        <v>121</v>
      </c>
      <c r="B2228" s="149"/>
      <c r="C2228" s="149"/>
      <c r="D2228" s="149"/>
      <c r="E2228" s="34" t="s">
        <v>107</v>
      </c>
      <c r="F2228" s="34" t="s">
        <v>199</v>
      </c>
    </row>
    <row r="2229" spans="1:6" hidden="1">
      <c r="A2229" s="230" t="s">
        <v>122</v>
      </c>
      <c r="B2229" s="149"/>
      <c r="C2229" s="149"/>
      <c r="D2229" s="149"/>
      <c r="E2229" s="34" t="s">
        <v>107</v>
      </c>
      <c r="F2229" s="34" t="s">
        <v>199</v>
      </c>
    </row>
    <row r="2230" spans="1:6" hidden="1">
      <c r="A2230" s="230" t="s">
        <v>123</v>
      </c>
      <c r="B2230" s="149"/>
      <c r="C2230" s="149"/>
      <c r="D2230" s="149"/>
      <c r="E2230" s="34" t="s">
        <v>107</v>
      </c>
      <c r="F2230" s="34" t="s">
        <v>199</v>
      </c>
    </row>
    <row r="2231" spans="1:6" hidden="1">
      <c r="A2231" s="230" t="s">
        <v>124</v>
      </c>
      <c r="B2231" s="149"/>
      <c r="C2231" s="149"/>
      <c r="D2231" s="149"/>
      <c r="E2231" s="34" t="s">
        <v>107</v>
      </c>
      <c r="F2231" s="34" t="s">
        <v>199</v>
      </c>
    </row>
    <row r="2232" spans="1:6" hidden="1">
      <c r="A2232" s="230" t="s">
        <v>125</v>
      </c>
      <c r="B2232" s="149"/>
      <c r="C2232" s="149"/>
      <c r="D2232" s="149"/>
      <c r="E2232" s="34" t="s">
        <v>107</v>
      </c>
      <c r="F2232" s="34" t="s">
        <v>199</v>
      </c>
    </row>
    <row r="2233" spans="1:6" hidden="1">
      <c r="A2233" s="230" t="s">
        <v>126</v>
      </c>
      <c r="B2233" s="149"/>
      <c r="C2233" s="149"/>
      <c r="D2233" s="149"/>
      <c r="E2233" s="34" t="s">
        <v>107</v>
      </c>
      <c r="F2233" s="34" t="s">
        <v>199</v>
      </c>
    </row>
    <row r="2234" spans="1:6" hidden="1">
      <c r="A2234" s="230" t="s">
        <v>127</v>
      </c>
      <c r="B2234" s="149"/>
      <c r="C2234" s="149"/>
      <c r="D2234" s="149"/>
      <c r="E2234" s="34" t="s">
        <v>107</v>
      </c>
      <c r="F2234" s="34" t="s">
        <v>199</v>
      </c>
    </row>
    <row r="2235" spans="1:6" hidden="1">
      <c r="A2235" s="212" t="s">
        <v>116</v>
      </c>
      <c r="B2235" s="147"/>
      <c r="C2235" s="147"/>
      <c r="D2235" s="147"/>
      <c r="E2235" s="34" t="s">
        <v>107</v>
      </c>
      <c r="F2235" s="34" t="s">
        <v>222</v>
      </c>
    </row>
    <row r="2236" spans="1:6" hidden="1">
      <c r="A2236" s="212" t="s">
        <v>117</v>
      </c>
      <c r="B2236" s="147"/>
      <c r="C2236" s="147"/>
      <c r="D2236" s="147"/>
      <c r="E2236" s="34" t="s">
        <v>107</v>
      </c>
      <c r="F2236" s="34" t="s">
        <v>222</v>
      </c>
    </row>
    <row r="2237" spans="1:6" hidden="1">
      <c r="A2237" s="212" t="s">
        <v>118</v>
      </c>
      <c r="B2237" s="147"/>
      <c r="C2237" s="147"/>
      <c r="D2237" s="147"/>
      <c r="E2237" s="34" t="s">
        <v>107</v>
      </c>
      <c r="F2237" s="34" t="s">
        <v>222</v>
      </c>
    </row>
    <row r="2238" spans="1:6" hidden="1">
      <c r="A2238" s="212" t="s">
        <v>119</v>
      </c>
      <c r="B2238" s="147"/>
      <c r="C2238" s="147"/>
      <c r="D2238" s="147"/>
      <c r="E2238" s="34" t="s">
        <v>107</v>
      </c>
      <c r="F2238" s="34" t="s">
        <v>222</v>
      </c>
    </row>
    <row r="2239" spans="1:6" hidden="1">
      <c r="A2239" s="212" t="s">
        <v>120</v>
      </c>
      <c r="B2239" s="147"/>
      <c r="C2239" s="147"/>
      <c r="D2239" s="147"/>
      <c r="E2239" s="34" t="s">
        <v>107</v>
      </c>
      <c r="F2239" s="34" t="s">
        <v>222</v>
      </c>
    </row>
    <row r="2240" spans="1:6" hidden="1">
      <c r="A2240" s="212" t="s">
        <v>121</v>
      </c>
      <c r="B2240" s="147"/>
      <c r="C2240" s="147"/>
      <c r="D2240" s="147"/>
      <c r="E2240" s="34" t="s">
        <v>107</v>
      </c>
      <c r="F2240" s="34" t="s">
        <v>222</v>
      </c>
    </row>
    <row r="2241" spans="1:6" hidden="1">
      <c r="A2241" s="212" t="s">
        <v>122</v>
      </c>
      <c r="B2241" s="147"/>
      <c r="C2241" s="147"/>
      <c r="D2241" s="147"/>
      <c r="E2241" s="34" t="s">
        <v>107</v>
      </c>
      <c r="F2241" s="34" t="s">
        <v>222</v>
      </c>
    </row>
    <row r="2242" spans="1:6" hidden="1">
      <c r="A2242" s="212" t="s">
        <v>123</v>
      </c>
      <c r="B2242" s="147"/>
      <c r="C2242" s="147"/>
      <c r="D2242" s="147"/>
      <c r="E2242" s="34" t="s">
        <v>107</v>
      </c>
      <c r="F2242" s="34" t="s">
        <v>222</v>
      </c>
    </row>
    <row r="2243" spans="1:6" hidden="1">
      <c r="A2243" s="212" t="s">
        <v>124</v>
      </c>
      <c r="B2243" s="147"/>
      <c r="C2243" s="147"/>
      <c r="D2243" s="147"/>
      <c r="E2243" s="34" t="s">
        <v>107</v>
      </c>
      <c r="F2243" s="34" t="s">
        <v>222</v>
      </c>
    </row>
    <row r="2244" spans="1:6" hidden="1">
      <c r="A2244" s="212" t="s">
        <v>125</v>
      </c>
      <c r="B2244" s="147"/>
      <c r="C2244" s="147"/>
      <c r="D2244" s="147"/>
      <c r="E2244" s="34" t="s">
        <v>107</v>
      </c>
      <c r="F2244" s="34" t="s">
        <v>222</v>
      </c>
    </row>
    <row r="2245" spans="1:6" hidden="1">
      <c r="A2245" s="212" t="s">
        <v>126</v>
      </c>
      <c r="B2245" s="147"/>
      <c r="C2245" s="147"/>
      <c r="D2245" s="147"/>
      <c r="E2245" s="34" t="s">
        <v>107</v>
      </c>
      <c r="F2245" s="34" t="s">
        <v>222</v>
      </c>
    </row>
    <row r="2246" spans="1:6" hidden="1">
      <c r="A2246" s="212" t="s">
        <v>127</v>
      </c>
      <c r="B2246" s="147"/>
      <c r="C2246" s="147"/>
      <c r="D2246" s="147"/>
      <c r="E2246" s="34" t="s">
        <v>107</v>
      </c>
      <c r="F2246" s="34" t="s">
        <v>222</v>
      </c>
    </row>
    <row r="2247" spans="1:6" hidden="1">
      <c r="A2247" s="230" t="s">
        <v>116</v>
      </c>
      <c r="B2247" s="149"/>
      <c r="C2247" s="149"/>
      <c r="D2247" s="149"/>
      <c r="E2247" s="34" t="s">
        <v>107</v>
      </c>
      <c r="F2247" s="34" t="s">
        <v>198</v>
      </c>
    </row>
    <row r="2248" spans="1:6" hidden="1">
      <c r="A2248" s="230" t="s">
        <v>117</v>
      </c>
      <c r="B2248" s="149"/>
      <c r="C2248" s="149"/>
      <c r="D2248" s="149"/>
      <c r="E2248" s="34" t="s">
        <v>107</v>
      </c>
      <c r="F2248" s="34" t="s">
        <v>198</v>
      </c>
    </row>
    <row r="2249" spans="1:6" hidden="1">
      <c r="A2249" s="230" t="s">
        <v>118</v>
      </c>
      <c r="B2249" s="149"/>
      <c r="C2249" s="149"/>
      <c r="D2249" s="149"/>
      <c r="E2249" s="34" t="s">
        <v>107</v>
      </c>
      <c r="F2249" s="34" t="s">
        <v>198</v>
      </c>
    </row>
    <row r="2250" spans="1:6" hidden="1">
      <c r="A2250" s="230" t="s">
        <v>119</v>
      </c>
      <c r="B2250" s="149"/>
      <c r="C2250" s="149"/>
      <c r="D2250" s="149"/>
      <c r="E2250" s="34" t="s">
        <v>107</v>
      </c>
      <c r="F2250" s="34" t="s">
        <v>198</v>
      </c>
    </row>
    <row r="2251" spans="1:6" hidden="1">
      <c r="A2251" s="230" t="s">
        <v>120</v>
      </c>
      <c r="B2251" s="149"/>
      <c r="C2251" s="149"/>
      <c r="D2251" s="149"/>
      <c r="E2251" s="34" t="s">
        <v>107</v>
      </c>
      <c r="F2251" s="34" t="s">
        <v>198</v>
      </c>
    </row>
    <row r="2252" spans="1:6" hidden="1">
      <c r="A2252" s="230" t="s">
        <v>121</v>
      </c>
      <c r="B2252" s="149"/>
      <c r="C2252" s="149"/>
      <c r="D2252" s="149"/>
      <c r="E2252" s="34" t="s">
        <v>107</v>
      </c>
      <c r="F2252" s="34" t="s">
        <v>198</v>
      </c>
    </row>
    <row r="2253" spans="1:6" hidden="1">
      <c r="A2253" s="230" t="s">
        <v>122</v>
      </c>
      <c r="B2253" s="149"/>
      <c r="C2253" s="149"/>
      <c r="D2253" s="149"/>
      <c r="E2253" s="34" t="s">
        <v>107</v>
      </c>
      <c r="F2253" s="34" t="s">
        <v>198</v>
      </c>
    </row>
    <row r="2254" spans="1:6" hidden="1">
      <c r="A2254" s="230" t="s">
        <v>123</v>
      </c>
      <c r="B2254" s="149"/>
      <c r="C2254" s="149"/>
      <c r="D2254" s="149"/>
      <c r="E2254" s="34" t="s">
        <v>107</v>
      </c>
      <c r="F2254" s="34" t="s">
        <v>198</v>
      </c>
    </row>
    <row r="2255" spans="1:6" hidden="1">
      <c r="A2255" s="230" t="s">
        <v>124</v>
      </c>
      <c r="B2255" s="149"/>
      <c r="C2255" s="149"/>
      <c r="D2255" s="149"/>
      <c r="E2255" s="34" t="s">
        <v>107</v>
      </c>
      <c r="F2255" s="34" t="s">
        <v>198</v>
      </c>
    </row>
    <row r="2256" spans="1:6" hidden="1">
      <c r="A2256" s="230" t="s">
        <v>125</v>
      </c>
      <c r="B2256" s="149"/>
      <c r="C2256" s="149"/>
      <c r="D2256" s="149"/>
      <c r="E2256" s="34" t="s">
        <v>107</v>
      </c>
      <c r="F2256" s="34" t="s">
        <v>198</v>
      </c>
    </row>
    <row r="2257" spans="1:6" hidden="1">
      <c r="A2257" s="230" t="s">
        <v>126</v>
      </c>
      <c r="B2257" s="149"/>
      <c r="C2257" s="149"/>
      <c r="D2257" s="149"/>
      <c r="E2257" s="34" t="s">
        <v>107</v>
      </c>
      <c r="F2257" s="34" t="s">
        <v>198</v>
      </c>
    </row>
    <row r="2258" spans="1:6" hidden="1">
      <c r="A2258" s="230" t="s">
        <v>127</v>
      </c>
      <c r="B2258" s="149"/>
      <c r="C2258" s="149"/>
      <c r="D2258" s="149"/>
      <c r="E2258" s="34" t="s">
        <v>107</v>
      </c>
      <c r="F2258" s="34" t="s">
        <v>198</v>
      </c>
    </row>
    <row r="2259" spans="1:6" hidden="1">
      <c r="A2259" s="212" t="s">
        <v>116</v>
      </c>
      <c r="B2259" s="147"/>
      <c r="C2259" s="147"/>
      <c r="D2259" s="147"/>
      <c r="E2259" s="34" t="s">
        <v>107</v>
      </c>
      <c r="F2259" s="34" t="s">
        <v>28</v>
      </c>
    </row>
    <row r="2260" spans="1:6" hidden="1">
      <c r="A2260" s="212" t="s">
        <v>117</v>
      </c>
      <c r="B2260" s="147"/>
      <c r="C2260" s="147"/>
      <c r="D2260" s="147"/>
      <c r="E2260" s="34" t="s">
        <v>107</v>
      </c>
      <c r="F2260" s="34" t="s">
        <v>28</v>
      </c>
    </row>
    <row r="2261" spans="1:6" hidden="1">
      <c r="A2261" s="212" t="s">
        <v>118</v>
      </c>
      <c r="B2261" s="147"/>
      <c r="C2261" s="147"/>
      <c r="D2261" s="147"/>
      <c r="E2261" s="34" t="s">
        <v>107</v>
      </c>
      <c r="F2261" s="34" t="s">
        <v>28</v>
      </c>
    </row>
    <row r="2262" spans="1:6" hidden="1">
      <c r="A2262" s="212" t="s">
        <v>119</v>
      </c>
      <c r="B2262" s="147"/>
      <c r="C2262" s="147"/>
      <c r="D2262" s="147"/>
      <c r="E2262" s="34" t="s">
        <v>107</v>
      </c>
      <c r="F2262" s="34" t="s">
        <v>28</v>
      </c>
    </row>
    <row r="2263" spans="1:6" hidden="1">
      <c r="A2263" s="212" t="s">
        <v>120</v>
      </c>
      <c r="B2263" s="147"/>
      <c r="C2263" s="147"/>
      <c r="D2263" s="147"/>
      <c r="E2263" s="34" t="s">
        <v>107</v>
      </c>
      <c r="F2263" s="34" t="s">
        <v>28</v>
      </c>
    </row>
    <row r="2264" spans="1:6" hidden="1">
      <c r="A2264" s="212" t="s">
        <v>121</v>
      </c>
      <c r="B2264" s="147"/>
      <c r="C2264" s="147"/>
      <c r="D2264" s="147"/>
      <c r="E2264" s="34" t="s">
        <v>107</v>
      </c>
      <c r="F2264" s="34" t="s">
        <v>28</v>
      </c>
    </row>
    <row r="2265" spans="1:6" hidden="1">
      <c r="A2265" s="212" t="s">
        <v>122</v>
      </c>
      <c r="B2265" s="147"/>
      <c r="C2265" s="147"/>
      <c r="D2265" s="147"/>
      <c r="E2265" s="34" t="s">
        <v>107</v>
      </c>
      <c r="F2265" s="34" t="s">
        <v>28</v>
      </c>
    </row>
    <row r="2266" spans="1:6" hidden="1">
      <c r="A2266" s="212" t="s">
        <v>123</v>
      </c>
      <c r="B2266" s="147"/>
      <c r="C2266" s="147"/>
      <c r="D2266" s="147"/>
      <c r="E2266" s="34" t="s">
        <v>107</v>
      </c>
      <c r="F2266" s="34" t="s">
        <v>28</v>
      </c>
    </row>
    <row r="2267" spans="1:6" hidden="1">
      <c r="A2267" s="212" t="s">
        <v>124</v>
      </c>
      <c r="B2267" s="147"/>
      <c r="C2267" s="147"/>
      <c r="D2267" s="147"/>
      <c r="E2267" s="34" t="s">
        <v>107</v>
      </c>
      <c r="F2267" s="34" t="s">
        <v>28</v>
      </c>
    </row>
    <row r="2268" spans="1:6" hidden="1">
      <c r="A2268" s="212" t="s">
        <v>125</v>
      </c>
      <c r="B2268" s="147"/>
      <c r="C2268" s="147"/>
      <c r="D2268" s="147"/>
      <c r="E2268" s="34" t="s">
        <v>107</v>
      </c>
      <c r="F2268" s="34" t="s">
        <v>28</v>
      </c>
    </row>
    <row r="2269" spans="1:6" hidden="1">
      <c r="A2269" s="212" t="s">
        <v>126</v>
      </c>
      <c r="B2269" s="147"/>
      <c r="C2269" s="147"/>
      <c r="D2269" s="147"/>
      <c r="E2269" s="34" t="s">
        <v>107</v>
      </c>
      <c r="F2269" s="34" t="s">
        <v>28</v>
      </c>
    </row>
    <row r="2270" spans="1:6" hidden="1">
      <c r="A2270" s="212" t="s">
        <v>127</v>
      </c>
      <c r="B2270" s="147"/>
      <c r="C2270" s="147"/>
      <c r="D2270" s="147"/>
      <c r="E2270" s="34" t="s">
        <v>107</v>
      </c>
      <c r="F2270" s="34" t="s">
        <v>28</v>
      </c>
    </row>
    <row r="2271" spans="1:6" hidden="1">
      <c r="A2271" s="230" t="s">
        <v>116</v>
      </c>
      <c r="B2271" s="149"/>
      <c r="C2271" s="149"/>
      <c r="D2271" s="149"/>
      <c r="E2271" s="34" t="s">
        <v>107</v>
      </c>
      <c r="F2271" s="149" t="s">
        <v>142</v>
      </c>
    </row>
    <row r="2272" spans="1:6" hidden="1">
      <c r="A2272" s="230" t="s">
        <v>117</v>
      </c>
      <c r="B2272" s="149"/>
      <c r="C2272" s="149"/>
      <c r="D2272" s="149"/>
      <c r="E2272" s="34" t="s">
        <v>107</v>
      </c>
      <c r="F2272" s="149" t="s">
        <v>142</v>
      </c>
    </row>
    <row r="2273" spans="1:6" hidden="1">
      <c r="A2273" s="230" t="s">
        <v>118</v>
      </c>
      <c r="B2273" s="149"/>
      <c r="C2273" s="149"/>
      <c r="D2273" s="149"/>
      <c r="E2273" s="34" t="s">
        <v>107</v>
      </c>
      <c r="F2273" s="149" t="s">
        <v>142</v>
      </c>
    </row>
    <row r="2274" spans="1:6" hidden="1">
      <c r="A2274" s="230" t="s">
        <v>119</v>
      </c>
      <c r="B2274" s="149"/>
      <c r="C2274" s="149"/>
      <c r="D2274" s="149"/>
      <c r="E2274" s="34" t="s">
        <v>107</v>
      </c>
      <c r="F2274" s="149" t="s">
        <v>142</v>
      </c>
    </row>
    <row r="2275" spans="1:6" hidden="1">
      <c r="A2275" s="230" t="s">
        <v>120</v>
      </c>
      <c r="B2275" s="149"/>
      <c r="C2275" s="149"/>
      <c r="D2275" s="149"/>
      <c r="E2275" s="34" t="s">
        <v>107</v>
      </c>
      <c r="F2275" s="149" t="s">
        <v>142</v>
      </c>
    </row>
    <row r="2276" spans="1:6" hidden="1">
      <c r="A2276" s="230" t="s">
        <v>121</v>
      </c>
      <c r="B2276" s="149"/>
      <c r="C2276" s="149"/>
      <c r="D2276" s="149"/>
      <c r="E2276" s="34" t="s">
        <v>107</v>
      </c>
      <c r="F2276" s="149" t="s">
        <v>142</v>
      </c>
    </row>
    <row r="2277" spans="1:6" hidden="1">
      <c r="A2277" s="230" t="s">
        <v>122</v>
      </c>
      <c r="B2277" s="149"/>
      <c r="C2277" s="149"/>
      <c r="D2277" s="149"/>
      <c r="E2277" s="34" t="s">
        <v>107</v>
      </c>
      <c r="F2277" s="149" t="s">
        <v>142</v>
      </c>
    </row>
    <row r="2278" spans="1:6" hidden="1">
      <c r="A2278" s="230" t="s">
        <v>123</v>
      </c>
      <c r="B2278" s="149"/>
      <c r="C2278" s="149"/>
      <c r="D2278" s="149"/>
      <c r="E2278" s="34" t="s">
        <v>107</v>
      </c>
      <c r="F2278" s="149" t="s">
        <v>142</v>
      </c>
    </row>
    <row r="2279" spans="1:6" hidden="1">
      <c r="A2279" s="230" t="s">
        <v>124</v>
      </c>
      <c r="B2279" s="149"/>
      <c r="C2279" s="149"/>
      <c r="D2279" s="149"/>
      <c r="E2279" s="34" t="s">
        <v>107</v>
      </c>
      <c r="F2279" s="149" t="s">
        <v>142</v>
      </c>
    </row>
    <row r="2280" spans="1:6" hidden="1">
      <c r="A2280" s="230" t="s">
        <v>125</v>
      </c>
      <c r="B2280" s="149"/>
      <c r="C2280" s="149"/>
      <c r="D2280" s="149"/>
      <c r="E2280" s="34" t="s">
        <v>107</v>
      </c>
      <c r="F2280" s="149" t="s">
        <v>142</v>
      </c>
    </row>
    <row r="2281" spans="1:6" hidden="1">
      <c r="A2281" s="230" t="s">
        <v>126</v>
      </c>
      <c r="B2281" s="149"/>
      <c r="C2281" s="149"/>
      <c r="D2281" s="149"/>
      <c r="E2281" s="34" t="s">
        <v>107</v>
      </c>
      <c r="F2281" s="149" t="s">
        <v>142</v>
      </c>
    </row>
    <row r="2282" spans="1:6" hidden="1">
      <c r="A2282" s="230" t="s">
        <v>127</v>
      </c>
      <c r="B2282" s="149"/>
      <c r="C2282" s="149"/>
      <c r="D2282" s="149"/>
      <c r="E2282" s="34" t="s">
        <v>107</v>
      </c>
      <c r="F2282" s="149" t="s">
        <v>142</v>
      </c>
    </row>
    <row r="2283" spans="1:6" hidden="1">
      <c r="A2283" s="212" t="s">
        <v>116</v>
      </c>
      <c r="B2283" s="147"/>
      <c r="C2283" s="147"/>
      <c r="D2283" s="147"/>
      <c r="E2283" s="34" t="s">
        <v>108</v>
      </c>
      <c r="F2283" s="34" t="s">
        <v>197</v>
      </c>
    </row>
    <row r="2284" spans="1:6" hidden="1">
      <c r="A2284" s="212" t="s">
        <v>117</v>
      </c>
      <c r="B2284" s="147"/>
      <c r="C2284" s="147"/>
      <c r="D2284" s="147"/>
      <c r="E2284" s="34" t="s">
        <v>108</v>
      </c>
      <c r="F2284" s="34" t="s">
        <v>197</v>
      </c>
    </row>
    <row r="2285" spans="1:6" hidden="1">
      <c r="A2285" s="212" t="s">
        <v>118</v>
      </c>
      <c r="B2285" s="147"/>
      <c r="C2285" s="147"/>
      <c r="D2285" s="147"/>
      <c r="E2285" s="34" t="s">
        <v>108</v>
      </c>
      <c r="F2285" s="34" t="s">
        <v>197</v>
      </c>
    </row>
    <row r="2286" spans="1:6" hidden="1">
      <c r="A2286" s="212" t="s">
        <v>119</v>
      </c>
      <c r="B2286" s="147"/>
      <c r="C2286" s="147"/>
      <c r="D2286" s="147"/>
      <c r="E2286" s="34" t="s">
        <v>108</v>
      </c>
      <c r="F2286" s="34" t="s">
        <v>197</v>
      </c>
    </row>
    <row r="2287" spans="1:6" hidden="1">
      <c r="A2287" s="212" t="s">
        <v>120</v>
      </c>
      <c r="B2287" s="147"/>
      <c r="C2287" s="147"/>
      <c r="D2287" s="147"/>
      <c r="E2287" s="34" t="s">
        <v>108</v>
      </c>
      <c r="F2287" s="34" t="s">
        <v>197</v>
      </c>
    </row>
    <row r="2288" spans="1:6" hidden="1">
      <c r="A2288" s="212" t="s">
        <v>121</v>
      </c>
      <c r="B2288" s="147"/>
      <c r="C2288" s="147"/>
      <c r="D2288" s="147"/>
      <c r="E2288" s="34" t="s">
        <v>108</v>
      </c>
      <c r="F2288" s="34" t="s">
        <v>197</v>
      </c>
    </row>
    <row r="2289" spans="1:6" hidden="1">
      <c r="A2289" s="212" t="s">
        <v>122</v>
      </c>
      <c r="B2289" s="147"/>
      <c r="C2289" s="147"/>
      <c r="D2289" s="147"/>
      <c r="E2289" s="34" t="s">
        <v>108</v>
      </c>
      <c r="F2289" s="34" t="s">
        <v>197</v>
      </c>
    </row>
    <row r="2290" spans="1:6" hidden="1">
      <c r="A2290" s="212" t="s">
        <v>123</v>
      </c>
      <c r="B2290" s="147"/>
      <c r="C2290" s="147"/>
      <c r="D2290" s="147"/>
      <c r="E2290" s="34" t="s">
        <v>108</v>
      </c>
      <c r="F2290" s="34" t="s">
        <v>197</v>
      </c>
    </row>
    <row r="2291" spans="1:6" hidden="1">
      <c r="A2291" s="212" t="s">
        <v>124</v>
      </c>
      <c r="B2291" s="147"/>
      <c r="C2291" s="147"/>
      <c r="D2291" s="147"/>
      <c r="E2291" s="34" t="s">
        <v>108</v>
      </c>
      <c r="F2291" s="34" t="s">
        <v>197</v>
      </c>
    </row>
    <row r="2292" spans="1:6" hidden="1">
      <c r="A2292" s="212" t="s">
        <v>125</v>
      </c>
      <c r="B2292" s="147"/>
      <c r="C2292" s="147"/>
      <c r="D2292" s="147"/>
      <c r="E2292" s="34" t="s">
        <v>108</v>
      </c>
      <c r="F2292" s="34" t="s">
        <v>197</v>
      </c>
    </row>
    <row r="2293" spans="1:6" hidden="1">
      <c r="A2293" s="212" t="s">
        <v>126</v>
      </c>
      <c r="B2293" s="147"/>
      <c r="C2293" s="147"/>
      <c r="D2293" s="147"/>
      <c r="E2293" s="34" t="s">
        <v>108</v>
      </c>
      <c r="F2293" s="34" t="s">
        <v>197</v>
      </c>
    </row>
    <row r="2294" spans="1:6" hidden="1">
      <c r="A2294" s="212" t="s">
        <v>127</v>
      </c>
      <c r="B2294" s="147"/>
      <c r="C2294" s="147"/>
      <c r="D2294" s="147"/>
      <c r="E2294" s="34" t="s">
        <v>108</v>
      </c>
      <c r="F2294" s="34" t="s">
        <v>197</v>
      </c>
    </row>
    <row r="2295" spans="1:6" hidden="1">
      <c r="A2295" s="230" t="s">
        <v>116</v>
      </c>
      <c r="B2295" s="149"/>
      <c r="C2295" s="149"/>
      <c r="D2295" s="149"/>
      <c r="E2295" s="34" t="s">
        <v>108</v>
      </c>
      <c r="F2295" s="34" t="s">
        <v>199</v>
      </c>
    </row>
    <row r="2296" spans="1:6" hidden="1">
      <c r="A2296" s="230" t="s">
        <v>117</v>
      </c>
      <c r="B2296" s="149"/>
      <c r="C2296" s="149"/>
      <c r="D2296" s="149"/>
      <c r="E2296" s="34" t="s">
        <v>108</v>
      </c>
      <c r="F2296" s="34" t="s">
        <v>199</v>
      </c>
    </row>
    <row r="2297" spans="1:6" hidden="1">
      <c r="A2297" s="230" t="s">
        <v>118</v>
      </c>
      <c r="B2297" s="149"/>
      <c r="C2297" s="149"/>
      <c r="D2297" s="149"/>
      <c r="E2297" s="34" t="s">
        <v>108</v>
      </c>
      <c r="F2297" s="34" t="s">
        <v>199</v>
      </c>
    </row>
    <row r="2298" spans="1:6" hidden="1">
      <c r="A2298" s="230" t="s">
        <v>119</v>
      </c>
      <c r="B2298" s="149"/>
      <c r="C2298" s="149"/>
      <c r="D2298" s="149"/>
      <c r="E2298" s="34" t="s">
        <v>108</v>
      </c>
      <c r="F2298" s="34" t="s">
        <v>199</v>
      </c>
    </row>
    <row r="2299" spans="1:6" hidden="1">
      <c r="A2299" s="230" t="s">
        <v>120</v>
      </c>
      <c r="B2299" s="149"/>
      <c r="C2299" s="149"/>
      <c r="D2299" s="149"/>
      <c r="E2299" s="34" t="s">
        <v>108</v>
      </c>
      <c r="F2299" s="34" t="s">
        <v>199</v>
      </c>
    </row>
    <row r="2300" spans="1:6" hidden="1">
      <c r="A2300" s="230" t="s">
        <v>121</v>
      </c>
      <c r="B2300" s="149"/>
      <c r="C2300" s="149"/>
      <c r="D2300" s="149"/>
      <c r="E2300" s="34" t="s">
        <v>108</v>
      </c>
      <c r="F2300" s="34" t="s">
        <v>199</v>
      </c>
    </row>
    <row r="2301" spans="1:6" hidden="1">
      <c r="A2301" s="230" t="s">
        <v>122</v>
      </c>
      <c r="B2301" s="149"/>
      <c r="C2301" s="149"/>
      <c r="D2301" s="149"/>
      <c r="E2301" s="34" t="s">
        <v>108</v>
      </c>
      <c r="F2301" s="34" t="s">
        <v>199</v>
      </c>
    </row>
    <row r="2302" spans="1:6" hidden="1">
      <c r="A2302" s="230" t="s">
        <v>123</v>
      </c>
      <c r="B2302" s="149"/>
      <c r="C2302" s="149"/>
      <c r="D2302" s="149"/>
      <c r="E2302" s="34" t="s">
        <v>108</v>
      </c>
      <c r="F2302" s="34" t="s">
        <v>199</v>
      </c>
    </row>
    <row r="2303" spans="1:6" hidden="1">
      <c r="A2303" s="230" t="s">
        <v>124</v>
      </c>
      <c r="B2303" s="149"/>
      <c r="C2303" s="149"/>
      <c r="D2303" s="149"/>
      <c r="E2303" s="34" t="s">
        <v>108</v>
      </c>
      <c r="F2303" s="34" t="s">
        <v>199</v>
      </c>
    </row>
    <row r="2304" spans="1:6" hidden="1">
      <c r="A2304" s="230" t="s">
        <v>125</v>
      </c>
      <c r="B2304" s="149"/>
      <c r="C2304" s="149"/>
      <c r="D2304" s="149"/>
      <c r="E2304" s="34" t="s">
        <v>108</v>
      </c>
      <c r="F2304" s="34" t="s">
        <v>199</v>
      </c>
    </row>
    <row r="2305" spans="1:6" hidden="1">
      <c r="A2305" s="230" t="s">
        <v>126</v>
      </c>
      <c r="B2305" s="149"/>
      <c r="C2305" s="149"/>
      <c r="D2305" s="149"/>
      <c r="E2305" s="34" t="s">
        <v>108</v>
      </c>
      <c r="F2305" s="34" t="s">
        <v>199</v>
      </c>
    </row>
    <row r="2306" spans="1:6" hidden="1">
      <c r="A2306" s="230" t="s">
        <v>127</v>
      </c>
      <c r="B2306" s="149"/>
      <c r="C2306" s="149"/>
      <c r="D2306" s="149"/>
      <c r="E2306" s="34" t="s">
        <v>108</v>
      </c>
      <c r="F2306" s="34" t="s">
        <v>199</v>
      </c>
    </row>
    <row r="2307" spans="1:6" hidden="1">
      <c r="A2307" s="212" t="s">
        <v>116</v>
      </c>
      <c r="B2307" s="147"/>
      <c r="C2307" s="147"/>
      <c r="D2307" s="147"/>
      <c r="E2307" s="34" t="s">
        <v>108</v>
      </c>
      <c r="F2307" s="34" t="s">
        <v>222</v>
      </c>
    </row>
    <row r="2308" spans="1:6" hidden="1">
      <c r="A2308" s="212" t="s">
        <v>117</v>
      </c>
      <c r="B2308" s="147"/>
      <c r="C2308" s="147"/>
      <c r="D2308" s="147"/>
      <c r="E2308" s="34" t="s">
        <v>108</v>
      </c>
      <c r="F2308" s="34" t="s">
        <v>222</v>
      </c>
    </row>
    <row r="2309" spans="1:6" hidden="1">
      <c r="A2309" s="212" t="s">
        <v>118</v>
      </c>
      <c r="B2309" s="147"/>
      <c r="C2309" s="147"/>
      <c r="D2309" s="147"/>
      <c r="E2309" s="34" t="s">
        <v>108</v>
      </c>
      <c r="F2309" s="34" t="s">
        <v>222</v>
      </c>
    </row>
    <row r="2310" spans="1:6" hidden="1">
      <c r="A2310" s="212" t="s">
        <v>119</v>
      </c>
      <c r="B2310" s="147"/>
      <c r="C2310" s="147"/>
      <c r="D2310" s="147"/>
      <c r="E2310" s="34" t="s">
        <v>108</v>
      </c>
      <c r="F2310" s="34" t="s">
        <v>222</v>
      </c>
    </row>
    <row r="2311" spans="1:6" hidden="1">
      <c r="A2311" s="212" t="s">
        <v>120</v>
      </c>
      <c r="B2311" s="147"/>
      <c r="C2311" s="147"/>
      <c r="D2311" s="147"/>
      <c r="E2311" s="34" t="s">
        <v>108</v>
      </c>
      <c r="F2311" s="34" t="s">
        <v>222</v>
      </c>
    </row>
    <row r="2312" spans="1:6" hidden="1">
      <c r="A2312" s="212" t="s">
        <v>121</v>
      </c>
      <c r="B2312" s="147"/>
      <c r="C2312" s="147"/>
      <c r="D2312" s="147"/>
      <c r="E2312" s="34" t="s">
        <v>108</v>
      </c>
      <c r="F2312" s="34" t="s">
        <v>222</v>
      </c>
    </row>
    <row r="2313" spans="1:6" hidden="1">
      <c r="A2313" s="212" t="s">
        <v>122</v>
      </c>
      <c r="B2313" s="147"/>
      <c r="C2313" s="147"/>
      <c r="D2313" s="147"/>
      <c r="E2313" s="34" t="s">
        <v>108</v>
      </c>
      <c r="F2313" s="34" t="s">
        <v>222</v>
      </c>
    </row>
    <row r="2314" spans="1:6" hidden="1">
      <c r="A2314" s="212" t="s">
        <v>123</v>
      </c>
      <c r="B2314" s="147"/>
      <c r="C2314" s="147"/>
      <c r="D2314" s="147"/>
      <c r="E2314" s="34" t="s">
        <v>108</v>
      </c>
      <c r="F2314" s="34" t="s">
        <v>222</v>
      </c>
    </row>
    <row r="2315" spans="1:6" hidden="1">
      <c r="A2315" s="212" t="s">
        <v>124</v>
      </c>
      <c r="B2315" s="147"/>
      <c r="C2315" s="147"/>
      <c r="D2315" s="147"/>
      <c r="E2315" s="34" t="s">
        <v>108</v>
      </c>
      <c r="F2315" s="34" t="s">
        <v>222</v>
      </c>
    </row>
    <row r="2316" spans="1:6" hidden="1">
      <c r="A2316" s="212" t="s">
        <v>125</v>
      </c>
      <c r="B2316" s="147"/>
      <c r="C2316" s="147"/>
      <c r="D2316" s="147"/>
      <c r="E2316" s="34" t="s">
        <v>108</v>
      </c>
      <c r="F2316" s="34" t="s">
        <v>222</v>
      </c>
    </row>
    <row r="2317" spans="1:6" hidden="1">
      <c r="A2317" s="212" t="s">
        <v>126</v>
      </c>
      <c r="B2317" s="147"/>
      <c r="C2317" s="147"/>
      <c r="D2317" s="147"/>
      <c r="E2317" s="34" t="s">
        <v>108</v>
      </c>
      <c r="F2317" s="34" t="s">
        <v>222</v>
      </c>
    </row>
    <row r="2318" spans="1:6" hidden="1">
      <c r="A2318" s="212" t="s">
        <v>127</v>
      </c>
      <c r="B2318" s="147"/>
      <c r="C2318" s="147"/>
      <c r="D2318" s="147"/>
      <c r="E2318" s="34" t="s">
        <v>108</v>
      </c>
      <c r="F2318" s="34" t="s">
        <v>222</v>
      </c>
    </row>
    <row r="2319" spans="1:6" hidden="1">
      <c r="A2319" s="230" t="s">
        <v>116</v>
      </c>
      <c r="B2319" s="149"/>
      <c r="C2319" s="149"/>
      <c r="D2319" s="149"/>
      <c r="E2319" s="34" t="s">
        <v>108</v>
      </c>
      <c r="F2319" s="34" t="s">
        <v>198</v>
      </c>
    </row>
    <row r="2320" spans="1:6" hidden="1">
      <c r="A2320" s="230" t="s">
        <v>117</v>
      </c>
      <c r="B2320" s="149"/>
      <c r="C2320" s="149"/>
      <c r="D2320" s="149"/>
      <c r="E2320" s="34" t="s">
        <v>108</v>
      </c>
      <c r="F2320" s="34" t="s">
        <v>198</v>
      </c>
    </row>
    <row r="2321" spans="1:6" hidden="1">
      <c r="A2321" s="230" t="s">
        <v>118</v>
      </c>
      <c r="B2321" s="149"/>
      <c r="C2321" s="149"/>
      <c r="D2321" s="149"/>
      <c r="E2321" s="34" t="s">
        <v>108</v>
      </c>
      <c r="F2321" s="34" t="s">
        <v>198</v>
      </c>
    </row>
    <row r="2322" spans="1:6" hidden="1">
      <c r="A2322" s="230" t="s">
        <v>119</v>
      </c>
      <c r="B2322" s="149"/>
      <c r="C2322" s="149"/>
      <c r="D2322" s="149"/>
      <c r="E2322" s="34" t="s">
        <v>108</v>
      </c>
      <c r="F2322" s="34" t="s">
        <v>198</v>
      </c>
    </row>
    <row r="2323" spans="1:6" hidden="1">
      <c r="A2323" s="230" t="s">
        <v>120</v>
      </c>
      <c r="B2323" s="149"/>
      <c r="C2323" s="149"/>
      <c r="D2323" s="149"/>
      <c r="E2323" s="34" t="s">
        <v>108</v>
      </c>
      <c r="F2323" s="34" t="s">
        <v>198</v>
      </c>
    </row>
    <row r="2324" spans="1:6" hidden="1">
      <c r="A2324" s="230" t="s">
        <v>121</v>
      </c>
      <c r="B2324" s="149"/>
      <c r="C2324" s="149"/>
      <c r="D2324" s="149"/>
      <c r="E2324" s="34" t="s">
        <v>108</v>
      </c>
      <c r="F2324" s="34" t="s">
        <v>198</v>
      </c>
    </row>
    <row r="2325" spans="1:6" hidden="1">
      <c r="A2325" s="230" t="s">
        <v>122</v>
      </c>
      <c r="B2325" s="149"/>
      <c r="C2325" s="149"/>
      <c r="D2325" s="149"/>
      <c r="E2325" s="34" t="s">
        <v>108</v>
      </c>
      <c r="F2325" s="34" t="s">
        <v>198</v>
      </c>
    </row>
    <row r="2326" spans="1:6" hidden="1">
      <c r="A2326" s="230" t="s">
        <v>123</v>
      </c>
      <c r="B2326" s="149"/>
      <c r="C2326" s="149"/>
      <c r="D2326" s="149"/>
      <c r="E2326" s="34" t="s">
        <v>108</v>
      </c>
      <c r="F2326" s="34" t="s">
        <v>198</v>
      </c>
    </row>
    <row r="2327" spans="1:6" hidden="1">
      <c r="A2327" s="230" t="s">
        <v>124</v>
      </c>
      <c r="B2327" s="149"/>
      <c r="C2327" s="149"/>
      <c r="D2327" s="149"/>
      <c r="E2327" s="34" t="s">
        <v>108</v>
      </c>
      <c r="F2327" s="34" t="s">
        <v>198</v>
      </c>
    </row>
    <row r="2328" spans="1:6" hidden="1">
      <c r="A2328" s="230" t="s">
        <v>125</v>
      </c>
      <c r="B2328" s="149"/>
      <c r="C2328" s="149"/>
      <c r="D2328" s="149"/>
      <c r="E2328" s="34" t="s">
        <v>108</v>
      </c>
      <c r="F2328" s="34" t="s">
        <v>198</v>
      </c>
    </row>
    <row r="2329" spans="1:6" hidden="1">
      <c r="A2329" s="230" t="s">
        <v>126</v>
      </c>
      <c r="B2329" s="149"/>
      <c r="C2329" s="149"/>
      <c r="D2329" s="149"/>
      <c r="E2329" s="34" t="s">
        <v>108</v>
      </c>
      <c r="F2329" s="34" t="s">
        <v>198</v>
      </c>
    </row>
    <row r="2330" spans="1:6" hidden="1">
      <c r="A2330" s="230" t="s">
        <v>127</v>
      </c>
      <c r="B2330" s="149"/>
      <c r="C2330" s="149"/>
      <c r="D2330" s="149"/>
      <c r="E2330" s="34" t="s">
        <v>108</v>
      </c>
      <c r="F2330" s="34" t="s">
        <v>198</v>
      </c>
    </row>
    <row r="2331" spans="1:6" hidden="1">
      <c r="A2331" s="212" t="s">
        <v>116</v>
      </c>
      <c r="B2331" s="147"/>
      <c r="C2331" s="147"/>
      <c r="D2331" s="147"/>
      <c r="E2331" s="34" t="s">
        <v>108</v>
      </c>
      <c r="F2331" s="34" t="s">
        <v>28</v>
      </c>
    </row>
    <row r="2332" spans="1:6" hidden="1">
      <c r="A2332" s="212" t="s">
        <v>117</v>
      </c>
      <c r="B2332" s="147"/>
      <c r="C2332" s="147"/>
      <c r="D2332" s="147"/>
      <c r="E2332" s="34" t="s">
        <v>108</v>
      </c>
      <c r="F2332" s="34" t="s">
        <v>28</v>
      </c>
    </row>
    <row r="2333" spans="1:6" hidden="1">
      <c r="A2333" s="212" t="s">
        <v>118</v>
      </c>
      <c r="B2333" s="147"/>
      <c r="C2333" s="147"/>
      <c r="D2333" s="147"/>
      <c r="E2333" s="34" t="s">
        <v>108</v>
      </c>
      <c r="F2333" s="34" t="s">
        <v>28</v>
      </c>
    </row>
    <row r="2334" spans="1:6" hidden="1">
      <c r="A2334" s="212" t="s">
        <v>119</v>
      </c>
      <c r="B2334" s="147"/>
      <c r="C2334" s="147"/>
      <c r="D2334" s="147"/>
      <c r="E2334" s="34" t="s">
        <v>108</v>
      </c>
      <c r="F2334" s="34" t="s">
        <v>28</v>
      </c>
    </row>
    <row r="2335" spans="1:6" hidden="1">
      <c r="A2335" s="212" t="s">
        <v>120</v>
      </c>
      <c r="B2335" s="147"/>
      <c r="C2335" s="147"/>
      <c r="D2335" s="147"/>
      <c r="E2335" s="34" t="s">
        <v>108</v>
      </c>
      <c r="F2335" s="34" t="s">
        <v>28</v>
      </c>
    </row>
    <row r="2336" spans="1:6" hidden="1">
      <c r="A2336" s="212" t="s">
        <v>121</v>
      </c>
      <c r="B2336" s="147"/>
      <c r="C2336" s="147"/>
      <c r="D2336" s="147"/>
      <c r="E2336" s="34" t="s">
        <v>108</v>
      </c>
      <c r="F2336" s="34" t="s">
        <v>28</v>
      </c>
    </row>
    <row r="2337" spans="1:6" hidden="1">
      <c r="A2337" s="212" t="s">
        <v>122</v>
      </c>
      <c r="B2337" s="147"/>
      <c r="C2337" s="147"/>
      <c r="D2337" s="147"/>
      <c r="E2337" s="34" t="s">
        <v>108</v>
      </c>
      <c r="F2337" s="34" t="s">
        <v>28</v>
      </c>
    </row>
    <row r="2338" spans="1:6" hidden="1">
      <c r="A2338" s="212" t="s">
        <v>123</v>
      </c>
      <c r="B2338" s="147"/>
      <c r="C2338" s="147"/>
      <c r="D2338" s="147"/>
      <c r="E2338" s="34" t="s">
        <v>108</v>
      </c>
      <c r="F2338" s="34" t="s">
        <v>28</v>
      </c>
    </row>
    <row r="2339" spans="1:6" hidden="1">
      <c r="A2339" s="212" t="s">
        <v>124</v>
      </c>
      <c r="B2339" s="147"/>
      <c r="C2339" s="147"/>
      <c r="D2339" s="147"/>
      <c r="E2339" s="34" t="s">
        <v>108</v>
      </c>
      <c r="F2339" s="34" t="s">
        <v>28</v>
      </c>
    </row>
    <row r="2340" spans="1:6" hidden="1">
      <c r="A2340" s="212" t="s">
        <v>125</v>
      </c>
      <c r="B2340" s="147"/>
      <c r="C2340" s="147"/>
      <c r="D2340" s="147"/>
      <c r="E2340" s="34" t="s">
        <v>108</v>
      </c>
      <c r="F2340" s="34" t="s">
        <v>28</v>
      </c>
    </row>
    <row r="2341" spans="1:6" hidden="1">
      <c r="A2341" s="212" t="s">
        <v>126</v>
      </c>
      <c r="B2341" s="147"/>
      <c r="C2341" s="147"/>
      <c r="D2341" s="147"/>
      <c r="E2341" s="34" t="s">
        <v>108</v>
      </c>
      <c r="F2341" s="34" t="s">
        <v>28</v>
      </c>
    </row>
    <row r="2342" spans="1:6" hidden="1">
      <c r="A2342" s="212" t="s">
        <v>127</v>
      </c>
      <c r="B2342" s="147"/>
      <c r="C2342" s="147"/>
      <c r="D2342" s="147"/>
      <c r="E2342" s="34" t="s">
        <v>108</v>
      </c>
      <c r="F2342" s="34" t="s">
        <v>28</v>
      </c>
    </row>
    <row r="2343" spans="1:6" hidden="1">
      <c r="A2343" s="230" t="s">
        <v>116</v>
      </c>
      <c r="B2343" s="149"/>
      <c r="C2343" s="149"/>
      <c r="D2343" s="149"/>
      <c r="E2343" s="34" t="s">
        <v>108</v>
      </c>
      <c r="F2343" s="149" t="s">
        <v>142</v>
      </c>
    </row>
    <row r="2344" spans="1:6" hidden="1">
      <c r="A2344" s="230" t="s">
        <v>117</v>
      </c>
      <c r="B2344" s="149"/>
      <c r="C2344" s="149"/>
      <c r="D2344" s="149"/>
      <c r="E2344" s="34" t="s">
        <v>108</v>
      </c>
      <c r="F2344" s="149" t="s">
        <v>142</v>
      </c>
    </row>
    <row r="2345" spans="1:6" hidden="1">
      <c r="A2345" s="230" t="s">
        <v>118</v>
      </c>
      <c r="B2345" s="149"/>
      <c r="C2345" s="149"/>
      <c r="D2345" s="149"/>
      <c r="E2345" s="34" t="s">
        <v>108</v>
      </c>
      <c r="F2345" s="149" t="s">
        <v>142</v>
      </c>
    </row>
    <row r="2346" spans="1:6" hidden="1">
      <c r="A2346" s="230" t="s">
        <v>119</v>
      </c>
      <c r="B2346" s="149"/>
      <c r="C2346" s="149"/>
      <c r="D2346" s="149"/>
      <c r="E2346" s="34" t="s">
        <v>108</v>
      </c>
      <c r="F2346" s="149" t="s">
        <v>142</v>
      </c>
    </row>
    <row r="2347" spans="1:6" hidden="1">
      <c r="A2347" s="230" t="s">
        <v>120</v>
      </c>
      <c r="B2347" s="149"/>
      <c r="C2347" s="149"/>
      <c r="D2347" s="149"/>
      <c r="E2347" s="34" t="s">
        <v>108</v>
      </c>
      <c r="F2347" s="149" t="s">
        <v>142</v>
      </c>
    </row>
    <row r="2348" spans="1:6" hidden="1">
      <c r="A2348" s="230" t="s">
        <v>121</v>
      </c>
      <c r="B2348" s="149"/>
      <c r="C2348" s="149"/>
      <c r="D2348" s="149"/>
      <c r="E2348" s="34" t="s">
        <v>108</v>
      </c>
      <c r="F2348" s="149" t="s">
        <v>142</v>
      </c>
    </row>
    <row r="2349" spans="1:6" hidden="1">
      <c r="A2349" s="230" t="s">
        <v>122</v>
      </c>
      <c r="B2349" s="149"/>
      <c r="C2349" s="149"/>
      <c r="D2349" s="149"/>
      <c r="E2349" s="34" t="s">
        <v>108</v>
      </c>
      <c r="F2349" s="149" t="s">
        <v>142</v>
      </c>
    </row>
    <row r="2350" spans="1:6" hidden="1">
      <c r="A2350" s="230" t="s">
        <v>123</v>
      </c>
      <c r="B2350" s="149"/>
      <c r="C2350" s="149"/>
      <c r="D2350" s="149"/>
      <c r="E2350" s="34" t="s">
        <v>108</v>
      </c>
      <c r="F2350" s="149" t="s">
        <v>142</v>
      </c>
    </row>
    <row r="2351" spans="1:6" hidden="1">
      <c r="A2351" s="230" t="s">
        <v>124</v>
      </c>
      <c r="B2351" s="149"/>
      <c r="C2351" s="149"/>
      <c r="D2351" s="149"/>
      <c r="E2351" s="34" t="s">
        <v>108</v>
      </c>
      <c r="F2351" s="149" t="s">
        <v>142</v>
      </c>
    </row>
    <row r="2352" spans="1:6" hidden="1">
      <c r="A2352" s="230" t="s">
        <v>125</v>
      </c>
      <c r="B2352" s="149"/>
      <c r="C2352" s="149"/>
      <c r="D2352" s="149"/>
      <c r="E2352" s="34" t="s">
        <v>108</v>
      </c>
      <c r="F2352" s="149" t="s">
        <v>142</v>
      </c>
    </row>
    <row r="2353" spans="1:6" hidden="1">
      <c r="A2353" s="230" t="s">
        <v>126</v>
      </c>
      <c r="B2353" s="149"/>
      <c r="C2353" s="149"/>
      <c r="D2353" s="149"/>
      <c r="E2353" s="34" t="s">
        <v>108</v>
      </c>
      <c r="F2353" s="149" t="s">
        <v>142</v>
      </c>
    </row>
    <row r="2354" spans="1:6" hidden="1">
      <c r="A2354" s="230" t="s">
        <v>127</v>
      </c>
      <c r="B2354" s="149"/>
      <c r="C2354" s="149"/>
      <c r="D2354" s="149"/>
      <c r="E2354" s="34" t="s">
        <v>108</v>
      </c>
      <c r="F2354" s="149" t="s">
        <v>142</v>
      </c>
    </row>
    <row r="2355" spans="1:6" hidden="1">
      <c r="A2355" s="212" t="s">
        <v>116</v>
      </c>
      <c r="B2355" s="147"/>
      <c r="C2355" s="147"/>
      <c r="D2355" s="147"/>
      <c r="E2355" s="34" t="s">
        <v>109</v>
      </c>
      <c r="F2355" s="34" t="s">
        <v>197</v>
      </c>
    </row>
    <row r="2356" spans="1:6" hidden="1">
      <c r="A2356" s="212" t="s">
        <v>117</v>
      </c>
      <c r="B2356" s="147"/>
      <c r="C2356" s="147"/>
      <c r="D2356" s="147"/>
      <c r="E2356" s="34" t="s">
        <v>109</v>
      </c>
      <c r="F2356" s="34" t="s">
        <v>197</v>
      </c>
    </row>
    <row r="2357" spans="1:6" hidden="1">
      <c r="A2357" s="212" t="s">
        <v>118</v>
      </c>
      <c r="B2357" s="147"/>
      <c r="C2357" s="147"/>
      <c r="D2357" s="147"/>
      <c r="E2357" s="34" t="s">
        <v>109</v>
      </c>
      <c r="F2357" s="34" t="s">
        <v>197</v>
      </c>
    </row>
    <row r="2358" spans="1:6" hidden="1">
      <c r="A2358" s="212" t="s">
        <v>119</v>
      </c>
      <c r="B2358" s="147"/>
      <c r="C2358" s="147"/>
      <c r="D2358" s="147"/>
      <c r="E2358" s="34" t="s">
        <v>109</v>
      </c>
      <c r="F2358" s="34" t="s">
        <v>197</v>
      </c>
    </row>
    <row r="2359" spans="1:6" hidden="1">
      <c r="A2359" s="212" t="s">
        <v>120</v>
      </c>
      <c r="B2359" s="147"/>
      <c r="C2359" s="147"/>
      <c r="D2359" s="147"/>
      <c r="E2359" s="34" t="s">
        <v>109</v>
      </c>
      <c r="F2359" s="34" t="s">
        <v>197</v>
      </c>
    </row>
    <row r="2360" spans="1:6" hidden="1">
      <c r="A2360" s="212" t="s">
        <v>121</v>
      </c>
      <c r="B2360" s="147"/>
      <c r="C2360" s="147"/>
      <c r="D2360" s="147"/>
      <c r="E2360" s="34" t="s">
        <v>109</v>
      </c>
      <c r="F2360" s="34" t="s">
        <v>197</v>
      </c>
    </row>
    <row r="2361" spans="1:6" hidden="1">
      <c r="A2361" s="212" t="s">
        <v>122</v>
      </c>
      <c r="B2361" s="147"/>
      <c r="C2361" s="147"/>
      <c r="D2361" s="147"/>
      <c r="E2361" s="34" t="s">
        <v>109</v>
      </c>
      <c r="F2361" s="34" t="s">
        <v>197</v>
      </c>
    </row>
    <row r="2362" spans="1:6" hidden="1">
      <c r="A2362" s="212" t="s">
        <v>123</v>
      </c>
      <c r="B2362" s="147"/>
      <c r="C2362" s="147"/>
      <c r="D2362" s="147"/>
      <c r="E2362" s="34" t="s">
        <v>109</v>
      </c>
      <c r="F2362" s="34" t="s">
        <v>197</v>
      </c>
    </row>
    <row r="2363" spans="1:6" hidden="1">
      <c r="A2363" s="212" t="s">
        <v>124</v>
      </c>
      <c r="B2363" s="147"/>
      <c r="C2363" s="147"/>
      <c r="D2363" s="147"/>
      <c r="E2363" s="34" t="s">
        <v>109</v>
      </c>
      <c r="F2363" s="34" t="s">
        <v>197</v>
      </c>
    </row>
    <row r="2364" spans="1:6" hidden="1">
      <c r="A2364" s="212" t="s">
        <v>125</v>
      </c>
      <c r="B2364" s="147"/>
      <c r="C2364" s="147"/>
      <c r="D2364" s="147"/>
      <c r="E2364" s="34" t="s">
        <v>109</v>
      </c>
      <c r="F2364" s="34" t="s">
        <v>197</v>
      </c>
    </row>
    <row r="2365" spans="1:6" hidden="1">
      <c r="A2365" s="212" t="s">
        <v>126</v>
      </c>
      <c r="B2365" s="147"/>
      <c r="C2365" s="147"/>
      <c r="D2365" s="147"/>
      <c r="E2365" s="34" t="s">
        <v>109</v>
      </c>
      <c r="F2365" s="34" t="s">
        <v>197</v>
      </c>
    </row>
    <row r="2366" spans="1:6" hidden="1">
      <c r="A2366" s="212" t="s">
        <v>127</v>
      </c>
      <c r="B2366" s="147"/>
      <c r="C2366" s="147"/>
      <c r="D2366" s="147"/>
      <c r="E2366" s="34" t="s">
        <v>109</v>
      </c>
      <c r="F2366" s="34" t="s">
        <v>197</v>
      </c>
    </row>
    <row r="2367" spans="1:6" hidden="1">
      <c r="A2367" s="230" t="s">
        <v>116</v>
      </c>
      <c r="B2367" s="149"/>
      <c r="C2367" s="149"/>
      <c r="D2367" s="149"/>
      <c r="E2367" s="34" t="s">
        <v>109</v>
      </c>
      <c r="F2367" s="34" t="s">
        <v>199</v>
      </c>
    </row>
    <row r="2368" spans="1:6" hidden="1">
      <c r="A2368" s="230" t="s">
        <v>117</v>
      </c>
      <c r="B2368" s="149"/>
      <c r="C2368" s="149"/>
      <c r="D2368" s="149"/>
      <c r="E2368" s="34" t="s">
        <v>109</v>
      </c>
      <c r="F2368" s="34" t="s">
        <v>199</v>
      </c>
    </row>
    <row r="2369" spans="1:6" hidden="1">
      <c r="A2369" s="230" t="s">
        <v>118</v>
      </c>
      <c r="B2369" s="149"/>
      <c r="C2369" s="149"/>
      <c r="D2369" s="149"/>
      <c r="E2369" s="34" t="s">
        <v>109</v>
      </c>
      <c r="F2369" s="34" t="s">
        <v>199</v>
      </c>
    </row>
    <row r="2370" spans="1:6" hidden="1">
      <c r="A2370" s="230" t="s">
        <v>119</v>
      </c>
      <c r="B2370" s="149"/>
      <c r="C2370" s="149"/>
      <c r="D2370" s="149"/>
      <c r="E2370" s="34" t="s">
        <v>109</v>
      </c>
      <c r="F2370" s="34" t="s">
        <v>199</v>
      </c>
    </row>
    <row r="2371" spans="1:6" hidden="1">
      <c r="A2371" s="230" t="s">
        <v>120</v>
      </c>
      <c r="B2371" s="149"/>
      <c r="C2371" s="149"/>
      <c r="D2371" s="149"/>
      <c r="E2371" s="34" t="s">
        <v>109</v>
      </c>
      <c r="F2371" s="34" t="s">
        <v>199</v>
      </c>
    </row>
    <row r="2372" spans="1:6" hidden="1">
      <c r="A2372" s="230" t="s">
        <v>121</v>
      </c>
      <c r="B2372" s="149"/>
      <c r="C2372" s="149"/>
      <c r="D2372" s="149"/>
      <c r="E2372" s="34" t="s">
        <v>109</v>
      </c>
      <c r="F2372" s="34" t="s">
        <v>199</v>
      </c>
    </row>
    <row r="2373" spans="1:6" hidden="1">
      <c r="A2373" s="230" t="s">
        <v>122</v>
      </c>
      <c r="B2373" s="149"/>
      <c r="C2373" s="149"/>
      <c r="D2373" s="149"/>
      <c r="E2373" s="34" t="s">
        <v>109</v>
      </c>
      <c r="F2373" s="34" t="s">
        <v>199</v>
      </c>
    </row>
    <row r="2374" spans="1:6" hidden="1">
      <c r="A2374" s="230" t="s">
        <v>123</v>
      </c>
      <c r="B2374" s="149"/>
      <c r="C2374" s="149"/>
      <c r="D2374" s="149"/>
      <c r="E2374" s="34" t="s">
        <v>109</v>
      </c>
      <c r="F2374" s="34" t="s">
        <v>199</v>
      </c>
    </row>
    <row r="2375" spans="1:6" hidden="1">
      <c r="A2375" s="230" t="s">
        <v>124</v>
      </c>
      <c r="B2375" s="149"/>
      <c r="C2375" s="149"/>
      <c r="D2375" s="149"/>
      <c r="E2375" s="34" t="s">
        <v>109</v>
      </c>
      <c r="F2375" s="34" t="s">
        <v>199</v>
      </c>
    </row>
    <row r="2376" spans="1:6" hidden="1">
      <c r="A2376" s="230" t="s">
        <v>125</v>
      </c>
      <c r="B2376" s="149"/>
      <c r="C2376" s="149"/>
      <c r="D2376" s="149"/>
      <c r="E2376" s="34" t="s">
        <v>109</v>
      </c>
      <c r="F2376" s="34" t="s">
        <v>199</v>
      </c>
    </row>
    <row r="2377" spans="1:6" hidden="1">
      <c r="A2377" s="230" t="s">
        <v>126</v>
      </c>
      <c r="B2377" s="149"/>
      <c r="C2377" s="149"/>
      <c r="D2377" s="149"/>
      <c r="E2377" s="34" t="s">
        <v>109</v>
      </c>
      <c r="F2377" s="34" t="s">
        <v>199</v>
      </c>
    </row>
    <row r="2378" spans="1:6" hidden="1">
      <c r="A2378" s="230" t="s">
        <v>127</v>
      </c>
      <c r="B2378" s="149"/>
      <c r="C2378" s="149"/>
      <c r="D2378" s="149"/>
      <c r="E2378" s="34" t="s">
        <v>109</v>
      </c>
      <c r="F2378" s="34" t="s">
        <v>199</v>
      </c>
    </row>
    <row r="2379" spans="1:6" hidden="1">
      <c r="A2379" s="212" t="s">
        <v>116</v>
      </c>
      <c r="B2379" s="147"/>
      <c r="C2379" s="147"/>
      <c r="D2379" s="147"/>
      <c r="E2379" s="34" t="s">
        <v>109</v>
      </c>
      <c r="F2379" s="34" t="s">
        <v>222</v>
      </c>
    </row>
    <row r="2380" spans="1:6" hidden="1">
      <c r="A2380" s="212" t="s">
        <v>117</v>
      </c>
      <c r="B2380" s="147"/>
      <c r="C2380" s="147"/>
      <c r="D2380" s="147"/>
      <c r="E2380" s="34" t="s">
        <v>109</v>
      </c>
      <c r="F2380" s="34" t="s">
        <v>222</v>
      </c>
    </row>
    <row r="2381" spans="1:6" hidden="1">
      <c r="A2381" s="212" t="s">
        <v>118</v>
      </c>
      <c r="B2381" s="147"/>
      <c r="C2381" s="147"/>
      <c r="D2381" s="147"/>
      <c r="E2381" s="34" t="s">
        <v>109</v>
      </c>
      <c r="F2381" s="34" t="s">
        <v>222</v>
      </c>
    </row>
    <row r="2382" spans="1:6" hidden="1">
      <c r="A2382" s="212" t="s">
        <v>119</v>
      </c>
      <c r="B2382" s="147"/>
      <c r="C2382" s="147"/>
      <c r="D2382" s="147"/>
      <c r="E2382" s="34" t="s">
        <v>109</v>
      </c>
      <c r="F2382" s="34" t="s">
        <v>222</v>
      </c>
    </row>
    <row r="2383" spans="1:6" hidden="1">
      <c r="A2383" s="212" t="s">
        <v>120</v>
      </c>
      <c r="B2383" s="147"/>
      <c r="C2383" s="147"/>
      <c r="D2383" s="147"/>
      <c r="E2383" s="34" t="s">
        <v>109</v>
      </c>
      <c r="F2383" s="34" t="s">
        <v>222</v>
      </c>
    </row>
    <row r="2384" spans="1:6" hidden="1">
      <c r="A2384" s="212" t="s">
        <v>121</v>
      </c>
      <c r="B2384" s="147"/>
      <c r="C2384" s="147"/>
      <c r="D2384" s="147"/>
      <c r="E2384" s="34" t="s">
        <v>109</v>
      </c>
      <c r="F2384" s="34" t="s">
        <v>222</v>
      </c>
    </row>
    <row r="2385" spans="1:6" hidden="1">
      <c r="A2385" s="212" t="s">
        <v>122</v>
      </c>
      <c r="B2385" s="147"/>
      <c r="C2385" s="147"/>
      <c r="D2385" s="147"/>
      <c r="E2385" s="34" t="s">
        <v>109</v>
      </c>
      <c r="F2385" s="34" t="s">
        <v>222</v>
      </c>
    </row>
    <row r="2386" spans="1:6" hidden="1">
      <c r="A2386" s="212" t="s">
        <v>123</v>
      </c>
      <c r="B2386" s="147"/>
      <c r="C2386" s="147"/>
      <c r="D2386" s="147"/>
      <c r="E2386" s="34" t="s">
        <v>109</v>
      </c>
      <c r="F2386" s="34" t="s">
        <v>222</v>
      </c>
    </row>
    <row r="2387" spans="1:6" hidden="1">
      <c r="A2387" s="212" t="s">
        <v>124</v>
      </c>
      <c r="B2387" s="147"/>
      <c r="C2387" s="147"/>
      <c r="D2387" s="147"/>
      <c r="E2387" s="34" t="s">
        <v>109</v>
      </c>
      <c r="F2387" s="34" t="s">
        <v>222</v>
      </c>
    </row>
    <row r="2388" spans="1:6" hidden="1">
      <c r="A2388" s="212" t="s">
        <v>125</v>
      </c>
      <c r="B2388" s="147"/>
      <c r="C2388" s="147"/>
      <c r="D2388" s="147"/>
      <c r="E2388" s="34" t="s">
        <v>109</v>
      </c>
      <c r="F2388" s="34" t="s">
        <v>222</v>
      </c>
    </row>
    <row r="2389" spans="1:6" hidden="1">
      <c r="A2389" s="212" t="s">
        <v>126</v>
      </c>
      <c r="B2389" s="147"/>
      <c r="C2389" s="147"/>
      <c r="D2389" s="147"/>
      <c r="E2389" s="34" t="s">
        <v>109</v>
      </c>
      <c r="F2389" s="34" t="s">
        <v>222</v>
      </c>
    </row>
    <row r="2390" spans="1:6" hidden="1">
      <c r="A2390" s="212" t="s">
        <v>127</v>
      </c>
      <c r="B2390" s="147"/>
      <c r="C2390" s="147"/>
      <c r="D2390" s="147"/>
      <c r="E2390" s="34" t="s">
        <v>109</v>
      </c>
      <c r="F2390" s="34" t="s">
        <v>222</v>
      </c>
    </row>
    <row r="2391" spans="1:6" hidden="1">
      <c r="A2391" s="230" t="s">
        <v>116</v>
      </c>
      <c r="B2391" s="149"/>
      <c r="C2391" s="149"/>
      <c r="D2391" s="149"/>
      <c r="E2391" s="34" t="s">
        <v>109</v>
      </c>
      <c r="F2391" s="34" t="s">
        <v>198</v>
      </c>
    </row>
    <row r="2392" spans="1:6" hidden="1">
      <c r="A2392" s="230" t="s">
        <v>117</v>
      </c>
      <c r="B2392" s="149"/>
      <c r="C2392" s="149"/>
      <c r="D2392" s="149"/>
      <c r="E2392" s="34" t="s">
        <v>109</v>
      </c>
      <c r="F2392" s="34" t="s">
        <v>198</v>
      </c>
    </row>
    <row r="2393" spans="1:6" hidden="1">
      <c r="A2393" s="230" t="s">
        <v>118</v>
      </c>
      <c r="B2393" s="149"/>
      <c r="C2393" s="149"/>
      <c r="D2393" s="149"/>
      <c r="E2393" s="34" t="s">
        <v>109</v>
      </c>
      <c r="F2393" s="34" t="s">
        <v>198</v>
      </c>
    </row>
    <row r="2394" spans="1:6" hidden="1">
      <c r="A2394" s="230" t="s">
        <v>119</v>
      </c>
      <c r="B2394" s="149"/>
      <c r="C2394" s="149"/>
      <c r="D2394" s="149"/>
      <c r="E2394" s="34" t="s">
        <v>109</v>
      </c>
      <c r="F2394" s="34" t="s">
        <v>198</v>
      </c>
    </row>
    <row r="2395" spans="1:6" hidden="1">
      <c r="A2395" s="230" t="s">
        <v>120</v>
      </c>
      <c r="B2395" s="149"/>
      <c r="C2395" s="149"/>
      <c r="D2395" s="149"/>
      <c r="E2395" s="34" t="s">
        <v>109</v>
      </c>
      <c r="F2395" s="34" t="s">
        <v>198</v>
      </c>
    </row>
    <row r="2396" spans="1:6" hidden="1">
      <c r="A2396" s="230" t="s">
        <v>121</v>
      </c>
      <c r="B2396" s="149"/>
      <c r="C2396" s="149"/>
      <c r="D2396" s="149"/>
      <c r="E2396" s="34" t="s">
        <v>109</v>
      </c>
      <c r="F2396" s="34" t="s">
        <v>198</v>
      </c>
    </row>
    <row r="2397" spans="1:6" hidden="1">
      <c r="A2397" s="230" t="s">
        <v>122</v>
      </c>
      <c r="B2397" s="149"/>
      <c r="C2397" s="149"/>
      <c r="D2397" s="149"/>
      <c r="E2397" s="34" t="s">
        <v>109</v>
      </c>
      <c r="F2397" s="34" t="s">
        <v>198</v>
      </c>
    </row>
    <row r="2398" spans="1:6" hidden="1">
      <c r="A2398" s="230" t="s">
        <v>123</v>
      </c>
      <c r="B2398" s="149"/>
      <c r="C2398" s="149"/>
      <c r="D2398" s="149"/>
      <c r="E2398" s="34" t="s">
        <v>109</v>
      </c>
      <c r="F2398" s="34" t="s">
        <v>198</v>
      </c>
    </row>
    <row r="2399" spans="1:6" hidden="1">
      <c r="A2399" s="230" t="s">
        <v>124</v>
      </c>
      <c r="B2399" s="149"/>
      <c r="C2399" s="149"/>
      <c r="D2399" s="149"/>
      <c r="E2399" s="34" t="s">
        <v>109</v>
      </c>
      <c r="F2399" s="34" t="s">
        <v>198</v>
      </c>
    </row>
    <row r="2400" spans="1:6" hidden="1">
      <c r="A2400" s="230" t="s">
        <v>125</v>
      </c>
      <c r="B2400" s="149"/>
      <c r="C2400" s="149"/>
      <c r="D2400" s="149"/>
      <c r="E2400" s="34" t="s">
        <v>109</v>
      </c>
      <c r="F2400" s="34" t="s">
        <v>198</v>
      </c>
    </row>
    <row r="2401" spans="1:6" hidden="1">
      <c r="A2401" s="230" t="s">
        <v>126</v>
      </c>
      <c r="B2401" s="149"/>
      <c r="C2401" s="149"/>
      <c r="D2401" s="149"/>
      <c r="E2401" s="34" t="s">
        <v>109</v>
      </c>
      <c r="F2401" s="34" t="s">
        <v>198</v>
      </c>
    </row>
    <row r="2402" spans="1:6" hidden="1">
      <c r="A2402" s="230" t="s">
        <v>127</v>
      </c>
      <c r="B2402" s="149"/>
      <c r="C2402" s="149"/>
      <c r="D2402" s="149"/>
      <c r="E2402" s="34" t="s">
        <v>109</v>
      </c>
      <c r="F2402" s="34" t="s">
        <v>198</v>
      </c>
    </row>
    <row r="2403" spans="1:6" hidden="1">
      <c r="A2403" s="212" t="s">
        <v>116</v>
      </c>
      <c r="B2403" s="147"/>
      <c r="C2403" s="147"/>
      <c r="D2403" s="147"/>
      <c r="E2403" s="34" t="s">
        <v>109</v>
      </c>
      <c r="F2403" s="34" t="s">
        <v>28</v>
      </c>
    </row>
    <row r="2404" spans="1:6" hidden="1">
      <c r="A2404" s="212" t="s">
        <v>117</v>
      </c>
      <c r="B2404" s="147"/>
      <c r="C2404" s="147"/>
      <c r="D2404" s="147"/>
      <c r="E2404" s="34" t="s">
        <v>109</v>
      </c>
      <c r="F2404" s="34" t="s">
        <v>28</v>
      </c>
    </row>
    <row r="2405" spans="1:6" hidden="1">
      <c r="A2405" s="212" t="s">
        <v>118</v>
      </c>
      <c r="B2405" s="147"/>
      <c r="C2405" s="147"/>
      <c r="D2405" s="147"/>
      <c r="E2405" s="34" t="s">
        <v>109</v>
      </c>
      <c r="F2405" s="34" t="s">
        <v>28</v>
      </c>
    </row>
    <row r="2406" spans="1:6" hidden="1">
      <c r="A2406" s="212" t="s">
        <v>119</v>
      </c>
      <c r="B2406" s="147"/>
      <c r="C2406" s="147"/>
      <c r="D2406" s="147"/>
      <c r="E2406" s="34" t="s">
        <v>109</v>
      </c>
      <c r="F2406" s="34" t="s">
        <v>28</v>
      </c>
    </row>
    <row r="2407" spans="1:6" hidden="1">
      <c r="A2407" s="212" t="s">
        <v>120</v>
      </c>
      <c r="B2407" s="147"/>
      <c r="C2407" s="147"/>
      <c r="D2407" s="147"/>
      <c r="E2407" s="34" t="s">
        <v>109</v>
      </c>
      <c r="F2407" s="34" t="s">
        <v>28</v>
      </c>
    </row>
    <row r="2408" spans="1:6" hidden="1">
      <c r="A2408" s="212" t="s">
        <v>121</v>
      </c>
      <c r="B2408" s="147"/>
      <c r="C2408" s="147"/>
      <c r="D2408" s="147"/>
      <c r="E2408" s="34" t="s">
        <v>109</v>
      </c>
      <c r="F2408" s="34" t="s">
        <v>28</v>
      </c>
    </row>
    <row r="2409" spans="1:6" hidden="1">
      <c r="A2409" s="212" t="s">
        <v>122</v>
      </c>
      <c r="B2409" s="147"/>
      <c r="C2409" s="147"/>
      <c r="D2409" s="147"/>
      <c r="E2409" s="34" t="s">
        <v>109</v>
      </c>
      <c r="F2409" s="34" t="s">
        <v>28</v>
      </c>
    </row>
    <row r="2410" spans="1:6" hidden="1">
      <c r="A2410" s="212" t="s">
        <v>123</v>
      </c>
      <c r="B2410" s="147"/>
      <c r="C2410" s="147"/>
      <c r="D2410" s="147"/>
      <c r="E2410" s="34" t="s">
        <v>109</v>
      </c>
      <c r="F2410" s="34" t="s">
        <v>28</v>
      </c>
    </row>
    <row r="2411" spans="1:6" hidden="1">
      <c r="A2411" s="212" t="s">
        <v>124</v>
      </c>
      <c r="B2411" s="147"/>
      <c r="C2411" s="147"/>
      <c r="D2411" s="147"/>
      <c r="E2411" s="34" t="s">
        <v>109</v>
      </c>
      <c r="F2411" s="34" t="s">
        <v>28</v>
      </c>
    </row>
    <row r="2412" spans="1:6" hidden="1">
      <c r="A2412" s="212" t="s">
        <v>125</v>
      </c>
      <c r="B2412" s="147"/>
      <c r="C2412" s="147"/>
      <c r="D2412" s="147"/>
      <c r="E2412" s="34" t="s">
        <v>109</v>
      </c>
      <c r="F2412" s="34" t="s">
        <v>28</v>
      </c>
    </row>
    <row r="2413" spans="1:6" hidden="1">
      <c r="A2413" s="212" t="s">
        <v>126</v>
      </c>
      <c r="B2413" s="147"/>
      <c r="C2413" s="147"/>
      <c r="D2413" s="147"/>
      <c r="E2413" s="34" t="s">
        <v>109</v>
      </c>
      <c r="F2413" s="34" t="s">
        <v>28</v>
      </c>
    </row>
    <row r="2414" spans="1:6" hidden="1">
      <c r="A2414" s="212" t="s">
        <v>127</v>
      </c>
      <c r="B2414" s="147"/>
      <c r="C2414" s="147"/>
      <c r="D2414" s="147"/>
      <c r="E2414" s="34" t="s">
        <v>109</v>
      </c>
      <c r="F2414" s="34" t="s">
        <v>28</v>
      </c>
    </row>
    <row r="2415" spans="1:6" hidden="1">
      <c r="A2415" s="230" t="s">
        <v>116</v>
      </c>
      <c r="B2415" s="149"/>
      <c r="C2415" s="149"/>
      <c r="D2415" s="149"/>
      <c r="E2415" s="34" t="s">
        <v>109</v>
      </c>
      <c r="F2415" s="149" t="s">
        <v>142</v>
      </c>
    </row>
    <row r="2416" spans="1:6" hidden="1">
      <c r="A2416" s="230" t="s">
        <v>117</v>
      </c>
      <c r="B2416" s="149"/>
      <c r="C2416" s="149"/>
      <c r="D2416" s="149"/>
      <c r="E2416" s="34" t="s">
        <v>109</v>
      </c>
      <c r="F2416" s="149" t="s">
        <v>142</v>
      </c>
    </row>
    <row r="2417" spans="1:6" hidden="1">
      <c r="A2417" s="230" t="s">
        <v>118</v>
      </c>
      <c r="B2417" s="149"/>
      <c r="C2417" s="149"/>
      <c r="D2417" s="149"/>
      <c r="E2417" s="34" t="s">
        <v>109</v>
      </c>
      <c r="F2417" s="149" t="s">
        <v>142</v>
      </c>
    </row>
    <row r="2418" spans="1:6" hidden="1">
      <c r="A2418" s="230" t="s">
        <v>119</v>
      </c>
      <c r="B2418" s="149"/>
      <c r="C2418" s="149"/>
      <c r="D2418" s="149"/>
      <c r="E2418" s="34" t="s">
        <v>109</v>
      </c>
      <c r="F2418" s="149" t="s">
        <v>142</v>
      </c>
    </row>
    <row r="2419" spans="1:6" hidden="1">
      <c r="A2419" s="230" t="s">
        <v>120</v>
      </c>
      <c r="B2419" s="149"/>
      <c r="C2419" s="149"/>
      <c r="D2419" s="149"/>
      <c r="E2419" s="34" t="s">
        <v>109</v>
      </c>
      <c r="F2419" s="149" t="s">
        <v>142</v>
      </c>
    </row>
    <row r="2420" spans="1:6" hidden="1">
      <c r="A2420" s="230" t="s">
        <v>121</v>
      </c>
      <c r="B2420" s="149"/>
      <c r="C2420" s="149"/>
      <c r="D2420" s="149"/>
      <c r="E2420" s="34" t="s">
        <v>109</v>
      </c>
      <c r="F2420" s="149" t="s">
        <v>142</v>
      </c>
    </row>
    <row r="2421" spans="1:6" hidden="1">
      <c r="A2421" s="230" t="s">
        <v>122</v>
      </c>
      <c r="B2421" s="149"/>
      <c r="C2421" s="149"/>
      <c r="D2421" s="149"/>
      <c r="E2421" s="34" t="s">
        <v>109</v>
      </c>
      <c r="F2421" s="149" t="s">
        <v>142</v>
      </c>
    </row>
    <row r="2422" spans="1:6" hidden="1">
      <c r="A2422" s="230" t="s">
        <v>123</v>
      </c>
      <c r="B2422" s="149"/>
      <c r="C2422" s="149"/>
      <c r="D2422" s="149"/>
      <c r="E2422" s="34" t="s">
        <v>109</v>
      </c>
      <c r="F2422" s="149" t="s">
        <v>142</v>
      </c>
    </row>
    <row r="2423" spans="1:6" hidden="1">
      <c r="A2423" s="230" t="s">
        <v>124</v>
      </c>
      <c r="B2423" s="149"/>
      <c r="C2423" s="149"/>
      <c r="D2423" s="149"/>
      <c r="E2423" s="34" t="s">
        <v>109</v>
      </c>
      <c r="F2423" s="149" t="s">
        <v>142</v>
      </c>
    </row>
    <row r="2424" spans="1:6" hidden="1">
      <c r="A2424" s="230" t="s">
        <v>125</v>
      </c>
      <c r="B2424" s="149"/>
      <c r="C2424" s="149"/>
      <c r="D2424" s="149"/>
      <c r="E2424" s="34" t="s">
        <v>109</v>
      </c>
      <c r="F2424" s="149" t="s">
        <v>142</v>
      </c>
    </row>
    <row r="2425" spans="1:6" hidden="1">
      <c r="A2425" s="230" t="s">
        <v>126</v>
      </c>
      <c r="B2425" s="149"/>
      <c r="C2425" s="149"/>
      <c r="D2425" s="149"/>
      <c r="E2425" s="34" t="s">
        <v>109</v>
      </c>
      <c r="F2425" s="149" t="s">
        <v>142</v>
      </c>
    </row>
    <row r="2426" spans="1:6" hidden="1">
      <c r="A2426" s="230" t="s">
        <v>127</v>
      </c>
      <c r="B2426" s="149"/>
      <c r="C2426" s="149"/>
      <c r="D2426" s="149"/>
      <c r="E2426" s="34" t="s">
        <v>109</v>
      </c>
      <c r="F2426" s="149" t="s">
        <v>142</v>
      </c>
    </row>
    <row r="2427" spans="1:6" hidden="1">
      <c r="A2427" s="212" t="s">
        <v>116</v>
      </c>
      <c r="B2427" s="147"/>
      <c r="C2427" s="147"/>
      <c r="D2427" s="147"/>
      <c r="E2427" s="34" t="s">
        <v>110</v>
      </c>
      <c r="F2427" s="34" t="s">
        <v>197</v>
      </c>
    </row>
    <row r="2428" spans="1:6" hidden="1">
      <c r="A2428" s="212" t="s">
        <v>117</v>
      </c>
      <c r="B2428" s="147"/>
      <c r="C2428" s="147"/>
      <c r="D2428" s="147"/>
      <c r="E2428" s="34" t="s">
        <v>110</v>
      </c>
      <c r="F2428" s="34" t="s">
        <v>197</v>
      </c>
    </row>
    <row r="2429" spans="1:6" hidden="1">
      <c r="A2429" s="212" t="s">
        <v>118</v>
      </c>
      <c r="B2429" s="147"/>
      <c r="C2429" s="147"/>
      <c r="D2429" s="147"/>
      <c r="E2429" s="34" t="s">
        <v>110</v>
      </c>
      <c r="F2429" s="34" t="s">
        <v>197</v>
      </c>
    </row>
    <row r="2430" spans="1:6" hidden="1">
      <c r="A2430" s="212" t="s">
        <v>119</v>
      </c>
      <c r="B2430" s="147"/>
      <c r="C2430" s="147"/>
      <c r="D2430" s="147"/>
      <c r="E2430" s="34" t="s">
        <v>110</v>
      </c>
      <c r="F2430" s="34" t="s">
        <v>197</v>
      </c>
    </row>
    <row r="2431" spans="1:6" hidden="1">
      <c r="A2431" s="212" t="s">
        <v>120</v>
      </c>
      <c r="B2431" s="147"/>
      <c r="C2431" s="147"/>
      <c r="D2431" s="147"/>
      <c r="E2431" s="34" t="s">
        <v>110</v>
      </c>
      <c r="F2431" s="34" t="s">
        <v>197</v>
      </c>
    </row>
    <row r="2432" spans="1:6" hidden="1">
      <c r="A2432" s="212" t="s">
        <v>121</v>
      </c>
      <c r="B2432" s="147"/>
      <c r="C2432" s="147"/>
      <c r="D2432" s="147"/>
      <c r="E2432" s="34" t="s">
        <v>110</v>
      </c>
      <c r="F2432" s="34" t="s">
        <v>197</v>
      </c>
    </row>
    <row r="2433" spans="1:6" hidden="1">
      <c r="A2433" s="212" t="s">
        <v>122</v>
      </c>
      <c r="B2433" s="147"/>
      <c r="C2433" s="147"/>
      <c r="D2433" s="147"/>
      <c r="E2433" s="34" t="s">
        <v>110</v>
      </c>
      <c r="F2433" s="34" t="s">
        <v>197</v>
      </c>
    </row>
    <row r="2434" spans="1:6" hidden="1">
      <c r="A2434" s="212" t="s">
        <v>123</v>
      </c>
      <c r="B2434" s="147"/>
      <c r="C2434" s="147"/>
      <c r="D2434" s="147"/>
      <c r="E2434" s="34" t="s">
        <v>110</v>
      </c>
      <c r="F2434" s="34" t="s">
        <v>197</v>
      </c>
    </row>
    <row r="2435" spans="1:6" hidden="1">
      <c r="A2435" s="212" t="s">
        <v>124</v>
      </c>
      <c r="B2435" s="147"/>
      <c r="C2435" s="147"/>
      <c r="D2435" s="147"/>
      <c r="E2435" s="34" t="s">
        <v>110</v>
      </c>
      <c r="F2435" s="34" t="s">
        <v>197</v>
      </c>
    </row>
    <row r="2436" spans="1:6" hidden="1">
      <c r="A2436" s="212" t="s">
        <v>125</v>
      </c>
      <c r="B2436" s="147"/>
      <c r="C2436" s="147"/>
      <c r="D2436" s="147"/>
      <c r="E2436" s="34" t="s">
        <v>110</v>
      </c>
      <c r="F2436" s="34" t="s">
        <v>197</v>
      </c>
    </row>
    <row r="2437" spans="1:6" hidden="1">
      <c r="A2437" s="212" t="s">
        <v>126</v>
      </c>
      <c r="B2437" s="147"/>
      <c r="C2437" s="147"/>
      <c r="D2437" s="147"/>
      <c r="E2437" s="34" t="s">
        <v>110</v>
      </c>
      <c r="F2437" s="34" t="s">
        <v>197</v>
      </c>
    </row>
    <row r="2438" spans="1:6" hidden="1">
      <c r="A2438" s="212" t="s">
        <v>127</v>
      </c>
      <c r="B2438" s="147"/>
      <c r="C2438" s="147"/>
      <c r="D2438" s="147"/>
      <c r="E2438" s="34" t="s">
        <v>110</v>
      </c>
      <c r="F2438" s="34" t="s">
        <v>197</v>
      </c>
    </row>
    <row r="2439" spans="1:6" hidden="1">
      <c r="A2439" s="230" t="s">
        <v>116</v>
      </c>
      <c r="B2439" s="149"/>
      <c r="C2439" s="149"/>
      <c r="D2439" s="149"/>
      <c r="E2439" s="34" t="s">
        <v>110</v>
      </c>
      <c r="F2439" s="34" t="s">
        <v>199</v>
      </c>
    </row>
    <row r="2440" spans="1:6" hidden="1">
      <c r="A2440" s="230" t="s">
        <v>117</v>
      </c>
      <c r="B2440" s="149"/>
      <c r="C2440" s="149"/>
      <c r="D2440" s="149"/>
      <c r="E2440" s="34" t="s">
        <v>110</v>
      </c>
      <c r="F2440" s="34" t="s">
        <v>199</v>
      </c>
    </row>
    <row r="2441" spans="1:6" hidden="1">
      <c r="A2441" s="230" t="s">
        <v>118</v>
      </c>
      <c r="B2441" s="149"/>
      <c r="C2441" s="149"/>
      <c r="D2441" s="149"/>
      <c r="E2441" s="34" t="s">
        <v>110</v>
      </c>
      <c r="F2441" s="34" t="s">
        <v>199</v>
      </c>
    </row>
    <row r="2442" spans="1:6" hidden="1">
      <c r="A2442" s="230" t="s">
        <v>119</v>
      </c>
      <c r="B2442" s="149"/>
      <c r="C2442" s="149"/>
      <c r="D2442" s="149"/>
      <c r="E2442" s="34" t="s">
        <v>110</v>
      </c>
      <c r="F2442" s="34" t="s">
        <v>199</v>
      </c>
    </row>
    <row r="2443" spans="1:6" hidden="1">
      <c r="A2443" s="230" t="s">
        <v>120</v>
      </c>
      <c r="B2443" s="149"/>
      <c r="C2443" s="149"/>
      <c r="D2443" s="149"/>
      <c r="E2443" s="34" t="s">
        <v>110</v>
      </c>
      <c r="F2443" s="34" t="s">
        <v>199</v>
      </c>
    </row>
    <row r="2444" spans="1:6" hidden="1">
      <c r="A2444" s="230" t="s">
        <v>121</v>
      </c>
      <c r="B2444" s="149"/>
      <c r="C2444" s="149"/>
      <c r="D2444" s="149"/>
      <c r="E2444" s="34" t="s">
        <v>110</v>
      </c>
      <c r="F2444" s="34" t="s">
        <v>199</v>
      </c>
    </row>
    <row r="2445" spans="1:6" hidden="1">
      <c r="A2445" s="230" t="s">
        <v>122</v>
      </c>
      <c r="B2445" s="149"/>
      <c r="C2445" s="149"/>
      <c r="D2445" s="149"/>
      <c r="E2445" s="34" t="s">
        <v>110</v>
      </c>
      <c r="F2445" s="34" t="s">
        <v>199</v>
      </c>
    </row>
    <row r="2446" spans="1:6" hidden="1">
      <c r="A2446" s="230" t="s">
        <v>123</v>
      </c>
      <c r="B2446" s="149"/>
      <c r="C2446" s="149"/>
      <c r="D2446" s="149"/>
      <c r="E2446" s="34" t="s">
        <v>110</v>
      </c>
      <c r="F2446" s="34" t="s">
        <v>199</v>
      </c>
    </row>
    <row r="2447" spans="1:6" hidden="1">
      <c r="A2447" s="230" t="s">
        <v>124</v>
      </c>
      <c r="B2447" s="149"/>
      <c r="C2447" s="149"/>
      <c r="D2447" s="149"/>
      <c r="E2447" s="34" t="s">
        <v>110</v>
      </c>
      <c r="F2447" s="34" t="s">
        <v>199</v>
      </c>
    </row>
    <row r="2448" spans="1:6" hidden="1">
      <c r="A2448" s="230" t="s">
        <v>125</v>
      </c>
      <c r="B2448" s="149"/>
      <c r="C2448" s="149"/>
      <c r="D2448" s="149"/>
      <c r="E2448" s="34" t="s">
        <v>110</v>
      </c>
      <c r="F2448" s="34" t="s">
        <v>199</v>
      </c>
    </row>
    <row r="2449" spans="1:6" hidden="1">
      <c r="A2449" s="230" t="s">
        <v>126</v>
      </c>
      <c r="B2449" s="149"/>
      <c r="C2449" s="149"/>
      <c r="D2449" s="149"/>
      <c r="E2449" s="34" t="s">
        <v>110</v>
      </c>
      <c r="F2449" s="34" t="s">
        <v>199</v>
      </c>
    </row>
    <row r="2450" spans="1:6" hidden="1">
      <c r="A2450" s="230" t="s">
        <v>127</v>
      </c>
      <c r="B2450" s="149"/>
      <c r="C2450" s="149"/>
      <c r="D2450" s="149"/>
      <c r="E2450" s="34" t="s">
        <v>110</v>
      </c>
      <c r="F2450" s="34" t="s">
        <v>199</v>
      </c>
    </row>
    <row r="2451" spans="1:6" hidden="1">
      <c r="A2451" s="212" t="s">
        <v>116</v>
      </c>
      <c r="B2451" s="147"/>
      <c r="C2451" s="147"/>
      <c r="D2451" s="147"/>
      <c r="E2451" s="34" t="s">
        <v>110</v>
      </c>
      <c r="F2451" s="34" t="s">
        <v>222</v>
      </c>
    </row>
    <row r="2452" spans="1:6" hidden="1">
      <c r="A2452" s="212" t="s">
        <v>117</v>
      </c>
      <c r="B2452" s="147"/>
      <c r="C2452" s="147"/>
      <c r="D2452" s="147"/>
      <c r="E2452" s="34" t="s">
        <v>110</v>
      </c>
      <c r="F2452" s="34" t="s">
        <v>222</v>
      </c>
    </row>
    <row r="2453" spans="1:6" hidden="1">
      <c r="A2453" s="212" t="s">
        <v>118</v>
      </c>
      <c r="B2453" s="147"/>
      <c r="C2453" s="147"/>
      <c r="D2453" s="147"/>
      <c r="E2453" s="34" t="s">
        <v>110</v>
      </c>
      <c r="F2453" s="34" t="s">
        <v>222</v>
      </c>
    </row>
    <row r="2454" spans="1:6" hidden="1">
      <c r="A2454" s="212" t="s">
        <v>119</v>
      </c>
      <c r="B2454" s="147"/>
      <c r="C2454" s="147"/>
      <c r="D2454" s="147"/>
      <c r="E2454" s="34" t="s">
        <v>110</v>
      </c>
      <c r="F2454" s="34" t="s">
        <v>222</v>
      </c>
    </row>
    <row r="2455" spans="1:6" hidden="1">
      <c r="A2455" s="212" t="s">
        <v>120</v>
      </c>
      <c r="B2455" s="147"/>
      <c r="C2455" s="147"/>
      <c r="D2455" s="147"/>
      <c r="E2455" s="34" t="s">
        <v>110</v>
      </c>
      <c r="F2455" s="34" t="s">
        <v>222</v>
      </c>
    </row>
    <row r="2456" spans="1:6" hidden="1">
      <c r="A2456" s="212" t="s">
        <v>121</v>
      </c>
      <c r="B2456" s="147"/>
      <c r="C2456" s="147"/>
      <c r="D2456" s="147"/>
      <c r="E2456" s="34" t="s">
        <v>110</v>
      </c>
      <c r="F2456" s="34" t="s">
        <v>222</v>
      </c>
    </row>
    <row r="2457" spans="1:6" hidden="1">
      <c r="A2457" s="212" t="s">
        <v>122</v>
      </c>
      <c r="B2457" s="147"/>
      <c r="C2457" s="147"/>
      <c r="D2457" s="147"/>
      <c r="E2457" s="34" t="s">
        <v>110</v>
      </c>
      <c r="F2457" s="34" t="s">
        <v>222</v>
      </c>
    </row>
    <row r="2458" spans="1:6" hidden="1">
      <c r="A2458" s="212" t="s">
        <v>123</v>
      </c>
      <c r="B2458" s="147"/>
      <c r="C2458" s="147"/>
      <c r="D2458" s="147"/>
      <c r="E2458" s="34" t="s">
        <v>110</v>
      </c>
      <c r="F2458" s="34" t="s">
        <v>222</v>
      </c>
    </row>
    <row r="2459" spans="1:6" hidden="1">
      <c r="A2459" s="212" t="s">
        <v>124</v>
      </c>
      <c r="B2459" s="147"/>
      <c r="C2459" s="147"/>
      <c r="D2459" s="147"/>
      <c r="E2459" s="34" t="s">
        <v>110</v>
      </c>
      <c r="F2459" s="34" t="s">
        <v>222</v>
      </c>
    </row>
    <row r="2460" spans="1:6" hidden="1">
      <c r="A2460" s="212" t="s">
        <v>125</v>
      </c>
      <c r="B2460" s="147"/>
      <c r="C2460" s="147"/>
      <c r="D2460" s="147"/>
      <c r="E2460" s="34" t="s">
        <v>110</v>
      </c>
      <c r="F2460" s="34" t="s">
        <v>222</v>
      </c>
    </row>
    <row r="2461" spans="1:6" hidden="1">
      <c r="A2461" s="212" t="s">
        <v>126</v>
      </c>
      <c r="B2461" s="147"/>
      <c r="C2461" s="147"/>
      <c r="D2461" s="147"/>
      <c r="E2461" s="34" t="s">
        <v>110</v>
      </c>
      <c r="F2461" s="34" t="s">
        <v>222</v>
      </c>
    </row>
    <row r="2462" spans="1:6" hidden="1">
      <c r="A2462" s="212" t="s">
        <v>127</v>
      </c>
      <c r="B2462" s="147"/>
      <c r="C2462" s="147"/>
      <c r="D2462" s="147"/>
      <c r="E2462" s="34" t="s">
        <v>110</v>
      </c>
      <c r="F2462" s="34" t="s">
        <v>222</v>
      </c>
    </row>
    <row r="2463" spans="1:6" hidden="1">
      <c r="A2463" s="230" t="s">
        <v>116</v>
      </c>
      <c r="B2463" s="149"/>
      <c r="C2463" s="149"/>
      <c r="D2463" s="149"/>
      <c r="E2463" s="34" t="s">
        <v>110</v>
      </c>
      <c r="F2463" s="34" t="s">
        <v>198</v>
      </c>
    </row>
    <row r="2464" spans="1:6" hidden="1">
      <c r="A2464" s="230" t="s">
        <v>117</v>
      </c>
      <c r="B2464" s="149"/>
      <c r="C2464" s="149"/>
      <c r="D2464" s="149"/>
      <c r="E2464" s="34" t="s">
        <v>110</v>
      </c>
      <c r="F2464" s="34" t="s">
        <v>198</v>
      </c>
    </row>
    <row r="2465" spans="1:6" hidden="1">
      <c r="A2465" s="230" t="s">
        <v>118</v>
      </c>
      <c r="B2465" s="149"/>
      <c r="C2465" s="149"/>
      <c r="D2465" s="149"/>
      <c r="E2465" s="34" t="s">
        <v>110</v>
      </c>
      <c r="F2465" s="34" t="s">
        <v>198</v>
      </c>
    </row>
    <row r="2466" spans="1:6" hidden="1">
      <c r="A2466" s="230" t="s">
        <v>119</v>
      </c>
      <c r="B2466" s="149"/>
      <c r="C2466" s="149"/>
      <c r="D2466" s="149"/>
      <c r="E2466" s="34" t="s">
        <v>110</v>
      </c>
      <c r="F2466" s="34" t="s">
        <v>198</v>
      </c>
    </row>
    <row r="2467" spans="1:6" hidden="1">
      <c r="A2467" s="230" t="s">
        <v>120</v>
      </c>
      <c r="B2467" s="149"/>
      <c r="C2467" s="149"/>
      <c r="D2467" s="149"/>
      <c r="E2467" s="34" t="s">
        <v>110</v>
      </c>
      <c r="F2467" s="34" t="s">
        <v>198</v>
      </c>
    </row>
    <row r="2468" spans="1:6" hidden="1">
      <c r="A2468" s="230" t="s">
        <v>121</v>
      </c>
      <c r="B2468" s="149"/>
      <c r="C2468" s="149"/>
      <c r="D2468" s="149"/>
      <c r="E2468" s="34" t="s">
        <v>110</v>
      </c>
      <c r="F2468" s="34" t="s">
        <v>198</v>
      </c>
    </row>
    <row r="2469" spans="1:6" hidden="1">
      <c r="A2469" s="230" t="s">
        <v>122</v>
      </c>
      <c r="B2469" s="149"/>
      <c r="C2469" s="149"/>
      <c r="D2469" s="149"/>
      <c r="E2469" s="34" t="s">
        <v>110</v>
      </c>
      <c r="F2469" s="34" t="s">
        <v>198</v>
      </c>
    </row>
    <row r="2470" spans="1:6" hidden="1">
      <c r="A2470" s="230" t="s">
        <v>123</v>
      </c>
      <c r="B2470" s="149"/>
      <c r="C2470" s="149"/>
      <c r="D2470" s="149"/>
      <c r="E2470" s="34" t="s">
        <v>110</v>
      </c>
      <c r="F2470" s="34" t="s">
        <v>198</v>
      </c>
    </row>
    <row r="2471" spans="1:6" hidden="1">
      <c r="A2471" s="230" t="s">
        <v>124</v>
      </c>
      <c r="B2471" s="149"/>
      <c r="C2471" s="149"/>
      <c r="D2471" s="149"/>
      <c r="E2471" s="34" t="s">
        <v>110</v>
      </c>
      <c r="F2471" s="34" t="s">
        <v>198</v>
      </c>
    </row>
    <row r="2472" spans="1:6" hidden="1">
      <c r="A2472" s="230" t="s">
        <v>125</v>
      </c>
      <c r="B2472" s="149"/>
      <c r="C2472" s="149"/>
      <c r="D2472" s="149"/>
      <c r="E2472" s="34" t="s">
        <v>110</v>
      </c>
      <c r="F2472" s="34" t="s">
        <v>198</v>
      </c>
    </row>
    <row r="2473" spans="1:6" hidden="1">
      <c r="A2473" s="230" t="s">
        <v>126</v>
      </c>
      <c r="B2473" s="149"/>
      <c r="C2473" s="149"/>
      <c r="D2473" s="149"/>
      <c r="E2473" s="34" t="s">
        <v>110</v>
      </c>
      <c r="F2473" s="34" t="s">
        <v>198</v>
      </c>
    </row>
    <row r="2474" spans="1:6" hidden="1">
      <c r="A2474" s="230" t="s">
        <v>127</v>
      </c>
      <c r="B2474" s="149"/>
      <c r="C2474" s="149"/>
      <c r="D2474" s="149"/>
      <c r="E2474" s="34" t="s">
        <v>110</v>
      </c>
      <c r="F2474" s="34" t="s">
        <v>198</v>
      </c>
    </row>
    <row r="2475" spans="1:6" hidden="1">
      <c r="A2475" s="212" t="s">
        <v>116</v>
      </c>
      <c r="B2475" s="147"/>
      <c r="C2475" s="147"/>
      <c r="D2475" s="147"/>
      <c r="E2475" s="34" t="s">
        <v>110</v>
      </c>
      <c r="F2475" s="34" t="s">
        <v>28</v>
      </c>
    </row>
    <row r="2476" spans="1:6" hidden="1">
      <c r="A2476" s="212" t="s">
        <v>117</v>
      </c>
      <c r="B2476" s="147"/>
      <c r="C2476" s="147"/>
      <c r="D2476" s="147"/>
      <c r="E2476" s="34" t="s">
        <v>110</v>
      </c>
      <c r="F2476" s="34" t="s">
        <v>28</v>
      </c>
    </row>
    <row r="2477" spans="1:6" hidden="1">
      <c r="A2477" s="212" t="s">
        <v>118</v>
      </c>
      <c r="B2477" s="147"/>
      <c r="C2477" s="147"/>
      <c r="D2477" s="147"/>
      <c r="E2477" s="34" t="s">
        <v>110</v>
      </c>
      <c r="F2477" s="34" t="s">
        <v>28</v>
      </c>
    </row>
    <row r="2478" spans="1:6" hidden="1">
      <c r="A2478" s="212" t="s">
        <v>119</v>
      </c>
      <c r="B2478" s="147"/>
      <c r="C2478" s="147"/>
      <c r="D2478" s="147"/>
      <c r="E2478" s="34" t="s">
        <v>110</v>
      </c>
      <c r="F2478" s="34" t="s">
        <v>28</v>
      </c>
    </row>
    <row r="2479" spans="1:6" hidden="1">
      <c r="A2479" s="212" t="s">
        <v>120</v>
      </c>
      <c r="B2479" s="147"/>
      <c r="C2479" s="147"/>
      <c r="D2479" s="147"/>
      <c r="E2479" s="34" t="s">
        <v>110</v>
      </c>
      <c r="F2479" s="34" t="s">
        <v>28</v>
      </c>
    </row>
    <row r="2480" spans="1:6" hidden="1">
      <c r="A2480" s="212" t="s">
        <v>121</v>
      </c>
      <c r="B2480" s="147"/>
      <c r="C2480" s="147"/>
      <c r="D2480" s="147"/>
      <c r="E2480" s="34" t="s">
        <v>110</v>
      </c>
      <c r="F2480" s="34" t="s">
        <v>28</v>
      </c>
    </row>
    <row r="2481" spans="1:6" hidden="1">
      <c r="A2481" s="212" t="s">
        <v>122</v>
      </c>
      <c r="B2481" s="147"/>
      <c r="C2481" s="147"/>
      <c r="D2481" s="147"/>
      <c r="E2481" s="34" t="s">
        <v>110</v>
      </c>
      <c r="F2481" s="34" t="s">
        <v>28</v>
      </c>
    </row>
    <row r="2482" spans="1:6" hidden="1">
      <c r="A2482" s="212" t="s">
        <v>123</v>
      </c>
      <c r="B2482" s="147"/>
      <c r="C2482" s="147"/>
      <c r="D2482" s="147"/>
      <c r="E2482" s="34" t="s">
        <v>110</v>
      </c>
      <c r="F2482" s="34" t="s">
        <v>28</v>
      </c>
    </row>
    <row r="2483" spans="1:6" hidden="1">
      <c r="A2483" s="212" t="s">
        <v>124</v>
      </c>
      <c r="B2483" s="147"/>
      <c r="C2483" s="147"/>
      <c r="D2483" s="147"/>
      <c r="E2483" s="34" t="s">
        <v>110</v>
      </c>
      <c r="F2483" s="34" t="s">
        <v>28</v>
      </c>
    </row>
    <row r="2484" spans="1:6" hidden="1">
      <c r="A2484" s="212" t="s">
        <v>125</v>
      </c>
      <c r="B2484" s="147"/>
      <c r="C2484" s="147"/>
      <c r="D2484" s="147"/>
      <c r="E2484" s="34" t="s">
        <v>110</v>
      </c>
      <c r="F2484" s="34" t="s">
        <v>28</v>
      </c>
    </row>
    <row r="2485" spans="1:6" hidden="1">
      <c r="A2485" s="212" t="s">
        <v>126</v>
      </c>
      <c r="B2485" s="147"/>
      <c r="C2485" s="147"/>
      <c r="D2485" s="147"/>
      <c r="E2485" s="34" t="s">
        <v>110</v>
      </c>
      <c r="F2485" s="34" t="s">
        <v>28</v>
      </c>
    </row>
    <row r="2486" spans="1:6" hidden="1">
      <c r="A2486" s="212" t="s">
        <v>127</v>
      </c>
      <c r="B2486" s="147"/>
      <c r="C2486" s="147"/>
      <c r="D2486" s="147"/>
      <c r="E2486" s="34" t="s">
        <v>110</v>
      </c>
      <c r="F2486" s="34" t="s">
        <v>28</v>
      </c>
    </row>
    <row r="2487" spans="1:6" hidden="1">
      <c r="A2487" s="230" t="s">
        <v>116</v>
      </c>
      <c r="B2487" s="149"/>
      <c r="C2487" s="149"/>
      <c r="D2487" s="149"/>
      <c r="E2487" s="34" t="s">
        <v>110</v>
      </c>
      <c r="F2487" s="149" t="s">
        <v>142</v>
      </c>
    </row>
    <row r="2488" spans="1:6" hidden="1">
      <c r="A2488" s="230" t="s">
        <v>117</v>
      </c>
      <c r="B2488" s="149"/>
      <c r="C2488" s="149"/>
      <c r="D2488" s="149"/>
      <c r="E2488" s="34" t="s">
        <v>110</v>
      </c>
      <c r="F2488" s="149" t="s">
        <v>142</v>
      </c>
    </row>
    <row r="2489" spans="1:6" hidden="1">
      <c r="A2489" s="230" t="s">
        <v>118</v>
      </c>
      <c r="B2489" s="149"/>
      <c r="C2489" s="149"/>
      <c r="D2489" s="149"/>
      <c r="E2489" s="34" t="s">
        <v>110</v>
      </c>
      <c r="F2489" s="149" t="s">
        <v>142</v>
      </c>
    </row>
    <row r="2490" spans="1:6" hidden="1">
      <c r="A2490" s="230" t="s">
        <v>119</v>
      </c>
      <c r="B2490" s="149"/>
      <c r="C2490" s="149"/>
      <c r="D2490" s="149"/>
      <c r="E2490" s="34" t="s">
        <v>110</v>
      </c>
      <c r="F2490" s="149" t="s">
        <v>142</v>
      </c>
    </row>
    <row r="2491" spans="1:6" hidden="1">
      <c r="A2491" s="230" t="s">
        <v>120</v>
      </c>
      <c r="B2491" s="149"/>
      <c r="C2491" s="149"/>
      <c r="D2491" s="149"/>
      <c r="E2491" s="34" t="s">
        <v>110</v>
      </c>
      <c r="F2491" s="149" t="s">
        <v>142</v>
      </c>
    </row>
    <row r="2492" spans="1:6" hidden="1">
      <c r="A2492" s="230" t="s">
        <v>121</v>
      </c>
      <c r="B2492" s="149"/>
      <c r="C2492" s="149"/>
      <c r="D2492" s="149"/>
      <c r="E2492" s="34" t="s">
        <v>110</v>
      </c>
      <c r="F2492" s="149" t="s">
        <v>142</v>
      </c>
    </row>
    <row r="2493" spans="1:6" hidden="1">
      <c r="A2493" s="230" t="s">
        <v>122</v>
      </c>
      <c r="B2493" s="149"/>
      <c r="C2493" s="149"/>
      <c r="D2493" s="149"/>
      <c r="E2493" s="34" t="s">
        <v>110</v>
      </c>
      <c r="F2493" s="149" t="s">
        <v>142</v>
      </c>
    </row>
    <row r="2494" spans="1:6" hidden="1">
      <c r="A2494" s="230" t="s">
        <v>123</v>
      </c>
      <c r="B2494" s="149"/>
      <c r="C2494" s="149"/>
      <c r="D2494" s="149"/>
      <c r="E2494" s="34" t="s">
        <v>110</v>
      </c>
      <c r="F2494" s="149" t="s">
        <v>142</v>
      </c>
    </row>
    <row r="2495" spans="1:6" hidden="1">
      <c r="A2495" s="230" t="s">
        <v>124</v>
      </c>
      <c r="B2495" s="149"/>
      <c r="C2495" s="149"/>
      <c r="D2495" s="149"/>
      <c r="E2495" s="34" t="s">
        <v>110</v>
      </c>
      <c r="F2495" s="149" t="s">
        <v>142</v>
      </c>
    </row>
    <row r="2496" spans="1:6" hidden="1">
      <c r="A2496" s="230" t="s">
        <v>125</v>
      </c>
      <c r="B2496" s="149"/>
      <c r="C2496" s="149"/>
      <c r="D2496" s="149"/>
      <c r="E2496" s="34" t="s">
        <v>110</v>
      </c>
      <c r="F2496" s="149" t="s">
        <v>142</v>
      </c>
    </row>
    <row r="2497" spans="1:6" hidden="1">
      <c r="A2497" s="230" t="s">
        <v>126</v>
      </c>
      <c r="B2497" s="149"/>
      <c r="C2497" s="149"/>
      <c r="D2497" s="149"/>
      <c r="E2497" s="34" t="s">
        <v>110</v>
      </c>
      <c r="F2497" s="149" t="s">
        <v>142</v>
      </c>
    </row>
    <row r="2498" spans="1:6" hidden="1">
      <c r="A2498" s="230" t="s">
        <v>127</v>
      </c>
      <c r="B2498" s="149"/>
      <c r="C2498" s="149"/>
      <c r="D2498" s="149"/>
      <c r="E2498" s="34" t="s">
        <v>110</v>
      </c>
      <c r="F2498" s="149" t="s">
        <v>142</v>
      </c>
    </row>
    <row r="2499" spans="1:6" hidden="1">
      <c r="A2499" s="212" t="s">
        <v>116</v>
      </c>
      <c r="B2499" s="147"/>
      <c r="C2499" s="147"/>
      <c r="D2499" s="147"/>
      <c r="E2499" s="34" t="s">
        <v>111</v>
      </c>
      <c r="F2499" s="34" t="s">
        <v>197</v>
      </c>
    </row>
    <row r="2500" spans="1:6" hidden="1">
      <c r="A2500" s="212" t="s">
        <v>117</v>
      </c>
      <c r="B2500" s="147"/>
      <c r="C2500" s="147"/>
      <c r="D2500" s="147"/>
      <c r="E2500" s="34" t="s">
        <v>111</v>
      </c>
      <c r="F2500" s="34" t="s">
        <v>197</v>
      </c>
    </row>
    <row r="2501" spans="1:6" hidden="1">
      <c r="A2501" s="212" t="s">
        <v>118</v>
      </c>
      <c r="B2501" s="147"/>
      <c r="C2501" s="147"/>
      <c r="D2501" s="147"/>
      <c r="E2501" s="34" t="s">
        <v>111</v>
      </c>
      <c r="F2501" s="34" t="s">
        <v>197</v>
      </c>
    </row>
    <row r="2502" spans="1:6" hidden="1">
      <c r="A2502" s="212" t="s">
        <v>119</v>
      </c>
      <c r="B2502" s="147"/>
      <c r="C2502" s="147"/>
      <c r="D2502" s="147"/>
      <c r="E2502" s="34" t="s">
        <v>111</v>
      </c>
      <c r="F2502" s="34" t="s">
        <v>197</v>
      </c>
    </row>
    <row r="2503" spans="1:6" hidden="1">
      <c r="A2503" s="212" t="s">
        <v>120</v>
      </c>
      <c r="B2503" s="147"/>
      <c r="C2503" s="147"/>
      <c r="D2503" s="147"/>
      <c r="E2503" s="34" t="s">
        <v>111</v>
      </c>
      <c r="F2503" s="34" t="s">
        <v>197</v>
      </c>
    </row>
    <row r="2504" spans="1:6" hidden="1">
      <c r="A2504" s="212" t="s">
        <v>121</v>
      </c>
      <c r="B2504" s="147"/>
      <c r="C2504" s="147"/>
      <c r="D2504" s="147"/>
      <c r="E2504" s="34" t="s">
        <v>111</v>
      </c>
      <c r="F2504" s="34" t="s">
        <v>197</v>
      </c>
    </row>
    <row r="2505" spans="1:6" hidden="1">
      <c r="A2505" s="212" t="s">
        <v>122</v>
      </c>
      <c r="B2505" s="147"/>
      <c r="C2505" s="147"/>
      <c r="D2505" s="147"/>
      <c r="E2505" s="34" t="s">
        <v>111</v>
      </c>
      <c r="F2505" s="34" t="s">
        <v>197</v>
      </c>
    </row>
    <row r="2506" spans="1:6" hidden="1">
      <c r="A2506" s="212" t="s">
        <v>123</v>
      </c>
      <c r="B2506" s="147"/>
      <c r="C2506" s="147"/>
      <c r="D2506" s="147"/>
      <c r="E2506" s="34" t="s">
        <v>111</v>
      </c>
      <c r="F2506" s="34" t="s">
        <v>197</v>
      </c>
    </row>
    <row r="2507" spans="1:6" hidden="1">
      <c r="A2507" s="212" t="s">
        <v>124</v>
      </c>
      <c r="B2507" s="147"/>
      <c r="C2507" s="147"/>
      <c r="D2507" s="147"/>
      <c r="E2507" s="34" t="s">
        <v>111</v>
      </c>
      <c r="F2507" s="34" t="s">
        <v>197</v>
      </c>
    </row>
    <row r="2508" spans="1:6" hidden="1">
      <c r="A2508" s="212" t="s">
        <v>125</v>
      </c>
      <c r="B2508" s="147"/>
      <c r="C2508" s="147"/>
      <c r="D2508" s="147"/>
      <c r="E2508" s="34" t="s">
        <v>111</v>
      </c>
      <c r="F2508" s="34" t="s">
        <v>197</v>
      </c>
    </row>
    <row r="2509" spans="1:6" hidden="1">
      <c r="A2509" s="212" t="s">
        <v>126</v>
      </c>
      <c r="B2509" s="147"/>
      <c r="C2509" s="147"/>
      <c r="D2509" s="147"/>
      <c r="E2509" s="34" t="s">
        <v>111</v>
      </c>
      <c r="F2509" s="34" t="s">
        <v>197</v>
      </c>
    </row>
    <row r="2510" spans="1:6" hidden="1">
      <c r="A2510" s="212" t="s">
        <v>127</v>
      </c>
      <c r="B2510" s="147"/>
      <c r="C2510" s="147"/>
      <c r="D2510" s="147"/>
      <c r="E2510" s="34" t="s">
        <v>111</v>
      </c>
      <c r="F2510" s="34" t="s">
        <v>197</v>
      </c>
    </row>
    <row r="2511" spans="1:6" hidden="1">
      <c r="A2511" s="230" t="s">
        <v>116</v>
      </c>
      <c r="B2511" s="149"/>
      <c r="C2511" s="149"/>
      <c r="D2511" s="149"/>
      <c r="E2511" s="34" t="s">
        <v>111</v>
      </c>
      <c r="F2511" s="34" t="s">
        <v>199</v>
      </c>
    </row>
    <row r="2512" spans="1:6" hidden="1">
      <c r="A2512" s="230" t="s">
        <v>117</v>
      </c>
      <c r="B2512" s="149"/>
      <c r="C2512" s="149"/>
      <c r="D2512" s="149"/>
      <c r="E2512" s="34" t="s">
        <v>111</v>
      </c>
      <c r="F2512" s="34" t="s">
        <v>199</v>
      </c>
    </row>
    <row r="2513" spans="1:6" hidden="1">
      <c r="A2513" s="230" t="s">
        <v>118</v>
      </c>
      <c r="B2513" s="149"/>
      <c r="C2513" s="149"/>
      <c r="D2513" s="149"/>
      <c r="E2513" s="34" t="s">
        <v>111</v>
      </c>
      <c r="F2513" s="34" t="s">
        <v>199</v>
      </c>
    </row>
    <row r="2514" spans="1:6" hidden="1">
      <c r="A2514" s="230" t="s">
        <v>119</v>
      </c>
      <c r="B2514" s="149"/>
      <c r="C2514" s="149"/>
      <c r="D2514" s="149"/>
      <c r="E2514" s="34" t="s">
        <v>111</v>
      </c>
      <c r="F2514" s="34" t="s">
        <v>199</v>
      </c>
    </row>
    <row r="2515" spans="1:6" hidden="1">
      <c r="A2515" s="230" t="s">
        <v>120</v>
      </c>
      <c r="B2515" s="149"/>
      <c r="C2515" s="149"/>
      <c r="D2515" s="149"/>
      <c r="E2515" s="34" t="s">
        <v>111</v>
      </c>
      <c r="F2515" s="34" t="s">
        <v>199</v>
      </c>
    </row>
    <row r="2516" spans="1:6" hidden="1">
      <c r="A2516" s="230" t="s">
        <v>121</v>
      </c>
      <c r="B2516" s="149"/>
      <c r="C2516" s="149"/>
      <c r="D2516" s="149"/>
      <c r="E2516" s="34" t="s">
        <v>111</v>
      </c>
      <c r="F2516" s="34" t="s">
        <v>199</v>
      </c>
    </row>
    <row r="2517" spans="1:6" hidden="1">
      <c r="A2517" s="230" t="s">
        <v>122</v>
      </c>
      <c r="B2517" s="149"/>
      <c r="C2517" s="149"/>
      <c r="D2517" s="149"/>
      <c r="E2517" s="34" t="s">
        <v>111</v>
      </c>
      <c r="F2517" s="34" t="s">
        <v>199</v>
      </c>
    </row>
    <row r="2518" spans="1:6" hidden="1">
      <c r="A2518" s="230" t="s">
        <v>123</v>
      </c>
      <c r="B2518" s="149"/>
      <c r="C2518" s="149"/>
      <c r="D2518" s="149"/>
      <c r="E2518" s="34" t="s">
        <v>111</v>
      </c>
      <c r="F2518" s="34" t="s">
        <v>199</v>
      </c>
    </row>
    <row r="2519" spans="1:6" hidden="1">
      <c r="A2519" s="230" t="s">
        <v>124</v>
      </c>
      <c r="B2519" s="149"/>
      <c r="C2519" s="149"/>
      <c r="D2519" s="149"/>
      <c r="E2519" s="34" t="s">
        <v>111</v>
      </c>
      <c r="F2519" s="34" t="s">
        <v>199</v>
      </c>
    </row>
    <row r="2520" spans="1:6" hidden="1">
      <c r="A2520" s="230" t="s">
        <v>125</v>
      </c>
      <c r="B2520" s="149"/>
      <c r="C2520" s="149"/>
      <c r="D2520" s="149"/>
      <c r="E2520" s="34" t="s">
        <v>111</v>
      </c>
      <c r="F2520" s="34" t="s">
        <v>199</v>
      </c>
    </row>
    <row r="2521" spans="1:6" hidden="1">
      <c r="A2521" s="230" t="s">
        <v>126</v>
      </c>
      <c r="B2521" s="149"/>
      <c r="C2521" s="149"/>
      <c r="D2521" s="149"/>
      <c r="E2521" s="34" t="s">
        <v>111</v>
      </c>
      <c r="F2521" s="34" t="s">
        <v>199</v>
      </c>
    </row>
    <row r="2522" spans="1:6" hidden="1">
      <c r="A2522" s="230" t="s">
        <v>127</v>
      </c>
      <c r="B2522" s="149"/>
      <c r="C2522" s="149"/>
      <c r="D2522" s="149"/>
      <c r="E2522" s="34" t="s">
        <v>111</v>
      </c>
      <c r="F2522" s="34" t="s">
        <v>199</v>
      </c>
    </row>
    <row r="2523" spans="1:6" hidden="1">
      <c r="A2523" s="212" t="s">
        <v>116</v>
      </c>
      <c r="B2523" s="147"/>
      <c r="C2523" s="147"/>
      <c r="D2523" s="147"/>
      <c r="E2523" s="34" t="s">
        <v>111</v>
      </c>
      <c r="F2523" s="34" t="s">
        <v>222</v>
      </c>
    </row>
    <row r="2524" spans="1:6" hidden="1">
      <c r="A2524" s="212" t="s">
        <v>117</v>
      </c>
      <c r="B2524" s="147"/>
      <c r="C2524" s="147"/>
      <c r="D2524" s="147"/>
      <c r="E2524" s="34" t="s">
        <v>111</v>
      </c>
      <c r="F2524" s="34" t="s">
        <v>222</v>
      </c>
    </row>
    <row r="2525" spans="1:6" hidden="1">
      <c r="A2525" s="212" t="s">
        <v>118</v>
      </c>
      <c r="B2525" s="147"/>
      <c r="C2525" s="147"/>
      <c r="D2525" s="147"/>
      <c r="E2525" s="34" t="s">
        <v>111</v>
      </c>
      <c r="F2525" s="34" t="s">
        <v>222</v>
      </c>
    </row>
    <row r="2526" spans="1:6" hidden="1">
      <c r="A2526" s="212" t="s">
        <v>119</v>
      </c>
      <c r="B2526" s="147"/>
      <c r="C2526" s="147"/>
      <c r="D2526" s="147"/>
      <c r="E2526" s="34" t="s">
        <v>111</v>
      </c>
      <c r="F2526" s="34" t="s">
        <v>222</v>
      </c>
    </row>
    <row r="2527" spans="1:6" hidden="1">
      <c r="A2527" s="212" t="s">
        <v>120</v>
      </c>
      <c r="B2527" s="147"/>
      <c r="C2527" s="147"/>
      <c r="D2527" s="147"/>
      <c r="E2527" s="34" t="s">
        <v>111</v>
      </c>
      <c r="F2527" s="34" t="s">
        <v>222</v>
      </c>
    </row>
    <row r="2528" spans="1:6" hidden="1">
      <c r="A2528" s="212" t="s">
        <v>121</v>
      </c>
      <c r="B2528" s="147"/>
      <c r="C2528" s="147"/>
      <c r="D2528" s="147"/>
      <c r="E2528" s="34" t="s">
        <v>111</v>
      </c>
      <c r="F2528" s="34" t="s">
        <v>222</v>
      </c>
    </row>
    <row r="2529" spans="1:6" hidden="1">
      <c r="A2529" s="212" t="s">
        <v>122</v>
      </c>
      <c r="B2529" s="147"/>
      <c r="C2529" s="147"/>
      <c r="D2529" s="147"/>
      <c r="E2529" s="34" t="s">
        <v>111</v>
      </c>
      <c r="F2529" s="34" t="s">
        <v>222</v>
      </c>
    </row>
    <row r="2530" spans="1:6" hidden="1">
      <c r="A2530" s="212" t="s">
        <v>123</v>
      </c>
      <c r="B2530" s="147"/>
      <c r="C2530" s="147"/>
      <c r="D2530" s="147"/>
      <c r="E2530" s="34" t="s">
        <v>111</v>
      </c>
      <c r="F2530" s="34" t="s">
        <v>222</v>
      </c>
    </row>
    <row r="2531" spans="1:6" hidden="1">
      <c r="A2531" s="212" t="s">
        <v>124</v>
      </c>
      <c r="B2531" s="147"/>
      <c r="C2531" s="147"/>
      <c r="D2531" s="147"/>
      <c r="E2531" s="34" t="s">
        <v>111</v>
      </c>
      <c r="F2531" s="34" t="s">
        <v>222</v>
      </c>
    </row>
    <row r="2532" spans="1:6" hidden="1">
      <c r="A2532" s="212" t="s">
        <v>125</v>
      </c>
      <c r="B2532" s="147"/>
      <c r="C2532" s="147"/>
      <c r="D2532" s="147"/>
      <c r="E2532" s="34" t="s">
        <v>111</v>
      </c>
      <c r="F2532" s="34" t="s">
        <v>222</v>
      </c>
    </row>
    <row r="2533" spans="1:6" hidden="1">
      <c r="A2533" s="212" t="s">
        <v>126</v>
      </c>
      <c r="B2533" s="147"/>
      <c r="C2533" s="147"/>
      <c r="D2533" s="147"/>
      <c r="E2533" s="34" t="s">
        <v>111</v>
      </c>
      <c r="F2533" s="34" t="s">
        <v>222</v>
      </c>
    </row>
    <row r="2534" spans="1:6" hidden="1">
      <c r="A2534" s="212" t="s">
        <v>127</v>
      </c>
      <c r="B2534" s="147"/>
      <c r="C2534" s="147"/>
      <c r="D2534" s="147"/>
      <c r="E2534" s="34" t="s">
        <v>111</v>
      </c>
      <c r="F2534" s="34" t="s">
        <v>222</v>
      </c>
    </row>
    <row r="2535" spans="1:6" hidden="1">
      <c r="A2535" s="230" t="s">
        <v>116</v>
      </c>
      <c r="B2535" s="149"/>
      <c r="C2535" s="149"/>
      <c r="D2535" s="149"/>
      <c r="E2535" s="34" t="s">
        <v>111</v>
      </c>
      <c r="F2535" s="34" t="s">
        <v>198</v>
      </c>
    </row>
    <row r="2536" spans="1:6" hidden="1">
      <c r="A2536" s="230" t="s">
        <v>117</v>
      </c>
      <c r="B2536" s="149"/>
      <c r="C2536" s="149"/>
      <c r="D2536" s="149"/>
      <c r="E2536" s="34" t="s">
        <v>111</v>
      </c>
      <c r="F2536" s="34" t="s">
        <v>198</v>
      </c>
    </row>
    <row r="2537" spans="1:6" hidden="1">
      <c r="A2537" s="230" t="s">
        <v>118</v>
      </c>
      <c r="B2537" s="149"/>
      <c r="C2537" s="149"/>
      <c r="D2537" s="149"/>
      <c r="E2537" s="34" t="s">
        <v>111</v>
      </c>
      <c r="F2537" s="34" t="s">
        <v>198</v>
      </c>
    </row>
    <row r="2538" spans="1:6" hidden="1">
      <c r="A2538" s="230" t="s">
        <v>119</v>
      </c>
      <c r="B2538" s="149"/>
      <c r="C2538" s="149"/>
      <c r="D2538" s="149"/>
      <c r="E2538" s="34" t="s">
        <v>111</v>
      </c>
      <c r="F2538" s="34" t="s">
        <v>198</v>
      </c>
    </row>
    <row r="2539" spans="1:6" hidden="1">
      <c r="A2539" s="230" t="s">
        <v>120</v>
      </c>
      <c r="B2539" s="149"/>
      <c r="C2539" s="149"/>
      <c r="D2539" s="149"/>
      <c r="E2539" s="34" t="s">
        <v>111</v>
      </c>
      <c r="F2539" s="34" t="s">
        <v>198</v>
      </c>
    </row>
    <row r="2540" spans="1:6" hidden="1">
      <c r="A2540" s="230" t="s">
        <v>121</v>
      </c>
      <c r="B2540" s="149"/>
      <c r="C2540" s="149"/>
      <c r="D2540" s="149"/>
      <c r="E2540" s="34" t="s">
        <v>111</v>
      </c>
      <c r="F2540" s="34" t="s">
        <v>198</v>
      </c>
    </row>
    <row r="2541" spans="1:6" hidden="1">
      <c r="A2541" s="230" t="s">
        <v>122</v>
      </c>
      <c r="B2541" s="149"/>
      <c r="C2541" s="149"/>
      <c r="D2541" s="149"/>
      <c r="E2541" s="34" t="s">
        <v>111</v>
      </c>
      <c r="F2541" s="34" t="s">
        <v>198</v>
      </c>
    </row>
    <row r="2542" spans="1:6" hidden="1">
      <c r="A2542" s="230" t="s">
        <v>123</v>
      </c>
      <c r="B2542" s="149"/>
      <c r="C2542" s="149"/>
      <c r="D2542" s="149"/>
      <c r="E2542" s="34" t="s">
        <v>111</v>
      </c>
      <c r="F2542" s="34" t="s">
        <v>198</v>
      </c>
    </row>
    <row r="2543" spans="1:6" hidden="1">
      <c r="A2543" s="230" t="s">
        <v>124</v>
      </c>
      <c r="B2543" s="149"/>
      <c r="C2543" s="149"/>
      <c r="D2543" s="149"/>
      <c r="E2543" s="34" t="s">
        <v>111</v>
      </c>
      <c r="F2543" s="34" t="s">
        <v>198</v>
      </c>
    </row>
    <row r="2544" spans="1:6" hidden="1">
      <c r="A2544" s="230" t="s">
        <v>125</v>
      </c>
      <c r="B2544" s="149"/>
      <c r="C2544" s="149"/>
      <c r="D2544" s="149"/>
      <c r="E2544" s="34" t="s">
        <v>111</v>
      </c>
      <c r="F2544" s="34" t="s">
        <v>198</v>
      </c>
    </row>
    <row r="2545" spans="1:6" hidden="1">
      <c r="A2545" s="230" t="s">
        <v>126</v>
      </c>
      <c r="B2545" s="149"/>
      <c r="C2545" s="149"/>
      <c r="D2545" s="149"/>
      <c r="E2545" s="34" t="s">
        <v>111</v>
      </c>
      <c r="F2545" s="34" t="s">
        <v>198</v>
      </c>
    </row>
    <row r="2546" spans="1:6" hidden="1">
      <c r="A2546" s="230" t="s">
        <v>127</v>
      </c>
      <c r="B2546" s="149"/>
      <c r="C2546" s="149"/>
      <c r="D2546" s="149"/>
      <c r="E2546" s="34" t="s">
        <v>111</v>
      </c>
      <c r="F2546" s="34" t="s">
        <v>198</v>
      </c>
    </row>
    <row r="2547" spans="1:6" hidden="1">
      <c r="A2547" s="212" t="s">
        <v>116</v>
      </c>
      <c r="B2547" s="147"/>
      <c r="C2547" s="147"/>
      <c r="D2547" s="147"/>
      <c r="E2547" s="34" t="s">
        <v>111</v>
      </c>
      <c r="F2547" s="34" t="s">
        <v>28</v>
      </c>
    </row>
    <row r="2548" spans="1:6" hidden="1">
      <c r="A2548" s="212" t="s">
        <v>117</v>
      </c>
      <c r="B2548" s="147"/>
      <c r="C2548" s="147"/>
      <c r="D2548" s="147"/>
      <c r="E2548" s="34" t="s">
        <v>111</v>
      </c>
      <c r="F2548" s="34" t="s">
        <v>28</v>
      </c>
    </row>
    <row r="2549" spans="1:6" hidden="1">
      <c r="A2549" s="212" t="s">
        <v>118</v>
      </c>
      <c r="B2549" s="147"/>
      <c r="C2549" s="147"/>
      <c r="D2549" s="147"/>
      <c r="E2549" s="34" t="s">
        <v>111</v>
      </c>
      <c r="F2549" s="34" t="s">
        <v>28</v>
      </c>
    </row>
    <row r="2550" spans="1:6" hidden="1">
      <c r="A2550" s="212" t="s">
        <v>119</v>
      </c>
      <c r="B2550" s="147"/>
      <c r="C2550" s="147"/>
      <c r="D2550" s="147"/>
      <c r="E2550" s="34" t="s">
        <v>111</v>
      </c>
      <c r="F2550" s="34" t="s">
        <v>28</v>
      </c>
    </row>
    <row r="2551" spans="1:6" hidden="1">
      <c r="A2551" s="212" t="s">
        <v>120</v>
      </c>
      <c r="B2551" s="147"/>
      <c r="C2551" s="147"/>
      <c r="D2551" s="147"/>
      <c r="E2551" s="34" t="s">
        <v>111</v>
      </c>
      <c r="F2551" s="34" t="s">
        <v>28</v>
      </c>
    </row>
    <row r="2552" spans="1:6" hidden="1">
      <c r="A2552" s="212" t="s">
        <v>121</v>
      </c>
      <c r="B2552" s="147"/>
      <c r="C2552" s="147"/>
      <c r="D2552" s="147"/>
      <c r="E2552" s="34" t="s">
        <v>111</v>
      </c>
      <c r="F2552" s="34" t="s">
        <v>28</v>
      </c>
    </row>
    <row r="2553" spans="1:6" hidden="1">
      <c r="A2553" s="212" t="s">
        <v>122</v>
      </c>
      <c r="B2553" s="147"/>
      <c r="C2553" s="147"/>
      <c r="D2553" s="147"/>
      <c r="E2553" s="34" t="s">
        <v>111</v>
      </c>
      <c r="F2553" s="34" t="s">
        <v>28</v>
      </c>
    </row>
    <row r="2554" spans="1:6" hidden="1">
      <c r="A2554" s="212" t="s">
        <v>123</v>
      </c>
      <c r="B2554" s="147"/>
      <c r="C2554" s="147"/>
      <c r="D2554" s="147"/>
      <c r="E2554" s="34" t="s">
        <v>111</v>
      </c>
      <c r="F2554" s="34" t="s">
        <v>28</v>
      </c>
    </row>
    <row r="2555" spans="1:6" hidden="1">
      <c r="A2555" s="212" t="s">
        <v>124</v>
      </c>
      <c r="B2555" s="147"/>
      <c r="C2555" s="147"/>
      <c r="D2555" s="147"/>
      <c r="E2555" s="34" t="s">
        <v>111</v>
      </c>
      <c r="F2555" s="34" t="s">
        <v>28</v>
      </c>
    </row>
    <row r="2556" spans="1:6" hidden="1">
      <c r="A2556" s="212" t="s">
        <v>125</v>
      </c>
      <c r="B2556" s="147"/>
      <c r="C2556" s="147"/>
      <c r="D2556" s="147"/>
      <c r="E2556" s="34" t="s">
        <v>111</v>
      </c>
      <c r="F2556" s="34" t="s">
        <v>28</v>
      </c>
    </row>
    <row r="2557" spans="1:6" hidden="1">
      <c r="A2557" s="212" t="s">
        <v>126</v>
      </c>
      <c r="B2557" s="147"/>
      <c r="C2557" s="147"/>
      <c r="D2557" s="147"/>
      <c r="E2557" s="34" t="s">
        <v>111</v>
      </c>
      <c r="F2557" s="34" t="s">
        <v>28</v>
      </c>
    </row>
    <row r="2558" spans="1:6" hidden="1">
      <c r="A2558" s="212" t="s">
        <v>127</v>
      </c>
      <c r="B2558" s="147"/>
      <c r="C2558" s="147"/>
      <c r="D2558" s="147"/>
      <c r="E2558" s="34" t="s">
        <v>111</v>
      </c>
      <c r="F2558" s="34" t="s">
        <v>28</v>
      </c>
    </row>
    <row r="2559" spans="1:6" hidden="1">
      <c r="A2559" s="230" t="s">
        <v>116</v>
      </c>
      <c r="B2559" s="149"/>
      <c r="C2559" s="149"/>
      <c r="D2559" s="149"/>
      <c r="E2559" s="34" t="s">
        <v>111</v>
      </c>
      <c r="F2559" s="149" t="s">
        <v>142</v>
      </c>
    </row>
    <row r="2560" spans="1:6" hidden="1">
      <c r="A2560" s="230" t="s">
        <v>117</v>
      </c>
      <c r="B2560" s="149"/>
      <c r="C2560" s="149"/>
      <c r="D2560" s="149"/>
      <c r="E2560" s="34" t="s">
        <v>111</v>
      </c>
      <c r="F2560" s="149" t="s">
        <v>142</v>
      </c>
    </row>
    <row r="2561" spans="1:6" hidden="1">
      <c r="A2561" s="230" t="s">
        <v>118</v>
      </c>
      <c r="B2561" s="149"/>
      <c r="C2561" s="149"/>
      <c r="D2561" s="149"/>
      <c r="E2561" s="34" t="s">
        <v>111</v>
      </c>
      <c r="F2561" s="149" t="s">
        <v>142</v>
      </c>
    </row>
    <row r="2562" spans="1:6" hidden="1">
      <c r="A2562" s="230" t="s">
        <v>119</v>
      </c>
      <c r="B2562" s="149"/>
      <c r="C2562" s="149"/>
      <c r="D2562" s="149"/>
      <c r="E2562" s="34" t="s">
        <v>111</v>
      </c>
      <c r="F2562" s="149" t="s">
        <v>142</v>
      </c>
    </row>
    <row r="2563" spans="1:6" hidden="1">
      <c r="A2563" s="230" t="s">
        <v>120</v>
      </c>
      <c r="B2563" s="149"/>
      <c r="C2563" s="149"/>
      <c r="D2563" s="149"/>
      <c r="E2563" s="34" t="s">
        <v>111</v>
      </c>
      <c r="F2563" s="149" t="s">
        <v>142</v>
      </c>
    </row>
    <row r="2564" spans="1:6" hidden="1">
      <c r="A2564" s="230" t="s">
        <v>121</v>
      </c>
      <c r="B2564" s="149"/>
      <c r="C2564" s="149"/>
      <c r="D2564" s="149"/>
      <c r="E2564" s="34" t="s">
        <v>111</v>
      </c>
      <c r="F2564" s="149" t="s">
        <v>142</v>
      </c>
    </row>
    <row r="2565" spans="1:6" hidden="1">
      <c r="A2565" s="230" t="s">
        <v>122</v>
      </c>
      <c r="B2565" s="149"/>
      <c r="C2565" s="149"/>
      <c r="D2565" s="149"/>
      <c r="E2565" s="34" t="s">
        <v>111</v>
      </c>
      <c r="F2565" s="149" t="s">
        <v>142</v>
      </c>
    </row>
    <row r="2566" spans="1:6" hidden="1">
      <c r="A2566" s="230" t="s">
        <v>123</v>
      </c>
      <c r="B2566" s="149"/>
      <c r="C2566" s="149"/>
      <c r="D2566" s="149"/>
      <c r="E2566" s="34" t="s">
        <v>111</v>
      </c>
      <c r="F2566" s="149" t="s">
        <v>142</v>
      </c>
    </row>
    <row r="2567" spans="1:6" hidden="1">
      <c r="A2567" s="230" t="s">
        <v>124</v>
      </c>
      <c r="B2567" s="149"/>
      <c r="C2567" s="149"/>
      <c r="D2567" s="149"/>
      <c r="E2567" s="34" t="s">
        <v>111</v>
      </c>
      <c r="F2567" s="149" t="s">
        <v>142</v>
      </c>
    </row>
    <row r="2568" spans="1:6" hidden="1">
      <c r="A2568" s="230" t="s">
        <v>125</v>
      </c>
      <c r="B2568" s="149"/>
      <c r="C2568" s="149"/>
      <c r="D2568" s="149"/>
      <c r="E2568" s="34" t="s">
        <v>111</v>
      </c>
      <c r="F2568" s="149" t="s">
        <v>142</v>
      </c>
    </row>
    <row r="2569" spans="1:6" hidden="1">
      <c r="A2569" s="230" t="s">
        <v>126</v>
      </c>
      <c r="B2569" s="149"/>
      <c r="C2569" s="149"/>
      <c r="D2569" s="149"/>
      <c r="E2569" s="34" t="s">
        <v>111</v>
      </c>
      <c r="F2569" s="149" t="s">
        <v>142</v>
      </c>
    </row>
    <row r="2570" spans="1:6" hidden="1">
      <c r="A2570" s="230" t="s">
        <v>127</v>
      </c>
      <c r="B2570" s="149"/>
      <c r="C2570" s="149"/>
      <c r="D2570" s="149"/>
      <c r="E2570" s="34" t="s">
        <v>111</v>
      </c>
      <c r="F2570" s="149" t="s">
        <v>142</v>
      </c>
    </row>
    <row r="2571" spans="1:6" hidden="1">
      <c r="A2571" s="212" t="s">
        <v>116</v>
      </c>
      <c r="B2571" s="147"/>
      <c r="C2571" s="147"/>
      <c r="D2571" s="147"/>
      <c r="E2571" s="34" t="s">
        <v>112</v>
      </c>
      <c r="F2571" s="34" t="s">
        <v>197</v>
      </c>
    </row>
    <row r="2572" spans="1:6" hidden="1">
      <c r="A2572" s="212" t="s">
        <v>117</v>
      </c>
      <c r="B2572" s="147"/>
      <c r="C2572" s="147"/>
      <c r="D2572" s="147"/>
      <c r="E2572" s="34" t="s">
        <v>112</v>
      </c>
      <c r="F2572" s="34" t="s">
        <v>197</v>
      </c>
    </row>
    <row r="2573" spans="1:6" hidden="1">
      <c r="A2573" s="212" t="s">
        <v>118</v>
      </c>
      <c r="B2573" s="147"/>
      <c r="C2573" s="147"/>
      <c r="D2573" s="147"/>
      <c r="E2573" s="34" t="s">
        <v>112</v>
      </c>
      <c r="F2573" s="34" t="s">
        <v>197</v>
      </c>
    </row>
    <row r="2574" spans="1:6" hidden="1">
      <c r="A2574" s="212" t="s">
        <v>119</v>
      </c>
      <c r="B2574" s="147"/>
      <c r="C2574" s="147"/>
      <c r="D2574" s="147"/>
      <c r="E2574" s="34" t="s">
        <v>112</v>
      </c>
      <c r="F2574" s="34" t="s">
        <v>197</v>
      </c>
    </row>
    <row r="2575" spans="1:6" hidden="1">
      <c r="A2575" s="212" t="s">
        <v>120</v>
      </c>
      <c r="B2575" s="147"/>
      <c r="C2575" s="147"/>
      <c r="D2575" s="147"/>
      <c r="E2575" s="34" t="s">
        <v>112</v>
      </c>
      <c r="F2575" s="34" t="s">
        <v>197</v>
      </c>
    </row>
    <row r="2576" spans="1:6" hidden="1">
      <c r="A2576" s="212" t="s">
        <v>121</v>
      </c>
      <c r="B2576" s="147"/>
      <c r="C2576" s="147"/>
      <c r="D2576" s="147"/>
      <c r="E2576" s="34" t="s">
        <v>112</v>
      </c>
      <c r="F2576" s="34" t="s">
        <v>197</v>
      </c>
    </row>
    <row r="2577" spans="1:6" hidden="1">
      <c r="A2577" s="212" t="s">
        <v>122</v>
      </c>
      <c r="B2577" s="147"/>
      <c r="C2577" s="147"/>
      <c r="D2577" s="147"/>
      <c r="E2577" s="34" t="s">
        <v>112</v>
      </c>
      <c r="F2577" s="34" t="s">
        <v>197</v>
      </c>
    </row>
    <row r="2578" spans="1:6" hidden="1">
      <c r="A2578" s="212" t="s">
        <v>123</v>
      </c>
      <c r="B2578" s="147"/>
      <c r="C2578" s="147"/>
      <c r="D2578" s="147"/>
      <c r="E2578" s="34" t="s">
        <v>112</v>
      </c>
      <c r="F2578" s="34" t="s">
        <v>197</v>
      </c>
    </row>
    <row r="2579" spans="1:6" hidden="1">
      <c r="A2579" s="212" t="s">
        <v>124</v>
      </c>
      <c r="B2579" s="147"/>
      <c r="C2579" s="147"/>
      <c r="D2579" s="147"/>
      <c r="E2579" s="34" t="s">
        <v>112</v>
      </c>
      <c r="F2579" s="34" t="s">
        <v>197</v>
      </c>
    </row>
    <row r="2580" spans="1:6" hidden="1">
      <c r="A2580" s="212" t="s">
        <v>125</v>
      </c>
      <c r="B2580" s="147"/>
      <c r="C2580" s="147"/>
      <c r="D2580" s="147"/>
      <c r="E2580" s="34" t="s">
        <v>112</v>
      </c>
      <c r="F2580" s="34" t="s">
        <v>197</v>
      </c>
    </row>
    <row r="2581" spans="1:6" hidden="1">
      <c r="A2581" s="212" t="s">
        <v>126</v>
      </c>
      <c r="B2581" s="147"/>
      <c r="C2581" s="147"/>
      <c r="D2581" s="147"/>
      <c r="E2581" s="34" t="s">
        <v>112</v>
      </c>
      <c r="F2581" s="34" t="s">
        <v>197</v>
      </c>
    </row>
    <row r="2582" spans="1:6" hidden="1">
      <c r="A2582" s="212" t="s">
        <v>127</v>
      </c>
      <c r="B2582" s="147"/>
      <c r="C2582" s="147"/>
      <c r="D2582" s="147"/>
      <c r="E2582" s="34" t="s">
        <v>112</v>
      </c>
      <c r="F2582" s="34" t="s">
        <v>197</v>
      </c>
    </row>
    <row r="2583" spans="1:6" hidden="1">
      <c r="A2583" s="230" t="s">
        <v>116</v>
      </c>
      <c r="B2583" s="149"/>
      <c r="C2583" s="149"/>
      <c r="D2583" s="149"/>
      <c r="E2583" s="34" t="s">
        <v>112</v>
      </c>
      <c r="F2583" s="34" t="s">
        <v>199</v>
      </c>
    </row>
    <row r="2584" spans="1:6" hidden="1">
      <c r="A2584" s="230" t="s">
        <v>117</v>
      </c>
      <c r="B2584" s="149"/>
      <c r="C2584" s="149"/>
      <c r="D2584" s="149"/>
      <c r="E2584" s="34" t="s">
        <v>112</v>
      </c>
      <c r="F2584" s="34" t="s">
        <v>199</v>
      </c>
    </row>
    <row r="2585" spans="1:6" hidden="1">
      <c r="A2585" s="230" t="s">
        <v>118</v>
      </c>
      <c r="B2585" s="149"/>
      <c r="C2585" s="149"/>
      <c r="D2585" s="149"/>
      <c r="E2585" s="34" t="s">
        <v>112</v>
      </c>
      <c r="F2585" s="34" t="s">
        <v>199</v>
      </c>
    </row>
    <row r="2586" spans="1:6" hidden="1">
      <c r="A2586" s="230" t="s">
        <v>119</v>
      </c>
      <c r="B2586" s="149"/>
      <c r="C2586" s="149"/>
      <c r="D2586" s="149"/>
      <c r="E2586" s="34" t="s">
        <v>112</v>
      </c>
      <c r="F2586" s="34" t="s">
        <v>199</v>
      </c>
    </row>
    <row r="2587" spans="1:6" hidden="1">
      <c r="A2587" s="230" t="s">
        <v>120</v>
      </c>
      <c r="B2587" s="149"/>
      <c r="C2587" s="149"/>
      <c r="D2587" s="149"/>
      <c r="E2587" s="34" t="s">
        <v>112</v>
      </c>
      <c r="F2587" s="34" t="s">
        <v>199</v>
      </c>
    </row>
    <row r="2588" spans="1:6" hidden="1">
      <c r="A2588" s="230" t="s">
        <v>121</v>
      </c>
      <c r="B2588" s="149"/>
      <c r="C2588" s="149"/>
      <c r="D2588" s="149"/>
      <c r="E2588" s="34" t="s">
        <v>112</v>
      </c>
      <c r="F2588" s="34" t="s">
        <v>199</v>
      </c>
    </row>
    <row r="2589" spans="1:6" hidden="1">
      <c r="A2589" s="230" t="s">
        <v>122</v>
      </c>
      <c r="B2589" s="149"/>
      <c r="C2589" s="149"/>
      <c r="D2589" s="149"/>
      <c r="E2589" s="34" t="s">
        <v>112</v>
      </c>
      <c r="F2589" s="34" t="s">
        <v>199</v>
      </c>
    </row>
    <row r="2590" spans="1:6" hidden="1">
      <c r="A2590" s="230" t="s">
        <v>123</v>
      </c>
      <c r="B2590" s="149"/>
      <c r="C2590" s="149"/>
      <c r="D2590" s="149"/>
      <c r="E2590" s="34" t="s">
        <v>112</v>
      </c>
      <c r="F2590" s="34" t="s">
        <v>199</v>
      </c>
    </row>
    <row r="2591" spans="1:6" hidden="1">
      <c r="A2591" s="230" t="s">
        <v>124</v>
      </c>
      <c r="B2591" s="149"/>
      <c r="C2591" s="149"/>
      <c r="D2591" s="149"/>
      <c r="E2591" s="34" t="s">
        <v>112</v>
      </c>
      <c r="F2591" s="34" t="s">
        <v>199</v>
      </c>
    </row>
    <row r="2592" spans="1:6" hidden="1">
      <c r="A2592" s="230" t="s">
        <v>125</v>
      </c>
      <c r="B2592" s="149"/>
      <c r="C2592" s="149"/>
      <c r="D2592" s="149"/>
      <c r="E2592" s="34" t="s">
        <v>112</v>
      </c>
      <c r="F2592" s="34" t="s">
        <v>199</v>
      </c>
    </row>
    <row r="2593" spans="1:6" hidden="1">
      <c r="A2593" s="230" t="s">
        <v>126</v>
      </c>
      <c r="B2593" s="149"/>
      <c r="C2593" s="149"/>
      <c r="D2593" s="149"/>
      <c r="E2593" s="34" t="s">
        <v>112</v>
      </c>
      <c r="F2593" s="34" t="s">
        <v>199</v>
      </c>
    </row>
    <row r="2594" spans="1:6" hidden="1">
      <c r="A2594" s="230" t="s">
        <v>127</v>
      </c>
      <c r="B2594" s="149"/>
      <c r="C2594" s="149"/>
      <c r="D2594" s="149"/>
      <c r="E2594" s="34" t="s">
        <v>112</v>
      </c>
      <c r="F2594" s="34" t="s">
        <v>199</v>
      </c>
    </row>
    <row r="2595" spans="1:6" hidden="1">
      <c r="A2595" s="212" t="s">
        <v>116</v>
      </c>
      <c r="B2595" s="147"/>
      <c r="C2595" s="147"/>
      <c r="D2595" s="147"/>
      <c r="E2595" s="34" t="s">
        <v>112</v>
      </c>
      <c r="F2595" s="34" t="s">
        <v>222</v>
      </c>
    </row>
    <row r="2596" spans="1:6" hidden="1">
      <c r="A2596" s="212" t="s">
        <v>117</v>
      </c>
      <c r="B2596" s="147"/>
      <c r="C2596" s="147"/>
      <c r="D2596" s="147"/>
      <c r="E2596" s="34" t="s">
        <v>112</v>
      </c>
      <c r="F2596" s="34" t="s">
        <v>222</v>
      </c>
    </row>
    <row r="2597" spans="1:6" hidden="1">
      <c r="A2597" s="212" t="s">
        <v>118</v>
      </c>
      <c r="B2597" s="147"/>
      <c r="C2597" s="147"/>
      <c r="D2597" s="147"/>
      <c r="E2597" s="34" t="s">
        <v>112</v>
      </c>
      <c r="F2597" s="34" t="s">
        <v>222</v>
      </c>
    </row>
    <row r="2598" spans="1:6" hidden="1">
      <c r="A2598" s="212" t="s">
        <v>119</v>
      </c>
      <c r="B2598" s="147"/>
      <c r="C2598" s="147"/>
      <c r="D2598" s="147"/>
      <c r="E2598" s="34" t="s">
        <v>112</v>
      </c>
      <c r="F2598" s="34" t="s">
        <v>222</v>
      </c>
    </row>
    <row r="2599" spans="1:6" hidden="1">
      <c r="A2599" s="212" t="s">
        <v>120</v>
      </c>
      <c r="B2599" s="147"/>
      <c r="C2599" s="147"/>
      <c r="D2599" s="147"/>
      <c r="E2599" s="34" t="s">
        <v>112</v>
      </c>
      <c r="F2599" s="34" t="s">
        <v>222</v>
      </c>
    </row>
    <row r="2600" spans="1:6" hidden="1">
      <c r="A2600" s="212" t="s">
        <v>121</v>
      </c>
      <c r="B2600" s="147"/>
      <c r="C2600" s="147"/>
      <c r="D2600" s="147"/>
      <c r="E2600" s="34" t="s">
        <v>112</v>
      </c>
      <c r="F2600" s="34" t="s">
        <v>222</v>
      </c>
    </row>
    <row r="2601" spans="1:6" hidden="1">
      <c r="A2601" s="212" t="s">
        <v>122</v>
      </c>
      <c r="B2601" s="147"/>
      <c r="C2601" s="147"/>
      <c r="D2601" s="147"/>
      <c r="E2601" s="34" t="s">
        <v>112</v>
      </c>
      <c r="F2601" s="34" t="s">
        <v>222</v>
      </c>
    </row>
    <row r="2602" spans="1:6" hidden="1">
      <c r="A2602" s="212" t="s">
        <v>123</v>
      </c>
      <c r="B2602" s="147"/>
      <c r="C2602" s="147"/>
      <c r="D2602" s="147"/>
      <c r="E2602" s="34" t="s">
        <v>112</v>
      </c>
      <c r="F2602" s="34" t="s">
        <v>222</v>
      </c>
    </row>
    <row r="2603" spans="1:6" hidden="1">
      <c r="A2603" s="212" t="s">
        <v>124</v>
      </c>
      <c r="B2603" s="147"/>
      <c r="C2603" s="147"/>
      <c r="D2603" s="147"/>
      <c r="E2603" s="34" t="s">
        <v>112</v>
      </c>
      <c r="F2603" s="34" t="s">
        <v>222</v>
      </c>
    </row>
    <row r="2604" spans="1:6" hidden="1">
      <c r="A2604" s="212" t="s">
        <v>125</v>
      </c>
      <c r="B2604" s="147"/>
      <c r="C2604" s="147"/>
      <c r="D2604" s="147"/>
      <c r="E2604" s="34" t="s">
        <v>112</v>
      </c>
      <c r="F2604" s="34" t="s">
        <v>222</v>
      </c>
    </row>
    <row r="2605" spans="1:6" hidden="1">
      <c r="A2605" s="212" t="s">
        <v>126</v>
      </c>
      <c r="B2605" s="147"/>
      <c r="C2605" s="147"/>
      <c r="D2605" s="147"/>
      <c r="E2605" s="34" t="s">
        <v>112</v>
      </c>
      <c r="F2605" s="34" t="s">
        <v>222</v>
      </c>
    </row>
    <row r="2606" spans="1:6" hidden="1">
      <c r="A2606" s="212" t="s">
        <v>127</v>
      </c>
      <c r="B2606" s="147"/>
      <c r="C2606" s="147"/>
      <c r="D2606" s="147"/>
      <c r="E2606" s="34" t="s">
        <v>112</v>
      </c>
      <c r="F2606" s="34" t="s">
        <v>222</v>
      </c>
    </row>
    <row r="2607" spans="1:6" hidden="1">
      <c r="A2607" s="230" t="s">
        <v>116</v>
      </c>
      <c r="B2607" s="149"/>
      <c r="C2607" s="149"/>
      <c r="D2607" s="149"/>
      <c r="E2607" s="34" t="s">
        <v>112</v>
      </c>
      <c r="F2607" s="34" t="s">
        <v>198</v>
      </c>
    </row>
    <row r="2608" spans="1:6" hidden="1">
      <c r="A2608" s="230" t="s">
        <v>117</v>
      </c>
      <c r="B2608" s="149"/>
      <c r="C2608" s="149"/>
      <c r="D2608" s="149"/>
      <c r="E2608" s="34" t="s">
        <v>112</v>
      </c>
      <c r="F2608" s="34" t="s">
        <v>198</v>
      </c>
    </row>
    <row r="2609" spans="1:6" hidden="1">
      <c r="A2609" s="230" t="s">
        <v>118</v>
      </c>
      <c r="B2609" s="149"/>
      <c r="C2609" s="149"/>
      <c r="D2609" s="149"/>
      <c r="E2609" s="34" t="s">
        <v>112</v>
      </c>
      <c r="F2609" s="34" t="s">
        <v>198</v>
      </c>
    </row>
    <row r="2610" spans="1:6" hidden="1">
      <c r="A2610" s="230" t="s">
        <v>119</v>
      </c>
      <c r="B2610" s="149"/>
      <c r="C2610" s="149"/>
      <c r="D2610" s="149"/>
      <c r="E2610" s="34" t="s">
        <v>112</v>
      </c>
      <c r="F2610" s="34" t="s">
        <v>198</v>
      </c>
    </row>
    <row r="2611" spans="1:6" hidden="1">
      <c r="A2611" s="230" t="s">
        <v>120</v>
      </c>
      <c r="B2611" s="149"/>
      <c r="C2611" s="149"/>
      <c r="D2611" s="149"/>
      <c r="E2611" s="34" t="s">
        <v>112</v>
      </c>
      <c r="F2611" s="34" t="s">
        <v>198</v>
      </c>
    </row>
    <row r="2612" spans="1:6" hidden="1">
      <c r="A2612" s="230" t="s">
        <v>121</v>
      </c>
      <c r="B2612" s="149"/>
      <c r="C2612" s="149"/>
      <c r="D2612" s="149"/>
      <c r="E2612" s="34" t="s">
        <v>112</v>
      </c>
      <c r="F2612" s="34" t="s">
        <v>198</v>
      </c>
    </row>
    <row r="2613" spans="1:6" hidden="1">
      <c r="A2613" s="230" t="s">
        <v>122</v>
      </c>
      <c r="B2613" s="149"/>
      <c r="C2613" s="149"/>
      <c r="D2613" s="149"/>
      <c r="E2613" s="34" t="s">
        <v>112</v>
      </c>
      <c r="F2613" s="34" t="s">
        <v>198</v>
      </c>
    </row>
    <row r="2614" spans="1:6" hidden="1">
      <c r="A2614" s="230" t="s">
        <v>123</v>
      </c>
      <c r="B2614" s="149"/>
      <c r="C2614" s="149"/>
      <c r="D2614" s="149"/>
      <c r="E2614" s="34" t="s">
        <v>112</v>
      </c>
      <c r="F2614" s="34" t="s">
        <v>198</v>
      </c>
    </row>
    <row r="2615" spans="1:6" hidden="1">
      <c r="A2615" s="230" t="s">
        <v>124</v>
      </c>
      <c r="B2615" s="149"/>
      <c r="C2615" s="149"/>
      <c r="D2615" s="149"/>
      <c r="E2615" s="34" t="s">
        <v>112</v>
      </c>
      <c r="F2615" s="34" t="s">
        <v>198</v>
      </c>
    </row>
    <row r="2616" spans="1:6" hidden="1">
      <c r="A2616" s="230" t="s">
        <v>125</v>
      </c>
      <c r="B2616" s="149"/>
      <c r="C2616" s="149"/>
      <c r="D2616" s="149"/>
      <c r="E2616" s="34" t="s">
        <v>112</v>
      </c>
      <c r="F2616" s="34" t="s">
        <v>198</v>
      </c>
    </row>
    <row r="2617" spans="1:6" hidden="1">
      <c r="A2617" s="230" t="s">
        <v>126</v>
      </c>
      <c r="B2617" s="149"/>
      <c r="C2617" s="149"/>
      <c r="D2617" s="149"/>
      <c r="E2617" s="34" t="s">
        <v>112</v>
      </c>
      <c r="F2617" s="34" t="s">
        <v>198</v>
      </c>
    </row>
    <row r="2618" spans="1:6" hidden="1">
      <c r="A2618" s="230" t="s">
        <v>127</v>
      </c>
      <c r="B2618" s="149"/>
      <c r="C2618" s="149"/>
      <c r="D2618" s="149"/>
      <c r="E2618" s="34" t="s">
        <v>112</v>
      </c>
      <c r="F2618" s="34" t="s">
        <v>198</v>
      </c>
    </row>
    <row r="2619" spans="1:6" hidden="1">
      <c r="A2619" s="212" t="s">
        <v>116</v>
      </c>
      <c r="B2619" s="147"/>
      <c r="C2619" s="147"/>
      <c r="D2619" s="147"/>
      <c r="E2619" s="34" t="s">
        <v>112</v>
      </c>
      <c r="F2619" s="34" t="s">
        <v>28</v>
      </c>
    </row>
    <row r="2620" spans="1:6" hidden="1">
      <c r="A2620" s="212" t="s">
        <v>117</v>
      </c>
      <c r="B2620" s="147"/>
      <c r="C2620" s="147"/>
      <c r="D2620" s="147"/>
      <c r="E2620" s="34" t="s">
        <v>112</v>
      </c>
      <c r="F2620" s="34" t="s">
        <v>28</v>
      </c>
    </row>
    <row r="2621" spans="1:6" hidden="1">
      <c r="A2621" s="212" t="s">
        <v>118</v>
      </c>
      <c r="B2621" s="147"/>
      <c r="C2621" s="147"/>
      <c r="D2621" s="147"/>
      <c r="E2621" s="34" t="s">
        <v>112</v>
      </c>
      <c r="F2621" s="34" t="s">
        <v>28</v>
      </c>
    </row>
    <row r="2622" spans="1:6" hidden="1">
      <c r="A2622" s="212" t="s">
        <v>119</v>
      </c>
      <c r="B2622" s="147"/>
      <c r="C2622" s="147"/>
      <c r="D2622" s="147"/>
      <c r="E2622" s="34" t="s">
        <v>112</v>
      </c>
      <c r="F2622" s="34" t="s">
        <v>28</v>
      </c>
    </row>
    <row r="2623" spans="1:6" hidden="1">
      <c r="A2623" s="212" t="s">
        <v>120</v>
      </c>
      <c r="B2623" s="147"/>
      <c r="C2623" s="147"/>
      <c r="D2623" s="147"/>
      <c r="E2623" s="34" t="s">
        <v>112</v>
      </c>
      <c r="F2623" s="34" t="s">
        <v>28</v>
      </c>
    </row>
    <row r="2624" spans="1:6" hidden="1">
      <c r="A2624" s="212" t="s">
        <v>121</v>
      </c>
      <c r="B2624" s="147"/>
      <c r="C2624" s="147"/>
      <c r="D2624" s="147"/>
      <c r="E2624" s="34" t="s">
        <v>112</v>
      </c>
      <c r="F2624" s="34" t="s">
        <v>28</v>
      </c>
    </row>
    <row r="2625" spans="1:6" hidden="1">
      <c r="A2625" s="212" t="s">
        <v>122</v>
      </c>
      <c r="B2625" s="147"/>
      <c r="C2625" s="147"/>
      <c r="D2625" s="147"/>
      <c r="E2625" s="34" t="s">
        <v>112</v>
      </c>
      <c r="F2625" s="34" t="s">
        <v>28</v>
      </c>
    </row>
    <row r="2626" spans="1:6" hidden="1">
      <c r="A2626" s="212" t="s">
        <v>123</v>
      </c>
      <c r="B2626" s="147"/>
      <c r="C2626" s="147"/>
      <c r="D2626" s="147"/>
      <c r="E2626" s="34" t="s">
        <v>112</v>
      </c>
      <c r="F2626" s="34" t="s">
        <v>28</v>
      </c>
    </row>
    <row r="2627" spans="1:6" hidden="1">
      <c r="A2627" s="212" t="s">
        <v>124</v>
      </c>
      <c r="B2627" s="147"/>
      <c r="C2627" s="147"/>
      <c r="D2627" s="147"/>
      <c r="E2627" s="34" t="s">
        <v>112</v>
      </c>
      <c r="F2627" s="34" t="s">
        <v>28</v>
      </c>
    </row>
    <row r="2628" spans="1:6" hidden="1">
      <c r="A2628" s="212" t="s">
        <v>125</v>
      </c>
      <c r="B2628" s="147"/>
      <c r="C2628" s="147"/>
      <c r="D2628" s="147"/>
      <c r="E2628" s="34" t="s">
        <v>112</v>
      </c>
      <c r="F2628" s="34" t="s">
        <v>28</v>
      </c>
    </row>
    <row r="2629" spans="1:6" hidden="1">
      <c r="A2629" s="212" t="s">
        <v>126</v>
      </c>
      <c r="B2629" s="147"/>
      <c r="C2629" s="147"/>
      <c r="D2629" s="147"/>
      <c r="E2629" s="34" t="s">
        <v>112</v>
      </c>
      <c r="F2629" s="34" t="s">
        <v>28</v>
      </c>
    </row>
    <row r="2630" spans="1:6" hidden="1">
      <c r="A2630" s="212" t="s">
        <v>127</v>
      </c>
      <c r="B2630" s="147"/>
      <c r="C2630" s="147"/>
      <c r="D2630" s="147"/>
      <c r="E2630" s="34" t="s">
        <v>112</v>
      </c>
      <c r="F2630" s="34" t="s">
        <v>28</v>
      </c>
    </row>
    <row r="2631" spans="1:6" hidden="1">
      <c r="A2631" s="230" t="s">
        <v>116</v>
      </c>
      <c r="B2631" s="149"/>
      <c r="C2631" s="149"/>
      <c r="D2631" s="149"/>
      <c r="E2631" s="34" t="s">
        <v>112</v>
      </c>
      <c r="F2631" s="149" t="s">
        <v>142</v>
      </c>
    </row>
    <row r="2632" spans="1:6" hidden="1">
      <c r="A2632" s="230" t="s">
        <v>117</v>
      </c>
      <c r="B2632" s="149"/>
      <c r="C2632" s="149"/>
      <c r="D2632" s="149"/>
      <c r="E2632" s="34" t="s">
        <v>112</v>
      </c>
      <c r="F2632" s="149" t="s">
        <v>142</v>
      </c>
    </row>
    <row r="2633" spans="1:6" hidden="1">
      <c r="A2633" s="230" t="s">
        <v>118</v>
      </c>
      <c r="B2633" s="149"/>
      <c r="C2633" s="149"/>
      <c r="D2633" s="149"/>
      <c r="E2633" s="34" t="s">
        <v>112</v>
      </c>
      <c r="F2633" s="149" t="s">
        <v>142</v>
      </c>
    </row>
    <row r="2634" spans="1:6" hidden="1">
      <c r="A2634" s="230" t="s">
        <v>119</v>
      </c>
      <c r="B2634" s="149"/>
      <c r="C2634" s="149"/>
      <c r="D2634" s="149"/>
      <c r="E2634" s="34" t="s">
        <v>112</v>
      </c>
      <c r="F2634" s="149" t="s">
        <v>142</v>
      </c>
    </row>
    <row r="2635" spans="1:6" hidden="1">
      <c r="A2635" s="230" t="s">
        <v>120</v>
      </c>
      <c r="B2635" s="149"/>
      <c r="C2635" s="149"/>
      <c r="D2635" s="149"/>
      <c r="E2635" s="34" t="s">
        <v>112</v>
      </c>
      <c r="F2635" s="149" t="s">
        <v>142</v>
      </c>
    </row>
    <row r="2636" spans="1:6" hidden="1">
      <c r="A2636" s="230" t="s">
        <v>121</v>
      </c>
      <c r="B2636" s="149"/>
      <c r="C2636" s="149"/>
      <c r="D2636" s="149"/>
      <c r="E2636" s="34" t="s">
        <v>112</v>
      </c>
      <c r="F2636" s="149" t="s">
        <v>142</v>
      </c>
    </row>
    <row r="2637" spans="1:6" hidden="1">
      <c r="A2637" s="230" t="s">
        <v>122</v>
      </c>
      <c r="B2637" s="149"/>
      <c r="C2637" s="149"/>
      <c r="D2637" s="149"/>
      <c r="E2637" s="34" t="s">
        <v>112</v>
      </c>
      <c r="F2637" s="149" t="s">
        <v>142</v>
      </c>
    </row>
    <row r="2638" spans="1:6" hidden="1">
      <c r="A2638" s="230" t="s">
        <v>123</v>
      </c>
      <c r="B2638" s="149"/>
      <c r="C2638" s="149"/>
      <c r="D2638" s="149"/>
      <c r="E2638" s="34" t="s">
        <v>112</v>
      </c>
      <c r="F2638" s="149" t="s">
        <v>142</v>
      </c>
    </row>
    <row r="2639" spans="1:6" hidden="1">
      <c r="A2639" s="230" t="s">
        <v>124</v>
      </c>
      <c r="B2639" s="149"/>
      <c r="C2639" s="149"/>
      <c r="D2639" s="149"/>
      <c r="E2639" s="34" t="s">
        <v>112</v>
      </c>
      <c r="F2639" s="149" t="s">
        <v>142</v>
      </c>
    </row>
    <row r="2640" spans="1:6" hidden="1">
      <c r="A2640" s="230" t="s">
        <v>125</v>
      </c>
      <c r="B2640" s="149"/>
      <c r="C2640" s="149"/>
      <c r="D2640" s="149"/>
      <c r="E2640" s="34" t="s">
        <v>112</v>
      </c>
      <c r="F2640" s="149" t="s">
        <v>142</v>
      </c>
    </row>
    <row r="2641" spans="1:6" hidden="1">
      <c r="A2641" s="230" t="s">
        <v>126</v>
      </c>
      <c r="B2641" s="149"/>
      <c r="C2641" s="149"/>
      <c r="D2641" s="149"/>
      <c r="E2641" s="34" t="s">
        <v>112</v>
      </c>
      <c r="F2641" s="149" t="s">
        <v>142</v>
      </c>
    </row>
    <row r="2642" spans="1:6" hidden="1">
      <c r="A2642" s="230" t="s">
        <v>127</v>
      </c>
      <c r="B2642" s="149"/>
      <c r="C2642" s="149"/>
      <c r="D2642" s="149"/>
      <c r="E2642" s="34" t="s">
        <v>112</v>
      </c>
      <c r="F2642" s="149" t="s">
        <v>142</v>
      </c>
    </row>
    <row r="2643" spans="1:6" hidden="1">
      <c r="A2643" s="212" t="s">
        <v>116</v>
      </c>
      <c r="B2643" s="147"/>
      <c r="C2643" s="147"/>
      <c r="D2643" s="147"/>
      <c r="E2643" s="34" t="s">
        <v>113</v>
      </c>
      <c r="F2643" s="34" t="s">
        <v>197</v>
      </c>
    </row>
    <row r="2644" spans="1:6" hidden="1">
      <c r="A2644" s="212" t="s">
        <v>117</v>
      </c>
      <c r="B2644" s="147"/>
      <c r="C2644" s="147"/>
      <c r="D2644" s="147"/>
      <c r="E2644" s="34" t="s">
        <v>113</v>
      </c>
      <c r="F2644" s="34" t="s">
        <v>197</v>
      </c>
    </row>
    <row r="2645" spans="1:6" hidden="1">
      <c r="A2645" s="212" t="s">
        <v>118</v>
      </c>
      <c r="B2645" s="147"/>
      <c r="C2645" s="147"/>
      <c r="D2645" s="147"/>
      <c r="E2645" s="34" t="s">
        <v>113</v>
      </c>
      <c r="F2645" s="34" t="s">
        <v>197</v>
      </c>
    </row>
    <row r="2646" spans="1:6" hidden="1">
      <c r="A2646" s="212" t="s">
        <v>119</v>
      </c>
      <c r="B2646" s="147"/>
      <c r="C2646" s="147"/>
      <c r="D2646" s="147"/>
      <c r="E2646" s="34" t="s">
        <v>113</v>
      </c>
      <c r="F2646" s="34" t="s">
        <v>197</v>
      </c>
    </row>
    <row r="2647" spans="1:6" hidden="1">
      <c r="A2647" s="212" t="s">
        <v>120</v>
      </c>
      <c r="B2647" s="147"/>
      <c r="C2647" s="147"/>
      <c r="D2647" s="147"/>
      <c r="E2647" s="34" t="s">
        <v>113</v>
      </c>
      <c r="F2647" s="34" t="s">
        <v>197</v>
      </c>
    </row>
    <row r="2648" spans="1:6" hidden="1">
      <c r="A2648" s="212" t="s">
        <v>121</v>
      </c>
      <c r="B2648" s="147"/>
      <c r="C2648" s="147"/>
      <c r="D2648" s="147"/>
      <c r="E2648" s="34" t="s">
        <v>113</v>
      </c>
      <c r="F2648" s="34" t="s">
        <v>197</v>
      </c>
    </row>
    <row r="2649" spans="1:6" hidden="1">
      <c r="A2649" s="212" t="s">
        <v>122</v>
      </c>
      <c r="B2649" s="147"/>
      <c r="C2649" s="147"/>
      <c r="D2649" s="147"/>
      <c r="E2649" s="34" t="s">
        <v>113</v>
      </c>
      <c r="F2649" s="34" t="s">
        <v>197</v>
      </c>
    </row>
    <row r="2650" spans="1:6" hidden="1">
      <c r="A2650" s="212" t="s">
        <v>123</v>
      </c>
      <c r="B2650" s="147"/>
      <c r="C2650" s="147"/>
      <c r="D2650" s="147"/>
      <c r="E2650" s="34" t="s">
        <v>113</v>
      </c>
      <c r="F2650" s="34" t="s">
        <v>197</v>
      </c>
    </row>
    <row r="2651" spans="1:6" hidden="1">
      <c r="A2651" s="212" t="s">
        <v>124</v>
      </c>
      <c r="B2651" s="147"/>
      <c r="C2651" s="147"/>
      <c r="D2651" s="147"/>
      <c r="E2651" s="34" t="s">
        <v>113</v>
      </c>
      <c r="F2651" s="34" t="s">
        <v>197</v>
      </c>
    </row>
    <row r="2652" spans="1:6" hidden="1">
      <c r="A2652" s="212" t="s">
        <v>125</v>
      </c>
      <c r="B2652" s="147"/>
      <c r="C2652" s="147"/>
      <c r="D2652" s="147"/>
      <c r="E2652" s="34" t="s">
        <v>113</v>
      </c>
      <c r="F2652" s="34" t="s">
        <v>197</v>
      </c>
    </row>
    <row r="2653" spans="1:6" hidden="1">
      <c r="A2653" s="212" t="s">
        <v>126</v>
      </c>
      <c r="B2653" s="147"/>
      <c r="C2653" s="147"/>
      <c r="D2653" s="147"/>
      <c r="E2653" s="34" t="s">
        <v>113</v>
      </c>
      <c r="F2653" s="34" t="s">
        <v>197</v>
      </c>
    </row>
    <row r="2654" spans="1:6" hidden="1">
      <c r="A2654" s="212" t="s">
        <v>127</v>
      </c>
      <c r="B2654" s="147"/>
      <c r="C2654" s="147"/>
      <c r="D2654" s="147"/>
      <c r="E2654" s="34" t="s">
        <v>113</v>
      </c>
      <c r="F2654" s="34" t="s">
        <v>197</v>
      </c>
    </row>
    <row r="2655" spans="1:6" hidden="1">
      <c r="A2655" s="230" t="s">
        <v>116</v>
      </c>
      <c r="B2655" s="149"/>
      <c r="C2655" s="149"/>
      <c r="D2655" s="149"/>
      <c r="E2655" s="34" t="s">
        <v>113</v>
      </c>
      <c r="F2655" s="34" t="s">
        <v>199</v>
      </c>
    </row>
    <row r="2656" spans="1:6" hidden="1">
      <c r="A2656" s="230" t="s">
        <v>117</v>
      </c>
      <c r="B2656" s="149"/>
      <c r="C2656" s="149"/>
      <c r="D2656" s="149"/>
      <c r="E2656" s="34" t="s">
        <v>113</v>
      </c>
      <c r="F2656" s="34" t="s">
        <v>199</v>
      </c>
    </row>
    <row r="2657" spans="1:6" hidden="1">
      <c r="A2657" s="230" t="s">
        <v>118</v>
      </c>
      <c r="B2657" s="149"/>
      <c r="C2657" s="149"/>
      <c r="D2657" s="149"/>
      <c r="E2657" s="34" t="s">
        <v>113</v>
      </c>
      <c r="F2657" s="34" t="s">
        <v>199</v>
      </c>
    </row>
    <row r="2658" spans="1:6" hidden="1">
      <c r="A2658" s="230" t="s">
        <v>119</v>
      </c>
      <c r="B2658" s="149"/>
      <c r="C2658" s="149"/>
      <c r="D2658" s="149"/>
      <c r="E2658" s="34" t="s">
        <v>113</v>
      </c>
      <c r="F2658" s="34" t="s">
        <v>199</v>
      </c>
    </row>
    <row r="2659" spans="1:6" hidden="1">
      <c r="A2659" s="230" t="s">
        <v>120</v>
      </c>
      <c r="B2659" s="149"/>
      <c r="C2659" s="149"/>
      <c r="D2659" s="149"/>
      <c r="E2659" s="34" t="s">
        <v>113</v>
      </c>
      <c r="F2659" s="34" t="s">
        <v>199</v>
      </c>
    </row>
    <row r="2660" spans="1:6" hidden="1">
      <c r="A2660" s="230" t="s">
        <v>121</v>
      </c>
      <c r="B2660" s="149"/>
      <c r="C2660" s="149"/>
      <c r="D2660" s="149"/>
      <c r="E2660" s="34" t="s">
        <v>113</v>
      </c>
      <c r="F2660" s="34" t="s">
        <v>199</v>
      </c>
    </row>
    <row r="2661" spans="1:6" hidden="1">
      <c r="A2661" s="230" t="s">
        <v>122</v>
      </c>
      <c r="B2661" s="149"/>
      <c r="C2661" s="149"/>
      <c r="D2661" s="149"/>
      <c r="E2661" s="34" t="s">
        <v>113</v>
      </c>
      <c r="F2661" s="34" t="s">
        <v>199</v>
      </c>
    </row>
    <row r="2662" spans="1:6" hidden="1">
      <c r="A2662" s="230" t="s">
        <v>123</v>
      </c>
      <c r="B2662" s="149"/>
      <c r="C2662" s="149"/>
      <c r="D2662" s="149"/>
      <c r="E2662" s="34" t="s">
        <v>113</v>
      </c>
      <c r="F2662" s="34" t="s">
        <v>199</v>
      </c>
    </row>
    <row r="2663" spans="1:6" hidden="1">
      <c r="A2663" s="230" t="s">
        <v>124</v>
      </c>
      <c r="B2663" s="149"/>
      <c r="C2663" s="149"/>
      <c r="D2663" s="149"/>
      <c r="E2663" s="34" t="s">
        <v>113</v>
      </c>
      <c r="F2663" s="34" t="s">
        <v>199</v>
      </c>
    </row>
    <row r="2664" spans="1:6" hidden="1">
      <c r="A2664" s="230" t="s">
        <v>125</v>
      </c>
      <c r="B2664" s="149"/>
      <c r="C2664" s="149"/>
      <c r="D2664" s="149"/>
      <c r="E2664" s="34" t="s">
        <v>113</v>
      </c>
      <c r="F2664" s="34" t="s">
        <v>199</v>
      </c>
    </row>
    <row r="2665" spans="1:6" hidden="1">
      <c r="A2665" s="230" t="s">
        <v>126</v>
      </c>
      <c r="B2665" s="149"/>
      <c r="C2665" s="149"/>
      <c r="D2665" s="149"/>
      <c r="E2665" s="34" t="s">
        <v>113</v>
      </c>
      <c r="F2665" s="34" t="s">
        <v>199</v>
      </c>
    </row>
    <row r="2666" spans="1:6" hidden="1">
      <c r="A2666" s="230" t="s">
        <v>127</v>
      </c>
      <c r="B2666" s="149"/>
      <c r="C2666" s="149"/>
      <c r="D2666" s="149"/>
      <c r="E2666" s="34" t="s">
        <v>113</v>
      </c>
      <c r="F2666" s="34" t="s">
        <v>199</v>
      </c>
    </row>
    <row r="2667" spans="1:6" hidden="1">
      <c r="A2667" s="212" t="s">
        <v>116</v>
      </c>
      <c r="B2667" s="147"/>
      <c r="C2667" s="147"/>
      <c r="D2667" s="147"/>
      <c r="E2667" s="34" t="s">
        <v>113</v>
      </c>
      <c r="F2667" s="34" t="s">
        <v>222</v>
      </c>
    </row>
    <row r="2668" spans="1:6" hidden="1">
      <c r="A2668" s="212" t="s">
        <v>117</v>
      </c>
      <c r="B2668" s="147"/>
      <c r="C2668" s="147"/>
      <c r="D2668" s="147"/>
      <c r="E2668" s="34" t="s">
        <v>113</v>
      </c>
      <c r="F2668" s="34" t="s">
        <v>222</v>
      </c>
    </row>
    <row r="2669" spans="1:6" hidden="1">
      <c r="A2669" s="212" t="s">
        <v>118</v>
      </c>
      <c r="B2669" s="147"/>
      <c r="C2669" s="147"/>
      <c r="D2669" s="147"/>
      <c r="E2669" s="34" t="s">
        <v>113</v>
      </c>
      <c r="F2669" s="34" t="s">
        <v>222</v>
      </c>
    </row>
    <row r="2670" spans="1:6" hidden="1">
      <c r="A2670" s="212" t="s">
        <v>119</v>
      </c>
      <c r="B2670" s="147"/>
      <c r="C2670" s="147"/>
      <c r="D2670" s="147"/>
      <c r="E2670" s="34" t="s">
        <v>113</v>
      </c>
      <c r="F2670" s="34" t="s">
        <v>222</v>
      </c>
    </row>
    <row r="2671" spans="1:6" hidden="1">
      <c r="A2671" s="212" t="s">
        <v>120</v>
      </c>
      <c r="B2671" s="147"/>
      <c r="C2671" s="147"/>
      <c r="D2671" s="147"/>
      <c r="E2671" s="34" t="s">
        <v>113</v>
      </c>
      <c r="F2671" s="34" t="s">
        <v>222</v>
      </c>
    </row>
    <row r="2672" spans="1:6" hidden="1">
      <c r="A2672" s="212" t="s">
        <v>121</v>
      </c>
      <c r="B2672" s="147"/>
      <c r="C2672" s="147"/>
      <c r="D2672" s="147"/>
      <c r="E2672" s="34" t="s">
        <v>113</v>
      </c>
      <c r="F2672" s="34" t="s">
        <v>222</v>
      </c>
    </row>
    <row r="2673" spans="1:6" hidden="1">
      <c r="A2673" s="212" t="s">
        <v>122</v>
      </c>
      <c r="B2673" s="147"/>
      <c r="C2673" s="147"/>
      <c r="D2673" s="147"/>
      <c r="E2673" s="34" t="s">
        <v>113</v>
      </c>
      <c r="F2673" s="34" t="s">
        <v>222</v>
      </c>
    </row>
    <row r="2674" spans="1:6" hidden="1">
      <c r="A2674" s="212" t="s">
        <v>123</v>
      </c>
      <c r="B2674" s="147"/>
      <c r="C2674" s="147"/>
      <c r="D2674" s="147"/>
      <c r="E2674" s="34" t="s">
        <v>113</v>
      </c>
      <c r="F2674" s="34" t="s">
        <v>222</v>
      </c>
    </row>
    <row r="2675" spans="1:6" hidden="1">
      <c r="A2675" s="212" t="s">
        <v>124</v>
      </c>
      <c r="B2675" s="147"/>
      <c r="C2675" s="147"/>
      <c r="D2675" s="147"/>
      <c r="E2675" s="34" t="s">
        <v>113</v>
      </c>
      <c r="F2675" s="34" t="s">
        <v>222</v>
      </c>
    </row>
    <row r="2676" spans="1:6" hidden="1">
      <c r="A2676" s="212" t="s">
        <v>125</v>
      </c>
      <c r="B2676" s="147"/>
      <c r="C2676" s="147"/>
      <c r="D2676" s="147"/>
      <c r="E2676" s="34" t="s">
        <v>113</v>
      </c>
      <c r="F2676" s="34" t="s">
        <v>222</v>
      </c>
    </row>
    <row r="2677" spans="1:6" hidden="1">
      <c r="A2677" s="212" t="s">
        <v>126</v>
      </c>
      <c r="B2677" s="147"/>
      <c r="C2677" s="147"/>
      <c r="D2677" s="147"/>
      <c r="E2677" s="34" t="s">
        <v>113</v>
      </c>
      <c r="F2677" s="34" t="s">
        <v>222</v>
      </c>
    </row>
    <row r="2678" spans="1:6" hidden="1">
      <c r="A2678" s="212" t="s">
        <v>127</v>
      </c>
      <c r="B2678" s="147"/>
      <c r="C2678" s="147"/>
      <c r="D2678" s="147"/>
      <c r="E2678" s="34" t="s">
        <v>113</v>
      </c>
      <c r="F2678" s="34" t="s">
        <v>222</v>
      </c>
    </row>
    <row r="2679" spans="1:6" hidden="1">
      <c r="A2679" s="230" t="s">
        <v>116</v>
      </c>
      <c r="B2679" s="149"/>
      <c r="C2679" s="149"/>
      <c r="D2679" s="149"/>
      <c r="E2679" s="34" t="s">
        <v>113</v>
      </c>
      <c r="F2679" s="34" t="s">
        <v>198</v>
      </c>
    </row>
    <row r="2680" spans="1:6" hidden="1">
      <c r="A2680" s="230" t="s">
        <v>117</v>
      </c>
      <c r="B2680" s="149"/>
      <c r="C2680" s="149"/>
      <c r="D2680" s="149"/>
      <c r="E2680" s="34" t="s">
        <v>113</v>
      </c>
      <c r="F2680" s="34" t="s">
        <v>198</v>
      </c>
    </row>
    <row r="2681" spans="1:6" hidden="1">
      <c r="A2681" s="230" t="s">
        <v>118</v>
      </c>
      <c r="B2681" s="149"/>
      <c r="C2681" s="149"/>
      <c r="D2681" s="149"/>
      <c r="E2681" s="34" t="s">
        <v>113</v>
      </c>
      <c r="F2681" s="34" t="s">
        <v>198</v>
      </c>
    </row>
    <row r="2682" spans="1:6" hidden="1">
      <c r="A2682" s="230" t="s">
        <v>119</v>
      </c>
      <c r="B2682" s="149"/>
      <c r="C2682" s="149"/>
      <c r="D2682" s="149"/>
      <c r="E2682" s="34" t="s">
        <v>113</v>
      </c>
      <c r="F2682" s="34" t="s">
        <v>198</v>
      </c>
    </row>
    <row r="2683" spans="1:6" hidden="1">
      <c r="A2683" s="230" t="s">
        <v>120</v>
      </c>
      <c r="B2683" s="149"/>
      <c r="C2683" s="149"/>
      <c r="D2683" s="149"/>
      <c r="E2683" s="34" t="s">
        <v>113</v>
      </c>
      <c r="F2683" s="34" t="s">
        <v>198</v>
      </c>
    </row>
    <row r="2684" spans="1:6" hidden="1">
      <c r="A2684" s="230" t="s">
        <v>121</v>
      </c>
      <c r="B2684" s="149"/>
      <c r="C2684" s="149"/>
      <c r="D2684" s="149"/>
      <c r="E2684" s="34" t="s">
        <v>113</v>
      </c>
      <c r="F2684" s="34" t="s">
        <v>198</v>
      </c>
    </row>
    <row r="2685" spans="1:6" hidden="1">
      <c r="A2685" s="230" t="s">
        <v>122</v>
      </c>
      <c r="B2685" s="149"/>
      <c r="C2685" s="149"/>
      <c r="D2685" s="149"/>
      <c r="E2685" s="34" t="s">
        <v>113</v>
      </c>
      <c r="F2685" s="34" t="s">
        <v>198</v>
      </c>
    </row>
    <row r="2686" spans="1:6" hidden="1">
      <c r="A2686" s="230" t="s">
        <v>123</v>
      </c>
      <c r="B2686" s="149"/>
      <c r="C2686" s="149"/>
      <c r="D2686" s="149"/>
      <c r="E2686" s="34" t="s">
        <v>113</v>
      </c>
      <c r="F2686" s="34" t="s">
        <v>198</v>
      </c>
    </row>
    <row r="2687" spans="1:6" hidden="1">
      <c r="A2687" s="230" t="s">
        <v>124</v>
      </c>
      <c r="B2687" s="149"/>
      <c r="C2687" s="149"/>
      <c r="D2687" s="149"/>
      <c r="E2687" s="34" t="s">
        <v>113</v>
      </c>
      <c r="F2687" s="34" t="s">
        <v>198</v>
      </c>
    </row>
    <row r="2688" spans="1:6" hidden="1">
      <c r="A2688" s="230" t="s">
        <v>125</v>
      </c>
      <c r="B2688" s="149"/>
      <c r="C2688" s="149"/>
      <c r="D2688" s="149"/>
      <c r="E2688" s="34" t="s">
        <v>113</v>
      </c>
      <c r="F2688" s="34" t="s">
        <v>198</v>
      </c>
    </row>
    <row r="2689" spans="1:6" hidden="1">
      <c r="A2689" s="230" t="s">
        <v>126</v>
      </c>
      <c r="B2689" s="149"/>
      <c r="C2689" s="149"/>
      <c r="D2689" s="149"/>
      <c r="E2689" s="34" t="s">
        <v>113</v>
      </c>
      <c r="F2689" s="34" t="s">
        <v>198</v>
      </c>
    </row>
    <row r="2690" spans="1:6" hidden="1">
      <c r="A2690" s="230" t="s">
        <v>127</v>
      </c>
      <c r="B2690" s="149"/>
      <c r="C2690" s="149"/>
      <c r="D2690" s="149"/>
      <c r="E2690" s="34" t="s">
        <v>113</v>
      </c>
      <c r="F2690" s="34" t="s">
        <v>198</v>
      </c>
    </row>
    <row r="2691" spans="1:6" hidden="1">
      <c r="A2691" s="212" t="s">
        <v>116</v>
      </c>
      <c r="B2691" s="147"/>
      <c r="C2691" s="147"/>
      <c r="D2691" s="147"/>
      <c r="E2691" s="34" t="s">
        <v>113</v>
      </c>
      <c r="F2691" s="34" t="s">
        <v>28</v>
      </c>
    </row>
    <row r="2692" spans="1:6" hidden="1">
      <c r="A2692" s="212" t="s">
        <v>117</v>
      </c>
      <c r="B2692" s="147"/>
      <c r="C2692" s="147"/>
      <c r="D2692" s="147"/>
      <c r="E2692" s="34" t="s">
        <v>113</v>
      </c>
      <c r="F2692" s="34" t="s">
        <v>28</v>
      </c>
    </row>
    <row r="2693" spans="1:6" hidden="1">
      <c r="A2693" s="212" t="s">
        <v>118</v>
      </c>
      <c r="B2693" s="147"/>
      <c r="C2693" s="147"/>
      <c r="D2693" s="147"/>
      <c r="E2693" s="34" t="s">
        <v>113</v>
      </c>
      <c r="F2693" s="34" t="s">
        <v>28</v>
      </c>
    </row>
    <row r="2694" spans="1:6" hidden="1">
      <c r="A2694" s="212" t="s">
        <v>119</v>
      </c>
      <c r="B2694" s="147"/>
      <c r="C2694" s="147"/>
      <c r="D2694" s="147"/>
      <c r="E2694" s="34" t="s">
        <v>113</v>
      </c>
      <c r="F2694" s="34" t="s">
        <v>28</v>
      </c>
    </row>
    <row r="2695" spans="1:6" hidden="1">
      <c r="A2695" s="212" t="s">
        <v>120</v>
      </c>
      <c r="B2695" s="147"/>
      <c r="C2695" s="147"/>
      <c r="D2695" s="147"/>
      <c r="E2695" s="34" t="s">
        <v>113</v>
      </c>
      <c r="F2695" s="34" t="s">
        <v>28</v>
      </c>
    </row>
    <row r="2696" spans="1:6" hidden="1">
      <c r="A2696" s="212" t="s">
        <v>121</v>
      </c>
      <c r="B2696" s="147"/>
      <c r="C2696" s="147"/>
      <c r="D2696" s="147"/>
      <c r="E2696" s="34" t="s">
        <v>113</v>
      </c>
      <c r="F2696" s="34" t="s">
        <v>28</v>
      </c>
    </row>
    <row r="2697" spans="1:6" hidden="1">
      <c r="A2697" s="212" t="s">
        <v>122</v>
      </c>
      <c r="B2697" s="147"/>
      <c r="C2697" s="147"/>
      <c r="D2697" s="147"/>
      <c r="E2697" s="34" t="s">
        <v>113</v>
      </c>
      <c r="F2697" s="34" t="s">
        <v>28</v>
      </c>
    </row>
    <row r="2698" spans="1:6" hidden="1">
      <c r="A2698" s="212" t="s">
        <v>123</v>
      </c>
      <c r="B2698" s="147"/>
      <c r="C2698" s="147"/>
      <c r="D2698" s="147"/>
      <c r="E2698" s="34" t="s">
        <v>113</v>
      </c>
      <c r="F2698" s="34" t="s">
        <v>28</v>
      </c>
    </row>
    <row r="2699" spans="1:6" hidden="1">
      <c r="A2699" s="212" t="s">
        <v>124</v>
      </c>
      <c r="B2699" s="147"/>
      <c r="C2699" s="147"/>
      <c r="D2699" s="147"/>
      <c r="E2699" s="34" t="s">
        <v>113</v>
      </c>
      <c r="F2699" s="34" t="s">
        <v>28</v>
      </c>
    </row>
    <row r="2700" spans="1:6" hidden="1">
      <c r="A2700" s="212" t="s">
        <v>125</v>
      </c>
      <c r="B2700" s="147"/>
      <c r="C2700" s="147"/>
      <c r="D2700" s="147"/>
      <c r="E2700" s="34" t="s">
        <v>113</v>
      </c>
      <c r="F2700" s="34" t="s">
        <v>28</v>
      </c>
    </row>
    <row r="2701" spans="1:6" hidden="1">
      <c r="A2701" s="212" t="s">
        <v>126</v>
      </c>
      <c r="B2701" s="147"/>
      <c r="C2701" s="147"/>
      <c r="D2701" s="147"/>
      <c r="E2701" s="34" t="s">
        <v>113</v>
      </c>
      <c r="F2701" s="34" t="s">
        <v>28</v>
      </c>
    </row>
    <row r="2702" spans="1:6" hidden="1">
      <c r="A2702" s="212" t="s">
        <v>127</v>
      </c>
      <c r="B2702" s="147"/>
      <c r="C2702" s="147"/>
      <c r="D2702" s="147"/>
      <c r="E2702" s="34" t="s">
        <v>113</v>
      </c>
      <c r="F2702" s="34" t="s">
        <v>28</v>
      </c>
    </row>
    <row r="2703" spans="1:6" hidden="1">
      <c r="A2703" s="230" t="s">
        <v>116</v>
      </c>
      <c r="B2703" s="149"/>
      <c r="C2703" s="149"/>
      <c r="D2703" s="149"/>
      <c r="E2703" s="34" t="s">
        <v>113</v>
      </c>
      <c r="F2703" s="149" t="s">
        <v>142</v>
      </c>
    </row>
    <row r="2704" spans="1:6" hidden="1">
      <c r="A2704" s="230" t="s">
        <v>117</v>
      </c>
      <c r="B2704" s="149"/>
      <c r="C2704" s="149"/>
      <c r="D2704" s="149"/>
      <c r="E2704" s="34" t="s">
        <v>113</v>
      </c>
      <c r="F2704" s="149" t="s">
        <v>142</v>
      </c>
    </row>
    <row r="2705" spans="1:6" hidden="1">
      <c r="A2705" s="230" t="s">
        <v>118</v>
      </c>
      <c r="B2705" s="149"/>
      <c r="C2705" s="149"/>
      <c r="D2705" s="149"/>
      <c r="E2705" s="34" t="s">
        <v>113</v>
      </c>
      <c r="F2705" s="149" t="s">
        <v>142</v>
      </c>
    </row>
    <row r="2706" spans="1:6" hidden="1">
      <c r="A2706" s="230" t="s">
        <v>119</v>
      </c>
      <c r="B2706" s="149"/>
      <c r="C2706" s="149"/>
      <c r="D2706" s="149"/>
      <c r="E2706" s="34" t="s">
        <v>113</v>
      </c>
      <c r="F2706" s="149" t="s">
        <v>142</v>
      </c>
    </row>
    <row r="2707" spans="1:6" hidden="1">
      <c r="A2707" s="230" t="s">
        <v>120</v>
      </c>
      <c r="B2707" s="149"/>
      <c r="C2707" s="149"/>
      <c r="D2707" s="149"/>
      <c r="E2707" s="34" t="s">
        <v>113</v>
      </c>
      <c r="F2707" s="149" t="s">
        <v>142</v>
      </c>
    </row>
    <row r="2708" spans="1:6" hidden="1">
      <c r="A2708" s="230" t="s">
        <v>121</v>
      </c>
      <c r="B2708" s="149"/>
      <c r="C2708" s="149"/>
      <c r="D2708" s="149"/>
      <c r="E2708" s="34" t="s">
        <v>113</v>
      </c>
      <c r="F2708" s="149" t="s">
        <v>142</v>
      </c>
    </row>
    <row r="2709" spans="1:6" hidden="1">
      <c r="A2709" s="230" t="s">
        <v>122</v>
      </c>
      <c r="B2709" s="149"/>
      <c r="C2709" s="149"/>
      <c r="D2709" s="149"/>
      <c r="E2709" s="34" t="s">
        <v>113</v>
      </c>
      <c r="F2709" s="149" t="s">
        <v>142</v>
      </c>
    </row>
    <row r="2710" spans="1:6" hidden="1">
      <c r="A2710" s="230" t="s">
        <v>123</v>
      </c>
      <c r="B2710" s="149"/>
      <c r="C2710" s="149"/>
      <c r="D2710" s="149"/>
      <c r="E2710" s="34" t="s">
        <v>113</v>
      </c>
      <c r="F2710" s="149" t="s">
        <v>142</v>
      </c>
    </row>
    <row r="2711" spans="1:6" hidden="1">
      <c r="A2711" s="230" t="s">
        <v>124</v>
      </c>
      <c r="B2711" s="149"/>
      <c r="C2711" s="149"/>
      <c r="D2711" s="149"/>
      <c r="E2711" s="34" t="s">
        <v>113</v>
      </c>
      <c r="F2711" s="149" t="s">
        <v>142</v>
      </c>
    </row>
    <row r="2712" spans="1:6" hidden="1">
      <c r="A2712" s="230" t="s">
        <v>125</v>
      </c>
      <c r="B2712" s="149"/>
      <c r="C2712" s="149"/>
      <c r="D2712" s="149"/>
      <c r="E2712" s="34" t="s">
        <v>113</v>
      </c>
      <c r="F2712" s="149" t="s">
        <v>142</v>
      </c>
    </row>
    <row r="2713" spans="1:6" hidden="1">
      <c r="A2713" s="230" t="s">
        <v>126</v>
      </c>
      <c r="B2713" s="149"/>
      <c r="C2713" s="149"/>
      <c r="D2713" s="149"/>
      <c r="E2713" s="34" t="s">
        <v>113</v>
      </c>
      <c r="F2713" s="149" t="s">
        <v>142</v>
      </c>
    </row>
    <row r="2714" spans="1:6" hidden="1">
      <c r="A2714" s="230" t="s">
        <v>127</v>
      </c>
      <c r="B2714" s="149"/>
      <c r="C2714" s="149"/>
      <c r="D2714" s="149"/>
      <c r="E2714" s="34" t="s">
        <v>113</v>
      </c>
      <c r="F2714" s="149" t="s">
        <v>142</v>
      </c>
    </row>
  </sheetData>
  <sortState ref="P209:W235">
    <sortCondition ref="P210:P236"/>
  </sortState>
  <mergeCells count="71">
    <mergeCell ref="S212:T212"/>
    <mergeCell ref="U212:U213"/>
    <mergeCell ref="I211:J216"/>
    <mergeCell ref="V212:V213"/>
    <mergeCell ref="W212:W213"/>
    <mergeCell ref="P210:P213"/>
    <mergeCell ref="Q211:W211"/>
    <mergeCell ref="Q212:R212"/>
    <mergeCell ref="Q210:W210"/>
    <mergeCell ref="AE1:AR1"/>
    <mergeCell ref="A1:N1"/>
    <mergeCell ref="A3:A4"/>
    <mergeCell ref="B3:M3"/>
    <mergeCell ref="P1:AC1"/>
    <mergeCell ref="P3:P4"/>
    <mergeCell ref="Q3:AB3"/>
    <mergeCell ref="AE3:AE4"/>
    <mergeCell ref="AF3:AQ3"/>
    <mergeCell ref="A35:N35"/>
    <mergeCell ref="P35:AC35"/>
    <mergeCell ref="AE35:AR35"/>
    <mergeCell ref="A37:A38"/>
    <mergeCell ref="B37:M37"/>
    <mergeCell ref="P37:P38"/>
    <mergeCell ref="Q37:AB37"/>
    <mergeCell ref="AE37:AE38"/>
    <mergeCell ref="AF37:AQ37"/>
    <mergeCell ref="A72:N72"/>
    <mergeCell ref="P72:AC72"/>
    <mergeCell ref="AE72:AR72"/>
    <mergeCell ref="AF74:AQ74"/>
    <mergeCell ref="A106:N106"/>
    <mergeCell ref="P106:AC106"/>
    <mergeCell ref="AE106:AR106"/>
    <mergeCell ref="AF108:AQ108"/>
    <mergeCell ref="A74:A75"/>
    <mergeCell ref="B74:M74"/>
    <mergeCell ref="P74:P75"/>
    <mergeCell ref="Q74:AB74"/>
    <mergeCell ref="AE74:AE75"/>
    <mergeCell ref="A108:A109"/>
    <mergeCell ref="B108:M108"/>
    <mergeCell ref="P108:P109"/>
    <mergeCell ref="Q108:AB108"/>
    <mergeCell ref="AE108:AE109"/>
    <mergeCell ref="A142:N142"/>
    <mergeCell ref="P142:AC142"/>
    <mergeCell ref="AE142:AR142"/>
    <mergeCell ref="A144:A145"/>
    <mergeCell ref="B144:M144"/>
    <mergeCell ref="P144:P145"/>
    <mergeCell ref="Q144:AB144"/>
    <mergeCell ref="AE144:AE145"/>
    <mergeCell ref="AF144:AQ144"/>
    <mergeCell ref="A176:N176"/>
    <mergeCell ref="P176:AC176"/>
    <mergeCell ref="AE176:AR176"/>
    <mergeCell ref="A178:A179"/>
    <mergeCell ref="B178:M178"/>
    <mergeCell ref="P178:P179"/>
    <mergeCell ref="Q178:AB178"/>
    <mergeCell ref="AE178:AE179"/>
    <mergeCell ref="AF178:AQ178"/>
    <mergeCell ref="A210:A213"/>
    <mergeCell ref="B210:H210"/>
    <mergeCell ref="B211:H211"/>
    <mergeCell ref="B212:C212"/>
    <mergeCell ref="D212:E212"/>
    <mergeCell ref="F212:F213"/>
    <mergeCell ref="G212:G213"/>
    <mergeCell ref="H212:H213"/>
  </mergeCell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9">
    <tabColor rgb="FF00B050"/>
  </sheetPr>
  <dimension ref="A1:AF157"/>
  <sheetViews>
    <sheetView showGridLines="0" zoomScale="90" zoomScaleNormal="90" zoomScaleSheetLayoutView="10" workbookViewId="0">
      <selection sqref="A1:AC1"/>
    </sheetView>
  </sheetViews>
  <sheetFormatPr defaultRowHeight="15"/>
  <cols>
    <col min="1" max="1" width="13.140625" bestFit="1" customWidth="1"/>
    <col min="2" max="13" width="12.42578125" customWidth="1"/>
    <col min="14" max="14" width="14" bestFit="1" customWidth="1"/>
    <col min="15" max="15" width="13.7109375" customWidth="1"/>
    <col min="16" max="16" width="12.28515625" style="1020" bestFit="1" customWidth="1"/>
    <col min="17" max="17" width="14.140625" customWidth="1"/>
    <col min="18" max="18" width="16" customWidth="1"/>
    <col min="19" max="19" width="17.7109375" customWidth="1"/>
    <col min="20" max="22" width="16" customWidth="1"/>
    <col min="23" max="23" width="14.28515625" customWidth="1"/>
    <col min="24" max="31" width="14.140625" customWidth="1"/>
    <col min="32" max="32" width="9.140625" style="1020"/>
    <col min="34" max="34" width="15.140625" bestFit="1" customWidth="1"/>
  </cols>
  <sheetData>
    <row r="1" spans="1:32" s="29" customFormat="1" ht="41.25" customHeight="1">
      <c r="A1" s="1399" t="s">
        <v>456</v>
      </c>
      <c r="B1" s="1399"/>
      <c r="C1" s="1399"/>
      <c r="D1" s="1399"/>
      <c r="E1" s="1399"/>
      <c r="F1" s="1399"/>
      <c r="G1" s="1399"/>
      <c r="H1" s="1399"/>
      <c r="I1" s="1399"/>
      <c r="J1" s="1399"/>
      <c r="K1" s="1399"/>
      <c r="L1" s="1399"/>
      <c r="M1" s="1399"/>
      <c r="N1" s="1399"/>
      <c r="O1" s="1399"/>
      <c r="P1" s="1049" t="s">
        <v>458</v>
      </c>
      <c r="Q1" s="94"/>
      <c r="R1" s="234" t="s">
        <v>387</v>
      </c>
      <c r="S1" s="234" t="s">
        <v>390</v>
      </c>
      <c r="T1" s="234" t="s">
        <v>391</v>
      </c>
      <c r="U1" s="234" t="s">
        <v>385</v>
      </c>
      <c r="V1" s="234" t="s">
        <v>392</v>
      </c>
      <c r="W1" s="234" t="s">
        <v>386</v>
      </c>
      <c r="X1" s="92"/>
      <c r="Y1" s="92"/>
      <c r="Z1" s="1396" t="s">
        <v>219</v>
      </c>
      <c r="AA1" s="1397"/>
      <c r="AB1" s="1397"/>
      <c r="AC1" s="1397"/>
      <c r="AD1" s="1398"/>
      <c r="AF1" s="1055"/>
    </row>
    <row r="2" spans="1:32" ht="15" customHeight="1">
      <c r="A2" s="30" t="s">
        <v>115</v>
      </c>
      <c r="B2" s="47" t="s">
        <v>116</v>
      </c>
      <c r="C2" s="47" t="s">
        <v>117</v>
      </c>
      <c r="D2" s="47" t="s">
        <v>118</v>
      </c>
      <c r="E2" s="47" t="s">
        <v>119</v>
      </c>
      <c r="F2" s="47" t="s">
        <v>120</v>
      </c>
      <c r="G2" s="47" t="s">
        <v>121</v>
      </c>
      <c r="H2" s="47" t="s">
        <v>122</v>
      </c>
      <c r="I2" s="47" t="s">
        <v>123</v>
      </c>
      <c r="J2" s="47" t="s">
        <v>124</v>
      </c>
      <c r="K2" s="47" t="s">
        <v>125</v>
      </c>
      <c r="L2" s="47" t="s">
        <v>126</v>
      </c>
      <c r="M2" s="47" t="s">
        <v>127</v>
      </c>
      <c r="N2" s="47" t="s">
        <v>128</v>
      </c>
      <c r="O2" s="31" t="s">
        <v>129</v>
      </c>
      <c r="P2" s="235">
        <f>O34/$O$3</f>
        <v>0.34143898822600188</v>
      </c>
      <c r="Q2" s="94" t="s">
        <v>183</v>
      </c>
      <c r="R2" s="173">
        <f>B61</f>
        <v>0.99999999999999989</v>
      </c>
      <c r="S2" s="167">
        <f>R2*O34</f>
        <v>50122525.358499989</v>
      </c>
      <c r="T2" s="73">
        <f>N34</f>
        <v>54822531.61999999</v>
      </c>
      <c r="U2" s="168">
        <f>($T2/S2)-1</f>
        <v>9.3770340338666713E-2</v>
      </c>
      <c r="V2" s="177">
        <f>Gráficos!M10</f>
        <v>86382588.019999966</v>
      </c>
      <c r="W2" s="168">
        <f>($T2/V2)-1</f>
        <v>-0.36535205905955204</v>
      </c>
      <c r="X2" s="93"/>
      <c r="Y2" s="93"/>
      <c r="Z2" s="95" t="s">
        <v>220</v>
      </c>
      <c r="AA2" s="34">
        <f>'Evolução das Receitas'!B242</f>
        <v>86382588.019999981</v>
      </c>
      <c r="AB2" s="180"/>
      <c r="AC2" s="180" t="s">
        <v>398</v>
      </c>
      <c r="AD2" s="181"/>
    </row>
    <row r="3" spans="1:32" ht="15" customHeight="1">
      <c r="A3" s="32">
        <v>2020</v>
      </c>
      <c r="B3" s="36">
        <f>B34+B65+B96+B127+R34+R65</f>
        <v>22576388.020000003</v>
      </c>
      <c r="C3" s="37">
        <f t="shared" ref="C3" si="0">C34+C65+C96+C127+S34+S65</f>
        <v>21791063.84</v>
      </c>
      <c r="D3" s="37">
        <f t="shared" ref="D3" si="1">D34+D65+D96+D127+T34+T65</f>
        <v>15811503.190000001</v>
      </c>
      <c r="E3" s="37">
        <f t="shared" ref="E3" si="2">E34+E65+E96+E127+U34+U65</f>
        <v>8141870.1899999985</v>
      </c>
      <c r="F3" s="37">
        <f t="shared" ref="F3" si="3">F34+F65+F96+F127+V34+V65</f>
        <v>8658705.8900000006</v>
      </c>
      <c r="G3" s="37">
        <f t="shared" ref="G3" si="4">G34+G65+G96+G127+W34+W65</f>
        <v>11852236.880000001</v>
      </c>
      <c r="H3" s="37">
        <f t="shared" ref="H3" si="5">H34+H65+H96+H127+X34+X65</f>
        <v>15414639.369999999</v>
      </c>
      <c r="I3" s="37">
        <f t="shared" ref="I3" si="6">I34+I65+I96+I127+Y34+Y65</f>
        <v>16518182.860000001</v>
      </c>
      <c r="J3" s="37">
        <f t="shared" ref="J3" si="7">J34+J65+J96+J127+Z34+Z65</f>
        <v>12575439.829999998</v>
      </c>
      <c r="K3" s="37">
        <f t="shared" ref="K3" si="8">K34+K65+K96+K127+AA34+AA65</f>
        <v>13091764.559999999</v>
      </c>
      <c r="L3" s="37">
        <f t="shared" ref="L3" si="9">L34+L65+L96+L127+AB34+AB65</f>
        <v>11490553.48</v>
      </c>
      <c r="M3" s="37">
        <f t="shared" ref="M3" si="10">M34+M65+M96+M127+AC34+AC65</f>
        <v>11503465.949999999</v>
      </c>
      <c r="N3" s="35">
        <f>SUM(B3:M3)</f>
        <v>169425814.05999997</v>
      </c>
      <c r="O3" s="177">
        <f>O34+AE34+O65+AE65+O96+O127</f>
        <v>146797896.80410895</v>
      </c>
      <c r="P3" s="235">
        <f>AE34/$O$3</f>
        <v>8.0825508623533229E-2</v>
      </c>
      <c r="Q3" s="94" t="s">
        <v>194</v>
      </c>
      <c r="R3" s="173">
        <f>R61</f>
        <v>0.99999999999999978</v>
      </c>
      <c r="S3" s="167">
        <f>R3*AE34</f>
        <v>11865014.674057046</v>
      </c>
      <c r="T3" s="73">
        <f>AD34</f>
        <v>16565108.539999999</v>
      </c>
      <c r="U3" s="168">
        <f>($T3/S3)-1</f>
        <v>0.39613047223782605</v>
      </c>
      <c r="V3" s="177">
        <f>Gráficos!M17</f>
        <v>11865014.674057046</v>
      </c>
      <c r="W3" s="168">
        <f t="shared" ref="W3:W8" si="11">($T3/V3)-1</f>
        <v>0.39613047223782605</v>
      </c>
      <c r="X3" s="93"/>
      <c r="Y3" s="93"/>
      <c r="Z3" s="95" t="s">
        <v>221</v>
      </c>
      <c r="AA3" s="34">
        <f>'Evolução das Receitas'!D242</f>
        <v>10468500.740545869</v>
      </c>
      <c r="AB3" s="180"/>
      <c r="AC3" s="180"/>
      <c r="AD3" s="181"/>
    </row>
    <row r="4" spans="1:32" ht="15" customHeight="1" thickBot="1">
      <c r="A4" s="32">
        <v>2019</v>
      </c>
      <c r="B4" s="34">
        <f>B35+B66+B97+B128+R35+R66</f>
        <v>19627391.469999995</v>
      </c>
      <c r="C4" s="34">
        <f t="shared" ref="C4:M4" si="12">C35+C66+C97+C128+S35+S66</f>
        <v>21944976.73</v>
      </c>
      <c r="D4" s="34">
        <f t="shared" si="12"/>
        <v>13314373.720000001</v>
      </c>
      <c r="E4" s="34">
        <f t="shared" si="12"/>
        <v>15168339.013</v>
      </c>
      <c r="F4" s="34">
        <f t="shared" si="12"/>
        <v>17298289.949999999</v>
      </c>
      <c r="G4" s="34">
        <f t="shared" si="12"/>
        <v>14414922.41</v>
      </c>
      <c r="H4" s="34">
        <f t="shared" si="12"/>
        <v>13399020.84</v>
      </c>
      <c r="I4" s="34">
        <f t="shared" si="12"/>
        <v>12677183.73</v>
      </c>
      <c r="J4" s="34">
        <f t="shared" si="12"/>
        <v>11703872.489999998</v>
      </c>
      <c r="K4" s="34">
        <f t="shared" si="12"/>
        <v>12693953.000000002</v>
      </c>
      <c r="L4" s="34">
        <f t="shared" si="12"/>
        <v>10822467.210000001</v>
      </c>
      <c r="M4" s="34">
        <f t="shared" si="12"/>
        <v>11238229.000000002</v>
      </c>
      <c r="N4" s="35">
        <f>SUM(B4:M4)</f>
        <v>174303019.56300002</v>
      </c>
      <c r="O4" s="179"/>
      <c r="P4" s="235">
        <f>O65/$O$3</f>
        <v>4.523535815272068E-2</v>
      </c>
      <c r="Q4" s="94" t="s">
        <v>184</v>
      </c>
      <c r="R4" s="173">
        <f>B92</f>
        <v>0.99999999999999978</v>
      </c>
      <c r="S4" s="167">
        <f>R4*O65</f>
        <v>6640455.4379999973</v>
      </c>
      <c r="T4" s="73">
        <f>N65</f>
        <v>6969292.370000001</v>
      </c>
      <c r="U4" s="168">
        <f t="shared" ref="U4:U8" si="13">($T4/S4)-1</f>
        <v>4.9520237741260242E-2</v>
      </c>
      <c r="V4" s="177">
        <f>Gráficos!M23</f>
        <v>10468500.740545867</v>
      </c>
      <c r="W4" s="168">
        <f t="shared" si="11"/>
        <v>-0.33426069857290797</v>
      </c>
      <c r="X4" s="91"/>
      <c r="Y4" s="91"/>
      <c r="Z4" s="95" t="s">
        <v>185</v>
      </c>
      <c r="AA4" s="34">
        <f>'Evolução das Receitas'!G242</f>
        <v>7815552.4720629985</v>
      </c>
      <c r="AB4" s="182"/>
      <c r="AC4" s="182"/>
      <c r="AD4" s="183"/>
    </row>
    <row r="5" spans="1:32" ht="15" customHeight="1">
      <c r="A5" s="30">
        <v>2018</v>
      </c>
      <c r="B5" s="36">
        <v>20218507.809999999</v>
      </c>
      <c r="C5" s="37">
        <v>18505494.743999995</v>
      </c>
      <c r="D5" s="37">
        <v>14386851.480000002</v>
      </c>
      <c r="E5" s="37">
        <v>14310542</v>
      </c>
      <c r="F5" s="37">
        <v>13990650.66</v>
      </c>
      <c r="G5" s="37">
        <v>12895178.670000002</v>
      </c>
      <c r="H5" s="37">
        <v>9990709.9299999997</v>
      </c>
      <c r="I5" s="37">
        <v>10857304.02</v>
      </c>
      <c r="J5" s="37">
        <v>8910908.9900000002</v>
      </c>
      <c r="K5" s="37">
        <v>10128183.039999999</v>
      </c>
      <c r="L5" s="37">
        <v>8546466.620000001</v>
      </c>
      <c r="M5" s="37">
        <v>8604464.0199999996</v>
      </c>
      <c r="N5" s="35">
        <f>SUM(B5:M5)</f>
        <v>151345261.984</v>
      </c>
      <c r="O5" s="179"/>
      <c r="P5" s="235">
        <f>AE65/$O$3</f>
        <v>1.1884692482523839E-2</v>
      </c>
      <c r="Q5" s="94" t="s">
        <v>195</v>
      </c>
      <c r="R5" s="173">
        <f>R92</f>
        <v>1</v>
      </c>
      <c r="S5" s="167">
        <f>R5*AE65</f>
        <v>1744647.8605981038</v>
      </c>
      <c r="T5" s="73">
        <f>AD65</f>
        <v>2136068.67</v>
      </c>
      <c r="U5" s="168">
        <f t="shared" si="13"/>
        <v>0.22435519410072158</v>
      </c>
      <c r="V5" s="177">
        <f>Gráficos!M30</f>
        <v>1744647.8605981038</v>
      </c>
      <c r="W5" s="168">
        <f t="shared" si="11"/>
        <v>0.22435519410072158</v>
      </c>
      <c r="X5" s="91"/>
      <c r="Y5" s="91"/>
      <c r="Z5" s="91"/>
      <c r="AA5" s="91"/>
      <c r="AB5" s="91"/>
      <c r="AC5" s="91"/>
    </row>
    <row r="6" spans="1:32" ht="15" customHeight="1">
      <c r="A6" s="30">
        <v>2017</v>
      </c>
      <c r="B6" s="33">
        <v>21630408.969999999</v>
      </c>
      <c r="C6" s="33">
        <v>16112125.870000003</v>
      </c>
      <c r="D6" s="33">
        <v>13401480.550000001</v>
      </c>
      <c r="E6" s="33">
        <v>9431754.055999998</v>
      </c>
      <c r="F6" s="33">
        <v>14942507.16</v>
      </c>
      <c r="G6" s="33">
        <v>12352637.82</v>
      </c>
      <c r="H6" s="33">
        <v>9287542.5999999996</v>
      </c>
      <c r="I6" s="33">
        <v>10585695.219999999</v>
      </c>
      <c r="J6" s="33">
        <v>8731413.6799999997</v>
      </c>
      <c r="K6" s="33">
        <v>9907587.5140000023</v>
      </c>
      <c r="L6" s="33">
        <v>9004964.8500000015</v>
      </c>
      <c r="M6" s="33">
        <v>7781556.9900000002</v>
      </c>
      <c r="N6" s="35">
        <f t="shared" ref="N6:N8" si="14">SUM(B6:M6)</f>
        <v>143169675.28</v>
      </c>
      <c r="O6" s="179"/>
      <c r="P6" s="235">
        <f>O96/$O$3</f>
        <v>0.47839535779053682</v>
      </c>
      <c r="Q6" s="94" t="s">
        <v>28</v>
      </c>
      <c r="R6" s="173">
        <f>B123</f>
        <v>1</v>
      </c>
      <c r="S6" s="167">
        <f>R6*O96</f>
        <v>70227432.364500001</v>
      </c>
      <c r="T6" s="73">
        <f>N96</f>
        <v>81413494.150000006</v>
      </c>
      <c r="U6" s="168">
        <f t="shared" si="13"/>
        <v>0.1592833656147532</v>
      </c>
      <c r="V6" s="177">
        <f>Gráficos!M36</f>
        <v>70227432.364500001</v>
      </c>
      <c r="W6" s="168">
        <f t="shared" si="11"/>
        <v>0.1592833656147532</v>
      </c>
      <c r="X6" s="91"/>
      <c r="Y6" s="91"/>
      <c r="Z6" s="91"/>
      <c r="AA6" s="91"/>
      <c r="AB6" s="91"/>
      <c r="AC6" s="91"/>
    </row>
    <row r="7" spans="1:32" ht="15" customHeight="1" thickBot="1">
      <c r="A7" s="30">
        <v>2016</v>
      </c>
      <c r="B7" s="36">
        <v>13522659</v>
      </c>
      <c r="C7" s="37">
        <v>19522721</v>
      </c>
      <c r="D7" s="37">
        <v>11853783</v>
      </c>
      <c r="E7" s="37">
        <v>10017510</v>
      </c>
      <c r="F7" s="37">
        <v>11339637</v>
      </c>
      <c r="G7" s="37">
        <v>11850044</v>
      </c>
      <c r="H7" s="37">
        <v>8743031</v>
      </c>
      <c r="I7" s="37">
        <v>8776295</v>
      </c>
      <c r="J7" s="37">
        <v>8271860</v>
      </c>
      <c r="K7" s="37">
        <v>7346630</v>
      </c>
      <c r="L7" s="37">
        <v>7568914</v>
      </c>
      <c r="M7" s="37">
        <v>7993390</v>
      </c>
      <c r="N7" s="35">
        <f t="shared" si="14"/>
        <v>126806474</v>
      </c>
      <c r="O7" s="179"/>
      <c r="P7" s="235">
        <f>O127/$O$3</f>
        <v>4.2220094724683653E-2</v>
      </c>
      <c r="Q7" s="94" t="s">
        <v>185</v>
      </c>
      <c r="R7" s="237">
        <f>B154</f>
        <v>1</v>
      </c>
      <c r="S7" s="238">
        <f>R7*O127</f>
        <v>6197821.1084538158</v>
      </c>
      <c r="T7" s="73">
        <f>N127</f>
        <v>7519318.71</v>
      </c>
      <c r="U7" s="168">
        <f t="shared" si="13"/>
        <v>0.21321970712314742</v>
      </c>
      <c r="V7" s="177">
        <f>Gráficos!M42</f>
        <v>7815552.4720629985</v>
      </c>
      <c r="W7" s="168">
        <f t="shared" si="11"/>
        <v>-3.7903112175613707E-2</v>
      </c>
    </row>
    <row r="8" spans="1:32" ht="15" customHeight="1" thickBot="1">
      <c r="A8" s="30">
        <v>2015</v>
      </c>
      <c r="B8" s="33">
        <v>14647723</v>
      </c>
      <c r="C8" s="34">
        <v>18422217</v>
      </c>
      <c r="D8" s="34">
        <v>11371154</v>
      </c>
      <c r="E8" s="34">
        <v>9707977</v>
      </c>
      <c r="F8" s="34">
        <v>10003191</v>
      </c>
      <c r="G8" s="34">
        <v>10402134</v>
      </c>
      <c r="H8" s="34">
        <v>8814983</v>
      </c>
      <c r="I8" s="34">
        <v>7824387</v>
      </c>
      <c r="J8" s="34">
        <v>7656025</v>
      </c>
      <c r="K8" s="34">
        <v>7340297</v>
      </c>
      <c r="L8" s="34">
        <v>6731338</v>
      </c>
      <c r="M8" s="34">
        <v>6572782</v>
      </c>
      <c r="N8" s="35">
        <f t="shared" si="14"/>
        <v>119494208</v>
      </c>
      <c r="O8" s="179"/>
      <c r="P8" s="1050">
        <f>SUM(P2:P7)</f>
        <v>1</v>
      </c>
      <c r="Q8" s="236" t="s">
        <v>128</v>
      </c>
      <c r="R8" s="239">
        <f>B30</f>
        <v>1</v>
      </c>
      <c r="S8" s="266">
        <f>R8*O3</f>
        <v>146797896.80410895</v>
      </c>
      <c r="T8" s="268">
        <f>SUM(T2:T7)</f>
        <v>169425814.06000003</v>
      </c>
      <c r="U8" s="168">
        <f t="shared" si="13"/>
        <v>0.15414333412478243</v>
      </c>
      <c r="V8" s="267">
        <f>SUM(V2:V7)</f>
        <v>188503736.13176399</v>
      </c>
      <c r="W8" s="168">
        <f t="shared" si="11"/>
        <v>-0.10120712970075307</v>
      </c>
    </row>
    <row r="9" spans="1:32" ht="14.25" customHeight="1">
      <c r="A9" s="203"/>
      <c r="B9" t="b">
        <f>B3='TOTAL POR UF'!R98</f>
        <v>0</v>
      </c>
      <c r="Q9" s="1192"/>
      <c r="R9" s="1002" t="b">
        <f>(R8/B30)=1</f>
        <v>1</v>
      </c>
      <c r="S9" s="194">
        <f>SUM(S2:S7)</f>
        <v>146797896.80410895</v>
      </c>
      <c r="T9" s="1002" t="b">
        <f>T8=N3</f>
        <v>1</v>
      </c>
    </row>
    <row r="10" spans="1:32" ht="14.25" customHeight="1">
      <c r="A10" s="30">
        <v>2020</v>
      </c>
      <c r="B10" s="38">
        <f>B3/$N$3</f>
        <v>0.13325235086080134</v>
      </c>
      <c r="C10" s="38">
        <f t="shared" ref="C10:M10" si="15">C3/$N$3</f>
        <v>0.12861714114168563</v>
      </c>
      <c r="D10" s="38">
        <f t="shared" si="15"/>
        <v>9.3324050279614185E-2</v>
      </c>
      <c r="E10" s="38">
        <f t="shared" si="15"/>
        <v>4.805566516042626E-2</v>
      </c>
      <c r="F10" s="38">
        <f t="shared" si="15"/>
        <v>5.1106178465423403E-2</v>
      </c>
      <c r="G10" s="38">
        <f t="shared" si="15"/>
        <v>6.9955319062552548E-2</v>
      </c>
      <c r="H10" s="38">
        <f t="shared" si="15"/>
        <v>9.0981645598238667E-2</v>
      </c>
      <c r="I10" s="38">
        <f t="shared" si="15"/>
        <v>9.7495077427518215E-2</v>
      </c>
      <c r="J10" s="38">
        <f t="shared" si="15"/>
        <v>7.4223871372673875E-2</v>
      </c>
      <c r="K10" s="38">
        <f t="shared" si="15"/>
        <v>7.7271368785418487E-2</v>
      </c>
      <c r="L10" s="38">
        <f t="shared" si="15"/>
        <v>6.7820559362522931E-2</v>
      </c>
      <c r="M10" s="38">
        <f t="shared" si="15"/>
        <v>6.7896772483124646E-2</v>
      </c>
      <c r="N10" s="209" t="b">
        <f>SUM(B10:M10)=100%</f>
        <v>1</v>
      </c>
      <c r="Q10" s="169" t="s">
        <v>389</v>
      </c>
      <c r="R10" s="178">
        <f>(SUM(B3:M3)/SUM(B4:M4))-1</f>
        <v>-2.7981187676655472E-2</v>
      </c>
      <c r="V10" s="171" t="s">
        <v>393</v>
      </c>
    </row>
    <row r="11" spans="1:32" ht="15" customHeight="1">
      <c r="A11" s="30">
        <v>2019</v>
      </c>
      <c r="B11" s="207">
        <f>B4/N4</f>
        <v>0.11260499972523928</v>
      </c>
      <c r="C11" s="189">
        <f>C4/N4</f>
        <v>0.12590129984563014</v>
      </c>
      <c r="D11" s="189">
        <f>D4/N4</f>
        <v>7.6386362975127103E-2</v>
      </c>
      <c r="E11" s="189">
        <f>E4/N4</f>
        <v>8.7022812634164157E-2</v>
      </c>
      <c r="F11" s="189">
        <f>F4/N4</f>
        <v>9.924262926350344E-2</v>
      </c>
      <c r="G11" s="189">
        <f>G4/N4</f>
        <v>8.2700359673286525E-2</v>
      </c>
      <c r="H11" s="189">
        <f>H4/N4</f>
        <v>7.687199495219911E-2</v>
      </c>
      <c r="I11" s="189">
        <f>I4/N4</f>
        <v>7.2730717814202664E-2</v>
      </c>
      <c r="J11" s="189">
        <f>J4/N4</f>
        <v>6.7146699577225369E-2</v>
      </c>
      <c r="K11" s="189">
        <f>K4/N4</f>
        <v>7.2826925384456148E-2</v>
      </c>
      <c r="L11" s="189">
        <f>L4/N4</f>
        <v>6.2089958264253314E-2</v>
      </c>
      <c r="M11" s="189">
        <f>M4/N4</f>
        <v>6.4475239890712618E-2</v>
      </c>
      <c r="N11" s="209" t="b">
        <f t="shared" ref="N11:N16" si="16">SUM(B11:M11)=100%</f>
        <v>1</v>
      </c>
      <c r="R11" s="486">
        <f>'Comparativo YoY'!EF37</f>
        <v>-2.7981187676655281</v>
      </c>
    </row>
    <row r="12" spans="1:32" ht="15" customHeight="1">
      <c r="A12" s="30">
        <v>2018</v>
      </c>
      <c r="B12" s="207">
        <f>B5/N5</f>
        <v>0.13359194430637328</v>
      </c>
      <c r="C12" s="189">
        <f>C5/N5</f>
        <v>0.12227336687921138</v>
      </c>
      <c r="D12" s="189">
        <f>D5/N5</f>
        <v>9.5059807564514043E-2</v>
      </c>
      <c r="E12" s="189">
        <f>E5/N5</f>
        <v>9.4555599642841076E-2</v>
      </c>
      <c r="F12" s="189">
        <f>F5/N5</f>
        <v>9.2441946821427895E-2</v>
      </c>
      <c r="G12" s="189">
        <f>G5/N5</f>
        <v>8.5203715669429164E-2</v>
      </c>
      <c r="H12" s="189">
        <f>H5/N5</f>
        <v>6.6012703662016212E-2</v>
      </c>
      <c r="I12" s="189">
        <f>I5/N5</f>
        <v>7.1738644987431571E-2</v>
      </c>
      <c r="J12" s="189">
        <f>J5/N5</f>
        <v>5.8878017542049306E-2</v>
      </c>
      <c r="K12" s="189">
        <f>K5/N5</f>
        <v>6.6921044684376943E-2</v>
      </c>
      <c r="L12" s="189">
        <f>L5/N5</f>
        <v>5.6469997857637073E-2</v>
      </c>
      <c r="M12" s="189">
        <f>M5/N5</f>
        <v>5.6853210382692067E-2</v>
      </c>
      <c r="N12" s="209" t="b">
        <f t="shared" si="16"/>
        <v>1</v>
      </c>
    </row>
    <row r="13" spans="1:32" ht="15" customHeight="1">
      <c r="A13" s="30">
        <v>2017</v>
      </c>
      <c r="B13" s="207">
        <f>B6/N6</f>
        <v>0.15108233589059236</v>
      </c>
      <c r="C13" s="189">
        <f>C6/N6</f>
        <v>0.11253867719186464</v>
      </c>
      <c r="D13" s="189">
        <f>D6/N6</f>
        <v>9.3605580398156515E-2</v>
      </c>
      <c r="E13" s="189">
        <f>E6/N6</f>
        <v>6.5878154976283312E-2</v>
      </c>
      <c r="F13" s="189">
        <f>F6/N6</f>
        <v>0.10436921876631081</v>
      </c>
      <c r="G13" s="189">
        <f>G6/N6</f>
        <v>8.6279708296059771E-2</v>
      </c>
      <c r="H13" s="189">
        <f>H6/N6</f>
        <v>6.4870878430339063E-2</v>
      </c>
      <c r="I13" s="189">
        <f>I6/N6</f>
        <v>7.3938110143068544E-2</v>
      </c>
      <c r="J13" s="189">
        <f>J6/N6</f>
        <v>6.0986474006620377E-2</v>
      </c>
      <c r="K13" s="189">
        <f>K6/N6</f>
        <v>6.9201718133560908E-2</v>
      </c>
      <c r="L13" s="189">
        <f>L6/N6</f>
        <v>6.2897152154524336E-2</v>
      </c>
      <c r="M13" s="189">
        <f>M6/N6</f>
        <v>5.4351991612619381E-2</v>
      </c>
      <c r="N13" s="209" t="b">
        <f t="shared" si="16"/>
        <v>1</v>
      </c>
    </row>
    <row r="14" spans="1:32" ht="15" customHeight="1">
      <c r="A14" s="30">
        <v>2016</v>
      </c>
      <c r="B14" s="38">
        <f>B7/N7</f>
        <v>0.1066401310078222</v>
      </c>
      <c r="C14" s="39">
        <f>C7/N7</f>
        <v>0.15395681611650205</v>
      </c>
      <c r="D14" s="39">
        <f>D7/N7</f>
        <v>9.3479320306627242E-2</v>
      </c>
      <c r="E14" s="39">
        <f>E7/N7</f>
        <v>7.8998411390257567E-2</v>
      </c>
      <c r="F14" s="39">
        <f>F7/N7</f>
        <v>8.942474814022508E-2</v>
      </c>
      <c r="G14" s="39">
        <f>G7/N7</f>
        <v>9.3449834430377743E-2</v>
      </c>
      <c r="H14" s="39">
        <f>H7/N7</f>
        <v>6.8947828326178365E-2</v>
      </c>
      <c r="I14" s="39">
        <f>I7/N7</f>
        <v>6.9210149317770642E-2</v>
      </c>
      <c r="J14" s="39">
        <f>J7/N7</f>
        <v>6.5232158414877145E-2</v>
      </c>
      <c r="K14" s="39">
        <f>K7/N7</f>
        <v>5.7935764383764819E-2</v>
      </c>
      <c r="L14" s="39">
        <f>L7/N7</f>
        <v>5.9688703275512574E-2</v>
      </c>
      <c r="M14" s="39">
        <f>M7/N7</f>
        <v>6.3036134890084555E-2</v>
      </c>
      <c r="N14" s="209" t="b">
        <f t="shared" si="16"/>
        <v>1</v>
      </c>
    </row>
    <row r="15" spans="1:32" ht="15" customHeight="1">
      <c r="A15" s="30">
        <v>2015</v>
      </c>
      <c r="B15" s="38">
        <f>B8/N8</f>
        <v>0.12258102919933994</v>
      </c>
      <c r="C15" s="39">
        <f>C8/N8</f>
        <v>0.15416828403934021</v>
      </c>
      <c r="D15" s="39">
        <f>D8/N8</f>
        <v>9.516071272676245E-2</v>
      </c>
      <c r="E15" s="39">
        <f>E8/N8</f>
        <v>8.1242238954376766E-2</v>
      </c>
      <c r="F15" s="39">
        <f>F8/N8</f>
        <v>8.3712768739385254E-2</v>
      </c>
      <c r="G15" s="39">
        <f>G8/N8</f>
        <v>8.7051365703013819E-2</v>
      </c>
      <c r="H15" s="39">
        <f>H8/N8</f>
        <v>7.3769123604718989E-2</v>
      </c>
      <c r="I15" s="39">
        <f>I8/N8</f>
        <v>6.5479215528170195E-2</v>
      </c>
      <c r="J15" s="39">
        <f>J8/N8</f>
        <v>6.4070260208762581E-2</v>
      </c>
      <c r="K15" s="39">
        <f>K8/N8</f>
        <v>6.1428056831005565E-2</v>
      </c>
      <c r="L15" s="39">
        <f>L8/N8</f>
        <v>5.6331918614833616E-2</v>
      </c>
      <c r="M15" s="39">
        <f>M8/N8</f>
        <v>5.5005025850290587E-2</v>
      </c>
      <c r="N15" s="209" t="b">
        <f t="shared" si="16"/>
        <v>1</v>
      </c>
    </row>
    <row r="16" spans="1:32" ht="15" customHeight="1">
      <c r="A16" s="30" t="s">
        <v>457</v>
      </c>
      <c r="B16" s="40">
        <f>AVERAGE(B11:B13)</f>
        <v>0.13242642664073498</v>
      </c>
      <c r="C16" s="40">
        <f>AVERAGE(C11:C13)</f>
        <v>0.12023778130556873</v>
      </c>
      <c r="D16" s="40">
        <f>AVERAGE(D11:D13)</f>
        <v>8.8350583645932554E-2</v>
      </c>
      <c r="E16" s="40">
        <f t="shared" ref="E16:M16" si="17">AVERAGE(E11:E13)</f>
        <v>8.2485522417762844E-2</v>
      </c>
      <c r="F16" s="40">
        <f t="shared" si="17"/>
        <v>9.8684598283747385E-2</v>
      </c>
      <c r="G16" s="40">
        <f t="shared" si="17"/>
        <v>8.4727927879591824E-2</v>
      </c>
      <c r="H16" s="40">
        <f t="shared" si="17"/>
        <v>6.9251859014851466E-2</v>
      </c>
      <c r="I16" s="40">
        <f t="shared" si="17"/>
        <v>7.2802490981567602E-2</v>
      </c>
      <c r="J16" s="40">
        <f t="shared" si="17"/>
        <v>6.2337063708631686E-2</v>
      </c>
      <c r="K16" s="40">
        <f t="shared" si="17"/>
        <v>6.9649896067464676E-2</v>
      </c>
      <c r="L16" s="40">
        <f t="shared" si="17"/>
        <v>6.0485702758804903E-2</v>
      </c>
      <c r="M16" s="40">
        <f t="shared" si="17"/>
        <v>5.8560147295341362E-2</v>
      </c>
      <c r="N16" s="209" t="b">
        <f t="shared" si="16"/>
        <v>1</v>
      </c>
      <c r="Q16" s="1400"/>
      <c r="R16" s="1400"/>
      <c r="S16" s="1400"/>
    </row>
    <row r="17" spans="1:32" ht="15" customHeight="1">
      <c r="B17" s="42"/>
      <c r="C17" s="42"/>
      <c r="D17" s="42"/>
      <c r="E17" s="42"/>
      <c r="F17" s="42"/>
      <c r="G17" s="42"/>
      <c r="H17" s="42"/>
      <c r="I17" s="42"/>
      <c r="J17" s="42"/>
      <c r="K17" s="42"/>
      <c r="L17" s="42"/>
      <c r="M17" s="42"/>
      <c r="X17" s="88"/>
    </row>
    <row r="18" spans="1:32" ht="15" customHeight="1">
      <c r="B18" s="30" t="s">
        <v>457</v>
      </c>
      <c r="C18" s="30">
        <v>2020</v>
      </c>
      <c r="D18" s="30">
        <v>2019</v>
      </c>
      <c r="E18" s="30">
        <v>2018</v>
      </c>
      <c r="F18" s="30">
        <v>2017</v>
      </c>
      <c r="G18" s="30">
        <v>2016</v>
      </c>
      <c r="H18" s="30">
        <v>2015</v>
      </c>
      <c r="P18" s="1051"/>
      <c r="T18" s="89"/>
      <c r="U18" s="89"/>
      <c r="V18" s="89"/>
      <c r="W18" s="89"/>
      <c r="X18" s="89"/>
    </row>
    <row r="19" spans="1:32" ht="15" customHeight="1">
      <c r="A19" s="30" t="s">
        <v>130</v>
      </c>
      <c r="B19" s="43">
        <f>B16</f>
        <v>0.13242642664073498</v>
      </c>
      <c r="C19" s="44">
        <f>B10</f>
        <v>0.13325235086080134</v>
      </c>
      <c r="D19" s="44">
        <f>B11</f>
        <v>0.11260499972523928</v>
      </c>
      <c r="E19" s="44">
        <f>B12</f>
        <v>0.13359194430637328</v>
      </c>
      <c r="F19" s="44">
        <f>B13</f>
        <v>0.15108233589059236</v>
      </c>
      <c r="G19" s="44">
        <f>B14</f>
        <v>0.1066401310078222</v>
      </c>
      <c r="H19" s="44">
        <f>B15</f>
        <v>0.12258102919933994</v>
      </c>
      <c r="I19" s="62"/>
      <c r="J19" s="42"/>
      <c r="L19" s="89"/>
      <c r="M19" s="89"/>
      <c r="N19" s="89"/>
      <c r="O19" s="89"/>
      <c r="P19" s="1051"/>
      <c r="T19" s="89"/>
      <c r="U19" s="89"/>
      <c r="V19" s="89"/>
      <c r="W19" s="89"/>
      <c r="X19" s="89"/>
    </row>
    <row r="20" spans="1:32" ht="15" customHeight="1">
      <c r="A20" s="30" t="s">
        <v>131</v>
      </c>
      <c r="B20" s="43">
        <f>B16+C16</f>
        <v>0.25266420794630373</v>
      </c>
      <c r="C20" s="44">
        <f>SUM(B10:C10)</f>
        <v>0.26186949200248699</v>
      </c>
      <c r="D20" s="44">
        <f>SUM(B11:C11)</f>
        <v>0.23850629957086944</v>
      </c>
      <c r="E20" s="44">
        <f>SUM(B12:C12)</f>
        <v>0.25586531118558464</v>
      </c>
      <c r="F20" s="44">
        <f>SUM(B13:C13)</f>
        <v>0.263621013082457</v>
      </c>
      <c r="G20" s="44">
        <f>SUM(B14:C14)</f>
        <v>0.26059694712432424</v>
      </c>
      <c r="H20" s="44">
        <f>SUM(B15:C15)</f>
        <v>0.27674931323868013</v>
      </c>
      <c r="I20" s="87"/>
      <c r="L20" s="89"/>
      <c r="M20" s="89"/>
      <c r="N20" s="89"/>
      <c r="O20" s="89"/>
      <c r="P20" s="1052"/>
      <c r="T20" s="88"/>
      <c r="U20" s="88"/>
      <c r="V20" s="88"/>
      <c r="W20" s="88"/>
      <c r="X20" s="88"/>
    </row>
    <row r="21" spans="1:32" ht="15" customHeight="1">
      <c r="A21" s="30" t="s">
        <v>132</v>
      </c>
      <c r="B21" s="40">
        <f>B16+C16+D16</f>
        <v>0.3410147915922363</v>
      </c>
      <c r="C21" s="41">
        <f>SUM(B10:D10)</f>
        <v>0.3551935422821012</v>
      </c>
      <c r="D21" s="41">
        <f>SUM(B11:D11)</f>
        <v>0.31489266254599657</v>
      </c>
      <c r="E21" s="41">
        <f>SUM(B12:D12)</f>
        <v>0.35092511875009869</v>
      </c>
      <c r="F21" s="41">
        <f>SUM(B13:D13)</f>
        <v>0.35722659348061353</v>
      </c>
      <c r="G21" s="41">
        <f>SUM(B14:D14)</f>
        <v>0.3540762674309515</v>
      </c>
      <c r="H21" s="41">
        <f>SUM(B15:D15)</f>
        <v>0.37191002596544259</v>
      </c>
      <c r="I21" s="61"/>
      <c r="L21" s="88"/>
      <c r="M21" s="88"/>
      <c r="N21" s="88"/>
      <c r="O21" s="88"/>
      <c r="P21" s="1051"/>
      <c r="T21" s="89"/>
      <c r="U21" s="89"/>
      <c r="V21" s="89"/>
      <c r="W21" s="89"/>
      <c r="X21" s="89"/>
    </row>
    <row r="22" spans="1:32" ht="15" customHeight="1">
      <c r="A22" s="30" t="s">
        <v>133</v>
      </c>
      <c r="B22" s="40">
        <f>B16+C16+D16+E16</f>
        <v>0.42350031400999916</v>
      </c>
      <c r="C22" s="41">
        <f>SUM(B10:E10)</f>
        <v>0.40324920744252746</v>
      </c>
      <c r="D22" s="41">
        <f>SUM(B11:E11)</f>
        <v>0.40191547518016074</v>
      </c>
      <c r="E22" s="41">
        <f>SUM(B12:E12)</f>
        <v>0.44548071839293979</v>
      </c>
      <c r="F22" s="41">
        <f>SUM(B13:E13)</f>
        <v>0.42310474845689683</v>
      </c>
      <c r="G22" s="41">
        <f>SUM(B14:E14)</f>
        <v>0.43307467882120909</v>
      </c>
      <c r="H22" s="41">
        <f>SUM(B15:E15)</f>
        <v>0.45315226491981936</v>
      </c>
      <c r="L22" s="89"/>
      <c r="M22" s="89"/>
      <c r="N22" s="89"/>
      <c r="O22" s="89"/>
      <c r="P22" s="1051"/>
      <c r="T22" s="89"/>
      <c r="U22" s="89"/>
      <c r="V22" s="89"/>
      <c r="W22" s="89"/>
      <c r="X22" s="89"/>
    </row>
    <row r="23" spans="1:32" ht="15" customHeight="1">
      <c r="A23" s="30" t="s">
        <v>134</v>
      </c>
      <c r="B23" s="40">
        <f>B16+C16+D16+E16+F16</f>
        <v>0.52218491229374653</v>
      </c>
      <c r="C23" s="41">
        <f>SUM(B10:F10)</f>
        <v>0.45435538590795088</v>
      </c>
      <c r="D23" s="41">
        <f>SUM(B11:F11)</f>
        <v>0.50115810444366415</v>
      </c>
      <c r="E23" s="41">
        <f>SUM(B12:F12)</f>
        <v>0.53792266521436771</v>
      </c>
      <c r="F23" s="41">
        <f>SUM(B13:F13)</f>
        <v>0.52747396722320761</v>
      </c>
      <c r="G23" s="41">
        <f>SUM(B14:F14)</f>
        <v>0.52249942696143414</v>
      </c>
      <c r="H23" s="41">
        <f>SUM(B15:F15)</f>
        <v>0.53686503365920457</v>
      </c>
      <c r="L23" s="89"/>
      <c r="M23" s="89"/>
      <c r="N23" s="89"/>
      <c r="O23" s="89"/>
      <c r="P23" s="1053"/>
      <c r="T23" s="90"/>
      <c r="U23" s="90"/>
      <c r="V23" s="90"/>
      <c r="W23" s="90"/>
      <c r="X23" s="90"/>
    </row>
    <row r="24" spans="1:32" ht="15" customHeight="1">
      <c r="A24" s="30" t="s">
        <v>135</v>
      </c>
      <c r="B24" s="40">
        <f>B16+C16+D16+E16+F16+G16</f>
        <v>0.60691284017333835</v>
      </c>
      <c r="C24" s="41">
        <f>SUM(B10:G10)</f>
        <v>0.52431070497050347</v>
      </c>
      <c r="D24" s="41">
        <f>SUM(B11:G11)</f>
        <v>0.58385846411695064</v>
      </c>
      <c r="E24" s="41">
        <f>SUM(B12:G12)</f>
        <v>0.6231263808837969</v>
      </c>
      <c r="F24" s="41">
        <f>SUM(B13:G13)</f>
        <v>0.61375367551926741</v>
      </c>
      <c r="G24" s="41">
        <f>SUM(B14:G14)</f>
        <v>0.61594926139181183</v>
      </c>
      <c r="H24" s="41">
        <f>SUM(B15:G15)</f>
        <v>0.62391639936221843</v>
      </c>
      <c r="L24" s="90"/>
      <c r="M24" s="90"/>
      <c r="N24" s="90"/>
      <c r="O24" s="90"/>
    </row>
    <row r="25" spans="1:32" ht="15" customHeight="1">
      <c r="A25" s="30" t="s">
        <v>136</v>
      </c>
      <c r="B25" s="40">
        <f>B16+C16+D16+E16+F16+G16+H16</f>
        <v>0.67616469918818978</v>
      </c>
      <c r="C25" s="41">
        <f>SUM(B10:H10)</f>
        <v>0.6152923505687421</v>
      </c>
      <c r="D25" s="41">
        <f>SUM(B11:H11)</f>
        <v>0.66073045906914973</v>
      </c>
      <c r="E25" s="41">
        <f>SUM(B12:H12)</f>
        <v>0.68913908454581307</v>
      </c>
      <c r="F25" s="41">
        <f>SUM(B13:H13)</f>
        <v>0.67862455394960652</v>
      </c>
      <c r="G25" s="41">
        <f>SUM(B14:H14)</f>
        <v>0.68489708971799024</v>
      </c>
      <c r="H25" s="41">
        <f>SUM(B15:H15)</f>
        <v>0.69768552296693742</v>
      </c>
    </row>
    <row r="26" spans="1:32" ht="15" customHeight="1">
      <c r="A26" s="30" t="s">
        <v>137</v>
      </c>
      <c r="B26" s="40">
        <f>B16+C16+D16+E16+F16+G16+H16+I16</f>
        <v>0.74896719016975744</v>
      </c>
      <c r="C26" s="41">
        <f>SUM(B10:I10)</f>
        <v>0.71278742799626027</v>
      </c>
      <c r="D26" s="41">
        <f>SUM(B11:I11)</f>
        <v>0.73346117688335244</v>
      </c>
      <c r="E26" s="41">
        <f>SUM(B12:I12)</f>
        <v>0.76087772953324462</v>
      </c>
      <c r="F26" s="41">
        <f>SUM(B13:I13)</f>
        <v>0.75256266409267503</v>
      </c>
      <c r="G26" s="41">
        <f>SUM(B14:I14)</f>
        <v>0.75410723903576082</v>
      </c>
      <c r="H26" s="41">
        <f>SUM(B15:I15)</f>
        <v>0.76316473849510758</v>
      </c>
    </row>
    <row r="27" spans="1:32" ht="15" customHeight="1">
      <c r="A27" s="30" t="s">
        <v>138</v>
      </c>
      <c r="B27" s="40">
        <f>B16+C16+D16+E16+F16+G16+H16+I16+J16</f>
        <v>0.81130425387838911</v>
      </c>
      <c r="C27" s="41">
        <f>SUM(B10:J10)</f>
        <v>0.7870112993689341</v>
      </c>
      <c r="D27" s="41">
        <f>SUM(B11:J11)</f>
        <v>0.80060787646057785</v>
      </c>
      <c r="E27" s="41">
        <f>SUM(B12:J12)</f>
        <v>0.81975574707529397</v>
      </c>
      <c r="F27" s="41">
        <f>SUM(B13:J13)</f>
        <v>0.81354913809929541</v>
      </c>
      <c r="G27" s="41">
        <f>SUM(B14:J14)</f>
        <v>0.819339397450638</v>
      </c>
      <c r="H27" s="41">
        <f>SUM(B15:J15)</f>
        <v>0.82723499870387018</v>
      </c>
    </row>
    <row r="28" spans="1:32" ht="15" customHeight="1">
      <c r="A28" s="30" t="s">
        <v>139</v>
      </c>
      <c r="B28" s="40">
        <f>B16+C16+D16+E16+F16+G16+H16+I16+J16+K16</f>
        <v>0.88095414994585375</v>
      </c>
      <c r="C28" s="41">
        <f>SUM(B10:K10)</f>
        <v>0.86428266815435262</v>
      </c>
      <c r="D28" s="41">
        <f>SUM(B11:K11)</f>
        <v>0.87343480184503397</v>
      </c>
      <c r="E28" s="41">
        <f>SUM(B12:K12)</f>
        <v>0.88667679175967096</v>
      </c>
      <c r="F28" s="41">
        <f>SUM(B13:K13)</f>
        <v>0.88275085623285632</v>
      </c>
      <c r="G28" s="41">
        <f>SUM(B14:K14)</f>
        <v>0.87727516183440279</v>
      </c>
      <c r="H28" s="41">
        <f>SUM(B15:K15)</f>
        <v>0.88866305553487579</v>
      </c>
    </row>
    <row r="29" spans="1:32" ht="15" customHeight="1">
      <c r="A29" s="30" t="s">
        <v>140</v>
      </c>
      <c r="B29" s="40">
        <f>B16+C16+D16+E16+F16+G16+H16+I16+J16+K16+L16</f>
        <v>0.94143985270465869</v>
      </c>
      <c r="C29" s="41">
        <f>SUM(B10:L10)</f>
        <v>0.93210322751687558</v>
      </c>
      <c r="D29" s="41">
        <f>SUM(B11:L11)</f>
        <v>0.93552476010928731</v>
      </c>
      <c r="E29" s="41">
        <f>SUM(B12:L12)</f>
        <v>0.94314678961730802</v>
      </c>
      <c r="F29" s="41">
        <f>SUM(B13:L13)</f>
        <v>0.94564800838738061</v>
      </c>
      <c r="G29" s="41">
        <f>SUM(B14:L14)</f>
        <v>0.93696386510991536</v>
      </c>
      <c r="H29" s="41">
        <f>SUM(B15:L15)</f>
        <v>0.94499497414970945</v>
      </c>
    </row>
    <row r="30" spans="1:32" s="12" customFormat="1" ht="15" customHeight="1">
      <c r="A30" s="30" t="s">
        <v>141</v>
      </c>
      <c r="B30" s="40">
        <f>SUM(B16:M16)</f>
        <v>1</v>
      </c>
      <c r="C30" s="41">
        <f>SUM(B10:M10)</f>
        <v>1.0000000000000002</v>
      </c>
      <c r="D30" s="41">
        <f>SUM(B11:M11)</f>
        <v>0.99999999999999989</v>
      </c>
      <c r="E30" s="41">
        <f>SUM(B12:M12)</f>
        <v>1</v>
      </c>
      <c r="F30" s="41">
        <f>SUM(B13:M13)</f>
        <v>1</v>
      </c>
      <c r="G30" s="41">
        <f>SUM(B14:M14)</f>
        <v>0.99999999999999989</v>
      </c>
      <c r="H30" s="41">
        <f>SUM(B15:M15)</f>
        <v>1</v>
      </c>
      <c r="I30"/>
      <c r="J30"/>
      <c r="K30"/>
      <c r="L30"/>
      <c r="M30"/>
      <c r="N30"/>
      <c r="O30"/>
      <c r="P30" s="1054"/>
      <c r="AF30" s="1054"/>
    </row>
    <row r="31" spans="1:32" ht="25.5" customHeight="1">
      <c r="A31" s="45"/>
      <c r="B31" s="46"/>
      <c r="C31" s="46"/>
      <c r="D31" s="46"/>
      <c r="E31" s="46"/>
      <c r="F31" s="46"/>
      <c r="G31" s="46"/>
      <c r="H31" s="12"/>
      <c r="I31" s="12"/>
      <c r="J31" s="12"/>
      <c r="K31" s="12"/>
      <c r="L31" s="12"/>
      <c r="M31" s="12"/>
      <c r="N31" s="12"/>
      <c r="O31" s="12"/>
    </row>
    <row r="32" spans="1:32" ht="15" customHeight="1">
      <c r="A32" s="1393" t="s">
        <v>197</v>
      </c>
      <c r="B32" s="1394"/>
      <c r="C32" s="1394"/>
      <c r="D32" s="1394"/>
      <c r="E32" s="1394"/>
      <c r="F32" s="1394"/>
      <c r="G32" s="1394"/>
      <c r="H32" s="1394"/>
      <c r="I32" s="1394"/>
      <c r="J32" s="1394"/>
      <c r="K32" s="1394"/>
      <c r="L32" s="1394"/>
      <c r="M32" s="1394"/>
      <c r="N32" s="1394"/>
      <c r="O32" s="1395"/>
      <c r="Q32" s="1399" t="s">
        <v>199</v>
      </c>
      <c r="R32" s="1399"/>
      <c r="S32" s="1399"/>
      <c r="T32" s="1399"/>
      <c r="U32" s="1399"/>
      <c r="V32" s="1399"/>
      <c r="W32" s="1399"/>
      <c r="X32" s="1399"/>
      <c r="Y32" s="1399"/>
      <c r="Z32" s="1399"/>
      <c r="AA32" s="1399"/>
      <c r="AB32" s="1399"/>
      <c r="AC32" s="1399"/>
      <c r="AD32" s="1399"/>
      <c r="AE32" s="1399"/>
    </row>
    <row r="33" spans="1:32" ht="15" customHeight="1">
      <c r="A33" s="30" t="s">
        <v>115</v>
      </c>
      <c r="B33" s="47" t="s">
        <v>116</v>
      </c>
      <c r="C33" s="47" t="s">
        <v>117</v>
      </c>
      <c r="D33" s="47" t="s">
        <v>118</v>
      </c>
      <c r="E33" s="47" t="s">
        <v>119</v>
      </c>
      <c r="F33" s="47" t="s">
        <v>120</v>
      </c>
      <c r="G33" s="47" t="s">
        <v>121</v>
      </c>
      <c r="H33" s="47" t="s">
        <v>122</v>
      </c>
      <c r="I33" s="47" t="s">
        <v>123</v>
      </c>
      <c r="J33" s="47" t="s">
        <v>124</v>
      </c>
      <c r="K33" s="47" t="s">
        <v>125</v>
      </c>
      <c r="L33" s="47" t="s">
        <v>126</v>
      </c>
      <c r="M33" s="47" t="s">
        <v>127</v>
      </c>
      <c r="N33" s="47" t="s">
        <v>128</v>
      </c>
      <c r="O33" s="47" t="s">
        <v>129</v>
      </c>
      <c r="Q33" s="30" t="s">
        <v>115</v>
      </c>
      <c r="R33" s="47" t="s">
        <v>116</v>
      </c>
      <c r="S33" s="47" t="s">
        <v>117</v>
      </c>
      <c r="T33" s="47" t="s">
        <v>118</v>
      </c>
      <c r="U33" s="47" t="s">
        <v>119</v>
      </c>
      <c r="V33" s="47" t="s">
        <v>120</v>
      </c>
      <c r="W33" s="47" t="s">
        <v>121</v>
      </c>
      <c r="X33" s="47" t="s">
        <v>122</v>
      </c>
      <c r="Y33" s="47" t="s">
        <v>123</v>
      </c>
      <c r="Z33" s="47" t="s">
        <v>124</v>
      </c>
      <c r="AA33" s="47" t="s">
        <v>125</v>
      </c>
      <c r="AB33" s="47" t="s">
        <v>126</v>
      </c>
      <c r="AC33" s="47" t="s">
        <v>127</v>
      </c>
      <c r="AD33" s="47" t="s">
        <v>128</v>
      </c>
      <c r="AE33" s="47" t="s">
        <v>129</v>
      </c>
    </row>
    <row r="34" spans="1:32" ht="15" customHeight="1">
      <c r="A34" s="32">
        <v>2020</v>
      </c>
      <c r="B34" s="36">
        <f>'ARRECADAÇÃO MENSAL POR RECEITA'!$B$5</f>
        <v>11752892.600000001</v>
      </c>
      <c r="C34" s="36">
        <f>'ARRECADAÇÃO MENSAL POR RECEITA'!$B$6</f>
        <v>10989944.309999997</v>
      </c>
      <c r="D34" s="36">
        <f>'ARRECADAÇÃO MENSAL POR RECEITA'!$B$7</f>
        <v>5937512.1400000006</v>
      </c>
      <c r="E34" s="36">
        <f>'ARRECADAÇÃO MENSAL POR RECEITA'!$B$8</f>
        <v>2597418.4999999995</v>
      </c>
      <c r="F34" s="36">
        <f>'ARRECADAÇÃO MENSAL POR RECEITA'!$B$9</f>
        <v>2276549.46</v>
      </c>
      <c r="G34" s="36">
        <f>'ARRECADAÇÃO MENSAL POR RECEITA'!$B$10</f>
        <v>3518472.1999999988</v>
      </c>
      <c r="H34" s="36">
        <f>'ARRECADAÇÃO MENSAL POR RECEITA'!$B$11</f>
        <v>5389885.9299999997</v>
      </c>
      <c r="I34" s="36">
        <f>'ARRECADAÇÃO MENSAL POR RECEITA'!$B$12</f>
        <v>5743531.919999999</v>
      </c>
      <c r="J34" s="36">
        <f>'ARRECADAÇÃO MENSAL POR RECEITA'!$B$13</f>
        <v>2283895.84</v>
      </c>
      <c r="K34" s="36">
        <f>'ARRECADAÇÃO MENSAL POR RECEITA'!$B$14</f>
        <v>961169.82000000007</v>
      </c>
      <c r="L34" s="36">
        <f>'ARRECADAÇÃO MENSAL POR RECEITA'!$B$15</f>
        <v>1649423.1</v>
      </c>
      <c r="M34" s="36">
        <f>'ARRECADAÇÃO MENSAL POR RECEITA'!$B$16</f>
        <v>1721835.7999999998</v>
      </c>
      <c r="N34" s="35">
        <f>SUM(B34:M34)</f>
        <v>54822531.61999999</v>
      </c>
      <c r="O34" s="177">
        <f>'Evolução das Receitas'!AC32+'Evolução das Receitas'!AC34</f>
        <v>50122525.358499996</v>
      </c>
      <c r="P34" s="235">
        <f>N34/O34</f>
        <v>1.0937703403386667</v>
      </c>
      <c r="Q34" s="32">
        <v>2020</v>
      </c>
      <c r="R34" s="36">
        <f>'ARRECADAÇÃO MENSAL POR RECEITA'!$C$5</f>
        <v>2232851.5199999996</v>
      </c>
      <c r="S34" s="36">
        <f>'ARRECADAÇÃO MENSAL POR RECEITA'!$C$6</f>
        <v>1726374.8700000003</v>
      </c>
      <c r="T34" s="36">
        <f>'ARRECADAÇÃO MENSAL POR RECEITA'!$C$7</f>
        <v>1590749.9899999998</v>
      </c>
      <c r="U34" s="36">
        <f>'ARRECADAÇÃO MENSAL POR RECEITA'!$C$8</f>
        <v>927376.00000000012</v>
      </c>
      <c r="V34" s="36">
        <f>'ARRECADAÇÃO MENSAL POR RECEITA'!$C$9</f>
        <v>821413.83000000019</v>
      </c>
      <c r="W34" s="36">
        <f>'ARRECADAÇÃO MENSAL POR RECEITA'!$C$10</f>
        <v>1054654.23</v>
      </c>
      <c r="X34" s="36">
        <f>'ARRECADAÇÃO MENSAL POR RECEITA'!$C$11</f>
        <v>1228828.0899999999</v>
      </c>
      <c r="Y34" s="36">
        <f>'ARRECADAÇÃO MENSAL POR RECEITA'!$C$12</f>
        <v>1246749.4700000004</v>
      </c>
      <c r="Z34" s="36">
        <f>'ARRECADAÇÃO MENSAL POR RECEITA'!$C$13</f>
        <v>1243934.6799999997</v>
      </c>
      <c r="AA34" s="36">
        <f>'ARRECADAÇÃO MENSAL POR RECEITA'!$C$14</f>
        <v>2275000.8600000003</v>
      </c>
      <c r="AB34" s="36">
        <f>'ARRECADAÇÃO MENSAL POR RECEITA'!$C$15</f>
        <v>1024945.05</v>
      </c>
      <c r="AC34" s="36">
        <f>'ARRECADAÇÃO MENSAL POR RECEITA'!$C$16</f>
        <v>1192229.95</v>
      </c>
      <c r="AD34" s="35">
        <f>SUM(R34:AC34)</f>
        <v>16565108.539999999</v>
      </c>
      <c r="AE34" s="177">
        <f>'Evolução das Receitas'!AC66+'Evolução das Receitas'!AC68</f>
        <v>11865014.674057048</v>
      </c>
      <c r="AF34" s="235">
        <f>AD34/AE34</f>
        <v>1.3961304722378258</v>
      </c>
    </row>
    <row r="35" spans="1:32" ht="15" customHeight="1">
      <c r="A35" s="32">
        <v>2019</v>
      </c>
      <c r="B35" s="33">
        <v>10754868.249999998</v>
      </c>
      <c r="C35" s="34">
        <v>11393795.619999999</v>
      </c>
      <c r="D35" s="34">
        <v>4490339.8100000005</v>
      </c>
      <c r="E35" s="34">
        <v>5048331.5600000005</v>
      </c>
      <c r="F35" s="34">
        <v>6374222.580000001</v>
      </c>
      <c r="G35" s="34">
        <v>5370305.7800000003</v>
      </c>
      <c r="H35" s="34">
        <v>2101529.2399999998</v>
      </c>
      <c r="I35" s="34">
        <v>1582727.4300000002</v>
      </c>
      <c r="J35" s="34">
        <v>1428542.5199999998</v>
      </c>
      <c r="K35" s="34">
        <v>1435808.91</v>
      </c>
      <c r="L35" s="34">
        <v>1291181.7</v>
      </c>
      <c r="M35" s="34">
        <v>1549965.3900000004</v>
      </c>
      <c r="N35" s="35">
        <f>SUM(B35:M35)</f>
        <v>52821618.790000007</v>
      </c>
      <c r="O35" s="179"/>
      <c r="Q35" s="32">
        <v>2019</v>
      </c>
      <c r="R35" s="33">
        <v>1446032.3099999998</v>
      </c>
      <c r="S35" s="34">
        <v>1323348.6500000004</v>
      </c>
      <c r="T35" s="34">
        <v>965682.96999999986</v>
      </c>
      <c r="U35" s="34">
        <v>1016454.6100000001</v>
      </c>
      <c r="V35" s="34">
        <v>1033915.5800000002</v>
      </c>
      <c r="W35" s="34">
        <v>826054.57</v>
      </c>
      <c r="X35" s="34">
        <v>1538255.6399999997</v>
      </c>
      <c r="Y35" s="34">
        <v>1514736.4099999997</v>
      </c>
      <c r="Z35" s="34">
        <v>1230552.08</v>
      </c>
      <c r="AA35" s="34">
        <v>1355409.0100000002</v>
      </c>
      <c r="AB35" s="34">
        <v>1040319.3800000001</v>
      </c>
      <c r="AC35" s="34">
        <v>1424629.07</v>
      </c>
      <c r="AD35" s="35">
        <f>SUM(R35:AC35)</f>
        <v>14715390.280000001</v>
      </c>
      <c r="AE35" s="179"/>
    </row>
    <row r="36" spans="1:32" ht="15" customHeight="1">
      <c r="A36" s="30">
        <v>2018</v>
      </c>
      <c r="B36" s="36">
        <v>11187097.160000002</v>
      </c>
      <c r="C36" s="37">
        <v>10008880.65</v>
      </c>
      <c r="D36" s="37">
        <v>5397971.6399999997</v>
      </c>
      <c r="E36" s="37">
        <v>4973960.2100000009</v>
      </c>
      <c r="F36" s="37">
        <v>4910011.7</v>
      </c>
      <c r="G36" s="37">
        <v>4325652.87</v>
      </c>
      <c r="H36" s="37">
        <v>1347250.3699999999</v>
      </c>
      <c r="I36" s="37">
        <v>1377504.5</v>
      </c>
      <c r="J36" s="37">
        <v>1047387.29</v>
      </c>
      <c r="K36" s="37">
        <v>1103096.3500000001</v>
      </c>
      <c r="L36" s="37">
        <v>896689.06000000017</v>
      </c>
      <c r="M36" s="37">
        <v>964693.32000000007</v>
      </c>
      <c r="N36" s="35">
        <f>SUM(B36:M36)</f>
        <v>47540195.120000005</v>
      </c>
      <c r="O36" s="179"/>
      <c r="Q36" s="30">
        <v>2018</v>
      </c>
      <c r="R36" s="36">
        <v>1557356.2899999998</v>
      </c>
      <c r="S36" s="37">
        <v>1069608.8319999997</v>
      </c>
      <c r="T36" s="37">
        <v>769963.89000000013</v>
      </c>
      <c r="U36" s="37">
        <v>873033.00000000012</v>
      </c>
      <c r="V36" s="37">
        <v>671266.24</v>
      </c>
      <c r="W36" s="37">
        <v>586377.35</v>
      </c>
      <c r="X36" s="37">
        <v>640061.24000000011</v>
      </c>
      <c r="Y36" s="37">
        <v>604773.37</v>
      </c>
      <c r="Z36" s="37">
        <v>475840.02</v>
      </c>
      <c r="AA36" s="37">
        <v>604712.57999999996</v>
      </c>
      <c r="AB36" s="37">
        <v>496085.55</v>
      </c>
      <c r="AC36" s="37">
        <v>664709.59</v>
      </c>
      <c r="AD36" s="35">
        <f>SUM(R36:AC36)</f>
        <v>9013787.9520000014</v>
      </c>
      <c r="AE36" s="179"/>
    </row>
    <row r="37" spans="1:32" ht="15" customHeight="1">
      <c r="A37" s="30">
        <v>2017</v>
      </c>
      <c r="B37" s="33">
        <v>13601214.73</v>
      </c>
      <c r="C37" s="34">
        <v>8816798.5600000024</v>
      </c>
      <c r="D37" s="34">
        <v>4603520.21</v>
      </c>
      <c r="E37" s="34">
        <v>2601438.3099999996</v>
      </c>
      <c r="F37" s="34">
        <v>5730355.4699999997</v>
      </c>
      <c r="G37" s="34">
        <v>3693602.41</v>
      </c>
      <c r="H37" s="34">
        <v>1369071.43</v>
      </c>
      <c r="I37" s="34">
        <v>1414085.0499999998</v>
      </c>
      <c r="J37" s="34">
        <v>956597.95000000019</v>
      </c>
      <c r="K37" s="34">
        <v>1346253.54</v>
      </c>
      <c r="L37" s="34">
        <v>1196237.6800000002</v>
      </c>
      <c r="M37" s="34">
        <v>830574.32000000007</v>
      </c>
      <c r="N37" s="35">
        <f t="shared" ref="N37:N39" si="18">SUM(B37:M37)</f>
        <v>46159749.659999996</v>
      </c>
      <c r="O37" s="179"/>
      <c r="Q37" s="30">
        <v>2017</v>
      </c>
      <c r="R37" s="33">
        <v>1305502.5399999991</v>
      </c>
      <c r="S37" s="34">
        <v>743161.29999999981</v>
      </c>
      <c r="T37" s="34">
        <v>836372.94999999972</v>
      </c>
      <c r="U37" s="34">
        <v>513252.70600000006</v>
      </c>
      <c r="V37" s="34">
        <v>828067.5299999998</v>
      </c>
      <c r="W37" s="34">
        <v>712978.55999999982</v>
      </c>
      <c r="X37" s="34">
        <v>640847.30999999994</v>
      </c>
      <c r="Y37" s="34">
        <v>726517.04</v>
      </c>
      <c r="Z37" s="34">
        <v>539242.30999999994</v>
      </c>
      <c r="AA37" s="34">
        <v>771856.91999999993</v>
      </c>
      <c r="AB37" s="34">
        <v>658227.01000000013</v>
      </c>
      <c r="AC37" s="34">
        <v>490321.47000000003</v>
      </c>
      <c r="AD37" s="35">
        <f t="shared" ref="AD37:AD39" si="19">SUM(R37:AC37)</f>
        <v>8766347.6459999979</v>
      </c>
      <c r="AE37" s="179"/>
    </row>
    <row r="38" spans="1:32" ht="15" customHeight="1">
      <c r="A38" s="30">
        <v>2016</v>
      </c>
      <c r="B38" s="36">
        <v>7903255.71</v>
      </c>
      <c r="C38" s="37">
        <v>12087485.599999998</v>
      </c>
      <c r="D38" s="37">
        <v>4036474.2199999993</v>
      </c>
      <c r="E38" s="37">
        <v>3164981.64</v>
      </c>
      <c r="F38" s="37">
        <v>4084268.13</v>
      </c>
      <c r="G38" s="37">
        <v>4150214.120000001</v>
      </c>
      <c r="H38" s="37">
        <v>1759270.35</v>
      </c>
      <c r="I38" s="37">
        <v>1489606.0299999996</v>
      </c>
      <c r="J38" s="37">
        <v>1195446.6399999999</v>
      </c>
      <c r="K38" s="37">
        <v>971422.8600000001</v>
      </c>
      <c r="L38" s="37">
        <v>975208.2100000002</v>
      </c>
      <c r="M38" s="37">
        <v>978968.3600000001</v>
      </c>
      <c r="N38" s="35">
        <f t="shared" si="18"/>
        <v>42796601.870000005</v>
      </c>
      <c r="O38" s="179"/>
      <c r="Q38" s="30">
        <v>2016</v>
      </c>
      <c r="R38" s="36">
        <v>552306.51000000013</v>
      </c>
      <c r="S38" s="37">
        <v>644624.3200000003</v>
      </c>
      <c r="T38" s="37">
        <v>577592.63999999978</v>
      </c>
      <c r="U38" s="37">
        <v>417987.7699999999</v>
      </c>
      <c r="V38" s="37">
        <v>406084.39</v>
      </c>
      <c r="W38" s="37">
        <v>400470.65</v>
      </c>
      <c r="X38" s="37">
        <v>347470.03000000009</v>
      </c>
      <c r="Y38" s="37">
        <v>348285.86000000004</v>
      </c>
      <c r="Z38" s="37">
        <v>320683.09000000003</v>
      </c>
      <c r="AA38" s="37">
        <v>282970.61999999994</v>
      </c>
      <c r="AB38" s="37">
        <v>308398.68999999994</v>
      </c>
      <c r="AC38" s="37">
        <v>485634.62000000005</v>
      </c>
      <c r="AD38" s="35">
        <f t="shared" si="19"/>
        <v>5092509.1900000004</v>
      </c>
      <c r="AE38" s="179"/>
    </row>
    <row r="39" spans="1:32" ht="15" customHeight="1">
      <c r="A39" s="30">
        <v>2015</v>
      </c>
      <c r="B39" s="33">
        <v>8787953.700000003</v>
      </c>
      <c r="C39" s="34">
        <v>11198167.82</v>
      </c>
      <c r="D39" s="34">
        <v>3528437.5500000007</v>
      </c>
      <c r="E39" s="34">
        <v>2995249.47</v>
      </c>
      <c r="F39" s="34">
        <v>3112828.3600000003</v>
      </c>
      <c r="G39" s="34">
        <v>3274053.8400000003</v>
      </c>
      <c r="H39" s="34">
        <v>1485273.13</v>
      </c>
      <c r="I39" s="34">
        <v>1065763.9799999997</v>
      </c>
      <c r="J39" s="34">
        <v>919128.40000000026</v>
      </c>
      <c r="K39" s="34">
        <v>775001.32</v>
      </c>
      <c r="L39" s="34">
        <v>634938.85</v>
      </c>
      <c r="M39" s="34">
        <v>657318.98</v>
      </c>
      <c r="N39" s="35">
        <f t="shared" si="18"/>
        <v>38434115.399999999</v>
      </c>
      <c r="O39" s="179"/>
      <c r="Q39" s="30">
        <v>2015</v>
      </c>
      <c r="R39" s="33">
        <v>621740.16999999969</v>
      </c>
      <c r="S39" s="34">
        <v>657497.20999999961</v>
      </c>
      <c r="T39" s="34">
        <v>511071.15000000014</v>
      </c>
      <c r="U39" s="34">
        <v>391535.90000000008</v>
      </c>
      <c r="V39" s="34">
        <v>358262.96000000008</v>
      </c>
      <c r="W39" s="34">
        <v>362762.89999999997</v>
      </c>
      <c r="X39" s="34">
        <v>308047.82000000007</v>
      </c>
      <c r="Y39" s="34">
        <v>280924.34000000008</v>
      </c>
      <c r="Z39" s="34">
        <v>255246.89999999994</v>
      </c>
      <c r="AA39" s="34">
        <v>222708.14</v>
      </c>
      <c r="AB39" s="34">
        <v>245348.60000000003</v>
      </c>
      <c r="AC39" s="34">
        <v>269305.54000000004</v>
      </c>
      <c r="AD39" s="35">
        <f t="shared" si="19"/>
        <v>4484451.629999999</v>
      </c>
      <c r="AE39" s="179"/>
    </row>
    <row r="40" spans="1:32" ht="15" customHeight="1">
      <c r="A40" s="203"/>
      <c r="Q40" s="203"/>
    </row>
    <row r="41" spans="1:32" ht="15" customHeight="1">
      <c r="A41" s="30">
        <v>2020</v>
      </c>
      <c r="B41" s="38">
        <f>B34/$N$34</f>
        <v>0.21438069809443805</v>
      </c>
      <c r="C41" s="38">
        <f t="shared" ref="C41:M41" si="20">C34/$N$34</f>
        <v>0.2004640060436523</v>
      </c>
      <c r="D41" s="38">
        <f t="shared" si="20"/>
        <v>0.10830423120835808</v>
      </c>
      <c r="E41" s="38">
        <f t="shared" si="20"/>
        <v>4.7378667552310308E-2</v>
      </c>
      <c r="F41" s="38">
        <f t="shared" si="20"/>
        <v>4.1525799570508788E-2</v>
      </c>
      <c r="G41" s="38">
        <f t="shared" si="20"/>
        <v>6.4179309054680958E-2</v>
      </c>
      <c r="H41" s="38">
        <f t="shared" si="20"/>
        <v>9.831515931003991E-2</v>
      </c>
      <c r="I41" s="38">
        <f t="shared" si="20"/>
        <v>0.10476590099506973</v>
      </c>
      <c r="J41" s="38">
        <f t="shared" si="20"/>
        <v>4.165980250293301E-2</v>
      </c>
      <c r="K41" s="38">
        <f t="shared" si="20"/>
        <v>1.7532386622754075E-2</v>
      </c>
      <c r="L41" s="38">
        <f t="shared" si="20"/>
        <v>3.0086591247425513E-2</v>
      </c>
      <c r="M41" s="38">
        <f t="shared" si="20"/>
        <v>3.140744779782937E-2</v>
      </c>
      <c r="N41" s="209" t="b">
        <f>SUM(B41:M41)=100%</f>
        <v>1</v>
      </c>
      <c r="Q41" s="30">
        <v>2020</v>
      </c>
      <c r="R41" s="38">
        <f>R34/$AD$34</f>
        <v>0.13479244730623416</v>
      </c>
      <c r="S41" s="38">
        <f t="shared" ref="S41:AC41" si="21">S34/$AD$34</f>
        <v>0.10421754049068249</v>
      </c>
      <c r="T41" s="38">
        <f t="shared" si="21"/>
        <v>9.6030157976858016E-2</v>
      </c>
      <c r="U41" s="38">
        <f t="shared" si="21"/>
        <v>5.5983695957116872E-2</v>
      </c>
      <c r="V41" s="38">
        <f t="shared" si="21"/>
        <v>4.9586987493412477E-2</v>
      </c>
      <c r="W41" s="38">
        <f t="shared" si="21"/>
        <v>6.3667209149478959E-2</v>
      </c>
      <c r="X41" s="38">
        <f t="shared" si="21"/>
        <v>7.4181710734507508E-2</v>
      </c>
      <c r="Y41" s="38">
        <f t="shared" si="21"/>
        <v>7.5263585927581284E-2</v>
      </c>
      <c r="Z41" s="38">
        <f t="shared" si="21"/>
        <v>7.5093663104968691E-2</v>
      </c>
      <c r="AA41" s="38">
        <f t="shared" si="21"/>
        <v>0.13733691237256454</v>
      </c>
      <c r="AB41" s="38">
        <f t="shared" si="21"/>
        <v>6.1873729805334565E-2</v>
      </c>
      <c r="AC41" s="38">
        <f t="shared" si="21"/>
        <v>7.1972359681260506E-2</v>
      </c>
      <c r="AD41" s="209" t="b">
        <f>SUM(R41:AC41)=100%</f>
        <v>1</v>
      </c>
    </row>
    <row r="42" spans="1:32" ht="15" customHeight="1">
      <c r="A42" s="30">
        <v>2019</v>
      </c>
      <c r="B42" s="38">
        <f>B35/$N$35</f>
        <v>0.20360732019133176</v>
      </c>
      <c r="C42" s="38">
        <f t="shared" ref="C42:M42" si="22">C35/$N$35</f>
        <v>0.2157032647048869</v>
      </c>
      <c r="D42" s="38">
        <f t="shared" si="22"/>
        <v>8.5009507714104648E-2</v>
      </c>
      <c r="E42" s="38">
        <f t="shared" si="22"/>
        <v>9.557320800921254E-2</v>
      </c>
      <c r="F42" s="38">
        <f t="shared" si="22"/>
        <v>0.12067450271339933</v>
      </c>
      <c r="G42" s="38">
        <f t="shared" si="22"/>
        <v>0.10166870881694157</v>
      </c>
      <c r="H42" s="38">
        <f t="shared" si="22"/>
        <v>3.9785400147521674E-2</v>
      </c>
      <c r="I42" s="38">
        <f t="shared" si="22"/>
        <v>2.9963629783713412E-2</v>
      </c>
      <c r="J42" s="38">
        <f t="shared" si="22"/>
        <v>2.7044656198049844E-2</v>
      </c>
      <c r="K42" s="38">
        <f t="shared" si="22"/>
        <v>2.7182220895354724E-2</v>
      </c>
      <c r="L42" s="38">
        <f t="shared" si="22"/>
        <v>2.4444190268633752E-2</v>
      </c>
      <c r="M42" s="38">
        <f t="shared" si="22"/>
        <v>2.9343390556849692E-2</v>
      </c>
      <c r="N42" s="209" t="b">
        <f t="shared" ref="N42:N47" si="23">SUM(B42:M42)=100%</f>
        <v>1</v>
      </c>
      <c r="Q42" s="30">
        <v>2019</v>
      </c>
      <c r="R42" s="38">
        <f>R35/$AD$35</f>
        <v>9.8266663845493318E-2</v>
      </c>
      <c r="S42" s="38">
        <f t="shared" ref="S42:AC42" si="24">S35/$AD$35</f>
        <v>8.9929565225231684E-2</v>
      </c>
      <c r="T42" s="38">
        <f t="shared" si="24"/>
        <v>6.5624013473327997E-2</v>
      </c>
      <c r="U42" s="38">
        <f t="shared" si="24"/>
        <v>6.9074254277950414E-2</v>
      </c>
      <c r="V42" s="38">
        <f t="shared" si="24"/>
        <v>7.0260833068438333E-2</v>
      </c>
      <c r="W42" s="38">
        <f t="shared" si="24"/>
        <v>5.6135417021368997E-2</v>
      </c>
      <c r="X42" s="38">
        <f t="shared" si="24"/>
        <v>0.10453379833837473</v>
      </c>
      <c r="Y42" s="38">
        <f t="shared" si="24"/>
        <v>0.10293552404510195</v>
      </c>
      <c r="Z42" s="38">
        <f t="shared" si="24"/>
        <v>8.3623475598365166E-2</v>
      </c>
      <c r="AA42" s="38">
        <f t="shared" si="24"/>
        <v>9.2108261093296673E-2</v>
      </c>
      <c r="AB42" s="38">
        <f t="shared" si="24"/>
        <v>7.0696010109491975E-2</v>
      </c>
      <c r="AC42" s="38">
        <f t="shared" si="24"/>
        <v>9.6812183903558682E-2</v>
      </c>
      <c r="AD42" s="209" t="b">
        <f t="shared" ref="AD42:AD47" si="25">SUM(R42:AC42)=100%</f>
        <v>1</v>
      </c>
    </row>
    <row r="43" spans="1:32" ht="15" customHeight="1">
      <c r="A43" s="30">
        <v>2018</v>
      </c>
      <c r="B43" s="38">
        <f>B36/N36</f>
        <v>0.23531870518751041</v>
      </c>
      <c r="C43" s="39">
        <f>C36/N36</f>
        <v>0.21053511927613644</v>
      </c>
      <c r="D43" s="39">
        <f>D36/N36</f>
        <v>0.1135454245901715</v>
      </c>
      <c r="E43" s="39">
        <f>E36/N36</f>
        <v>0.1046264155509844</v>
      </c>
      <c r="F43" s="39">
        <f>F36/N36</f>
        <v>0.10328126941015381</v>
      </c>
      <c r="G43" s="39">
        <f>G36/N36</f>
        <v>9.0989379809680498E-2</v>
      </c>
      <c r="H43" s="39">
        <f>H36/N36</f>
        <v>2.8339184696219644E-2</v>
      </c>
      <c r="I43" s="39">
        <f>I36/N36</f>
        <v>2.897557522687761E-2</v>
      </c>
      <c r="J43" s="39">
        <f>J36/N36</f>
        <v>2.2031615296407726E-2</v>
      </c>
      <c r="K43" s="39">
        <f>K36/N36</f>
        <v>2.3203445993765622E-2</v>
      </c>
      <c r="L43" s="39">
        <f>L36/N36</f>
        <v>1.8861703401439469E-2</v>
      </c>
      <c r="M43" s="39">
        <f>M36/N36</f>
        <v>2.0292161560652847E-2</v>
      </c>
      <c r="N43" s="209" t="b">
        <f t="shared" si="23"/>
        <v>1</v>
      </c>
      <c r="Q43" s="30">
        <v>2018</v>
      </c>
      <c r="R43" s="38">
        <f>R36/AD36</f>
        <v>0.17277489755618777</v>
      </c>
      <c r="S43" s="39">
        <f>S36/AD36</f>
        <v>0.11866363372378561</v>
      </c>
      <c r="T43" s="39">
        <f>T36/AD36</f>
        <v>8.542067930821011E-2</v>
      </c>
      <c r="U43" s="39">
        <f>U36/AD36</f>
        <v>9.6855284886781634E-2</v>
      </c>
      <c r="V43" s="39">
        <f>V36/AD36</f>
        <v>7.4471048528610861E-2</v>
      </c>
      <c r="W43" s="39">
        <f>W36/AD36</f>
        <v>6.5053377461569098E-2</v>
      </c>
      <c r="X43" s="39">
        <f>X36/AD36</f>
        <v>7.1009129947191815E-2</v>
      </c>
      <c r="Y43" s="39">
        <f>Y36/AD36</f>
        <v>6.7094253073238908E-2</v>
      </c>
      <c r="Z43" s="39">
        <f>Z36/AD36</f>
        <v>5.2790238968781093E-2</v>
      </c>
      <c r="AA43" s="39">
        <f>AA36/AD36</f>
        <v>6.7087508960738854E-2</v>
      </c>
      <c r="AB43" s="39">
        <f>AB36/AD36</f>
        <v>5.503630134653071E-2</v>
      </c>
      <c r="AC43" s="39">
        <f>AC36/AD36</f>
        <v>7.3743646238373359E-2</v>
      </c>
      <c r="AD43" s="209" t="b">
        <f t="shared" si="25"/>
        <v>1</v>
      </c>
    </row>
    <row r="44" spans="1:32" ht="15" customHeight="1">
      <c r="A44" s="30">
        <v>2017</v>
      </c>
      <c r="B44" s="38">
        <f>B37/N37</f>
        <v>0.29465529666392914</v>
      </c>
      <c r="C44" s="39">
        <f>C37/N37</f>
        <v>0.19100620399681784</v>
      </c>
      <c r="D44" s="39">
        <f>D37/N37</f>
        <v>9.97301814656332E-2</v>
      </c>
      <c r="E44" s="39">
        <f>E37/N37</f>
        <v>5.6357288095396481E-2</v>
      </c>
      <c r="F44" s="39">
        <f>F37/N37</f>
        <v>0.12414182295632493</v>
      </c>
      <c r="G44" s="39">
        <f>G37/N37</f>
        <v>8.0017817193681909E-2</v>
      </c>
      <c r="H44" s="39">
        <f>H37/N37</f>
        <v>2.9659420600939197E-2</v>
      </c>
      <c r="I44" s="39">
        <f>I37/N37</f>
        <v>3.0634590967580217E-2</v>
      </c>
      <c r="J44" s="39">
        <f>J37/N37</f>
        <v>2.0723638170614817E-2</v>
      </c>
      <c r="K44" s="39">
        <f>K37/N37</f>
        <v>2.9165096212958971E-2</v>
      </c>
      <c r="L44" s="39">
        <f>L37/N37</f>
        <v>2.5915168275633154E-2</v>
      </c>
      <c r="M44" s="39">
        <f>M37/N37</f>
        <v>1.7993475400490292E-2</v>
      </c>
      <c r="N44" s="209" t="b">
        <f t="shared" si="23"/>
        <v>1</v>
      </c>
      <c r="Q44" s="30">
        <v>2017</v>
      </c>
      <c r="R44" s="38">
        <f>R37/AD37</f>
        <v>0.14892205884575974</v>
      </c>
      <c r="S44" s="39">
        <f>S37/AD37</f>
        <v>8.4774335904770709E-2</v>
      </c>
      <c r="T44" s="39">
        <f>T37/AD37</f>
        <v>9.5407230442387123E-2</v>
      </c>
      <c r="U44" s="39">
        <f>U37/AD37</f>
        <v>5.854806662090254E-2</v>
      </c>
      <c r="V44" s="39">
        <f>V37/AD37</f>
        <v>9.4459809653777441E-2</v>
      </c>
      <c r="W44" s="39">
        <f>W37/AD37</f>
        <v>8.1331312513635623E-2</v>
      </c>
      <c r="X44" s="39">
        <f>X37/AD37</f>
        <v>7.3103113848378184E-2</v>
      </c>
      <c r="Y44" s="39">
        <f>Y37/AD37</f>
        <v>8.2875682021520444E-2</v>
      </c>
      <c r="Z44" s="39">
        <f>Z37/AD37</f>
        <v>6.1512768119120979E-2</v>
      </c>
      <c r="AA44" s="39">
        <f>AA37/AD37</f>
        <v>8.8047719662611254E-2</v>
      </c>
      <c r="AB44" s="39">
        <f>AB37/AD37</f>
        <v>7.5085661278827209E-2</v>
      </c>
      <c r="AC44" s="39">
        <f>AC37/AD37</f>
        <v>5.5932241088308778E-2</v>
      </c>
      <c r="AD44" s="209" t="b">
        <f t="shared" si="25"/>
        <v>1</v>
      </c>
    </row>
    <row r="45" spans="1:32" ht="15" customHeight="1">
      <c r="A45" s="30">
        <v>2016</v>
      </c>
      <c r="B45" s="38">
        <f>B38/N38</f>
        <v>0.18467016923463039</v>
      </c>
      <c r="C45" s="39">
        <f>C38/N38</f>
        <v>0.28244031235744455</v>
      </c>
      <c r="D45" s="39">
        <f>D38/N38</f>
        <v>9.4317633728521047E-2</v>
      </c>
      <c r="E45" s="39">
        <f>E38/N38</f>
        <v>7.3954040781415889E-2</v>
      </c>
      <c r="F45" s="39">
        <f>F38/N38</f>
        <v>9.5434402535193613E-2</v>
      </c>
      <c r="G45" s="39">
        <f>G38/N38</f>
        <v>9.6975319036001789E-2</v>
      </c>
      <c r="H45" s="39">
        <f>H38/N38</f>
        <v>4.1107711199688292E-2</v>
      </c>
      <c r="I45" s="39">
        <f>I38/N38</f>
        <v>3.4806642698522253E-2</v>
      </c>
      <c r="J45" s="39">
        <f>J38/N38</f>
        <v>2.7933214034874022E-2</v>
      </c>
      <c r="K45" s="39">
        <f>K38/N38</f>
        <v>2.2698597962305927E-2</v>
      </c>
      <c r="L45" s="39">
        <f>L38/N38</f>
        <v>2.2787047741835119E-2</v>
      </c>
      <c r="M45" s="39">
        <f>M38/N38</f>
        <v>2.2874908689566945E-2</v>
      </c>
      <c r="N45" s="209" t="b">
        <f t="shared" si="23"/>
        <v>1</v>
      </c>
      <c r="Q45" s="30">
        <v>2016</v>
      </c>
      <c r="R45" s="38">
        <f>R38/AD38</f>
        <v>0.10845469087901638</v>
      </c>
      <c r="S45" s="39">
        <f>S38/AD38</f>
        <v>0.12658284864086819</v>
      </c>
      <c r="T45" s="39">
        <f>T38/AD38</f>
        <v>0.11342004863421754</v>
      </c>
      <c r="U45" s="39">
        <f>U38/AD38</f>
        <v>8.2078942698972299E-2</v>
      </c>
      <c r="V45" s="39">
        <f>V38/AD38</f>
        <v>7.9741513436522637E-2</v>
      </c>
      <c r="W45" s="39">
        <f>W38/AD38</f>
        <v>7.8639160983035944E-2</v>
      </c>
      <c r="X45" s="39">
        <f>X38/AD38</f>
        <v>6.8231596063158026E-2</v>
      </c>
      <c r="Y45" s="39">
        <f>Y38/AD38</f>
        <v>6.8391798032278073E-2</v>
      </c>
      <c r="Z45" s="39">
        <f>Z38/AD38</f>
        <v>6.2971528972341428E-2</v>
      </c>
      <c r="AA45" s="39">
        <f>AA38/AD38</f>
        <v>5.556604994560646E-2</v>
      </c>
      <c r="AB45" s="39">
        <f>AB38/AD38</f>
        <v>6.0559280011824569E-2</v>
      </c>
      <c r="AC45" s="39">
        <f>AC38/AD38</f>
        <v>9.5362541702158424E-2</v>
      </c>
      <c r="AD45" s="209" t="b">
        <f t="shared" si="25"/>
        <v>1</v>
      </c>
    </row>
    <row r="46" spans="1:32" ht="15" customHeight="1">
      <c r="A46" s="30">
        <v>2015</v>
      </c>
      <c r="B46" s="38">
        <f>B39/N39</f>
        <v>0.22864982343264764</v>
      </c>
      <c r="C46" s="39">
        <f>C39/N39</f>
        <v>0.29136010295686421</v>
      </c>
      <c r="D46" s="39">
        <f>D39/N39</f>
        <v>9.1804833109285014E-2</v>
      </c>
      <c r="E46" s="39">
        <f>E39/N39</f>
        <v>7.7932051741719036E-2</v>
      </c>
      <c r="F46" s="39">
        <f>F39/N39</f>
        <v>8.0991284113176187E-2</v>
      </c>
      <c r="G46" s="39">
        <f>G39/N39</f>
        <v>8.5186137521978733E-2</v>
      </c>
      <c r="H46" s="39">
        <f>H39/N39</f>
        <v>3.8644655003559673E-2</v>
      </c>
      <c r="I46" s="39">
        <f>I39/N39</f>
        <v>2.7729634698448136E-2</v>
      </c>
      <c r="J46" s="39">
        <f>J39/N39</f>
        <v>2.3914389350040831E-2</v>
      </c>
      <c r="K46" s="39">
        <f>K39/N39</f>
        <v>2.0164411537360372E-2</v>
      </c>
      <c r="L46" s="39">
        <f>L39/N39</f>
        <v>1.6520188988140467E-2</v>
      </c>
      <c r="M46" s="39">
        <f>M39/N39</f>
        <v>1.7102487546779861E-2</v>
      </c>
      <c r="N46" s="209" t="b">
        <f t="shared" si="23"/>
        <v>1</v>
      </c>
      <c r="Q46" s="30">
        <v>2015</v>
      </c>
      <c r="R46" s="38">
        <f>R39/AD39</f>
        <v>0.13864352239651648</v>
      </c>
      <c r="S46" s="39">
        <f>S39/AD39</f>
        <v>0.14661708147357133</v>
      </c>
      <c r="T46" s="39">
        <f>T39/AD39</f>
        <v>0.11396513825258948</v>
      </c>
      <c r="U46" s="39">
        <f>U39/AD39</f>
        <v>8.7309649496654332E-2</v>
      </c>
      <c r="V46" s="39">
        <f>V39/AD39</f>
        <v>7.9890026598413807E-2</v>
      </c>
      <c r="W46" s="39">
        <f>W39/AD39</f>
        <v>8.0893480391938138E-2</v>
      </c>
      <c r="X46" s="39">
        <f>X39/AD39</f>
        <v>6.8692416691313526E-2</v>
      </c>
      <c r="Y46" s="39">
        <f>Y39/AD39</f>
        <v>6.2644078513564017E-2</v>
      </c>
      <c r="Z46" s="39">
        <f>Z39/AD39</f>
        <v>5.6918196707141204E-2</v>
      </c>
      <c r="AA46" s="39">
        <f>AA39/AD39</f>
        <v>4.9662290593153316E-2</v>
      </c>
      <c r="AB46" s="39">
        <f>AB39/AD39</f>
        <v>5.4710948013949275E-2</v>
      </c>
      <c r="AC46" s="39">
        <f>AC39/AD39</f>
        <v>6.0053170871195258E-2</v>
      </c>
      <c r="AD46" s="209" t="b">
        <f t="shared" si="25"/>
        <v>1</v>
      </c>
    </row>
    <row r="47" spans="1:32" ht="15" customHeight="1">
      <c r="A47" s="30" t="s">
        <v>457</v>
      </c>
      <c r="B47" s="40">
        <f>AVERAGE(B42:B44)</f>
        <v>0.24452710734759045</v>
      </c>
      <c r="C47" s="40">
        <f t="shared" ref="C47:M47" si="26">AVERAGE(C42:C44)</f>
        <v>0.20574819599261374</v>
      </c>
      <c r="D47" s="40">
        <f t="shared" si="26"/>
        <v>9.942837125663645E-2</v>
      </c>
      <c r="E47" s="40">
        <f t="shared" si="26"/>
        <v>8.551897055186447E-2</v>
      </c>
      <c r="F47" s="40">
        <f t="shared" si="26"/>
        <v>0.1160325316932927</v>
      </c>
      <c r="G47" s="40">
        <f t="shared" si="26"/>
        <v>9.0891968606768E-2</v>
      </c>
      <c r="H47" s="40">
        <f t="shared" si="26"/>
        <v>3.2594668481560167E-2</v>
      </c>
      <c r="I47" s="40">
        <f t="shared" si="26"/>
        <v>2.9857931992723744E-2</v>
      </c>
      <c r="J47" s="40">
        <f t="shared" si="26"/>
        <v>2.3266636555024128E-2</v>
      </c>
      <c r="K47" s="40">
        <f t="shared" si="26"/>
        <v>2.6516921034026437E-2</v>
      </c>
      <c r="L47" s="40">
        <f t="shared" si="26"/>
        <v>2.3073687315235458E-2</v>
      </c>
      <c r="M47" s="40">
        <f t="shared" si="26"/>
        <v>2.2543009172664275E-2</v>
      </c>
      <c r="N47" s="209" t="b">
        <f t="shared" si="23"/>
        <v>1</v>
      </c>
      <c r="Q47" s="30" t="s">
        <v>457</v>
      </c>
      <c r="R47" s="40">
        <f>AVERAGE(R42:R44)</f>
        <v>0.13998787341581362</v>
      </c>
      <c r="S47" s="40">
        <f t="shared" ref="S47:AC47" si="27">AVERAGE(S42:S44)</f>
        <v>9.778917828459599E-2</v>
      </c>
      <c r="T47" s="40">
        <f t="shared" si="27"/>
        <v>8.2150641074641748E-2</v>
      </c>
      <c r="U47" s="40">
        <f t="shared" si="27"/>
        <v>7.4825868595211523E-2</v>
      </c>
      <c r="V47" s="40">
        <f t="shared" si="27"/>
        <v>7.973056375027554E-2</v>
      </c>
      <c r="W47" s="40">
        <f t="shared" si="27"/>
        <v>6.7506702332191235E-2</v>
      </c>
      <c r="X47" s="40">
        <f t="shared" si="27"/>
        <v>8.2882014044648247E-2</v>
      </c>
      <c r="Y47" s="40">
        <f t="shared" si="27"/>
        <v>8.4301819713287096E-2</v>
      </c>
      <c r="Z47" s="40">
        <f t="shared" si="27"/>
        <v>6.5975494228755746E-2</v>
      </c>
      <c r="AA47" s="40">
        <f t="shared" si="27"/>
        <v>8.2414496572215598E-2</v>
      </c>
      <c r="AB47" s="40">
        <f t="shared" si="27"/>
        <v>6.6939324244949958E-2</v>
      </c>
      <c r="AC47" s="40">
        <f t="shared" si="27"/>
        <v>7.5496023743413604E-2</v>
      </c>
      <c r="AD47" s="209" t="b">
        <f t="shared" si="25"/>
        <v>1</v>
      </c>
    </row>
    <row r="48" spans="1:32" ht="15" customHeight="1">
      <c r="B48" s="42"/>
      <c r="C48" s="42"/>
      <c r="D48" s="42"/>
      <c r="E48" s="42"/>
      <c r="F48" s="42"/>
      <c r="G48" s="42"/>
      <c r="H48" s="42"/>
      <c r="I48" s="42"/>
      <c r="J48" s="42"/>
      <c r="K48" s="42"/>
      <c r="L48" s="42"/>
      <c r="M48" s="42"/>
      <c r="R48" s="42"/>
      <c r="S48" s="42"/>
      <c r="T48" s="42"/>
      <c r="U48" s="42"/>
      <c r="V48" s="42"/>
      <c r="W48" s="42"/>
      <c r="X48" s="42"/>
      <c r="Y48" s="42"/>
      <c r="Z48" s="42"/>
      <c r="AA48" s="42"/>
      <c r="AB48" s="42"/>
      <c r="AC48" s="42"/>
    </row>
    <row r="49" spans="1:32" ht="15" customHeight="1">
      <c r="B49" s="30" t="s">
        <v>457</v>
      </c>
      <c r="C49" s="30">
        <v>2020</v>
      </c>
      <c r="D49" s="30">
        <v>2019</v>
      </c>
      <c r="E49" s="30">
        <v>2018</v>
      </c>
      <c r="F49" s="30">
        <v>2017</v>
      </c>
      <c r="G49" s="30">
        <v>2016</v>
      </c>
      <c r="H49" s="30">
        <v>2015</v>
      </c>
      <c r="R49" s="30" t="s">
        <v>457</v>
      </c>
      <c r="S49" s="30">
        <v>2020</v>
      </c>
      <c r="T49" s="30">
        <v>2019</v>
      </c>
      <c r="U49" s="30">
        <v>2018</v>
      </c>
      <c r="V49" s="30">
        <v>2017</v>
      </c>
      <c r="W49" s="30">
        <v>2016</v>
      </c>
      <c r="X49" s="30">
        <v>2015</v>
      </c>
    </row>
    <row r="50" spans="1:32" ht="15" customHeight="1">
      <c r="A50" s="30" t="s">
        <v>130</v>
      </c>
      <c r="B50" s="43">
        <f>B47</f>
        <v>0.24452710734759045</v>
      </c>
      <c r="C50" s="44">
        <f>B41</f>
        <v>0.21438069809443805</v>
      </c>
      <c r="D50" s="44">
        <f>B42</f>
        <v>0.20360732019133176</v>
      </c>
      <c r="E50" s="44">
        <f>B43</f>
        <v>0.23531870518751041</v>
      </c>
      <c r="F50" s="44">
        <f>B44</f>
        <v>0.29465529666392914</v>
      </c>
      <c r="G50" s="44">
        <f>B45</f>
        <v>0.18467016923463039</v>
      </c>
      <c r="H50" s="44">
        <f>B46</f>
        <v>0.22864982343264764</v>
      </c>
      <c r="Q50" s="30" t="s">
        <v>130</v>
      </c>
      <c r="R50" s="43">
        <f>R47</f>
        <v>0.13998787341581362</v>
      </c>
      <c r="S50" s="44">
        <f>R41</f>
        <v>0.13479244730623416</v>
      </c>
      <c r="T50" s="44">
        <f>R42</f>
        <v>9.8266663845493318E-2</v>
      </c>
      <c r="U50" s="44">
        <f>R43</f>
        <v>0.17277489755618777</v>
      </c>
      <c r="V50" s="44">
        <f>R44</f>
        <v>0.14892205884575974</v>
      </c>
      <c r="W50" s="44">
        <f>R45</f>
        <v>0.10845469087901638</v>
      </c>
      <c r="X50" s="44">
        <f>R46</f>
        <v>0.13864352239651648</v>
      </c>
    </row>
    <row r="51" spans="1:32" ht="15" customHeight="1">
      <c r="A51" s="30" t="s">
        <v>131</v>
      </c>
      <c r="B51" s="43">
        <f>B47+C47</f>
        <v>0.45027530334020416</v>
      </c>
      <c r="C51" s="44">
        <f>SUM(B41:C41)</f>
        <v>0.41484470413809038</v>
      </c>
      <c r="D51" s="44">
        <f>SUM(B42:C42)</f>
        <v>0.41931058489621864</v>
      </c>
      <c r="E51" s="44">
        <f>SUM(B43:C43)</f>
        <v>0.44585382446364685</v>
      </c>
      <c r="F51" s="44">
        <f>SUM(B44:C44)</f>
        <v>0.48566150066074698</v>
      </c>
      <c r="G51" s="44">
        <f>SUM(B45:C45)</f>
        <v>0.46711048159207491</v>
      </c>
      <c r="H51" s="44">
        <f>SUM(B46:C46)</f>
        <v>0.52000992638951182</v>
      </c>
      <c r="J51" s="42"/>
      <c r="K51" s="42"/>
      <c r="L51" s="42"/>
      <c r="M51" s="42"/>
      <c r="N51" s="42"/>
      <c r="O51" s="42"/>
      <c r="Q51" s="30" t="s">
        <v>131</v>
      </c>
      <c r="R51" s="43">
        <f>R47+S47</f>
        <v>0.23777705170040961</v>
      </c>
      <c r="S51" s="44">
        <f>SUM(R41:S41)</f>
        <v>0.23900998779691665</v>
      </c>
      <c r="T51" s="44">
        <f>SUM(R42:S42)</f>
        <v>0.188196229070725</v>
      </c>
      <c r="U51" s="44">
        <f>SUM(R43:S43)</f>
        <v>0.29143853127997338</v>
      </c>
      <c r="V51" s="44">
        <f>SUM(R44:S44)</f>
        <v>0.23369639475053045</v>
      </c>
      <c r="W51" s="44">
        <f>SUM(R45:S45)</f>
        <v>0.23503753951988457</v>
      </c>
      <c r="X51" s="44">
        <f>SUM(R46:S46)</f>
        <v>0.28526060387008778</v>
      </c>
    </row>
    <row r="52" spans="1:32" ht="15" customHeight="1">
      <c r="A52" s="30" t="s">
        <v>132</v>
      </c>
      <c r="B52" s="40">
        <f>B47+C47+D47</f>
        <v>0.54970367459684066</v>
      </c>
      <c r="C52" s="41">
        <f>SUM(B41:D41)</f>
        <v>0.52314893534644846</v>
      </c>
      <c r="D52" s="41">
        <f>SUM(B42:D42)</f>
        <v>0.50432009261032329</v>
      </c>
      <c r="E52" s="41">
        <f>SUM(B43:D43)</f>
        <v>0.55939924905381833</v>
      </c>
      <c r="F52" s="41">
        <f>SUM(B44:D44)</f>
        <v>0.58539168212638015</v>
      </c>
      <c r="G52" s="41">
        <f>SUM(B45:D45)</f>
        <v>0.561428115320596</v>
      </c>
      <c r="H52" s="41">
        <f>SUM(B46:D46)</f>
        <v>0.61181475949879682</v>
      </c>
      <c r="Q52" s="30" t="s">
        <v>132</v>
      </c>
      <c r="R52" s="40">
        <f>R47+S47+T47</f>
        <v>0.31992769277505134</v>
      </c>
      <c r="S52" s="41">
        <f>SUM(R41:T41)</f>
        <v>0.33504014577377467</v>
      </c>
      <c r="T52" s="41">
        <f>SUM(R42:T42)</f>
        <v>0.253820242544053</v>
      </c>
      <c r="U52" s="41">
        <f>SUM(R43:T43)</f>
        <v>0.3768592105881835</v>
      </c>
      <c r="V52" s="41">
        <f>SUM(R44:T44)</f>
        <v>0.32910362519291758</v>
      </c>
      <c r="W52" s="41">
        <f>SUM(R45:T45)</f>
        <v>0.3484575881541021</v>
      </c>
      <c r="X52" s="41">
        <f>SUM(R46:T46)</f>
        <v>0.39922574212267725</v>
      </c>
    </row>
    <row r="53" spans="1:32" ht="15" customHeight="1">
      <c r="A53" s="30" t="s">
        <v>133</v>
      </c>
      <c r="B53" s="40">
        <f>B47+C47+D47+E47</f>
        <v>0.63522264514870508</v>
      </c>
      <c r="C53" s="41">
        <f>SUM(B41:E41)</f>
        <v>0.57052760289875881</v>
      </c>
      <c r="D53" s="41">
        <f>SUM(B42:E42)</f>
        <v>0.59989330061953583</v>
      </c>
      <c r="E53" s="41">
        <f>SUM(B43:E43)</f>
        <v>0.66402566460480272</v>
      </c>
      <c r="F53" s="41">
        <f>SUM(B44:E44)</f>
        <v>0.64174897022177668</v>
      </c>
      <c r="G53" s="41">
        <f>SUM(B45:E45)</f>
        <v>0.63538215610201187</v>
      </c>
      <c r="H53" s="41">
        <f>SUM(B46:E46)</f>
        <v>0.68974681124051584</v>
      </c>
      <c r="Q53" s="30" t="s">
        <v>133</v>
      </c>
      <c r="R53" s="40">
        <f>R47+S47+T47+U47</f>
        <v>0.39475356137026285</v>
      </c>
      <c r="S53" s="41">
        <f>SUM(R41:U41)</f>
        <v>0.39102384173089155</v>
      </c>
      <c r="T53" s="41">
        <f>SUM(R42:U42)</f>
        <v>0.32289449682200344</v>
      </c>
      <c r="U53" s="41">
        <f>SUM(R43:U43)</f>
        <v>0.47371449547496514</v>
      </c>
      <c r="V53" s="41">
        <f>SUM(R44:U44)</f>
        <v>0.38765169181382014</v>
      </c>
      <c r="W53" s="41">
        <f>SUM(R45:U45)</f>
        <v>0.43053653085307442</v>
      </c>
      <c r="X53" s="41">
        <f>SUM(R46:U46)</f>
        <v>0.48653539161933157</v>
      </c>
    </row>
    <row r="54" spans="1:32" ht="15" customHeight="1">
      <c r="A54" s="30" t="s">
        <v>134</v>
      </c>
      <c r="B54" s="40">
        <f>B47+C47+D47+E47+F47</f>
        <v>0.75125517684199772</v>
      </c>
      <c r="C54" s="41">
        <f>SUM(B41:F41)</f>
        <v>0.61205340246926765</v>
      </c>
      <c r="D54" s="41">
        <f>SUM(B42:F42)</f>
        <v>0.72056780333293513</v>
      </c>
      <c r="E54" s="41">
        <f>SUM(B43:F43)</f>
        <v>0.76730693401495653</v>
      </c>
      <c r="F54" s="41">
        <f>SUM(B44:F44)</f>
        <v>0.7658907931781016</v>
      </c>
      <c r="G54" s="41">
        <f>SUM(B45:F45)</f>
        <v>0.73081655863720552</v>
      </c>
      <c r="H54" s="41">
        <f>SUM(B46:F46)</f>
        <v>0.77073809535369198</v>
      </c>
      <c r="Q54" s="30" t="s">
        <v>134</v>
      </c>
      <c r="R54" s="40">
        <f>R47+S47+T47+U47+V47</f>
        <v>0.47448412512053839</v>
      </c>
      <c r="S54" s="41">
        <f>SUM(R41:V41)</f>
        <v>0.44061082922430406</v>
      </c>
      <c r="T54" s="41">
        <f>SUM(R42:V42)</f>
        <v>0.39315532989044177</v>
      </c>
      <c r="U54" s="41">
        <f>SUM(R43:V43)</f>
        <v>0.548185544003576</v>
      </c>
      <c r="V54" s="41">
        <f>SUM(R44:V44)</f>
        <v>0.48211150146759757</v>
      </c>
      <c r="W54" s="41">
        <f>SUM(R45:V45)</f>
        <v>0.51027804428959711</v>
      </c>
      <c r="X54" s="41">
        <f>SUM(R46:V46)</f>
        <v>0.56642541821774539</v>
      </c>
    </row>
    <row r="55" spans="1:32" ht="15" customHeight="1">
      <c r="A55" s="30" t="s">
        <v>135</v>
      </c>
      <c r="B55" s="40">
        <f>B47+C47+D47+E47+F47+G47</f>
        <v>0.84214714544876568</v>
      </c>
      <c r="C55" s="41">
        <f>SUM(B41:G41)</f>
        <v>0.67623271152394859</v>
      </c>
      <c r="D55" s="41">
        <f>SUM(B42:G42)</f>
        <v>0.8222365121498767</v>
      </c>
      <c r="E55" s="41">
        <f>SUM(B43:G43)</f>
        <v>0.858296313824637</v>
      </c>
      <c r="F55" s="41">
        <f>SUM(B44:G44)</f>
        <v>0.84590861037178355</v>
      </c>
      <c r="G55" s="41">
        <f>SUM(B45:G45)</f>
        <v>0.82779187767320728</v>
      </c>
      <c r="H55" s="41">
        <f>SUM(B46:G46)</f>
        <v>0.85592423287567065</v>
      </c>
      <c r="Q55" s="30" t="s">
        <v>135</v>
      </c>
      <c r="R55" s="40">
        <f>R47+S47+T47+U47+V47+W47</f>
        <v>0.54199082745272964</v>
      </c>
      <c r="S55" s="41">
        <f>SUM(R41:W41)</f>
        <v>0.50427803837378304</v>
      </c>
      <c r="T55" s="41">
        <f>SUM(R42:W42)</f>
        <v>0.44929074691181076</v>
      </c>
      <c r="U55" s="41">
        <f>SUM(R43:W43)</f>
        <v>0.61323892146514514</v>
      </c>
      <c r="V55" s="41">
        <f>SUM(R44:W44)</f>
        <v>0.56344281398123319</v>
      </c>
      <c r="W55" s="41">
        <f>SUM(R45:W45)</f>
        <v>0.58891720527263303</v>
      </c>
      <c r="X55" s="41">
        <f>SUM(R46:W46)</f>
        <v>0.6473188986096835</v>
      </c>
    </row>
    <row r="56" spans="1:32" ht="15" customHeight="1">
      <c r="A56" s="30" t="s">
        <v>136</v>
      </c>
      <c r="B56" s="40">
        <f>B47+C47+D47+E47+F47+G47+H47</f>
        <v>0.8747418139303258</v>
      </c>
      <c r="C56" s="41">
        <f>SUM(B41:H41)</f>
        <v>0.77454787083398846</v>
      </c>
      <c r="D56" s="41">
        <f>SUM(B42:H42)</f>
        <v>0.86202191229739833</v>
      </c>
      <c r="E56" s="41">
        <f>SUM(B43:H43)</f>
        <v>0.88663549852085666</v>
      </c>
      <c r="F56" s="41">
        <f>SUM(B44:H44)</f>
        <v>0.87556803097272273</v>
      </c>
      <c r="G56" s="41">
        <f>SUM(B45:H45)</f>
        <v>0.86889958887289553</v>
      </c>
      <c r="H56" s="41">
        <f>SUM(B46:H46)</f>
        <v>0.89456888787923028</v>
      </c>
      <c r="Q56" s="30" t="s">
        <v>136</v>
      </c>
      <c r="R56" s="40">
        <f>R47+S47+T47+U47+V47+W47+X47</f>
        <v>0.62487284149737787</v>
      </c>
      <c r="S56" s="41">
        <f>SUM(R41:X41)</f>
        <v>0.57845974910829057</v>
      </c>
      <c r="T56" s="41">
        <f>SUM(R42:X42)</f>
        <v>0.55382454525018554</v>
      </c>
      <c r="U56" s="41">
        <f>SUM(R43:X43)</f>
        <v>0.68424805141233691</v>
      </c>
      <c r="V56" s="41">
        <f>SUM(R44:X44)</f>
        <v>0.63654592782961139</v>
      </c>
      <c r="W56" s="41">
        <f>SUM(R45:X45)</f>
        <v>0.65714880133579101</v>
      </c>
      <c r="X56" s="41">
        <f>SUM(R46:X46)</f>
        <v>0.71601131530099704</v>
      </c>
    </row>
    <row r="57" spans="1:32" ht="15" customHeight="1">
      <c r="A57" s="30" t="s">
        <v>137</v>
      </c>
      <c r="B57" s="40">
        <f>B47+C47+D47+E47+F47+G47+H47+I47</f>
        <v>0.90459974592304959</v>
      </c>
      <c r="C57" s="41">
        <f>SUM(B41:I41)</f>
        <v>0.87931377182905823</v>
      </c>
      <c r="D57" s="41">
        <f>SUM(B42:I42)</f>
        <v>0.89198554208111169</v>
      </c>
      <c r="E57" s="41">
        <f>SUM(B43:I43)</f>
        <v>0.91561107374773432</v>
      </c>
      <c r="F57" s="41">
        <f>SUM(B44:I44)</f>
        <v>0.90620262194030299</v>
      </c>
      <c r="G57" s="41">
        <f>SUM(B45:I45)</f>
        <v>0.90370623157141783</v>
      </c>
      <c r="H57" s="41">
        <f>SUM(B46:I46)</f>
        <v>0.92229852257767841</v>
      </c>
      <c r="Q57" s="30" t="s">
        <v>137</v>
      </c>
      <c r="R57" s="40">
        <f>R47+S47+T47+U47+V47+W47+X47+Y47</f>
        <v>0.70917466121066497</v>
      </c>
      <c r="S57" s="41">
        <f>SUM(R41:Y41)</f>
        <v>0.65372333503587188</v>
      </c>
      <c r="T57" s="41">
        <f>SUM(R42:Y42)</f>
        <v>0.65676006929528752</v>
      </c>
      <c r="U57" s="41">
        <f>SUM(R43:Y43)</f>
        <v>0.75134230448557582</v>
      </c>
      <c r="V57" s="41">
        <f>SUM(R44:Y44)</f>
        <v>0.71942160985113179</v>
      </c>
      <c r="W57" s="41">
        <f>SUM(R45:Y45)</f>
        <v>0.72554059936806903</v>
      </c>
      <c r="X57" s="41">
        <f>SUM(R46:Y46)</f>
        <v>0.77865539381456106</v>
      </c>
    </row>
    <row r="58" spans="1:32" ht="15" customHeight="1">
      <c r="A58" s="30" t="s">
        <v>138</v>
      </c>
      <c r="B58" s="40">
        <f>B47+C47+D47+E47+F47+G47+H47+I47+J47</f>
        <v>0.92786638247807374</v>
      </c>
      <c r="C58" s="41">
        <f>SUM(B41:J41)</f>
        <v>0.92097357433199123</v>
      </c>
      <c r="D58" s="41">
        <f>SUM(B42:J42)</f>
        <v>0.91903019827916155</v>
      </c>
      <c r="E58" s="41">
        <f>SUM(B43:J43)</f>
        <v>0.93764268904414205</v>
      </c>
      <c r="F58" s="41">
        <f>SUM(B44:J44)</f>
        <v>0.92692626011091783</v>
      </c>
      <c r="G58" s="41">
        <f>SUM(B45:J45)</f>
        <v>0.93163944560629186</v>
      </c>
      <c r="H58" s="41">
        <f>SUM(B46:J46)</f>
        <v>0.94621291192771928</v>
      </c>
      <c r="Q58" s="30" t="s">
        <v>138</v>
      </c>
      <c r="R58" s="40">
        <f>R47+S47+T47+U47+V47+W47+X47+Y47+Z47</f>
        <v>0.77515015543942067</v>
      </c>
      <c r="S58" s="41">
        <f>SUM(R41:Z41)</f>
        <v>0.72881699814084056</v>
      </c>
      <c r="T58" s="41">
        <f>SUM(R42:Z42)</f>
        <v>0.74038354489365266</v>
      </c>
      <c r="U58" s="41">
        <f>SUM(R43:Z43)</f>
        <v>0.80413254345435692</v>
      </c>
      <c r="V58" s="41">
        <f>SUM(R44:Z44)</f>
        <v>0.78093437797025278</v>
      </c>
      <c r="W58" s="41">
        <f>SUM(R45:Z45)</f>
        <v>0.7885121283404104</v>
      </c>
      <c r="X58" s="41">
        <f>SUM(R46:Z46)</f>
        <v>0.83557359052170221</v>
      </c>
    </row>
    <row r="59" spans="1:32" ht="15" customHeight="1">
      <c r="A59" s="30" t="s">
        <v>139</v>
      </c>
      <c r="B59" s="40">
        <f>B47+C47+D47+E47+F47+G47+H47+I47+J47+K47</f>
        <v>0.95438330351210021</v>
      </c>
      <c r="C59" s="41">
        <f>SUM(B41:K41)</f>
        <v>0.93850596095474526</v>
      </c>
      <c r="D59" s="41">
        <f>SUM(B42:K42)</f>
        <v>0.94621241917451626</v>
      </c>
      <c r="E59" s="41">
        <f>SUM(B43:K43)</f>
        <v>0.96084613503790772</v>
      </c>
      <c r="F59" s="41">
        <f>SUM(B44:K44)</f>
        <v>0.95609135632387676</v>
      </c>
      <c r="G59" s="41">
        <f>SUM(B45:K45)</f>
        <v>0.95433804356859775</v>
      </c>
      <c r="H59" s="41">
        <f>SUM(B46:K46)</f>
        <v>0.96637732346507965</v>
      </c>
      <c r="Q59" s="30" t="s">
        <v>139</v>
      </c>
      <c r="R59" s="40">
        <f>R47+S47+T47+U47+V47+W47+X47+Y47+Z47+AA47</f>
        <v>0.85756465201163623</v>
      </c>
      <c r="S59" s="41">
        <f>SUM(R41:AA41)</f>
        <v>0.86615391051340507</v>
      </c>
      <c r="T59" s="41">
        <f>SUM(R42:AA42)</f>
        <v>0.83249180598694927</v>
      </c>
      <c r="U59" s="41">
        <f>SUM(R43:AA43)</f>
        <v>0.87122005241509581</v>
      </c>
      <c r="V59" s="41">
        <f>SUM(R44:AA44)</f>
        <v>0.86898209763286405</v>
      </c>
      <c r="W59" s="41">
        <f>SUM(R45:AA45)</f>
        <v>0.84407817828601683</v>
      </c>
      <c r="X59" s="41">
        <f>SUM(R46:AA46)</f>
        <v>0.88523588111485552</v>
      </c>
    </row>
    <row r="60" spans="1:32" ht="15" customHeight="1">
      <c r="A60" s="30" t="s">
        <v>140</v>
      </c>
      <c r="B60" s="40">
        <f>B47+C47+D47+E47+F47+G47+H47+I47+J47+K47+L47</f>
        <v>0.97745699082733561</v>
      </c>
      <c r="C60" s="41">
        <f>SUM(B41:L41)</f>
        <v>0.96859255220217078</v>
      </c>
      <c r="D60" s="41">
        <f>SUM(B42:L42)</f>
        <v>0.97065660944315002</v>
      </c>
      <c r="E60" s="41">
        <f>SUM(B43:L43)</f>
        <v>0.97970783843934717</v>
      </c>
      <c r="F60" s="41">
        <f>SUM(B44:L44)</f>
        <v>0.98200652459950988</v>
      </c>
      <c r="G60" s="41">
        <f>SUM(B45:L45)</f>
        <v>0.9771250913104329</v>
      </c>
      <c r="H60" s="41">
        <f>SUM(B46:L46)</f>
        <v>0.9828975124532201</v>
      </c>
      <c r="Q60" s="30" t="s">
        <v>140</v>
      </c>
      <c r="R60" s="40">
        <f>R47+S47+T47+U47+V47+W47+X47+Y47+Z47+AA47+AB47</f>
        <v>0.9245039762565862</v>
      </c>
      <c r="S60" s="41">
        <f>SUM(R41:AB41)</f>
        <v>0.92802764031873963</v>
      </c>
      <c r="T60" s="41">
        <f>SUM(R42:AB42)</f>
        <v>0.90318781609644128</v>
      </c>
      <c r="U60" s="41">
        <f>SUM(R43:AB43)</f>
        <v>0.92625635376162652</v>
      </c>
      <c r="V60" s="41">
        <f>SUM(R44:AB44)</f>
        <v>0.94406775891169126</v>
      </c>
      <c r="W60" s="41">
        <f>SUM(R45:AB45)</f>
        <v>0.90463745829784137</v>
      </c>
      <c r="X60" s="41">
        <f>SUM(R46:AB46)</f>
        <v>0.93994682912880478</v>
      </c>
    </row>
    <row r="61" spans="1:32" s="12" customFormat="1" ht="15" customHeight="1">
      <c r="A61" s="30" t="s">
        <v>141</v>
      </c>
      <c r="B61" s="40">
        <f>SUM(B47:M47)</f>
        <v>0.99999999999999989</v>
      </c>
      <c r="C61" s="41">
        <f>SUM(B41:M41)</f>
        <v>1.0000000000000002</v>
      </c>
      <c r="D61" s="41">
        <f>SUM(B42:M42)</f>
        <v>0.99999999999999967</v>
      </c>
      <c r="E61" s="41">
        <f>SUM(B43:M43)</f>
        <v>1</v>
      </c>
      <c r="F61" s="41">
        <f>SUM(B44:M44)</f>
        <v>1.0000000000000002</v>
      </c>
      <c r="G61" s="41">
        <f>SUM(B45:M45)</f>
        <v>0.99999999999999989</v>
      </c>
      <c r="H61" s="41">
        <f>SUM(B46:M46)</f>
        <v>1</v>
      </c>
      <c r="I61"/>
      <c r="J61"/>
      <c r="K61"/>
      <c r="L61"/>
      <c r="M61"/>
      <c r="N61"/>
      <c r="O61"/>
      <c r="P61" s="1020"/>
      <c r="Q61" s="30" t="s">
        <v>141</v>
      </c>
      <c r="R61" s="40">
        <f>SUM(R47:AC47)</f>
        <v>0.99999999999999978</v>
      </c>
      <c r="S61" s="41">
        <f>SUM(R41:AC41)</f>
        <v>1.0000000000000002</v>
      </c>
      <c r="T61" s="41">
        <f>SUM(R42:AC42)</f>
        <v>1</v>
      </c>
      <c r="U61" s="41">
        <f>SUM(R43:AC43)</f>
        <v>0.99999999999999989</v>
      </c>
      <c r="V61" s="41">
        <f>SUM(R44:AC44)</f>
        <v>1</v>
      </c>
      <c r="W61" s="41">
        <f>SUM(R45:AC45)</f>
        <v>0.99999999999999978</v>
      </c>
      <c r="X61" s="41">
        <f>SUM(R46:AC46)</f>
        <v>1</v>
      </c>
      <c r="Y61"/>
      <c r="Z61"/>
      <c r="AA61"/>
      <c r="AB61"/>
      <c r="AC61"/>
      <c r="AD61"/>
      <c r="AE61"/>
      <c r="AF61" s="1020"/>
    </row>
    <row r="62" spans="1:32" ht="25.5" customHeight="1">
      <c r="A62" s="45"/>
      <c r="B62" s="46"/>
      <c r="C62" s="46"/>
      <c r="D62" s="46"/>
      <c r="E62" s="46"/>
      <c r="F62" s="46"/>
      <c r="G62" s="46"/>
      <c r="H62" s="12"/>
      <c r="I62" s="12"/>
      <c r="J62" s="12"/>
      <c r="K62" s="12"/>
      <c r="L62" s="12"/>
      <c r="M62" s="12"/>
      <c r="N62" s="12"/>
      <c r="O62" s="12"/>
      <c r="P62" s="1054"/>
      <c r="Q62" s="45"/>
      <c r="R62" s="46"/>
      <c r="S62" s="46"/>
      <c r="T62" s="46"/>
      <c r="U62" s="46"/>
      <c r="V62" s="46"/>
      <c r="W62" s="46"/>
      <c r="X62" s="12"/>
      <c r="Y62" s="12"/>
      <c r="Z62" s="12"/>
      <c r="AA62" s="12"/>
      <c r="AB62" s="12"/>
      <c r="AC62" s="12"/>
      <c r="AD62" s="12"/>
      <c r="AE62" s="12"/>
      <c r="AF62" s="1054"/>
    </row>
    <row r="63" spans="1:32" ht="15" customHeight="1">
      <c r="A63" s="1393" t="s">
        <v>222</v>
      </c>
      <c r="B63" s="1394"/>
      <c r="C63" s="1394"/>
      <c r="D63" s="1394"/>
      <c r="E63" s="1394"/>
      <c r="F63" s="1394"/>
      <c r="G63" s="1394"/>
      <c r="H63" s="1394"/>
      <c r="I63" s="1394"/>
      <c r="J63" s="1394"/>
      <c r="K63" s="1394"/>
      <c r="L63" s="1394"/>
      <c r="M63" s="1394"/>
      <c r="N63" s="1394"/>
      <c r="O63" s="1395"/>
      <c r="Q63" s="1393" t="s">
        <v>198</v>
      </c>
      <c r="R63" s="1394"/>
      <c r="S63" s="1394"/>
      <c r="T63" s="1394"/>
      <c r="U63" s="1394"/>
      <c r="V63" s="1394"/>
      <c r="W63" s="1394"/>
      <c r="X63" s="1394"/>
      <c r="Y63" s="1394"/>
      <c r="Z63" s="1394"/>
      <c r="AA63" s="1394"/>
      <c r="AB63" s="1394"/>
      <c r="AC63" s="1394"/>
      <c r="AD63" s="1394"/>
      <c r="AE63" s="1395"/>
    </row>
    <row r="64" spans="1:32" ht="15" customHeight="1">
      <c r="A64" s="30" t="s">
        <v>115</v>
      </c>
      <c r="B64" s="47" t="s">
        <v>116</v>
      </c>
      <c r="C64" s="47" t="s">
        <v>117</v>
      </c>
      <c r="D64" s="47" t="s">
        <v>118</v>
      </c>
      <c r="E64" s="47" t="s">
        <v>119</v>
      </c>
      <c r="F64" s="47" t="s">
        <v>120</v>
      </c>
      <c r="G64" s="47" t="s">
        <v>121</v>
      </c>
      <c r="H64" s="47" t="s">
        <v>122</v>
      </c>
      <c r="I64" s="47" t="s">
        <v>123</v>
      </c>
      <c r="J64" s="47" t="s">
        <v>124</v>
      </c>
      <c r="K64" s="47" t="s">
        <v>125</v>
      </c>
      <c r="L64" s="47" t="s">
        <v>126</v>
      </c>
      <c r="M64" s="47" t="s">
        <v>127</v>
      </c>
      <c r="N64" s="47" t="s">
        <v>128</v>
      </c>
      <c r="O64" s="47" t="s">
        <v>129</v>
      </c>
      <c r="Q64" s="30" t="s">
        <v>115</v>
      </c>
      <c r="R64" s="47" t="s">
        <v>116</v>
      </c>
      <c r="S64" s="47" t="s">
        <v>117</v>
      </c>
      <c r="T64" s="47" t="s">
        <v>118</v>
      </c>
      <c r="U64" s="47" t="s">
        <v>119</v>
      </c>
      <c r="V64" s="47" t="s">
        <v>120</v>
      </c>
      <c r="W64" s="47" t="s">
        <v>121</v>
      </c>
      <c r="X64" s="47" t="s">
        <v>122</v>
      </c>
      <c r="Y64" s="47" t="s">
        <v>123</v>
      </c>
      <c r="Z64" s="47" t="s">
        <v>124</v>
      </c>
      <c r="AA64" s="47" t="s">
        <v>125</v>
      </c>
      <c r="AB64" s="47" t="s">
        <v>126</v>
      </c>
      <c r="AC64" s="47" t="s">
        <v>127</v>
      </c>
      <c r="AD64" s="47" t="s">
        <v>128</v>
      </c>
      <c r="AE64" s="47" t="s">
        <v>129</v>
      </c>
    </row>
    <row r="65" spans="1:32" ht="15" customHeight="1">
      <c r="A65" s="32">
        <v>2020</v>
      </c>
      <c r="B65" s="36">
        <f>'ARRECADAÇÃO MENSAL POR RECEITA'!$D$5</f>
        <v>1353434.86</v>
      </c>
      <c r="C65" s="36">
        <f>'ARRECADAÇÃO MENSAL POR RECEITA'!$D$6</f>
        <v>1666209.47</v>
      </c>
      <c r="D65" s="36">
        <f>'ARRECADAÇÃO MENSAL POR RECEITA'!$D$7</f>
        <v>836933.33000000007</v>
      </c>
      <c r="E65" s="36">
        <f>'ARRECADAÇÃO MENSAL POR RECEITA'!$D$8</f>
        <v>343340.64999999997</v>
      </c>
      <c r="F65" s="36">
        <f>'ARRECADAÇÃO MENSAL POR RECEITA'!$D$9</f>
        <v>288865.99</v>
      </c>
      <c r="G65" s="36">
        <f>'ARRECADAÇÃO MENSAL POR RECEITA'!$D$10</f>
        <v>449344.10000000009</v>
      </c>
      <c r="H65" s="36">
        <f>'ARRECADAÇÃO MENSAL POR RECEITA'!$D$11</f>
        <v>540262.66</v>
      </c>
      <c r="I65" s="36">
        <f>'ARRECADAÇÃO MENSAL POR RECEITA'!$D$12</f>
        <v>739083.66</v>
      </c>
      <c r="J65" s="36">
        <f>'ARRECADAÇÃO MENSAL POR RECEITA'!$D$13</f>
        <v>249049.36999999997</v>
      </c>
      <c r="K65" s="36">
        <f>'ARRECADAÇÃO MENSAL POR RECEITA'!$D14</f>
        <v>110215.17999999998</v>
      </c>
      <c r="L65" s="36">
        <f>'ARRECADAÇÃO MENSAL POR RECEITA'!$D$15</f>
        <v>190346.61000000002</v>
      </c>
      <c r="M65" s="36">
        <f>'ARRECADAÇÃO MENSAL POR RECEITA'!$D$16</f>
        <v>202206.49000000002</v>
      </c>
      <c r="N65" s="35">
        <f>SUM(B65:M65)</f>
        <v>6969292.370000001</v>
      </c>
      <c r="O65" s="177">
        <f>'Evolução das Receitas'!AC103+'Evolução das Receitas'!AC105</f>
        <v>6640455.4379999992</v>
      </c>
      <c r="P65" s="235">
        <f>N65/O65</f>
        <v>1.0495202377412598</v>
      </c>
      <c r="Q65" s="32">
        <v>2020</v>
      </c>
      <c r="R65" s="36">
        <f>'ARRECADAÇÃO MENSAL POR RECEITA'!$E$5</f>
        <v>320293.44</v>
      </c>
      <c r="S65" s="36">
        <f>'ARRECADAÇÃO MENSAL POR RECEITA'!$E$6</f>
        <v>251289.02</v>
      </c>
      <c r="T65" s="36">
        <f>'ARRECADAÇÃO MENSAL POR RECEITA'!$E$7</f>
        <v>235766.97</v>
      </c>
      <c r="U65" s="36">
        <f>'ARRECADAÇÃO MENSAL POR RECEITA'!$E$8</f>
        <v>117016.25999999998</v>
      </c>
      <c r="V65" s="36">
        <f>'ARRECADAÇÃO MENSAL POR RECEITA'!$E$9</f>
        <v>107057.12</v>
      </c>
      <c r="W65" s="36">
        <f>'ARRECADAÇÃO MENSAL POR RECEITA'!$E$10</f>
        <v>144949.47000000003</v>
      </c>
      <c r="X65" s="36">
        <f>'ARRECADAÇÃO MENSAL POR RECEITA'!$E$11</f>
        <v>165957.5</v>
      </c>
      <c r="Y65" s="36">
        <f>'ARRECADAÇÃO MENSAL POR RECEITA'!$E$12</f>
        <v>157061.48000000001</v>
      </c>
      <c r="Z65" s="36">
        <f>'ARRECADAÇÃO MENSAL POR RECEITA'!$E$13</f>
        <v>138810.25</v>
      </c>
      <c r="AA65" s="36">
        <f>'ARRECADAÇÃO MENSAL POR RECEITA'!$E$14</f>
        <v>207191.53999999998</v>
      </c>
      <c r="AB65" s="36">
        <f>'ARRECADAÇÃO MENSAL POR RECEITA'!$E$15</f>
        <v>128432.87</v>
      </c>
      <c r="AC65" s="36">
        <f>'ARRECADAÇÃO MENSAL POR RECEITA'!$E$16</f>
        <v>162242.75</v>
      </c>
      <c r="AD65" s="35">
        <f>SUM(R65:AC65)</f>
        <v>2136068.67</v>
      </c>
      <c r="AE65" s="177">
        <f>'Evolução das Receitas'!AC137+'Evolução das Receitas'!AC139</f>
        <v>1744647.8605981038</v>
      </c>
      <c r="AF65" s="235">
        <f>AD65/AE65</f>
        <v>1.2243551941007216</v>
      </c>
    </row>
    <row r="66" spans="1:32" ht="15" customHeight="1">
      <c r="A66" s="32">
        <v>2019</v>
      </c>
      <c r="B66" s="33">
        <v>1110920.1000000001</v>
      </c>
      <c r="C66" s="34">
        <v>1642924.7299999997</v>
      </c>
      <c r="D66" s="34">
        <v>578247.42999999993</v>
      </c>
      <c r="E66" s="34">
        <v>659842.43000000005</v>
      </c>
      <c r="F66" s="34">
        <v>798473.39999999991</v>
      </c>
      <c r="G66" s="34">
        <v>780444.39999999991</v>
      </c>
      <c r="H66" s="34">
        <v>392258.43999999994</v>
      </c>
      <c r="I66" s="34">
        <v>280682.5</v>
      </c>
      <c r="J66" s="34">
        <v>254330.93000000005</v>
      </c>
      <c r="K66" s="34">
        <v>267443.55000000005</v>
      </c>
      <c r="L66" s="34">
        <v>234102.81000000003</v>
      </c>
      <c r="M66" s="34">
        <v>246506.51999999996</v>
      </c>
      <c r="N66" s="35">
        <f>SUM(B66:M66)</f>
        <v>7246177.2399999984</v>
      </c>
      <c r="O66" s="179"/>
      <c r="P66" s="235"/>
      <c r="Q66" s="32">
        <v>2019</v>
      </c>
      <c r="R66" s="33">
        <v>210957</v>
      </c>
      <c r="S66" s="34">
        <v>221486.11999999997</v>
      </c>
      <c r="T66" s="34">
        <v>157938.5</v>
      </c>
      <c r="U66" s="34">
        <v>181540.96</v>
      </c>
      <c r="V66" s="34">
        <v>168196.24</v>
      </c>
      <c r="W66" s="34">
        <v>143868.56999999998</v>
      </c>
      <c r="X66" s="34">
        <v>265382.21000000002</v>
      </c>
      <c r="Y66" s="34">
        <v>286135.21999999997</v>
      </c>
      <c r="Z66" s="34">
        <v>213153.17999999996</v>
      </c>
      <c r="AA66" s="34">
        <v>239891.08000000002</v>
      </c>
      <c r="AB66" s="34">
        <v>180358.93</v>
      </c>
      <c r="AC66" s="34">
        <v>238775.25999999998</v>
      </c>
      <c r="AD66" s="35">
        <f>SUM(R66:AC66)</f>
        <v>2507683.2699999996</v>
      </c>
      <c r="AE66" s="179"/>
      <c r="AF66" s="235"/>
    </row>
    <row r="67" spans="1:32" ht="15" customHeight="1">
      <c r="A67" s="30">
        <v>2018</v>
      </c>
      <c r="B67" s="36">
        <v>1239430.26</v>
      </c>
      <c r="C67" s="37">
        <v>1231457.5399999998</v>
      </c>
      <c r="D67" s="37">
        <v>595619.82000000007</v>
      </c>
      <c r="E67" s="37">
        <v>659323.18999999994</v>
      </c>
      <c r="F67" s="37">
        <v>682137.74000000011</v>
      </c>
      <c r="G67" s="37">
        <v>703224.27</v>
      </c>
      <c r="H67" s="37">
        <v>240388.9</v>
      </c>
      <c r="I67" s="37">
        <v>224383.27999999994</v>
      </c>
      <c r="J67" s="37">
        <v>169449.03000000003</v>
      </c>
      <c r="K67" s="37">
        <v>181176.16</v>
      </c>
      <c r="L67" s="37">
        <v>148931.46000000002</v>
      </c>
      <c r="M67" s="37">
        <v>137117.37</v>
      </c>
      <c r="N67" s="35">
        <f t="shared" ref="N67:N70" si="28">SUM(B67:M67)</f>
        <v>6212639.0200000014</v>
      </c>
      <c r="O67" s="179"/>
      <c r="Q67" s="30">
        <v>2018</v>
      </c>
      <c r="R67" s="36">
        <v>206952.54000000004</v>
      </c>
      <c r="S67" s="37">
        <v>166092.61999999997</v>
      </c>
      <c r="T67" s="37">
        <v>109930.59</v>
      </c>
      <c r="U67" s="37">
        <v>128778.78999999998</v>
      </c>
      <c r="V67" s="37">
        <v>106180.54999999999</v>
      </c>
      <c r="W67" s="37">
        <v>99622.11</v>
      </c>
      <c r="X67" s="37">
        <v>101035.79999999999</v>
      </c>
      <c r="Y67" s="37">
        <v>99792.669999999984</v>
      </c>
      <c r="Z67" s="37">
        <v>82549.41</v>
      </c>
      <c r="AA67" s="37">
        <v>102444.89</v>
      </c>
      <c r="AB67" s="37">
        <v>97777.989999999991</v>
      </c>
      <c r="AC67" s="37">
        <v>108846.93000000001</v>
      </c>
      <c r="AD67" s="35">
        <f>SUM(R67:AC67)</f>
        <v>1410004.8899999997</v>
      </c>
      <c r="AE67" s="179"/>
    </row>
    <row r="68" spans="1:32" ht="15" customHeight="1">
      <c r="A68" s="30">
        <v>2017</v>
      </c>
      <c r="B68" s="33">
        <v>1387517.27</v>
      </c>
      <c r="C68" s="34">
        <v>1100623.3599999999</v>
      </c>
      <c r="D68" s="34">
        <v>639507.97</v>
      </c>
      <c r="E68" s="34">
        <v>351770.44</v>
      </c>
      <c r="F68" s="34">
        <v>722745.53</v>
      </c>
      <c r="G68" s="34">
        <v>561749.43999999994</v>
      </c>
      <c r="H68" s="34">
        <v>234667.34000000003</v>
      </c>
      <c r="I68" s="34">
        <v>226692.00999999998</v>
      </c>
      <c r="J68" s="34">
        <v>151302.42000000004</v>
      </c>
      <c r="K68" s="34">
        <v>191947.44</v>
      </c>
      <c r="L68" s="34">
        <v>120992.3</v>
      </c>
      <c r="M68" s="34">
        <v>102299.43999999997</v>
      </c>
      <c r="N68" s="35">
        <f t="shared" si="28"/>
        <v>5791814.96</v>
      </c>
      <c r="O68" s="179"/>
      <c r="Q68" s="30">
        <v>2017</v>
      </c>
      <c r="R68" s="33">
        <v>193436.87999999995</v>
      </c>
      <c r="S68" s="34">
        <v>117997.42000000004</v>
      </c>
      <c r="T68" s="34">
        <v>150462.67000000001</v>
      </c>
      <c r="U68" s="34">
        <v>96932.030000000013</v>
      </c>
      <c r="V68" s="34">
        <v>121677.33999999997</v>
      </c>
      <c r="W68" s="34">
        <v>123500.8</v>
      </c>
      <c r="X68" s="34">
        <v>96041.549999999988</v>
      </c>
      <c r="Y68" s="34">
        <v>107515.93</v>
      </c>
      <c r="Z68" s="34">
        <v>76873.16</v>
      </c>
      <c r="AA68" s="34">
        <v>100090.94000000002</v>
      </c>
      <c r="AB68" s="34">
        <v>83590.62</v>
      </c>
      <c r="AC68" s="34">
        <v>79535.510000000009</v>
      </c>
      <c r="AD68" s="35">
        <f t="shared" ref="AD68:AD70" si="29">SUM(R68:AC68)</f>
        <v>1347654.8499999999</v>
      </c>
      <c r="AE68" s="179"/>
    </row>
    <row r="69" spans="1:32" ht="15" customHeight="1">
      <c r="A69" s="30">
        <v>2016</v>
      </c>
      <c r="B69" s="36">
        <v>757090.48</v>
      </c>
      <c r="C69" s="37">
        <v>1548851.28</v>
      </c>
      <c r="D69" s="37">
        <v>513351.02999999991</v>
      </c>
      <c r="E69" s="37">
        <v>431176.94</v>
      </c>
      <c r="F69" s="37">
        <v>548503.72</v>
      </c>
      <c r="G69" s="37">
        <v>698724.34000000008</v>
      </c>
      <c r="H69" s="37">
        <v>288170.39</v>
      </c>
      <c r="I69" s="37">
        <v>229862.97000000006</v>
      </c>
      <c r="J69" s="37">
        <v>177442.97999999998</v>
      </c>
      <c r="K69" s="37">
        <v>161900.69999999998</v>
      </c>
      <c r="L69" s="37">
        <v>145665.12999999998</v>
      </c>
      <c r="M69" s="37">
        <v>136265.95000000001</v>
      </c>
      <c r="N69" s="35">
        <f t="shared" si="28"/>
        <v>5637005.9099999992</v>
      </c>
      <c r="O69" s="179"/>
      <c r="Q69" s="30">
        <v>2016</v>
      </c>
      <c r="R69" s="36">
        <v>89292.670000000013</v>
      </c>
      <c r="S69" s="37">
        <v>105477.42000000001</v>
      </c>
      <c r="T69" s="37">
        <v>106145.87</v>
      </c>
      <c r="U69" s="37">
        <v>78402.169999999984</v>
      </c>
      <c r="V69" s="37">
        <v>77389.540000000008</v>
      </c>
      <c r="W69" s="37">
        <v>68020.689999999988</v>
      </c>
      <c r="X69" s="37">
        <v>46338.030000000006</v>
      </c>
      <c r="Y69" s="37">
        <v>50129.029999999992</v>
      </c>
      <c r="Z69" s="37">
        <v>46250.39</v>
      </c>
      <c r="AA69" s="37">
        <v>41660.130000000005</v>
      </c>
      <c r="AB69" s="37">
        <v>49559.899999999994</v>
      </c>
      <c r="AC69" s="37">
        <v>63752.289999999994</v>
      </c>
      <c r="AD69" s="35">
        <f t="shared" si="29"/>
        <v>822418.13000000012</v>
      </c>
      <c r="AE69" s="179"/>
    </row>
    <row r="70" spans="1:32" ht="15" customHeight="1">
      <c r="A70" s="30">
        <v>2015</v>
      </c>
      <c r="B70" s="33">
        <v>779649.06299999997</v>
      </c>
      <c r="C70" s="34">
        <v>1348956.05</v>
      </c>
      <c r="D70" s="34">
        <v>484842.36</v>
      </c>
      <c r="E70" s="34">
        <v>392508.39999999997</v>
      </c>
      <c r="F70" s="34">
        <v>435794.26000000007</v>
      </c>
      <c r="G70" s="34">
        <v>583429.99000000011</v>
      </c>
      <c r="H70" s="34">
        <v>301644.12999999995</v>
      </c>
      <c r="I70" s="34">
        <v>214863.59999999995</v>
      </c>
      <c r="J70" s="34">
        <v>159425.85</v>
      </c>
      <c r="K70" s="34">
        <v>131686.71000000002</v>
      </c>
      <c r="L70" s="34">
        <v>117219.5</v>
      </c>
      <c r="M70" s="34">
        <v>109619.66000000009</v>
      </c>
      <c r="N70" s="35">
        <f t="shared" si="28"/>
        <v>5059639.5729999999</v>
      </c>
      <c r="O70" s="179"/>
      <c r="Q70" s="30">
        <v>2015</v>
      </c>
      <c r="R70" s="33">
        <v>104136.21700000002</v>
      </c>
      <c r="S70" s="34">
        <v>119021.96999999997</v>
      </c>
      <c r="T70" s="34">
        <v>104797.19999999998</v>
      </c>
      <c r="U70" s="34">
        <v>79691.23000000001</v>
      </c>
      <c r="V70" s="34">
        <v>76675.030000000013</v>
      </c>
      <c r="W70" s="34">
        <v>82187.010000000009</v>
      </c>
      <c r="X70" s="34">
        <v>65968.19</v>
      </c>
      <c r="Y70" s="34">
        <v>52624.36</v>
      </c>
      <c r="Z70" s="34">
        <v>43325.85</v>
      </c>
      <c r="AA70" s="34">
        <v>41935.11</v>
      </c>
      <c r="AB70" s="34">
        <v>48309.36</v>
      </c>
      <c r="AC70" s="34">
        <v>43274.869999999995</v>
      </c>
      <c r="AD70" s="35">
        <f t="shared" si="29"/>
        <v>861946.397</v>
      </c>
      <c r="AE70" s="179"/>
    </row>
    <row r="71" spans="1:32" ht="15" customHeight="1">
      <c r="A71" s="203"/>
      <c r="Q71" s="203"/>
    </row>
    <row r="72" spans="1:32" ht="15" customHeight="1">
      <c r="A72" s="30">
        <v>2020</v>
      </c>
      <c r="B72" s="38">
        <f>B65/$N$65</f>
        <v>0.194199753453592</v>
      </c>
      <c r="C72" s="38">
        <f t="shared" ref="C72:M72" si="30">C65/$N$65</f>
        <v>0.23907871582090043</v>
      </c>
      <c r="D72" s="38">
        <f t="shared" si="30"/>
        <v>0.12008870995320289</v>
      </c>
      <c r="E72" s="38">
        <f t="shared" si="30"/>
        <v>4.9264779230376858E-2</v>
      </c>
      <c r="F72" s="38">
        <f t="shared" si="30"/>
        <v>4.1448396001214104E-2</v>
      </c>
      <c r="G72" s="38">
        <f t="shared" si="30"/>
        <v>6.4474852846502118E-2</v>
      </c>
      <c r="H72" s="38">
        <f t="shared" si="30"/>
        <v>7.7520447029258435E-2</v>
      </c>
      <c r="I72" s="38">
        <f t="shared" si="30"/>
        <v>0.10604859442853305</v>
      </c>
      <c r="J72" s="38">
        <f t="shared" si="30"/>
        <v>3.573524495428794E-2</v>
      </c>
      <c r="K72" s="38">
        <f t="shared" si="30"/>
        <v>1.5814400393708832E-2</v>
      </c>
      <c r="L72" s="38">
        <f t="shared" si="30"/>
        <v>2.7312186072055978E-2</v>
      </c>
      <c r="M72" s="38">
        <f t="shared" si="30"/>
        <v>2.9013919816367237E-2</v>
      </c>
      <c r="N72" s="209" t="b">
        <f>SUM(B72:M72)=100%</f>
        <v>1</v>
      </c>
      <c r="Q72" s="30">
        <v>2020</v>
      </c>
      <c r="R72" s="38">
        <f>R65/$AD$65</f>
        <v>0.14994529178689747</v>
      </c>
      <c r="S72" s="38">
        <f t="shared" ref="S72:AC72" si="31">S65/$AD$65</f>
        <v>0.11764089026220304</v>
      </c>
      <c r="T72" s="38">
        <f t="shared" si="31"/>
        <v>0.11037424653581011</v>
      </c>
      <c r="U72" s="38">
        <f t="shared" si="31"/>
        <v>5.4781132106581566E-2</v>
      </c>
      <c r="V72" s="38">
        <f t="shared" si="31"/>
        <v>5.0118763269909293E-2</v>
      </c>
      <c r="W72" s="38">
        <f t="shared" si="31"/>
        <v>6.7858057203750863E-2</v>
      </c>
      <c r="X72" s="38">
        <f t="shared" si="31"/>
        <v>7.7692961060095517E-2</v>
      </c>
      <c r="Y72" s="38">
        <f t="shared" si="31"/>
        <v>7.3528291578753416E-2</v>
      </c>
      <c r="Z72" s="38">
        <f t="shared" si="31"/>
        <v>6.4983982935342618E-2</v>
      </c>
      <c r="AA72" s="38">
        <f t="shared" si="31"/>
        <v>9.6996666310357887E-2</v>
      </c>
      <c r="AB72" s="38">
        <f t="shared" si="31"/>
        <v>6.0125815149940851E-2</v>
      </c>
      <c r="AC72" s="38">
        <f t="shared" si="31"/>
        <v>7.5953901800357382E-2</v>
      </c>
      <c r="AD72" s="209" t="b">
        <f>SUM(R72:AC72)=100%</f>
        <v>1</v>
      </c>
    </row>
    <row r="73" spans="1:32" ht="15" customHeight="1">
      <c r="A73" s="30">
        <v>2019</v>
      </c>
      <c r="B73" s="38">
        <f>B66/$N$66</f>
        <v>0.15331119612525518</v>
      </c>
      <c r="C73" s="38">
        <f t="shared" ref="C73:M73" si="32">C66/$N$66</f>
        <v>0.22672985707978627</v>
      </c>
      <c r="D73" s="38">
        <f t="shared" si="32"/>
        <v>7.9800343111673611E-2</v>
      </c>
      <c r="E73" s="38">
        <f t="shared" si="32"/>
        <v>9.1060763233552958E-2</v>
      </c>
      <c r="F73" s="38">
        <f t="shared" si="32"/>
        <v>0.11019236399467371</v>
      </c>
      <c r="G73" s="38">
        <f t="shared" si="32"/>
        <v>0.10770429347102198</v>
      </c>
      <c r="H73" s="38">
        <f t="shared" si="32"/>
        <v>5.4133155594742258E-2</v>
      </c>
      <c r="I73" s="38">
        <f t="shared" si="32"/>
        <v>3.8735251802921686E-2</v>
      </c>
      <c r="J73" s="38">
        <f t="shared" si="32"/>
        <v>3.5098634987294361E-2</v>
      </c>
      <c r="K73" s="38">
        <f t="shared" si="32"/>
        <v>3.6908226385033896E-2</v>
      </c>
      <c r="L73" s="38">
        <f t="shared" si="32"/>
        <v>3.2307077545345841E-2</v>
      </c>
      <c r="M73" s="38">
        <f t="shared" si="32"/>
        <v>3.4018836668698434E-2</v>
      </c>
      <c r="N73" s="209" t="b">
        <f t="shared" ref="N73:N78" si="33">SUM(B73:M73)=100%</f>
        <v>1</v>
      </c>
      <c r="Q73" s="30">
        <v>2019</v>
      </c>
      <c r="R73" s="38">
        <f>R66/$AD$66</f>
        <v>8.4124260238016432E-2</v>
      </c>
      <c r="S73" s="38">
        <f t="shared" ref="S73:AC73" si="34">S66/$AD$66</f>
        <v>8.8323004204593991E-2</v>
      </c>
      <c r="T73" s="38">
        <f t="shared" si="34"/>
        <v>6.2981837415217123E-2</v>
      </c>
      <c r="U73" s="38">
        <f t="shared" si="34"/>
        <v>7.2393895262538491E-2</v>
      </c>
      <c r="V73" s="38">
        <f t="shared" si="34"/>
        <v>6.7072361973368355E-2</v>
      </c>
      <c r="W73" s="38">
        <f t="shared" si="34"/>
        <v>5.7371108912011845E-2</v>
      </c>
      <c r="X73" s="38">
        <f t="shared" si="34"/>
        <v>0.10582764305796882</v>
      </c>
      <c r="Y73" s="38">
        <f t="shared" si="34"/>
        <v>0.11410341306779147</v>
      </c>
      <c r="Z73" s="38">
        <f t="shared" si="34"/>
        <v>8.5000040694931944E-2</v>
      </c>
      <c r="AA73" s="38">
        <f t="shared" si="34"/>
        <v>9.5662431882795176E-2</v>
      </c>
      <c r="AB73" s="38">
        <f t="shared" si="34"/>
        <v>7.1922531907309017E-2</v>
      </c>
      <c r="AC73" s="38">
        <f t="shared" si="34"/>
        <v>9.5217471383457458E-2</v>
      </c>
      <c r="AD73" s="209" t="b">
        <f t="shared" ref="AD73:AD78" si="35">SUM(R73:AC73)=100%</f>
        <v>1</v>
      </c>
    </row>
    <row r="74" spans="1:32" ht="15" customHeight="1">
      <c r="A74" s="30">
        <v>2018</v>
      </c>
      <c r="B74" s="38">
        <f>B67/N67</f>
        <v>0.19950141252533288</v>
      </c>
      <c r="C74" s="39">
        <f>C67/N67</f>
        <v>0.19821810603121112</v>
      </c>
      <c r="D74" s="39">
        <f>D67/N67</f>
        <v>9.5872272327839181E-2</v>
      </c>
      <c r="E74" s="39">
        <f>E67/N67</f>
        <v>0.10612610645451598</v>
      </c>
      <c r="F74" s="39">
        <f>F67/N67</f>
        <v>0.10979838645123791</v>
      </c>
      <c r="G74" s="39">
        <f>G67/N67</f>
        <v>0.11319252055948358</v>
      </c>
      <c r="H74" s="39">
        <f>H67/N67</f>
        <v>3.8693524479070721E-2</v>
      </c>
      <c r="I74" s="39">
        <f>I67/N67</f>
        <v>3.611722478606199E-2</v>
      </c>
      <c r="J74" s="39">
        <f>J67/N67</f>
        <v>2.7274887443886928E-2</v>
      </c>
      <c r="K74" s="39">
        <f>K67/N67</f>
        <v>2.9162512004439613E-2</v>
      </c>
      <c r="L74" s="39">
        <f>L67/N67</f>
        <v>2.3972334384881094E-2</v>
      </c>
      <c r="M74" s="39">
        <f>M67/N67</f>
        <v>2.2070712552038789E-2</v>
      </c>
      <c r="N74" s="209" t="b">
        <f t="shared" si="33"/>
        <v>1</v>
      </c>
      <c r="O74" t="s">
        <v>223</v>
      </c>
      <c r="Q74" s="30">
        <v>2018</v>
      </c>
      <c r="R74" s="38">
        <f>R67/AD67</f>
        <v>0.14677434203792022</v>
      </c>
      <c r="S74" s="39">
        <f>S67/AD67</f>
        <v>0.11779577587138723</v>
      </c>
      <c r="T74" s="39">
        <f>T67/AD67</f>
        <v>7.7964687058638515E-2</v>
      </c>
      <c r="U74" s="39">
        <f>U67/AD67</f>
        <v>9.1332158429606583E-2</v>
      </c>
      <c r="V74" s="39">
        <f>V67/AD67</f>
        <v>7.5305093445456078E-2</v>
      </c>
      <c r="W74" s="39">
        <f>W67/AD67</f>
        <v>7.0653733690242748E-2</v>
      </c>
      <c r="X74" s="39">
        <f>X67/AD67</f>
        <v>7.1656347234370241E-2</v>
      </c>
      <c r="Y74" s="39">
        <f>Y67/AD67</f>
        <v>7.077469780973597E-2</v>
      </c>
      <c r="Z74" s="39">
        <f>Z67/AD67</f>
        <v>5.8545477810364205E-2</v>
      </c>
      <c r="AA74" s="39">
        <f>AA67/AD67</f>
        <v>7.2655698378464501E-2</v>
      </c>
      <c r="AB74" s="39">
        <f>AB67/AD67</f>
        <v>6.9345851701266101E-2</v>
      </c>
      <c r="AC74" s="39">
        <f>AC67/AD67</f>
        <v>7.7196136532547796E-2</v>
      </c>
      <c r="AD74" s="209" t="b">
        <f t="shared" si="35"/>
        <v>1</v>
      </c>
    </row>
    <row r="75" spans="1:32" ht="15" customHeight="1">
      <c r="A75" s="30">
        <v>2017</v>
      </c>
      <c r="B75" s="38">
        <f>B68/N68</f>
        <v>0.23956519322226413</v>
      </c>
      <c r="C75" s="39">
        <f>C68/N68</f>
        <v>0.19003082239353861</v>
      </c>
      <c r="D75" s="39">
        <f>D68/N68</f>
        <v>0.11041581514890109</v>
      </c>
      <c r="E75" s="39">
        <f>E68/N68</f>
        <v>6.0735787042478305E-2</v>
      </c>
      <c r="F75" s="39">
        <f>F68/N68</f>
        <v>0.12478739997591361</v>
      </c>
      <c r="G75" s="39">
        <f>G68/N68</f>
        <v>9.6990225668397378E-2</v>
      </c>
      <c r="H75" s="39">
        <f>H68/N68</f>
        <v>4.0517064447100369E-2</v>
      </c>
      <c r="I75" s="39">
        <f>I68/N68</f>
        <v>3.9140064308960588E-2</v>
      </c>
      <c r="J75" s="39">
        <f>J68/N68</f>
        <v>2.6123489967296892E-2</v>
      </c>
      <c r="K75" s="39">
        <f>K68/N68</f>
        <v>3.3141155462604766E-2</v>
      </c>
      <c r="L75" s="39">
        <f>L68/N68</f>
        <v>2.0890221948665293E-2</v>
      </c>
      <c r="M75" s="39">
        <f>M68/N68</f>
        <v>1.7662760413878965E-2</v>
      </c>
      <c r="N75" s="209" t="b">
        <f t="shared" si="33"/>
        <v>1</v>
      </c>
      <c r="Q75" s="30">
        <v>2017</v>
      </c>
      <c r="R75" s="38">
        <f>R68/AD68</f>
        <v>0.14353592093702625</v>
      </c>
      <c r="S75" s="39">
        <f>S68/AD68</f>
        <v>8.7557596813457136E-2</v>
      </c>
      <c r="T75" s="39">
        <f>T68/AD68</f>
        <v>0.11164777836105441</v>
      </c>
      <c r="U75" s="39">
        <f>U68/AD68</f>
        <v>7.1926450604173631E-2</v>
      </c>
      <c r="V75" s="39">
        <f>V68/AD68</f>
        <v>9.0288206954473524E-2</v>
      </c>
      <c r="W75" s="39">
        <f>W68/AD68</f>
        <v>9.1641268534001868E-2</v>
      </c>
      <c r="X75" s="39">
        <f>X68/AD68</f>
        <v>7.1265687946732062E-2</v>
      </c>
      <c r="Y75" s="39">
        <f>Y68/AD68</f>
        <v>7.9780019342489655E-2</v>
      </c>
      <c r="Z75" s="39">
        <f>Z68/AD68</f>
        <v>5.7042172185259463E-2</v>
      </c>
      <c r="AA75" s="39">
        <f>AA68/AD68</f>
        <v>7.4270455821830061E-2</v>
      </c>
      <c r="AB75" s="39">
        <f>AB68/AD68</f>
        <v>6.2026727392403183E-2</v>
      </c>
      <c r="AC75" s="39">
        <f>AC68/AD68</f>
        <v>5.9017715107098835E-2</v>
      </c>
      <c r="AD75" s="209" t="b">
        <f t="shared" si="35"/>
        <v>1</v>
      </c>
    </row>
    <row r="76" spans="1:32" ht="15" customHeight="1">
      <c r="A76" s="30">
        <v>2016</v>
      </c>
      <c r="B76" s="38">
        <f>B69/N69</f>
        <v>0.13430719997240523</v>
      </c>
      <c r="C76" s="39">
        <f>C69/N69</f>
        <v>0.2747648848925901</v>
      </c>
      <c r="D76" s="39">
        <f>D69/N69</f>
        <v>9.1068031184661294E-2</v>
      </c>
      <c r="E76" s="39">
        <f>E69/N69</f>
        <v>7.6490418297255267E-2</v>
      </c>
      <c r="F76" s="39">
        <f>F69/N69</f>
        <v>9.7304088155550653E-2</v>
      </c>
      <c r="G76" s="39">
        <f>G69/N69</f>
        <v>0.12395309693759043</v>
      </c>
      <c r="H76" s="39">
        <f>H69/N69</f>
        <v>5.1121179328336035E-2</v>
      </c>
      <c r="I76" s="39">
        <f>I69/N69</f>
        <v>4.0777493171015693E-2</v>
      </c>
      <c r="J76" s="39">
        <f>J69/N69</f>
        <v>3.1478232031869557E-2</v>
      </c>
      <c r="K76" s="39">
        <f>K69/N69</f>
        <v>2.8721044927909258E-2</v>
      </c>
      <c r="L76" s="39">
        <f>L69/N69</f>
        <v>2.5840868774253244E-2</v>
      </c>
      <c r="M76" s="39">
        <f>M69/N69</f>
        <v>2.4173462326563363E-2</v>
      </c>
      <c r="N76" s="209" t="b">
        <f t="shared" si="33"/>
        <v>1</v>
      </c>
      <c r="Q76" s="30">
        <v>2016</v>
      </c>
      <c r="R76" s="38">
        <f>R69/AD69</f>
        <v>0.10857332388817839</v>
      </c>
      <c r="S76" s="39">
        <f>S69/AD69</f>
        <v>0.12825279034157477</v>
      </c>
      <c r="T76" s="39">
        <f>T69/AD69</f>
        <v>0.12906557641184294</v>
      </c>
      <c r="U76" s="39">
        <f>U69/AD69</f>
        <v>9.5331276318045138E-2</v>
      </c>
      <c r="V76" s="39">
        <f>V69/AD69</f>
        <v>9.4099992664315416E-2</v>
      </c>
      <c r="W76" s="39">
        <f>W69/AD69</f>
        <v>8.2708159655964758E-2</v>
      </c>
      <c r="X76" s="39">
        <f>X69/AD69</f>
        <v>5.6343638727905959E-2</v>
      </c>
      <c r="Y76" s="39">
        <f>Y69/AD69</f>
        <v>6.0953216097023526E-2</v>
      </c>
      <c r="Z76" s="39">
        <f>Z69/AD69</f>
        <v>5.6237074929269854E-2</v>
      </c>
      <c r="AA76" s="39">
        <f>AA69/AD69</f>
        <v>5.0655656144156257E-2</v>
      </c>
      <c r="AB76" s="39">
        <f>AB69/AD69</f>
        <v>6.0261195846934922E-2</v>
      </c>
      <c r="AC76" s="39">
        <f>AC69/AD69</f>
        <v>7.7518098974787897E-2</v>
      </c>
      <c r="AD76" s="209" t="b">
        <f t="shared" si="35"/>
        <v>1</v>
      </c>
    </row>
    <row r="77" spans="1:32" ht="15" customHeight="1">
      <c r="A77" s="30">
        <v>2015</v>
      </c>
      <c r="B77" s="38">
        <f>B70/N70</f>
        <v>0.1540918185478031</v>
      </c>
      <c r="C77" s="39">
        <f>C70/N70</f>
        <v>0.26661109562003182</v>
      </c>
      <c r="D77" s="39">
        <f>D70/N70</f>
        <v>9.5825473930453028E-2</v>
      </c>
      <c r="E77" s="39">
        <f>E70/N70</f>
        <v>7.7576355852413195E-2</v>
      </c>
      <c r="F77" s="39">
        <f>F70/N70</f>
        <v>8.6131483026093428E-2</v>
      </c>
      <c r="G77" s="39">
        <f>G70/N70</f>
        <v>0.11531058321098323</v>
      </c>
      <c r="H77" s="39">
        <f>H70/N70</f>
        <v>5.9617711034137322E-2</v>
      </c>
      <c r="I77" s="39">
        <f>I70/N70</f>
        <v>4.2466186948688402E-2</v>
      </c>
      <c r="J77" s="39">
        <f>J70/N70</f>
        <v>3.1509329409697855E-2</v>
      </c>
      <c r="K77" s="39">
        <f>K70/N70</f>
        <v>2.6026895414196338E-2</v>
      </c>
      <c r="L77" s="39">
        <f>L70/N70</f>
        <v>2.3167559330811646E-2</v>
      </c>
      <c r="M77" s="39">
        <f>M70/N70</f>
        <v>2.1665507674690665E-2</v>
      </c>
      <c r="N77" s="209" t="b">
        <f t="shared" si="33"/>
        <v>1</v>
      </c>
      <c r="Q77" s="30">
        <v>2015</v>
      </c>
      <c r="R77" s="38">
        <f>R70/AD70</f>
        <v>0.120815189160771</v>
      </c>
      <c r="S77" s="39">
        <f>S70/AD70</f>
        <v>0.13808511807028295</v>
      </c>
      <c r="T77" s="39">
        <f>T70/AD70</f>
        <v>0.12158203847100713</v>
      </c>
      <c r="U77" s="39">
        <f>U70/AD70</f>
        <v>9.2454971999842359E-2</v>
      </c>
      <c r="V77" s="39">
        <f>V70/AD70</f>
        <v>8.8955682472677031E-2</v>
      </c>
      <c r="W77" s="39">
        <f>W70/AD70</f>
        <v>9.5350488482870255E-2</v>
      </c>
      <c r="X77" s="39">
        <f>X70/AD70</f>
        <v>7.6533981961757661E-2</v>
      </c>
      <c r="Y77" s="39">
        <f>Y70/AD70</f>
        <v>6.1052938074987975E-2</v>
      </c>
      <c r="Z77" s="39">
        <f>Z70/AD70</f>
        <v>5.0265132670425212E-2</v>
      </c>
      <c r="AA77" s="39">
        <f>AA70/AD70</f>
        <v>4.8651644865568132E-2</v>
      </c>
      <c r="AB77" s="39">
        <f>AB70/AD70</f>
        <v>5.6046826308620214E-2</v>
      </c>
      <c r="AC77" s="39">
        <f>AC70/AD70</f>
        <v>5.0205987461190114E-2</v>
      </c>
      <c r="AD77" s="209" t="b">
        <f t="shared" si="35"/>
        <v>1</v>
      </c>
    </row>
    <row r="78" spans="1:32" ht="15" customHeight="1">
      <c r="A78" s="30" t="s">
        <v>457</v>
      </c>
      <c r="B78" s="40">
        <f>AVERAGE(B73:B75)</f>
        <v>0.19745926729095073</v>
      </c>
      <c r="C78" s="40">
        <f t="shared" ref="C78:M78" si="36">AVERAGE(C73:C75)</f>
        <v>0.20499292850151199</v>
      </c>
      <c r="D78" s="40">
        <f t="shared" si="36"/>
        <v>9.5362810196137959E-2</v>
      </c>
      <c r="E78" s="40">
        <f t="shared" si="36"/>
        <v>8.5974218910182407E-2</v>
      </c>
      <c r="F78" s="40">
        <f t="shared" si="36"/>
        <v>0.1149260501406084</v>
      </c>
      <c r="G78" s="40">
        <f t="shared" si="36"/>
        <v>0.10596234656630098</v>
      </c>
      <c r="H78" s="40">
        <f t="shared" si="36"/>
        <v>4.4447914840304449E-2</v>
      </c>
      <c r="I78" s="40">
        <f t="shared" si="36"/>
        <v>3.7997513632648083E-2</v>
      </c>
      <c r="J78" s="40">
        <f t="shared" si="36"/>
        <v>2.9499004132826061E-2</v>
      </c>
      <c r="K78" s="40">
        <f t="shared" si="36"/>
        <v>3.307063128402609E-2</v>
      </c>
      <c r="L78" s="40">
        <f t="shared" si="36"/>
        <v>2.5723211292964076E-2</v>
      </c>
      <c r="M78" s="40">
        <f t="shared" si="36"/>
        <v>2.4584103211538727E-2</v>
      </c>
      <c r="N78" s="209" t="b">
        <f t="shared" si="33"/>
        <v>1</v>
      </c>
      <c r="Q78" s="30" t="s">
        <v>457</v>
      </c>
      <c r="R78" s="40">
        <f>AVERAGE(R73:R75)</f>
        <v>0.1248115077376543</v>
      </c>
      <c r="S78" s="40">
        <f t="shared" ref="S78:AC78" si="37">AVERAGE(S73:S75)</f>
        <v>9.7892125629812796E-2</v>
      </c>
      <c r="T78" s="40">
        <f t="shared" si="37"/>
        <v>8.4198100944970003E-2</v>
      </c>
      <c r="U78" s="40">
        <f t="shared" si="37"/>
        <v>7.8550834765439573E-2</v>
      </c>
      <c r="V78" s="40">
        <f t="shared" si="37"/>
        <v>7.7555220791099319E-2</v>
      </c>
      <c r="W78" s="40">
        <f t="shared" si="37"/>
        <v>7.3222037045418825E-2</v>
      </c>
      <c r="X78" s="40">
        <f t="shared" si="37"/>
        <v>8.2916559413023713E-2</v>
      </c>
      <c r="Y78" s="40">
        <f t="shared" si="37"/>
        <v>8.8219376740005684E-2</v>
      </c>
      <c r="Z78" s="40">
        <f t="shared" si="37"/>
        <v>6.6862563563518537E-2</v>
      </c>
      <c r="AA78" s="40">
        <f t="shared" si="37"/>
        <v>8.0862862027696589E-2</v>
      </c>
      <c r="AB78" s="40">
        <f t="shared" si="37"/>
        <v>6.77650370003261E-2</v>
      </c>
      <c r="AC78" s="40">
        <f t="shared" si="37"/>
        <v>7.7143774341034685E-2</v>
      </c>
      <c r="AD78" s="209" t="b">
        <f t="shared" si="35"/>
        <v>1</v>
      </c>
    </row>
    <row r="79" spans="1:32" ht="15" customHeight="1">
      <c r="B79" s="42"/>
      <c r="C79" s="42"/>
      <c r="D79" s="42"/>
      <c r="E79" s="42"/>
      <c r="F79" s="42"/>
      <c r="G79" s="42"/>
      <c r="H79" s="42"/>
      <c r="I79" s="42"/>
      <c r="J79" s="42"/>
      <c r="K79" s="42"/>
      <c r="L79" s="42"/>
      <c r="M79" s="42"/>
      <c r="R79" s="42"/>
      <c r="S79" s="42"/>
      <c r="T79" s="42"/>
      <c r="U79" s="42"/>
      <c r="V79" s="42"/>
      <c r="W79" s="42"/>
      <c r="X79" s="42"/>
      <c r="Y79" s="42"/>
      <c r="Z79" s="42"/>
      <c r="AA79" s="42"/>
      <c r="AB79" s="42"/>
      <c r="AC79" s="42"/>
    </row>
    <row r="80" spans="1:32" ht="15" customHeight="1">
      <c r="B80" s="30" t="s">
        <v>457</v>
      </c>
      <c r="C80" s="30">
        <v>2020</v>
      </c>
      <c r="D80" s="30">
        <v>2019</v>
      </c>
      <c r="E80" s="30">
        <v>2018</v>
      </c>
      <c r="F80" s="30">
        <v>2017</v>
      </c>
      <c r="G80" s="30">
        <v>2016</v>
      </c>
      <c r="H80" s="30">
        <v>2015</v>
      </c>
      <c r="R80" s="30" t="s">
        <v>457</v>
      </c>
      <c r="S80" s="30">
        <v>2020</v>
      </c>
      <c r="T80" s="30">
        <v>2019</v>
      </c>
      <c r="U80" s="30">
        <v>2018</v>
      </c>
      <c r="V80" s="30">
        <v>2017</v>
      </c>
      <c r="W80" s="30">
        <v>2016</v>
      </c>
      <c r="X80" s="30">
        <v>2015</v>
      </c>
    </row>
    <row r="81" spans="1:32" ht="15" customHeight="1">
      <c r="A81" s="30" t="s">
        <v>130</v>
      </c>
      <c r="B81" s="43">
        <f>B78</f>
        <v>0.19745926729095073</v>
      </c>
      <c r="C81" s="44">
        <f>B72</f>
        <v>0.194199753453592</v>
      </c>
      <c r="D81" s="44">
        <f>B73</f>
        <v>0.15331119612525518</v>
      </c>
      <c r="E81" s="44">
        <f>B74</f>
        <v>0.19950141252533288</v>
      </c>
      <c r="F81" s="44">
        <f>B75</f>
        <v>0.23956519322226413</v>
      </c>
      <c r="G81" s="44">
        <f>B76</f>
        <v>0.13430719997240523</v>
      </c>
      <c r="H81" s="44">
        <f>B77</f>
        <v>0.1540918185478031</v>
      </c>
      <c r="Q81" s="30" t="s">
        <v>130</v>
      </c>
      <c r="R81" s="43">
        <f>R78</f>
        <v>0.1248115077376543</v>
      </c>
      <c r="S81" s="44">
        <f>R72</f>
        <v>0.14994529178689747</v>
      </c>
      <c r="T81" s="44">
        <f>R73</f>
        <v>8.4124260238016432E-2</v>
      </c>
      <c r="U81" s="44">
        <f>R74</f>
        <v>0.14677434203792022</v>
      </c>
      <c r="V81" s="44">
        <f>R75</f>
        <v>0.14353592093702625</v>
      </c>
      <c r="W81" s="44">
        <f>R76</f>
        <v>0.10857332388817839</v>
      </c>
      <c r="X81" s="44">
        <f>R77</f>
        <v>0.120815189160771</v>
      </c>
    </row>
    <row r="82" spans="1:32" ht="15" customHeight="1">
      <c r="A82" s="30" t="s">
        <v>131</v>
      </c>
      <c r="B82" s="43">
        <f>B78+C78</f>
        <v>0.40245219579246272</v>
      </c>
      <c r="C82" s="44">
        <f>SUM(B72:C72)</f>
        <v>0.43327846927449243</v>
      </c>
      <c r="D82" s="44">
        <f>SUM(B73:C73)</f>
        <v>0.38004105320504145</v>
      </c>
      <c r="E82" s="44">
        <f>SUM(B74:C74)</f>
        <v>0.39771951855654397</v>
      </c>
      <c r="F82" s="44">
        <f>SUM(B75:C75)</f>
        <v>0.42959601561580274</v>
      </c>
      <c r="G82" s="44">
        <f>SUM(B76:C76)</f>
        <v>0.40907208486499536</v>
      </c>
      <c r="H82" s="44">
        <f>SUM(B77:C77)</f>
        <v>0.4207029141678349</v>
      </c>
      <c r="Q82" s="30" t="s">
        <v>131</v>
      </c>
      <c r="R82" s="43">
        <f>R78+S78</f>
        <v>0.2227036333674671</v>
      </c>
      <c r="S82" s="44">
        <f>SUM(R72:S72)</f>
        <v>0.26758618204910051</v>
      </c>
      <c r="T82" s="44">
        <f>SUM(R73:S73)</f>
        <v>0.17244726444261044</v>
      </c>
      <c r="U82" s="44">
        <f>SUM(R74:S74)</f>
        <v>0.26457011790930746</v>
      </c>
      <c r="V82" s="44">
        <f>SUM(R75:S75)</f>
        <v>0.23109351775048337</v>
      </c>
      <c r="W82" s="44">
        <f>SUM(R76:S76)</f>
        <v>0.23682611422975317</v>
      </c>
      <c r="X82" s="44">
        <f>SUM(R77:S77)</f>
        <v>0.25890030723105395</v>
      </c>
    </row>
    <row r="83" spans="1:32" ht="15" customHeight="1">
      <c r="A83" s="30" t="s">
        <v>132</v>
      </c>
      <c r="B83" s="40">
        <f>B78+C78+D78</f>
        <v>0.49781500598860068</v>
      </c>
      <c r="C83" s="41">
        <f>SUM(B72:D72)</f>
        <v>0.55336717922769529</v>
      </c>
      <c r="D83" s="41">
        <f>SUM(B73:D73)</f>
        <v>0.45984139631671506</v>
      </c>
      <c r="E83" s="41">
        <f>SUM(B74:D74)</f>
        <v>0.49359179088438315</v>
      </c>
      <c r="F83" s="41">
        <f>SUM(B75:D75)</f>
        <v>0.54001183076470383</v>
      </c>
      <c r="G83" s="41">
        <f>SUM(B76:D76)</f>
        <v>0.50014011604965669</v>
      </c>
      <c r="H83" s="41">
        <f>SUM(B77:D77)</f>
        <v>0.51652838809828794</v>
      </c>
      <c r="Q83" s="30" t="s">
        <v>132</v>
      </c>
      <c r="R83" s="40">
        <f>R78+S78+T78</f>
        <v>0.30690173431243711</v>
      </c>
      <c r="S83" s="41">
        <f>SUM(R72:T72)</f>
        <v>0.37796042858491063</v>
      </c>
      <c r="T83" s="41">
        <f>SUM(R73:T73)</f>
        <v>0.23542910185782756</v>
      </c>
      <c r="U83" s="41">
        <f>SUM(R74:T74)</f>
        <v>0.34253480496794597</v>
      </c>
      <c r="V83" s="41">
        <f>SUM(R75:T75)</f>
        <v>0.34274129611153781</v>
      </c>
      <c r="W83" s="41">
        <f>SUM(R76:T76)</f>
        <v>0.3658916906415961</v>
      </c>
      <c r="X83" s="41">
        <f>SUM(R77:T77)</f>
        <v>0.38048234570206108</v>
      </c>
    </row>
    <row r="84" spans="1:32" ht="15" customHeight="1">
      <c r="A84" s="30" t="s">
        <v>133</v>
      </c>
      <c r="B84" s="40">
        <f>B78+C78+D78+E78</f>
        <v>0.58378922489878304</v>
      </c>
      <c r="C84" s="41">
        <f>SUM(B72:E72)</f>
        <v>0.60263195845807216</v>
      </c>
      <c r="D84" s="41">
        <f>SUM(B73:E73)</f>
        <v>0.550902159550268</v>
      </c>
      <c r="E84" s="41">
        <f>SUM(B74:E74)</f>
        <v>0.59971789733889913</v>
      </c>
      <c r="F84" s="41">
        <f>SUM(B75:E75)</f>
        <v>0.60074761780718211</v>
      </c>
      <c r="G84" s="41">
        <f>SUM(B76:E76)</f>
        <v>0.57663053434691192</v>
      </c>
      <c r="H84" s="41">
        <f>SUM(B77:E77)</f>
        <v>0.59410474395070112</v>
      </c>
      <c r="Q84" s="30" t="s">
        <v>133</v>
      </c>
      <c r="R84" s="40">
        <f>R78+S78+T78+U78</f>
        <v>0.38545256907787667</v>
      </c>
      <c r="S84" s="41">
        <f>SUM(R72:U72)</f>
        <v>0.43274156069149222</v>
      </c>
      <c r="T84" s="41">
        <f>SUM(R73:U73)</f>
        <v>0.30782299712036604</v>
      </c>
      <c r="U84" s="41">
        <f>SUM(R74:U74)</f>
        <v>0.43386696339755254</v>
      </c>
      <c r="V84" s="41">
        <f>SUM(R75:U75)</f>
        <v>0.41466774671571144</v>
      </c>
      <c r="W84" s="41">
        <f>SUM(R76:U76)</f>
        <v>0.46122296695964127</v>
      </c>
      <c r="X84" s="41">
        <f>SUM(R77:U77)</f>
        <v>0.47293731770190345</v>
      </c>
    </row>
    <row r="85" spans="1:32" ht="15" customHeight="1">
      <c r="A85" s="30" t="s">
        <v>134</v>
      </c>
      <c r="B85" s="40">
        <f>B78+C78+D78+E78+F78</f>
        <v>0.69871527503939146</v>
      </c>
      <c r="C85" s="41">
        <f>SUM(B72:F72)</f>
        <v>0.64408035445928624</v>
      </c>
      <c r="D85" s="41">
        <f>SUM(B73:F73)</f>
        <v>0.66109452354494169</v>
      </c>
      <c r="E85" s="41">
        <f>SUM(B74:F74)</f>
        <v>0.70951628379013698</v>
      </c>
      <c r="F85" s="41">
        <f>SUM(B75:F75)</f>
        <v>0.7255350177830957</v>
      </c>
      <c r="G85" s="41">
        <f>SUM(B76:F76)</f>
        <v>0.67393462250246261</v>
      </c>
      <c r="H85" s="41">
        <f>SUM(B77:F77)</f>
        <v>0.68023622697679453</v>
      </c>
      <c r="Q85" s="30" t="s">
        <v>134</v>
      </c>
      <c r="R85" s="40">
        <f>R78+S78+T78+U78+V78</f>
        <v>0.46300778986897601</v>
      </c>
      <c r="S85" s="41">
        <f>SUM(R72:V72)</f>
        <v>0.48286032396140149</v>
      </c>
      <c r="T85" s="41">
        <f>SUM(R73:V73)</f>
        <v>0.37489535909373439</v>
      </c>
      <c r="U85" s="41">
        <f>SUM(R74:V74)</f>
        <v>0.50917205684300859</v>
      </c>
      <c r="V85" s="41">
        <f>SUM(R75:V75)</f>
        <v>0.50495595367018498</v>
      </c>
      <c r="W85" s="41">
        <f>SUM(R76:V76)</f>
        <v>0.55532295962395672</v>
      </c>
      <c r="X85" s="41">
        <f>SUM(R77:V77)</f>
        <v>0.56189300017458044</v>
      </c>
    </row>
    <row r="86" spans="1:32" ht="15" customHeight="1">
      <c r="A86" s="30" t="s">
        <v>135</v>
      </c>
      <c r="B86" s="40">
        <f>B78+C78+D78+E78+F78+G78</f>
        <v>0.80467762160569245</v>
      </c>
      <c r="C86" s="41">
        <f>SUM(B72:G72)</f>
        <v>0.70855520730578836</v>
      </c>
      <c r="D86" s="41">
        <f>SUM(B73:G73)</f>
        <v>0.76879881701596364</v>
      </c>
      <c r="E86" s="41">
        <f>SUM(B74:G74)</f>
        <v>0.82270880434962057</v>
      </c>
      <c r="F86" s="41">
        <f>SUM(B75:G75)</f>
        <v>0.82252524345149314</v>
      </c>
      <c r="G86" s="41">
        <f>SUM(B76:G76)</f>
        <v>0.7978877194400531</v>
      </c>
      <c r="H86" s="41">
        <f>SUM(B77:G77)</f>
        <v>0.79554681018777773</v>
      </c>
      <c r="Q86" s="30" t="s">
        <v>135</v>
      </c>
      <c r="R86" s="40">
        <f>R78+S78+T78+U78+V78+W78</f>
        <v>0.5362298269143948</v>
      </c>
      <c r="S86" s="41">
        <f>SUM(R72:W72)</f>
        <v>0.55071838116515237</v>
      </c>
      <c r="T86" s="41">
        <f>SUM(R73:W73)</f>
        <v>0.43226646800574625</v>
      </c>
      <c r="U86" s="41">
        <f>SUM(R74:W74)</f>
        <v>0.57982579053325134</v>
      </c>
      <c r="V86" s="41">
        <f>SUM(R75:W75)</f>
        <v>0.59659722220418687</v>
      </c>
      <c r="W86" s="41">
        <f>SUM(R76:W76)</f>
        <v>0.63803111927992151</v>
      </c>
      <c r="X86" s="41">
        <f>SUM(R77:W77)</f>
        <v>0.65724348865745075</v>
      </c>
    </row>
    <row r="87" spans="1:32" ht="15" customHeight="1">
      <c r="A87" s="30" t="s">
        <v>136</v>
      </c>
      <c r="B87" s="40">
        <f>B78+C78+D78+E78+F78+G78+H78</f>
        <v>0.84912553644599686</v>
      </c>
      <c r="C87" s="41">
        <f>SUM(B72:H72)</f>
        <v>0.78607565433504678</v>
      </c>
      <c r="D87" s="41">
        <f>SUM(B73:H73)</f>
        <v>0.82293197261070594</v>
      </c>
      <c r="E87" s="41">
        <f>SUM(B74:H74)</f>
        <v>0.86140232882869128</v>
      </c>
      <c r="F87" s="41">
        <f>SUM(B75:H75)</f>
        <v>0.86304230789859349</v>
      </c>
      <c r="G87" s="41">
        <f>SUM(B76:H76)</f>
        <v>0.84900889876838914</v>
      </c>
      <c r="H87" s="41">
        <f>SUM(B77:H77)</f>
        <v>0.855164521221915</v>
      </c>
      <c r="Q87" s="30" t="s">
        <v>136</v>
      </c>
      <c r="R87" s="40">
        <f>R78+S78+T78+U78+V78+W78+X78</f>
        <v>0.61914638632741847</v>
      </c>
      <c r="S87" s="41">
        <f>SUM(R72:X72)</f>
        <v>0.62841134222524786</v>
      </c>
      <c r="T87" s="41">
        <f>SUM(R73:X73)</f>
        <v>0.53809411106371507</v>
      </c>
      <c r="U87" s="41">
        <f>SUM(R74:X74)</f>
        <v>0.65148213776762154</v>
      </c>
      <c r="V87" s="41">
        <f>SUM(R75:X75)</f>
        <v>0.66786291015091892</v>
      </c>
      <c r="W87" s="41">
        <f>SUM(R76:X76)</f>
        <v>0.69437475800782744</v>
      </c>
      <c r="X87" s="41">
        <f>SUM(R77:X77)</f>
        <v>0.73377747061920839</v>
      </c>
    </row>
    <row r="88" spans="1:32" ht="15" customHeight="1">
      <c r="A88" s="30" t="s">
        <v>137</v>
      </c>
      <c r="B88" s="40">
        <f>B78+C78+D78+E78+F78+G78+H78+I78</f>
        <v>0.88712305007864489</v>
      </c>
      <c r="C88" s="41">
        <f>SUM(B72:I72)</f>
        <v>0.89212424876357987</v>
      </c>
      <c r="D88" s="41">
        <f>SUM(B73:I73)</f>
        <v>0.86166722441362764</v>
      </c>
      <c r="E88" s="41">
        <f>SUM(B74:I74)</f>
        <v>0.89751955361475322</v>
      </c>
      <c r="F88" s="41">
        <f>SUM(B75:I75)</f>
        <v>0.90218237220755404</v>
      </c>
      <c r="G88" s="41">
        <f>SUM(B76:I76)</f>
        <v>0.88978639193940479</v>
      </c>
      <c r="H88" s="41">
        <f>SUM(B77:I77)</f>
        <v>0.89763070817060342</v>
      </c>
      <c r="Q88" s="30" t="s">
        <v>137</v>
      </c>
      <c r="R88" s="40">
        <f>R78+S78+T78+U78+V78+W78+X78+Y78</f>
        <v>0.70736576306742416</v>
      </c>
      <c r="S88" s="41">
        <f>SUM(R72:Y72)</f>
        <v>0.70193963380400126</v>
      </c>
      <c r="T88" s="41">
        <f>SUM(R73:Y73)</f>
        <v>0.65219752413150656</v>
      </c>
      <c r="U88" s="41">
        <f>SUM(R74:Y74)</f>
        <v>0.72225683557735754</v>
      </c>
      <c r="V88" s="41">
        <f>SUM(R75:Y75)</f>
        <v>0.7476429294934086</v>
      </c>
      <c r="W88" s="41">
        <f>SUM(R76:Y76)</f>
        <v>0.75532797410485097</v>
      </c>
      <c r="X88" s="41">
        <f>SUM(R77:Y77)</f>
        <v>0.79483040869419641</v>
      </c>
    </row>
    <row r="89" spans="1:32" ht="15" customHeight="1">
      <c r="A89" s="30" t="s">
        <v>138</v>
      </c>
      <c r="B89" s="40">
        <f>B78+C78+D78+E78+F78+G78+H78+I78+J78</f>
        <v>0.91662205421147092</v>
      </c>
      <c r="C89" s="41">
        <f>SUM(B72:J72)</f>
        <v>0.9278594937178678</v>
      </c>
      <c r="D89" s="41">
        <f>SUM(B73:J73)</f>
        <v>0.89676585940092202</v>
      </c>
      <c r="E89" s="41">
        <f>SUM(B74:J74)</f>
        <v>0.92479444105864017</v>
      </c>
      <c r="F89" s="41">
        <f>SUM(B75:J75)</f>
        <v>0.92830586217485089</v>
      </c>
      <c r="G89" s="41">
        <f>SUM(B76:J76)</f>
        <v>0.92126462397127429</v>
      </c>
      <c r="H89" s="41">
        <f>SUM(B77:J77)</f>
        <v>0.92914003758030128</v>
      </c>
      <c r="Q89" s="30" t="s">
        <v>138</v>
      </c>
      <c r="R89" s="40">
        <f>R78+S78+T78+U78+V78+W78+X78+Y78+Z78</f>
        <v>0.77422832663094265</v>
      </c>
      <c r="S89" s="41">
        <f>SUM(R72:Z72)</f>
        <v>0.76692361673934384</v>
      </c>
      <c r="T89" s="41">
        <f>SUM(R73:Z73)</f>
        <v>0.7371975648264385</v>
      </c>
      <c r="U89" s="41">
        <f>SUM(R74:Z74)</f>
        <v>0.78080231338772177</v>
      </c>
      <c r="V89" s="41">
        <f>SUM(R75:Z75)</f>
        <v>0.80468510167866802</v>
      </c>
      <c r="W89" s="41">
        <f>SUM(R76:Z76)</f>
        <v>0.81156504903412086</v>
      </c>
      <c r="X89" s="41">
        <f>SUM(R77:Z77)</f>
        <v>0.84509554136462162</v>
      </c>
    </row>
    <row r="90" spans="1:32" ht="15" customHeight="1">
      <c r="A90" s="30" t="s">
        <v>139</v>
      </c>
      <c r="B90" s="40">
        <f>B78+C78+D78+E78+F78+G78+H78+I78+J78+K78</f>
        <v>0.94969268549549701</v>
      </c>
      <c r="C90" s="41">
        <f>SUM(B72:K72)</f>
        <v>0.94367389411157665</v>
      </c>
      <c r="D90" s="41">
        <f>SUM(B73:K73)</f>
        <v>0.9336740857859559</v>
      </c>
      <c r="E90" s="41">
        <f>SUM(B74:K74)</f>
        <v>0.95395695306307982</v>
      </c>
      <c r="F90" s="41">
        <f>SUM(B75:K75)</f>
        <v>0.96144701763745566</v>
      </c>
      <c r="G90" s="41">
        <f>SUM(B76:K76)</f>
        <v>0.94998566889918357</v>
      </c>
      <c r="H90" s="41">
        <f>SUM(B77:K77)</f>
        <v>0.95516693299449762</v>
      </c>
      <c r="Q90" s="30" t="s">
        <v>139</v>
      </c>
      <c r="R90" s="40">
        <f>R78+S78+T78+U78+V78+W78+X78+Y78+Z78+AA78</f>
        <v>0.8550911886586392</v>
      </c>
      <c r="S90" s="41">
        <f>SUM(R72:AA72)</f>
        <v>0.8639202830497017</v>
      </c>
      <c r="T90" s="41">
        <f>SUM(R73:AA73)</f>
        <v>0.83285999670923372</v>
      </c>
      <c r="U90" s="41">
        <f>SUM(R74:AA74)</f>
        <v>0.8534580117661863</v>
      </c>
      <c r="V90" s="41">
        <f>SUM(R75:AA75)</f>
        <v>0.87895555750049814</v>
      </c>
      <c r="W90" s="41">
        <f>SUM(R76:AA76)</f>
        <v>0.86222070517827709</v>
      </c>
      <c r="X90" s="41">
        <f>SUM(R77:AA77)</f>
        <v>0.89374718623018978</v>
      </c>
    </row>
    <row r="91" spans="1:32" ht="15" customHeight="1">
      <c r="A91" s="30" t="s">
        <v>140</v>
      </c>
      <c r="B91" s="40">
        <f>B78+C78+D78+E78+F78+G78+H78+I78+J78+K78+L78</f>
        <v>0.97541589678846108</v>
      </c>
      <c r="C91" s="41">
        <f>SUM(B72:L72)</f>
        <v>0.97098608018363264</v>
      </c>
      <c r="D91" s="41">
        <f>SUM(B73:L73)</f>
        <v>0.9659811633313018</v>
      </c>
      <c r="E91" s="41">
        <f>SUM(B74:L74)</f>
        <v>0.97792928744796093</v>
      </c>
      <c r="F91" s="41">
        <f>SUM(B75:L75)</f>
        <v>0.98233723958612096</v>
      </c>
      <c r="G91" s="41">
        <f>SUM(B76:L76)</f>
        <v>0.97582653767343686</v>
      </c>
      <c r="H91" s="41">
        <f>SUM(B77:L77)</f>
        <v>0.97833449232530922</v>
      </c>
      <c r="Q91" s="30" t="s">
        <v>140</v>
      </c>
      <c r="R91" s="40">
        <f>R78+S78+T78+U78+V78+W78+X78+Y78+Z78+AA78+AB78</f>
        <v>0.9228562256589653</v>
      </c>
      <c r="S91" s="41">
        <f>SUM(R72:AB72)</f>
        <v>0.92404609819964256</v>
      </c>
      <c r="T91" s="41">
        <f>SUM(R73:AB73)</f>
        <v>0.90478252861654274</v>
      </c>
      <c r="U91" s="41">
        <f>SUM(R74:AB74)</f>
        <v>0.92280386346745236</v>
      </c>
      <c r="V91" s="41">
        <f>SUM(R75:AB75)</f>
        <v>0.94098228489290137</v>
      </c>
      <c r="W91" s="41">
        <f>SUM(R76:AB76)</f>
        <v>0.92248190102521199</v>
      </c>
      <c r="X91" s="41">
        <f>SUM(R77:AB77)</f>
        <v>0.94979401253881002</v>
      </c>
    </row>
    <row r="92" spans="1:32" s="12" customFormat="1" ht="15" customHeight="1">
      <c r="A92" s="30" t="s">
        <v>141</v>
      </c>
      <c r="B92" s="40">
        <f>SUM(B78:M78)</f>
        <v>0.99999999999999978</v>
      </c>
      <c r="C92" s="41">
        <f>SUM(B72:M72)</f>
        <v>0.99999999999999989</v>
      </c>
      <c r="D92" s="41">
        <f>SUM(B73:M73)</f>
        <v>1.0000000000000002</v>
      </c>
      <c r="E92" s="41">
        <f>SUM(B74:M74)</f>
        <v>0.99999999999999967</v>
      </c>
      <c r="F92" s="41">
        <f>SUM(B75:M75)</f>
        <v>0.99999999999999989</v>
      </c>
      <c r="G92" s="41">
        <f>SUM(B76:M76)</f>
        <v>1.0000000000000002</v>
      </c>
      <c r="H92" s="41">
        <f>SUM(B77:M77)</f>
        <v>0.99999999999999989</v>
      </c>
      <c r="I92"/>
      <c r="J92"/>
      <c r="K92"/>
      <c r="L92"/>
      <c r="M92"/>
      <c r="N92"/>
      <c r="O92"/>
      <c r="P92" s="1020"/>
      <c r="Q92" s="30" t="s">
        <v>141</v>
      </c>
      <c r="R92" s="40">
        <f>SUM(R78:AC78)</f>
        <v>1</v>
      </c>
      <c r="S92" s="41">
        <f>SUM(R72:AC72)</f>
        <v>1</v>
      </c>
      <c r="T92" s="41">
        <f>SUM(R73:AC73)</f>
        <v>1.0000000000000002</v>
      </c>
      <c r="U92" s="41">
        <f>SUM(R74:AC74)</f>
        <v>1.0000000000000002</v>
      </c>
      <c r="V92" s="41">
        <f>SUM(R75:AC75)</f>
        <v>1.0000000000000002</v>
      </c>
      <c r="W92" s="41">
        <f>SUM(R76:AC76)</f>
        <v>0.99999999999999989</v>
      </c>
      <c r="X92" s="41">
        <f>SUM(R77:AC77)</f>
        <v>1.0000000000000002</v>
      </c>
      <c r="Y92"/>
      <c r="Z92"/>
      <c r="AA92"/>
      <c r="AB92"/>
      <c r="AC92"/>
      <c r="AD92"/>
      <c r="AE92"/>
      <c r="AF92" s="1020"/>
    </row>
    <row r="93" spans="1:32" ht="25.5" customHeight="1">
      <c r="A93" s="45"/>
      <c r="B93" s="46"/>
      <c r="C93" s="46"/>
      <c r="D93" s="46"/>
      <c r="E93" s="46"/>
      <c r="F93" s="46"/>
      <c r="G93" s="46"/>
      <c r="H93" s="12"/>
      <c r="I93" s="12"/>
      <c r="J93" s="12"/>
      <c r="K93" s="12"/>
      <c r="L93" s="12"/>
      <c r="M93" s="12"/>
      <c r="N93" s="12"/>
      <c r="O93" s="12"/>
      <c r="P93" s="1054"/>
      <c r="Q93" s="208"/>
      <c r="R93" s="208"/>
      <c r="S93" s="208"/>
      <c r="T93" s="208"/>
      <c r="U93" s="208"/>
      <c r="V93" s="208"/>
      <c r="W93" s="208"/>
      <c r="X93" s="208"/>
      <c r="Y93" s="208"/>
      <c r="Z93" s="208"/>
      <c r="AA93" s="208"/>
      <c r="AB93" s="208"/>
      <c r="AC93" s="208"/>
      <c r="AD93" s="208"/>
      <c r="AE93" s="208"/>
    </row>
    <row r="94" spans="1:32" ht="15" customHeight="1">
      <c r="A94" s="1393" t="s">
        <v>28</v>
      </c>
      <c r="B94" s="1394"/>
      <c r="C94" s="1394"/>
      <c r="D94" s="1394"/>
      <c r="E94" s="1394"/>
      <c r="F94" s="1394"/>
      <c r="G94" s="1394"/>
      <c r="H94" s="1394"/>
      <c r="I94" s="1394"/>
      <c r="J94" s="1394"/>
      <c r="K94" s="1394"/>
      <c r="L94" s="1394"/>
      <c r="M94" s="1394"/>
      <c r="N94" s="1394"/>
      <c r="O94" s="1395"/>
      <c r="Q94" s="48"/>
      <c r="R94" s="49"/>
      <c r="S94" s="49"/>
      <c r="T94" s="49"/>
      <c r="U94" s="49"/>
      <c r="V94" s="49"/>
      <c r="W94" s="49"/>
      <c r="X94" s="49"/>
      <c r="Y94" s="49"/>
      <c r="Z94" s="49"/>
      <c r="AA94" s="49"/>
      <c r="AB94" s="49"/>
      <c r="AC94" s="49"/>
      <c r="AD94" s="49"/>
      <c r="AE94" s="49"/>
    </row>
    <row r="95" spans="1:32" ht="15" customHeight="1">
      <c r="A95" s="30" t="s">
        <v>115</v>
      </c>
      <c r="B95" s="47" t="s">
        <v>116</v>
      </c>
      <c r="C95" s="47" t="s">
        <v>117</v>
      </c>
      <c r="D95" s="47" t="s">
        <v>118</v>
      </c>
      <c r="E95" s="47" t="s">
        <v>119</v>
      </c>
      <c r="F95" s="47" t="s">
        <v>120</v>
      </c>
      <c r="G95" s="47" t="s">
        <v>121</v>
      </c>
      <c r="H95" s="47" t="s">
        <v>122</v>
      </c>
      <c r="I95" s="47" t="s">
        <v>123</v>
      </c>
      <c r="J95" s="47" t="s">
        <v>124</v>
      </c>
      <c r="K95" s="47" t="s">
        <v>125</v>
      </c>
      <c r="L95" s="47" t="s">
        <v>126</v>
      </c>
      <c r="M95" s="47" t="s">
        <v>127</v>
      </c>
      <c r="N95" s="47" t="s">
        <v>128</v>
      </c>
      <c r="O95" s="47" t="s">
        <v>129</v>
      </c>
      <c r="Q95" s="48"/>
      <c r="R95" s="50"/>
      <c r="S95" s="50"/>
      <c r="T95" s="50"/>
      <c r="U95" s="50"/>
      <c r="V95" s="50"/>
      <c r="W95" s="50"/>
      <c r="X95" s="50"/>
      <c r="Y95" s="50"/>
      <c r="Z95" s="50"/>
      <c r="AA95" s="50"/>
      <c r="AB95" s="50"/>
      <c r="AC95" s="50"/>
      <c r="AD95" s="49"/>
      <c r="AE95" s="49"/>
    </row>
    <row r="96" spans="1:32" ht="15" customHeight="1">
      <c r="A96" s="32">
        <v>2020</v>
      </c>
      <c r="B96" s="36">
        <f>'ARRECADAÇÃO MENSAL POR RECEITA'!$F$5</f>
        <v>6095755.0300000012</v>
      </c>
      <c r="C96" s="36">
        <f>'ARRECADAÇÃO MENSAL POR RECEITA'!$F$6</f>
        <v>6486719.6100000013</v>
      </c>
      <c r="D96" s="36">
        <f>'ARRECADAÇÃO MENSAL POR RECEITA'!$F$7</f>
        <v>6574574.5700000003</v>
      </c>
      <c r="E96" s="36">
        <f>'ARRECADAÇÃO MENSAL POR RECEITA'!$F$8</f>
        <v>3768137.8999999994</v>
      </c>
      <c r="F96" s="36">
        <f>'ARRECADAÇÃO MENSAL POR RECEITA'!$F$9</f>
        <v>4810422.45</v>
      </c>
      <c r="G96" s="36">
        <f>'ARRECADAÇÃO MENSAL POR RECEITA'!$F$10</f>
        <v>6235594.9500000002</v>
      </c>
      <c r="H96" s="36">
        <f>'ARRECADAÇÃO MENSAL POR RECEITA'!$F$11</f>
        <v>7568698.5499999989</v>
      </c>
      <c r="I96" s="36">
        <f>'ARRECADAÇÃO MENSAL POR RECEITA'!$F$12</f>
        <v>8022684.9199999999</v>
      </c>
      <c r="J96" s="36">
        <f>'ARRECADAÇÃO MENSAL POR RECEITA'!$F$13</f>
        <v>7914359.9999999991</v>
      </c>
      <c r="K96" s="36">
        <f>'ARRECADAÇÃO MENSAL POR RECEITA'!$F$14</f>
        <v>8767798.3499999978</v>
      </c>
      <c r="L96" s="36">
        <f>'ARRECADAÇÃO MENSAL POR RECEITA'!$F$15</f>
        <v>7725821.1699999999</v>
      </c>
      <c r="M96" s="36">
        <f>'ARRECADAÇÃO MENSAL POR RECEITA'!$F$16</f>
        <v>7442926.6500000004</v>
      </c>
      <c r="N96" s="35">
        <f>SUM(B96:M96)</f>
        <v>81413494.150000006</v>
      </c>
      <c r="O96" s="177">
        <f>'Evolução das Receitas'!AC173+'Evolução das Receitas'!AC175</f>
        <v>70227432.364500001</v>
      </c>
      <c r="P96" s="235">
        <f>N96/O96</f>
        <v>1.1592833656147532</v>
      </c>
      <c r="Q96" s="48"/>
      <c r="R96" s="50"/>
      <c r="S96" s="50"/>
      <c r="T96" s="50"/>
      <c r="U96" s="50"/>
      <c r="V96" s="50"/>
      <c r="W96" s="50"/>
      <c r="X96" s="50"/>
      <c r="Y96" s="50"/>
      <c r="Z96" s="50"/>
      <c r="AA96" s="50"/>
      <c r="AB96" s="50"/>
      <c r="AC96" s="50"/>
      <c r="AD96" s="49"/>
      <c r="AE96" s="49"/>
    </row>
    <row r="97" spans="1:31" ht="15" customHeight="1">
      <c r="A97" s="32">
        <v>2019</v>
      </c>
      <c r="B97" s="33">
        <v>5455921.4999999991</v>
      </c>
      <c r="C97" s="34">
        <v>6734481.0600000005</v>
      </c>
      <c r="D97" s="34">
        <v>6636331.9299999997</v>
      </c>
      <c r="E97" s="34">
        <v>7733387.1900000004</v>
      </c>
      <c r="F97" s="34">
        <v>8389656.0700000003</v>
      </c>
      <c r="G97" s="34">
        <v>6815074.4399999995</v>
      </c>
      <c r="H97" s="34">
        <v>8210684.1699999999</v>
      </c>
      <c r="I97" s="34">
        <v>8175331.3999999994</v>
      </c>
      <c r="J97" s="34">
        <v>7828230.6099999994</v>
      </c>
      <c r="K97" s="34">
        <v>8450912.0500000007</v>
      </c>
      <c r="L97" s="34">
        <v>7218290.54</v>
      </c>
      <c r="M97" s="34">
        <v>6715853.9700000007</v>
      </c>
      <c r="N97" s="35">
        <f>SUM(B97:M97)</f>
        <v>88364154.930000007</v>
      </c>
      <c r="O97" s="179"/>
      <c r="P97" s="235"/>
      <c r="Q97" s="48"/>
      <c r="R97" s="50"/>
      <c r="S97" s="50"/>
      <c r="T97" s="50"/>
      <c r="U97" s="50"/>
      <c r="V97" s="50"/>
      <c r="W97" s="50"/>
      <c r="X97" s="50"/>
      <c r="Y97" s="50"/>
      <c r="Z97" s="50"/>
      <c r="AA97" s="50"/>
      <c r="AB97" s="50"/>
      <c r="AC97" s="50"/>
      <c r="AD97" s="51"/>
      <c r="AE97" s="50"/>
    </row>
    <row r="98" spans="1:31" ht="15" customHeight="1">
      <c r="A98" s="30">
        <v>2018</v>
      </c>
      <c r="B98" s="36">
        <v>5135853.32</v>
      </c>
      <c r="C98" s="37">
        <v>5332651.1800000016</v>
      </c>
      <c r="D98" s="37">
        <v>6976305.5700000012</v>
      </c>
      <c r="E98" s="37">
        <v>7041634.4499999993</v>
      </c>
      <c r="F98" s="37">
        <v>7102435.379999999</v>
      </c>
      <c r="G98" s="37">
        <v>6640772.3399999999</v>
      </c>
      <c r="H98" s="37">
        <v>7037972.6500000004</v>
      </c>
      <c r="I98" s="37">
        <v>7921605.6499999994</v>
      </c>
      <c r="J98" s="37">
        <v>6627650.4999999991</v>
      </c>
      <c r="K98" s="37">
        <v>7488072.9799999995</v>
      </c>
      <c r="L98" s="37">
        <v>6349110.4100000001</v>
      </c>
      <c r="M98" s="37">
        <v>6042424.9100000001</v>
      </c>
      <c r="N98" s="35">
        <f t="shared" ref="N98:N101" si="38">SUM(B98:M98)</f>
        <v>79696489.339999989</v>
      </c>
      <c r="O98" s="179"/>
      <c r="Q98" s="48"/>
      <c r="R98" s="50"/>
      <c r="S98" s="50"/>
      <c r="T98" s="50"/>
      <c r="U98" s="50"/>
      <c r="V98" s="50"/>
      <c r="W98" s="50"/>
      <c r="X98" s="50"/>
      <c r="Y98" s="50"/>
      <c r="Z98" s="50"/>
      <c r="AA98" s="50"/>
      <c r="AB98" s="50"/>
      <c r="AC98" s="50"/>
      <c r="AD98" s="51"/>
      <c r="AE98" s="52"/>
    </row>
    <row r="99" spans="1:31" ht="15" customHeight="1">
      <c r="A99" s="30">
        <v>2017</v>
      </c>
      <c r="B99" s="33">
        <v>4417031.58</v>
      </c>
      <c r="C99" s="34">
        <v>4870146.41</v>
      </c>
      <c r="D99" s="34">
        <v>6609199.9299999997</v>
      </c>
      <c r="E99" s="34">
        <v>5481087.4499999993</v>
      </c>
      <c r="F99" s="34">
        <v>6984721.6799999997</v>
      </c>
      <c r="G99" s="34">
        <v>6720802.7600000007</v>
      </c>
      <c r="H99" s="34">
        <v>6390356.2200000007</v>
      </c>
      <c r="I99" s="34">
        <v>7371101.1499999994</v>
      </c>
      <c r="J99" s="34">
        <v>6407124.3900000006</v>
      </c>
      <c r="K99" s="34">
        <v>6567649.1000000006</v>
      </c>
      <c r="L99" s="34">
        <v>6082212.4000000004</v>
      </c>
      <c r="M99" s="34">
        <v>5588335.6399999997</v>
      </c>
      <c r="N99" s="35">
        <f t="shared" si="38"/>
        <v>73489768.709999993</v>
      </c>
      <c r="O99" s="179"/>
      <c r="Q99" s="48"/>
      <c r="R99" s="50"/>
      <c r="S99" s="50"/>
      <c r="T99" s="50"/>
      <c r="U99" s="50"/>
      <c r="V99" s="50"/>
      <c r="W99" s="50"/>
      <c r="X99" s="50"/>
      <c r="Y99" s="50"/>
      <c r="Z99" s="50"/>
      <c r="AA99" s="50"/>
      <c r="AB99" s="50"/>
      <c r="AC99" s="50"/>
      <c r="AD99" s="51"/>
      <c r="AE99" s="52"/>
    </row>
    <row r="100" spans="1:31" ht="15" customHeight="1">
      <c r="A100" s="30">
        <v>2016</v>
      </c>
      <c r="B100" s="36">
        <v>3848933.41</v>
      </c>
      <c r="C100" s="37">
        <v>4734291.0199999996</v>
      </c>
      <c r="D100" s="37">
        <v>6185310.4700000007</v>
      </c>
      <c r="E100" s="37">
        <v>5565040.0800000001</v>
      </c>
      <c r="F100" s="37">
        <v>5876620.71</v>
      </c>
      <c r="G100" s="37">
        <v>6120309.7500000009</v>
      </c>
      <c r="H100" s="37">
        <v>5869479.4499999993</v>
      </c>
      <c r="I100" s="37">
        <v>6172734.2300000004</v>
      </c>
      <c r="J100" s="37">
        <v>6030483.4100000001</v>
      </c>
      <c r="K100" s="37">
        <v>5389934.2599999988</v>
      </c>
      <c r="L100" s="37">
        <v>5524285.8300000001</v>
      </c>
      <c r="M100" s="37">
        <v>5577494.1900000013</v>
      </c>
      <c r="N100" s="35">
        <f t="shared" si="38"/>
        <v>66894916.810000002</v>
      </c>
      <c r="O100" s="179"/>
      <c r="Q100" s="48"/>
      <c r="R100" s="50"/>
      <c r="S100" s="50"/>
      <c r="T100" s="50"/>
      <c r="U100" s="50"/>
      <c r="V100" s="50"/>
      <c r="W100" s="50"/>
      <c r="X100" s="50"/>
      <c r="Y100" s="50"/>
      <c r="Z100" s="50"/>
      <c r="AA100" s="50"/>
      <c r="AB100" s="50"/>
      <c r="AC100" s="50"/>
      <c r="AD100" s="51"/>
      <c r="AE100" s="52"/>
    </row>
    <row r="101" spans="1:31" ht="15" customHeight="1">
      <c r="A101" s="30">
        <v>2015</v>
      </c>
      <c r="B101" s="33">
        <v>4002547.02</v>
      </c>
      <c r="C101" s="34">
        <v>4684319.92</v>
      </c>
      <c r="D101" s="34">
        <v>6357716.5099999998</v>
      </c>
      <c r="E101" s="34">
        <v>5562076.5599999996</v>
      </c>
      <c r="F101" s="34">
        <v>5717423.459999999</v>
      </c>
      <c r="G101" s="34">
        <v>5711464.9299999997</v>
      </c>
      <c r="H101" s="34">
        <v>6221034.870000001</v>
      </c>
      <c r="I101" s="34">
        <v>5830978.0499999998</v>
      </c>
      <c r="J101" s="34">
        <v>5843286.6900000004</v>
      </c>
      <c r="K101" s="34">
        <v>5722658.0199999996</v>
      </c>
      <c r="L101" s="34">
        <v>5201244.7</v>
      </c>
      <c r="M101" s="34">
        <v>4975354.57</v>
      </c>
      <c r="N101" s="35">
        <f t="shared" si="38"/>
        <v>65830105.29999999</v>
      </c>
      <c r="O101" s="179"/>
      <c r="Q101" s="53"/>
      <c r="R101" s="52"/>
      <c r="S101" s="52"/>
      <c r="T101" s="52"/>
      <c r="U101" s="52"/>
      <c r="V101" s="52"/>
      <c r="W101" s="52"/>
      <c r="X101" s="52"/>
      <c r="Y101" s="52"/>
      <c r="Z101" s="52"/>
      <c r="AA101" s="52"/>
      <c r="AB101" s="52"/>
      <c r="AC101" s="52"/>
      <c r="AD101" s="52"/>
      <c r="AE101" s="52"/>
    </row>
    <row r="102" spans="1:31" ht="15" customHeight="1">
      <c r="A102" s="203"/>
      <c r="Q102" s="48"/>
      <c r="R102" s="52"/>
      <c r="S102" s="52"/>
      <c r="T102" s="52"/>
      <c r="U102" s="52"/>
      <c r="V102" s="52"/>
      <c r="W102" s="52"/>
      <c r="X102" s="52"/>
      <c r="Y102" s="52"/>
      <c r="Z102" s="52"/>
      <c r="AA102" s="52"/>
      <c r="AB102" s="52"/>
      <c r="AC102" s="52"/>
      <c r="AD102" s="52"/>
      <c r="AE102" s="52"/>
    </row>
    <row r="103" spans="1:31" ht="15" customHeight="1">
      <c r="A103" s="30">
        <v>2020</v>
      </c>
      <c r="B103" s="38">
        <f>B96/$N$96</f>
        <v>7.4874013130659875E-2</v>
      </c>
      <c r="C103" s="38">
        <f t="shared" ref="C103:M103" si="39">C96/$N$96</f>
        <v>7.9676221709002779E-2</v>
      </c>
      <c r="D103" s="38">
        <f t="shared" si="39"/>
        <v>8.0755342079860848E-2</v>
      </c>
      <c r="E103" s="38">
        <f t="shared" si="39"/>
        <v>4.6283947634742306E-2</v>
      </c>
      <c r="F103" s="38">
        <f t="shared" si="39"/>
        <v>5.9086303815151994E-2</v>
      </c>
      <c r="G103" s="38">
        <f t="shared" si="39"/>
        <v>7.6591663520929956E-2</v>
      </c>
      <c r="H103" s="38">
        <f t="shared" si="39"/>
        <v>9.2966143131691131E-2</v>
      </c>
      <c r="I103" s="38">
        <f t="shared" si="39"/>
        <v>9.8542446848167847E-2</v>
      </c>
      <c r="J103" s="38">
        <f t="shared" si="39"/>
        <v>9.7211894448581387E-2</v>
      </c>
      <c r="K103" s="38">
        <f t="shared" si="39"/>
        <v>0.10769465727445378</v>
      </c>
      <c r="L103" s="38">
        <f t="shared" si="39"/>
        <v>9.4896076512397176E-2</v>
      </c>
      <c r="M103" s="38">
        <f t="shared" si="39"/>
        <v>9.1421289894360838E-2</v>
      </c>
      <c r="N103" s="209" t="b">
        <f>SUM(B103:M103)=100%</f>
        <v>1</v>
      </c>
      <c r="Q103" s="48"/>
      <c r="R103" s="52"/>
      <c r="S103" s="52"/>
      <c r="T103" s="52"/>
      <c r="U103" s="52"/>
      <c r="V103" s="52"/>
      <c r="W103" s="52"/>
      <c r="X103" s="52"/>
      <c r="Y103" s="52"/>
      <c r="Z103" s="52"/>
      <c r="AA103" s="52"/>
      <c r="AB103" s="52"/>
      <c r="AC103" s="52"/>
      <c r="AD103" s="52"/>
      <c r="AE103" s="52"/>
    </row>
    <row r="104" spans="1:31" ht="15" customHeight="1">
      <c r="A104" s="30">
        <v>2019</v>
      </c>
      <c r="B104" s="38">
        <f>B97/$N$97</f>
        <v>6.1743605247196118E-2</v>
      </c>
      <c r="C104" s="38">
        <f t="shared" ref="C104:M104" si="40">C97/$N$97</f>
        <v>7.6212815766018432E-2</v>
      </c>
      <c r="D104" s="38">
        <f t="shared" si="40"/>
        <v>7.5102081101292087E-2</v>
      </c>
      <c r="E104" s="38">
        <f t="shared" si="40"/>
        <v>8.7517242666171668E-2</v>
      </c>
      <c r="F104" s="38">
        <f t="shared" si="40"/>
        <v>9.4944110274647983E-2</v>
      </c>
      <c r="G104" s="38">
        <f t="shared" si="40"/>
        <v>7.7124875413551341E-2</v>
      </c>
      <c r="H104" s="38">
        <f t="shared" si="40"/>
        <v>9.2918720000256999E-2</v>
      </c>
      <c r="I104" s="38">
        <f t="shared" si="40"/>
        <v>9.2518639560082966E-2</v>
      </c>
      <c r="J104" s="38">
        <f t="shared" si="40"/>
        <v>8.8590567252086985E-2</v>
      </c>
      <c r="K104" s="38">
        <f t="shared" si="40"/>
        <v>9.563733231755131E-2</v>
      </c>
      <c r="L104" s="38">
        <f t="shared" si="40"/>
        <v>8.1687993799274813E-2</v>
      </c>
      <c r="M104" s="38">
        <f t="shared" si="40"/>
        <v>7.6002016601869171E-2</v>
      </c>
      <c r="N104" s="209" t="b">
        <f t="shared" ref="N104:N109" si="41">SUM(B104:M104)=100%</f>
        <v>1</v>
      </c>
      <c r="Q104" s="48"/>
      <c r="R104" s="54"/>
      <c r="S104" s="54"/>
      <c r="T104" s="54"/>
      <c r="U104" s="54"/>
      <c r="V104" s="54"/>
      <c r="W104" s="54"/>
      <c r="X104" s="54"/>
      <c r="Y104" s="54"/>
      <c r="Z104" s="54"/>
      <c r="AA104" s="54"/>
      <c r="AB104" s="54"/>
      <c r="AC104" s="54"/>
      <c r="AD104" s="52"/>
      <c r="AE104" s="52"/>
    </row>
    <row r="105" spans="1:31" ht="15" customHeight="1">
      <c r="A105" s="30">
        <v>2018</v>
      </c>
      <c r="B105" s="38">
        <f>B98/N98</f>
        <v>6.4442654407140809E-2</v>
      </c>
      <c r="C105" s="39">
        <f>C98/N98</f>
        <v>6.6911996051042144E-2</v>
      </c>
      <c r="D105" s="39">
        <f>D98/N98</f>
        <v>8.7535920688272595E-2</v>
      </c>
      <c r="E105" s="39">
        <f>E98/N98</f>
        <v>8.8355641613761457E-2</v>
      </c>
      <c r="F105" s="39">
        <f>F98/N98</f>
        <v>8.9118547615061106E-2</v>
      </c>
      <c r="G105" s="39">
        <f>G98/N98</f>
        <v>8.3325782540674215E-2</v>
      </c>
      <c r="H105" s="39">
        <f>H98/N98</f>
        <v>8.8309694796902594E-2</v>
      </c>
      <c r="I105" s="39">
        <f>I98/N98</f>
        <v>9.9397171890532876E-2</v>
      </c>
      <c r="J105" s="39">
        <f>J98/N98</f>
        <v>8.316113488669763E-2</v>
      </c>
      <c r="K105" s="39">
        <f>K98/N98</f>
        <v>9.395737556336381E-2</v>
      </c>
      <c r="L105" s="39">
        <f>L98/N98</f>
        <v>7.9666124098810909E-2</v>
      </c>
      <c r="M105" s="39">
        <f>M98/N98</f>
        <v>7.5817955847739996E-2</v>
      </c>
      <c r="N105" s="209" t="b">
        <f t="shared" si="41"/>
        <v>1</v>
      </c>
      <c r="Q105" s="48"/>
      <c r="R105" s="54"/>
      <c r="S105" s="54"/>
      <c r="T105" s="54"/>
      <c r="U105" s="54"/>
      <c r="V105" s="54"/>
      <c r="W105" s="54"/>
      <c r="X105" s="54"/>
      <c r="Y105" s="54"/>
      <c r="Z105" s="54"/>
      <c r="AA105" s="54"/>
      <c r="AB105" s="54"/>
      <c r="AC105" s="54"/>
      <c r="AD105" s="52"/>
      <c r="AE105" s="52"/>
    </row>
    <row r="106" spans="1:31" ht="15" customHeight="1">
      <c r="A106" s="30">
        <v>2017</v>
      </c>
      <c r="B106" s="38">
        <f>B99/N99</f>
        <v>6.0104034310274813E-2</v>
      </c>
      <c r="C106" s="39">
        <f>C99/N99</f>
        <v>6.6269720200348159E-2</v>
      </c>
      <c r="D106" s="39">
        <f>D99/N99</f>
        <v>8.9933606351120063E-2</v>
      </c>
      <c r="E106" s="39">
        <f>E99/N99</f>
        <v>7.4583000412330458E-2</v>
      </c>
      <c r="F106" s="39">
        <f>F99/N99</f>
        <v>9.5043457104384194E-2</v>
      </c>
      <c r="G106" s="39">
        <f>G99/N99</f>
        <v>9.1452223594840065E-2</v>
      </c>
      <c r="H106" s="39">
        <f>H99/N99</f>
        <v>8.6955726384405449E-2</v>
      </c>
      <c r="I106" s="39">
        <f>I99/N99</f>
        <v>0.10030105250551687</v>
      </c>
      <c r="J106" s="39">
        <f>J99/N99</f>
        <v>8.7183896513313722E-2</v>
      </c>
      <c r="K106" s="39">
        <f>K99/N99</f>
        <v>8.9368210232322026E-2</v>
      </c>
      <c r="L106" s="39">
        <f>L99/N99</f>
        <v>8.2762709786190602E-2</v>
      </c>
      <c r="M106" s="39">
        <f>M99/N99</f>
        <v>7.60423626049537E-2</v>
      </c>
      <c r="N106" s="209" t="b">
        <f t="shared" si="41"/>
        <v>1</v>
      </c>
      <c r="Q106" s="48"/>
      <c r="R106" s="54"/>
      <c r="S106" s="54"/>
      <c r="T106" s="54"/>
      <c r="U106" s="54"/>
      <c r="V106" s="54"/>
      <c r="W106" s="54"/>
      <c r="X106" s="54"/>
      <c r="Y106" s="54"/>
      <c r="Z106" s="54"/>
      <c r="AA106" s="54"/>
      <c r="AB106" s="54"/>
      <c r="AC106" s="54"/>
      <c r="AD106" s="52"/>
      <c r="AE106" s="52"/>
    </row>
    <row r="107" spans="1:31" ht="15" customHeight="1">
      <c r="A107" s="30">
        <v>2016</v>
      </c>
      <c r="B107" s="38">
        <f>B100/N100</f>
        <v>5.7537008692783512E-2</v>
      </c>
      <c r="C107" s="39">
        <f>C100/N100</f>
        <v>7.0772059309778215E-2</v>
      </c>
      <c r="D107" s="39">
        <f>D100/N100</f>
        <v>9.2463086359281785E-2</v>
      </c>
      <c r="E107" s="39">
        <f>E100/N100</f>
        <v>8.3190776599756419E-2</v>
      </c>
      <c r="F107" s="39">
        <f>F100/N100</f>
        <v>8.7848539025636607E-2</v>
      </c>
      <c r="G107" s="39">
        <f>G100/N100</f>
        <v>9.1491402364448221E-2</v>
      </c>
      <c r="H107" s="39">
        <f>H100/N100</f>
        <v>8.7741785622828986E-2</v>
      </c>
      <c r="I107" s="39">
        <f>I100/N100</f>
        <v>9.2275086424462818E-2</v>
      </c>
      <c r="J107" s="39">
        <f>J100/N100</f>
        <v>9.0148604670938368E-2</v>
      </c>
      <c r="K107" s="39">
        <f>K100/N100</f>
        <v>8.0573151399663104E-2</v>
      </c>
      <c r="L107" s="39">
        <f>L100/N100</f>
        <v>8.2581548695104798E-2</v>
      </c>
      <c r="M107" s="39">
        <f>M100/N100</f>
        <v>8.3376950835317154E-2</v>
      </c>
      <c r="N107" s="209" t="b">
        <f t="shared" si="41"/>
        <v>1</v>
      </c>
      <c r="Q107" s="48"/>
      <c r="R107" s="54"/>
      <c r="S107" s="54"/>
      <c r="T107" s="54"/>
      <c r="U107" s="54"/>
      <c r="V107" s="54"/>
      <c r="W107" s="54"/>
      <c r="X107" s="54"/>
      <c r="Y107" s="54"/>
      <c r="Z107" s="54"/>
      <c r="AA107" s="54"/>
      <c r="AB107" s="54"/>
      <c r="AC107" s="54"/>
      <c r="AD107" s="52"/>
      <c r="AE107" s="52"/>
    </row>
    <row r="108" spans="1:31" ht="15" customHeight="1">
      <c r="A108" s="30">
        <v>2015</v>
      </c>
      <c r="B108" s="38">
        <f>B101/N101</f>
        <v>6.0801163871144537E-2</v>
      </c>
      <c r="C108" s="39">
        <f>C101/N101</f>
        <v>7.1157715738911331E-2</v>
      </c>
      <c r="D108" s="39">
        <f>D101/N101</f>
        <v>9.6577644544645763E-2</v>
      </c>
      <c r="E108" s="39">
        <f>E101/N101</f>
        <v>8.4491381787292999E-2</v>
      </c>
      <c r="F108" s="39">
        <f>F101/N101</f>
        <v>8.6851197243945466E-2</v>
      </c>
      <c r="G108" s="39">
        <f>G101/N101</f>
        <v>8.6760683489291043E-2</v>
      </c>
      <c r="H108" s="39">
        <f>H101/N101</f>
        <v>9.4501365927482456E-2</v>
      </c>
      <c r="I108" s="39">
        <f>I101/N101</f>
        <v>8.8576161672948142E-2</v>
      </c>
      <c r="J108" s="39">
        <f>J101/N101</f>
        <v>8.8763137524557501E-2</v>
      </c>
      <c r="K108" s="39">
        <f>K101/N101</f>
        <v>8.6930713446694133E-2</v>
      </c>
      <c r="L108" s="39">
        <f>L101/N101</f>
        <v>7.9010122743947683E-2</v>
      </c>
      <c r="M108" s="39">
        <f>M101/N101</f>
        <v>7.5578712009139098E-2</v>
      </c>
      <c r="N108" s="209" t="b">
        <f t="shared" si="41"/>
        <v>1</v>
      </c>
      <c r="Q108" s="48"/>
      <c r="R108" s="55"/>
      <c r="S108" s="55"/>
      <c r="T108" s="55"/>
      <c r="U108" s="55"/>
      <c r="V108" s="55"/>
      <c r="W108" s="55"/>
      <c r="X108" s="55"/>
      <c r="Y108" s="55"/>
      <c r="Z108" s="55"/>
      <c r="AA108" s="55"/>
      <c r="AB108" s="55"/>
      <c r="AC108" s="55"/>
      <c r="AD108" s="52"/>
      <c r="AE108" s="52"/>
    </row>
    <row r="109" spans="1:31" ht="15" customHeight="1">
      <c r="A109" s="30" t="s">
        <v>457</v>
      </c>
      <c r="B109" s="40">
        <f>AVERAGE(B104:B106)</f>
        <v>6.209676465487058E-2</v>
      </c>
      <c r="C109" s="40">
        <f t="shared" ref="C109:M109" si="42">AVERAGE(C104:C106)</f>
        <v>6.979817733913625E-2</v>
      </c>
      <c r="D109" s="40">
        <f t="shared" si="42"/>
        <v>8.4190536046894915E-2</v>
      </c>
      <c r="E109" s="40">
        <f t="shared" si="42"/>
        <v>8.3485294897421194E-2</v>
      </c>
      <c r="F109" s="40">
        <f t="shared" si="42"/>
        <v>9.3035371664697775E-2</v>
      </c>
      <c r="G109" s="40">
        <f t="shared" si="42"/>
        <v>8.3967627183021865E-2</v>
      </c>
      <c r="H109" s="40">
        <f t="shared" si="42"/>
        <v>8.9394713727188338E-2</v>
      </c>
      <c r="I109" s="40">
        <f t="shared" si="42"/>
        <v>9.7405621318710903E-2</v>
      </c>
      <c r="J109" s="40">
        <f t="shared" si="42"/>
        <v>8.6311866217366098E-2</v>
      </c>
      <c r="K109" s="40">
        <f t="shared" si="42"/>
        <v>9.2987639371079053E-2</v>
      </c>
      <c r="L109" s="40">
        <f t="shared" si="42"/>
        <v>8.1372275894758775E-2</v>
      </c>
      <c r="M109" s="40">
        <f t="shared" si="42"/>
        <v>7.5954111684854289E-2</v>
      </c>
      <c r="N109" s="209" t="b">
        <f t="shared" si="41"/>
        <v>1</v>
      </c>
      <c r="Q109" s="52"/>
      <c r="R109" s="55"/>
      <c r="S109" s="55"/>
      <c r="T109" s="55"/>
      <c r="U109" s="55"/>
      <c r="V109" s="55"/>
      <c r="W109" s="55"/>
      <c r="X109" s="55"/>
      <c r="Y109" s="55"/>
      <c r="Z109" s="55"/>
      <c r="AA109" s="55"/>
      <c r="AB109" s="55"/>
      <c r="AC109" s="55"/>
      <c r="AD109" s="52"/>
      <c r="AE109" s="52"/>
    </row>
    <row r="110" spans="1:31" ht="15" customHeight="1">
      <c r="B110" s="42"/>
      <c r="C110" s="42"/>
      <c r="D110" s="42"/>
      <c r="E110" s="42"/>
      <c r="F110" s="42"/>
      <c r="G110" s="42"/>
      <c r="H110" s="42"/>
      <c r="I110" s="42"/>
      <c r="J110" s="42"/>
      <c r="K110" s="42"/>
      <c r="L110" s="42"/>
      <c r="M110" s="42"/>
      <c r="Q110" s="52"/>
      <c r="R110" s="48"/>
      <c r="S110" s="48"/>
      <c r="T110" s="48"/>
      <c r="U110" s="48"/>
      <c r="V110" s="48"/>
      <c r="W110" s="48"/>
      <c r="X110" s="52"/>
      <c r="Y110" s="52"/>
      <c r="Z110" s="52"/>
      <c r="AA110" s="52"/>
      <c r="AB110" s="52"/>
      <c r="AC110" s="52"/>
      <c r="AD110" s="52"/>
      <c r="AE110" s="52"/>
    </row>
    <row r="111" spans="1:31" ht="15" customHeight="1">
      <c r="B111" s="30" t="s">
        <v>457</v>
      </c>
      <c r="C111" s="30">
        <v>2020</v>
      </c>
      <c r="D111" s="30">
        <v>2019</v>
      </c>
      <c r="E111" s="30">
        <v>2018</v>
      </c>
      <c r="F111" s="30">
        <v>2017</v>
      </c>
      <c r="G111" s="30">
        <v>2016</v>
      </c>
      <c r="H111" s="30">
        <v>2015</v>
      </c>
      <c r="Q111" s="48"/>
      <c r="R111" s="55"/>
      <c r="S111" s="55"/>
      <c r="T111" s="55"/>
      <c r="U111" s="55"/>
      <c r="V111" s="55"/>
      <c r="W111" s="55"/>
      <c r="X111" s="52"/>
      <c r="Y111" s="52"/>
      <c r="Z111" s="52"/>
      <c r="AA111" s="52"/>
      <c r="AB111" s="52"/>
      <c r="AC111" s="52"/>
      <c r="AD111" s="52"/>
      <c r="AE111" s="52"/>
    </row>
    <row r="112" spans="1:31" ht="15" customHeight="1">
      <c r="A112" s="30" t="s">
        <v>130</v>
      </c>
      <c r="B112" s="43">
        <f>B109</f>
        <v>6.209676465487058E-2</v>
      </c>
      <c r="C112" s="44">
        <f>B103</f>
        <v>7.4874013130659875E-2</v>
      </c>
      <c r="D112" s="44">
        <f>B104</f>
        <v>6.1743605247196118E-2</v>
      </c>
      <c r="E112" s="44">
        <f>B105</f>
        <v>6.4442654407140809E-2</v>
      </c>
      <c r="F112" s="44">
        <f>B106</f>
        <v>6.0104034310274813E-2</v>
      </c>
      <c r="G112" s="44">
        <f>B107</f>
        <v>5.7537008692783512E-2</v>
      </c>
      <c r="H112" s="44">
        <f>B108</f>
        <v>6.0801163871144537E-2</v>
      </c>
      <c r="Q112" s="48"/>
      <c r="R112" s="55"/>
      <c r="S112" s="55"/>
      <c r="T112" s="55"/>
      <c r="U112" s="55"/>
      <c r="V112" s="55"/>
      <c r="W112" s="55"/>
      <c r="X112" s="52"/>
      <c r="Y112" s="52"/>
      <c r="Z112" s="52"/>
      <c r="AA112" s="52"/>
      <c r="AB112" s="52"/>
      <c r="AC112" s="52"/>
      <c r="AD112" s="52"/>
      <c r="AE112" s="52"/>
    </row>
    <row r="113" spans="1:32" ht="15" customHeight="1">
      <c r="A113" s="30" t="s">
        <v>131</v>
      </c>
      <c r="B113" s="43">
        <f>B109+C109</f>
        <v>0.13189494199400684</v>
      </c>
      <c r="C113" s="44">
        <f>SUM(B103:C103)</f>
        <v>0.15455023483966265</v>
      </c>
      <c r="D113" s="44">
        <f>SUM(B104:C104)</f>
        <v>0.13795642101321454</v>
      </c>
      <c r="E113" s="44">
        <f>SUM(B105:C105)</f>
        <v>0.13135465045818295</v>
      </c>
      <c r="F113" s="44">
        <f>SUM(B106:C106)</f>
        <v>0.12637375451062297</v>
      </c>
      <c r="G113" s="44">
        <f>SUM(B107:C107)</f>
        <v>0.12830906800256173</v>
      </c>
      <c r="H113" s="44">
        <f>SUM(B108:C108)</f>
        <v>0.13195887961005587</v>
      </c>
      <c r="Q113" s="48"/>
      <c r="R113" s="55"/>
      <c r="S113" s="55"/>
      <c r="T113" s="55"/>
      <c r="U113" s="55"/>
      <c r="V113" s="55"/>
      <c r="W113" s="55"/>
      <c r="X113" s="52"/>
      <c r="Y113" s="52"/>
      <c r="Z113" s="52"/>
      <c r="AA113" s="52"/>
      <c r="AB113" s="52"/>
      <c r="AC113" s="52"/>
      <c r="AD113" s="52"/>
      <c r="AE113" s="52"/>
    </row>
    <row r="114" spans="1:32" ht="15" customHeight="1">
      <c r="A114" s="30" t="s">
        <v>132</v>
      </c>
      <c r="B114" s="40">
        <f>B109+C109+D109</f>
        <v>0.21608547804090175</v>
      </c>
      <c r="C114" s="41">
        <f>SUM(B103:D103)</f>
        <v>0.2353055769195235</v>
      </c>
      <c r="D114" s="41">
        <f>SUM(B104:D104)</f>
        <v>0.21305850211450661</v>
      </c>
      <c r="E114" s="41">
        <f>SUM(B105:D105)</f>
        <v>0.21889057114645555</v>
      </c>
      <c r="F114" s="41">
        <f>SUM(B106:D106)</f>
        <v>0.21630736086174301</v>
      </c>
      <c r="G114" s="41">
        <f>SUM(B107:D107)</f>
        <v>0.2207721543618435</v>
      </c>
      <c r="H114" s="41">
        <f>SUM(B108:D108)</f>
        <v>0.22853652415470163</v>
      </c>
      <c r="Q114" s="48"/>
      <c r="R114" s="55"/>
      <c r="S114" s="55"/>
      <c r="T114" s="55"/>
      <c r="U114" s="55"/>
      <c r="V114" s="55"/>
      <c r="W114" s="55"/>
      <c r="X114" s="52"/>
      <c r="Y114" s="52"/>
      <c r="Z114" s="52"/>
      <c r="AA114" s="52"/>
      <c r="AB114" s="52"/>
      <c r="AC114" s="52"/>
      <c r="AD114" s="52"/>
      <c r="AE114" s="52"/>
    </row>
    <row r="115" spans="1:32" ht="15" customHeight="1">
      <c r="A115" s="30" t="s">
        <v>133</v>
      </c>
      <c r="B115" s="40">
        <f>B109+C109+D109+E109</f>
        <v>0.29957077293832296</v>
      </c>
      <c r="C115" s="41">
        <f>SUM(B103:E103)</f>
        <v>0.28158952455426578</v>
      </c>
      <c r="D115" s="41">
        <f>SUM(B104:E104)</f>
        <v>0.30057574478067828</v>
      </c>
      <c r="E115" s="41">
        <f>SUM(B105:E105)</f>
        <v>0.30724621276021702</v>
      </c>
      <c r="F115" s="41">
        <f>SUM(B106:E106)</f>
        <v>0.29089036127407347</v>
      </c>
      <c r="G115" s="41">
        <f>SUM(B107:E107)</f>
        <v>0.30396293096159993</v>
      </c>
      <c r="H115" s="41">
        <f>SUM(B108:E108)</f>
        <v>0.31302790594199464</v>
      </c>
      <c r="Q115" s="48"/>
      <c r="R115" s="55"/>
      <c r="S115" s="55"/>
      <c r="T115" s="55"/>
      <c r="U115" s="55"/>
      <c r="V115" s="55"/>
      <c r="W115" s="55"/>
      <c r="X115" s="52"/>
      <c r="Y115" s="52"/>
      <c r="Z115" s="52"/>
      <c r="AA115" s="52"/>
      <c r="AB115" s="52"/>
      <c r="AC115" s="52"/>
      <c r="AD115" s="52"/>
      <c r="AE115" s="52"/>
    </row>
    <row r="116" spans="1:32" ht="15" customHeight="1">
      <c r="A116" s="30" t="s">
        <v>134</v>
      </c>
      <c r="B116" s="40">
        <f>B109+C109+D109+E109+F109</f>
        <v>0.39260614460302073</v>
      </c>
      <c r="C116" s="41">
        <f>SUM(B103:F103)</f>
        <v>0.34067582836941779</v>
      </c>
      <c r="D116" s="41">
        <f>SUM(B104:F104)</f>
        <v>0.39551985505532627</v>
      </c>
      <c r="E116" s="41">
        <f>SUM(B105:F105)</f>
        <v>0.39636476037527812</v>
      </c>
      <c r="F116" s="41">
        <f>SUM(B106:F106)</f>
        <v>0.38593381837845764</v>
      </c>
      <c r="G116" s="41">
        <f>SUM(B107:F107)</f>
        <v>0.39181146998723654</v>
      </c>
      <c r="H116" s="41">
        <f>SUM(B108:F108)</f>
        <v>0.39987910318594011</v>
      </c>
      <c r="Q116" s="48"/>
      <c r="R116" s="55"/>
      <c r="S116" s="55"/>
      <c r="T116" s="55"/>
      <c r="U116" s="55"/>
      <c r="V116" s="55"/>
      <c r="W116" s="55"/>
      <c r="X116" s="52"/>
      <c r="Y116" s="52"/>
      <c r="Z116" s="52"/>
      <c r="AA116" s="52"/>
      <c r="AB116" s="52"/>
      <c r="AC116" s="52"/>
      <c r="AD116" s="52"/>
      <c r="AE116" s="52"/>
    </row>
    <row r="117" spans="1:32" ht="15" customHeight="1">
      <c r="A117" s="30" t="s">
        <v>135</v>
      </c>
      <c r="B117" s="40">
        <f>B109+C109+D109+E109+F109+G109</f>
        <v>0.4765737717860426</v>
      </c>
      <c r="C117" s="41">
        <f>SUM(B103:G103)</f>
        <v>0.41726749189034773</v>
      </c>
      <c r="D117" s="41">
        <f>SUM(B104:G104)</f>
        <v>0.47264473046887762</v>
      </c>
      <c r="E117" s="41">
        <f>SUM(B105:G105)</f>
        <v>0.47969054291595237</v>
      </c>
      <c r="F117" s="41">
        <f>SUM(B106:G106)</f>
        <v>0.4773860419732977</v>
      </c>
      <c r="G117" s="41">
        <f>SUM(B107:G107)</f>
        <v>0.48330287235168479</v>
      </c>
      <c r="H117" s="41">
        <f>SUM(B108:G108)</f>
        <v>0.48663978667523117</v>
      </c>
      <c r="Q117" s="48"/>
      <c r="R117" s="55"/>
      <c r="S117" s="55"/>
      <c r="T117" s="55"/>
      <c r="U117" s="55"/>
      <c r="V117" s="55"/>
      <c r="W117" s="55"/>
      <c r="X117" s="52"/>
      <c r="Y117" s="52"/>
      <c r="Z117" s="52"/>
      <c r="AA117" s="52"/>
      <c r="AB117" s="52"/>
      <c r="AC117" s="52"/>
      <c r="AD117" s="52"/>
      <c r="AE117" s="52"/>
    </row>
    <row r="118" spans="1:32" ht="15" customHeight="1">
      <c r="A118" s="30" t="s">
        <v>136</v>
      </c>
      <c r="B118" s="40">
        <f>B109+C109+D109+E109+F109+G109+H109</f>
        <v>0.56596848551323098</v>
      </c>
      <c r="C118" s="41">
        <f>SUM(B103:H103)</f>
        <v>0.51023363502203889</v>
      </c>
      <c r="D118" s="41">
        <f>SUM(B104:H104)</f>
        <v>0.56556345046913459</v>
      </c>
      <c r="E118" s="41">
        <f>SUM(B105:H105)</f>
        <v>0.56800023771285502</v>
      </c>
      <c r="F118" s="41">
        <f>SUM(B106:H106)</f>
        <v>0.56434176835770311</v>
      </c>
      <c r="G118" s="41">
        <f>SUM(B107:H107)</f>
        <v>0.57104465797451376</v>
      </c>
      <c r="H118" s="41">
        <f>SUM(B108:H108)</f>
        <v>0.5811411526027136</v>
      </c>
      <c r="Q118" s="48"/>
      <c r="R118" s="55"/>
      <c r="S118" s="55"/>
      <c r="T118" s="55"/>
      <c r="U118" s="55"/>
      <c r="V118" s="55"/>
      <c r="W118" s="55"/>
      <c r="X118" s="52"/>
      <c r="Y118" s="52"/>
      <c r="Z118" s="52"/>
      <c r="AA118" s="52"/>
      <c r="AB118" s="52"/>
      <c r="AC118" s="52"/>
      <c r="AD118" s="52"/>
      <c r="AE118" s="52"/>
    </row>
    <row r="119" spans="1:32" ht="15" customHeight="1">
      <c r="A119" s="30" t="s">
        <v>137</v>
      </c>
      <c r="B119" s="40">
        <f>B109+C109+D109+E109+F109+G109+H109+I109</f>
        <v>0.66337410683194187</v>
      </c>
      <c r="C119" s="41">
        <f>SUM(B103:I103)</f>
        <v>0.60877608187020671</v>
      </c>
      <c r="D119" s="41">
        <f>SUM(B104:I104)</f>
        <v>0.65808209002921758</v>
      </c>
      <c r="E119" s="41">
        <f>SUM(B105:I105)</f>
        <v>0.66739740960338789</v>
      </c>
      <c r="F119" s="41">
        <f>SUM(B106:I106)</f>
        <v>0.66464282086322002</v>
      </c>
      <c r="G119" s="41">
        <f>SUM(B107:I107)</f>
        <v>0.66331974439897656</v>
      </c>
      <c r="H119" s="41">
        <f>SUM(B108:I108)</f>
        <v>0.66971731427566172</v>
      </c>
      <c r="Q119" s="48"/>
      <c r="R119" s="55"/>
      <c r="S119" s="55"/>
      <c r="T119" s="55"/>
      <c r="U119" s="55"/>
      <c r="V119" s="55"/>
      <c r="W119" s="55"/>
      <c r="X119" s="52"/>
      <c r="Y119" s="52"/>
      <c r="Z119" s="52"/>
      <c r="AA119" s="52"/>
      <c r="AB119" s="52"/>
      <c r="AC119" s="52"/>
      <c r="AD119" s="52"/>
      <c r="AE119" s="52"/>
    </row>
    <row r="120" spans="1:32" ht="15" customHeight="1">
      <c r="A120" s="30" t="s">
        <v>138</v>
      </c>
      <c r="B120" s="40">
        <f>B109+C109+D109+E109+F109+G109+H109+I109+J109</f>
        <v>0.74968597304930795</v>
      </c>
      <c r="C120" s="41">
        <f>SUM(B103:J103)</f>
        <v>0.70598797631878807</v>
      </c>
      <c r="D120" s="41">
        <f>SUM(B104:J104)</f>
        <v>0.74667265728130461</v>
      </c>
      <c r="E120" s="41">
        <f>SUM(B105:J105)</f>
        <v>0.75055854449008552</v>
      </c>
      <c r="F120" s="41">
        <f>SUM(B106:J106)</f>
        <v>0.75182671737653373</v>
      </c>
      <c r="G120" s="41">
        <f>SUM(B107:J107)</f>
        <v>0.75346834906991489</v>
      </c>
      <c r="H120" s="41">
        <f>SUM(B108:J108)</f>
        <v>0.75848045180021928</v>
      </c>
      <c r="Q120" s="48"/>
      <c r="R120" s="55"/>
      <c r="S120" s="55"/>
      <c r="T120" s="55"/>
      <c r="U120" s="55"/>
      <c r="V120" s="55"/>
      <c r="W120" s="55"/>
      <c r="X120" s="52"/>
      <c r="Y120" s="52"/>
      <c r="Z120" s="52"/>
      <c r="AA120" s="52"/>
      <c r="AB120" s="52"/>
      <c r="AC120" s="52"/>
      <c r="AD120" s="52"/>
      <c r="AE120" s="52"/>
    </row>
    <row r="121" spans="1:32" ht="15" customHeight="1">
      <c r="A121" s="30" t="s">
        <v>139</v>
      </c>
      <c r="B121" s="40">
        <f>B109+C109+D109+E109+F109+G109+H109+I109+J109+K109</f>
        <v>0.84267361242038696</v>
      </c>
      <c r="C121" s="41">
        <f>SUM(B103:K103)</f>
        <v>0.81368263359324189</v>
      </c>
      <c r="D121" s="41">
        <f>SUM(B104:K104)</f>
        <v>0.84230998959885595</v>
      </c>
      <c r="E121" s="41">
        <f>SUM(B105:K105)</f>
        <v>0.84451592005344933</v>
      </c>
      <c r="F121" s="41">
        <f>SUM(B106:K106)</f>
        <v>0.84119492760885572</v>
      </c>
      <c r="G121" s="41">
        <f>SUM(B107:K107)</f>
        <v>0.83404150046957803</v>
      </c>
      <c r="H121" s="41">
        <f>SUM(B108:K108)</f>
        <v>0.8454111652469134</v>
      </c>
      <c r="Q121" s="48"/>
      <c r="R121" s="55"/>
      <c r="S121" s="55"/>
      <c r="T121" s="55"/>
      <c r="U121" s="55"/>
      <c r="V121" s="55"/>
      <c r="W121" s="55"/>
      <c r="X121" s="52"/>
      <c r="Y121" s="52"/>
      <c r="Z121" s="52"/>
      <c r="AA121" s="52"/>
      <c r="AB121" s="52"/>
      <c r="AC121" s="52"/>
      <c r="AD121" s="52"/>
      <c r="AE121" s="52"/>
    </row>
    <row r="122" spans="1:32" ht="15" customHeight="1">
      <c r="A122" s="30" t="s">
        <v>140</v>
      </c>
      <c r="B122" s="40">
        <f>B109+C109+D109+E109+F109+G109+H109+I109+J109+K109+L109</f>
        <v>0.92404588831514578</v>
      </c>
      <c r="C122" s="41">
        <f>SUM(B103:L103)</f>
        <v>0.90857871010563906</v>
      </c>
      <c r="D122" s="41">
        <f>SUM(B104:L104)</f>
        <v>0.92399798339813077</v>
      </c>
      <c r="E122" s="41">
        <f>SUM(B105:L105)</f>
        <v>0.92418204415226024</v>
      </c>
      <c r="F122" s="41">
        <f>SUM(B106:L106)</f>
        <v>0.92395763739504633</v>
      </c>
      <c r="G122" s="41">
        <f>SUM(B107:L107)</f>
        <v>0.91662304916468285</v>
      </c>
      <c r="H122" s="41">
        <f>SUM(B108:L108)</f>
        <v>0.9244212879908611</v>
      </c>
      <c r="Q122" s="48"/>
      <c r="R122" s="55"/>
      <c r="S122" s="55"/>
      <c r="T122" s="55"/>
      <c r="U122" s="55"/>
      <c r="V122" s="55"/>
      <c r="W122" s="55"/>
      <c r="X122" s="52"/>
      <c r="Y122" s="52"/>
      <c r="Z122" s="52"/>
      <c r="AA122" s="52"/>
      <c r="AB122" s="52"/>
      <c r="AC122" s="52"/>
      <c r="AD122" s="52"/>
      <c r="AE122" s="52"/>
    </row>
    <row r="123" spans="1:32" s="12" customFormat="1" ht="15" customHeight="1">
      <c r="A123" s="30" t="s">
        <v>141</v>
      </c>
      <c r="B123" s="40">
        <f>SUM(B109:M109)</f>
        <v>1</v>
      </c>
      <c r="C123" s="41">
        <f>SUM(B103:M103)</f>
        <v>0.99999999999999989</v>
      </c>
      <c r="D123" s="41">
        <f>SUM(B104:M104)</f>
        <v>1</v>
      </c>
      <c r="E123" s="41">
        <f>SUM(B105:M105)</f>
        <v>1.0000000000000002</v>
      </c>
      <c r="F123" s="41">
        <f>SUM(B106:M106)</f>
        <v>1</v>
      </c>
      <c r="G123" s="41">
        <f>SUM(B107:M107)</f>
        <v>1</v>
      </c>
      <c r="H123" s="41">
        <f>SUM(B108:M108)</f>
        <v>1.0000000000000002</v>
      </c>
      <c r="I123"/>
      <c r="J123"/>
      <c r="K123"/>
      <c r="L123"/>
      <c r="M123"/>
      <c r="N123"/>
      <c r="O123"/>
      <c r="P123" s="1020"/>
      <c r="Q123" s="48"/>
      <c r="R123" s="55"/>
      <c r="S123" s="55"/>
      <c r="T123" s="55"/>
      <c r="U123" s="55"/>
      <c r="V123" s="55"/>
      <c r="W123" s="55"/>
      <c r="X123" s="52"/>
      <c r="Y123" s="52"/>
      <c r="Z123" s="52"/>
      <c r="AA123" s="52"/>
      <c r="AB123" s="52"/>
      <c r="AC123" s="52"/>
      <c r="AD123" s="52"/>
      <c r="AE123" s="52"/>
      <c r="AF123" s="1054"/>
    </row>
    <row r="124" spans="1:32" ht="25.5" customHeight="1">
      <c r="A124" s="45"/>
      <c r="B124" s="46"/>
      <c r="C124" s="46"/>
      <c r="D124" s="46"/>
      <c r="E124" s="46"/>
      <c r="F124" s="46"/>
      <c r="G124" s="46"/>
      <c r="H124" s="12"/>
      <c r="I124" s="12"/>
      <c r="J124" s="12"/>
      <c r="K124" s="12"/>
      <c r="L124" s="12"/>
      <c r="M124" s="12"/>
      <c r="N124" s="12"/>
      <c r="O124" s="12"/>
      <c r="P124" s="1054"/>
      <c r="Q124" s="208"/>
      <c r="R124" s="208"/>
      <c r="S124" s="208"/>
      <c r="T124" s="208"/>
      <c r="U124" s="208"/>
      <c r="V124" s="208"/>
      <c r="W124" s="208"/>
      <c r="X124" s="208"/>
      <c r="Y124" s="208"/>
      <c r="Z124" s="208"/>
      <c r="AA124" s="208"/>
      <c r="AB124" s="208"/>
      <c r="AC124" s="208"/>
      <c r="AD124" s="208"/>
      <c r="AE124" s="208"/>
    </row>
    <row r="125" spans="1:32" ht="15" customHeight="1">
      <c r="A125" s="1393" t="s">
        <v>142</v>
      </c>
      <c r="B125" s="1394"/>
      <c r="C125" s="1394"/>
      <c r="D125" s="1394"/>
      <c r="E125" s="1394"/>
      <c r="F125" s="1394"/>
      <c r="G125" s="1394"/>
      <c r="H125" s="1394"/>
      <c r="I125" s="1394"/>
      <c r="J125" s="1394"/>
      <c r="K125" s="1394"/>
      <c r="L125" s="1394"/>
      <c r="M125" s="1394"/>
      <c r="N125" s="1394"/>
      <c r="O125" s="1395"/>
      <c r="Q125" s="48"/>
      <c r="R125" s="49"/>
      <c r="S125" s="49"/>
      <c r="T125" s="49"/>
      <c r="U125" s="49"/>
      <c r="V125" s="49"/>
      <c r="W125" s="49"/>
      <c r="X125" s="49"/>
      <c r="Y125" s="49"/>
      <c r="Z125" s="49"/>
      <c r="AA125" s="49"/>
      <c r="AB125" s="49"/>
      <c r="AC125" s="49"/>
      <c r="AD125" s="49"/>
      <c r="AE125" s="49"/>
    </row>
    <row r="126" spans="1:32" ht="15" customHeight="1">
      <c r="A126" s="30" t="s">
        <v>115</v>
      </c>
      <c r="B126" s="47" t="s">
        <v>116</v>
      </c>
      <c r="C126" s="47" t="s">
        <v>117</v>
      </c>
      <c r="D126" s="47" t="s">
        <v>118</v>
      </c>
      <c r="E126" s="47" t="s">
        <v>119</v>
      </c>
      <c r="F126" s="47" t="s">
        <v>120</v>
      </c>
      <c r="G126" s="47" t="s">
        <v>121</v>
      </c>
      <c r="H126" s="47" t="s">
        <v>122</v>
      </c>
      <c r="I126" s="47" t="s">
        <v>123</v>
      </c>
      <c r="J126" s="47" t="s">
        <v>124</v>
      </c>
      <c r="K126" s="47" t="s">
        <v>125</v>
      </c>
      <c r="L126" s="47" t="s">
        <v>126</v>
      </c>
      <c r="M126" s="47" t="s">
        <v>127</v>
      </c>
      <c r="N126" s="47" t="s">
        <v>128</v>
      </c>
      <c r="O126" s="47" t="s">
        <v>129</v>
      </c>
      <c r="Q126" s="48"/>
      <c r="R126" s="50"/>
      <c r="S126" s="50"/>
      <c r="T126" s="50"/>
      <c r="U126" s="50"/>
      <c r="V126" s="50"/>
      <c r="W126" s="50"/>
      <c r="X126" s="50"/>
      <c r="Y126" s="50"/>
      <c r="Z126" s="50"/>
      <c r="AA126" s="50"/>
      <c r="AB126" s="50"/>
      <c r="AC126" s="50"/>
      <c r="AD126" s="51"/>
      <c r="AE126" s="49"/>
    </row>
    <row r="127" spans="1:32" ht="15" customHeight="1">
      <c r="A127" s="56">
        <v>2020</v>
      </c>
      <c r="B127" s="36">
        <f>'ARRECADAÇÃO MENSAL POR RECEITA'!$G$20</f>
        <v>821160.57</v>
      </c>
      <c r="C127" s="36">
        <f>'ARRECADAÇÃO MENSAL POR RECEITA'!$G$21</f>
        <v>670526.56000000006</v>
      </c>
      <c r="D127" s="36">
        <f>'ARRECADAÇÃO MENSAL POR RECEITA'!$G$22</f>
        <v>635966.18999999983</v>
      </c>
      <c r="E127" s="36">
        <f>'ARRECADAÇÃO MENSAL POR RECEITA'!$G$23</f>
        <v>388580.88</v>
      </c>
      <c r="F127" s="36">
        <f>'ARRECADAÇÃO MENSAL POR RECEITA'!$G$24</f>
        <v>354397.04000000004</v>
      </c>
      <c r="G127" s="36">
        <f>'ARRECADAÇÃO MENSAL POR RECEITA'!$G$25</f>
        <v>449221.93</v>
      </c>
      <c r="H127" s="36">
        <f>'ARRECADAÇÃO MENSAL POR RECEITA'!$G$26</f>
        <v>521006.64</v>
      </c>
      <c r="I127" s="36">
        <f>'ARRECADAÇÃO MENSAL POR RECEITA'!$G$27</f>
        <v>609071.40999999992</v>
      </c>
      <c r="J127" s="36">
        <f>'ARRECADAÇÃO MENSAL POR RECEITA'!$G$28</f>
        <v>745389.69000000006</v>
      </c>
      <c r="K127" s="36">
        <f>'ARRECADAÇÃO MENSAL POR RECEITA'!$G$29</f>
        <v>770388.81</v>
      </c>
      <c r="L127" s="36">
        <f>'ARRECADAÇÃO MENSAL POR RECEITA'!$G$30</f>
        <v>771584.67999999982</v>
      </c>
      <c r="M127" s="36">
        <f>'ARRECADAÇÃO MENSAL POR RECEITA'!$G$31</f>
        <v>782024.30999999994</v>
      </c>
      <c r="N127" s="35">
        <f>SUM(B127:M127)</f>
        <v>7519318.71</v>
      </c>
      <c r="O127" s="177">
        <f>'Evolução das Receitas'!AC207+'Evolução das Receitas'!AC209</f>
        <v>6197821.1084538158</v>
      </c>
      <c r="P127" s="235">
        <f>N127/O127</f>
        <v>1.2132197071231474</v>
      </c>
      <c r="Q127" s="48"/>
      <c r="R127" s="50"/>
      <c r="S127" s="50"/>
      <c r="T127" s="50"/>
      <c r="U127" s="50"/>
      <c r="V127" s="50"/>
      <c r="W127" s="50"/>
      <c r="X127" s="50"/>
      <c r="Y127" s="50"/>
      <c r="Z127" s="50"/>
      <c r="AA127" s="50"/>
      <c r="AB127" s="50"/>
      <c r="AC127" s="50"/>
      <c r="AD127" s="51"/>
      <c r="AE127" s="49"/>
    </row>
    <row r="128" spans="1:32" ht="15" customHeight="1">
      <c r="A128" s="56">
        <v>2019</v>
      </c>
      <c r="B128" s="33">
        <v>648692.31000000017</v>
      </c>
      <c r="C128" s="34">
        <v>628940.54999999981</v>
      </c>
      <c r="D128" s="34">
        <v>485833.07999999996</v>
      </c>
      <c r="E128" s="34">
        <v>528782.26300000015</v>
      </c>
      <c r="F128" s="34">
        <v>533826.07999999996</v>
      </c>
      <c r="G128" s="34">
        <v>479174.65</v>
      </c>
      <c r="H128" s="34">
        <v>890911.14000000036</v>
      </c>
      <c r="I128" s="34">
        <v>837570.77</v>
      </c>
      <c r="J128" s="34">
        <v>749063.16999999993</v>
      </c>
      <c r="K128" s="34">
        <v>944488.39999999991</v>
      </c>
      <c r="L128" s="34">
        <v>858213.85</v>
      </c>
      <c r="M128" s="34">
        <v>1062498.79</v>
      </c>
      <c r="N128" s="35">
        <f>SUM(B128:M128)</f>
        <v>8647995.0529999994</v>
      </c>
      <c r="O128" s="179"/>
      <c r="P128" s="235"/>
      <c r="Q128" s="48"/>
      <c r="R128" s="50"/>
      <c r="S128" s="50"/>
      <c r="T128" s="50"/>
      <c r="U128" s="50"/>
      <c r="V128" s="50"/>
      <c r="W128" s="50"/>
      <c r="X128" s="50"/>
      <c r="Y128" s="50"/>
      <c r="Z128" s="50"/>
      <c r="AA128" s="50"/>
      <c r="AB128" s="50"/>
      <c r="AC128" s="50"/>
      <c r="AD128" s="51"/>
      <c r="AE128" s="50"/>
    </row>
    <row r="129" spans="1:31" ht="15" customHeight="1">
      <c r="A129" s="56">
        <v>2018</v>
      </c>
      <c r="B129" s="36">
        <v>891818.24</v>
      </c>
      <c r="C129" s="37">
        <v>696803.92200000002</v>
      </c>
      <c r="D129" s="37">
        <v>537059.97000000009</v>
      </c>
      <c r="E129" s="37">
        <v>633812.36</v>
      </c>
      <c r="F129" s="37">
        <v>518619.05</v>
      </c>
      <c r="G129" s="37">
        <v>539529.73</v>
      </c>
      <c r="H129" s="37">
        <v>624000.97</v>
      </c>
      <c r="I129" s="37">
        <v>629244.55000000005</v>
      </c>
      <c r="J129" s="37">
        <v>508032.74</v>
      </c>
      <c r="K129" s="37">
        <v>648680.08000000019</v>
      </c>
      <c r="L129" s="37">
        <v>557872.15000000014</v>
      </c>
      <c r="M129" s="37">
        <v>686671.9</v>
      </c>
      <c r="N129" s="35">
        <f>SUM(B129:M129)</f>
        <v>7472145.6620000005</v>
      </c>
      <c r="O129" s="179"/>
      <c r="Q129" s="48"/>
      <c r="R129" s="50"/>
      <c r="S129" s="50"/>
      <c r="T129" s="50"/>
      <c r="U129" s="50"/>
      <c r="V129" s="50"/>
      <c r="W129" s="50"/>
      <c r="X129" s="50"/>
      <c r="Y129" s="50"/>
      <c r="Z129" s="50"/>
      <c r="AA129" s="50"/>
      <c r="AB129" s="50"/>
      <c r="AC129" s="50"/>
      <c r="AD129" s="51"/>
      <c r="AE129" s="52"/>
    </row>
    <row r="130" spans="1:31" ht="15" customHeight="1">
      <c r="A130" s="56">
        <v>2017</v>
      </c>
      <c r="B130" s="33">
        <v>725705.97</v>
      </c>
      <c r="C130" s="34">
        <v>463398.82000000007</v>
      </c>
      <c r="D130" s="34">
        <v>562416.81999999995</v>
      </c>
      <c r="E130" s="34">
        <v>387273.12000000005</v>
      </c>
      <c r="F130" s="34">
        <v>554939.61</v>
      </c>
      <c r="G130" s="34">
        <v>540003.85000000009</v>
      </c>
      <c r="H130" s="34">
        <v>556558.75</v>
      </c>
      <c r="I130" s="34">
        <v>739784.04</v>
      </c>
      <c r="J130" s="34">
        <v>600273.45000000007</v>
      </c>
      <c r="K130" s="34">
        <v>929789.57400000002</v>
      </c>
      <c r="L130" s="34">
        <v>863704.84000000008</v>
      </c>
      <c r="M130" s="34">
        <v>690490.60999999987</v>
      </c>
      <c r="N130" s="35">
        <f t="shared" ref="N130:N132" si="43">SUM(B130:M130)</f>
        <v>7614339.4539999999</v>
      </c>
      <c r="O130" s="179"/>
      <c r="Q130" s="48"/>
      <c r="R130" s="50"/>
      <c r="S130" s="50"/>
      <c r="T130" s="50"/>
      <c r="U130" s="50"/>
      <c r="V130" s="50"/>
      <c r="W130" s="50"/>
      <c r="X130" s="50"/>
      <c r="Y130" s="50"/>
      <c r="Z130" s="50"/>
      <c r="AA130" s="50"/>
      <c r="AB130" s="50"/>
      <c r="AC130" s="50"/>
      <c r="AD130" s="51"/>
      <c r="AE130" s="52"/>
    </row>
    <row r="131" spans="1:31" ht="15" customHeight="1">
      <c r="A131" s="56">
        <v>2016</v>
      </c>
      <c r="B131" s="36">
        <v>371780.60000000003</v>
      </c>
      <c r="C131" s="37">
        <v>401990.97</v>
      </c>
      <c r="D131" s="37">
        <v>434908.28</v>
      </c>
      <c r="E131" s="37">
        <v>359921.28</v>
      </c>
      <c r="F131" s="37">
        <v>346770.53</v>
      </c>
      <c r="G131" s="37">
        <v>412304.52</v>
      </c>
      <c r="H131" s="37">
        <v>432302.89</v>
      </c>
      <c r="I131" s="37">
        <v>485676.55999999994</v>
      </c>
      <c r="J131" s="37">
        <v>501553.45</v>
      </c>
      <c r="K131" s="37">
        <v>498741.43</v>
      </c>
      <c r="L131" s="37">
        <v>565796.65</v>
      </c>
      <c r="M131" s="37">
        <v>751275.06</v>
      </c>
      <c r="N131" s="35">
        <f t="shared" si="43"/>
        <v>5563022.2200000007</v>
      </c>
      <c r="O131" s="179"/>
      <c r="Q131" s="48"/>
      <c r="R131" s="50"/>
      <c r="S131" s="50"/>
      <c r="T131" s="50"/>
      <c r="U131" s="50"/>
      <c r="V131" s="50"/>
      <c r="W131" s="50"/>
      <c r="X131" s="50"/>
      <c r="Y131" s="50"/>
      <c r="Z131" s="50"/>
      <c r="AA131" s="50"/>
      <c r="AB131" s="50"/>
      <c r="AC131" s="50"/>
      <c r="AD131" s="51"/>
      <c r="AE131" s="52"/>
    </row>
    <row r="132" spans="1:31" ht="15" customHeight="1">
      <c r="A132" s="57">
        <v>2015</v>
      </c>
      <c r="B132" s="33">
        <v>351696.66000000009</v>
      </c>
      <c r="C132" s="34">
        <v>414254.25</v>
      </c>
      <c r="D132" s="34">
        <v>384288.9200000001</v>
      </c>
      <c r="E132" s="34">
        <v>286915.38</v>
      </c>
      <c r="F132" s="34">
        <v>302206.52</v>
      </c>
      <c r="G132" s="34">
        <v>388235.47</v>
      </c>
      <c r="H132" s="34">
        <v>433014.54</v>
      </c>
      <c r="I132" s="34">
        <v>379232.69</v>
      </c>
      <c r="J132" s="34">
        <v>435611.22999999992</v>
      </c>
      <c r="K132" s="34">
        <v>446307.47000000009</v>
      </c>
      <c r="L132" s="34">
        <v>484277.2919999999</v>
      </c>
      <c r="M132" s="34">
        <v>517908.32999999996</v>
      </c>
      <c r="N132" s="35">
        <f t="shared" si="43"/>
        <v>4823948.7520000003</v>
      </c>
      <c r="O132" s="179"/>
      <c r="Q132" s="53"/>
      <c r="R132" s="52"/>
      <c r="S132" s="52"/>
      <c r="T132" s="52"/>
      <c r="U132" s="52"/>
      <c r="V132" s="52"/>
      <c r="W132" s="52"/>
      <c r="X132" s="52"/>
      <c r="Y132" s="52"/>
      <c r="Z132" s="52"/>
      <c r="AA132" s="52"/>
      <c r="AB132" s="52"/>
      <c r="AC132" s="52"/>
      <c r="AD132" s="52"/>
      <c r="AE132" s="52"/>
    </row>
    <row r="133" spans="1:31" ht="15" customHeight="1">
      <c r="A133" s="203"/>
      <c r="Q133" s="48"/>
      <c r="R133" s="52"/>
      <c r="S133" s="52"/>
      <c r="T133" s="52"/>
      <c r="U133" s="52"/>
      <c r="V133" s="52"/>
      <c r="W133" s="52"/>
      <c r="X133" s="52"/>
      <c r="Y133" s="52"/>
      <c r="Z133" s="52"/>
      <c r="AA133" s="52"/>
      <c r="AB133" s="52"/>
      <c r="AC133" s="52"/>
      <c r="AD133" s="52"/>
      <c r="AE133" s="52"/>
    </row>
    <row r="134" spans="1:31" ht="15" customHeight="1">
      <c r="A134" s="58">
        <v>2020</v>
      </c>
      <c r="B134" s="38">
        <f>B127/$N$127</f>
        <v>0.10920677812312067</v>
      </c>
      <c r="C134" s="38">
        <f t="shared" ref="C134:M134" si="44">C127/$N$127</f>
        <v>8.9173844846909017E-2</v>
      </c>
      <c r="D134" s="38">
        <f t="shared" si="44"/>
        <v>8.4577634560724702E-2</v>
      </c>
      <c r="E134" s="38">
        <f t="shared" si="44"/>
        <v>5.1677671207528857E-2</v>
      </c>
      <c r="F134" s="38">
        <f t="shared" si="44"/>
        <v>4.7131535936717865E-2</v>
      </c>
      <c r="G134" s="38">
        <f t="shared" si="44"/>
        <v>5.9742371260653744E-2</v>
      </c>
      <c r="H134" s="38">
        <f t="shared" si="44"/>
        <v>6.9289075259851562E-2</v>
      </c>
      <c r="I134" s="38">
        <f t="shared" si="44"/>
        <v>8.1000877006315891E-2</v>
      </c>
      <c r="J134" s="38">
        <f t="shared" si="44"/>
        <v>9.9129950298382827E-2</v>
      </c>
      <c r="K134" s="38">
        <f t="shared" si="44"/>
        <v>0.10245460256598168</v>
      </c>
      <c r="L134" s="38">
        <f t="shared" si="44"/>
        <v>0.10261364224046833</v>
      </c>
      <c r="M134" s="38">
        <f t="shared" si="44"/>
        <v>0.1040020166933448</v>
      </c>
      <c r="N134" s="209" t="b">
        <f>SUM(B134:M134)=100%</f>
        <v>1</v>
      </c>
      <c r="Q134" s="48"/>
      <c r="R134" s="52"/>
      <c r="S134" s="52"/>
      <c r="T134" s="52"/>
      <c r="U134" s="52"/>
      <c r="V134" s="52"/>
      <c r="W134" s="52"/>
      <c r="X134" s="52"/>
      <c r="Y134" s="52"/>
      <c r="Z134" s="52"/>
      <c r="AA134" s="52"/>
      <c r="AB134" s="52"/>
      <c r="AC134" s="52"/>
      <c r="AD134" s="52"/>
      <c r="AE134" s="52"/>
    </row>
    <row r="135" spans="1:31" ht="15" customHeight="1">
      <c r="A135" s="58">
        <v>2019</v>
      </c>
      <c r="B135" s="38">
        <f>B128/$N$128</f>
        <v>7.5010717053424783E-2</v>
      </c>
      <c r="C135" s="38">
        <f t="shared" ref="C135:M135" si="45">C128/$N$128</f>
        <v>7.272674719926206E-2</v>
      </c>
      <c r="D135" s="38">
        <f t="shared" si="45"/>
        <v>5.6178695411194059E-2</v>
      </c>
      <c r="E135" s="38">
        <f t="shared" si="45"/>
        <v>6.1145070014415076E-2</v>
      </c>
      <c r="F135" s="38">
        <f t="shared" si="45"/>
        <v>6.1728305431305155E-2</v>
      </c>
      <c r="G135" s="38">
        <f t="shared" si="45"/>
        <v>5.5408756256604678E-2</v>
      </c>
      <c r="H135" s="38">
        <f t="shared" si="45"/>
        <v>0.10301938594321261</v>
      </c>
      <c r="I135" s="38">
        <f t="shared" si="45"/>
        <v>9.685143953793611E-2</v>
      </c>
      <c r="J135" s="38">
        <f t="shared" si="45"/>
        <v>8.6616974849002604E-2</v>
      </c>
      <c r="K135" s="38">
        <f t="shared" si="45"/>
        <v>0.10921472482484317</v>
      </c>
      <c r="L135" s="38">
        <f t="shared" si="45"/>
        <v>9.9238476056052391E-2</v>
      </c>
      <c r="M135" s="38">
        <f t="shared" si="45"/>
        <v>0.12286070742274742</v>
      </c>
      <c r="N135" s="209" t="b">
        <f t="shared" ref="N135:N140" si="46">SUM(B135:M135)=100%</f>
        <v>1</v>
      </c>
      <c r="Q135" s="48"/>
      <c r="R135" s="54"/>
      <c r="S135" s="54"/>
      <c r="T135" s="54"/>
      <c r="U135" s="54"/>
      <c r="V135" s="54"/>
      <c r="W135" s="54"/>
      <c r="X135" s="54"/>
      <c r="Y135" s="54"/>
      <c r="Z135" s="54"/>
      <c r="AA135" s="54"/>
      <c r="AB135" s="54"/>
      <c r="AC135" s="54"/>
      <c r="AD135" s="52"/>
      <c r="AE135" s="52"/>
    </row>
    <row r="136" spans="1:31" ht="15" customHeight="1">
      <c r="A136" s="56">
        <v>2018</v>
      </c>
      <c r="B136" s="38">
        <f>B129/N129</f>
        <v>0.11935236280729773</v>
      </c>
      <c r="C136" s="39">
        <f>C129/N129</f>
        <v>9.325352496052558E-2</v>
      </c>
      <c r="D136" s="39">
        <f>D129/N129</f>
        <v>7.1874933157586515E-2</v>
      </c>
      <c r="E136" s="39">
        <f>E129/N129</f>
        <v>8.4823341068320832E-2</v>
      </c>
      <c r="F136" s="39">
        <f>F129/N129</f>
        <v>6.9406978056847188E-2</v>
      </c>
      <c r="G136" s="39">
        <f>G129/N129</f>
        <v>7.2205462046036853E-2</v>
      </c>
      <c r="H136" s="39">
        <f>H129/N129</f>
        <v>8.3510279138881163E-2</v>
      </c>
      <c r="I136" s="39">
        <f>I129/N129</f>
        <v>8.4212029377325595E-2</v>
      </c>
      <c r="J136" s="39">
        <f>J129/N129</f>
        <v>6.7990208299020166E-2</v>
      </c>
      <c r="K136" s="39">
        <f>K129/N129</f>
        <v>8.6813093499889554E-2</v>
      </c>
      <c r="L136" s="39">
        <f>L129/N129</f>
        <v>7.4660234855576893E-2</v>
      </c>
      <c r="M136" s="39">
        <f>M129/N129</f>
        <v>9.1897552732691901E-2</v>
      </c>
      <c r="N136" s="209" t="b">
        <f t="shared" si="46"/>
        <v>1</v>
      </c>
      <c r="Q136" s="48"/>
      <c r="R136" s="54"/>
      <c r="S136" s="54"/>
      <c r="T136" s="54"/>
      <c r="U136" s="54"/>
      <c r="V136" s="54"/>
      <c r="W136" s="54"/>
      <c r="X136" s="54"/>
      <c r="Y136" s="54"/>
      <c r="Z136" s="54"/>
      <c r="AA136" s="54"/>
      <c r="AB136" s="54"/>
      <c r="AC136" s="54"/>
      <c r="AD136" s="52"/>
      <c r="AE136" s="52"/>
    </row>
    <row r="137" spans="1:31" ht="15" customHeight="1">
      <c r="A137" s="56">
        <v>2017</v>
      </c>
      <c r="B137" s="38">
        <f>B130/N130</f>
        <v>9.5307803701707675E-2</v>
      </c>
      <c r="C137" s="39">
        <f>C130/N130</f>
        <v>6.0858702557129267E-2</v>
      </c>
      <c r="D137" s="39">
        <f>D130/N130</f>
        <v>7.3862850927213203E-2</v>
      </c>
      <c r="E137" s="39">
        <f>E130/N130</f>
        <v>5.086102640151615E-2</v>
      </c>
      <c r="F137" s="39">
        <f>F130/N130</f>
        <v>7.2880860296880581E-2</v>
      </c>
      <c r="G137" s="39">
        <f>G130/N130</f>
        <v>7.0919329675579776E-2</v>
      </c>
      <c r="H137" s="39">
        <f>H130/N130</f>
        <v>7.3093503824238626E-2</v>
      </c>
      <c r="I137" s="39">
        <f>I130/N130</f>
        <v>9.7156692904119643E-2</v>
      </c>
      <c r="J137" s="39">
        <f>J130/N130</f>
        <v>7.8834605894101767E-2</v>
      </c>
      <c r="K137" s="39">
        <f>K130/N130</f>
        <v>0.122110339264105</v>
      </c>
      <c r="L137" s="39">
        <f>L130/N130</f>
        <v>0.11343135477710738</v>
      </c>
      <c r="M137" s="39">
        <f>M130/N130</f>
        <v>9.0682929776300977E-2</v>
      </c>
      <c r="N137" s="209" t="b">
        <f t="shared" si="46"/>
        <v>1</v>
      </c>
      <c r="Q137" s="48"/>
      <c r="R137" s="54"/>
      <c r="S137" s="54"/>
      <c r="T137" s="54"/>
      <c r="U137" s="54"/>
      <c r="V137" s="54"/>
      <c r="W137" s="54"/>
      <c r="X137" s="54"/>
      <c r="Y137" s="54"/>
      <c r="Z137" s="54"/>
      <c r="AA137" s="54"/>
      <c r="AB137" s="54"/>
      <c r="AC137" s="54"/>
      <c r="AD137" s="52"/>
      <c r="AE137" s="52"/>
    </row>
    <row r="138" spans="1:31" ht="15" customHeight="1">
      <c r="A138" s="56">
        <v>2016</v>
      </c>
      <c r="B138" s="38">
        <f>B131/N131</f>
        <v>6.6830687582621229E-2</v>
      </c>
      <c r="C138" s="39">
        <f>C131/N131</f>
        <v>7.2261255501510455E-2</v>
      </c>
      <c r="D138" s="39">
        <f>D131/N131</f>
        <v>7.8178418636623739E-2</v>
      </c>
      <c r="E138" s="39">
        <f>E131/N131</f>
        <v>6.4698875137694484E-2</v>
      </c>
      <c r="F138" s="39">
        <f>F131/N131</f>
        <v>6.2334917296088019E-2</v>
      </c>
      <c r="G138" s="39">
        <f>G131/N131</f>
        <v>7.411520279708679E-2</v>
      </c>
      <c r="H138" s="39">
        <f>H131/N131</f>
        <v>7.7710077886404702E-2</v>
      </c>
      <c r="I138" s="39">
        <f>I131/N131</f>
        <v>8.7304443662639175E-2</v>
      </c>
      <c r="J138" s="39">
        <f>J131/N131</f>
        <v>9.0158448081841369E-2</v>
      </c>
      <c r="K138" s="39">
        <f>K131/N131</f>
        <v>8.9652963852443493E-2</v>
      </c>
      <c r="L138" s="39">
        <f>L131/N131</f>
        <v>0.10170670323153948</v>
      </c>
      <c r="M138" s="39">
        <f>M131/N131</f>
        <v>0.13504800633350697</v>
      </c>
      <c r="N138" s="209" t="b">
        <f t="shared" si="46"/>
        <v>1</v>
      </c>
      <c r="Q138" s="48"/>
      <c r="R138" s="54"/>
      <c r="S138" s="54"/>
      <c r="T138" s="54"/>
      <c r="U138" s="54"/>
      <c r="V138" s="54"/>
      <c r="W138" s="54"/>
      <c r="X138" s="54"/>
      <c r="Y138" s="54"/>
      <c r="Z138" s="54"/>
      <c r="AA138" s="54"/>
      <c r="AB138" s="54"/>
      <c r="AC138" s="54"/>
      <c r="AD138" s="52"/>
      <c r="AE138" s="52"/>
    </row>
    <row r="139" spans="1:31" ht="15" customHeight="1">
      <c r="A139" s="56">
        <v>2015</v>
      </c>
      <c r="B139" s="38">
        <f>B132/N132</f>
        <v>7.290638397727324E-2</v>
      </c>
      <c r="C139" s="39">
        <f>C132/N132</f>
        <v>8.5874513038359065E-2</v>
      </c>
      <c r="D139" s="39">
        <f>D132/N132</f>
        <v>7.9662728556283813E-2</v>
      </c>
      <c r="E139" s="39">
        <f>E132/N132</f>
        <v>5.9477286088714235E-2</v>
      </c>
      <c r="F139" s="39">
        <f>F132/N132</f>
        <v>6.2647124904613827E-2</v>
      </c>
      <c r="G139" s="39">
        <f>G132/N132</f>
        <v>8.0480844627347725E-2</v>
      </c>
      <c r="H139" s="39">
        <f>H132/N132</f>
        <v>8.9763503358213106E-2</v>
      </c>
      <c r="I139" s="39">
        <f>I132/N132</f>
        <v>7.8614576873929434E-2</v>
      </c>
      <c r="J139" s="39">
        <f>J132/N132</f>
        <v>9.0301794731835888E-2</v>
      </c>
      <c r="K139" s="39">
        <f>K132/N132</f>
        <v>9.2519115136735608E-2</v>
      </c>
      <c r="L139" s="39">
        <f>L132/N132</f>
        <v>0.10039022321686553</v>
      </c>
      <c r="M139" s="39">
        <f>M132/N132</f>
        <v>0.10736190548982845</v>
      </c>
      <c r="N139" s="209" t="b">
        <f t="shared" si="46"/>
        <v>1</v>
      </c>
      <c r="Q139" s="48"/>
      <c r="R139" s="55"/>
      <c r="S139" s="55"/>
      <c r="T139" s="55"/>
      <c r="U139" s="55"/>
      <c r="V139" s="55"/>
      <c r="W139" s="55"/>
      <c r="X139" s="55"/>
      <c r="Y139" s="55"/>
      <c r="Z139" s="55"/>
      <c r="AA139" s="55"/>
      <c r="AB139" s="55"/>
      <c r="AC139" s="55"/>
      <c r="AD139" s="52"/>
      <c r="AE139" s="52"/>
    </row>
    <row r="140" spans="1:31" ht="15" customHeight="1">
      <c r="A140" s="30" t="s">
        <v>457</v>
      </c>
      <c r="B140" s="40">
        <f>AVERAGE(B135:B137)</f>
        <v>9.6556961187476739E-2</v>
      </c>
      <c r="C140" s="40">
        <f t="shared" ref="C140:M140" si="47">AVERAGE(C135:C137)</f>
        <v>7.5612991572305638E-2</v>
      </c>
      <c r="D140" s="40">
        <f t="shared" si="47"/>
        <v>6.7305493165331257E-2</v>
      </c>
      <c r="E140" s="40">
        <f t="shared" si="47"/>
        <v>6.5609812494750688E-2</v>
      </c>
      <c r="F140" s="40">
        <f t="shared" si="47"/>
        <v>6.8005381261677642E-2</v>
      </c>
      <c r="G140" s="40">
        <f t="shared" si="47"/>
        <v>6.6177849326073776E-2</v>
      </c>
      <c r="H140" s="40">
        <f t="shared" si="47"/>
        <v>8.65410563021108E-2</v>
      </c>
      <c r="I140" s="40">
        <f t="shared" si="47"/>
        <v>9.2740053939793787E-2</v>
      </c>
      <c r="J140" s="40">
        <f t="shared" si="47"/>
        <v>7.7813929680708174E-2</v>
      </c>
      <c r="K140" s="40">
        <f t="shared" si="47"/>
        <v>0.10604605252961256</v>
      </c>
      <c r="L140" s="40">
        <f t="shared" si="47"/>
        <v>9.5776688562912216E-2</v>
      </c>
      <c r="M140" s="40">
        <f t="shared" si="47"/>
        <v>0.10181372997724676</v>
      </c>
      <c r="N140" s="209" t="b">
        <f t="shared" si="46"/>
        <v>1</v>
      </c>
      <c r="Q140" s="52"/>
      <c r="R140" s="55"/>
      <c r="S140" s="55"/>
      <c r="T140" s="55"/>
      <c r="U140" s="55"/>
      <c r="V140" s="55"/>
      <c r="W140" s="55"/>
      <c r="X140" s="55"/>
      <c r="Y140" s="55"/>
      <c r="Z140" s="55"/>
      <c r="AA140" s="55"/>
      <c r="AB140" s="55"/>
      <c r="AC140" s="55"/>
      <c r="AD140" s="52"/>
      <c r="AE140" s="52"/>
    </row>
    <row r="141" spans="1:31" ht="15" customHeight="1">
      <c r="B141" s="42"/>
      <c r="C141" s="42"/>
      <c r="D141" s="42"/>
      <c r="E141" s="42"/>
      <c r="F141" s="42"/>
      <c r="G141" s="42"/>
      <c r="H141" s="42"/>
      <c r="I141" s="42"/>
      <c r="J141" s="42"/>
      <c r="K141" s="42"/>
      <c r="L141" s="42"/>
      <c r="M141" s="42"/>
      <c r="Q141" s="52"/>
      <c r="R141" s="48"/>
      <c r="S141" s="48"/>
      <c r="T141" s="48"/>
      <c r="U141" s="48"/>
      <c r="V141" s="48"/>
      <c r="W141" s="48"/>
      <c r="X141" s="52"/>
      <c r="Y141" s="52"/>
      <c r="Z141" s="52"/>
      <c r="AA141" s="52"/>
      <c r="AB141" s="52"/>
      <c r="AC141" s="52"/>
      <c r="AD141" s="52"/>
      <c r="AE141" s="52"/>
    </row>
    <row r="142" spans="1:31" ht="15" customHeight="1">
      <c r="B142" s="30" t="s">
        <v>457</v>
      </c>
      <c r="C142" s="59">
        <v>2020</v>
      </c>
      <c r="D142" s="59">
        <v>2019</v>
      </c>
      <c r="E142" s="59">
        <v>2018</v>
      </c>
      <c r="F142" s="59">
        <v>2017</v>
      </c>
      <c r="G142" s="59">
        <v>2016</v>
      </c>
      <c r="H142" s="60">
        <v>2015</v>
      </c>
      <c r="Q142" s="48"/>
      <c r="R142" s="55"/>
      <c r="S142" s="55"/>
      <c r="T142" s="55"/>
      <c r="U142" s="55"/>
      <c r="V142" s="55"/>
      <c r="W142" s="55"/>
      <c r="X142" s="52"/>
      <c r="Y142" s="52"/>
      <c r="Z142" s="52"/>
      <c r="AA142" s="52"/>
      <c r="AB142" s="52"/>
      <c r="AC142" s="52"/>
      <c r="AD142" s="52"/>
      <c r="AE142" s="52"/>
    </row>
    <row r="143" spans="1:31" ht="15" customHeight="1">
      <c r="A143" s="30" t="s">
        <v>130</v>
      </c>
      <c r="B143" s="43">
        <f>B140</f>
        <v>9.6556961187476739E-2</v>
      </c>
      <c r="C143" s="44">
        <f>B134</f>
        <v>0.10920677812312067</v>
      </c>
      <c r="D143" s="44">
        <f>B135</f>
        <v>7.5010717053424783E-2</v>
      </c>
      <c r="E143" s="44">
        <f>B136</f>
        <v>0.11935236280729773</v>
      </c>
      <c r="F143" s="44">
        <f>B137</f>
        <v>9.5307803701707675E-2</v>
      </c>
      <c r="G143" s="44">
        <f>B138</f>
        <v>6.6830687582621229E-2</v>
      </c>
      <c r="H143" s="44">
        <f>B139</f>
        <v>7.290638397727324E-2</v>
      </c>
      <c r="Q143" s="48"/>
      <c r="R143" s="55"/>
      <c r="S143" s="55"/>
      <c r="T143" s="55"/>
      <c r="U143" s="55"/>
      <c r="V143" s="55"/>
      <c r="W143" s="55"/>
      <c r="X143" s="52"/>
      <c r="Y143" s="52"/>
      <c r="Z143" s="52"/>
      <c r="AA143" s="52"/>
      <c r="AB143" s="52"/>
      <c r="AC143" s="52"/>
      <c r="AD143" s="52"/>
      <c r="AE143" s="52"/>
    </row>
    <row r="144" spans="1:31" ht="15" customHeight="1">
      <c r="A144" s="30" t="s">
        <v>131</v>
      </c>
      <c r="B144" s="43">
        <f>B140+C140</f>
        <v>0.17216995275978236</v>
      </c>
      <c r="C144" s="44">
        <f>SUM(B134:C134)</f>
        <v>0.19838062297002967</v>
      </c>
      <c r="D144" s="44">
        <f>SUM(B135:C135)</f>
        <v>0.14773746425268686</v>
      </c>
      <c r="E144" s="44">
        <f>SUM(B136:C136)</f>
        <v>0.2126058877678233</v>
      </c>
      <c r="F144" s="44">
        <f>SUM(B137:C137)</f>
        <v>0.15616650625883693</v>
      </c>
      <c r="G144" s="44">
        <f>SUM(B138:C138)</f>
        <v>0.1390919430841317</v>
      </c>
      <c r="H144" s="44">
        <f>SUM(B139:C139)</f>
        <v>0.15878089701563231</v>
      </c>
      <c r="Q144" s="48"/>
      <c r="R144" s="55"/>
      <c r="S144" s="55"/>
      <c r="T144" s="55"/>
      <c r="U144" s="55"/>
      <c r="V144" s="55"/>
      <c r="W144" s="55"/>
      <c r="X144" s="52"/>
      <c r="Y144" s="52"/>
      <c r="Z144" s="52"/>
      <c r="AA144" s="52"/>
      <c r="AB144" s="52"/>
      <c r="AC144" s="52"/>
      <c r="AD144" s="52"/>
      <c r="AE144" s="52"/>
    </row>
    <row r="145" spans="1:31" ht="15" customHeight="1">
      <c r="A145" s="30" t="s">
        <v>132</v>
      </c>
      <c r="B145" s="40">
        <f>B140+C140+D140</f>
        <v>0.23947544592511361</v>
      </c>
      <c r="C145" s="41">
        <f>SUM(B134:D134)</f>
        <v>0.28295825753075438</v>
      </c>
      <c r="D145" s="41">
        <f>SUM(B135:D135)</f>
        <v>0.20391615966388091</v>
      </c>
      <c r="E145" s="41">
        <f>SUM(B136:D136)</f>
        <v>0.28448082092540983</v>
      </c>
      <c r="F145" s="41">
        <f>SUM(B137:D137)</f>
        <v>0.23002935718605014</v>
      </c>
      <c r="G145" s="41">
        <f>SUM(B138:D138)</f>
        <v>0.21727036172075542</v>
      </c>
      <c r="H145" s="41">
        <f>SUM(B139:D139)</f>
        <v>0.23844362557191612</v>
      </c>
      <c r="Q145" s="48"/>
      <c r="R145" s="55"/>
      <c r="S145" s="55"/>
      <c r="T145" s="55"/>
      <c r="U145" s="55"/>
      <c r="V145" s="55"/>
      <c r="W145" s="55"/>
      <c r="X145" s="52"/>
      <c r="Y145" s="52"/>
      <c r="Z145" s="52"/>
      <c r="AA145" s="52"/>
      <c r="AB145" s="52"/>
      <c r="AC145" s="52"/>
      <c r="AD145" s="52"/>
      <c r="AE145" s="52"/>
    </row>
    <row r="146" spans="1:31" ht="15" customHeight="1">
      <c r="A146" s="30" t="s">
        <v>133</v>
      </c>
      <c r="B146" s="40">
        <f>B140+C140+D140+E140</f>
        <v>0.30508525841986428</v>
      </c>
      <c r="C146" s="41">
        <f>SUM(B134:E134)</f>
        <v>0.33463592873828324</v>
      </c>
      <c r="D146" s="41">
        <f>SUM(B135:E135)</f>
        <v>0.26506122967829598</v>
      </c>
      <c r="E146" s="41">
        <f>SUM(B136:E136)</f>
        <v>0.36930416199373067</v>
      </c>
      <c r="F146" s="41">
        <f>SUM(B137:E137)</f>
        <v>0.28089038358756629</v>
      </c>
      <c r="G146" s="41">
        <f>SUM(B138:E138)</f>
        <v>0.28196923685844988</v>
      </c>
      <c r="H146" s="41">
        <f>SUM(B139:E139)</f>
        <v>0.29792091166063034</v>
      </c>
      <c r="Q146" s="48"/>
      <c r="R146" s="55"/>
      <c r="S146" s="55"/>
      <c r="T146" s="55"/>
      <c r="U146" s="55"/>
      <c r="V146" s="55"/>
      <c r="W146" s="55"/>
      <c r="X146" s="52"/>
      <c r="Y146" s="52"/>
      <c r="Z146" s="52"/>
      <c r="AA146" s="52"/>
      <c r="AB146" s="52"/>
      <c r="AC146" s="52"/>
      <c r="AD146" s="52"/>
      <c r="AE146" s="52"/>
    </row>
    <row r="147" spans="1:31" ht="15" customHeight="1">
      <c r="A147" s="30" t="s">
        <v>134</v>
      </c>
      <c r="B147" s="40">
        <f>B140+C140+D140+E140+F140</f>
        <v>0.37309063968154194</v>
      </c>
      <c r="C147" s="41">
        <f>SUM(B134:F134)</f>
        <v>0.38176746467500111</v>
      </c>
      <c r="D147" s="41">
        <f>SUM(B135:F135)</f>
        <v>0.32678953510960113</v>
      </c>
      <c r="E147" s="41">
        <f>SUM(B136:F136)</f>
        <v>0.43871114005057787</v>
      </c>
      <c r="F147" s="41">
        <f>SUM(B137:F137)</f>
        <v>0.35377124388444686</v>
      </c>
      <c r="G147" s="41">
        <f>SUM(B138:F138)</f>
        <v>0.34430415415453791</v>
      </c>
      <c r="H147" s="41">
        <f>SUM(B139:F139)</f>
        <v>0.36056803656524417</v>
      </c>
      <c r="Q147" s="48"/>
      <c r="R147" s="55"/>
      <c r="S147" s="55"/>
      <c r="T147" s="55"/>
      <c r="U147" s="55"/>
      <c r="V147" s="55"/>
      <c r="W147" s="55"/>
      <c r="X147" s="52"/>
      <c r="Y147" s="52"/>
      <c r="Z147" s="52"/>
      <c r="AA147" s="52"/>
      <c r="AB147" s="52"/>
      <c r="AC147" s="52"/>
      <c r="AD147" s="52"/>
      <c r="AE147" s="52"/>
    </row>
    <row r="148" spans="1:31" ht="15" customHeight="1">
      <c r="A148" s="30" t="s">
        <v>135</v>
      </c>
      <c r="B148" s="40">
        <f>B140+C140+D140+E140+F140+G140</f>
        <v>0.43926848900761573</v>
      </c>
      <c r="C148" s="41">
        <f>SUM(B134:G134)</f>
        <v>0.44150983593565485</v>
      </c>
      <c r="D148" s="41">
        <f>SUM(B135:G135)</f>
        <v>0.38219829136620581</v>
      </c>
      <c r="E148" s="41">
        <f>SUM(B136:G136)</f>
        <v>0.51091660209661471</v>
      </c>
      <c r="F148" s="41">
        <f>SUM(B137:G137)</f>
        <v>0.42469057356002665</v>
      </c>
      <c r="G148" s="41">
        <f>SUM(B138:G138)</f>
        <v>0.41841935695162469</v>
      </c>
      <c r="H148" s="41">
        <f>SUM(B139:G139)</f>
        <v>0.44104888119259189</v>
      </c>
      <c r="Q148" s="48"/>
      <c r="R148" s="55"/>
      <c r="S148" s="55"/>
      <c r="T148" s="55"/>
      <c r="U148" s="55"/>
      <c r="V148" s="55"/>
      <c r="W148" s="55"/>
      <c r="X148" s="52"/>
      <c r="Y148" s="52"/>
      <c r="Z148" s="52"/>
      <c r="AA148" s="52"/>
      <c r="AB148" s="52"/>
      <c r="AC148" s="52"/>
      <c r="AD148" s="52"/>
      <c r="AE148" s="52"/>
    </row>
    <row r="149" spans="1:31" ht="15" customHeight="1">
      <c r="A149" s="30" t="s">
        <v>136</v>
      </c>
      <c r="B149" s="40">
        <f>B140+C140+D140+E140+F140+G140+H140</f>
        <v>0.52580954530972657</v>
      </c>
      <c r="C149" s="41">
        <f>SUM(B134:H134)</f>
        <v>0.51079891119550647</v>
      </c>
      <c r="D149" s="41">
        <f>SUM(B135:H135)</f>
        <v>0.48521767730941845</v>
      </c>
      <c r="E149" s="41">
        <f>SUM(B136:H136)</f>
        <v>0.59442688123549592</v>
      </c>
      <c r="F149" s="41">
        <f>SUM(B137:H137)</f>
        <v>0.49778407738426528</v>
      </c>
      <c r="G149" s="41">
        <f>SUM(B138:H138)</f>
        <v>0.4961294348380294</v>
      </c>
      <c r="H149" s="41">
        <f>SUM(B139:H139)</f>
        <v>0.53081238455080504</v>
      </c>
      <c r="Q149" s="48"/>
      <c r="R149" s="55"/>
      <c r="S149" s="55"/>
      <c r="T149" s="55"/>
      <c r="U149" s="55"/>
      <c r="V149" s="55"/>
      <c r="W149" s="55"/>
      <c r="X149" s="52"/>
      <c r="Y149" s="52"/>
      <c r="Z149" s="52"/>
      <c r="AA149" s="52"/>
      <c r="AB149" s="52"/>
      <c r="AC149" s="52"/>
      <c r="AD149" s="52"/>
      <c r="AE149" s="52"/>
    </row>
    <row r="150" spans="1:31" ht="15" customHeight="1">
      <c r="A150" s="30" t="s">
        <v>137</v>
      </c>
      <c r="B150" s="40">
        <f>B140+C140+D140+E140+F140+G140+H140+I140</f>
        <v>0.61854959924952035</v>
      </c>
      <c r="C150" s="41">
        <f>SUM(B134:I134)</f>
        <v>0.59179978820182233</v>
      </c>
      <c r="D150" s="41">
        <f>SUM(B135:I135)</f>
        <v>0.58206911684735452</v>
      </c>
      <c r="E150" s="41">
        <f>SUM(B136:I136)</f>
        <v>0.67863891061282156</v>
      </c>
      <c r="F150" s="41">
        <f>SUM(B137:I137)</f>
        <v>0.59494077028838488</v>
      </c>
      <c r="G150" s="41">
        <f>SUM(B138:I138)</f>
        <v>0.58343387850066852</v>
      </c>
      <c r="H150" s="41">
        <f>SUM(B139:I139)</f>
        <v>0.60942696142473451</v>
      </c>
      <c r="Q150" s="48"/>
      <c r="R150" s="55"/>
      <c r="S150" s="55"/>
      <c r="T150" s="55"/>
      <c r="U150" s="55"/>
      <c r="V150" s="55"/>
      <c r="W150" s="55"/>
      <c r="X150" s="52"/>
      <c r="Y150" s="52"/>
      <c r="Z150" s="52"/>
      <c r="AA150" s="52"/>
      <c r="AB150" s="52"/>
      <c r="AC150" s="52"/>
      <c r="AD150" s="52"/>
      <c r="AE150" s="52"/>
    </row>
    <row r="151" spans="1:31" ht="15" customHeight="1">
      <c r="A151" s="30" t="s">
        <v>138</v>
      </c>
      <c r="B151" s="40">
        <f>B140+C140+D140+E140+F140+G140+H140+I140+J140</f>
        <v>0.69636352893022857</v>
      </c>
      <c r="C151" s="41">
        <f>SUM(B134:J134)</f>
        <v>0.69092973850020512</v>
      </c>
      <c r="D151" s="41">
        <f>SUM(B135:J135)</f>
        <v>0.66868609169635707</v>
      </c>
      <c r="E151" s="41">
        <f>SUM(B136:J136)</f>
        <v>0.74662911891184169</v>
      </c>
      <c r="F151" s="41">
        <f>SUM(B137:J137)</f>
        <v>0.67377537618248662</v>
      </c>
      <c r="G151" s="41">
        <f>SUM(B138:J138)</f>
        <v>0.67359232658250989</v>
      </c>
      <c r="H151" s="41">
        <f>SUM(B139:J139)</f>
        <v>0.69972875615657038</v>
      </c>
      <c r="Q151" s="48"/>
      <c r="R151" s="55"/>
      <c r="S151" s="55"/>
      <c r="T151" s="55"/>
      <c r="U151" s="55"/>
      <c r="V151" s="55"/>
      <c r="W151" s="55"/>
      <c r="X151" s="52"/>
      <c r="Y151" s="52"/>
      <c r="Z151" s="52"/>
      <c r="AA151" s="52"/>
      <c r="AB151" s="52"/>
      <c r="AC151" s="52"/>
      <c r="AD151" s="52"/>
      <c r="AE151" s="52"/>
    </row>
    <row r="152" spans="1:31" ht="15" customHeight="1">
      <c r="A152" s="30" t="s">
        <v>139</v>
      </c>
      <c r="B152" s="40">
        <f>B140+C140+D140+E140+F140+G140+H140+I140+J140+K140</f>
        <v>0.80240958145984109</v>
      </c>
      <c r="C152" s="41">
        <f>SUM(B134:K134)</f>
        <v>0.79338434106618683</v>
      </c>
      <c r="D152" s="41">
        <f>SUM(B135:K135)</f>
        <v>0.77790081652120024</v>
      </c>
      <c r="E152" s="41">
        <f>SUM(B136:K136)</f>
        <v>0.83344221241173122</v>
      </c>
      <c r="F152" s="41">
        <f>SUM(B137:K137)</f>
        <v>0.79588571544659159</v>
      </c>
      <c r="G152" s="41">
        <f>SUM(B138:K138)</f>
        <v>0.76324529043495337</v>
      </c>
      <c r="H152" s="41">
        <f>SUM(B139:K139)</f>
        <v>0.79224787129330598</v>
      </c>
      <c r="Q152" s="48"/>
      <c r="R152" s="55"/>
      <c r="S152" s="55"/>
      <c r="T152" s="55"/>
      <c r="U152" s="55"/>
      <c r="V152" s="55"/>
      <c r="W152" s="55"/>
      <c r="X152" s="52"/>
      <c r="Y152" s="52"/>
      <c r="Z152" s="52"/>
      <c r="AA152" s="52"/>
      <c r="AB152" s="52"/>
      <c r="AC152" s="52"/>
      <c r="AD152" s="52"/>
      <c r="AE152" s="52"/>
    </row>
    <row r="153" spans="1:31" ht="15" customHeight="1">
      <c r="A153" s="30" t="s">
        <v>140</v>
      </c>
      <c r="B153" s="40">
        <f>B140+C140+D140+E140+F140+G140+H140+I140+J140+K140+L140</f>
        <v>0.89818627002275331</v>
      </c>
      <c r="C153" s="41">
        <f>SUM(B134:L134)</f>
        <v>0.89599798330665514</v>
      </c>
      <c r="D153" s="41">
        <f>SUM(B135:L135)</f>
        <v>0.87713929257725265</v>
      </c>
      <c r="E153" s="41">
        <f>SUM(B136:L136)</f>
        <v>0.90810244726730815</v>
      </c>
      <c r="F153" s="41">
        <f>SUM(B137:L137)</f>
        <v>0.90931707022369901</v>
      </c>
      <c r="G153" s="41">
        <f>SUM(B138:L138)</f>
        <v>0.86495199366649289</v>
      </c>
      <c r="H153" s="41">
        <f>SUM(B139:L139)</f>
        <v>0.89263809451017151</v>
      </c>
      <c r="Q153" s="48"/>
      <c r="R153" s="55"/>
      <c r="S153" s="55"/>
      <c r="T153" s="55"/>
      <c r="U153" s="55"/>
      <c r="V153" s="55"/>
      <c r="W153" s="55"/>
      <c r="X153" s="52"/>
      <c r="Y153" s="52"/>
      <c r="Z153" s="52"/>
      <c r="AA153" s="52"/>
      <c r="AB153" s="52"/>
      <c r="AC153" s="52"/>
      <c r="AD153" s="52"/>
      <c r="AE153" s="52"/>
    </row>
    <row r="154" spans="1:31">
      <c r="A154" s="30" t="s">
        <v>141</v>
      </c>
      <c r="B154" s="40">
        <f>SUM(B140:M140)</f>
        <v>1</v>
      </c>
      <c r="C154" s="41">
        <f>SUM(B134:M134)</f>
        <v>1</v>
      </c>
      <c r="D154" s="41">
        <f>SUM(B135:M135)</f>
        <v>1</v>
      </c>
      <c r="E154" s="41">
        <f>SUM(B136:M136)</f>
        <v>1</v>
      </c>
      <c r="F154" s="41">
        <f>SUM(B137:M137)</f>
        <v>1</v>
      </c>
      <c r="G154" s="41">
        <f>SUM(B138:M138)</f>
        <v>0.99999999999999989</v>
      </c>
      <c r="H154" s="41">
        <f>SUM(B139:M139)</f>
        <v>1</v>
      </c>
      <c r="Q154" s="52"/>
      <c r="R154" s="52"/>
      <c r="S154" s="52"/>
      <c r="T154" s="52"/>
      <c r="U154" s="52"/>
      <c r="V154" s="52"/>
      <c r="W154" s="52"/>
      <c r="X154" s="52"/>
      <c r="Y154" s="52"/>
      <c r="Z154" s="52"/>
      <c r="AA154" s="52"/>
      <c r="AB154" s="52"/>
      <c r="AC154" s="52"/>
      <c r="AD154" s="52"/>
      <c r="AE154" s="52"/>
    </row>
    <row r="155" spans="1:31">
      <c r="Q155" s="52"/>
      <c r="R155" s="52"/>
      <c r="S155" s="52"/>
      <c r="T155" s="52"/>
      <c r="U155" s="52"/>
      <c r="V155" s="52"/>
      <c r="W155" s="52"/>
      <c r="X155" s="52"/>
      <c r="Y155" s="52"/>
      <c r="Z155" s="52"/>
      <c r="AA155" s="52"/>
      <c r="AB155" s="52"/>
      <c r="AC155" s="52"/>
      <c r="AD155" s="52"/>
      <c r="AE155" s="52"/>
    </row>
    <row r="156" spans="1:31">
      <c r="Q156" s="52"/>
      <c r="R156" s="52"/>
      <c r="S156" s="52"/>
      <c r="T156" s="52"/>
      <c r="U156" s="52"/>
      <c r="V156" s="52"/>
      <c r="W156" s="52"/>
      <c r="X156" s="52"/>
      <c r="Y156" s="52"/>
      <c r="Z156" s="52"/>
      <c r="AA156" s="52"/>
      <c r="AB156" s="52"/>
      <c r="AC156" s="52"/>
      <c r="AD156" s="52"/>
      <c r="AE156" s="52"/>
    </row>
    <row r="157" spans="1:31">
      <c r="Q157" s="52"/>
      <c r="R157" s="52"/>
      <c r="S157" s="52"/>
      <c r="T157" s="52"/>
      <c r="U157" s="52"/>
      <c r="V157" s="52"/>
      <c r="W157" s="52"/>
      <c r="X157" s="52"/>
      <c r="Y157" s="52"/>
      <c r="Z157" s="52"/>
      <c r="AA157" s="52"/>
      <c r="AB157" s="52"/>
      <c r="AC157" s="52"/>
      <c r="AD157" s="52"/>
      <c r="AE157" s="52"/>
    </row>
  </sheetData>
  <mergeCells count="9">
    <mergeCell ref="A125:O125"/>
    <mergeCell ref="A94:O94"/>
    <mergeCell ref="Q63:AE63"/>
    <mergeCell ref="A63:O63"/>
    <mergeCell ref="Z1:AD1"/>
    <mergeCell ref="A1:O1"/>
    <mergeCell ref="Q32:AE32"/>
    <mergeCell ref="Q16:S16"/>
    <mergeCell ref="A32:O32"/>
  </mergeCells>
  <conditionalFormatting sqref="P8">
    <cfRule type="cellIs" dxfId="152" priority="5" operator="equal">
      <formula>1</formula>
    </cfRule>
  </conditionalFormatting>
  <conditionalFormatting sqref="R9">
    <cfRule type="cellIs" dxfId="151" priority="3" operator="equal">
      <formula>FALSE</formula>
    </cfRule>
    <cfRule type="cellIs" dxfId="150" priority="4" operator="equal">
      <formula>TRUE</formula>
    </cfRule>
  </conditionalFormatting>
  <conditionalFormatting sqref="T9">
    <cfRule type="cellIs" dxfId="149" priority="1" operator="equal">
      <formula>FALSE</formula>
    </cfRule>
    <cfRule type="cellIs" dxfId="148" priority="2" operator="equal">
      <formula>TRUE</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pageSetUpPr fitToPage="1"/>
  </sheetPr>
  <dimension ref="A2:AO135"/>
  <sheetViews>
    <sheetView topLeftCell="X33" zoomScale="70" zoomScaleNormal="70" workbookViewId="0">
      <selection activeCell="B2" sqref="B2:S30"/>
    </sheetView>
  </sheetViews>
  <sheetFormatPr defaultRowHeight="15"/>
  <cols>
    <col min="1" max="1" width="23.140625" style="1087" hidden="1" customWidth="1"/>
    <col min="2" max="2" width="13.85546875" style="1087" hidden="1" customWidth="1"/>
    <col min="3" max="3" width="16" style="1087" hidden="1" customWidth="1"/>
    <col min="4" max="4" width="13.28515625" style="1087" hidden="1" customWidth="1"/>
    <col min="5" max="5" width="13.42578125" style="1087" hidden="1" customWidth="1"/>
    <col min="6" max="6" width="13.85546875" style="1087" hidden="1" customWidth="1"/>
    <col min="7" max="7" width="19.7109375" style="1087" hidden="1" customWidth="1"/>
    <col min="8" max="8" width="11.28515625" style="1087" hidden="1" customWidth="1"/>
    <col min="9" max="9" width="15.7109375" style="1087" hidden="1" customWidth="1"/>
    <col min="10" max="10" width="13.140625" style="1087" hidden="1" customWidth="1"/>
    <col min="11" max="11" width="20.42578125" style="1087" hidden="1" customWidth="1"/>
    <col min="12" max="14" width="20.28515625" style="1087" hidden="1" customWidth="1"/>
    <col min="15" max="16" width="14.28515625" style="1087" hidden="1" customWidth="1"/>
    <col min="17" max="17" width="11.5703125" style="1087" hidden="1" customWidth="1"/>
    <col min="18" max="18" width="21.7109375" style="1101" customWidth="1"/>
    <col min="19" max="28" width="21.7109375" style="1087" customWidth="1"/>
    <col min="29" max="29" width="18.85546875" style="1087" customWidth="1"/>
    <col min="30" max="30" width="13.140625" style="1087" customWidth="1"/>
    <col min="31" max="31" width="18.7109375" style="1087" customWidth="1"/>
    <col min="32" max="32" width="17.7109375" style="1087" customWidth="1"/>
    <col min="33" max="33" width="19.42578125" style="1087" customWidth="1"/>
    <col min="34" max="34" width="21.7109375" style="1087" customWidth="1"/>
    <col min="35" max="40" width="17" style="1087" customWidth="1"/>
    <col min="41" max="41" width="15.7109375" style="1087" bestFit="1" customWidth="1"/>
    <col min="42" max="16384" width="9.140625" style="1087"/>
  </cols>
  <sheetData>
    <row r="2" spans="1:41" ht="46.5">
      <c r="A2" s="1223" t="s">
        <v>59</v>
      </c>
      <c r="B2" s="1224"/>
      <c r="C2" s="1224"/>
      <c r="D2" s="1224"/>
      <c r="E2" s="1224"/>
      <c r="F2" s="1224"/>
      <c r="G2" s="1224"/>
      <c r="H2" s="1224"/>
      <c r="I2" s="1224"/>
      <c r="J2" s="1224"/>
      <c r="K2" s="1224"/>
      <c r="L2" s="1224"/>
      <c r="M2" s="1224"/>
      <c r="N2" s="1224"/>
      <c r="O2" s="1225"/>
      <c r="R2" s="1220" t="s">
        <v>61</v>
      </c>
      <c r="S2" s="1221"/>
      <c r="T2" s="1221"/>
      <c r="U2" s="1221"/>
      <c r="V2" s="1221"/>
      <c r="W2" s="1221"/>
      <c r="X2" s="1221"/>
      <c r="Y2" s="1221"/>
      <c r="Z2" s="1221"/>
      <c r="AA2" s="1221"/>
      <c r="AB2" s="1221"/>
      <c r="AC2" s="1221"/>
      <c r="AD2" s="1221"/>
      <c r="AE2" s="1221"/>
      <c r="AF2" s="1221"/>
      <c r="AG2" s="1221"/>
      <c r="AH2" s="1222"/>
    </row>
    <row r="3" spans="1:41" ht="35.1" customHeight="1">
      <c r="A3" s="1226" t="s">
        <v>33</v>
      </c>
      <c r="B3" s="1228" t="s">
        <v>27</v>
      </c>
      <c r="C3" s="1229"/>
      <c r="D3" s="1228" t="s">
        <v>29</v>
      </c>
      <c r="E3" s="1229"/>
      <c r="F3" s="1226" t="s">
        <v>28</v>
      </c>
      <c r="G3" s="1226" t="s">
        <v>36</v>
      </c>
      <c r="H3" s="1226" t="s">
        <v>30</v>
      </c>
      <c r="I3" s="1226" t="s">
        <v>31</v>
      </c>
      <c r="J3" s="1226" t="s">
        <v>41</v>
      </c>
      <c r="K3" s="1226" t="s">
        <v>35</v>
      </c>
      <c r="L3" s="1226" t="s">
        <v>40</v>
      </c>
      <c r="M3" s="1226" t="s">
        <v>42</v>
      </c>
      <c r="N3" s="1226" t="s">
        <v>45</v>
      </c>
      <c r="O3" s="1226" t="s">
        <v>34</v>
      </c>
      <c r="R3" s="1226" t="s">
        <v>33</v>
      </c>
      <c r="S3" s="1228" t="s">
        <v>27</v>
      </c>
      <c r="T3" s="1229"/>
      <c r="U3" s="1228" t="s">
        <v>29</v>
      </c>
      <c r="V3" s="1229"/>
      <c r="W3" s="1226" t="s">
        <v>28</v>
      </c>
      <c r="X3" s="1226" t="s">
        <v>36</v>
      </c>
      <c r="Y3" s="1226" t="s">
        <v>30</v>
      </c>
      <c r="Z3" s="1226" t="s">
        <v>31</v>
      </c>
      <c r="AA3" s="1226" t="s">
        <v>41</v>
      </c>
      <c r="AB3" s="1226" t="s">
        <v>35</v>
      </c>
      <c r="AC3" s="1226" t="s">
        <v>40</v>
      </c>
      <c r="AD3" s="1226" t="s">
        <v>42</v>
      </c>
      <c r="AE3" s="1226" t="s">
        <v>45</v>
      </c>
      <c r="AF3" s="1228" t="s">
        <v>51</v>
      </c>
      <c r="AG3" s="1229"/>
      <c r="AH3" s="1226" t="s">
        <v>34</v>
      </c>
    </row>
    <row r="4" spans="1:41" ht="35.1" customHeight="1">
      <c r="A4" s="1227"/>
      <c r="B4" s="1091" t="s">
        <v>43</v>
      </c>
      <c r="C4" s="1091" t="s">
        <v>44</v>
      </c>
      <c r="D4" s="1091" t="s">
        <v>43</v>
      </c>
      <c r="E4" s="1091" t="s">
        <v>44</v>
      </c>
      <c r="F4" s="1227"/>
      <c r="G4" s="1227"/>
      <c r="H4" s="1227"/>
      <c r="I4" s="1227"/>
      <c r="J4" s="1227"/>
      <c r="K4" s="1227"/>
      <c r="L4" s="1227"/>
      <c r="M4" s="1227"/>
      <c r="N4" s="1227"/>
      <c r="O4" s="1227"/>
      <c r="R4" s="1227"/>
      <c r="S4" s="1091" t="s">
        <v>43</v>
      </c>
      <c r="T4" s="1091" t="s">
        <v>44</v>
      </c>
      <c r="U4" s="1091" t="s">
        <v>43</v>
      </c>
      <c r="V4" s="1091" t="s">
        <v>44</v>
      </c>
      <c r="W4" s="1227"/>
      <c r="X4" s="1227"/>
      <c r="Y4" s="1227"/>
      <c r="Z4" s="1227"/>
      <c r="AA4" s="1227"/>
      <c r="AB4" s="1227"/>
      <c r="AC4" s="1227"/>
      <c r="AD4" s="1227"/>
      <c r="AE4" s="1227"/>
      <c r="AF4" s="1092" t="s">
        <v>52</v>
      </c>
      <c r="AG4" s="1092" t="s">
        <v>53</v>
      </c>
      <c r="AH4" s="1227"/>
      <c r="AI4" s="1104" t="s">
        <v>183</v>
      </c>
      <c r="AJ4" s="1104" t="s">
        <v>424</v>
      </c>
      <c r="AK4" s="1104" t="s">
        <v>184</v>
      </c>
      <c r="AL4" s="1104" t="s">
        <v>425</v>
      </c>
      <c r="AM4" s="1104" t="s">
        <v>28</v>
      </c>
      <c r="AN4" s="1104" t="s">
        <v>185</v>
      </c>
    </row>
    <row r="5" spans="1:41">
      <c r="A5" s="2" t="s">
        <v>0</v>
      </c>
      <c r="B5" s="20"/>
      <c r="C5" s="20"/>
      <c r="D5" s="20"/>
      <c r="E5" s="20"/>
      <c r="F5" s="20"/>
      <c r="G5" s="20"/>
      <c r="H5" s="20"/>
      <c r="I5" s="20"/>
      <c r="J5" s="20"/>
      <c r="K5" s="20"/>
      <c r="L5" s="20"/>
      <c r="M5" s="20"/>
      <c r="N5" s="20"/>
      <c r="O5" s="10">
        <f t="shared" ref="O5:O31" si="0">SUM(B5:N5)</f>
        <v>0</v>
      </c>
      <c r="P5" s="1093"/>
      <c r="R5" s="2" t="s">
        <v>87</v>
      </c>
      <c r="S5" s="20">
        <f t="shared" ref="S5:AG5" si="1">S75*0.8</f>
        <v>19304.727999999999</v>
      </c>
      <c r="T5" s="20">
        <f t="shared" si="1"/>
        <v>3351.2480000000005</v>
      </c>
      <c r="U5" s="20">
        <f t="shared" si="1"/>
        <v>3304.6559999999999</v>
      </c>
      <c r="V5" s="20">
        <f t="shared" si="1"/>
        <v>693.88800000000003</v>
      </c>
      <c r="W5" s="20">
        <f t="shared" si="1"/>
        <v>14104.800000000001</v>
      </c>
      <c r="X5" s="20">
        <f t="shared" si="1"/>
        <v>705.24</v>
      </c>
      <c r="Y5" s="20">
        <f t="shared" si="1"/>
        <v>348.62400000000002</v>
      </c>
      <c r="Z5" s="20">
        <f t="shared" si="1"/>
        <v>0</v>
      </c>
      <c r="AA5" s="20">
        <f t="shared" si="1"/>
        <v>573.44799999999998</v>
      </c>
      <c r="AB5" s="20">
        <f t="shared" si="1"/>
        <v>156.72000000000003</v>
      </c>
      <c r="AC5" s="20">
        <f t="shared" si="1"/>
        <v>0</v>
      </c>
      <c r="AD5" s="20">
        <f t="shared" si="1"/>
        <v>0</v>
      </c>
      <c r="AE5" s="20">
        <f t="shared" si="1"/>
        <v>0</v>
      </c>
      <c r="AF5" s="20">
        <f t="shared" si="1"/>
        <v>0</v>
      </c>
      <c r="AG5" s="20">
        <f t="shared" si="1"/>
        <v>0</v>
      </c>
      <c r="AH5" s="10">
        <f t="shared" ref="AH5:AH31" si="2">SUM(S5:AG5)</f>
        <v>42543.351999999999</v>
      </c>
      <c r="AI5" s="1093">
        <f>S5</f>
        <v>19304.727999999999</v>
      </c>
      <c r="AJ5" s="1093">
        <f>T5</f>
        <v>3351.2480000000005</v>
      </c>
      <c r="AK5" s="1093">
        <f>U5</f>
        <v>3304.6559999999999</v>
      </c>
      <c r="AL5" s="1093">
        <f>V5</f>
        <v>693.88800000000003</v>
      </c>
      <c r="AM5" s="1093">
        <f>W5</f>
        <v>14104.800000000001</v>
      </c>
      <c r="AN5" s="1093">
        <f>SUM(X5:AG5)</f>
        <v>1784.0319999999999</v>
      </c>
      <c r="AO5" s="1093"/>
    </row>
    <row r="6" spans="1:41">
      <c r="A6" s="2" t="s">
        <v>1</v>
      </c>
      <c r="B6" s="20"/>
      <c r="C6" s="20"/>
      <c r="D6" s="20"/>
      <c r="E6" s="20"/>
      <c r="F6" s="20"/>
      <c r="G6" s="20"/>
      <c r="H6" s="20"/>
      <c r="I6" s="20"/>
      <c r="J6" s="20"/>
      <c r="K6" s="20"/>
      <c r="L6" s="20"/>
      <c r="M6" s="20"/>
      <c r="N6" s="20"/>
      <c r="O6" s="10">
        <f t="shared" si="0"/>
        <v>0</v>
      </c>
      <c r="P6" s="1093"/>
      <c r="R6" s="2" t="s">
        <v>88</v>
      </c>
      <c r="S6" s="20">
        <f t="shared" ref="S6:AG6" si="3">S76*0.8</f>
        <v>76937.648000000001</v>
      </c>
      <c r="T6" s="20">
        <f t="shared" si="3"/>
        <v>16464.688000000002</v>
      </c>
      <c r="U6" s="20">
        <f t="shared" si="3"/>
        <v>8479.728000000001</v>
      </c>
      <c r="V6" s="20">
        <f t="shared" si="3"/>
        <v>568</v>
      </c>
      <c r="W6" s="20">
        <f t="shared" si="3"/>
        <v>39963.600000000006</v>
      </c>
      <c r="X6" s="20">
        <f t="shared" si="3"/>
        <v>470.16000000000008</v>
      </c>
      <c r="Y6" s="20">
        <f t="shared" si="3"/>
        <v>2555.0240000000003</v>
      </c>
      <c r="Z6" s="20">
        <f t="shared" si="3"/>
        <v>442.22399999999999</v>
      </c>
      <c r="AA6" s="20">
        <f t="shared" si="3"/>
        <v>1497.7040000000002</v>
      </c>
      <c r="AB6" s="20">
        <f t="shared" si="3"/>
        <v>0</v>
      </c>
      <c r="AC6" s="20">
        <f t="shared" si="3"/>
        <v>0</v>
      </c>
      <c r="AD6" s="20">
        <f t="shared" si="3"/>
        <v>0</v>
      </c>
      <c r="AE6" s="20">
        <f t="shared" si="3"/>
        <v>68.567999999999998</v>
      </c>
      <c r="AF6" s="20">
        <f t="shared" si="3"/>
        <v>0</v>
      </c>
      <c r="AG6" s="20">
        <f t="shared" si="3"/>
        <v>0</v>
      </c>
      <c r="AH6" s="10">
        <f t="shared" si="2"/>
        <v>147447.34400000001</v>
      </c>
      <c r="AI6" s="1093">
        <f t="shared" ref="AI6:AM31" si="4">S6</f>
        <v>76937.648000000001</v>
      </c>
      <c r="AJ6" s="1093">
        <f t="shared" si="4"/>
        <v>16464.688000000002</v>
      </c>
      <c r="AK6" s="1093">
        <f t="shared" si="4"/>
        <v>8479.728000000001</v>
      </c>
      <c r="AL6" s="1093">
        <f t="shared" si="4"/>
        <v>568</v>
      </c>
      <c r="AM6" s="1093">
        <f t="shared" si="4"/>
        <v>39963.600000000006</v>
      </c>
      <c r="AN6" s="1093">
        <f t="shared" ref="AN6:AN31" si="5">SUM(X6:AG6)</f>
        <v>5033.6800000000012</v>
      </c>
      <c r="AO6" s="1093"/>
    </row>
    <row r="7" spans="1:41">
      <c r="A7" s="2" t="s">
        <v>2</v>
      </c>
      <c r="B7" s="20"/>
      <c r="C7" s="20"/>
      <c r="D7" s="20"/>
      <c r="E7" s="20"/>
      <c r="F7" s="20"/>
      <c r="G7" s="20"/>
      <c r="H7" s="20"/>
      <c r="I7" s="20"/>
      <c r="J7" s="20"/>
      <c r="K7" s="20"/>
      <c r="L7" s="20"/>
      <c r="M7" s="20"/>
      <c r="N7" s="20"/>
      <c r="O7" s="10">
        <f t="shared" si="0"/>
        <v>0</v>
      </c>
      <c r="P7" s="1093"/>
      <c r="R7" s="2" t="s">
        <v>89</v>
      </c>
      <c r="S7" s="20">
        <f t="shared" ref="S7:AG7" si="6">S77*0.8</f>
        <v>22377.328000000001</v>
      </c>
      <c r="T7" s="20">
        <f t="shared" si="6"/>
        <v>5700.0400000000009</v>
      </c>
      <c r="U7" s="20">
        <f t="shared" si="6"/>
        <v>3702.7440000000006</v>
      </c>
      <c r="V7" s="20">
        <f t="shared" si="6"/>
        <v>793.95200000000011</v>
      </c>
      <c r="W7" s="20">
        <f t="shared" si="6"/>
        <v>23508</v>
      </c>
      <c r="X7" s="20">
        <f t="shared" si="6"/>
        <v>626.88000000000011</v>
      </c>
      <c r="Y7" s="20">
        <f t="shared" si="6"/>
        <v>643.08000000000004</v>
      </c>
      <c r="Z7" s="20">
        <f t="shared" si="6"/>
        <v>227.42399999999998</v>
      </c>
      <c r="AA7" s="20">
        <f t="shared" si="6"/>
        <v>857.63200000000006</v>
      </c>
      <c r="AB7" s="20">
        <f t="shared" si="6"/>
        <v>313.44000000000005</v>
      </c>
      <c r="AC7" s="20">
        <f t="shared" si="6"/>
        <v>0</v>
      </c>
      <c r="AD7" s="20">
        <f t="shared" si="6"/>
        <v>0</v>
      </c>
      <c r="AE7" s="20">
        <f t="shared" si="6"/>
        <v>0</v>
      </c>
      <c r="AF7" s="20">
        <f t="shared" si="6"/>
        <v>0</v>
      </c>
      <c r="AG7" s="20">
        <f t="shared" si="6"/>
        <v>0</v>
      </c>
      <c r="AH7" s="10">
        <f t="shared" si="2"/>
        <v>58750.52</v>
      </c>
      <c r="AI7" s="1093">
        <f t="shared" si="4"/>
        <v>22377.328000000001</v>
      </c>
      <c r="AJ7" s="1093">
        <f t="shared" si="4"/>
        <v>5700.0400000000009</v>
      </c>
      <c r="AK7" s="1093">
        <f t="shared" si="4"/>
        <v>3702.7440000000006</v>
      </c>
      <c r="AL7" s="1093">
        <f t="shared" si="4"/>
        <v>793.95200000000011</v>
      </c>
      <c r="AM7" s="1093">
        <f t="shared" si="4"/>
        <v>23508</v>
      </c>
      <c r="AN7" s="1093">
        <f t="shared" si="5"/>
        <v>2668.4560000000001</v>
      </c>
      <c r="AO7" s="1093"/>
    </row>
    <row r="8" spans="1:41">
      <c r="A8" s="2" t="s">
        <v>3</v>
      </c>
      <c r="B8" s="20"/>
      <c r="C8" s="20"/>
      <c r="D8" s="20"/>
      <c r="E8" s="20"/>
      <c r="F8" s="20"/>
      <c r="G8" s="20"/>
      <c r="H8" s="20"/>
      <c r="I8" s="20"/>
      <c r="J8" s="20"/>
      <c r="K8" s="20"/>
      <c r="L8" s="20"/>
      <c r="M8" s="20"/>
      <c r="N8" s="20"/>
      <c r="O8" s="10">
        <f t="shared" si="0"/>
        <v>0</v>
      </c>
      <c r="P8" s="1093"/>
      <c r="R8" s="2" t="s">
        <v>90</v>
      </c>
      <c r="S8" s="20">
        <f t="shared" ref="S8:AE8" si="7">S78*0.8</f>
        <v>65980.911999999997</v>
      </c>
      <c r="T8" s="20">
        <f t="shared" si="7"/>
        <v>13188.688000000002</v>
      </c>
      <c r="U8" s="20">
        <f t="shared" si="7"/>
        <v>7854.9759999999997</v>
      </c>
      <c r="V8" s="20">
        <f t="shared" si="7"/>
        <v>2352.4320000000002</v>
      </c>
      <c r="W8" s="20">
        <f t="shared" si="7"/>
        <v>37299.360000000001</v>
      </c>
      <c r="X8" s="20">
        <f t="shared" si="7"/>
        <v>1488.8400000000001</v>
      </c>
      <c r="Y8" s="20">
        <f t="shared" si="7"/>
        <v>1735.4240000000002</v>
      </c>
      <c r="Z8" s="20">
        <f t="shared" si="7"/>
        <v>0</v>
      </c>
      <c r="AA8" s="20">
        <f t="shared" si="7"/>
        <v>1426.04</v>
      </c>
      <c r="AB8" s="20">
        <f t="shared" si="7"/>
        <v>235.08000000000004</v>
      </c>
      <c r="AC8" s="20">
        <f t="shared" si="7"/>
        <v>0</v>
      </c>
      <c r="AD8" s="20">
        <f t="shared" si="7"/>
        <v>0</v>
      </c>
      <c r="AE8" s="20">
        <f t="shared" si="7"/>
        <v>22.856000000000002</v>
      </c>
      <c r="AF8" s="20">
        <f>AF78</f>
        <v>0</v>
      </c>
      <c r="AG8" s="20">
        <f t="shared" ref="AG8:AG28" si="8">AG78*0.8</f>
        <v>0</v>
      </c>
      <c r="AH8" s="10">
        <f t="shared" si="2"/>
        <v>131584.60799999998</v>
      </c>
      <c r="AI8" s="1093">
        <f t="shared" si="4"/>
        <v>65980.911999999997</v>
      </c>
      <c r="AJ8" s="1093">
        <f t="shared" si="4"/>
        <v>13188.688000000002</v>
      </c>
      <c r="AK8" s="1093">
        <f t="shared" si="4"/>
        <v>7854.9759999999997</v>
      </c>
      <c r="AL8" s="1093">
        <f t="shared" si="4"/>
        <v>2352.4320000000002</v>
      </c>
      <c r="AM8" s="1093">
        <f t="shared" si="4"/>
        <v>37299.360000000001</v>
      </c>
      <c r="AN8" s="1093">
        <f t="shared" si="5"/>
        <v>4908.24</v>
      </c>
      <c r="AO8" s="1093"/>
    </row>
    <row r="9" spans="1:41">
      <c r="A9" s="2" t="s">
        <v>4</v>
      </c>
      <c r="B9" s="20"/>
      <c r="C9" s="20"/>
      <c r="D9" s="20"/>
      <c r="E9" s="20"/>
      <c r="F9" s="20"/>
      <c r="G9" s="20"/>
      <c r="H9" s="20"/>
      <c r="I9" s="20"/>
      <c r="J9" s="20"/>
      <c r="K9" s="20"/>
      <c r="L9" s="20"/>
      <c r="M9" s="20"/>
      <c r="N9" s="20"/>
      <c r="O9" s="10">
        <f t="shared" si="0"/>
        <v>0</v>
      </c>
      <c r="P9" s="1093"/>
      <c r="R9" s="2" t="s">
        <v>91</v>
      </c>
      <c r="S9" s="20">
        <f t="shared" ref="S9:AE9" si="9">S79*0.8</f>
        <v>232154.37599999999</v>
      </c>
      <c r="T9" s="20">
        <f t="shared" si="9"/>
        <v>53191.592000000004</v>
      </c>
      <c r="U9" s="20">
        <f t="shared" si="9"/>
        <v>36066.455999999998</v>
      </c>
      <c r="V9" s="20">
        <f t="shared" si="9"/>
        <v>2710.0320000000002</v>
      </c>
      <c r="W9" s="20">
        <f t="shared" si="9"/>
        <v>120282.6</v>
      </c>
      <c r="X9" s="20">
        <f t="shared" si="9"/>
        <v>2350.8000000000002</v>
      </c>
      <c r="Y9" s="20">
        <f t="shared" si="9"/>
        <v>7536.7600000000011</v>
      </c>
      <c r="Z9" s="20">
        <f t="shared" si="9"/>
        <v>0</v>
      </c>
      <c r="AA9" s="20">
        <f t="shared" si="9"/>
        <v>7329.2720000000008</v>
      </c>
      <c r="AB9" s="20">
        <f t="shared" si="9"/>
        <v>235.08000000000004</v>
      </c>
      <c r="AC9" s="20">
        <f t="shared" si="9"/>
        <v>0</v>
      </c>
      <c r="AD9" s="20">
        <f t="shared" si="9"/>
        <v>0</v>
      </c>
      <c r="AE9" s="20">
        <f t="shared" si="9"/>
        <v>182.84800000000001</v>
      </c>
      <c r="AF9" s="20">
        <f t="shared" ref="AF9:AF28" si="10">AF79*0.8</f>
        <v>50.344000000000001</v>
      </c>
      <c r="AG9" s="20">
        <f t="shared" si="8"/>
        <v>503.46400000000006</v>
      </c>
      <c r="AH9" s="10">
        <f t="shared" si="2"/>
        <v>462593.62399999995</v>
      </c>
      <c r="AI9" s="1093">
        <f t="shared" si="4"/>
        <v>232154.37599999999</v>
      </c>
      <c r="AJ9" s="1093">
        <f t="shared" si="4"/>
        <v>53191.592000000004</v>
      </c>
      <c r="AK9" s="1093">
        <f t="shared" si="4"/>
        <v>36066.455999999998</v>
      </c>
      <c r="AL9" s="1093">
        <f t="shared" si="4"/>
        <v>2710.0320000000002</v>
      </c>
      <c r="AM9" s="1093">
        <f t="shared" si="4"/>
        <v>120282.6</v>
      </c>
      <c r="AN9" s="1093">
        <f t="shared" si="5"/>
        <v>18188.568000000007</v>
      </c>
      <c r="AO9" s="1093"/>
    </row>
    <row r="10" spans="1:41">
      <c r="A10" s="2" t="s">
        <v>5</v>
      </c>
      <c r="B10" s="20"/>
      <c r="C10" s="20"/>
      <c r="D10" s="20"/>
      <c r="E10" s="20"/>
      <c r="F10" s="20"/>
      <c r="G10" s="20"/>
      <c r="H10" s="20"/>
      <c r="I10" s="20"/>
      <c r="J10" s="20"/>
      <c r="K10" s="20"/>
      <c r="L10" s="20"/>
      <c r="M10" s="20"/>
      <c r="N10" s="20"/>
      <c r="O10" s="10">
        <f t="shared" si="0"/>
        <v>0</v>
      </c>
      <c r="P10" s="1093"/>
      <c r="R10" s="2" t="s">
        <v>92</v>
      </c>
      <c r="S10" s="20">
        <f t="shared" ref="S10:AE10" si="11">S80*0.8</f>
        <v>123844.62400000001</v>
      </c>
      <c r="T10" s="20">
        <f t="shared" si="11"/>
        <v>13182.407999999999</v>
      </c>
      <c r="U10" s="20">
        <f t="shared" si="11"/>
        <v>14031.920000000002</v>
      </c>
      <c r="V10" s="20">
        <f t="shared" si="11"/>
        <v>800.73599999999999</v>
      </c>
      <c r="W10" s="20">
        <f t="shared" si="11"/>
        <v>69113.52</v>
      </c>
      <c r="X10" s="20">
        <f t="shared" si="11"/>
        <v>1959</v>
      </c>
      <c r="Y10" s="20">
        <f t="shared" si="11"/>
        <v>1312.432</v>
      </c>
      <c r="Z10" s="20">
        <f t="shared" si="11"/>
        <v>4450.1760000000004</v>
      </c>
      <c r="AA10" s="20">
        <f t="shared" si="11"/>
        <v>2047.1599999999999</v>
      </c>
      <c r="AB10" s="20">
        <f t="shared" si="11"/>
        <v>705.24</v>
      </c>
      <c r="AC10" s="20">
        <f t="shared" si="11"/>
        <v>0</v>
      </c>
      <c r="AD10" s="20">
        <f t="shared" si="11"/>
        <v>0</v>
      </c>
      <c r="AE10" s="20">
        <f t="shared" si="11"/>
        <v>68.567999999999998</v>
      </c>
      <c r="AF10" s="20">
        <f t="shared" si="10"/>
        <v>0</v>
      </c>
      <c r="AG10" s="20">
        <f t="shared" si="8"/>
        <v>0</v>
      </c>
      <c r="AH10" s="10">
        <f t="shared" si="2"/>
        <v>231515.78400000004</v>
      </c>
      <c r="AI10" s="1093">
        <f t="shared" si="4"/>
        <v>123844.62400000001</v>
      </c>
      <c r="AJ10" s="1093">
        <f t="shared" si="4"/>
        <v>13182.407999999999</v>
      </c>
      <c r="AK10" s="1093">
        <f t="shared" si="4"/>
        <v>14031.920000000002</v>
      </c>
      <c r="AL10" s="1093">
        <f t="shared" si="4"/>
        <v>800.73599999999999</v>
      </c>
      <c r="AM10" s="1093">
        <f t="shared" si="4"/>
        <v>69113.52</v>
      </c>
      <c r="AN10" s="1093">
        <f t="shared" si="5"/>
        <v>10542.575999999999</v>
      </c>
      <c r="AO10" s="1093"/>
    </row>
    <row r="11" spans="1:41">
      <c r="A11" s="2" t="s">
        <v>6</v>
      </c>
      <c r="B11" s="20"/>
      <c r="C11" s="20"/>
      <c r="D11" s="20"/>
      <c r="E11" s="20"/>
      <c r="F11" s="20"/>
      <c r="G11" s="20"/>
      <c r="H11" s="20"/>
      <c r="I11" s="20"/>
      <c r="J11" s="20"/>
      <c r="K11" s="20"/>
      <c r="L11" s="20"/>
      <c r="M11" s="20"/>
      <c r="N11" s="20"/>
      <c r="O11" s="10">
        <f t="shared" si="0"/>
        <v>0</v>
      </c>
      <c r="P11" s="1093"/>
      <c r="R11" s="2" t="s">
        <v>93</v>
      </c>
      <c r="S11" s="20">
        <f t="shared" ref="S11:AE11" si="12">S81*0.8</f>
        <v>393662.38400000002</v>
      </c>
      <c r="T11" s="20">
        <f t="shared" si="12"/>
        <v>44075.12</v>
      </c>
      <c r="U11" s="20">
        <f t="shared" si="12"/>
        <v>34402.688000000002</v>
      </c>
      <c r="V11" s="20">
        <f t="shared" si="12"/>
        <v>3635.1120000000005</v>
      </c>
      <c r="W11" s="20">
        <f t="shared" si="12"/>
        <v>94658.880000000005</v>
      </c>
      <c r="X11" s="20">
        <f t="shared" si="12"/>
        <v>2429.16</v>
      </c>
      <c r="Y11" s="20">
        <f t="shared" si="12"/>
        <v>6289.4320000000007</v>
      </c>
      <c r="Z11" s="20">
        <f t="shared" si="12"/>
        <v>884.44799999999998</v>
      </c>
      <c r="AA11" s="20">
        <f t="shared" si="12"/>
        <v>6015.0720000000001</v>
      </c>
      <c r="AB11" s="20">
        <f t="shared" si="12"/>
        <v>548.52</v>
      </c>
      <c r="AC11" s="20">
        <f t="shared" si="12"/>
        <v>0</v>
      </c>
      <c r="AD11" s="20">
        <f t="shared" si="12"/>
        <v>0</v>
      </c>
      <c r="AE11" s="20">
        <f t="shared" si="12"/>
        <v>91.424000000000007</v>
      </c>
      <c r="AF11" s="20">
        <f t="shared" si="10"/>
        <v>0</v>
      </c>
      <c r="AG11" s="20">
        <f t="shared" si="8"/>
        <v>0</v>
      </c>
      <c r="AH11" s="10">
        <f t="shared" si="2"/>
        <v>586692.24000000022</v>
      </c>
      <c r="AI11" s="1093">
        <f t="shared" si="4"/>
        <v>393662.38400000002</v>
      </c>
      <c r="AJ11" s="1093">
        <f t="shared" si="4"/>
        <v>44075.12</v>
      </c>
      <c r="AK11" s="1093">
        <f t="shared" si="4"/>
        <v>34402.688000000002</v>
      </c>
      <c r="AL11" s="1093">
        <f t="shared" si="4"/>
        <v>3635.1120000000005</v>
      </c>
      <c r="AM11" s="1093">
        <f t="shared" si="4"/>
        <v>94658.880000000005</v>
      </c>
      <c r="AN11" s="1093">
        <f t="shared" si="5"/>
        <v>16258.056000000002</v>
      </c>
      <c r="AO11" s="1093"/>
    </row>
    <row r="12" spans="1:41">
      <c r="A12" s="2" t="s">
        <v>7</v>
      </c>
      <c r="B12" s="20"/>
      <c r="C12" s="20"/>
      <c r="D12" s="20"/>
      <c r="E12" s="20"/>
      <c r="F12" s="20"/>
      <c r="G12" s="20"/>
      <c r="H12" s="20"/>
      <c r="I12" s="20"/>
      <c r="J12" s="20"/>
      <c r="K12" s="20"/>
      <c r="L12" s="20"/>
      <c r="M12" s="20"/>
      <c r="N12" s="20"/>
      <c r="O12" s="10">
        <f t="shared" si="0"/>
        <v>0</v>
      </c>
      <c r="P12" s="1093"/>
      <c r="R12" s="2" t="s">
        <v>94</v>
      </c>
      <c r="S12" s="20">
        <f t="shared" ref="S12:AE12" si="13">S82*0.8</f>
        <v>274147.38400000002</v>
      </c>
      <c r="T12" s="20">
        <f t="shared" si="13"/>
        <v>25864.600000000002</v>
      </c>
      <c r="U12" s="20">
        <f t="shared" si="13"/>
        <v>45672.832000000002</v>
      </c>
      <c r="V12" s="20">
        <f t="shared" si="13"/>
        <v>2910.3919999999998</v>
      </c>
      <c r="W12" s="20">
        <f t="shared" si="13"/>
        <v>78908.52</v>
      </c>
      <c r="X12" s="20">
        <f t="shared" si="13"/>
        <v>1645.56</v>
      </c>
      <c r="Y12" s="20">
        <f t="shared" si="13"/>
        <v>6299.6880000000001</v>
      </c>
      <c r="Z12" s="20">
        <f t="shared" si="13"/>
        <v>1187.5920000000001</v>
      </c>
      <c r="AA12" s="20">
        <f t="shared" si="13"/>
        <v>1975.5919999999999</v>
      </c>
      <c r="AB12" s="20">
        <f t="shared" si="13"/>
        <v>0</v>
      </c>
      <c r="AC12" s="20">
        <f t="shared" si="13"/>
        <v>0</v>
      </c>
      <c r="AD12" s="20">
        <f t="shared" si="13"/>
        <v>0</v>
      </c>
      <c r="AE12" s="20">
        <f t="shared" si="13"/>
        <v>0</v>
      </c>
      <c r="AF12" s="20">
        <f t="shared" si="10"/>
        <v>0</v>
      </c>
      <c r="AG12" s="20">
        <f t="shared" si="8"/>
        <v>0</v>
      </c>
      <c r="AH12" s="10">
        <f t="shared" si="2"/>
        <v>438612.16000000003</v>
      </c>
      <c r="AI12" s="1093">
        <f t="shared" si="4"/>
        <v>274147.38400000002</v>
      </c>
      <c r="AJ12" s="1093">
        <f t="shared" si="4"/>
        <v>25864.600000000002</v>
      </c>
      <c r="AK12" s="1093">
        <f t="shared" si="4"/>
        <v>45672.832000000002</v>
      </c>
      <c r="AL12" s="1093">
        <f t="shared" si="4"/>
        <v>2910.3919999999998</v>
      </c>
      <c r="AM12" s="1093">
        <f t="shared" si="4"/>
        <v>78908.52</v>
      </c>
      <c r="AN12" s="1093">
        <f t="shared" si="5"/>
        <v>11108.432000000001</v>
      </c>
      <c r="AO12" s="1093"/>
    </row>
    <row r="13" spans="1:41">
      <c r="A13" s="2" t="s">
        <v>8</v>
      </c>
      <c r="B13" s="20"/>
      <c r="C13" s="20"/>
      <c r="D13" s="20"/>
      <c r="E13" s="20"/>
      <c r="F13" s="20"/>
      <c r="G13" s="20"/>
      <c r="H13" s="20"/>
      <c r="I13" s="20"/>
      <c r="J13" s="20"/>
      <c r="K13" s="20"/>
      <c r="L13" s="20"/>
      <c r="M13" s="20"/>
      <c r="N13" s="20"/>
      <c r="O13" s="10">
        <f t="shared" si="0"/>
        <v>0</v>
      </c>
      <c r="P13" s="1093"/>
      <c r="R13" s="2" t="s">
        <v>95</v>
      </c>
      <c r="S13" s="20">
        <f t="shared" ref="S13:AE13" si="14">S83*0.8</f>
        <v>210842.74400000001</v>
      </c>
      <c r="T13" s="20">
        <f t="shared" si="14"/>
        <v>34125</v>
      </c>
      <c r="U13" s="20">
        <f t="shared" si="14"/>
        <v>30779.976000000002</v>
      </c>
      <c r="V13" s="20">
        <f t="shared" si="14"/>
        <v>6452.7520000000004</v>
      </c>
      <c r="W13" s="20">
        <f t="shared" si="14"/>
        <v>162048.48000000001</v>
      </c>
      <c r="X13" s="20">
        <f t="shared" si="14"/>
        <v>2037.36</v>
      </c>
      <c r="Y13" s="20">
        <f t="shared" si="14"/>
        <v>5201.152</v>
      </c>
      <c r="Z13" s="20">
        <f t="shared" si="14"/>
        <v>1953.3200000000002</v>
      </c>
      <c r="AA13" s="20">
        <f t="shared" si="14"/>
        <v>4250.9679999999998</v>
      </c>
      <c r="AB13" s="20">
        <f t="shared" si="14"/>
        <v>78.360000000000014</v>
      </c>
      <c r="AC13" s="20">
        <f t="shared" si="14"/>
        <v>0</v>
      </c>
      <c r="AD13" s="20">
        <f t="shared" si="14"/>
        <v>0</v>
      </c>
      <c r="AE13" s="20">
        <f t="shared" si="14"/>
        <v>45.712000000000003</v>
      </c>
      <c r="AF13" s="20">
        <f t="shared" si="10"/>
        <v>0</v>
      </c>
      <c r="AG13" s="20">
        <f t="shared" si="8"/>
        <v>0</v>
      </c>
      <c r="AH13" s="10">
        <f t="shared" si="2"/>
        <v>457815.82400000002</v>
      </c>
      <c r="AI13" s="1093">
        <f t="shared" si="4"/>
        <v>210842.74400000001</v>
      </c>
      <c r="AJ13" s="1093">
        <f t="shared" si="4"/>
        <v>34125</v>
      </c>
      <c r="AK13" s="1093">
        <f t="shared" si="4"/>
        <v>30779.976000000002</v>
      </c>
      <c r="AL13" s="1093">
        <f t="shared" si="4"/>
        <v>6452.7520000000004</v>
      </c>
      <c r="AM13" s="1093">
        <f t="shared" si="4"/>
        <v>162048.48000000001</v>
      </c>
      <c r="AN13" s="1093">
        <f t="shared" si="5"/>
        <v>13566.871999999999</v>
      </c>
      <c r="AO13" s="1093"/>
    </row>
    <row r="14" spans="1:41">
      <c r="A14" s="2" t="s">
        <v>9</v>
      </c>
      <c r="B14" s="20"/>
      <c r="C14" s="20"/>
      <c r="D14" s="20"/>
      <c r="E14" s="20"/>
      <c r="F14" s="20"/>
      <c r="G14" s="20"/>
      <c r="H14" s="20"/>
      <c r="I14" s="20"/>
      <c r="J14" s="20"/>
      <c r="K14" s="20"/>
      <c r="L14" s="20"/>
      <c r="M14" s="20"/>
      <c r="N14" s="20"/>
      <c r="O14" s="10">
        <f t="shared" si="0"/>
        <v>0</v>
      </c>
      <c r="P14" s="1093"/>
      <c r="R14" s="2" t="s">
        <v>96</v>
      </c>
      <c r="S14" s="20">
        <f t="shared" ref="S14:AE14" si="15">S84*0.8</f>
        <v>57314.552000000003</v>
      </c>
      <c r="T14" s="20">
        <f t="shared" si="15"/>
        <v>21475.376000000004</v>
      </c>
      <c r="U14" s="20">
        <f t="shared" si="15"/>
        <v>6721.688000000001</v>
      </c>
      <c r="V14" s="20">
        <f t="shared" si="15"/>
        <v>732.75200000000007</v>
      </c>
      <c r="W14" s="20">
        <f t="shared" si="15"/>
        <v>29933.520000000004</v>
      </c>
      <c r="X14" s="20">
        <f t="shared" si="15"/>
        <v>940.32000000000016</v>
      </c>
      <c r="Y14" s="20">
        <f t="shared" si="15"/>
        <v>2208.616</v>
      </c>
      <c r="Z14" s="20">
        <f t="shared" si="15"/>
        <v>0</v>
      </c>
      <c r="AA14" s="20">
        <f t="shared" si="15"/>
        <v>2836.6560000000004</v>
      </c>
      <c r="AB14" s="20">
        <f t="shared" si="15"/>
        <v>235.08000000000004</v>
      </c>
      <c r="AC14" s="20">
        <f t="shared" si="15"/>
        <v>0</v>
      </c>
      <c r="AD14" s="20">
        <f t="shared" si="15"/>
        <v>0</v>
      </c>
      <c r="AE14" s="20">
        <f t="shared" si="15"/>
        <v>0</v>
      </c>
      <c r="AF14" s="20">
        <f t="shared" si="10"/>
        <v>0</v>
      </c>
      <c r="AG14" s="20">
        <f t="shared" si="8"/>
        <v>0</v>
      </c>
      <c r="AH14" s="10">
        <f t="shared" si="2"/>
        <v>122398.56000000001</v>
      </c>
      <c r="AI14" s="1093">
        <f t="shared" si="4"/>
        <v>57314.552000000003</v>
      </c>
      <c r="AJ14" s="1093">
        <f t="shared" si="4"/>
        <v>21475.376000000004</v>
      </c>
      <c r="AK14" s="1093">
        <f t="shared" si="4"/>
        <v>6721.688000000001</v>
      </c>
      <c r="AL14" s="1093">
        <f t="shared" si="4"/>
        <v>732.75200000000007</v>
      </c>
      <c r="AM14" s="1093">
        <f t="shared" si="4"/>
        <v>29933.520000000004</v>
      </c>
      <c r="AN14" s="1093">
        <f t="shared" si="5"/>
        <v>6220.6720000000005</v>
      </c>
      <c r="AO14" s="1093"/>
    </row>
    <row r="15" spans="1:41">
      <c r="A15" s="2" t="s">
        <v>10</v>
      </c>
      <c r="B15" s="20"/>
      <c r="C15" s="20"/>
      <c r="D15" s="20"/>
      <c r="E15" s="20"/>
      <c r="F15" s="20"/>
      <c r="G15" s="20"/>
      <c r="H15" s="20"/>
      <c r="I15" s="20"/>
      <c r="J15" s="20"/>
      <c r="K15" s="20"/>
      <c r="L15" s="20"/>
      <c r="M15" s="20"/>
      <c r="N15" s="20"/>
      <c r="O15" s="10">
        <f t="shared" si="0"/>
        <v>0</v>
      </c>
      <c r="P15" s="1093"/>
      <c r="R15" s="2" t="s">
        <v>97</v>
      </c>
      <c r="S15" s="20">
        <f t="shared" ref="S15:AE15" si="16">S85*0.8</f>
        <v>159482.152</v>
      </c>
      <c r="T15" s="20">
        <f t="shared" si="16"/>
        <v>16993.920000000002</v>
      </c>
      <c r="U15" s="20">
        <f t="shared" si="16"/>
        <v>26962.615999999998</v>
      </c>
      <c r="V15" s="20">
        <f t="shared" si="16"/>
        <v>2830.32</v>
      </c>
      <c r="W15" s="20">
        <f t="shared" si="16"/>
        <v>171135.68799999999</v>
      </c>
      <c r="X15" s="20">
        <f t="shared" si="16"/>
        <v>1332.1200000000001</v>
      </c>
      <c r="Y15" s="20">
        <f t="shared" si="16"/>
        <v>1513.4880000000001</v>
      </c>
      <c r="Z15" s="20">
        <f t="shared" si="16"/>
        <v>0</v>
      </c>
      <c r="AA15" s="20">
        <f t="shared" si="16"/>
        <v>3392.8559999999998</v>
      </c>
      <c r="AB15" s="20">
        <f t="shared" si="16"/>
        <v>78.360000000000014</v>
      </c>
      <c r="AC15" s="20">
        <f t="shared" si="16"/>
        <v>0</v>
      </c>
      <c r="AD15" s="20">
        <f t="shared" si="16"/>
        <v>0</v>
      </c>
      <c r="AE15" s="20">
        <f t="shared" si="16"/>
        <v>68.567999999999998</v>
      </c>
      <c r="AF15" s="20">
        <f t="shared" si="10"/>
        <v>0</v>
      </c>
      <c r="AG15" s="20">
        <f t="shared" si="8"/>
        <v>0</v>
      </c>
      <c r="AH15" s="10">
        <f t="shared" si="2"/>
        <v>383790.08800000005</v>
      </c>
      <c r="AI15" s="1093">
        <f t="shared" si="4"/>
        <v>159482.152</v>
      </c>
      <c r="AJ15" s="1093">
        <f t="shared" si="4"/>
        <v>16993.920000000002</v>
      </c>
      <c r="AK15" s="1093">
        <f t="shared" si="4"/>
        <v>26962.615999999998</v>
      </c>
      <c r="AL15" s="1093">
        <f t="shared" si="4"/>
        <v>2830.32</v>
      </c>
      <c r="AM15" s="1093">
        <f t="shared" si="4"/>
        <v>171135.68799999999</v>
      </c>
      <c r="AN15" s="1093">
        <f t="shared" si="5"/>
        <v>6385.3919999999998</v>
      </c>
      <c r="AO15" s="1093"/>
    </row>
    <row r="16" spans="1:41">
      <c r="A16" s="2" t="s">
        <v>11</v>
      </c>
      <c r="B16" s="20"/>
      <c r="C16" s="20"/>
      <c r="D16" s="20"/>
      <c r="E16" s="20"/>
      <c r="F16" s="20"/>
      <c r="G16" s="20"/>
      <c r="H16" s="20"/>
      <c r="I16" s="20"/>
      <c r="J16" s="20"/>
      <c r="K16" s="20"/>
      <c r="L16" s="20"/>
      <c r="M16" s="20"/>
      <c r="N16" s="20"/>
      <c r="O16" s="10">
        <f t="shared" si="0"/>
        <v>0</v>
      </c>
      <c r="P16" s="1093"/>
      <c r="R16" s="2" t="s">
        <v>98</v>
      </c>
      <c r="S16" s="20">
        <f t="shared" ref="S16:AE16" si="17">S86*0.8</f>
        <v>112600.264</v>
      </c>
      <c r="T16" s="20">
        <f t="shared" si="17"/>
        <v>19847.592000000004</v>
      </c>
      <c r="U16" s="20">
        <f t="shared" si="17"/>
        <v>17017.544000000002</v>
      </c>
      <c r="V16" s="20">
        <f t="shared" si="17"/>
        <v>2218.9680000000003</v>
      </c>
      <c r="W16" s="20">
        <f t="shared" si="17"/>
        <v>118480.32000000001</v>
      </c>
      <c r="X16" s="20">
        <f t="shared" si="17"/>
        <v>2194.08</v>
      </c>
      <c r="Y16" s="20">
        <f t="shared" si="17"/>
        <v>2683.5439999999999</v>
      </c>
      <c r="Z16" s="20">
        <f t="shared" si="17"/>
        <v>584.15200000000004</v>
      </c>
      <c r="AA16" s="20">
        <f t="shared" si="17"/>
        <v>2641.096</v>
      </c>
      <c r="AB16" s="20">
        <f t="shared" si="17"/>
        <v>548.52</v>
      </c>
      <c r="AC16" s="20">
        <f t="shared" si="17"/>
        <v>0</v>
      </c>
      <c r="AD16" s="20">
        <f t="shared" si="17"/>
        <v>246.72800000000004</v>
      </c>
      <c r="AE16" s="20">
        <f t="shared" si="17"/>
        <v>45.712000000000003</v>
      </c>
      <c r="AF16" s="20">
        <f t="shared" si="10"/>
        <v>32.312000000000005</v>
      </c>
      <c r="AG16" s="20">
        <f t="shared" si="8"/>
        <v>0</v>
      </c>
      <c r="AH16" s="10">
        <f t="shared" si="2"/>
        <v>279140.83199999999</v>
      </c>
      <c r="AI16" s="1093">
        <f t="shared" si="4"/>
        <v>112600.264</v>
      </c>
      <c r="AJ16" s="1093">
        <f t="shared" si="4"/>
        <v>19847.592000000004</v>
      </c>
      <c r="AK16" s="1093">
        <f t="shared" si="4"/>
        <v>17017.544000000002</v>
      </c>
      <c r="AL16" s="1093">
        <f t="shared" si="4"/>
        <v>2218.9680000000003</v>
      </c>
      <c r="AM16" s="1093">
        <f t="shared" si="4"/>
        <v>118480.32000000001</v>
      </c>
      <c r="AN16" s="1093">
        <f t="shared" si="5"/>
        <v>8976.1439999999984</v>
      </c>
      <c r="AO16" s="1093"/>
    </row>
    <row r="17" spans="1:41">
      <c r="A17" s="2" t="s">
        <v>12</v>
      </c>
      <c r="B17" s="20"/>
      <c r="C17" s="20"/>
      <c r="D17" s="20"/>
      <c r="E17" s="20"/>
      <c r="F17" s="20"/>
      <c r="G17" s="20"/>
      <c r="H17" s="20"/>
      <c r="I17" s="20"/>
      <c r="J17" s="20"/>
      <c r="K17" s="20"/>
      <c r="L17" s="20"/>
      <c r="M17" s="20"/>
      <c r="N17" s="20"/>
      <c r="O17" s="10">
        <f t="shared" si="0"/>
        <v>0</v>
      </c>
      <c r="P17" s="1093"/>
      <c r="R17" s="2" t="s">
        <v>99</v>
      </c>
      <c r="S17" s="20">
        <f t="shared" ref="S17:AE17" si="18">S87*0.8</f>
        <v>654690.59200000006</v>
      </c>
      <c r="T17" s="20">
        <f t="shared" si="18"/>
        <v>143770.992</v>
      </c>
      <c r="U17" s="20">
        <f t="shared" si="18"/>
        <v>94701.664000000004</v>
      </c>
      <c r="V17" s="20">
        <f t="shared" si="18"/>
        <v>19393.48</v>
      </c>
      <c r="W17" s="20">
        <f t="shared" si="18"/>
        <v>283506.48</v>
      </c>
      <c r="X17" s="20">
        <f t="shared" si="18"/>
        <v>4153.0800000000008</v>
      </c>
      <c r="Y17" s="20">
        <f t="shared" si="18"/>
        <v>22546.776000000002</v>
      </c>
      <c r="Z17" s="20">
        <f t="shared" si="18"/>
        <v>0</v>
      </c>
      <c r="AA17" s="20">
        <f t="shared" si="18"/>
        <v>17758.632000000001</v>
      </c>
      <c r="AB17" s="20">
        <f t="shared" si="18"/>
        <v>2820.96</v>
      </c>
      <c r="AC17" s="20">
        <f t="shared" si="18"/>
        <v>0</v>
      </c>
      <c r="AD17" s="20">
        <f t="shared" si="18"/>
        <v>0</v>
      </c>
      <c r="AE17" s="20">
        <f t="shared" si="18"/>
        <v>525.68799999999999</v>
      </c>
      <c r="AF17" s="20">
        <f t="shared" si="10"/>
        <v>0</v>
      </c>
      <c r="AG17" s="20">
        <f t="shared" si="8"/>
        <v>0</v>
      </c>
      <c r="AH17" s="10">
        <f t="shared" si="2"/>
        <v>1243868.3440000003</v>
      </c>
      <c r="AI17" s="1093">
        <f t="shared" si="4"/>
        <v>654690.59200000006</v>
      </c>
      <c r="AJ17" s="1093">
        <f t="shared" si="4"/>
        <v>143770.992</v>
      </c>
      <c r="AK17" s="1093">
        <f t="shared" si="4"/>
        <v>94701.664000000004</v>
      </c>
      <c r="AL17" s="1093">
        <f t="shared" si="4"/>
        <v>19393.48</v>
      </c>
      <c r="AM17" s="1093">
        <f t="shared" si="4"/>
        <v>283506.48</v>
      </c>
      <c r="AN17" s="1093">
        <f t="shared" si="5"/>
        <v>47805.136000000006</v>
      </c>
      <c r="AO17" s="1093"/>
    </row>
    <row r="18" spans="1:41">
      <c r="A18" s="2" t="s">
        <v>15</v>
      </c>
      <c r="B18" s="20"/>
      <c r="C18" s="20"/>
      <c r="D18" s="20"/>
      <c r="E18" s="20"/>
      <c r="F18" s="20"/>
      <c r="G18" s="20"/>
      <c r="H18" s="20"/>
      <c r="I18" s="20"/>
      <c r="J18" s="20"/>
      <c r="K18" s="20"/>
      <c r="L18" s="20"/>
      <c r="M18" s="20"/>
      <c r="N18" s="20"/>
      <c r="O18" s="10">
        <f t="shared" si="0"/>
        <v>0</v>
      </c>
      <c r="P18" s="1093"/>
      <c r="R18" s="2" t="s">
        <v>100</v>
      </c>
      <c r="S18" s="20">
        <f t="shared" ref="S18:AE18" si="19">S88*0.8</f>
        <v>90843.080000000016</v>
      </c>
      <c r="T18" s="20">
        <f t="shared" si="19"/>
        <v>29025.512000000002</v>
      </c>
      <c r="U18" s="20">
        <f t="shared" si="19"/>
        <v>9211.1200000000008</v>
      </c>
      <c r="V18" s="20">
        <f t="shared" si="19"/>
        <v>2140.384</v>
      </c>
      <c r="W18" s="20">
        <f t="shared" si="19"/>
        <v>43176.36</v>
      </c>
      <c r="X18" s="20">
        <f t="shared" si="19"/>
        <v>1567.2</v>
      </c>
      <c r="Y18" s="20">
        <f t="shared" si="19"/>
        <v>4388.8480000000009</v>
      </c>
      <c r="Z18" s="20">
        <f t="shared" si="19"/>
        <v>0</v>
      </c>
      <c r="AA18" s="20">
        <f t="shared" si="19"/>
        <v>2890.2080000000005</v>
      </c>
      <c r="AB18" s="20">
        <f t="shared" si="19"/>
        <v>0</v>
      </c>
      <c r="AC18" s="20">
        <f t="shared" si="19"/>
        <v>0</v>
      </c>
      <c r="AD18" s="20">
        <f t="shared" si="19"/>
        <v>0</v>
      </c>
      <c r="AE18" s="20">
        <f t="shared" si="19"/>
        <v>22.856000000000002</v>
      </c>
      <c r="AF18" s="20">
        <f t="shared" si="10"/>
        <v>0</v>
      </c>
      <c r="AG18" s="20">
        <f t="shared" si="8"/>
        <v>0</v>
      </c>
      <c r="AH18" s="10">
        <f t="shared" si="2"/>
        <v>183265.56800000003</v>
      </c>
      <c r="AI18" s="1093">
        <f t="shared" si="4"/>
        <v>90843.080000000016</v>
      </c>
      <c r="AJ18" s="1093">
        <f t="shared" si="4"/>
        <v>29025.512000000002</v>
      </c>
      <c r="AK18" s="1093">
        <f t="shared" si="4"/>
        <v>9211.1200000000008</v>
      </c>
      <c r="AL18" s="1093">
        <f t="shared" si="4"/>
        <v>2140.384</v>
      </c>
      <c r="AM18" s="1093">
        <f t="shared" si="4"/>
        <v>43176.36</v>
      </c>
      <c r="AN18" s="1093">
        <f t="shared" si="5"/>
        <v>8869.112000000001</v>
      </c>
      <c r="AO18" s="1093"/>
    </row>
    <row r="19" spans="1:41">
      <c r="A19" s="2" t="s">
        <v>14</v>
      </c>
      <c r="B19" s="20"/>
      <c r="C19" s="20"/>
      <c r="D19" s="20"/>
      <c r="E19" s="20"/>
      <c r="F19" s="20"/>
      <c r="G19" s="20"/>
      <c r="H19" s="20"/>
      <c r="I19" s="20"/>
      <c r="J19" s="20"/>
      <c r="K19" s="20"/>
      <c r="L19" s="20"/>
      <c r="M19" s="20"/>
      <c r="N19" s="20"/>
      <c r="O19" s="10">
        <f t="shared" si="0"/>
        <v>0</v>
      </c>
      <c r="P19" s="1093"/>
      <c r="R19" s="2" t="s">
        <v>101</v>
      </c>
      <c r="S19" s="20">
        <f t="shared" ref="S19:AE19" si="20">S89*0.8</f>
        <v>100608.296</v>
      </c>
      <c r="T19" s="20">
        <f t="shared" si="20"/>
        <v>25313.816000000003</v>
      </c>
      <c r="U19" s="20">
        <f t="shared" si="20"/>
        <v>10910.136</v>
      </c>
      <c r="V19" s="20">
        <f t="shared" si="20"/>
        <v>4342.4480000000003</v>
      </c>
      <c r="W19" s="20">
        <f t="shared" si="20"/>
        <v>58299.840000000004</v>
      </c>
      <c r="X19" s="20">
        <f t="shared" si="20"/>
        <v>1018.68</v>
      </c>
      <c r="Y19" s="20">
        <f t="shared" si="20"/>
        <v>4381.6880000000001</v>
      </c>
      <c r="Z19" s="20">
        <f t="shared" si="20"/>
        <v>464.03999999999996</v>
      </c>
      <c r="AA19" s="20">
        <f t="shared" si="20"/>
        <v>3013.8160000000003</v>
      </c>
      <c r="AB19" s="20">
        <f t="shared" si="20"/>
        <v>156.72000000000003</v>
      </c>
      <c r="AC19" s="20">
        <f t="shared" si="20"/>
        <v>0</v>
      </c>
      <c r="AD19" s="20">
        <f t="shared" si="20"/>
        <v>0</v>
      </c>
      <c r="AE19" s="20">
        <f t="shared" si="20"/>
        <v>68.567999999999998</v>
      </c>
      <c r="AF19" s="20">
        <f t="shared" si="10"/>
        <v>0</v>
      </c>
      <c r="AG19" s="20">
        <f t="shared" si="8"/>
        <v>0</v>
      </c>
      <c r="AH19" s="10">
        <f t="shared" si="2"/>
        <v>208578.04800000001</v>
      </c>
      <c r="AI19" s="1093">
        <f t="shared" si="4"/>
        <v>100608.296</v>
      </c>
      <c r="AJ19" s="1093">
        <f t="shared" si="4"/>
        <v>25313.816000000003</v>
      </c>
      <c r="AK19" s="1093">
        <f t="shared" si="4"/>
        <v>10910.136</v>
      </c>
      <c r="AL19" s="1093">
        <f t="shared" si="4"/>
        <v>4342.4480000000003</v>
      </c>
      <c r="AM19" s="1093">
        <f t="shared" si="4"/>
        <v>58299.840000000004</v>
      </c>
      <c r="AN19" s="1093">
        <f t="shared" si="5"/>
        <v>9103.5119999999988</v>
      </c>
      <c r="AO19" s="1093"/>
    </row>
    <row r="20" spans="1:41">
      <c r="A20" s="2" t="s">
        <v>13</v>
      </c>
      <c r="B20" s="20"/>
      <c r="C20" s="20"/>
      <c r="D20" s="20"/>
      <c r="E20" s="20"/>
      <c r="F20" s="20"/>
      <c r="G20" s="20"/>
      <c r="H20" s="20"/>
      <c r="I20" s="20"/>
      <c r="J20" s="20"/>
      <c r="K20" s="20"/>
      <c r="L20" s="20"/>
      <c r="M20" s="20"/>
      <c r="N20" s="20"/>
      <c r="O20" s="10">
        <f t="shared" si="0"/>
        <v>0</v>
      </c>
      <c r="P20" s="1093"/>
      <c r="R20" s="2" t="s">
        <v>102</v>
      </c>
      <c r="S20" s="20">
        <f t="shared" ref="S20:AE20" si="21">S90*0.8</f>
        <v>563936.01600000006</v>
      </c>
      <c r="T20" s="20">
        <f t="shared" si="21"/>
        <v>115342.728</v>
      </c>
      <c r="U20" s="20">
        <f t="shared" si="21"/>
        <v>106411.66399999999</v>
      </c>
      <c r="V20" s="20">
        <f t="shared" si="21"/>
        <v>30599.135999999999</v>
      </c>
      <c r="W20" s="20">
        <f t="shared" si="21"/>
        <v>424946.28</v>
      </c>
      <c r="X20" s="20">
        <f t="shared" si="21"/>
        <v>9168.1200000000008</v>
      </c>
      <c r="Y20" s="20">
        <f t="shared" si="21"/>
        <v>18781.464000000004</v>
      </c>
      <c r="Z20" s="20">
        <f t="shared" si="21"/>
        <v>0</v>
      </c>
      <c r="AA20" s="20">
        <f t="shared" si="21"/>
        <v>16077.152</v>
      </c>
      <c r="AB20" s="20">
        <f t="shared" si="21"/>
        <v>2664.2400000000002</v>
      </c>
      <c r="AC20" s="20">
        <f t="shared" si="21"/>
        <v>0</v>
      </c>
      <c r="AD20" s="20">
        <f t="shared" si="21"/>
        <v>0</v>
      </c>
      <c r="AE20" s="20">
        <f t="shared" si="21"/>
        <v>274.27199999999999</v>
      </c>
      <c r="AF20" s="20">
        <f t="shared" si="10"/>
        <v>0</v>
      </c>
      <c r="AG20" s="20">
        <f t="shared" si="8"/>
        <v>0</v>
      </c>
      <c r="AH20" s="10">
        <f t="shared" si="2"/>
        <v>1288201.0720000002</v>
      </c>
      <c r="AI20" s="1093">
        <f t="shared" si="4"/>
        <v>563936.01600000006</v>
      </c>
      <c r="AJ20" s="1093">
        <f t="shared" si="4"/>
        <v>115342.728</v>
      </c>
      <c r="AK20" s="1093">
        <f t="shared" si="4"/>
        <v>106411.66399999999</v>
      </c>
      <c r="AL20" s="1093">
        <f t="shared" si="4"/>
        <v>30599.135999999999</v>
      </c>
      <c r="AM20" s="1093">
        <f t="shared" si="4"/>
        <v>424946.28</v>
      </c>
      <c r="AN20" s="1093">
        <f t="shared" si="5"/>
        <v>46965.248</v>
      </c>
      <c r="AO20" s="1093"/>
    </row>
    <row r="21" spans="1:41">
      <c r="A21" s="2" t="s">
        <v>16</v>
      </c>
      <c r="B21" s="20"/>
      <c r="C21" s="20"/>
      <c r="D21" s="20"/>
      <c r="E21" s="20"/>
      <c r="F21" s="20"/>
      <c r="G21" s="20"/>
      <c r="H21" s="20"/>
      <c r="I21" s="20"/>
      <c r="J21" s="20"/>
      <c r="K21" s="20"/>
      <c r="L21" s="20"/>
      <c r="M21" s="20"/>
      <c r="N21" s="20"/>
      <c r="O21" s="10">
        <f t="shared" si="0"/>
        <v>0</v>
      </c>
      <c r="P21" s="1093"/>
      <c r="R21" s="2" t="s">
        <v>103</v>
      </c>
      <c r="S21" s="20">
        <f t="shared" ref="S21:AE21" si="22">S91*0.8</f>
        <v>221314.696</v>
      </c>
      <c r="T21" s="20">
        <f t="shared" si="22"/>
        <v>42619.872000000003</v>
      </c>
      <c r="U21" s="20">
        <f t="shared" si="22"/>
        <v>28568.576000000001</v>
      </c>
      <c r="V21" s="20">
        <f t="shared" si="22"/>
        <v>5529.16</v>
      </c>
      <c r="W21" s="20">
        <f t="shared" si="22"/>
        <v>103278.48000000001</v>
      </c>
      <c r="X21" s="20">
        <f t="shared" si="22"/>
        <v>3682.92</v>
      </c>
      <c r="Y21" s="20">
        <f t="shared" si="22"/>
        <v>5474.9840000000004</v>
      </c>
      <c r="Z21" s="20">
        <f t="shared" si="22"/>
        <v>0</v>
      </c>
      <c r="AA21" s="20">
        <f t="shared" si="22"/>
        <v>6754.0800000000008</v>
      </c>
      <c r="AB21" s="20">
        <f t="shared" si="22"/>
        <v>78.360000000000014</v>
      </c>
      <c r="AC21" s="20">
        <f t="shared" si="22"/>
        <v>0</v>
      </c>
      <c r="AD21" s="20">
        <f t="shared" si="22"/>
        <v>0</v>
      </c>
      <c r="AE21" s="20">
        <f t="shared" si="22"/>
        <v>205.70400000000001</v>
      </c>
      <c r="AF21" s="20">
        <f t="shared" si="10"/>
        <v>0</v>
      </c>
      <c r="AG21" s="20">
        <f t="shared" si="8"/>
        <v>0</v>
      </c>
      <c r="AH21" s="10">
        <f t="shared" si="2"/>
        <v>417506.83199999999</v>
      </c>
      <c r="AI21" s="1093">
        <f t="shared" si="4"/>
        <v>221314.696</v>
      </c>
      <c r="AJ21" s="1093">
        <f t="shared" si="4"/>
        <v>42619.872000000003</v>
      </c>
      <c r="AK21" s="1093">
        <f t="shared" si="4"/>
        <v>28568.576000000001</v>
      </c>
      <c r="AL21" s="1093">
        <f t="shared" si="4"/>
        <v>5529.16</v>
      </c>
      <c r="AM21" s="1093">
        <f t="shared" si="4"/>
        <v>103278.48000000001</v>
      </c>
      <c r="AN21" s="1093">
        <f t="shared" si="5"/>
        <v>16196.048000000001</v>
      </c>
      <c r="AO21" s="1093"/>
    </row>
    <row r="22" spans="1:41">
      <c r="A22" s="2" t="s">
        <v>17</v>
      </c>
      <c r="B22" s="20"/>
      <c r="C22" s="20"/>
      <c r="D22" s="20"/>
      <c r="E22" s="20"/>
      <c r="F22" s="20"/>
      <c r="G22" s="20"/>
      <c r="H22" s="20"/>
      <c r="I22" s="20"/>
      <c r="J22" s="20"/>
      <c r="K22" s="20"/>
      <c r="L22" s="20"/>
      <c r="M22" s="20"/>
      <c r="N22" s="20"/>
      <c r="O22" s="10">
        <f t="shared" si="0"/>
        <v>0</v>
      </c>
      <c r="P22" s="1093"/>
      <c r="R22" s="2" t="s">
        <v>104</v>
      </c>
      <c r="S22" s="20">
        <f t="shared" ref="S22:AE22" si="23">S92*0.8</f>
        <v>41620.016000000003</v>
      </c>
      <c r="T22" s="20">
        <f t="shared" si="23"/>
        <v>8931.0079999999998</v>
      </c>
      <c r="U22" s="20">
        <f t="shared" si="23"/>
        <v>8008.92</v>
      </c>
      <c r="V22" s="20">
        <f t="shared" si="23"/>
        <v>1141.4559999999999</v>
      </c>
      <c r="W22" s="20">
        <f t="shared" si="23"/>
        <v>24840.120000000003</v>
      </c>
      <c r="X22" s="20">
        <f t="shared" si="23"/>
        <v>1097.04</v>
      </c>
      <c r="Y22" s="20">
        <f t="shared" si="23"/>
        <v>863.31200000000013</v>
      </c>
      <c r="Z22" s="20">
        <f t="shared" si="23"/>
        <v>0</v>
      </c>
      <c r="AA22" s="20">
        <f t="shared" si="23"/>
        <v>1625.7440000000001</v>
      </c>
      <c r="AB22" s="20">
        <f t="shared" si="23"/>
        <v>0</v>
      </c>
      <c r="AC22" s="20">
        <f t="shared" si="23"/>
        <v>0</v>
      </c>
      <c r="AD22" s="20">
        <f t="shared" si="23"/>
        <v>0</v>
      </c>
      <c r="AE22" s="20">
        <f t="shared" si="23"/>
        <v>0</v>
      </c>
      <c r="AF22" s="20">
        <f t="shared" si="10"/>
        <v>0</v>
      </c>
      <c r="AG22" s="20">
        <f t="shared" si="8"/>
        <v>0</v>
      </c>
      <c r="AH22" s="10">
        <f t="shared" si="2"/>
        <v>88127.616000000009</v>
      </c>
      <c r="AI22" s="1093">
        <f t="shared" si="4"/>
        <v>41620.016000000003</v>
      </c>
      <c r="AJ22" s="1093">
        <f t="shared" si="4"/>
        <v>8931.0079999999998</v>
      </c>
      <c r="AK22" s="1093">
        <f t="shared" si="4"/>
        <v>8008.92</v>
      </c>
      <c r="AL22" s="1093">
        <f t="shared" si="4"/>
        <v>1141.4559999999999</v>
      </c>
      <c r="AM22" s="1093">
        <f t="shared" si="4"/>
        <v>24840.120000000003</v>
      </c>
      <c r="AN22" s="1093">
        <f t="shared" si="5"/>
        <v>3586.0960000000005</v>
      </c>
      <c r="AO22" s="1093"/>
    </row>
    <row r="23" spans="1:41">
      <c r="A23" s="2" t="s">
        <v>18</v>
      </c>
      <c r="B23" s="20"/>
      <c r="C23" s="20"/>
      <c r="D23" s="20"/>
      <c r="E23" s="20"/>
      <c r="F23" s="20"/>
      <c r="G23" s="20"/>
      <c r="H23" s="20"/>
      <c r="I23" s="20"/>
      <c r="J23" s="20"/>
      <c r="K23" s="20"/>
      <c r="L23" s="20"/>
      <c r="M23" s="20"/>
      <c r="N23" s="20"/>
      <c r="O23" s="10">
        <f t="shared" si="0"/>
        <v>0</v>
      </c>
      <c r="P23" s="1093"/>
      <c r="R23" s="2" t="s">
        <v>105</v>
      </c>
      <c r="S23" s="20">
        <f t="shared" ref="S23:AE23" si="24">S93*0.8</f>
        <v>789365.62400000007</v>
      </c>
      <c r="T23" s="20">
        <f t="shared" si="24"/>
        <v>99699.280000000013</v>
      </c>
      <c r="U23" s="20">
        <f t="shared" si="24"/>
        <v>143578.17600000001</v>
      </c>
      <c r="V23" s="20">
        <f t="shared" si="24"/>
        <v>16482.960000000003</v>
      </c>
      <c r="W23" s="20">
        <f t="shared" si="24"/>
        <v>335759.84</v>
      </c>
      <c r="X23" s="20">
        <f t="shared" si="24"/>
        <v>12321.528</v>
      </c>
      <c r="Y23" s="20">
        <f t="shared" si="24"/>
        <v>23696.048000000003</v>
      </c>
      <c r="Z23" s="20">
        <f t="shared" si="24"/>
        <v>1309.5680000000002</v>
      </c>
      <c r="AA23" s="20">
        <f t="shared" si="24"/>
        <v>12611.536</v>
      </c>
      <c r="AB23" s="20">
        <f t="shared" si="24"/>
        <v>1175.4000000000001</v>
      </c>
      <c r="AC23" s="20">
        <f t="shared" si="24"/>
        <v>0</v>
      </c>
      <c r="AD23" s="20">
        <f t="shared" si="24"/>
        <v>0</v>
      </c>
      <c r="AE23" s="20">
        <f t="shared" si="24"/>
        <v>548.54399999999998</v>
      </c>
      <c r="AF23" s="20">
        <f t="shared" si="10"/>
        <v>0</v>
      </c>
      <c r="AG23" s="20">
        <f t="shared" si="8"/>
        <v>0</v>
      </c>
      <c r="AH23" s="10">
        <f t="shared" si="2"/>
        <v>1436548.504</v>
      </c>
      <c r="AI23" s="1093">
        <f t="shared" si="4"/>
        <v>789365.62400000007</v>
      </c>
      <c r="AJ23" s="1093">
        <f t="shared" si="4"/>
        <v>99699.280000000013</v>
      </c>
      <c r="AK23" s="1093">
        <f t="shared" si="4"/>
        <v>143578.17600000001</v>
      </c>
      <c r="AL23" s="1093">
        <f t="shared" si="4"/>
        <v>16482.960000000003</v>
      </c>
      <c r="AM23" s="1093">
        <f t="shared" si="4"/>
        <v>335759.84</v>
      </c>
      <c r="AN23" s="1093">
        <f t="shared" si="5"/>
        <v>51662.624000000003</v>
      </c>
      <c r="AO23" s="1093"/>
    </row>
    <row r="24" spans="1:41">
      <c r="A24" s="2" t="s">
        <v>20</v>
      </c>
      <c r="B24" s="20"/>
      <c r="C24" s="20"/>
      <c r="D24" s="20"/>
      <c r="E24" s="20"/>
      <c r="F24" s="20"/>
      <c r="G24" s="20"/>
      <c r="H24" s="20"/>
      <c r="I24" s="20"/>
      <c r="J24" s="20"/>
      <c r="K24" s="20"/>
      <c r="L24" s="20"/>
      <c r="M24" s="20"/>
      <c r="N24" s="20"/>
      <c r="O24" s="10">
        <f t="shared" si="0"/>
        <v>0</v>
      </c>
      <c r="P24" s="1093"/>
      <c r="R24" s="2" t="s">
        <v>106</v>
      </c>
      <c r="S24" s="20">
        <f t="shared" ref="S24:AE24" si="25">S94*0.8</f>
        <v>103318.424</v>
      </c>
      <c r="T24" s="20">
        <f t="shared" si="25"/>
        <v>26112.800000000003</v>
      </c>
      <c r="U24" s="20">
        <f t="shared" si="25"/>
        <v>9249.2160000000003</v>
      </c>
      <c r="V24" s="20">
        <f t="shared" si="25"/>
        <v>2064.616</v>
      </c>
      <c r="W24" s="20">
        <f t="shared" si="25"/>
        <v>44586.840000000004</v>
      </c>
      <c r="X24" s="20">
        <f t="shared" si="25"/>
        <v>1097.04</v>
      </c>
      <c r="Y24" s="20">
        <f t="shared" si="25"/>
        <v>4828.8480000000009</v>
      </c>
      <c r="Z24" s="20">
        <f t="shared" si="25"/>
        <v>0</v>
      </c>
      <c r="AA24" s="20">
        <f t="shared" si="25"/>
        <v>2900.0240000000003</v>
      </c>
      <c r="AB24" s="20">
        <f t="shared" si="25"/>
        <v>78.360000000000014</v>
      </c>
      <c r="AC24" s="20">
        <f t="shared" si="25"/>
        <v>0</v>
      </c>
      <c r="AD24" s="20">
        <f t="shared" si="25"/>
        <v>0</v>
      </c>
      <c r="AE24" s="20">
        <f t="shared" si="25"/>
        <v>68.567999999999998</v>
      </c>
      <c r="AF24" s="20">
        <f t="shared" si="10"/>
        <v>0</v>
      </c>
      <c r="AG24" s="20">
        <f t="shared" si="8"/>
        <v>0</v>
      </c>
      <c r="AH24" s="10">
        <f t="shared" si="2"/>
        <v>194304.736</v>
      </c>
      <c r="AI24" s="1093">
        <f t="shared" si="4"/>
        <v>103318.424</v>
      </c>
      <c r="AJ24" s="1093">
        <f t="shared" si="4"/>
        <v>26112.800000000003</v>
      </c>
      <c r="AK24" s="1093">
        <f t="shared" si="4"/>
        <v>9249.2160000000003</v>
      </c>
      <c r="AL24" s="1093">
        <f t="shared" si="4"/>
        <v>2064.616</v>
      </c>
      <c r="AM24" s="1093">
        <f t="shared" si="4"/>
        <v>44586.840000000004</v>
      </c>
      <c r="AN24" s="1093">
        <f t="shared" si="5"/>
        <v>8972.84</v>
      </c>
      <c r="AO24" s="1093"/>
    </row>
    <row r="25" spans="1:41">
      <c r="A25" s="2" t="s">
        <v>19</v>
      </c>
      <c r="B25" s="20"/>
      <c r="C25" s="20"/>
      <c r="D25" s="20"/>
      <c r="E25" s="20"/>
      <c r="F25" s="20"/>
      <c r="G25" s="20"/>
      <c r="H25" s="20"/>
      <c r="I25" s="20"/>
      <c r="J25" s="20"/>
      <c r="K25" s="20"/>
      <c r="L25" s="20"/>
      <c r="M25" s="20"/>
      <c r="N25" s="20"/>
      <c r="O25" s="10">
        <f t="shared" si="0"/>
        <v>0</v>
      </c>
      <c r="P25" s="1093"/>
      <c r="R25" s="2" t="s">
        <v>107</v>
      </c>
      <c r="S25" s="20">
        <f t="shared" ref="S25:AE25" si="26">S95*0.8</f>
        <v>797194.24800000014</v>
      </c>
      <c r="T25" s="20">
        <f t="shared" si="26"/>
        <v>89675.648000000001</v>
      </c>
      <c r="U25" s="20">
        <f t="shared" si="26"/>
        <v>116429.144</v>
      </c>
      <c r="V25" s="20">
        <f t="shared" si="26"/>
        <v>23029.248000000003</v>
      </c>
      <c r="W25" s="20">
        <f t="shared" si="26"/>
        <v>556669.44000000006</v>
      </c>
      <c r="X25" s="20">
        <f t="shared" si="26"/>
        <v>3761.2800000000007</v>
      </c>
      <c r="Y25" s="20">
        <f t="shared" si="26"/>
        <v>13815.744000000001</v>
      </c>
      <c r="Z25" s="20">
        <f t="shared" si="26"/>
        <v>872.04</v>
      </c>
      <c r="AA25" s="20">
        <f t="shared" si="26"/>
        <v>12344.344000000001</v>
      </c>
      <c r="AB25" s="20">
        <f t="shared" si="26"/>
        <v>1723.92</v>
      </c>
      <c r="AC25" s="20">
        <f t="shared" si="26"/>
        <v>156.72000000000003</v>
      </c>
      <c r="AD25" s="20">
        <f t="shared" si="26"/>
        <v>668.24800000000005</v>
      </c>
      <c r="AE25" s="20">
        <f t="shared" si="26"/>
        <v>182.84800000000001</v>
      </c>
      <c r="AF25" s="20">
        <f t="shared" si="10"/>
        <v>0</v>
      </c>
      <c r="AG25" s="20">
        <f t="shared" si="8"/>
        <v>0</v>
      </c>
      <c r="AH25" s="10">
        <f t="shared" si="2"/>
        <v>1616522.872</v>
      </c>
      <c r="AI25" s="1093">
        <f t="shared" si="4"/>
        <v>797194.24800000014</v>
      </c>
      <c r="AJ25" s="1093">
        <f t="shared" si="4"/>
        <v>89675.648000000001</v>
      </c>
      <c r="AK25" s="1093">
        <f t="shared" si="4"/>
        <v>116429.144</v>
      </c>
      <c r="AL25" s="1093">
        <f t="shared" si="4"/>
        <v>23029.248000000003</v>
      </c>
      <c r="AM25" s="1093">
        <f t="shared" si="4"/>
        <v>556669.44000000006</v>
      </c>
      <c r="AN25" s="1093">
        <f t="shared" si="5"/>
        <v>33525.144</v>
      </c>
      <c r="AO25" s="1093"/>
    </row>
    <row r="26" spans="1:41">
      <c r="A26" s="2" t="s">
        <v>21</v>
      </c>
      <c r="B26" s="20"/>
      <c r="C26" s="20"/>
      <c r="D26" s="20"/>
      <c r="E26" s="20"/>
      <c r="F26" s="20"/>
      <c r="G26" s="20"/>
      <c r="H26" s="20"/>
      <c r="I26" s="20"/>
      <c r="J26" s="20"/>
      <c r="K26" s="20"/>
      <c r="L26" s="20"/>
      <c r="M26" s="20"/>
      <c r="N26" s="20"/>
      <c r="O26" s="10">
        <f t="shared" si="0"/>
        <v>0</v>
      </c>
      <c r="P26" s="1093"/>
      <c r="R26" s="2" t="s">
        <v>108</v>
      </c>
      <c r="S26" s="20">
        <f t="shared" ref="S26:AE26" si="27">S96*0.8</f>
        <v>32643.615999999998</v>
      </c>
      <c r="T26" s="20">
        <f t="shared" si="27"/>
        <v>9188.3680000000004</v>
      </c>
      <c r="U26" s="20">
        <f t="shared" si="27"/>
        <v>2956.0880000000002</v>
      </c>
      <c r="V26" s="20">
        <f t="shared" si="27"/>
        <v>1861.864</v>
      </c>
      <c r="W26" s="20">
        <f t="shared" si="27"/>
        <v>56105.760000000002</v>
      </c>
      <c r="X26" s="20">
        <f t="shared" si="27"/>
        <v>705.24</v>
      </c>
      <c r="Y26" s="20">
        <f t="shared" si="27"/>
        <v>1309.7600000000002</v>
      </c>
      <c r="Z26" s="20">
        <f t="shared" si="27"/>
        <v>0</v>
      </c>
      <c r="AA26" s="20">
        <f t="shared" si="27"/>
        <v>1537.1840000000002</v>
      </c>
      <c r="AB26" s="20">
        <f t="shared" si="27"/>
        <v>0</v>
      </c>
      <c r="AC26" s="20">
        <f t="shared" si="27"/>
        <v>0</v>
      </c>
      <c r="AD26" s="20">
        <f t="shared" si="27"/>
        <v>0</v>
      </c>
      <c r="AE26" s="20">
        <f t="shared" si="27"/>
        <v>22.856000000000002</v>
      </c>
      <c r="AF26" s="20">
        <f t="shared" si="10"/>
        <v>0</v>
      </c>
      <c r="AG26" s="20">
        <f t="shared" si="8"/>
        <v>0</v>
      </c>
      <c r="AH26" s="10">
        <f t="shared" si="2"/>
        <v>106330.73599999999</v>
      </c>
      <c r="AI26" s="1093">
        <f t="shared" si="4"/>
        <v>32643.615999999998</v>
      </c>
      <c r="AJ26" s="1093">
        <f t="shared" si="4"/>
        <v>9188.3680000000004</v>
      </c>
      <c r="AK26" s="1093">
        <f t="shared" si="4"/>
        <v>2956.0880000000002</v>
      </c>
      <c r="AL26" s="1093">
        <f t="shared" si="4"/>
        <v>1861.864</v>
      </c>
      <c r="AM26" s="1093">
        <f t="shared" si="4"/>
        <v>56105.760000000002</v>
      </c>
      <c r="AN26" s="1093">
        <f t="shared" si="5"/>
        <v>3575.0400000000004</v>
      </c>
      <c r="AO26" s="1093"/>
    </row>
    <row r="27" spans="1:41">
      <c r="A27" s="2" t="s">
        <v>22</v>
      </c>
      <c r="B27" s="20"/>
      <c r="C27" s="20"/>
      <c r="D27" s="20"/>
      <c r="E27" s="20"/>
      <c r="F27" s="20"/>
      <c r="G27" s="20"/>
      <c r="H27" s="20"/>
      <c r="I27" s="20"/>
      <c r="J27" s="20"/>
      <c r="K27" s="20"/>
      <c r="L27" s="20"/>
      <c r="M27" s="20"/>
      <c r="N27" s="20"/>
      <c r="O27" s="10">
        <f t="shared" si="0"/>
        <v>0</v>
      </c>
      <c r="P27" s="1093"/>
      <c r="R27" s="2" t="s">
        <v>109</v>
      </c>
      <c r="S27" s="20">
        <f t="shared" ref="S27:AE27" si="28">S97*0.8</f>
        <v>9443.4800000000014</v>
      </c>
      <c r="T27" s="20">
        <f t="shared" si="28"/>
        <v>1243.6480000000001</v>
      </c>
      <c r="U27" s="20">
        <f t="shared" si="28"/>
        <v>1005.68</v>
      </c>
      <c r="V27" s="20">
        <f t="shared" si="28"/>
        <v>368.52800000000002</v>
      </c>
      <c r="W27" s="20">
        <f t="shared" si="28"/>
        <v>7522.5600000000013</v>
      </c>
      <c r="X27" s="20">
        <f t="shared" si="28"/>
        <v>78.360000000000014</v>
      </c>
      <c r="Y27" s="20">
        <f t="shared" si="28"/>
        <v>104.72800000000001</v>
      </c>
      <c r="Z27" s="20">
        <f t="shared" si="28"/>
        <v>0</v>
      </c>
      <c r="AA27" s="20">
        <f t="shared" si="28"/>
        <v>136.976</v>
      </c>
      <c r="AB27" s="20">
        <f t="shared" si="28"/>
        <v>0</v>
      </c>
      <c r="AC27" s="20">
        <f t="shared" si="28"/>
        <v>0</v>
      </c>
      <c r="AD27" s="20">
        <f t="shared" si="28"/>
        <v>0</v>
      </c>
      <c r="AE27" s="20">
        <f t="shared" si="28"/>
        <v>0</v>
      </c>
      <c r="AF27" s="20">
        <f t="shared" si="10"/>
        <v>0</v>
      </c>
      <c r="AG27" s="20">
        <f t="shared" si="8"/>
        <v>0</v>
      </c>
      <c r="AH27" s="10">
        <f t="shared" si="2"/>
        <v>19903.96</v>
      </c>
      <c r="AI27" s="1093">
        <f t="shared" si="4"/>
        <v>9443.4800000000014</v>
      </c>
      <c r="AJ27" s="1093">
        <f t="shared" si="4"/>
        <v>1243.6480000000001</v>
      </c>
      <c r="AK27" s="1093">
        <f t="shared" si="4"/>
        <v>1005.68</v>
      </c>
      <c r="AL27" s="1093">
        <f t="shared" si="4"/>
        <v>368.52800000000002</v>
      </c>
      <c r="AM27" s="1093">
        <f t="shared" si="4"/>
        <v>7522.5600000000013</v>
      </c>
      <c r="AN27" s="1093">
        <f t="shared" si="5"/>
        <v>320.06400000000002</v>
      </c>
      <c r="AO27" s="1093"/>
    </row>
    <row r="28" spans="1:41">
      <c r="A28" s="2" t="s">
        <v>23</v>
      </c>
      <c r="B28" s="20"/>
      <c r="C28" s="20"/>
      <c r="D28" s="20"/>
      <c r="E28" s="20"/>
      <c r="F28" s="20"/>
      <c r="G28" s="20"/>
      <c r="H28" s="20"/>
      <c r="I28" s="20"/>
      <c r="J28" s="20"/>
      <c r="K28" s="20"/>
      <c r="L28" s="20"/>
      <c r="M28" s="20"/>
      <c r="N28" s="20"/>
      <c r="O28" s="10">
        <f t="shared" si="0"/>
        <v>0</v>
      </c>
      <c r="P28" s="1093"/>
      <c r="R28" s="2" t="s">
        <v>110</v>
      </c>
      <c r="S28" s="20">
        <f t="shared" ref="S28:AE28" si="29">S98*0.8</f>
        <v>592718.48</v>
      </c>
      <c r="T28" s="20">
        <f t="shared" si="29"/>
        <v>50157.872000000003</v>
      </c>
      <c r="U28" s="20">
        <f t="shared" si="29"/>
        <v>89545.631999999998</v>
      </c>
      <c r="V28" s="20">
        <f t="shared" si="29"/>
        <v>10202.944000000001</v>
      </c>
      <c r="W28" s="20">
        <f t="shared" si="29"/>
        <v>328328.40000000002</v>
      </c>
      <c r="X28" s="20">
        <f t="shared" si="29"/>
        <v>2977.6800000000003</v>
      </c>
      <c r="Y28" s="20">
        <f t="shared" si="29"/>
        <v>5921.5360000000001</v>
      </c>
      <c r="Z28" s="20">
        <f t="shared" si="29"/>
        <v>0</v>
      </c>
      <c r="AA28" s="20">
        <f t="shared" si="29"/>
        <v>7871.768</v>
      </c>
      <c r="AB28" s="20">
        <f t="shared" si="29"/>
        <v>783.6</v>
      </c>
      <c r="AC28" s="20">
        <f t="shared" si="29"/>
        <v>0</v>
      </c>
      <c r="AD28" s="20">
        <f t="shared" si="29"/>
        <v>0</v>
      </c>
      <c r="AE28" s="20">
        <f t="shared" si="29"/>
        <v>91.424000000000007</v>
      </c>
      <c r="AF28" s="20">
        <f t="shared" si="10"/>
        <v>0</v>
      </c>
      <c r="AG28" s="20">
        <f t="shared" si="8"/>
        <v>0</v>
      </c>
      <c r="AH28" s="10">
        <f t="shared" si="2"/>
        <v>1088599.3360000001</v>
      </c>
      <c r="AI28" s="1093">
        <f t="shared" si="4"/>
        <v>592718.48</v>
      </c>
      <c r="AJ28" s="1093">
        <f t="shared" si="4"/>
        <v>50157.872000000003</v>
      </c>
      <c r="AK28" s="1093">
        <f t="shared" si="4"/>
        <v>89545.631999999998</v>
      </c>
      <c r="AL28" s="1093">
        <f t="shared" si="4"/>
        <v>10202.944000000001</v>
      </c>
      <c r="AM28" s="1093">
        <f t="shared" si="4"/>
        <v>328328.40000000002</v>
      </c>
      <c r="AN28" s="1093">
        <f t="shared" si="5"/>
        <v>17646.007999999998</v>
      </c>
      <c r="AO28" s="1093"/>
    </row>
    <row r="29" spans="1:41">
      <c r="A29" s="2" t="s">
        <v>25</v>
      </c>
      <c r="B29" s="20"/>
      <c r="C29" s="20"/>
      <c r="D29" s="20"/>
      <c r="E29" s="20"/>
      <c r="F29" s="20"/>
      <c r="G29" s="20"/>
      <c r="H29" s="20"/>
      <c r="I29" s="20"/>
      <c r="J29" s="20"/>
      <c r="K29" s="20"/>
      <c r="L29" s="20"/>
      <c r="M29" s="20"/>
      <c r="N29" s="20"/>
      <c r="O29" s="10">
        <f t="shared" si="0"/>
        <v>0</v>
      </c>
      <c r="P29" s="1093"/>
      <c r="R29" s="2" t="s">
        <v>111</v>
      </c>
      <c r="S29" s="20">
        <f t="shared" ref="S29:AE29" si="30">S99*0.8</f>
        <v>2968615.3440000005</v>
      </c>
      <c r="T29" s="20">
        <f t="shared" si="30"/>
        <v>454471.14400000009</v>
      </c>
      <c r="U29" s="20">
        <f t="shared" si="30"/>
        <v>467816.91200000001</v>
      </c>
      <c r="V29" s="20">
        <f t="shared" si="30"/>
        <v>55168.52</v>
      </c>
      <c r="W29" s="20">
        <f t="shared" si="30"/>
        <v>1895763.4800000002</v>
      </c>
      <c r="X29" s="20">
        <f t="shared" si="30"/>
        <v>21000.48</v>
      </c>
      <c r="Y29" s="20">
        <f t="shared" si="30"/>
        <v>85879.152000000002</v>
      </c>
      <c r="Z29" s="20">
        <f t="shared" si="30"/>
        <v>4658.96</v>
      </c>
      <c r="AA29" s="20">
        <f t="shared" si="30"/>
        <v>54734.936000000002</v>
      </c>
      <c r="AB29" s="20">
        <f t="shared" si="30"/>
        <v>5093.4000000000005</v>
      </c>
      <c r="AC29" s="20">
        <f t="shared" si="30"/>
        <v>156.72000000000003</v>
      </c>
      <c r="AD29" s="20">
        <f t="shared" si="30"/>
        <v>544</v>
      </c>
      <c r="AE29" s="20">
        <f t="shared" si="30"/>
        <v>1759.912</v>
      </c>
      <c r="AF29" s="20">
        <f>AF99</f>
        <v>163.63</v>
      </c>
      <c r="AG29" s="20">
        <f>AG99</f>
        <v>1670.54</v>
      </c>
      <c r="AH29" s="10">
        <f t="shared" si="2"/>
        <v>6017497.1300000008</v>
      </c>
      <c r="AI29" s="1093">
        <f t="shared" si="4"/>
        <v>2968615.3440000005</v>
      </c>
      <c r="AJ29" s="1093">
        <f t="shared" si="4"/>
        <v>454471.14400000009</v>
      </c>
      <c r="AK29" s="1093">
        <f t="shared" si="4"/>
        <v>467816.91200000001</v>
      </c>
      <c r="AL29" s="1093">
        <f t="shared" si="4"/>
        <v>55168.52</v>
      </c>
      <c r="AM29" s="1093">
        <f t="shared" si="4"/>
        <v>1895763.4800000002</v>
      </c>
      <c r="AN29" s="1093">
        <f t="shared" si="5"/>
        <v>175661.73</v>
      </c>
      <c r="AO29" s="1093"/>
    </row>
    <row r="30" spans="1:41">
      <c r="A30" s="2" t="s">
        <v>24</v>
      </c>
      <c r="B30" s="20"/>
      <c r="C30" s="20"/>
      <c r="D30" s="20"/>
      <c r="E30" s="20"/>
      <c r="F30" s="20"/>
      <c r="G30" s="20"/>
      <c r="H30" s="20"/>
      <c r="I30" s="20"/>
      <c r="J30" s="20"/>
      <c r="K30" s="20"/>
      <c r="L30" s="20"/>
      <c r="M30" s="20"/>
      <c r="N30" s="20"/>
      <c r="O30" s="10">
        <f t="shared" si="0"/>
        <v>0</v>
      </c>
      <c r="P30" s="1093"/>
      <c r="R30" s="2" t="s">
        <v>112</v>
      </c>
      <c r="S30" s="20">
        <f t="shared" ref="S30:AE30" si="31">S100*0.8</f>
        <v>51482.008000000002</v>
      </c>
      <c r="T30" s="20">
        <f t="shared" si="31"/>
        <v>10287.496000000001</v>
      </c>
      <c r="U30" s="20">
        <f t="shared" si="31"/>
        <v>5950.2800000000007</v>
      </c>
      <c r="V30" s="20">
        <f t="shared" si="31"/>
        <v>517.10400000000004</v>
      </c>
      <c r="W30" s="20">
        <f t="shared" si="31"/>
        <v>40825.56</v>
      </c>
      <c r="X30" s="20">
        <f t="shared" si="31"/>
        <v>1802.28</v>
      </c>
      <c r="Y30" s="20">
        <f t="shared" si="31"/>
        <v>803.28000000000009</v>
      </c>
      <c r="Z30" s="20">
        <f t="shared" si="31"/>
        <v>0</v>
      </c>
      <c r="AA30" s="20">
        <f t="shared" si="31"/>
        <v>1740.992</v>
      </c>
      <c r="AB30" s="20">
        <f t="shared" si="31"/>
        <v>313.44000000000005</v>
      </c>
      <c r="AC30" s="20">
        <f t="shared" si="31"/>
        <v>0</v>
      </c>
      <c r="AD30" s="20">
        <f t="shared" si="31"/>
        <v>0</v>
      </c>
      <c r="AE30" s="20">
        <f t="shared" si="31"/>
        <v>0</v>
      </c>
      <c r="AF30" s="20">
        <f>AF100*0.8</f>
        <v>0</v>
      </c>
      <c r="AG30" s="20">
        <f>AG100*0.8</f>
        <v>0</v>
      </c>
      <c r="AH30" s="10">
        <f t="shared" si="2"/>
        <v>113722.44</v>
      </c>
      <c r="AI30" s="1093">
        <f t="shared" si="4"/>
        <v>51482.008000000002</v>
      </c>
      <c r="AJ30" s="1093">
        <f t="shared" si="4"/>
        <v>10287.496000000001</v>
      </c>
      <c r="AK30" s="1093">
        <f t="shared" si="4"/>
        <v>5950.2800000000007</v>
      </c>
      <c r="AL30" s="1093">
        <f t="shared" si="4"/>
        <v>517.10400000000004</v>
      </c>
      <c r="AM30" s="1093">
        <f t="shared" si="4"/>
        <v>40825.56</v>
      </c>
      <c r="AN30" s="1093">
        <f t="shared" si="5"/>
        <v>4659.9920000000002</v>
      </c>
      <c r="AO30" s="1093"/>
    </row>
    <row r="31" spans="1:41">
      <c r="A31" s="2" t="s">
        <v>26</v>
      </c>
      <c r="B31" s="20"/>
      <c r="C31" s="20"/>
      <c r="D31" s="20"/>
      <c r="E31" s="20"/>
      <c r="F31" s="20"/>
      <c r="G31" s="20"/>
      <c r="H31" s="20"/>
      <c r="I31" s="20"/>
      <c r="J31" s="20"/>
      <c r="K31" s="20"/>
      <c r="L31" s="20"/>
      <c r="M31" s="20"/>
      <c r="N31" s="20"/>
      <c r="O31" s="10">
        <f t="shared" si="0"/>
        <v>0</v>
      </c>
      <c r="P31" s="1093"/>
      <c r="R31" s="2" t="s">
        <v>113</v>
      </c>
      <c r="S31" s="20">
        <f t="shared" ref="S31:AE31" si="32">S101*0.8</f>
        <v>25512.432000000001</v>
      </c>
      <c r="T31" s="20">
        <f t="shared" si="32"/>
        <v>7799.44</v>
      </c>
      <c r="U31" s="20">
        <f t="shared" si="32"/>
        <v>3626.5440000000003</v>
      </c>
      <c r="V31" s="20">
        <f t="shared" si="32"/>
        <v>1490.0320000000002</v>
      </c>
      <c r="W31" s="20">
        <f t="shared" si="32"/>
        <v>26328.959999999999</v>
      </c>
      <c r="X31" s="20">
        <f t="shared" si="32"/>
        <v>391.8</v>
      </c>
      <c r="Y31" s="20">
        <f t="shared" si="32"/>
        <v>1089.6079999999999</v>
      </c>
      <c r="Z31" s="20">
        <f t="shared" si="32"/>
        <v>0</v>
      </c>
      <c r="AA31" s="20">
        <f t="shared" si="32"/>
        <v>803.52</v>
      </c>
      <c r="AB31" s="20">
        <f t="shared" si="32"/>
        <v>313.44000000000005</v>
      </c>
      <c r="AC31" s="20">
        <f t="shared" si="32"/>
        <v>0</v>
      </c>
      <c r="AD31" s="20">
        <f t="shared" si="32"/>
        <v>0</v>
      </c>
      <c r="AE31" s="20">
        <f t="shared" si="32"/>
        <v>0</v>
      </c>
      <c r="AF31" s="20">
        <f>AF101*0.8</f>
        <v>0</v>
      </c>
      <c r="AG31" s="20">
        <f>AG101*0.8</f>
        <v>0</v>
      </c>
      <c r="AH31" s="10">
        <f t="shared" si="2"/>
        <v>67355.776000000013</v>
      </c>
      <c r="AI31" s="1093">
        <f t="shared" si="4"/>
        <v>25512.432000000001</v>
      </c>
      <c r="AJ31" s="1093">
        <f t="shared" si="4"/>
        <v>7799.44</v>
      </c>
      <c r="AK31" s="1093">
        <f t="shared" si="4"/>
        <v>3626.5440000000003</v>
      </c>
      <c r="AL31" s="1093">
        <f t="shared" si="4"/>
        <v>1490.0320000000002</v>
      </c>
      <c r="AM31" s="1093">
        <f t="shared" si="4"/>
        <v>26328.959999999999</v>
      </c>
      <c r="AN31" s="1093">
        <f t="shared" si="5"/>
        <v>2598.3679999999999</v>
      </c>
      <c r="AO31" s="1093"/>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1077"/>
      <c r="Q32" s="91"/>
      <c r="R32" s="5" t="s">
        <v>37</v>
      </c>
      <c r="S32" s="6">
        <f t="shared" ref="S32:AI32" si="34">SUM(S5:S31)</f>
        <v>8791955.4480000008</v>
      </c>
      <c r="T32" s="6">
        <f t="shared" si="34"/>
        <v>1381099.8960000002</v>
      </c>
      <c r="U32" s="6">
        <f t="shared" si="34"/>
        <v>1332967.5759999999</v>
      </c>
      <c r="V32" s="6">
        <f t="shared" si="34"/>
        <v>201031.21599999999</v>
      </c>
      <c r="W32" s="6">
        <f t="shared" si="34"/>
        <v>5189375.6879999992</v>
      </c>
      <c r="X32" s="6">
        <f t="shared" si="34"/>
        <v>83002.248000000007</v>
      </c>
      <c r="Y32" s="6">
        <f t="shared" si="34"/>
        <v>232213.04000000004</v>
      </c>
      <c r="Z32" s="6">
        <f t="shared" si="34"/>
        <v>17033.944</v>
      </c>
      <c r="AA32" s="6">
        <f t="shared" si="34"/>
        <v>177644.40799999997</v>
      </c>
      <c r="AB32" s="6">
        <f t="shared" si="34"/>
        <v>18336.240000000002</v>
      </c>
      <c r="AC32" s="6">
        <f t="shared" si="34"/>
        <v>313.44000000000005</v>
      </c>
      <c r="AD32" s="6">
        <f t="shared" si="34"/>
        <v>1458.9760000000001</v>
      </c>
      <c r="AE32" s="6">
        <f t="shared" si="34"/>
        <v>4365.4960000000001</v>
      </c>
      <c r="AF32" s="6">
        <f t="shared" si="34"/>
        <v>246.286</v>
      </c>
      <c r="AG32" s="6">
        <f t="shared" si="34"/>
        <v>2174.0039999999999</v>
      </c>
      <c r="AH32" s="6">
        <f t="shared" si="34"/>
        <v>17433217.906000007</v>
      </c>
      <c r="AI32" s="1093">
        <f t="shared" si="34"/>
        <v>8791955.4480000008</v>
      </c>
      <c r="AJ32" s="1093">
        <f t="shared" ref="AJ32:AN32" si="35">SUM(AJ5:AJ31)</f>
        <v>1381099.8960000002</v>
      </c>
      <c r="AK32" s="1093">
        <f t="shared" si="35"/>
        <v>1332967.5759999999</v>
      </c>
      <c r="AL32" s="1093">
        <f t="shared" si="35"/>
        <v>201031.21599999999</v>
      </c>
      <c r="AM32" s="1093">
        <f t="shared" si="35"/>
        <v>5189375.6879999992</v>
      </c>
      <c r="AN32" s="1093">
        <f t="shared" si="35"/>
        <v>536788.08199999994</v>
      </c>
      <c r="AO32" s="1093"/>
    </row>
    <row r="33" spans="1:41">
      <c r="A33" s="1078"/>
      <c r="B33" s="1078"/>
      <c r="C33" s="1079"/>
      <c r="D33" s="1079"/>
      <c r="E33" s="1079"/>
      <c r="F33" s="1079"/>
      <c r="G33" s="1079"/>
      <c r="H33" s="1079"/>
      <c r="I33" s="1079"/>
      <c r="J33" s="1079"/>
      <c r="K33" s="1079"/>
      <c r="L33" s="1079"/>
      <c r="M33" s="1079"/>
      <c r="N33" s="1079"/>
      <c r="O33" s="18"/>
      <c r="P33" s="1077"/>
      <c r="Q33" s="91"/>
      <c r="R33" s="1080" t="s">
        <v>50</v>
      </c>
      <c r="S33" s="1081"/>
      <c r="T33" s="1082"/>
      <c r="U33" s="1082"/>
      <c r="V33" s="1082"/>
      <c r="W33" s="1082"/>
      <c r="X33" s="1082"/>
      <c r="Y33" s="1082"/>
      <c r="Z33" s="1082"/>
      <c r="AA33" s="1082"/>
      <c r="AB33" s="1082"/>
      <c r="AC33" s="1082"/>
      <c r="AD33" s="1082"/>
      <c r="AE33" s="1082"/>
      <c r="AF33" s="1082"/>
      <c r="AG33" s="1082"/>
      <c r="AH33" s="1081"/>
      <c r="AO33" s="1093"/>
    </row>
    <row r="34" spans="1:41">
      <c r="A34" s="1094"/>
      <c r="B34" s="1094"/>
      <c r="C34" s="1095"/>
      <c r="D34" s="1095"/>
      <c r="E34" s="1095"/>
      <c r="F34" s="1095"/>
      <c r="G34" s="1095"/>
      <c r="H34" s="1095"/>
      <c r="I34" s="1095"/>
      <c r="J34" s="1095"/>
      <c r="K34" s="1095"/>
      <c r="L34" s="1095"/>
      <c r="M34" s="1095"/>
      <c r="N34" s="1095"/>
      <c r="O34" s="1096"/>
      <c r="P34" s="1093"/>
      <c r="R34" s="1094"/>
      <c r="S34" s="1094"/>
      <c r="T34" s="1095"/>
      <c r="U34" s="1095"/>
      <c r="V34" s="1095"/>
      <c r="W34" s="1095"/>
      <c r="X34" s="1095"/>
      <c r="Y34" s="1095"/>
      <c r="Z34" s="1095"/>
      <c r="AA34" s="1095"/>
      <c r="AB34" s="1095"/>
      <c r="AC34" s="1095"/>
      <c r="AD34" s="1095"/>
      <c r="AE34" s="1095"/>
      <c r="AF34" s="1095"/>
      <c r="AG34" s="1095"/>
      <c r="AH34" s="1096"/>
    </row>
    <row r="35" spans="1:41">
      <c r="A35" s="1097" t="s">
        <v>14</v>
      </c>
      <c r="B35" s="1230" t="s">
        <v>46</v>
      </c>
      <c r="C35" s="1230"/>
      <c r="D35" s="1230"/>
      <c r="E35" s="1230"/>
      <c r="F35" s="1230"/>
      <c r="G35" s="1230"/>
      <c r="H35" s="1230"/>
      <c r="I35" s="1089"/>
      <c r="J35" s="1089"/>
      <c r="K35" s="1089"/>
      <c r="L35" s="1089"/>
      <c r="M35" s="1089"/>
      <c r="N35" s="1089"/>
      <c r="O35" s="1090"/>
      <c r="P35" s="1093"/>
      <c r="R35" s="1088"/>
      <c r="S35" s="1088"/>
      <c r="T35" s="1089"/>
      <c r="U35" s="1089"/>
      <c r="V35" s="1089"/>
      <c r="W35" s="1089"/>
      <c r="X35" s="1089"/>
      <c r="Y35" s="1089"/>
      <c r="Z35" s="1089"/>
      <c r="AA35" s="1089"/>
      <c r="AB35" s="1089"/>
      <c r="AC35" s="1089"/>
      <c r="AD35" s="1089"/>
      <c r="AE35" s="1089"/>
      <c r="AF35" s="1089"/>
      <c r="AG35" s="1089"/>
      <c r="AH35" s="1090"/>
    </row>
    <row r="36" spans="1:41">
      <c r="A36" s="1098"/>
      <c r="B36" s="1098"/>
      <c r="C36" s="1099"/>
      <c r="D36" s="1099"/>
      <c r="E36" s="1099"/>
      <c r="F36" s="1099"/>
      <c r="G36" s="1099"/>
      <c r="H36" s="1099"/>
      <c r="I36" s="1099"/>
      <c r="J36" s="1099"/>
      <c r="K36" s="1099"/>
      <c r="L36" s="1099"/>
      <c r="M36" s="1099"/>
      <c r="N36" s="1099"/>
      <c r="O36" s="1100"/>
      <c r="P36" s="1093"/>
      <c r="R36" s="1098"/>
      <c r="S36" s="1098"/>
      <c r="T36" s="1099"/>
      <c r="U36" s="1099"/>
      <c r="V36" s="1099"/>
      <c r="W36" s="1099"/>
      <c r="X36" s="1099"/>
      <c r="Y36" s="1099"/>
      <c r="Z36" s="1099"/>
      <c r="AA36" s="1099"/>
      <c r="AB36" s="1099"/>
      <c r="AC36" s="1099"/>
      <c r="AD36" s="1099"/>
      <c r="AE36" s="1099"/>
      <c r="AF36" s="1099"/>
      <c r="AG36" s="1099"/>
      <c r="AH36" s="1100"/>
    </row>
    <row r="37" spans="1:41" ht="46.5">
      <c r="A37" s="1223" t="s">
        <v>60</v>
      </c>
      <c r="B37" s="1224"/>
      <c r="C37" s="1224"/>
      <c r="D37" s="1224"/>
      <c r="E37" s="1224"/>
      <c r="F37" s="1224"/>
      <c r="G37" s="1224"/>
      <c r="H37" s="1224"/>
      <c r="I37" s="1224"/>
      <c r="J37" s="1224"/>
      <c r="K37" s="1224"/>
      <c r="L37" s="1224"/>
      <c r="M37" s="1224"/>
      <c r="N37" s="1224"/>
      <c r="O37" s="1225"/>
      <c r="P37" s="1093"/>
      <c r="R37" s="1220" t="s">
        <v>62</v>
      </c>
      <c r="S37" s="1221"/>
      <c r="T37" s="1221"/>
      <c r="U37" s="1221"/>
      <c r="V37" s="1221"/>
      <c r="W37" s="1221"/>
      <c r="X37" s="1221"/>
      <c r="Y37" s="1221"/>
      <c r="Z37" s="1221"/>
      <c r="AA37" s="1221"/>
      <c r="AB37" s="1221"/>
      <c r="AC37" s="1221"/>
      <c r="AD37" s="1221"/>
      <c r="AE37" s="1221"/>
      <c r="AF37" s="1221"/>
      <c r="AG37" s="1221"/>
      <c r="AH37" s="1222"/>
    </row>
    <row r="38" spans="1:41" ht="35.1" customHeight="1">
      <c r="A38" s="1226" t="s">
        <v>33</v>
      </c>
      <c r="B38" s="1228" t="s">
        <v>27</v>
      </c>
      <c r="C38" s="1229"/>
      <c r="D38" s="1228" t="s">
        <v>29</v>
      </c>
      <c r="E38" s="1229"/>
      <c r="F38" s="1226" t="s">
        <v>28</v>
      </c>
      <c r="G38" s="1226" t="s">
        <v>36</v>
      </c>
      <c r="H38" s="1226" t="s">
        <v>30</v>
      </c>
      <c r="I38" s="1226" t="s">
        <v>31</v>
      </c>
      <c r="J38" s="1226" t="s">
        <v>41</v>
      </c>
      <c r="K38" s="1226" t="s">
        <v>35</v>
      </c>
      <c r="L38" s="1226" t="s">
        <v>40</v>
      </c>
      <c r="M38" s="1226" t="s">
        <v>42</v>
      </c>
      <c r="N38" s="1226" t="s">
        <v>45</v>
      </c>
      <c r="O38" s="1226" t="s">
        <v>34</v>
      </c>
      <c r="P38" s="1093"/>
      <c r="R38" s="1226" t="s">
        <v>33</v>
      </c>
      <c r="S38" s="1228" t="s">
        <v>27</v>
      </c>
      <c r="T38" s="1229"/>
      <c r="U38" s="1228" t="s">
        <v>29</v>
      </c>
      <c r="V38" s="1229"/>
      <c r="W38" s="1226" t="s">
        <v>28</v>
      </c>
      <c r="X38" s="1226" t="s">
        <v>36</v>
      </c>
      <c r="Y38" s="1226" t="s">
        <v>30</v>
      </c>
      <c r="Z38" s="1226" t="s">
        <v>31</v>
      </c>
      <c r="AA38" s="1226" t="s">
        <v>41</v>
      </c>
      <c r="AB38" s="1226" t="s">
        <v>35</v>
      </c>
      <c r="AC38" s="1226" t="s">
        <v>40</v>
      </c>
      <c r="AD38" s="1226" t="s">
        <v>42</v>
      </c>
      <c r="AE38" s="1226" t="s">
        <v>45</v>
      </c>
      <c r="AF38" s="1228" t="s">
        <v>51</v>
      </c>
      <c r="AG38" s="1229"/>
      <c r="AH38" s="1226" t="s">
        <v>34</v>
      </c>
    </row>
    <row r="39" spans="1:41" ht="35.1" customHeight="1">
      <c r="A39" s="1227"/>
      <c r="B39" s="1091" t="s">
        <v>43</v>
      </c>
      <c r="C39" s="1091" t="s">
        <v>44</v>
      </c>
      <c r="D39" s="1091" t="s">
        <v>43</v>
      </c>
      <c r="E39" s="1091" t="s">
        <v>44</v>
      </c>
      <c r="F39" s="1227"/>
      <c r="G39" s="1227"/>
      <c r="H39" s="1227"/>
      <c r="I39" s="1227"/>
      <c r="J39" s="1227"/>
      <c r="K39" s="1227"/>
      <c r="L39" s="1227"/>
      <c r="M39" s="1227"/>
      <c r="N39" s="1227"/>
      <c r="O39" s="1227"/>
      <c r="P39" s="1093"/>
      <c r="R39" s="1227"/>
      <c r="S39" s="1091" t="s">
        <v>43</v>
      </c>
      <c r="T39" s="1091" t="s">
        <v>44</v>
      </c>
      <c r="U39" s="1091" t="s">
        <v>43</v>
      </c>
      <c r="V39" s="1091" t="s">
        <v>44</v>
      </c>
      <c r="W39" s="1227"/>
      <c r="X39" s="1227"/>
      <c r="Y39" s="1227"/>
      <c r="Z39" s="1227"/>
      <c r="AA39" s="1227"/>
      <c r="AB39" s="1227"/>
      <c r="AC39" s="1227"/>
      <c r="AD39" s="1227"/>
      <c r="AE39" s="1227"/>
      <c r="AF39" s="1092" t="s">
        <v>52</v>
      </c>
      <c r="AG39" s="1092" t="s">
        <v>53</v>
      </c>
      <c r="AH39" s="1227"/>
      <c r="AI39" s="1104" t="s">
        <v>183</v>
      </c>
      <c r="AJ39" s="1104" t="s">
        <v>424</v>
      </c>
      <c r="AK39" s="1104" t="s">
        <v>184</v>
      </c>
      <c r="AL39" s="1104" t="s">
        <v>425</v>
      </c>
      <c r="AM39" s="1104" t="s">
        <v>28</v>
      </c>
      <c r="AN39" s="1104" t="s">
        <v>185</v>
      </c>
    </row>
    <row r="40" spans="1:41">
      <c r="A40" s="2" t="s">
        <v>0</v>
      </c>
      <c r="B40" s="20"/>
      <c r="C40" s="20"/>
      <c r="D40" s="20"/>
      <c r="E40" s="20"/>
      <c r="F40" s="20"/>
      <c r="G40" s="20"/>
      <c r="H40" s="20"/>
      <c r="I40" s="20"/>
      <c r="J40" s="20"/>
      <c r="K40" s="20"/>
      <c r="L40" s="20"/>
      <c r="M40" s="20"/>
      <c r="N40" s="20"/>
      <c r="O40" s="10">
        <f t="shared" ref="O40:O66" si="36">SUM(B40:N40)</f>
        <v>0</v>
      </c>
      <c r="P40" s="1093"/>
      <c r="R40" s="2" t="s">
        <v>87</v>
      </c>
      <c r="S40" s="20">
        <f t="shared" ref="S40:AG40" si="37">S75*0.2</f>
        <v>4826.1819999999998</v>
      </c>
      <c r="T40" s="20">
        <f t="shared" si="37"/>
        <v>837.81200000000013</v>
      </c>
      <c r="U40" s="20">
        <f t="shared" si="37"/>
        <v>826.16399999999999</v>
      </c>
      <c r="V40" s="20">
        <f t="shared" si="37"/>
        <v>173.47200000000001</v>
      </c>
      <c r="W40" s="20">
        <f t="shared" si="37"/>
        <v>3526.2000000000003</v>
      </c>
      <c r="X40" s="20">
        <f t="shared" si="37"/>
        <v>176.31</v>
      </c>
      <c r="Y40" s="20">
        <f t="shared" si="37"/>
        <v>87.156000000000006</v>
      </c>
      <c r="Z40" s="20">
        <f t="shared" si="37"/>
        <v>0</v>
      </c>
      <c r="AA40" s="20">
        <f t="shared" si="37"/>
        <v>143.36199999999999</v>
      </c>
      <c r="AB40" s="20">
        <f t="shared" si="37"/>
        <v>39.180000000000007</v>
      </c>
      <c r="AC40" s="20">
        <f t="shared" si="37"/>
        <v>0</v>
      </c>
      <c r="AD40" s="20">
        <f t="shared" si="37"/>
        <v>0</v>
      </c>
      <c r="AE40" s="20">
        <f t="shared" si="37"/>
        <v>0</v>
      </c>
      <c r="AF40" s="20">
        <f t="shared" si="37"/>
        <v>0</v>
      </c>
      <c r="AG40" s="20">
        <f t="shared" si="37"/>
        <v>0</v>
      </c>
      <c r="AH40" s="10">
        <f t="shared" ref="AH40:AH66" si="38">SUM(S40:AG40)</f>
        <v>10635.838</v>
      </c>
      <c r="AI40" s="1093">
        <f>S40</f>
        <v>4826.1819999999998</v>
      </c>
      <c r="AJ40" s="1093">
        <f>T40</f>
        <v>837.81200000000013</v>
      </c>
      <c r="AK40" s="1093">
        <f>U40</f>
        <v>826.16399999999999</v>
      </c>
      <c r="AL40" s="1093">
        <f>V40</f>
        <v>173.47200000000001</v>
      </c>
      <c r="AM40" s="1093">
        <f>W40</f>
        <v>3526.2000000000003</v>
      </c>
      <c r="AN40" s="1093">
        <f>SUM(X40:AG40)</f>
        <v>446.00799999999998</v>
      </c>
    </row>
    <row r="41" spans="1:41">
      <c r="A41" s="2" t="s">
        <v>1</v>
      </c>
      <c r="B41" s="20"/>
      <c r="C41" s="20"/>
      <c r="D41" s="20"/>
      <c r="E41" s="20"/>
      <c r="F41" s="20"/>
      <c r="G41" s="20"/>
      <c r="H41" s="20"/>
      <c r="I41" s="20"/>
      <c r="J41" s="20"/>
      <c r="K41" s="20"/>
      <c r="L41" s="20"/>
      <c r="M41" s="20"/>
      <c r="N41" s="20"/>
      <c r="O41" s="10">
        <f t="shared" si="36"/>
        <v>0</v>
      </c>
      <c r="P41" s="1093"/>
      <c r="R41" s="2" t="s">
        <v>88</v>
      </c>
      <c r="S41" s="20">
        <f t="shared" ref="S41:AG41" si="39">S76*0.2</f>
        <v>19234.412</v>
      </c>
      <c r="T41" s="20">
        <f t="shared" si="39"/>
        <v>4116.1720000000005</v>
      </c>
      <c r="U41" s="20">
        <f t="shared" si="39"/>
        <v>2119.9320000000002</v>
      </c>
      <c r="V41" s="20">
        <f t="shared" si="39"/>
        <v>142</v>
      </c>
      <c r="W41" s="20">
        <f t="shared" si="39"/>
        <v>9990.9000000000015</v>
      </c>
      <c r="X41" s="20">
        <f t="shared" si="39"/>
        <v>117.54000000000002</v>
      </c>
      <c r="Y41" s="20">
        <f t="shared" si="39"/>
        <v>638.75600000000009</v>
      </c>
      <c r="Z41" s="20">
        <f t="shared" si="39"/>
        <v>110.556</v>
      </c>
      <c r="AA41" s="20">
        <f t="shared" si="39"/>
        <v>374.42600000000004</v>
      </c>
      <c r="AB41" s="20">
        <f t="shared" si="39"/>
        <v>0</v>
      </c>
      <c r="AC41" s="20">
        <f t="shared" si="39"/>
        <v>0</v>
      </c>
      <c r="AD41" s="20">
        <f t="shared" si="39"/>
        <v>0</v>
      </c>
      <c r="AE41" s="20">
        <f t="shared" si="39"/>
        <v>17.141999999999999</v>
      </c>
      <c r="AF41" s="20">
        <f t="shared" si="39"/>
        <v>0</v>
      </c>
      <c r="AG41" s="20">
        <f t="shared" si="39"/>
        <v>0</v>
      </c>
      <c r="AH41" s="10">
        <f t="shared" si="38"/>
        <v>36861.836000000003</v>
      </c>
      <c r="AI41" s="1093">
        <f t="shared" ref="AI41:AM66" si="40">S41</f>
        <v>19234.412</v>
      </c>
      <c r="AJ41" s="1093">
        <f t="shared" si="40"/>
        <v>4116.1720000000005</v>
      </c>
      <c r="AK41" s="1093">
        <f t="shared" si="40"/>
        <v>2119.9320000000002</v>
      </c>
      <c r="AL41" s="1093">
        <f t="shared" si="40"/>
        <v>142</v>
      </c>
      <c r="AM41" s="1093">
        <f t="shared" si="40"/>
        <v>9990.9000000000015</v>
      </c>
      <c r="AN41" s="1093">
        <f t="shared" ref="AN41:AN66" si="41">SUM(X41:AG41)</f>
        <v>1258.4200000000003</v>
      </c>
    </row>
    <row r="42" spans="1:41">
      <c r="A42" s="2" t="s">
        <v>2</v>
      </c>
      <c r="B42" s="20"/>
      <c r="C42" s="20"/>
      <c r="D42" s="20"/>
      <c r="E42" s="20"/>
      <c r="F42" s="20"/>
      <c r="G42" s="20"/>
      <c r="H42" s="20"/>
      <c r="I42" s="20"/>
      <c r="J42" s="20"/>
      <c r="K42" s="20"/>
      <c r="L42" s="20"/>
      <c r="M42" s="20"/>
      <c r="N42" s="20"/>
      <c r="O42" s="10">
        <f t="shared" si="36"/>
        <v>0</v>
      </c>
      <c r="P42" s="1093"/>
      <c r="R42" s="2" t="s">
        <v>89</v>
      </c>
      <c r="S42" s="20">
        <f t="shared" ref="S42:AG42" si="42">S77*0.2</f>
        <v>5594.3320000000003</v>
      </c>
      <c r="T42" s="20">
        <f t="shared" si="42"/>
        <v>1425.0100000000002</v>
      </c>
      <c r="U42" s="20">
        <f t="shared" si="42"/>
        <v>925.68600000000015</v>
      </c>
      <c r="V42" s="20">
        <f t="shared" si="42"/>
        <v>198.48800000000003</v>
      </c>
      <c r="W42" s="20">
        <f t="shared" si="42"/>
        <v>5877</v>
      </c>
      <c r="X42" s="20">
        <f t="shared" si="42"/>
        <v>156.72000000000003</v>
      </c>
      <c r="Y42" s="20">
        <f t="shared" si="42"/>
        <v>160.77000000000001</v>
      </c>
      <c r="Z42" s="20">
        <f t="shared" si="42"/>
        <v>56.855999999999995</v>
      </c>
      <c r="AA42" s="20">
        <f t="shared" si="42"/>
        <v>214.40800000000002</v>
      </c>
      <c r="AB42" s="20">
        <f t="shared" si="42"/>
        <v>78.360000000000014</v>
      </c>
      <c r="AC42" s="20">
        <f t="shared" si="42"/>
        <v>0</v>
      </c>
      <c r="AD42" s="20">
        <f t="shared" si="42"/>
        <v>0</v>
      </c>
      <c r="AE42" s="20">
        <f t="shared" si="42"/>
        <v>0</v>
      </c>
      <c r="AF42" s="20">
        <f t="shared" si="42"/>
        <v>0</v>
      </c>
      <c r="AG42" s="20">
        <f t="shared" si="42"/>
        <v>0</v>
      </c>
      <c r="AH42" s="10">
        <f t="shared" si="38"/>
        <v>14687.63</v>
      </c>
      <c r="AI42" s="1093">
        <f t="shared" si="40"/>
        <v>5594.3320000000003</v>
      </c>
      <c r="AJ42" s="1093">
        <f t="shared" si="40"/>
        <v>1425.0100000000002</v>
      </c>
      <c r="AK42" s="1093">
        <f t="shared" si="40"/>
        <v>925.68600000000015</v>
      </c>
      <c r="AL42" s="1093">
        <f t="shared" si="40"/>
        <v>198.48800000000003</v>
      </c>
      <c r="AM42" s="1093">
        <f t="shared" si="40"/>
        <v>5877</v>
      </c>
      <c r="AN42" s="1093">
        <f t="shared" si="41"/>
        <v>667.11400000000003</v>
      </c>
    </row>
    <row r="43" spans="1:41">
      <c r="A43" s="2" t="s">
        <v>3</v>
      </c>
      <c r="B43" s="20"/>
      <c r="C43" s="20"/>
      <c r="D43" s="20"/>
      <c r="E43" s="20"/>
      <c r="F43" s="20"/>
      <c r="G43" s="20"/>
      <c r="H43" s="20"/>
      <c r="I43" s="20"/>
      <c r="J43" s="20"/>
      <c r="K43" s="20"/>
      <c r="L43" s="20"/>
      <c r="M43" s="20"/>
      <c r="N43" s="20"/>
      <c r="O43" s="10">
        <f t="shared" si="36"/>
        <v>0</v>
      </c>
      <c r="P43" s="1093"/>
      <c r="R43" s="2" t="s">
        <v>90</v>
      </c>
      <c r="S43" s="20">
        <f t="shared" ref="S43:AE43" si="43">S78*0.2</f>
        <v>16495.227999999999</v>
      </c>
      <c r="T43" s="20">
        <f t="shared" si="43"/>
        <v>3297.1720000000005</v>
      </c>
      <c r="U43" s="20">
        <f t="shared" si="43"/>
        <v>1963.7439999999999</v>
      </c>
      <c r="V43" s="20">
        <f t="shared" si="43"/>
        <v>588.10800000000006</v>
      </c>
      <c r="W43" s="20">
        <f t="shared" si="43"/>
        <v>9324.84</v>
      </c>
      <c r="X43" s="20">
        <f t="shared" si="43"/>
        <v>372.21000000000004</v>
      </c>
      <c r="Y43" s="20">
        <f t="shared" si="43"/>
        <v>433.85600000000005</v>
      </c>
      <c r="Z43" s="20">
        <f t="shared" si="43"/>
        <v>0</v>
      </c>
      <c r="AA43" s="20">
        <f t="shared" si="43"/>
        <v>356.51</v>
      </c>
      <c r="AB43" s="20">
        <f t="shared" si="43"/>
        <v>58.77000000000001</v>
      </c>
      <c r="AC43" s="20">
        <f t="shared" si="43"/>
        <v>0</v>
      </c>
      <c r="AD43" s="20">
        <f t="shared" si="43"/>
        <v>0</v>
      </c>
      <c r="AE43" s="20">
        <f t="shared" si="43"/>
        <v>5.7140000000000004</v>
      </c>
      <c r="AF43" s="20">
        <v>0</v>
      </c>
      <c r="AG43" s="20">
        <v>0</v>
      </c>
      <c r="AH43" s="10">
        <f t="shared" si="38"/>
        <v>32896.151999999995</v>
      </c>
      <c r="AI43" s="1093">
        <f t="shared" si="40"/>
        <v>16495.227999999999</v>
      </c>
      <c r="AJ43" s="1093">
        <f t="shared" si="40"/>
        <v>3297.1720000000005</v>
      </c>
      <c r="AK43" s="1093">
        <f t="shared" si="40"/>
        <v>1963.7439999999999</v>
      </c>
      <c r="AL43" s="1093">
        <f t="shared" si="40"/>
        <v>588.10800000000006</v>
      </c>
      <c r="AM43" s="1093">
        <f t="shared" si="40"/>
        <v>9324.84</v>
      </c>
      <c r="AN43" s="1093">
        <f t="shared" si="41"/>
        <v>1227.06</v>
      </c>
    </row>
    <row r="44" spans="1:41">
      <c r="A44" s="2" t="s">
        <v>4</v>
      </c>
      <c r="B44" s="20"/>
      <c r="C44" s="20"/>
      <c r="D44" s="20"/>
      <c r="E44" s="20"/>
      <c r="F44" s="20"/>
      <c r="G44" s="20"/>
      <c r="H44" s="20"/>
      <c r="I44" s="20"/>
      <c r="J44" s="20"/>
      <c r="K44" s="20"/>
      <c r="L44" s="20"/>
      <c r="M44" s="20"/>
      <c r="N44" s="20"/>
      <c r="O44" s="10">
        <f t="shared" si="36"/>
        <v>0</v>
      </c>
      <c r="P44" s="1093"/>
      <c r="R44" s="2" t="s">
        <v>91</v>
      </c>
      <c r="S44" s="20">
        <f t="shared" ref="S44:AE44" si="44">S79*0.2</f>
        <v>58038.593999999997</v>
      </c>
      <c r="T44" s="20">
        <f t="shared" si="44"/>
        <v>13297.898000000001</v>
      </c>
      <c r="U44" s="20">
        <f t="shared" si="44"/>
        <v>9016.6139999999996</v>
      </c>
      <c r="V44" s="20">
        <f t="shared" si="44"/>
        <v>677.50800000000004</v>
      </c>
      <c r="W44" s="20">
        <f t="shared" si="44"/>
        <v>30070.65</v>
      </c>
      <c r="X44" s="20">
        <f t="shared" si="44"/>
        <v>587.70000000000005</v>
      </c>
      <c r="Y44" s="20">
        <f t="shared" si="44"/>
        <v>1884.1900000000003</v>
      </c>
      <c r="Z44" s="20">
        <f t="shared" si="44"/>
        <v>0</v>
      </c>
      <c r="AA44" s="20">
        <f t="shared" si="44"/>
        <v>1832.3180000000002</v>
      </c>
      <c r="AB44" s="20">
        <f t="shared" si="44"/>
        <v>58.77000000000001</v>
      </c>
      <c r="AC44" s="20">
        <f t="shared" si="44"/>
        <v>0</v>
      </c>
      <c r="AD44" s="20">
        <f t="shared" si="44"/>
        <v>0</v>
      </c>
      <c r="AE44" s="20">
        <f t="shared" si="44"/>
        <v>45.712000000000003</v>
      </c>
      <c r="AF44" s="20">
        <f t="shared" ref="AF44:AG56" si="45">AF79*0.2</f>
        <v>12.586</v>
      </c>
      <c r="AG44" s="20">
        <f t="shared" si="45"/>
        <v>125.86600000000001</v>
      </c>
      <c r="AH44" s="10">
        <f t="shared" si="38"/>
        <v>115648.40599999999</v>
      </c>
      <c r="AI44" s="1093">
        <f t="shared" si="40"/>
        <v>58038.593999999997</v>
      </c>
      <c r="AJ44" s="1093">
        <f t="shared" si="40"/>
        <v>13297.898000000001</v>
      </c>
      <c r="AK44" s="1093">
        <f t="shared" si="40"/>
        <v>9016.6139999999996</v>
      </c>
      <c r="AL44" s="1093">
        <f t="shared" si="40"/>
        <v>677.50800000000004</v>
      </c>
      <c r="AM44" s="1093">
        <f t="shared" si="40"/>
        <v>30070.65</v>
      </c>
      <c r="AN44" s="1093">
        <f t="shared" si="41"/>
        <v>4547.1420000000016</v>
      </c>
    </row>
    <row r="45" spans="1:41">
      <c r="A45" s="2" t="s">
        <v>5</v>
      </c>
      <c r="B45" s="20"/>
      <c r="C45" s="20"/>
      <c r="D45" s="20"/>
      <c r="E45" s="20"/>
      <c r="F45" s="20"/>
      <c r="G45" s="20"/>
      <c r="H45" s="20"/>
      <c r="I45" s="20"/>
      <c r="J45" s="20"/>
      <c r="K45" s="20"/>
      <c r="L45" s="20"/>
      <c r="M45" s="20"/>
      <c r="N45" s="20"/>
      <c r="O45" s="10">
        <f t="shared" si="36"/>
        <v>0</v>
      </c>
      <c r="P45" s="1093"/>
      <c r="R45" s="2" t="s">
        <v>92</v>
      </c>
      <c r="S45" s="20">
        <f t="shared" ref="S45:AE45" si="46">S80*0.2</f>
        <v>30961.156000000003</v>
      </c>
      <c r="T45" s="20">
        <f t="shared" si="46"/>
        <v>3295.6019999999999</v>
      </c>
      <c r="U45" s="20">
        <f t="shared" si="46"/>
        <v>3507.9800000000005</v>
      </c>
      <c r="V45" s="20">
        <f t="shared" si="46"/>
        <v>200.184</v>
      </c>
      <c r="W45" s="20">
        <f t="shared" si="46"/>
        <v>17278.38</v>
      </c>
      <c r="X45" s="20">
        <f t="shared" si="46"/>
        <v>489.75</v>
      </c>
      <c r="Y45" s="20">
        <f t="shared" si="46"/>
        <v>328.108</v>
      </c>
      <c r="Z45" s="20">
        <f t="shared" si="46"/>
        <v>1112.5440000000001</v>
      </c>
      <c r="AA45" s="20">
        <f t="shared" si="46"/>
        <v>511.78999999999996</v>
      </c>
      <c r="AB45" s="20">
        <f t="shared" si="46"/>
        <v>176.31</v>
      </c>
      <c r="AC45" s="20">
        <f t="shared" si="46"/>
        <v>0</v>
      </c>
      <c r="AD45" s="20">
        <f t="shared" si="46"/>
        <v>0</v>
      </c>
      <c r="AE45" s="20">
        <f t="shared" si="46"/>
        <v>17.141999999999999</v>
      </c>
      <c r="AF45" s="20">
        <f t="shared" si="45"/>
        <v>0</v>
      </c>
      <c r="AG45" s="20">
        <f t="shared" si="45"/>
        <v>0</v>
      </c>
      <c r="AH45" s="10">
        <f t="shared" si="38"/>
        <v>57878.946000000011</v>
      </c>
      <c r="AI45" s="1093">
        <f t="shared" si="40"/>
        <v>30961.156000000003</v>
      </c>
      <c r="AJ45" s="1093">
        <f t="shared" si="40"/>
        <v>3295.6019999999999</v>
      </c>
      <c r="AK45" s="1093">
        <f t="shared" si="40"/>
        <v>3507.9800000000005</v>
      </c>
      <c r="AL45" s="1093">
        <f t="shared" si="40"/>
        <v>200.184</v>
      </c>
      <c r="AM45" s="1093">
        <f t="shared" si="40"/>
        <v>17278.38</v>
      </c>
      <c r="AN45" s="1093">
        <f t="shared" si="41"/>
        <v>2635.6439999999998</v>
      </c>
    </row>
    <row r="46" spans="1:41">
      <c r="A46" s="2" t="s">
        <v>6</v>
      </c>
      <c r="B46" s="20"/>
      <c r="C46" s="20"/>
      <c r="D46" s="20"/>
      <c r="E46" s="20"/>
      <c r="F46" s="20"/>
      <c r="G46" s="20"/>
      <c r="H46" s="20"/>
      <c r="I46" s="20"/>
      <c r="J46" s="20"/>
      <c r="K46" s="20"/>
      <c r="L46" s="20"/>
      <c r="M46" s="20"/>
      <c r="N46" s="20"/>
      <c r="O46" s="10">
        <f t="shared" si="36"/>
        <v>0</v>
      </c>
      <c r="P46" s="1093"/>
      <c r="R46" s="2" t="s">
        <v>93</v>
      </c>
      <c r="S46" s="20">
        <f t="shared" ref="S46:AE46" si="47">S81*0.2</f>
        <v>98415.596000000005</v>
      </c>
      <c r="T46" s="20">
        <f t="shared" si="47"/>
        <v>11018.78</v>
      </c>
      <c r="U46" s="20">
        <f t="shared" si="47"/>
        <v>8600.6720000000005</v>
      </c>
      <c r="V46" s="20">
        <f t="shared" si="47"/>
        <v>908.77800000000013</v>
      </c>
      <c r="W46" s="20">
        <f t="shared" si="47"/>
        <v>23664.720000000001</v>
      </c>
      <c r="X46" s="20">
        <f t="shared" si="47"/>
        <v>607.29</v>
      </c>
      <c r="Y46" s="20">
        <f t="shared" si="47"/>
        <v>1572.3580000000002</v>
      </c>
      <c r="Z46" s="20">
        <f t="shared" si="47"/>
        <v>221.11199999999999</v>
      </c>
      <c r="AA46" s="20">
        <f t="shared" si="47"/>
        <v>1503.768</v>
      </c>
      <c r="AB46" s="20">
        <f t="shared" si="47"/>
        <v>137.13</v>
      </c>
      <c r="AC46" s="20">
        <f t="shared" si="47"/>
        <v>0</v>
      </c>
      <c r="AD46" s="20">
        <f t="shared" si="47"/>
        <v>0</v>
      </c>
      <c r="AE46" s="20">
        <f t="shared" si="47"/>
        <v>22.856000000000002</v>
      </c>
      <c r="AF46" s="20">
        <f t="shared" si="45"/>
        <v>0</v>
      </c>
      <c r="AG46" s="20">
        <f t="shared" si="45"/>
        <v>0</v>
      </c>
      <c r="AH46" s="10">
        <f t="shared" si="38"/>
        <v>146673.06000000006</v>
      </c>
      <c r="AI46" s="1093">
        <f t="shared" si="40"/>
        <v>98415.596000000005</v>
      </c>
      <c r="AJ46" s="1093">
        <f t="shared" si="40"/>
        <v>11018.78</v>
      </c>
      <c r="AK46" s="1093">
        <f t="shared" si="40"/>
        <v>8600.6720000000005</v>
      </c>
      <c r="AL46" s="1093">
        <f t="shared" si="40"/>
        <v>908.77800000000013</v>
      </c>
      <c r="AM46" s="1093">
        <f t="shared" si="40"/>
        <v>23664.720000000001</v>
      </c>
      <c r="AN46" s="1093">
        <f t="shared" si="41"/>
        <v>4064.5140000000006</v>
      </c>
    </row>
    <row r="47" spans="1:41">
      <c r="A47" s="2" t="s">
        <v>7</v>
      </c>
      <c r="B47" s="20"/>
      <c r="C47" s="20"/>
      <c r="D47" s="20"/>
      <c r="E47" s="20"/>
      <c r="F47" s="20"/>
      <c r="G47" s="20"/>
      <c r="H47" s="20"/>
      <c r="I47" s="20"/>
      <c r="J47" s="20"/>
      <c r="K47" s="20"/>
      <c r="L47" s="20"/>
      <c r="M47" s="20"/>
      <c r="N47" s="20"/>
      <c r="O47" s="10">
        <f t="shared" si="36"/>
        <v>0</v>
      </c>
      <c r="P47" s="1093"/>
      <c r="R47" s="2" t="s">
        <v>94</v>
      </c>
      <c r="S47" s="20">
        <f t="shared" ref="S47:AE47" si="48">S82*0.2</f>
        <v>68536.846000000005</v>
      </c>
      <c r="T47" s="20">
        <f t="shared" si="48"/>
        <v>6466.1500000000005</v>
      </c>
      <c r="U47" s="20">
        <f t="shared" si="48"/>
        <v>11418.208000000001</v>
      </c>
      <c r="V47" s="20">
        <f t="shared" si="48"/>
        <v>727.59799999999996</v>
      </c>
      <c r="W47" s="20">
        <f t="shared" si="48"/>
        <v>19727.13</v>
      </c>
      <c r="X47" s="20">
        <f t="shared" si="48"/>
        <v>411.39</v>
      </c>
      <c r="Y47" s="20">
        <f t="shared" si="48"/>
        <v>1574.922</v>
      </c>
      <c r="Z47" s="20">
        <f t="shared" si="48"/>
        <v>296.89800000000002</v>
      </c>
      <c r="AA47" s="20">
        <f t="shared" si="48"/>
        <v>493.89799999999997</v>
      </c>
      <c r="AB47" s="20">
        <f t="shared" si="48"/>
        <v>0</v>
      </c>
      <c r="AC47" s="20">
        <f t="shared" si="48"/>
        <v>0</v>
      </c>
      <c r="AD47" s="20">
        <f t="shared" si="48"/>
        <v>0</v>
      </c>
      <c r="AE47" s="20">
        <f t="shared" si="48"/>
        <v>0</v>
      </c>
      <c r="AF47" s="20">
        <f t="shared" si="45"/>
        <v>0</v>
      </c>
      <c r="AG47" s="20">
        <f t="shared" si="45"/>
        <v>0</v>
      </c>
      <c r="AH47" s="10">
        <f t="shared" si="38"/>
        <v>109653.04000000001</v>
      </c>
      <c r="AI47" s="1093">
        <f t="shared" si="40"/>
        <v>68536.846000000005</v>
      </c>
      <c r="AJ47" s="1093">
        <f t="shared" si="40"/>
        <v>6466.1500000000005</v>
      </c>
      <c r="AK47" s="1093">
        <f t="shared" si="40"/>
        <v>11418.208000000001</v>
      </c>
      <c r="AL47" s="1093">
        <f t="shared" si="40"/>
        <v>727.59799999999996</v>
      </c>
      <c r="AM47" s="1093">
        <f t="shared" si="40"/>
        <v>19727.13</v>
      </c>
      <c r="AN47" s="1093">
        <f t="shared" si="41"/>
        <v>2777.1080000000002</v>
      </c>
    </row>
    <row r="48" spans="1:41">
      <c r="A48" s="2" t="s">
        <v>8</v>
      </c>
      <c r="B48" s="20"/>
      <c r="C48" s="20"/>
      <c r="D48" s="20"/>
      <c r="E48" s="20"/>
      <c r="F48" s="20"/>
      <c r="G48" s="20"/>
      <c r="H48" s="20"/>
      <c r="I48" s="20"/>
      <c r="J48" s="20"/>
      <c r="K48" s="20"/>
      <c r="L48" s="20"/>
      <c r="M48" s="20"/>
      <c r="N48" s="20"/>
      <c r="O48" s="10">
        <f t="shared" si="36"/>
        <v>0</v>
      </c>
      <c r="P48" s="1093"/>
      <c r="R48" s="2" t="s">
        <v>95</v>
      </c>
      <c r="S48" s="20">
        <f t="shared" ref="S48:AE48" si="49">S83*0.2</f>
        <v>52710.686000000002</v>
      </c>
      <c r="T48" s="20">
        <f t="shared" si="49"/>
        <v>8531.25</v>
      </c>
      <c r="U48" s="20">
        <f t="shared" si="49"/>
        <v>7694.9940000000006</v>
      </c>
      <c r="V48" s="20">
        <f t="shared" si="49"/>
        <v>1613.1880000000001</v>
      </c>
      <c r="W48" s="20">
        <f t="shared" si="49"/>
        <v>40512.120000000003</v>
      </c>
      <c r="X48" s="20">
        <f t="shared" si="49"/>
        <v>509.34</v>
      </c>
      <c r="Y48" s="20">
        <f t="shared" si="49"/>
        <v>1300.288</v>
      </c>
      <c r="Z48" s="20">
        <f t="shared" si="49"/>
        <v>488.33000000000004</v>
      </c>
      <c r="AA48" s="20">
        <f t="shared" si="49"/>
        <v>1062.742</v>
      </c>
      <c r="AB48" s="20">
        <f t="shared" si="49"/>
        <v>19.590000000000003</v>
      </c>
      <c r="AC48" s="20">
        <f t="shared" si="49"/>
        <v>0</v>
      </c>
      <c r="AD48" s="20">
        <f t="shared" si="49"/>
        <v>0</v>
      </c>
      <c r="AE48" s="20">
        <f t="shared" si="49"/>
        <v>11.428000000000001</v>
      </c>
      <c r="AF48" s="20">
        <f t="shared" si="45"/>
        <v>0</v>
      </c>
      <c r="AG48" s="20">
        <f t="shared" si="45"/>
        <v>0</v>
      </c>
      <c r="AH48" s="10">
        <f t="shared" si="38"/>
        <v>114453.95600000001</v>
      </c>
      <c r="AI48" s="1093">
        <f t="shared" si="40"/>
        <v>52710.686000000002</v>
      </c>
      <c r="AJ48" s="1093">
        <f t="shared" si="40"/>
        <v>8531.25</v>
      </c>
      <c r="AK48" s="1093">
        <f t="shared" si="40"/>
        <v>7694.9940000000006</v>
      </c>
      <c r="AL48" s="1093">
        <f t="shared" si="40"/>
        <v>1613.1880000000001</v>
      </c>
      <c r="AM48" s="1093">
        <f t="shared" si="40"/>
        <v>40512.120000000003</v>
      </c>
      <c r="AN48" s="1093">
        <f t="shared" si="41"/>
        <v>3391.7179999999998</v>
      </c>
    </row>
    <row r="49" spans="1:40">
      <c r="A49" s="2" t="s">
        <v>9</v>
      </c>
      <c r="B49" s="20"/>
      <c r="C49" s="20"/>
      <c r="D49" s="20"/>
      <c r="E49" s="20"/>
      <c r="F49" s="20"/>
      <c r="G49" s="20"/>
      <c r="H49" s="20"/>
      <c r="I49" s="20"/>
      <c r="J49" s="20"/>
      <c r="K49" s="20"/>
      <c r="L49" s="20"/>
      <c r="M49" s="20"/>
      <c r="N49" s="20"/>
      <c r="O49" s="10">
        <f t="shared" si="36"/>
        <v>0</v>
      </c>
      <c r="P49" s="1093"/>
      <c r="R49" s="2" t="s">
        <v>96</v>
      </c>
      <c r="S49" s="20">
        <f t="shared" ref="S49:AE49" si="50">S84*0.2</f>
        <v>14328.638000000001</v>
      </c>
      <c r="T49" s="20">
        <f t="shared" si="50"/>
        <v>5368.844000000001</v>
      </c>
      <c r="U49" s="20">
        <f t="shared" si="50"/>
        <v>1680.4220000000003</v>
      </c>
      <c r="V49" s="20">
        <f t="shared" si="50"/>
        <v>183.18800000000002</v>
      </c>
      <c r="W49" s="20">
        <f t="shared" si="50"/>
        <v>7483.380000000001</v>
      </c>
      <c r="X49" s="20">
        <f t="shared" si="50"/>
        <v>235.08000000000004</v>
      </c>
      <c r="Y49" s="20">
        <f t="shared" si="50"/>
        <v>552.154</v>
      </c>
      <c r="Z49" s="20">
        <f t="shared" si="50"/>
        <v>0</v>
      </c>
      <c r="AA49" s="20">
        <f t="shared" si="50"/>
        <v>709.1640000000001</v>
      </c>
      <c r="AB49" s="20">
        <f t="shared" si="50"/>
        <v>58.77000000000001</v>
      </c>
      <c r="AC49" s="20">
        <f t="shared" si="50"/>
        <v>0</v>
      </c>
      <c r="AD49" s="20">
        <f t="shared" si="50"/>
        <v>0</v>
      </c>
      <c r="AE49" s="20">
        <f t="shared" si="50"/>
        <v>0</v>
      </c>
      <c r="AF49" s="20">
        <f t="shared" si="45"/>
        <v>0</v>
      </c>
      <c r="AG49" s="20">
        <f t="shared" si="45"/>
        <v>0</v>
      </c>
      <c r="AH49" s="10">
        <f t="shared" si="38"/>
        <v>30599.640000000003</v>
      </c>
      <c r="AI49" s="1093">
        <f t="shared" si="40"/>
        <v>14328.638000000001</v>
      </c>
      <c r="AJ49" s="1093">
        <f t="shared" si="40"/>
        <v>5368.844000000001</v>
      </c>
      <c r="AK49" s="1093">
        <f t="shared" si="40"/>
        <v>1680.4220000000003</v>
      </c>
      <c r="AL49" s="1093">
        <f t="shared" si="40"/>
        <v>183.18800000000002</v>
      </c>
      <c r="AM49" s="1093">
        <f t="shared" si="40"/>
        <v>7483.380000000001</v>
      </c>
      <c r="AN49" s="1093">
        <f t="shared" si="41"/>
        <v>1555.1680000000001</v>
      </c>
    </row>
    <row r="50" spans="1:40">
      <c r="A50" s="2" t="s">
        <v>10</v>
      </c>
      <c r="B50" s="20"/>
      <c r="C50" s="20"/>
      <c r="D50" s="20"/>
      <c r="E50" s="20"/>
      <c r="F50" s="20"/>
      <c r="G50" s="20"/>
      <c r="H50" s="20"/>
      <c r="I50" s="20"/>
      <c r="J50" s="20"/>
      <c r="K50" s="20"/>
      <c r="L50" s="20"/>
      <c r="M50" s="20"/>
      <c r="N50" s="20"/>
      <c r="O50" s="10">
        <f t="shared" si="36"/>
        <v>0</v>
      </c>
      <c r="P50" s="1093"/>
      <c r="R50" s="2" t="s">
        <v>97</v>
      </c>
      <c r="S50" s="20">
        <f t="shared" ref="S50:AE50" si="51">S85*0.2</f>
        <v>39870.538</v>
      </c>
      <c r="T50" s="20">
        <f t="shared" si="51"/>
        <v>4248.4800000000005</v>
      </c>
      <c r="U50" s="20">
        <f t="shared" si="51"/>
        <v>6740.6539999999995</v>
      </c>
      <c r="V50" s="20">
        <f t="shared" si="51"/>
        <v>707.58</v>
      </c>
      <c r="W50" s="20">
        <f t="shared" si="51"/>
        <v>42783.921999999999</v>
      </c>
      <c r="X50" s="20">
        <f t="shared" si="51"/>
        <v>333.03000000000003</v>
      </c>
      <c r="Y50" s="20">
        <f t="shared" si="51"/>
        <v>378.37200000000001</v>
      </c>
      <c r="Z50" s="20">
        <f t="shared" si="51"/>
        <v>0</v>
      </c>
      <c r="AA50" s="20">
        <f t="shared" si="51"/>
        <v>848.21399999999994</v>
      </c>
      <c r="AB50" s="20">
        <f t="shared" si="51"/>
        <v>19.590000000000003</v>
      </c>
      <c r="AC50" s="20">
        <f t="shared" si="51"/>
        <v>0</v>
      </c>
      <c r="AD50" s="20">
        <f t="shared" si="51"/>
        <v>0</v>
      </c>
      <c r="AE50" s="20">
        <f t="shared" si="51"/>
        <v>17.141999999999999</v>
      </c>
      <c r="AF50" s="20">
        <f t="shared" si="45"/>
        <v>0</v>
      </c>
      <c r="AG50" s="20">
        <f t="shared" si="45"/>
        <v>0</v>
      </c>
      <c r="AH50" s="10">
        <f t="shared" si="38"/>
        <v>95947.522000000012</v>
      </c>
      <c r="AI50" s="1093">
        <f t="shared" si="40"/>
        <v>39870.538</v>
      </c>
      <c r="AJ50" s="1093">
        <f t="shared" si="40"/>
        <v>4248.4800000000005</v>
      </c>
      <c r="AK50" s="1093">
        <f t="shared" si="40"/>
        <v>6740.6539999999995</v>
      </c>
      <c r="AL50" s="1093">
        <f t="shared" si="40"/>
        <v>707.58</v>
      </c>
      <c r="AM50" s="1093">
        <f t="shared" si="40"/>
        <v>42783.921999999999</v>
      </c>
      <c r="AN50" s="1093">
        <f t="shared" si="41"/>
        <v>1596.348</v>
      </c>
    </row>
    <row r="51" spans="1:40">
      <c r="A51" s="2" t="s">
        <v>11</v>
      </c>
      <c r="B51" s="20"/>
      <c r="C51" s="20"/>
      <c r="D51" s="20"/>
      <c r="E51" s="20"/>
      <c r="F51" s="20"/>
      <c r="G51" s="20"/>
      <c r="H51" s="20"/>
      <c r="I51" s="20"/>
      <c r="J51" s="20"/>
      <c r="K51" s="20"/>
      <c r="L51" s="20"/>
      <c r="M51" s="20"/>
      <c r="N51" s="20"/>
      <c r="O51" s="10">
        <f t="shared" si="36"/>
        <v>0</v>
      </c>
      <c r="P51" s="1093"/>
      <c r="R51" s="2" t="s">
        <v>98</v>
      </c>
      <c r="S51" s="20">
        <f t="shared" ref="S51:AE51" si="52">S86*0.2</f>
        <v>28150.065999999999</v>
      </c>
      <c r="T51" s="20">
        <f t="shared" si="52"/>
        <v>4961.898000000001</v>
      </c>
      <c r="U51" s="20">
        <f t="shared" si="52"/>
        <v>4254.3860000000004</v>
      </c>
      <c r="V51" s="20">
        <f t="shared" si="52"/>
        <v>554.74200000000008</v>
      </c>
      <c r="W51" s="20">
        <f t="shared" si="52"/>
        <v>29620.080000000002</v>
      </c>
      <c r="X51" s="20">
        <f t="shared" si="52"/>
        <v>548.52</v>
      </c>
      <c r="Y51" s="20">
        <f t="shared" si="52"/>
        <v>670.88599999999997</v>
      </c>
      <c r="Z51" s="20">
        <f t="shared" si="52"/>
        <v>146.03800000000001</v>
      </c>
      <c r="AA51" s="20">
        <f t="shared" si="52"/>
        <v>660.274</v>
      </c>
      <c r="AB51" s="20">
        <f t="shared" si="52"/>
        <v>137.13</v>
      </c>
      <c r="AC51" s="20">
        <f t="shared" si="52"/>
        <v>0</v>
      </c>
      <c r="AD51" s="20">
        <f t="shared" si="52"/>
        <v>61.682000000000009</v>
      </c>
      <c r="AE51" s="20">
        <f t="shared" si="52"/>
        <v>11.428000000000001</v>
      </c>
      <c r="AF51" s="20">
        <f t="shared" si="45"/>
        <v>8.0780000000000012</v>
      </c>
      <c r="AG51" s="20">
        <f t="shared" si="45"/>
        <v>0</v>
      </c>
      <c r="AH51" s="10">
        <f t="shared" si="38"/>
        <v>69785.207999999999</v>
      </c>
      <c r="AI51" s="1093">
        <f t="shared" si="40"/>
        <v>28150.065999999999</v>
      </c>
      <c r="AJ51" s="1093">
        <f t="shared" si="40"/>
        <v>4961.898000000001</v>
      </c>
      <c r="AK51" s="1093">
        <f t="shared" si="40"/>
        <v>4254.3860000000004</v>
      </c>
      <c r="AL51" s="1093">
        <f t="shared" si="40"/>
        <v>554.74200000000008</v>
      </c>
      <c r="AM51" s="1093">
        <f t="shared" si="40"/>
        <v>29620.080000000002</v>
      </c>
      <c r="AN51" s="1093">
        <f t="shared" si="41"/>
        <v>2244.0359999999996</v>
      </c>
    </row>
    <row r="52" spans="1:40">
      <c r="A52" s="2" t="s">
        <v>12</v>
      </c>
      <c r="B52" s="20"/>
      <c r="C52" s="20"/>
      <c r="D52" s="20"/>
      <c r="E52" s="20"/>
      <c r="F52" s="20"/>
      <c r="G52" s="20"/>
      <c r="H52" s="20"/>
      <c r="I52" s="20"/>
      <c r="J52" s="20"/>
      <c r="K52" s="20"/>
      <c r="L52" s="20"/>
      <c r="M52" s="20"/>
      <c r="N52" s="20"/>
      <c r="O52" s="10">
        <f t="shared" si="36"/>
        <v>0</v>
      </c>
      <c r="P52" s="1093"/>
      <c r="R52" s="2" t="s">
        <v>99</v>
      </c>
      <c r="S52" s="20">
        <f t="shared" ref="S52:AE52" si="53">S87*0.2</f>
        <v>163672.64800000002</v>
      </c>
      <c r="T52" s="20">
        <f t="shared" si="53"/>
        <v>35942.748</v>
      </c>
      <c r="U52" s="20">
        <f t="shared" si="53"/>
        <v>23675.416000000001</v>
      </c>
      <c r="V52" s="20">
        <f t="shared" si="53"/>
        <v>4848.37</v>
      </c>
      <c r="W52" s="20">
        <f t="shared" si="53"/>
        <v>70876.62</v>
      </c>
      <c r="X52" s="20">
        <f t="shared" si="53"/>
        <v>1038.2700000000002</v>
      </c>
      <c r="Y52" s="20">
        <f t="shared" si="53"/>
        <v>5636.6940000000004</v>
      </c>
      <c r="Z52" s="20">
        <f t="shared" si="53"/>
        <v>0</v>
      </c>
      <c r="AA52" s="20">
        <f t="shared" si="53"/>
        <v>4439.6580000000004</v>
      </c>
      <c r="AB52" s="20">
        <f t="shared" si="53"/>
        <v>705.24</v>
      </c>
      <c r="AC52" s="20">
        <f t="shared" si="53"/>
        <v>0</v>
      </c>
      <c r="AD52" s="20">
        <f t="shared" si="53"/>
        <v>0</v>
      </c>
      <c r="AE52" s="20">
        <f t="shared" si="53"/>
        <v>131.422</v>
      </c>
      <c r="AF52" s="20">
        <f t="shared" si="45"/>
        <v>0</v>
      </c>
      <c r="AG52" s="20">
        <f t="shared" si="45"/>
        <v>0</v>
      </c>
      <c r="AH52" s="10">
        <f t="shared" si="38"/>
        <v>310967.08600000007</v>
      </c>
      <c r="AI52" s="1093">
        <f t="shared" si="40"/>
        <v>163672.64800000002</v>
      </c>
      <c r="AJ52" s="1093">
        <f t="shared" si="40"/>
        <v>35942.748</v>
      </c>
      <c r="AK52" s="1093">
        <f t="shared" si="40"/>
        <v>23675.416000000001</v>
      </c>
      <c r="AL52" s="1093">
        <f t="shared" si="40"/>
        <v>4848.37</v>
      </c>
      <c r="AM52" s="1093">
        <f t="shared" si="40"/>
        <v>70876.62</v>
      </c>
      <c r="AN52" s="1093">
        <f t="shared" si="41"/>
        <v>11951.284000000001</v>
      </c>
    </row>
    <row r="53" spans="1:40">
      <c r="A53" s="2" t="s">
        <v>15</v>
      </c>
      <c r="B53" s="20"/>
      <c r="C53" s="20"/>
      <c r="D53" s="20"/>
      <c r="E53" s="20"/>
      <c r="F53" s="20"/>
      <c r="G53" s="20"/>
      <c r="H53" s="20"/>
      <c r="I53" s="20"/>
      <c r="J53" s="20"/>
      <c r="K53" s="20"/>
      <c r="L53" s="20"/>
      <c r="M53" s="20"/>
      <c r="N53" s="20"/>
      <c r="O53" s="10">
        <f t="shared" si="36"/>
        <v>0</v>
      </c>
      <c r="P53" s="1093"/>
      <c r="R53" s="2" t="s">
        <v>100</v>
      </c>
      <c r="S53" s="20">
        <f t="shared" ref="S53:AE53" si="54">S88*0.2</f>
        <v>22710.770000000004</v>
      </c>
      <c r="T53" s="20">
        <f t="shared" si="54"/>
        <v>7256.3780000000006</v>
      </c>
      <c r="U53" s="20">
        <f t="shared" si="54"/>
        <v>2302.7800000000002</v>
      </c>
      <c r="V53" s="20">
        <f t="shared" si="54"/>
        <v>535.096</v>
      </c>
      <c r="W53" s="20">
        <f t="shared" si="54"/>
        <v>10794.09</v>
      </c>
      <c r="X53" s="20">
        <f t="shared" si="54"/>
        <v>391.8</v>
      </c>
      <c r="Y53" s="20">
        <f t="shared" si="54"/>
        <v>1097.2120000000002</v>
      </c>
      <c r="Z53" s="20">
        <f t="shared" si="54"/>
        <v>0</v>
      </c>
      <c r="AA53" s="20">
        <f t="shared" si="54"/>
        <v>722.55200000000013</v>
      </c>
      <c r="AB53" s="20">
        <f t="shared" si="54"/>
        <v>0</v>
      </c>
      <c r="AC53" s="20">
        <f t="shared" si="54"/>
        <v>0</v>
      </c>
      <c r="AD53" s="20">
        <f t="shared" si="54"/>
        <v>0</v>
      </c>
      <c r="AE53" s="20">
        <f t="shared" si="54"/>
        <v>5.7140000000000004</v>
      </c>
      <c r="AF53" s="20">
        <f t="shared" si="45"/>
        <v>0</v>
      </c>
      <c r="AG53" s="20">
        <f t="shared" si="45"/>
        <v>0</v>
      </c>
      <c r="AH53" s="10">
        <f t="shared" si="38"/>
        <v>45816.392000000007</v>
      </c>
      <c r="AI53" s="1093">
        <f t="shared" si="40"/>
        <v>22710.770000000004</v>
      </c>
      <c r="AJ53" s="1093">
        <f t="shared" si="40"/>
        <v>7256.3780000000006</v>
      </c>
      <c r="AK53" s="1093">
        <f t="shared" si="40"/>
        <v>2302.7800000000002</v>
      </c>
      <c r="AL53" s="1093">
        <f t="shared" si="40"/>
        <v>535.096</v>
      </c>
      <c r="AM53" s="1093">
        <f t="shared" si="40"/>
        <v>10794.09</v>
      </c>
      <c r="AN53" s="1093">
        <f t="shared" si="41"/>
        <v>2217.2780000000002</v>
      </c>
    </row>
    <row r="54" spans="1:40">
      <c r="A54" s="1097" t="s">
        <v>14</v>
      </c>
      <c r="B54" s="20"/>
      <c r="C54" s="20"/>
      <c r="D54" s="20"/>
      <c r="E54" s="20"/>
      <c r="F54" s="20"/>
      <c r="G54" s="20"/>
      <c r="H54" s="20"/>
      <c r="I54" s="20"/>
      <c r="J54" s="20"/>
      <c r="K54" s="20"/>
      <c r="L54" s="20"/>
      <c r="M54" s="20"/>
      <c r="N54" s="20"/>
      <c r="O54" s="10">
        <f t="shared" si="36"/>
        <v>0</v>
      </c>
      <c r="P54" s="1093"/>
      <c r="R54" s="2" t="s">
        <v>101</v>
      </c>
      <c r="S54" s="20">
        <f t="shared" ref="S54:AE54" si="55">S89*0.2</f>
        <v>25152.074000000001</v>
      </c>
      <c r="T54" s="20">
        <f t="shared" si="55"/>
        <v>6328.4540000000006</v>
      </c>
      <c r="U54" s="20">
        <f t="shared" si="55"/>
        <v>2727.5340000000001</v>
      </c>
      <c r="V54" s="20">
        <f t="shared" si="55"/>
        <v>1085.6120000000001</v>
      </c>
      <c r="W54" s="20">
        <f t="shared" si="55"/>
        <v>14574.960000000001</v>
      </c>
      <c r="X54" s="20">
        <f t="shared" si="55"/>
        <v>254.67</v>
      </c>
      <c r="Y54" s="20">
        <f t="shared" si="55"/>
        <v>1095.422</v>
      </c>
      <c r="Z54" s="20">
        <f t="shared" si="55"/>
        <v>116.00999999999999</v>
      </c>
      <c r="AA54" s="20">
        <f t="shared" si="55"/>
        <v>753.45400000000006</v>
      </c>
      <c r="AB54" s="20">
        <f t="shared" si="55"/>
        <v>39.180000000000007</v>
      </c>
      <c r="AC54" s="20">
        <f t="shared" si="55"/>
        <v>0</v>
      </c>
      <c r="AD54" s="20">
        <f t="shared" si="55"/>
        <v>0</v>
      </c>
      <c r="AE54" s="20">
        <f t="shared" si="55"/>
        <v>17.141999999999999</v>
      </c>
      <c r="AF54" s="20">
        <f t="shared" si="45"/>
        <v>0</v>
      </c>
      <c r="AG54" s="20">
        <f t="shared" si="45"/>
        <v>0</v>
      </c>
      <c r="AH54" s="10">
        <f t="shared" si="38"/>
        <v>52144.512000000002</v>
      </c>
      <c r="AI54" s="1093">
        <f t="shared" si="40"/>
        <v>25152.074000000001</v>
      </c>
      <c r="AJ54" s="1093">
        <f t="shared" si="40"/>
        <v>6328.4540000000006</v>
      </c>
      <c r="AK54" s="1093">
        <f t="shared" si="40"/>
        <v>2727.5340000000001</v>
      </c>
      <c r="AL54" s="1093">
        <f t="shared" si="40"/>
        <v>1085.6120000000001</v>
      </c>
      <c r="AM54" s="1093">
        <f t="shared" si="40"/>
        <v>14574.960000000001</v>
      </c>
      <c r="AN54" s="1093">
        <f t="shared" si="41"/>
        <v>2275.8779999999997</v>
      </c>
    </row>
    <row r="55" spans="1:40">
      <c r="A55" s="2" t="s">
        <v>13</v>
      </c>
      <c r="B55" s="20"/>
      <c r="C55" s="20"/>
      <c r="D55" s="20"/>
      <c r="E55" s="20"/>
      <c r="F55" s="20"/>
      <c r="G55" s="20"/>
      <c r="H55" s="20"/>
      <c r="I55" s="20"/>
      <c r="J55" s="20"/>
      <c r="K55" s="20"/>
      <c r="L55" s="20"/>
      <c r="M55" s="20"/>
      <c r="N55" s="20"/>
      <c r="O55" s="10">
        <f t="shared" si="36"/>
        <v>0</v>
      </c>
      <c r="P55" s="1093"/>
      <c r="R55" s="2" t="s">
        <v>102</v>
      </c>
      <c r="S55" s="20">
        <f t="shared" ref="S55:AE55" si="56">S90*0.2</f>
        <v>140984.00400000002</v>
      </c>
      <c r="T55" s="20">
        <f t="shared" si="56"/>
        <v>28835.682000000001</v>
      </c>
      <c r="U55" s="20">
        <f t="shared" si="56"/>
        <v>26602.915999999997</v>
      </c>
      <c r="V55" s="20">
        <f t="shared" si="56"/>
        <v>7649.7839999999997</v>
      </c>
      <c r="W55" s="20">
        <f t="shared" si="56"/>
        <v>106236.57</v>
      </c>
      <c r="X55" s="20">
        <f t="shared" si="56"/>
        <v>2292.0300000000002</v>
      </c>
      <c r="Y55" s="20">
        <f t="shared" si="56"/>
        <v>4695.3660000000009</v>
      </c>
      <c r="Z55" s="20">
        <f t="shared" si="56"/>
        <v>0</v>
      </c>
      <c r="AA55" s="20">
        <f t="shared" si="56"/>
        <v>4019.288</v>
      </c>
      <c r="AB55" s="20">
        <f t="shared" si="56"/>
        <v>666.06000000000006</v>
      </c>
      <c r="AC55" s="20">
        <f t="shared" si="56"/>
        <v>0</v>
      </c>
      <c r="AD55" s="20">
        <f t="shared" si="56"/>
        <v>0</v>
      </c>
      <c r="AE55" s="20">
        <f t="shared" si="56"/>
        <v>68.567999999999998</v>
      </c>
      <c r="AF55" s="20">
        <f t="shared" si="45"/>
        <v>0</v>
      </c>
      <c r="AG55" s="20">
        <f t="shared" si="45"/>
        <v>0</v>
      </c>
      <c r="AH55" s="10">
        <f t="shared" si="38"/>
        <v>322050.26800000004</v>
      </c>
      <c r="AI55" s="1093">
        <f t="shared" si="40"/>
        <v>140984.00400000002</v>
      </c>
      <c r="AJ55" s="1093">
        <f t="shared" si="40"/>
        <v>28835.682000000001</v>
      </c>
      <c r="AK55" s="1093">
        <f t="shared" si="40"/>
        <v>26602.915999999997</v>
      </c>
      <c r="AL55" s="1093">
        <f t="shared" si="40"/>
        <v>7649.7839999999997</v>
      </c>
      <c r="AM55" s="1093">
        <f t="shared" si="40"/>
        <v>106236.57</v>
      </c>
      <c r="AN55" s="1093">
        <f t="shared" si="41"/>
        <v>11741.312</v>
      </c>
    </row>
    <row r="56" spans="1:40">
      <c r="A56" s="2" t="s">
        <v>16</v>
      </c>
      <c r="B56" s="20"/>
      <c r="C56" s="20"/>
      <c r="D56" s="20"/>
      <c r="E56" s="20"/>
      <c r="F56" s="20"/>
      <c r="G56" s="20"/>
      <c r="H56" s="20"/>
      <c r="I56" s="20"/>
      <c r="J56" s="20"/>
      <c r="K56" s="20"/>
      <c r="L56" s="20"/>
      <c r="M56" s="20"/>
      <c r="N56" s="20"/>
      <c r="O56" s="10">
        <f t="shared" si="36"/>
        <v>0</v>
      </c>
      <c r="P56" s="1093"/>
      <c r="R56" s="2" t="s">
        <v>103</v>
      </c>
      <c r="S56" s="20">
        <f t="shared" ref="S56:AE56" si="57">S91*0.2</f>
        <v>55328.673999999999</v>
      </c>
      <c r="T56" s="20">
        <f t="shared" si="57"/>
        <v>10654.968000000001</v>
      </c>
      <c r="U56" s="20">
        <f t="shared" si="57"/>
        <v>7142.1440000000002</v>
      </c>
      <c r="V56" s="20">
        <f t="shared" si="57"/>
        <v>1382.29</v>
      </c>
      <c r="W56" s="20">
        <f t="shared" si="57"/>
        <v>25819.620000000003</v>
      </c>
      <c r="X56" s="20">
        <f t="shared" si="57"/>
        <v>920.73</v>
      </c>
      <c r="Y56" s="20">
        <f t="shared" si="57"/>
        <v>1368.7460000000001</v>
      </c>
      <c r="Z56" s="20">
        <f t="shared" si="57"/>
        <v>0</v>
      </c>
      <c r="AA56" s="20">
        <f t="shared" si="57"/>
        <v>1688.5200000000002</v>
      </c>
      <c r="AB56" s="20">
        <f t="shared" si="57"/>
        <v>19.590000000000003</v>
      </c>
      <c r="AC56" s="20">
        <f t="shared" si="57"/>
        <v>0</v>
      </c>
      <c r="AD56" s="20">
        <f t="shared" si="57"/>
        <v>0</v>
      </c>
      <c r="AE56" s="20">
        <f t="shared" si="57"/>
        <v>51.426000000000002</v>
      </c>
      <c r="AF56" s="20">
        <f t="shared" si="45"/>
        <v>0</v>
      </c>
      <c r="AG56" s="20">
        <f t="shared" si="45"/>
        <v>0</v>
      </c>
      <c r="AH56" s="10">
        <f t="shared" si="38"/>
        <v>104376.708</v>
      </c>
      <c r="AI56" s="1093">
        <f t="shared" si="40"/>
        <v>55328.673999999999</v>
      </c>
      <c r="AJ56" s="1093">
        <f t="shared" si="40"/>
        <v>10654.968000000001</v>
      </c>
      <c r="AK56" s="1093">
        <f t="shared" si="40"/>
        <v>7142.1440000000002</v>
      </c>
      <c r="AL56" s="1093">
        <f t="shared" si="40"/>
        <v>1382.29</v>
      </c>
      <c r="AM56" s="1093">
        <f t="shared" si="40"/>
        <v>25819.620000000003</v>
      </c>
      <c r="AN56" s="1093">
        <f t="shared" si="41"/>
        <v>4049.0120000000002</v>
      </c>
    </row>
    <row r="57" spans="1:40">
      <c r="A57" s="2" t="s">
        <v>17</v>
      </c>
      <c r="B57" s="20"/>
      <c r="C57" s="20"/>
      <c r="D57" s="20"/>
      <c r="E57" s="20"/>
      <c r="F57" s="20"/>
      <c r="G57" s="20"/>
      <c r="H57" s="20"/>
      <c r="I57" s="20"/>
      <c r="J57" s="20"/>
      <c r="K57" s="20"/>
      <c r="L57" s="20"/>
      <c r="M57" s="20"/>
      <c r="N57" s="20"/>
      <c r="O57" s="10">
        <f t="shared" si="36"/>
        <v>0</v>
      </c>
      <c r="P57" s="1093"/>
      <c r="R57" s="2" t="s">
        <v>104</v>
      </c>
      <c r="S57" s="20">
        <f t="shared" ref="S57:AE57" si="58">S92*0.2</f>
        <v>10405.004000000001</v>
      </c>
      <c r="T57" s="20">
        <f t="shared" si="58"/>
        <v>2232.752</v>
      </c>
      <c r="U57" s="20">
        <f t="shared" si="58"/>
        <v>2002.23</v>
      </c>
      <c r="V57" s="20">
        <f t="shared" si="58"/>
        <v>285.36399999999998</v>
      </c>
      <c r="W57" s="20">
        <f t="shared" si="58"/>
        <v>6210.0300000000007</v>
      </c>
      <c r="X57" s="20">
        <f t="shared" si="58"/>
        <v>274.26</v>
      </c>
      <c r="Y57" s="20">
        <f t="shared" si="58"/>
        <v>215.82800000000003</v>
      </c>
      <c r="Z57" s="20">
        <f t="shared" si="58"/>
        <v>0</v>
      </c>
      <c r="AA57" s="20">
        <f t="shared" si="58"/>
        <v>406.43600000000004</v>
      </c>
      <c r="AB57" s="20">
        <f t="shared" si="58"/>
        <v>0</v>
      </c>
      <c r="AC57" s="20">
        <f t="shared" si="58"/>
        <v>0</v>
      </c>
      <c r="AD57" s="20">
        <f t="shared" si="58"/>
        <v>0</v>
      </c>
      <c r="AE57" s="20">
        <f t="shared" si="58"/>
        <v>0</v>
      </c>
      <c r="AF57" s="20">
        <v>0</v>
      </c>
      <c r="AG57" s="20">
        <v>0</v>
      </c>
      <c r="AH57" s="10">
        <f t="shared" si="38"/>
        <v>22031.904000000002</v>
      </c>
      <c r="AI57" s="1093">
        <f t="shared" si="40"/>
        <v>10405.004000000001</v>
      </c>
      <c r="AJ57" s="1093">
        <f t="shared" si="40"/>
        <v>2232.752</v>
      </c>
      <c r="AK57" s="1093">
        <f t="shared" si="40"/>
        <v>2002.23</v>
      </c>
      <c r="AL57" s="1093">
        <f t="shared" si="40"/>
        <v>285.36399999999998</v>
      </c>
      <c r="AM57" s="1093">
        <f t="shared" si="40"/>
        <v>6210.0300000000007</v>
      </c>
      <c r="AN57" s="1093">
        <f t="shared" si="41"/>
        <v>896.52400000000011</v>
      </c>
    </row>
    <row r="58" spans="1:40">
      <c r="A58" s="2" t="s">
        <v>18</v>
      </c>
      <c r="B58" s="20"/>
      <c r="C58" s="20"/>
      <c r="D58" s="20"/>
      <c r="E58" s="20"/>
      <c r="F58" s="20"/>
      <c r="G58" s="20"/>
      <c r="H58" s="20"/>
      <c r="I58" s="20"/>
      <c r="J58" s="20"/>
      <c r="K58" s="20"/>
      <c r="L58" s="20"/>
      <c r="M58" s="20"/>
      <c r="N58" s="20"/>
      <c r="O58" s="10">
        <f t="shared" si="36"/>
        <v>0</v>
      </c>
      <c r="P58" s="1093"/>
      <c r="R58" s="2" t="s">
        <v>105</v>
      </c>
      <c r="S58" s="20">
        <f t="shared" ref="S58:AE58" si="59">S93*0.2</f>
        <v>197341.40600000002</v>
      </c>
      <c r="T58" s="20">
        <f t="shared" si="59"/>
        <v>24924.820000000003</v>
      </c>
      <c r="U58" s="20">
        <f t="shared" si="59"/>
        <v>35894.544000000002</v>
      </c>
      <c r="V58" s="20">
        <f t="shared" si="59"/>
        <v>4120.7400000000007</v>
      </c>
      <c r="W58" s="20">
        <f t="shared" si="59"/>
        <v>83939.96</v>
      </c>
      <c r="X58" s="20">
        <f t="shared" si="59"/>
        <v>3080.3820000000001</v>
      </c>
      <c r="Y58" s="20">
        <f t="shared" si="59"/>
        <v>5924.0120000000006</v>
      </c>
      <c r="Z58" s="20">
        <f t="shared" si="59"/>
        <v>327.39200000000005</v>
      </c>
      <c r="AA58" s="20">
        <f t="shared" si="59"/>
        <v>3152.884</v>
      </c>
      <c r="AB58" s="20">
        <f t="shared" si="59"/>
        <v>293.85000000000002</v>
      </c>
      <c r="AC58" s="20">
        <f t="shared" si="59"/>
        <v>0</v>
      </c>
      <c r="AD58" s="20">
        <f t="shared" si="59"/>
        <v>0</v>
      </c>
      <c r="AE58" s="20">
        <f t="shared" si="59"/>
        <v>137.136</v>
      </c>
      <c r="AF58" s="20">
        <f t="shared" ref="AF58:AG63" si="60">AF93*0.2</f>
        <v>0</v>
      </c>
      <c r="AG58" s="20">
        <f t="shared" si="60"/>
        <v>0</v>
      </c>
      <c r="AH58" s="10">
        <f t="shared" si="38"/>
        <v>359137.12599999999</v>
      </c>
      <c r="AI58" s="1093">
        <f t="shared" si="40"/>
        <v>197341.40600000002</v>
      </c>
      <c r="AJ58" s="1093">
        <f t="shared" si="40"/>
        <v>24924.820000000003</v>
      </c>
      <c r="AK58" s="1093">
        <f t="shared" si="40"/>
        <v>35894.544000000002</v>
      </c>
      <c r="AL58" s="1093">
        <f t="shared" si="40"/>
        <v>4120.7400000000007</v>
      </c>
      <c r="AM58" s="1093">
        <f t="shared" si="40"/>
        <v>83939.96</v>
      </c>
      <c r="AN58" s="1093">
        <f t="shared" si="41"/>
        <v>12915.656000000001</v>
      </c>
    </row>
    <row r="59" spans="1:40">
      <c r="A59" s="2" t="s">
        <v>20</v>
      </c>
      <c r="B59" s="20"/>
      <c r="C59" s="20"/>
      <c r="D59" s="20"/>
      <c r="E59" s="20"/>
      <c r="F59" s="20"/>
      <c r="G59" s="20"/>
      <c r="H59" s="20"/>
      <c r="I59" s="20"/>
      <c r="J59" s="20"/>
      <c r="K59" s="20"/>
      <c r="L59" s="20"/>
      <c r="M59" s="20"/>
      <c r="N59" s="20"/>
      <c r="O59" s="10">
        <f t="shared" si="36"/>
        <v>0</v>
      </c>
      <c r="P59" s="1093"/>
      <c r="R59" s="2" t="s">
        <v>106</v>
      </c>
      <c r="S59" s="20">
        <f t="shared" ref="S59:AE59" si="61">S94*0.2</f>
        <v>25829.606</v>
      </c>
      <c r="T59" s="20">
        <f t="shared" si="61"/>
        <v>6528.2000000000007</v>
      </c>
      <c r="U59" s="20">
        <f t="shared" si="61"/>
        <v>2312.3040000000001</v>
      </c>
      <c r="V59" s="20">
        <f t="shared" si="61"/>
        <v>516.154</v>
      </c>
      <c r="W59" s="20">
        <f t="shared" si="61"/>
        <v>11146.710000000001</v>
      </c>
      <c r="X59" s="20">
        <f t="shared" si="61"/>
        <v>274.26</v>
      </c>
      <c r="Y59" s="20">
        <f t="shared" si="61"/>
        <v>1207.2120000000002</v>
      </c>
      <c r="Z59" s="20">
        <f t="shared" si="61"/>
        <v>0</v>
      </c>
      <c r="AA59" s="20">
        <f t="shared" si="61"/>
        <v>725.00600000000009</v>
      </c>
      <c r="AB59" s="20">
        <f t="shared" si="61"/>
        <v>19.590000000000003</v>
      </c>
      <c r="AC59" s="20">
        <f t="shared" si="61"/>
        <v>0</v>
      </c>
      <c r="AD59" s="20">
        <f t="shared" si="61"/>
        <v>0</v>
      </c>
      <c r="AE59" s="20">
        <f t="shared" si="61"/>
        <v>17.141999999999999</v>
      </c>
      <c r="AF59" s="20">
        <f t="shared" si="60"/>
        <v>0</v>
      </c>
      <c r="AG59" s="20">
        <f t="shared" si="60"/>
        <v>0</v>
      </c>
      <c r="AH59" s="10">
        <f t="shared" si="38"/>
        <v>48576.184000000001</v>
      </c>
      <c r="AI59" s="1093">
        <f t="shared" si="40"/>
        <v>25829.606</v>
      </c>
      <c r="AJ59" s="1093">
        <f t="shared" si="40"/>
        <v>6528.2000000000007</v>
      </c>
      <c r="AK59" s="1093">
        <f t="shared" si="40"/>
        <v>2312.3040000000001</v>
      </c>
      <c r="AL59" s="1093">
        <f t="shared" si="40"/>
        <v>516.154</v>
      </c>
      <c r="AM59" s="1093">
        <f t="shared" si="40"/>
        <v>11146.710000000001</v>
      </c>
      <c r="AN59" s="1093">
        <f t="shared" si="41"/>
        <v>2243.21</v>
      </c>
    </row>
    <row r="60" spans="1:40">
      <c r="A60" s="2" t="s">
        <v>19</v>
      </c>
      <c r="B60" s="20"/>
      <c r="C60" s="20"/>
      <c r="D60" s="20"/>
      <c r="E60" s="20"/>
      <c r="F60" s="20"/>
      <c r="G60" s="20"/>
      <c r="H60" s="20"/>
      <c r="I60" s="20"/>
      <c r="J60" s="20"/>
      <c r="K60" s="20"/>
      <c r="L60" s="20"/>
      <c r="M60" s="20"/>
      <c r="N60" s="20"/>
      <c r="O60" s="10">
        <f t="shared" si="36"/>
        <v>0</v>
      </c>
      <c r="P60" s="1093"/>
      <c r="R60" s="2" t="s">
        <v>107</v>
      </c>
      <c r="S60" s="20">
        <f t="shared" ref="S60:AE60" si="62">S95*0.2</f>
        <v>199298.56200000003</v>
      </c>
      <c r="T60" s="20">
        <f t="shared" si="62"/>
        <v>22418.912</v>
      </c>
      <c r="U60" s="20">
        <f t="shared" si="62"/>
        <v>29107.286</v>
      </c>
      <c r="V60" s="20">
        <f t="shared" si="62"/>
        <v>5757.3120000000008</v>
      </c>
      <c r="W60" s="20">
        <f t="shared" si="62"/>
        <v>139167.36000000002</v>
      </c>
      <c r="X60" s="20">
        <f t="shared" si="62"/>
        <v>940.32000000000016</v>
      </c>
      <c r="Y60" s="20">
        <f t="shared" si="62"/>
        <v>3453.9360000000001</v>
      </c>
      <c r="Z60" s="20">
        <f t="shared" si="62"/>
        <v>218.01</v>
      </c>
      <c r="AA60" s="20">
        <f t="shared" si="62"/>
        <v>3086.0860000000002</v>
      </c>
      <c r="AB60" s="20">
        <f t="shared" si="62"/>
        <v>430.98</v>
      </c>
      <c r="AC60" s="20">
        <f t="shared" si="62"/>
        <v>39.180000000000007</v>
      </c>
      <c r="AD60" s="20">
        <f t="shared" si="62"/>
        <v>167.06200000000001</v>
      </c>
      <c r="AE60" s="20">
        <f t="shared" si="62"/>
        <v>45.712000000000003</v>
      </c>
      <c r="AF60" s="20">
        <f t="shared" si="60"/>
        <v>0</v>
      </c>
      <c r="AG60" s="20">
        <f t="shared" si="60"/>
        <v>0</v>
      </c>
      <c r="AH60" s="10">
        <f t="shared" si="38"/>
        <v>404130.71799999999</v>
      </c>
      <c r="AI60" s="1093">
        <f t="shared" si="40"/>
        <v>199298.56200000003</v>
      </c>
      <c r="AJ60" s="1093">
        <f t="shared" si="40"/>
        <v>22418.912</v>
      </c>
      <c r="AK60" s="1093">
        <f t="shared" si="40"/>
        <v>29107.286</v>
      </c>
      <c r="AL60" s="1093">
        <f t="shared" si="40"/>
        <v>5757.3120000000008</v>
      </c>
      <c r="AM60" s="1093">
        <f t="shared" si="40"/>
        <v>139167.36000000002</v>
      </c>
      <c r="AN60" s="1093">
        <f t="shared" si="41"/>
        <v>8381.2860000000001</v>
      </c>
    </row>
    <row r="61" spans="1:40">
      <c r="A61" s="2" t="s">
        <v>21</v>
      </c>
      <c r="B61" s="20"/>
      <c r="C61" s="20"/>
      <c r="D61" s="20"/>
      <c r="E61" s="20"/>
      <c r="F61" s="20"/>
      <c r="G61" s="20"/>
      <c r="H61" s="20"/>
      <c r="I61" s="20"/>
      <c r="J61" s="20"/>
      <c r="K61" s="20"/>
      <c r="L61" s="20"/>
      <c r="M61" s="20"/>
      <c r="N61" s="20"/>
      <c r="O61" s="10">
        <f t="shared" si="36"/>
        <v>0</v>
      </c>
      <c r="P61" s="1093"/>
      <c r="R61" s="2" t="s">
        <v>108</v>
      </c>
      <c r="S61" s="20">
        <f t="shared" ref="S61:AE61" si="63">S96*0.2</f>
        <v>8160.9039999999995</v>
      </c>
      <c r="T61" s="20">
        <f t="shared" si="63"/>
        <v>2297.0920000000001</v>
      </c>
      <c r="U61" s="20">
        <f t="shared" si="63"/>
        <v>739.02200000000005</v>
      </c>
      <c r="V61" s="20">
        <f t="shared" si="63"/>
        <v>465.46600000000001</v>
      </c>
      <c r="W61" s="20">
        <f t="shared" si="63"/>
        <v>14026.44</v>
      </c>
      <c r="X61" s="20">
        <f t="shared" si="63"/>
        <v>176.31</v>
      </c>
      <c r="Y61" s="20">
        <f t="shared" si="63"/>
        <v>327.44000000000005</v>
      </c>
      <c r="Z61" s="20">
        <f t="shared" si="63"/>
        <v>0</v>
      </c>
      <c r="AA61" s="20">
        <f t="shared" si="63"/>
        <v>384.29600000000005</v>
      </c>
      <c r="AB61" s="20">
        <f t="shared" si="63"/>
        <v>0</v>
      </c>
      <c r="AC61" s="20">
        <f t="shared" si="63"/>
        <v>0</v>
      </c>
      <c r="AD61" s="20">
        <f t="shared" si="63"/>
        <v>0</v>
      </c>
      <c r="AE61" s="20">
        <f t="shared" si="63"/>
        <v>5.7140000000000004</v>
      </c>
      <c r="AF61" s="20">
        <f t="shared" si="60"/>
        <v>0</v>
      </c>
      <c r="AG61" s="20">
        <f t="shared" si="60"/>
        <v>0</v>
      </c>
      <c r="AH61" s="10">
        <f t="shared" si="38"/>
        <v>26582.683999999997</v>
      </c>
      <c r="AI61" s="1093">
        <f t="shared" si="40"/>
        <v>8160.9039999999995</v>
      </c>
      <c r="AJ61" s="1093">
        <f t="shared" si="40"/>
        <v>2297.0920000000001</v>
      </c>
      <c r="AK61" s="1093">
        <f t="shared" si="40"/>
        <v>739.02200000000005</v>
      </c>
      <c r="AL61" s="1093">
        <f t="shared" si="40"/>
        <v>465.46600000000001</v>
      </c>
      <c r="AM61" s="1093">
        <f t="shared" si="40"/>
        <v>14026.44</v>
      </c>
      <c r="AN61" s="1093">
        <f t="shared" si="41"/>
        <v>893.7600000000001</v>
      </c>
    </row>
    <row r="62" spans="1:40">
      <c r="A62" s="2" t="s">
        <v>22</v>
      </c>
      <c r="B62" s="20"/>
      <c r="C62" s="20"/>
      <c r="D62" s="20"/>
      <c r="E62" s="20"/>
      <c r="F62" s="20"/>
      <c r="G62" s="20"/>
      <c r="H62" s="20"/>
      <c r="I62" s="20"/>
      <c r="J62" s="20"/>
      <c r="K62" s="20"/>
      <c r="L62" s="20"/>
      <c r="M62" s="20"/>
      <c r="N62" s="20"/>
      <c r="O62" s="10">
        <f t="shared" si="36"/>
        <v>0</v>
      </c>
      <c r="P62" s="1093"/>
      <c r="R62" s="2" t="s">
        <v>109</v>
      </c>
      <c r="S62" s="20">
        <f t="shared" ref="S62:AE62" si="64">S97*0.2</f>
        <v>2360.8700000000003</v>
      </c>
      <c r="T62" s="20">
        <f t="shared" si="64"/>
        <v>310.91200000000003</v>
      </c>
      <c r="U62" s="20">
        <f t="shared" si="64"/>
        <v>251.42</v>
      </c>
      <c r="V62" s="20">
        <f t="shared" si="64"/>
        <v>92.132000000000005</v>
      </c>
      <c r="W62" s="20">
        <f t="shared" si="64"/>
        <v>1880.6400000000003</v>
      </c>
      <c r="X62" s="20">
        <f t="shared" si="64"/>
        <v>19.590000000000003</v>
      </c>
      <c r="Y62" s="20">
        <f t="shared" si="64"/>
        <v>26.182000000000002</v>
      </c>
      <c r="Z62" s="20">
        <f t="shared" si="64"/>
        <v>0</v>
      </c>
      <c r="AA62" s="20">
        <f t="shared" si="64"/>
        <v>34.244</v>
      </c>
      <c r="AB62" s="20">
        <f t="shared" si="64"/>
        <v>0</v>
      </c>
      <c r="AC62" s="20">
        <f t="shared" si="64"/>
        <v>0</v>
      </c>
      <c r="AD62" s="20">
        <f t="shared" si="64"/>
        <v>0</v>
      </c>
      <c r="AE62" s="20">
        <f t="shared" si="64"/>
        <v>0</v>
      </c>
      <c r="AF62" s="20">
        <f t="shared" si="60"/>
        <v>0</v>
      </c>
      <c r="AG62" s="20">
        <f t="shared" si="60"/>
        <v>0</v>
      </c>
      <c r="AH62" s="10">
        <f t="shared" si="38"/>
        <v>4975.99</v>
      </c>
      <c r="AI62" s="1093">
        <f t="shared" si="40"/>
        <v>2360.8700000000003</v>
      </c>
      <c r="AJ62" s="1093">
        <f t="shared" si="40"/>
        <v>310.91200000000003</v>
      </c>
      <c r="AK62" s="1093">
        <f t="shared" si="40"/>
        <v>251.42</v>
      </c>
      <c r="AL62" s="1093">
        <f t="shared" si="40"/>
        <v>92.132000000000005</v>
      </c>
      <c r="AM62" s="1093">
        <f t="shared" si="40"/>
        <v>1880.6400000000003</v>
      </c>
      <c r="AN62" s="1093">
        <f t="shared" si="41"/>
        <v>80.016000000000005</v>
      </c>
    </row>
    <row r="63" spans="1:40">
      <c r="A63" s="2" t="s">
        <v>23</v>
      </c>
      <c r="B63" s="20"/>
      <c r="C63" s="20"/>
      <c r="D63" s="20"/>
      <c r="E63" s="20"/>
      <c r="F63" s="20"/>
      <c r="G63" s="20"/>
      <c r="H63" s="20"/>
      <c r="I63" s="20"/>
      <c r="J63" s="20"/>
      <c r="K63" s="20"/>
      <c r="L63" s="20"/>
      <c r="M63" s="20"/>
      <c r="N63" s="20"/>
      <c r="O63" s="10">
        <f t="shared" si="36"/>
        <v>0</v>
      </c>
      <c r="P63" s="1093"/>
      <c r="R63" s="2" t="s">
        <v>110</v>
      </c>
      <c r="S63" s="20">
        <f t="shared" ref="S63:AE63" si="65">S98*0.2</f>
        <v>148179.62</v>
      </c>
      <c r="T63" s="20">
        <f t="shared" si="65"/>
        <v>12539.468000000001</v>
      </c>
      <c r="U63" s="20">
        <f t="shared" si="65"/>
        <v>22386.407999999999</v>
      </c>
      <c r="V63" s="20">
        <f t="shared" si="65"/>
        <v>2550.7360000000003</v>
      </c>
      <c r="W63" s="20">
        <f t="shared" si="65"/>
        <v>82082.100000000006</v>
      </c>
      <c r="X63" s="20">
        <f t="shared" si="65"/>
        <v>744.42000000000007</v>
      </c>
      <c r="Y63" s="20">
        <f t="shared" si="65"/>
        <v>1480.384</v>
      </c>
      <c r="Z63" s="20">
        <f t="shared" si="65"/>
        <v>0</v>
      </c>
      <c r="AA63" s="20">
        <f t="shared" si="65"/>
        <v>1967.942</v>
      </c>
      <c r="AB63" s="20">
        <f t="shared" si="65"/>
        <v>195.9</v>
      </c>
      <c r="AC63" s="20">
        <f t="shared" si="65"/>
        <v>0</v>
      </c>
      <c r="AD63" s="20">
        <f t="shared" si="65"/>
        <v>0</v>
      </c>
      <c r="AE63" s="20">
        <f t="shared" si="65"/>
        <v>22.856000000000002</v>
      </c>
      <c r="AF63" s="20">
        <f t="shared" si="60"/>
        <v>0</v>
      </c>
      <c r="AG63" s="20">
        <f t="shared" si="60"/>
        <v>0</v>
      </c>
      <c r="AH63" s="10">
        <f t="shared" si="38"/>
        <v>272149.83400000003</v>
      </c>
      <c r="AI63" s="1093">
        <f t="shared" si="40"/>
        <v>148179.62</v>
      </c>
      <c r="AJ63" s="1093">
        <f t="shared" si="40"/>
        <v>12539.468000000001</v>
      </c>
      <c r="AK63" s="1093">
        <f t="shared" si="40"/>
        <v>22386.407999999999</v>
      </c>
      <c r="AL63" s="1093">
        <f t="shared" si="40"/>
        <v>2550.7360000000003</v>
      </c>
      <c r="AM63" s="1093">
        <f t="shared" si="40"/>
        <v>82082.100000000006</v>
      </c>
      <c r="AN63" s="1093">
        <f t="shared" si="41"/>
        <v>4411.5019999999995</v>
      </c>
    </row>
    <row r="64" spans="1:40">
      <c r="A64" s="2" t="s">
        <v>25</v>
      </c>
      <c r="B64" s="20"/>
      <c r="C64" s="20"/>
      <c r="D64" s="20"/>
      <c r="E64" s="20"/>
      <c r="F64" s="20"/>
      <c r="G64" s="20"/>
      <c r="H64" s="20"/>
      <c r="I64" s="20"/>
      <c r="J64" s="20"/>
      <c r="K64" s="20"/>
      <c r="L64" s="20"/>
      <c r="M64" s="20"/>
      <c r="N64" s="20"/>
      <c r="O64" s="10">
        <f t="shared" si="36"/>
        <v>0</v>
      </c>
      <c r="P64" s="1093"/>
      <c r="R64" s="2" t="s">
        <v>111</v>
      </c>
      <c r="S64" s="20">
        <f t="shared" ref="S64:AE64" si="66">S99*0.2</f>
        <v>742153.83600000013</v>
      </c>
      <c r="T64" s="20">
        <f t="shared" si="66"/>
        <v>113617.78600000002</v>
      </c>
      <c r="U64" s="20">
        <f t="shared" si="66"/>
        <v>116954.228</v>
      </c>
      <c r="V64" s="20">
        <f t="shared" si="66"/>
        <v>13792.13</v>
      </c>
      <c r="W64" s="20">
        <f t="shared" si="66"/>
        <v>473940.87000000005</v>
      </c>
      <c r="X64" s="20">
        <f t="shared" si="66"/>
        <v>5250.12</v>
      </c>
      <c r="Y64" s="20">
        <f t="shared" si="66"/>
        <v>21469.788</v>
      </c>
      <c r="Z64" s="20">
        <f t="shared" si="66"/>
        <v>1164.74</v>
      </c>
      <c r="AA64" s="20">
        <f t="shared" si="66"/>
        <v>13683.734</v>
      </c>
      <c r="AB64" s="20">
        <f t="shared" si="66"/>
        <v>1273.3500000000001</v>
      </c>
      <c r="AC64" s="20">
        <f t="shared" si="66"/>
        <v>39.180000000000007</v>
      </c>
      <c r="AD64" s="20">
        <f t="shared" si="66"/>
        <v>136</v>
      </c>
      <c r="AE64" s="20">
        <f t="shared" si="66"/>
        <v>439.97800000000001</v>
      </c>
      <c r="AF64" s="20">
        <v>0</v>
      </c>
      <c r="AG64" s="20">
        <v>0</v>
      </c>
      <c r="AH64" s="10">
        <f t="shared" si="38"/>
        <v>1503915.7400000002</v>
      </c>
      <c r="AI64" s="1093">
        <f t="shared" si="40"/>
        <v>742153.83600000013</v>
      </c>
      <c r="AJ64" s="1093">
        <f t="shared" si="40"/>
        <v>113617.78600000002</v>
      </c>
      <c r="AK64" s="1093">
        <f t="shared" si="40"/>
        <v>116954.228</v>
      </c>
      <c r="AL64" s="1093">
        <f t="shared" si="40"/>
        <v>13792.13</v>
      </c>
      <c r="AM64" s="1093">
        <f t="shared" si="40"/>
        <v>473940.87000000005</v>
      </c>
      <c r="AN64" s="1093">
        <f t="shared" si="41"/>
        <v>43456.89</v>
      </c>
    </row>
    <row r="65" spans="1:40">
      <c r="A65" s="2" t="s">
        <v>24</v>
      </c>
      <c r="B65" s="20"/>
      <c r="C65" s="20"/>
      <c r="D65" s="20"/>
      <c r="E65" s="20"/>
      <c r="F65" s="20"/>
      <c r="G65" s="20"/>
      <c r="H65" s="20"/>
      <c r="I65" s="20"/>
      <c r="J65" s="20"/>
      <c r="K65" s="20"/>
      <c r="L65" s="20"/>
      <c r="M65" s="20"/>
      <c r="N65" s="20"/>
      <c r="O65" s="10">
        <f t="shared" si="36"/>
        <v>0</v>
      </c>
      <c r="P65" s="1093"/>
      <c r="R65" s="2" t="s">
        <v>112</v>
      </c>
      <c r="S65" s="20">
        <f t="shared" ref="S65:AE65" si="67">S100*0.2</f>
        <v>12870.502</v>
      </c>
      <c r="T65" s="20">
        <f t="shared" si="67"/>
        <v>2571.8740000000003</v>
      </c>
      <c r="U65" s="20">
        <f t="shared" si="67"/>
        <v>1487.5700000000002</v>
      </c>
      <c r="V65" s="20">
        <f t="shared" si="67"/>
        <v>129.27600000000001</v>
      </c>
      <c r="W65" s="20">
        <f t="shared" si="67"/>
        <v>10206.39</v>
      </c>
      <c r="X65" s="20">
        <f t="shared" si="67"/>
        <v>450.57</v>
      </c>
      <c r="Y65" s="20">
        <f t="shared" si="67"/>
        <v>200.82000000000002</v>
      </c>
      <c r="Z65" s="20">
        <f t="shared" si="67"/>
        <v>0</v>
      </c>
      <c r="AA65" s="20">
        <f t="shared" si="67"/>
        <v>435.24799999999999</v>
      </c>
      <c r="AB65" s="20">
        <f t="shared" si="67"/>
        <v>78.360000000000014</v>
      </c>
      <c r="AC65" s="20">
        <f t="shared" si="67"/>
        <v>0</v>
      </c>
      <c r="AD65" s="20">
        <f t="shared" si="67"/>
        <v>0</v>
      </c>
      <c r="AE65" s="20">
        <f t="shared" si="67"/>
        <v>0</v>
      </c>
      <c r="AF65" s="20">
        <f>AF100*0.2</f>
        <v>0</v>
      </c>
      <c r="AG65" s="20">
        <f>AG100*0.2</f>
        <v>0</v>
      </c>
      <c r="AH65" s="10">
        <f t="shared" si="38"/>
        <v>28430.61</v>
      </c>
      <c r="AI65" s="1093">
        <f t="shared" si="40"/>
        <v>12870.502</v>
      </c>
      <c r="AJ65" s="1093">
        <f t="shared" si="40"/>
        <v>2571.8740000000003</v>
      </c>
      <c r="AK65" s="1093">
        <f t="shared" si="40"/>
        <v>1487.5700000000002</v>
      </c>
      <c r="AL65" s="1093">
        <f t="shared" si="40"/>
        <v>129.27600000000001</v>
      </c>
      <c r="AM65" s="1093">
        <f t="shared" si="40"/>
        <v>10206.39</v>
      </c>
      <c r="AN65" s="1093">
        <f t="shared" si="41"/>
        <v>1164.998</v>
      </c>
    </row>
    <row r="66" spans="1:40">
      <c r="A66" s="2" t="s">
        <v>26</v>
      </c>
      <c r="B66" s="20"/>
      <c r="C66" s="20"/>
      <c r="D66" s="20"/>
      <c r="E66" s="20"/>
      <c r="F66" s="20"/>
      <c r="G66" s="20"/>
      <c r="H66" s="20"/>
      <c r="I66" s="20"/>
      <c r="J66" s="20"/>
      <c r="K66" s="20"/>
      <c r="L66" s="20"/>
      <c r="M66" s="20"/>
      <c r="N66" s="20"/>
      <c r="O66" s="10">
        <f t="shared" si="36"/>
        <v>0</v>
      </c>
      <c r="P66" s="1093"/>
      <c r="R66" s="2" t="s">
        <v>113</v>
      </c>
      <c r="S66" s="20">
        <f t="shared" ref="S66:AE66" si="68">S101*0.2</f>
        <v>6378.1080000000002</v>
      </c>
      <c r="T66" s="20">
        <f t="shared" si="68"/>
        <v>1949.86</v>
      </c>
      <c r="U66" s="20">
        <f t="shared" si="68"/>
        <v>906.63600000000008</v>
      </c>
      <c r="V66" s="20">
        <f t="shared" si="68"/>
        <v>372.50800000000004</v>
      </c>
      <c r="W66" s="20">
        <f t="shared" si="68"/>
        <v>6582.24</v>
      </c>
      <c r="X66" s="20">
        <f t="shared" si="68"/>
        <v>97.95</v>
      </c>
      <c r="Y66" s="20">
        <f t="shared" si="68"/>
        <v>272.40199999999999</v>
      </c>
      <c r="Z66" s="20">
        <f t="shared" si="68"/>
        <v>0</v>
      </c>
      <c r="AA66" s="20">
        <f t="shared" si="68"/>
        <v>200.88</v>
      </c>
      <c r="AB66" s="20">
        <f t="shared" si="68"/>
        <v>78.360000000000014</v>
      </c>
      <c r="AC66" s="20">
        <f t="shared" si="68"/>
        <v>0</v>
      </c>
      <c r="AD66" s="20">
        <f t="shared" si="68"/>
        <v>0</v>
      </c>
      <c r="AE66" s="20">
        <f t="shared" si="68"/>
        <v>0</v>
      </c>
      <c r="AF66" s="20">
        <f>AF101*0.2</f>
        <v>0</v>
      </c>
      <c r="AG66" s="20">
        <f>AG101*0.2</f>
        <v>0</v>
      </c>
      <c r="AH66" s="10">
        <f t="shared" si="38"/>
        <v>16838.944000000003</v>
      </c>
      <c r="AI66" s="1093">
        <f t="shared" si="40"/>
        <v>6378.1080000000002</v>
      </c>
      <c r="AJ66" s="1093">
        <f t="shared" si="40"/>
        <v>1949.86</v>
      </c>
      <c r="AK66" s="1093">
        <f t="shared" si="40"/>
        <v>906.63600000000008</v>
      </c>
      <c r="AL66" s="1093">
        <f t="shared" si="40"/>
        <v>372.50800000000004</v>
      </c>
      <c r="AM66" s="1093">
        <f t="shared" si="40"/>
        <v>6582.24</v>
      </c>
      <c r="AN66" s="1093">
        <f t="shared" si="41"/>
        <v>649.59199999999998</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1077"/>
      <c r="Q67" s="91"/>
      <c r="R67" s="7" t="s">
        <v>37</v>
      </c>
      <c r="S67" s="8">
        <f t="shared" ref="S67:AI67" si="70">SUM(S40:S66)</f>
        <v>2197988.8620000002</v>
      </c>
      <c r="T67" s="8">
        <f t="shared" si="70"/>
        <v>345274.97400000005</v>
      </c>
      <c r="U67" s="8">
        <f t="shared" si="70"/>
        <v>333241.89399999997</v>
      </c>
      <c r="V67" s="8">
        <f t="shared" si="70"/>
        <v>50257.803999999996</v>
      </c>
      <c r="W67" s="8">
        <f t="shared" si="70"/>
        <v>1297343.9219999998</v>
      </c>
      <c r="X67" s="8">
        <f t="shared" si="70"/>
        <v>20750.562000000002</v>
      </c>
      <c r="Y67" s="8">
        <f t="shared" si="70"/>
        <v>58053.260000000009</v>
      </c>
      <c r="Z67" s="8">
        <f t="shared" si="70"/>
        <v>4258.4859999999999</v>
      </c>
      <c r="AA67" s="8">
        <f t="shared" si="70"/>
        <v>44411.101999999992</v>
      </c>
      <c r="AB67" s="8">
        <f t="shared" si="70"/>
        <v>4584.0600000000004</v>
      </c>
      <c r="AC67" s="8">
        <f t="shared" si="70"/>
        <v>78.360000000000014</v>
      </c>
      <c r="AD67" s="8">
        <f t="shared" si="70"/>
        <v>364.74400000000003</v>
      </c>
      <c r="AE67" s="8">
        <f t="shared" si="70"/>
        <v>1091.374</v>
      </c>
      <c r="AF67" s="8">
        <f t="shared" si="70"/>
        <v>20.664000000000001</v>
      </c>
      <c r="AG67" s="8">
        <f t="shared" si="70"/>
        <v>125.86600000000001</v>
      </c>
      <c r="AH67" s="11">
        <f t="shared" si="70"/>
        <v>4357845.9340000013</v>
      </c>
      <c r="AI67" s="1093">
        <f t="shared" si="70"/>
        <v>2197988.8620000002</v>
      </c>
      <c r="AJ67" s="1093">
        <f t="shared" ref="AJ67:AN67" si="71">SUM(AJ40:AJ66)</f>
        <v>345274.97400000005</v>
      </c>
      <c r="AK67" s="1093">
        <f t="shared" si="71"/>
        <v>333241.89399999997</v>
      </c>
      <c r="AL67" s="1093">
        <f t="shared" si="71"/>
        <v>50257.803999999996</v>
      </c>
      <c r="AM67" s="1093">
        <f t="shared" si="71"/>
        <v>1297343.9219999998</v>
      </c>
      <c r="AN67" s="1093">
        <f t="shared" si="71"/>
        <v>133738.47799999997</v>
      </c>
    </row>
    <row r="68" spans="1:40">
      <c r="A68" s="91"/>
      <c r="B68" s="91"/>
      <c r="C68" s="91"/>
      <c r="D68" s="91"/>
      <c r="E68" s="91"/>
      <c r="F68" s="91"/>
      <c r="G68" s="91"/>
      <c r="H68" s="91"/>
      <c r="I68" s="91"/>
      <c r="J68" s="91"/>
      <c r="K68" s="91"/>
      <c r="L68" s="91"/>
      <c r="M68" s="91"/>
      <c r="N68" s="91"/>
      <c r="O68" s="3"/>
      <c r="P68" s="91"/>
      <c r="Q68" s="91"/>
      <c r="R68" s="1080" t="s">
        <v>49</v>
      </c>
      <c r="S68" s="1084"/>
      <c r="T68" s="1084"/>
      <c r="U68" s="1084"/>
      <c r="V68" s="1084"/>
      <c r="W68" s="1084"/>
      <c r="X68" s="1084"/>
      <c r="Y68" s="1084"/>
      <c r="Z68" s="1084"/>
      <c r="AA68" s="1084"/>
      <c r="AB68" s="1084"/>
      <c r="AC68" s="1084"/>
      <c r="AD68" s="1084"/>
      <c r="AE68" s="1084"/>
      <c r="AF68" s="1084"/>
      <c r="AG68" s="1084"/>
      <c r="AH68" s="1085"/>
    </row>
    <row r="69" spans="1:40">
      <c r="A69" s="2" t="s">
        <v>14</v>
      </c>
      <c r="B69" s="20">
        <f t="shared" ref="B69:N69" si="72">B19*0.2</f>
        <v>0</v>
      </c>
      <c r="C69" s="20">
        <f t="shared" si="72"/>
        <v>0</v>
      </c>
      <c r="D69" s="20">
        <f t="shared" si="72"/>
        <v>0</v>
      </c>
      <c r="E69" s="20">
        <f t="shared" si="72"/>
        <v>0</v>
      </c>
      <c r="F69" s="20">
        <f t="shared" si="72"/>
        <v>0</v>
      </c>
      <c r="G69" s="20">
        <f t="shared" si="72"/>
        <v>0</v>
      </c>
      <c r="H69" s="20">
        <f t="shared" si="72"/>
        <v>0</v>
      </c>
      <c r="I69" s="20">
        <f t="shared" si="72"/>
        <v>0</v>
      </c>
      <c r="J69" s="20">
        <f t="shared" si="72"/>
        <v>0</v>
      </c>
      <c r="K69" s="20">
        <f t="shared" si="72"/>
        <v>0</v>
      </c>
      <c r="L69" s="20">
        <f t="shared" si="72"/>
        <v>0</v>
      </c>
      <c r="M69" s="20">
        <f t="shared" si="72"/>
        <v>0</v>
      </c>
      <c r="N69" s="20">
        <f t="shared" si="72"/>
        <v>0</v>
      </c>
      <c r="O69" s="10">
        <f>SUM(B69:N69)</f>
        <v>0</v>
      </c>
      <c r="R69" s="1088"/>
      <c r="S69" s="1088"/>
      <c r="T69" s="1089"/>
      <c r="U69" s="1089"/>
      <c r="V69" s="1089"/>
      <c r="W69" s="1089"/>
      <c r="X69" s="1089"/>
      <c r="Y69" s="1089"/>
      <c r="Z69" s="1089"/>
      <c r="AA69" s="1089"/>
      <c r="AB69" s="1089"/>
      <c r="AH69" s="1090"/>
    </row>
    <row r="70" spans="1:40">
      <c r="L70" s="605"/>
      <c r="M70" s="605"/>
      <c r="N70" s="605"/>
      <c r="R70" s="1087"/>
      <c r="AC70" s="605"/>
      <c r="AD70" s="605"/>
      <c r="AE70" s="605"/>
      <c r="AF70" s="605"/>
      <c r="AG70" s="605"/>
    </row>
    <row r="71" spans="1:40">
      <c r="R71" s="1087"/>
    </row>
    <row r="72" spans="1:40" ht="46.5">
      <c r="A72" s="1223" t="s">
        <v>38</v>
      </c>
      <c r="B72" s="1224"/>
      <c r="C72" s="1224"/>
      <c r="D72" s="1224"/>
      <c r="E72" s="1224"/>
      <c r="F72" s="1224"/>
      <c r="G72" s="1224"/>
      <c r="H72" s="1224"/>
      <c r="I72" s="1224"/>
      <c r="J72" s="1224"/>
      <c r="K72" s="1224"/>
      <c r="L72" s="1224"/>
      <c r="M72" s="1224"/>
      <c r="N72" s="1224"/>
      <c r="O72" s="1225"/>
      <c r="R72" s="1220" t="s">
        <v>47</v>
      </c>
      <c r="S72" s="1221"/>
      <c r="T72" s="1221"/>
      <c r="U72" s="1221"/>
      <c r="V72" s="1221"/>
      <c r="W72" s="1221"/>
      <c r="X72" s="1221"/>
      <c r="Y72" s="1221"/>
      <c r="Z72" s="1221"/>
      <c r="AA72" s="1221"/>
      <c r="AB72" s="1221"/>
      <c r="AC72" s="1221"/>
      <c r="AD72" s="1221"/>
      <c r="AE72" s="1221"/>
      <c r="AF72" s="1221"/>
      <c r="AG72" s="1221"/>
      <c r="AH72" s="1222"/>
    </row>
    <row r="73" spans="1:40" ht="35.1" customHeight="1">
      <c r="A73" s="1226" t="s">
        <v>33</v>
      </c>
      <c r="B73" s="1228" t="s">
        <v>27</v>
      </c>
      <c r="C73" s="1229"/>
      <c r="D73" s="1228" t="s">
        <v>29</v>
      </c>
      <c r="E73" s="1229"/>
      <c r="F73" s="1226" t="s">
        <v>28</v>
      </c>
      <c r="G73" s="1226" t="s">
        <v>36</v>
      </c>
      <c r="H73" s="1226" t="s">
        <v>30</v>
      </c>
      <c r="I73" s="1226" t="s">
        <v>31</v>
      </c>
      <c r="J73" s="1226" t="s">
        <v>41</v>
      </c>
      <c r="K73" s="1226" t="s">
        <v>35</v>
      </c>
      <c r="L73" s="1226" t="s">
        <v>40</v>
      </c>
      <c r="M73" s="1226" t="s">
        <v>42</v>
      </c>
      <c r="N73" s="1226" t="s">
        <v>45</v>
      </c>
      <c r="O73" s="1226" t="s">
        <v>34</v>
      </c>
      <c r="R73" s="1226" t="s">
        <v>33</v>
      </c>
      <c r="S73" s="1228" t="s">
        <v>27</v>
      </c>
      <c r="T73" s="1229"/>
      <c r="U73" s="1228" t="s">
        <v>29</v>
      </c>
      <c r="V73" s="1229"/>
      <c r="W73" s="1226" t="s">
        <v>28</v>
      </c>
      <c r="X73" s="1226" t="s">
        <v>36</v>
      </c>
      <c r="Y73" s="1226" t="s">
        <v>30</v>
      </c>
      <c r="Z73" s="1226" t="s">
        <v>31</v>
      </c>
      <c r="AA73" s="1226" t="s">
        <v>41</v>
      </c>
      <c r="AB73" s="1226" t="s">
        <v>35</v>
      </c>
      <c r="AC73" s="1226" t="s">
        <v>40</v>
      </c>
      <c r="AD73" s="1226" t="s">
        <v>42</v>
      </c>
      <c r="AE73" s="1226" t="s">
        <v>45</v>
      </c>
      <c r="AF73" s="1228" t="s">
        <v>51</v>
      </c>
      <c r="AG73" s="1229"/>
      <c r="AH73" s="1226" t="s">
        <v>34</v>
      </c>
    </row>
    <row r="74" spans="1:40" ht="35.1" customHeight="1">
      <c r="A74" s="1227"/>
      <c r="B74" s="1091" t="s">
        <v>43</v>
      </c>
      <c r="C74" s="1091" t="s">
        <v>44</v>
      </c>
      <c r="D74" s="1091" t="s">
        <v>43</v>
      </c>
      <c r="E74" s="1091" t="s">
        <v>44</v>
      </c>
      <c r="F74" s="1227"/>
      <c r="G74" s="1227"/>
      <c r="H74" s="1227"/>
      <c r="I74" s="1227"/>
      <c r="J74" s="1227"/>
      <c r="K74" s="1227"/>
      <c r="L74" s="1227"/>
      <c r="M74" s="1227"/>
      <c r="N74" s="1227"/>
      <c r="O74" s="1227"/>
      <c r="R74" s="1227"/>
      <c r="S74" s="1091" t="s">
        <v>43</v>
      </c>
      <c r="T74" s="1091" t="s">
        <v>44</v>
      </c>
      <c r="U74" s="1091" t="s">
        <v>43</v>
      </c>
      <c r="V74" s="1091" t="s">
        <v>44</v>
      </c>
      <c r="W74" s="1227"/>
      <c r="X74" s="1227"/>
      <c r="Y74" s="1227"/>
      <c r="Z74" s="1227"/>
      <c r="AA74" s="1227"/>
      <c r="AB74" s="1227"/>
      <c r="AC74" s="1227"/>
      <c r="AD74" s="1227"/>
      <c r="AE74" s="1227"/>
      <c r="AF74" s="1092" t="s">
        <v>52</v>
      </c>
      <c r="AG74" s="1092" t="s">
        <v>53</v>
      </c>
      <c r="AH74" s="1227"/>
      <c r="AI74" s="1104" t="s">
        <v>183</v>
      </c>
      <c r="AJ74" s="1104" t="s">
        <v>424</v>
      </c>
      <c r="AK74" s="1104" t="s">
        <v>184</v>
      </c>
      <c r="AL74" s="1104" t="s">
        <v>425</v>
      </c>
      <c r="AM74" s="1104" t="s">
        <v>28</v>
      </c>
      <c r="AN74" s="1104" t="s">
        <v>185</v>
      </c>
    </row>
    <row r="75" spans="1:40">
      <c r="A75" s="2" t="s">
        <v>0</v>
      </c>
      <c r="B75" s="20">
        <f t="shared" ref="B75:N75" si="73">B5+B40</f>
        <v>0</v>
      </c>
      <c r="C75" s="20">
        <f t="shared" si="73"/>
        <v>0</v>
      </c>
      <c r="D75" s="20">
        <f t="shared" si="73"/>
        <v>0</v>
      </c>
      <c r="E75" s="20">
        <f t="shared" si="73"/>
        <v>0</v>
      </c>
      <c r="F75" s="20">
        <f t="shared" si="73"/>
        <v>0</v>
      </c>
      <c r="G75" s="20">
        <f t="shared" si="73"/>
        <v>0</v>
      </c>
      <c r="H75" s="20">
        <f t="shared" si="73"/>
        <v>0</v>
      </c>
      <c r="I75" s="20">
        <f t="shared" si="73"/>
        <v>0</v>
      </c>
      <c r="J75" s="20">
        <f t="shared" si="73"/>
        <v>0</v>
      </c>
      <c r="K75" s="20">
        <f t="shared" si="73"/>
        <v>0</v>
      </c>
      <c r="L75" s="20">
        <f t="shared" si="73"/>
        <v>0</v>
      </c>
      <c r="M75" s="20">
        <f t="shared" si="73"/>
        <v>0</v>
      </c>
      <c r="N75" s="20">
        <f t="shared" si="73"/>
        <v>0</v>
      </c>
      <c r="O75" s="10">
        <f t="shared" ref="O75:O101" si="74">SUM(B75:N75)</f>
        <v>0</v>
      </c>
      <c r="R75" s="2" t="s">
        <v>87</v>
      </c>
      <c r="S75" s="20">
        <v>24130.91</v>
      </c>
      <c r="T75" s="20">
        <v>4189.0600000000004</v>
      </c>
      <c r="U75" s="20">
        <v>4130.82</v>
      </c>
      <c r="V75" s="20">
        <v>867.36</v>
      </c>
      <c r="W75" s="20">
        <v>17631</v>
      </c>
      <c r="X75" s="20">
        <v>881.55</v>
      </c>
      <c r="Y75" s="20">
        <v>435.78</v>
      </c>
      <c r="Z75" s="20"/>
      <c r="AA75" s="20">
        <v>716.81</v>
      </c>
      <c r="AB75" s="20">
        <v>195.9</v>
      </c>
      <c r="AC75" s="20"/>
      <c r="AD75" s="20"/>
      <c r="AE75" s="20"/>
      <c r="AF75" s="20"/>
      <c r="AG75" s="20"/>
      <c r="AH75" s="10">
        <f t="shared" ref="AH75:AH101" si="75">SUM(S75:AG75)</f>
        <v>53179.19</v>
      </c>
      <c r="AI75" s="1093">
        <f>S75</f>
        <v>24130.91</v>
      </c>
      <c r="AJ75" s="1093">
        <f>T75</f>
        <v>4189.0600000000004</v>
      </c>
      <c r="AK75" s="1093">
        <f>U75</f>
        <v>4130.82</v>
      </c>
      <c r="AL75" s="1093">
        <f>V75</f>
        <v>867.36</v>
      </c>
      <c r="AM75" s="1093">
        <f>W75</f>
        <v>17631</v>
      </c>
      <c r="AN75" s="1093">
        <f>SUM(X75:AG75)</f>
        <v>2230.04</v>
      </c>
    </row>
    <row r="76" spans="1:40">
      <c r="A76" s="2" t="s">
        <v>1</v>
      </c>
      <c r="B76" s="20">
        <f t="shared" ref="B76:N76" si="76">B6+B41</f>
        <v>0</v>
      </c>
      <c r="C76" s="20">
        <f t="shared" si="76"/>
        <v>0</v>
      </c>
      <c r="D76" s="20">
        <f t="shared" si="76"/>
        <v>0</v>
      </c>
      <c r="E76" s="20">
        <f t="shared" si="76"/>
        <v>0</v>
      </c>
      <c r="F76" s="20">
        <f t="shared" si="76"/>
        <v>0</v>
      </c>
      <c r="G76" s="20">
        <f t="shared" si="76"/>
        <v>0</v>
      </c>
      <c r="H76" s="20">
        <f t="shared" si="76"/>
        <v>0</v>
      </c>
      <c r="I76" s="20">
        <f t="shared" si="76"/>
        <v>0</v>
      </c>
      <c r="J76" s="20">
        <f t="shared" si="76"/>
        <v>0</v>
      </c>
      <c r="K76" s="20">
        <f t="shared" si="76"/>
        <v>0</v>
      </c>
      <c r="L76" s="20">
        <f t="shared" si="76"/>
        <v>0</v>
      </c>
      <c r="M76" s="20">
        <f t="shared" si="76"/>
        <v>0</v>
      </c>
      <c r="N76" s="20">
        <f t="shared" si="76"/>
        <v>0</v>
      </c>
      <c r="O76" s="10">
        <f t="shared" si="74"/>
        <v>0</v>
      </c>
      <c r="R76" s="2" t="s">
        <v>88</v>
      </c>
      <c r="S76" s="20">
        <v>96172.06</v>
      </c>
      <c r="T76" s="20">
        <v>20580.86</v>
      </c>
      <c r="U76" s="20">
        <v>10599.66</v>
      </c>
      <c r="V76" s="20">
        <v>710</v>
      </c>
      <c r="W76" s="20">
        <v>49954.5</v>
      </c>
      <c r="X76" s="20">
        <v>587.70000000000005</v>
      </c>
      <c r="Y76" s="20">
        <v>3193.78</v>
      </c>
      <c r="Z76" s="20">
        <v>552.78</v>
      </c>
      <c r="AA76" s="20">
        <v>1872.13</v>
      </c>
      <c r="AB76" s="20"/>
      <c r="AC76" s="20"/>
      <c r="AD76" s="20"/>
      <c r="AE76" s="20">
        <v>85.71</v>
      </c>
      <c r="AF76" s="20"/>
      <c r="AG76" s="20"/>
      <c r="AH76" s="10">
        <f t="shared" si="75"/>
        <v>184309.18000000002</v>
      </c>
      <c r="AI76" s="1093">
        <f t="shared" ref="AI76:AM101" si="77">S76</f>
        <v>96172.06</v>
      </c>
      <c r="AJ76" s="1093">
        <f t="shared" si="77"/>
        <v>20580.86</v>
      </c>
      <c r="AK76" s="1093">
        <f t="shared" si="77"/>
        <v>10599.66</v>
      </c>
      <c r="AL76" s="1093">
        <f t="shared" si="77"/>
        <v>710</v>
      </c>
      <c r="AM76" s="1093">
        <f t="shared" si="77"/>
        <v>49954.5</v>
      </c>
      <c r="AN76" s="1093">
        <f t="shared" ref="AN76:AN101" si="78">SUM(X76:AG76)</f>
        <v>6292.1</v>
      </c>
    </row>
    <row r="77" spans="1:40">
      <c r="A77" s="2" t="s">
        <v>2</v>
      </c>
      <c r="B77" s="20">
        <f t="shared" ref="B77:N77" si="79">B7+B42</f>
        <v>0</v>
      </c>
      <c r="C77" s="20">
        <f t="shared" si="79"/>
        <v>0</v>
      </c>
      <c r="D77" s="20">
        <f t="shared" si="79"/>
        <v>0</v>
      </c>
      <c r="E77" s="20">
        <f t="shared" si="79"/>
        <v>0</v>
      </c>
      <c r="F77" s="20">
        <f t="shared" si="79"/>
        <v>0</v>
      </c>
      <c r="G77" s="20">
        <f t="shared" si="79"/>
        <v>0</v>
      </c>
      <c r="H77" s="20">
        <f t="shared" si="79"/>
        <v>0</v>
      </c>
      <c r="I77" s="20">
        <f t="shared" si="79"/>
        <v>0</v>
      </c>
      <c r="J77" s="20">
        <f t="shared" si="79"/>
        <v>0</v>
      </c>
      <c r="K77" s="20">
        <f t="shared" si="79"/>
        <v>0</v>
      </c>
      <c r="L77" s="20">
        <f t="shared" si="79"/>
        <v>0</v>
      </c>
      <c r="M77" s="20">
        <f t="shared" si="79"/>
        <v>0</v>
      </c>
      <c r="N77" s="20">
        <f t="shared" si="79"/>
        <v>0</v>
      </c>
      <c r="O77" s="10">
        <f t="shared" si="74"/>
        <v>0</v>
      </c>
      <c r="R77" s="2" t="s">
        <v>89</v>
      </c>
      <c r="S77" s="20">
        <v>27971.66</v>
      </c>
      <c r="T77" s="20">
        <v>7125.05</v>
      </c>
      <c r="U77" s="20">
        <v>4628.43</v>
      </c>
      <c r="V77" s="20">
        <v>992.44</v>
      </c>
      <c r="W77" s="20">
        <v>29385</v>
      </c>
      <c r="X77" s="20">
        <v>783.6</v>
      </c>
      <c r="Y77" s="20">
        <v>803.85</v>
      </c>
      <c r="Z77" s="20">
        <v>284.27999999999997</v>
      </c>
      <c r="AA77" s="20">
        <v>1072.04</v>
      </c>
      <c r="AB77" s="20">
        <v>391.8</v>
      </c>
      <c r="AC77" s="20"/>
      <c r="AD77" s="20"/>
      <c r="AE77" s="20"/>
      <c r="AF77" s="20"/>
      <c r="AG77" s="20"/>
      <c r="AH77" s="10">
        <f t="shared" si="75"/>
        <v>73438.150000000009</v>
      </c>
      <c r="AI77" s="1093">
        <f t="shared" si="77"/>
        <v>27971.66</v>
      </c>
      <c r="AJ77" s="1093">
        <f t="shared" si="77"/>
        <v>7125.05</v>
      </c>
      <c r="AK77" s="1093">
        <f t="shared" si="77"/>
        <v>4628.43</v>
      </c>
      <c r="AL77" s="1093">
        <f t="shared" si="77"/>
        <v>992.44</v>
      </c>
      <c r="AM77" s="1093">
        <f t="shared" si="77"/>
        <v>29385</v>
      </c>
      <c r="AN77" s="1093">
        <f t="shared" si="78"/>
        <v>3335.57</v>
      </c>
    </row>
    <row r="78" spans="1:40">
      <c r="A78" s="2" t="s">
        <v>3</v>
      </c>
      <c r="B78" s="20">
        <f t="shared" ref="B78:N78" si="80">B8+B43</f>
        <v>0</v>
      </c>
      <c r="C78" s="20">
        <f t="shared" si="80"/>
        <v>0</v>
      </c>
      <c r="D78" s="20">
        <f t="shared" si="80"/>
        <v>0</v>
      </c>
      <c r="E78" s="20">
        <f t="shared" si="80"/>
        <v>0</v>
      </c>
      <c r="F78" s="20">
        <f t="shared" si="80"/>
        <v>0</v>
      </c>
      <c r="G78" s="20">
        <f t="shared" si="80"/>
        <v>0</v>
      </c>
      <c r="H78" s="20">
        <f t="shared" si="80"/>
        <v>0</v>
      </c>
      <c r="I78" s="20">
        <f t="shared" si="80"/>
        <v>0</v>
      </c>
      <c r="J78" s="20">
        <f t="shared" si="80"/>
        <v>0</v>
      </c>
      <c r="K78" s="20">
        <f t="shared" si="80"/>
        <v>0</v>
      </c>
      <c r="L78" s="20">
        <f t="shared" si="80"/>
        <v>0</v>
      </c>
      <c r="M78" s="20">
        <f t="shared" si="80"/>
        <v>0</v>
      </c>
      <c r="N78" s="20">
        <f t="shared" si="80"/>
        <v>0</v>
      </c>
      <c r="O78" s="10">
        <f t="shared" si="74"/>
        <v>0</v>
      </c>
      <c r="R78" s="2" t="s">
        <v>90</v>
      </c>
      <c r="S78" s="20">
        <v>82476.14</v>
      </c>
      <c r="T78" s="20">
        <v>16485.86</v>
      </c>
      <c r="U78" s="20">
        <v>9818.7199999999993</v>
      </c>
      <c r="V78" s="20">
        <v>2940.54</v>
      </c>
      <c r="W78" s="20">
        <v>46624.2</v>
      </c>
      <c r="X78" s="20">
        <v>1861.05</v>
      </c>
      <c r="Y78" s="20">
        <v>2169.2800000000002</v>
      </c>
      <c r="Z78" s="20"/>
      <c r="AA78" s="20">
        <v>1782.55</v>
      </c>
      <c r="AB78" s="20">
        <v>293.85000000000002</v>
      </c>
      <c r="AC78" s="20"/>
      <c r="AD78" s="20"/>
      <c r="AE78" s="20">
        <v>28.57</v>
      </c>
      <c r="AF78" s="20"/>
      <c r="AG78" s="20"/>
      <c r="AH78" s="10">
        <f t="shared" si="75"/>
        <v>164480.75999999998</v>
      </c>
      <c r="AI78" s="1093">
        <f t="shared" si="77"/>
        <v>82476.14</v>
      </c>
      <c r="AJ78" s="1093">
        <f t="shared" si="77"/>
        <v>16485.86</v>
      </c>
      <c r="AK78" s="1093">
        <f t="shared" si="77"/>
        <v>9818.7199999999993</v>
      </c>
      <c r="AL78" s="1093">
        <f t="shared" si="77"/>
        <v>2940.54</v>
      </c>
      <c r="AM78" s="1093">
        <f t="shared" si="77"/>
        <v>46624.2</v>
      </c>
      <c r="AN78" s="1093">
        <f t="shared" si="78"/>
        <v>6135.3</v>
      </c>
    </row>
    <row r="79" spans="1:40">
      <c r="A79" s="2" t="s">
        <v>4</v>
      </c>
      <c r="B79" s="20">
        <f t="shared" ref="B79:N79" si="81">B9+B44</f>
        <v>0</v>
      </c>
      <c r="C79" s="20">
        <f t="shared" si="81"/>
        <v>0</v>
      </c>
      <c r="D79" s="20">
        <f t="shared" si="81"/>
        <v>0</v>
      </c>
      <c r="E79" s="20">
        <f t="shared" si="81"/>
        <v>0</v>
      </c>
      <c r="F79" s="20">
        <f t="shared" si="81"/>
        <v>0</v>
      </c>
      <c r="G79" s="20">
        <f t="shared" si="81"/>
        <v>0</v>
      </c>
      <c r="H79" s="20">
        <f t="shared" si="81"/>
        <v>0</v>
      </c>
      <c r="I79" s="20">
        <f t="shared" si="81"/>
        <v>0</v>
      </c>
      <c r="J79" s="20">
        <f t="shared" si="81"/>
        <v>0</v>
      </c>
      <c r="K79" s="20">
        <f t="shared" si="81"/>
        <v>0</v>
      </c>
      <c r="L79" s="20">
        <f t="shared" si="81"/>
        <v>0</v>
      </c>
      <c r="M79" s="20">
        <f t="shared" si="81"/>
        <v>0</v>
      </c>
      <c r="N79" s="20">
        <f t="shared" si="81"/>
        <v>0</v>
      </c>
      <c r="O79" s="10">
        <f t="shared" si="74"/>
        <v>0</v>
      </c>
      <c r="R79" s="2" t="s">
        <v>91</v>
      </c>
      <c r="S79" s="20">
        <v>290192.96999999997</v>
      </c>
      <c r="T79" s="20">
        <v>66489.490000000005</v>
      </c>
      <c r="U79" s="20">
        <v>45083.07</v>
      </c>
      <c r="V79" s="20">
        <v>3387.54</v>
      </c>
      <c r="W79" s="20">
        <v>150353.25</v>
      </c>
      <c r="X79" s="20">
        <v>2938.5</v>
      </c>
      <c r="Y79" s="20">
        <v>9420.9500000000007</v>
      </c>
      <c r="Z79" s="20"/>
      <c r="AA79" s="20">
        <v>9161.59</v>
      </c>
      <c r="AB79" s="20">
        <v>293.85000000000002</v>
      </c>
      <c r="AC79" s="20"/>
      <c r="AD79" s="20"/>
      <c r="AE79" s="20">
        <v>228.56</v>
      </c>
      <c r="AF79" s="20">
        <v>62.93</v>
      </c>
      <c r="AG79" s="20">
        <v>629.33000000000004</v>
      </c>
      <c r="AH79" s="10">
        <f t="shared" si="75"/>
        <v>578242.02999999991</v>
      </c>
      <c r="AI79" s="1093">
        <f t="shared" si="77"/>
        <v>290192.96999999997</v>
      </c>
      <c r="AJ79" s="1093">
        <f t="shared" si="77"/>
        <v>66489.490000000005</v>
      </c>
      <c r="AK79" s="1093">
        <f t="shared" si="77"/>
        <v>45083.07</v>
      </c>
      <c r="AL79" s="1093">
        <f t="shared" si="77"/>
        <v>3387.54</v>
      </c>
      <c r="AM79" s="1093">
        <f t="shared" si="77"/>
        <v>150353.25</v>
      </c>
      <c r="AN79" s="1093">
        <f t="shared" si="78"/>
        <v>22735.710000000003</v>
      </c>
    </row>
    <row r="80" spans="1:40">
      <c r="A80" s="2" t="s">
        <v>5</v>
      </c>
      <c r="B80" s="20">
        <f t="shared" ref="B80:N80" si="82">B10+B45</f>
        <v>0</v>
      </c>
      <c r="C80" s="20">
        <f t="shared" si="82"/>
        <v>0</v>
      </c>
      <c r="D80" s="20">
        <f t="shared" si="82"/>
        <v>0</v>
      </c>
      <c r="E80" s="20">
        <f t="shared" si="82"/>
        <v>0</v>
      </c>
      <c r="F80" s="20">
        <f t="shared" si="82"/>
        <v>0</v>
      </c>
      <c r="G80" s="20">
        <f t="shared" si="82"/>
        <v>0</v>
      </c>
      <c r="H80" s="20">
        <f t="shared" si="82"/>
        <v>0</v>
      </c>
      <c r="I80" s="20">
        <f t="shared" si="82"/>
        <v>0</v>
      </c>
      <c r="J80" s="20">
        <f t="shared" si="82"/>
        <v>0</v>
      </c>
      <c r="K80" s="20">
        <f t="shared" si="82"/>
        <v>0</v>
      </c>
      <c r="L80" s="20">
        <f t="shared" si="82"/>
        <v>0</v>
      </c>
      <c r="M80" s="20">
        <f t="shared" si="82"/>
        <v>0</v>
      </c>
      <c r="N80" s="20">
        <f t="shared" si="82"/>
        <v>0</v>
      </c>
      <c r="O80" s="10">
        <f t="shared" si="74"/>
        <v>0</v>
      </c>
      <c r="R80" s="2" t="s">
        <v>92</v>
      </c>
      <c r="S80" s="20">
        <v>154805.78</v>
      </c>
      <c r="T80" s="20">
        <v>16478.009999999998</v>
      </c>
      <c r="U80" s="20">
        <v>17539.900000000001</v>
      </c>
      <c r="V80" s="20">
        <v>1000.92</v>
      </c>
      <c r="W80" s="20">
        <v>86391.9</v>
      </c>
      <c r="X80" s="20">
        <v>2448.75</v>
      </c>
      <c r="Y80" s="20">
        <v>1640.54</v>
      </c>
      <c r="Z80" s="20">
        <v>5562.72</v>
      </c>
      <c r="AA80" s="20">
        <v>2558.9499999999998</v>
      </c>
      <c r="AB80" s="20">
        <v>881.55</v>
      </c>
      <c r="AC80" s="20"/>
      <c r="AD80" s="20"/>
      <c r="AE80" s="20">
        <v>85.71</v>
      </c>
      <c r="AF80" s="20"/>
      <c r="AG80" s="20"/>
      <c r="AH80" s="10">
        <f t="shared" si="75"/>
        <v>289394.73</v>
      </c>
      <c r="AI80" s="1093">
        <f t="shared" si="77"/>
        <v>154805.78</v>
      </c>
      <c r="AJ80" s="1093">
        <f t="shared" si="77"/>
        <v>16478.009999999998</v>
      </c>
      <c r="AK80" s="1093">
        <f t="shared" si="77"/>
        <v>17539.900000000001</v>
      </c>
      <c r="AL80" s="1093">
        <f t="shared" si="77"/>
        <v>1000.92</v>
      </c>
      <c r="AM80" s="1093">
        <f t="shared" si="77"/>
        <v>86391.9</v>
      </c>
      <c r="AN80" s="1093">
        <f t="shared" si="78"/>
        <v>13178.219999999998</v>
      </c>
    </row>
    <row r="81" spans="1:40">
      <c r="A81" s="2" t="s">
        <v>6</v>
      </c>
      <c r="B81" s="20">
        <f t="shared" ref="B81:N81" si="83">B11+B46</f>
        <v>0</v>
      </c>
      <c r="C81" s="20">
        <f t="shared" si="83"/>
        <v>0</v>
      </c>
      <c r="D81" s="20">
        <f t="shared" si="83"/>
        <v>0</v>
      </c>
      <c r="E81" s="20">
        <f t="shared" si="83"/>
        <v>0</v>
      </c>
      <c r="F81" s="20">
        <f t="shared" si="83"/>
        <v>0</v>
      </c>
      <c r="G81" s="20">
        <f t="shared" si="83"/>
        <v>0</v>
      </c>
      <c r="H81" s="20">
        <f t="shared" si="83"/>
        <v>0</v>
      </c>
      <c r="I81" s="20">
        <f t="shared" si="83"/>
        <v>0</v>
      </c>
      <c r="J81" s="20">
        <f t="shared" si="83"/>
        <v>0</v>
      </c>
      <c r="K81" s="20">
        <f t="shared" si="83"/>
        <v>0</v>
      </c>
      <c r="L81" s="20">
        <f t="shared" si="83"/>
        <v>0</v>
      </c>
      <c r="M81" s="20">
        <f t="shared" si="83"/>
        <v>0</v>
      </c>
      <c r="N81" s="20">
        <f t="shared" si="83"/>
        <v>0</v>
      </c>
      <c r="O81" s="10">
        <f t="shared" si="74"/>
        <v>0</v>
      </c>
      <c r="R81" s="2" t="s">
        <v>93</v>
      </c>
      <c r="S81" s="20">
        <v>492077.98</v>
      </c>
      <c r="T81" s="20">
        <v>55093.9</v>
      </c>
      <c r="U81" s="20">
        <v>43003.360000000001</v>
      </c>
      <c r="V81" s="20">
        <v>4543.8900000000003</v>
      </c>
      <c r="W81" s="20">
        <v>118323.6</v>
      </c>
      <c r="X81" s="20">
        <v>3036.45</v>
      </c>
      <c r="Y81" s="20">
        <v>7861.79</v>
      </c>
      <c r="Z81" s="20">
        <v>1105.56</v>
      </c>
      <c r="AA81" s="20">
        <v>7518.84</v>
      </c>
      <c r="AB81" s="20">
        <v>685.65</v>
      </c>
      <c r="AC81" s="20"/>
      <c r="AD81" s="20"/>
      <c r="AE81" s="20">
        <v>114.28</v>
      </c>
      <c r="AF81" s="20"/>
      <c r="AG81" s="20"/>
      <c r="AH81" s="10">
        <f t="shared" si="75"/>
        <v>733365.3</v>
      </c>
      <c r="AI81" s="1093">
        <f t="shared" si="77"/>
        <v>492077.98</v>
      </c>
      <c r="AJ81" s="1093">
        <f t="shared" si="77"/>
        <v>55093.9</v>
      </c>
      <c r="AK81" s="1093">
        <f t="shared" si="77"/>
        <v>43003.360000000001</v>
      </c>
      <c r="AL81" s="1093">
        <f t="shared" si="77"/>
        <v>4543.8900000000003</v>
      </c>
      <c r="AM81" s="1093">
        <f t="shared" si="77"/>
        <v>118323.6</v>
      </c>
      <c r="AN81" s="1093">
        <f t="shared" si="78"/>
        <v>20322.57</v>
      </c>
    </row>
    <row r="82" spans="1:40">
      <c r="A82" s="2" t="s">
        <v>7</v>
      </c>
      <c r="B82" s="20">
        <f t="shared" ref="B82:N82" si="84">B12+B47</f>
        <v>0</v>
      </c>
      <c r="C82" s="20">
        <f t="shared" si="84"/>
        <v>0</v>
      </c>
      <c r="D82" s="20">
        <f t="shared" si="84"/>
        <v>0</v>
      </c>
      <c r="E82" s="20">
        <f t="shared" si="84"/>
        <v>0</v>
      </c>
      <c r="F82" s="20">
        <f t="shared" si="84"/>
        <v>0</v>
      </c>
      <c r="G82" s="20">
        <f t="shared" si="84"/>
        <v>0</v>
      </c>
      <c r="H82" s="20">
        <f t="shared" si="84"/>
        <v>0</v>
      </c>
      <c r="I82" s="20">
        <f t="shared" si="84"/>
        <v>0</v>
      </c>
      <c r="J82" s="20">
        <f t="shared" si="84"/>
        <v>0</v>
      </c>
      <c r="K82" s="20">
        <f t="shared" si="84"/>
        <v>0</v>
      </c>
      <c r="L82" s="20">
        <f t="shared" si="84"/>
        <v>0</v>
      </c>
      <c r="M82" s="20">
        <f t="shared" si="84"/>
        <v>0</v>
      </c>
      <c r="N82" s="20">
        <f t="shared" si="84"/>
        <v>0</v>
      </c>
      <c r="O82" s="10">
        <f t="shared" si="74"/>
        <v>0</v>
      </c>
      <c r="R82" s="2" t="s">
        <v>94</v>
      </c>
      <c r="S82" s="20">
        <v>342684.23</v>
      </c>
      <c r="T82" s="20">
        <v>32330.75</v>
      </c>
      <c r="U82" s="20">
        <v>57091.040000000001</v>
      </c>
      <c r="V82" s="20">
        <v>3637.99</v>
      </c>
      <c r="W82" s="20">
        <v>98635.65</v>
      </c>
      <c r="X82" s="20">
        <v>2056.9499999999998</v>
      </c>
      <c r="Y82" s="20">
        <v>7874.61</v>
      </c>
      <c r="Z82" s="20">
        <v>1484.49</v>
      </c>
      <c r="AA82" s="20">
        <v>2469.4899999999998</v>
      </c>
      <c r="AB82" s="20"/>
      <c r="AC82" s="20"/>
      <c r="AD82" s="20"/>
      <c r="AE82" s="20"/>
      <c r="AF82" s="20"/>
      <c r="AG82" s="20"/>
      <c r="AH82" s="10">
        <f t="shared" si="75"/>
        <v>548265.19999999984</v>
      </c>
      <c r="AI82" s="1093">
        <f t="shared" si="77"/>
        <v>342684.23</v>
      </c>
      <c r="AJ82" s="1093">
        <f t="shared" si="77"/>
        <v>32330.75</v>
      </c>
      <c r="AK82" s="1093">
        <f t="shared" si="77"/>
        <v>57091.040000000001</v>
      </c>
      <c r="AL82" s="1093">
        <f t="shared" si="77"/>
        <v>3637.99</v>
      </c>
      <c r="AM82" s="1093">
        <f t="shared" si="77"/>
        <v>98635.65</v>
      </c>
      <c r="AN82" s="1093">
        <f t="shared" si="78"/>
        <v>13885.539999999999</v>
      </c>
    </row>
    <row r="83" spans="1:40">
      <c r="A83" s="2" t="s">
        <v>8</v>
      </c>
      <c r="B83" s="20">
        <f t="shared" ref="B83:N83" si="85">B13+B48</f>
        <v>0</v>
      </c>
      <c r="C83" s="20">
        <f t="shared" si="85"/>
        <v>0</v>
      </c>
      <c r="D83" s="20">
        <f t="shared" si="85"/>
        <v>0</v>
      </c>
      <c r="E83" s="20">
        <f t="shared" si="85"/>
        <v>0</v>
      </c>
      <c r="F83" s="20">
        <f t="shared" si="85"/>
        <v>0</v>
      </c>
      <c r="G83" s="20">
        <f t="shared" si="85"/>
        <v>0</v>
      </c>
      <c r="H83" s="20">
        <f t="shared" si="85"/>
        <v>0</v>
      </c>
      <c r="I83" s="20">
        <f t="shared" si="85"/>
        <v>0</v>
      </c>
      <c r="J83" s="20">
        <f t="shared" si="85"/>
        <v>0</v>
      </c>
      <c r="K83" s="20">
        <f t="shared" si="85"/>
        <v>0</v>
      </c>
      <c r="L83" s="20">
        <f t="shared" si="85"/>
        <v>0</v>
      </c>
      <c r="M83" s="20">
        <f t="shared" si="85"/>
        <v>0</v>
      </c>
      <c r="N83" s="20">
        <f t="shared" si="85"/>
        <v>0</v>
      </c>
      <c r="O83" s="10">
        <f t="shared" si="74"/>
        <v>0</v>
      </c>
      <c r="R83" s="2" t="s">
        <v>95</v>
      </c>
      <c r="S83" s="20">
        <v>263553.43</v>
      </c>
      <c r="T83" s="20">
        <v>42656.25</v>
      </c>
      <c r="U83" s="20">
        <v>38474.97</v>
      </c>
      <c r="V83" s="20">
        <v>8065.94</v>
      </c>
      <c r="W83" s="20">
        <v>202560.6</v>
      </c>
      <c r="X83" s="20">
        <v>2546.6999999999998</v>
      </c>
      <c r="Y83" s="20">
        <v>6501.44</v>
      </c>
      <c r="Z83" s="20">
        <v>2441.65</v>
      </c>
      <c r="AA83" s="20">
        <v>5313.71</v>
      </c>
      <c r="AB83" s="20">
        <v>97.95</v>
      </c>
      <c r="AC83" s="20"/>
      <c r="AD83" s="20"/>
      <c r="AE83" s="20">
        <v>57.14</v>
      </c>
      <c r="AF83" s="20"/>
      <c r="AG83" s="20"/>
      <c r="AH83" s="10">
        <f t="shared" si="75"/>
        <v>572269.77999999991</v>
      </c>
      <c r="AI83" s="1093">
        <f t="shared" si="77"/>
        <v>263553.43</v>
      </c>
      <c r="AJ83" s="1093">
        <f t="shared" si="77"/>
        <v>42656.25</v>
      </c>
      <c r="AK83" s="1093">
        <f t="shared" si="77"/>
        <v>38474.97</v>
      </c>
      <c r="AL83" s="1093">
        <f t="shared" si="77"/>
        <v>8065.94</v>
      </c>
      <c r="AM83" s="1093">
        <f t="shared" si="77"/>
        <v>202560.6</v>
      </c>
      <c r="AN83" s="1093">
        <f t="shared" si="78"/>
        <v>16958.59</v>
      </c>
    </row>
    <row r="84" spans="1:40">
      <c r="A84" s="2" t="s">
        <v>9</v>
      </c>
      <c r="B84" s="20">
        <f t="shared" ref="B84:N84" si="86">B14+B49</f>
        <v>0</v>
      </c>
      <c r="C84" s="20">
        <f t="shared" si="86"/>
        <v>0</v>
      </c>
      <c r="D84" s="20">
        <f t="shared" si="86"/>
        <v>0</v>
      </c>
      <c r="E84" s="20">
        <f t="shared" si="86"/>
        <v>0</v>
      </c>
      <c r="F84" s="20">
        <f t="shared" si="86"/>
        <v>0</v>
      </c>
      <c r="G84" s="20">
        <f t="shared" si="86"/>
        <v>0</v>
      </c>
      <c r="H84" s="20">
        <f t="shared" si="86"/>
        <v>0</v>
      </c>
      <c r="I84" s="20">
        <f t="shared" si="86"/>
        <v>0</v>
      </c>
      <c r="J84" s="20">
        <f t="shared" si="86"/>
        <v>0</v>
      </c>
      <c r="K84" s="20">
        <f t="shared" si="86"/>
        <v>0</v>
      </c>
      <c r="L84" s="20">
        <f t="shared" si="86"/>
        <v>0</v>
      </c>
      <c r="M84" s="20">
        <f t="shared" si="86"/>
        <v>0</v>
      </c>
      <c r="N84" s="20">
        <f t="shared" si="86"/>
        <v>0</v>
      </c>
      <c r="O84" s="10">
        <f t="shared" si="74"/>
        <v>0</v>
      </c>
      <c r="R84" s="2" t="s">
        <v>96</v>
      </c>
      <c r="S84" s="20">
        <v>71643.19</v>
      </c>
      <c r="T84" s="20">
        <v>26844.22</v>
      </c>
      <c r="U84" s="20">
        <v>8402.11</v>
      </c>
      <c r="V84" s="20">
        <v>915.94</v>
      </c>
      <c r="W84" s="20">
        <v>37416.9</v>
      </c>
      <c r="X84" s="20">
        <v>1175.4000000000001</v>
      </c>
      <c r="Y84" s="20">
        <v>2760.77</v>
      </c>
      <c r="Z84" s="20"/>
      <c r="AA84" s="20">
        <v>3545.82</v>
      </c>
      <c r="AB84" s="20">
        <v>293.85000000000002</v>
      </c>
      <c r="AC84" s="20"/>
      <c r="AD84" s="20"/>
      <c r="AE84" s="20"/>
      <c r="AF84" s="20"/>
      <c r="AG84" s="20"/>
      <c r="AH84" s="10">
        <f t="shared" si="75"/>
        <v>152998.20000000001</v>
      </c>
      <c r="AI84" s="1093">
        <f t="shared" si="77"/>
        <v>71643.19</v>
      </c>
      <c r="AJ84" s="1093">
        <f t="shared" si="77"/>
        <v>26844.22</v>
      </c>
      <c r="AK84" s="1093">
        <f t="shared" si="77"/>
        <v>8402.11</v>
      </c>
      <c r="AL84" s="1093">
        <f t="shared" si="77"/>
        <v>915.94</v>
      </c>
      <c r="AM84" s="1093">
        <f t="shared" si="77"/>
        <v>37416.9</v>
      </c>
      <c r="AN84" s="1093">
        <f t="shared" si="78"/>
        <v>7775.84</v>
      </c>
    </row>
    <row r="85" spans="1:40">
      <c r="A85" s="2" t="s">
        <v>10</v>
      </c>
      <c r="B85" s="20">
        <f t="shared" ref="B85:N85" si="87">B15+B50</f>
        <v>0</v>
      </c>
      <c r="C85" s="20">
        <f t="shared" si="87"/>
        <v>0</v>
      </c>
      <c r="D85" s="20">
        <f t="shared" si="87"/>
        <v>0</v>
      </c>
      <c r="E85" s="20">
        <f t="shared" si="87"/>
        <v>0</v>
      </c>
      <c r="F85" s="20">
        <f t="shared" si="87"/>
        <v>0</v>
      </c>
      <c r="G85" s="20">
        <f t="shared" si="87"/>
        <v>0</v>
      </c>
      <c r="H85" s="20">
        <f t="shared" si="87"/>
        <v>0</v>
      </c>
      <c r="I85" s="20">
        <f t="shared" si="87"/>
        <v>0</v>
      </c>
      <c r="J85" s="20">
        <f t="shared" si="87"/>
        <v>0</v>
      </c>
      <c r="K85" s="20">
        <f t="shared" si="87"/>
        <v>0</v>
      </c>
      <c r="L85" s="20">
        <f t="shared" si="87"/>
        <v>0</v>
      </c>
      <c r="M85" s="20">
        <f t="shared" si="87"/>
        <v>0</v>
      </c>
      <c r="N85" s="20">
        <f t="shared" si="87"/>
        <v>0</v>
      </c>
      <c r="O85" s="10">
        <f t="shared" si="74"/>
        <v>0</v>
      </c>
      <c r="R85" s="2" t="s">
        <v>97</v>
      </c>
      <c r="S85" s="20">
        <v>199352.69</v>
      </c>
      <c r="T85" s="20">
        <v>21242.400000000001</v>
      </c>
      <c r="U85" s="20">
        <v>33703.269999999997</v>
      </c>
      <c r="V85" s="20">
        <v>3537.9</v>
      </c>
      <c r="W85" s="20">
        <v>213919.61</v>
      </c>
      <c r="X85" s="20">
        <v>1665.15</v>
      </c>
      <c r="Y85" s="20">
        <v>1891.86</v>
      </c>
      <c r="Z85" s="20"/>
      <c r="AA85" s="20">
        <v>4241.07</v>
      </c>
      <c r="AB85" s="20">
        <v>97.95</v>
      </c>
      <c r="AC85" s="20"/>
      <c r="AD85" s="20"/>
      <c r="AE85" s="20">
        <v>85.71</v>
      </c>
      <c r="AF85" s="20"/>
      <c r="AG85" s="20"/>
      <c r="AH85" s="10">
        <f t="shared" si="75"/>
        <v>479737.61000000004</v>
      </c>
      <c r="AI85" s="1093">
        <f t="shared" si="77"/>
        <v>199352.69</v>
      </c>
      <c r="AJ85" s="1093">
        <f t="shared" si="77"/>
        <v>21242.400000000001</v>
      </c>
      <c r="AK85" s="1093">
        <f t="shared" si="77"/>
        <v>33703.269999999997</v>
      </c>
      <c r="AL85" s="1093">
        <f t="shared" si="77"/>
        <v>3537.9</v>
      </c>
      <c r="AM85" s="1093">
        <f t="shared" si="77"/>
        <v>213919.61</v>
      </c>
      <c r="AN85" s="1093">
        <f t="shared" si="78"/>
        <v>7981.74</v>
      </c>
    </row>
    <row r="86" spans="1:40">
      <c r="A86" s="2" t="s">
        <v>11</v>
      </c>
      <c r="B86" s="20">
        <f t="shared" ref="B86:N86" si="88">B16+B51</f>
        <v>0</v>
      </c>
      <c r="C86" s="20">
        <f t="shared" si="88"/>
        <v>0</v>
      </c>
      <c r="D86" s="20">
        <f t="shared" si="88"/>
        <v>0</v>
      </c>
      <c r="E86" s="20">
        <f t="shared" si="88"/>
        <v>0</v>
      </c>
      <c r="F86" s="20">
        <f t="shared" si="88"/>
        <v>0</v>
      </c>
      <c r="G86" s="20">
        <f t="shared" si="88"/>
        <v>0</v>
      </c>
      <c r="H86" s="20">
        <f t="shared" si="88"/>
        <v>0</v>
      </c>
      <c r="I86" s="20">
        <f t="shared" si="88"/>
        <v>0</v>
      </c>
      <c r="J86" s="20">
        <f t="shared" si="88"/>
        <v>0</v>
      </c>
      <c r="K86" s="20">
        <f t="shared" si="88"/>
        <v>0</v>
      </c>
      <c r="L86" s="20">
        <f t="shared" si="88"/>
        <v>0</v>
      </c>
      <c r="M86" s="20">
        <f t="shared" si="88"/>
        <v>0</v>
      </c>
      <c r="N86" s="20">
        <f t="shared" si="88"/>
        <v>0</v>
      </c>
      <c r="O86" s="10">
        <f t="shared" si="74"/>
        <v>0</v>
      </c>
      <c r="R86" s="2" t="s">
        <v>98</v>
      </c>
      <c r="S86" s="20">
        <v>140750.32999999999</v>
      </c>
      <c r="T86" s="20">
        <v>24809.49</v>
      </c>
      <c r="U86" s="20">
        <v>21271.93</v>
      </c>
      <c r="V86" s="20">
        <v>2773.71</v>
      </c>
      <c r="W86" s="20">
        <v>148100.4</v>
      </c>
      <c r="X86" s="20">
        <v>2742.6</v>
      </c>
      <c r="Y86" s="20">
        <v>3354.43</v>
      </c>
      <c r="Z86" s="20">
        <v>730.19</v>
      </c>
      <c r="AA86" s="20">
        <v>3301.37</v>
      </c>
      <c r="AB86" s="20">
        <v>685.65</v>
      </c>
      <c r="AC86" s="20"/>
      <c r="AD86" s="20">
        <v>308.41000000000003</v>
      </c>
      <c r="AE86" s="20">
        <v>57.14</v>
      </c>
      <c r="AF86" s="20">
        <v>40.39</v>
      </c>
      <c r="AG86" s="20"/>
      <c r="AH86" s="10">
        <f t="shared" si="75"/>
        <v>348926.04</v>
      </c>
      <c r="AI86" s="1093">
        <f t="shared" si="77"/>
        <v>140750.32999999999</v>
      </c>
      <c r="AJ86" s="1093">
        <f t="shared" si="77"/>
        <v>24809.49</v>
      </c>
      <c r="AK86" s="1093">
        <f t="shared" si="77"/>
        <v>21271.93</v>
      </c>
      <c r="AL86" s="1093">
        <f t="shared" si="77"/>
        <v>2773.71</v>
      </c>
      <c r="AM86" s="1093">
        <f t="shared" si="77"/>
        <v>148100.4</v>
      </c>
      <c r="AN86" s="1093">
        <f t="shared" si="78"/>
        <v>11220.179999999998</v>
      </c>
    </row>
    <row r="87" spans="1:40">
      <c r="A87" s="2" t="s">
        <v>12</v>
      </c>
      <c r="B87" s="20">
        <f t="shared" ref="B87:N87" si="89">B17+B52</f>
        <v>0</v>
      </c>
      <c r="C87" s="20">
        <f t="shared" si="89"/>
        <v>0</v>
      </c>
      <c r="D87" s="20">
        <f t="shared" si="89"/>
        <v>0</v>
      </c>
      <c r="E87" s="20">
        <f t="shared" si="89"/>
        <v>0</v>
      </c>
      <c r="F87" s="20">
        <f t="shared" si="89"/>
        <v>0</v>
      </c>
      <c r="G87" s="20">
        <f t="shared" si="89"/>
        <v>0</v>
      </c>
      <c r="H87" s="20">
        <f t="shared" si="89"/>
        <v>0</v>
      </c>
      <c r="I87" s="20">
        <f t="shared" si="89"/>
        <v>0</v>
      </c>
      <c r="J87" s="20">
        <f t="shared" si="89"/>
        <v>0</v>
      </c>
      <c r="K87" s="20">
        <f t="shared" si="89"/>
        <v>0</v>
      </c>
      <c r="L87" s="20">
        <f t="shared" si="89"/>
        <v>0</v>
      </c>
      <c r="M87" s="20">
        <f t="shared" si="89"/>
        <v>0</v>
      </c>
      <c r="N87" s="20">
        <f t="shared" si="89"/>
        <v>0</v>
      </c>
      <c r="O87" s="10">
        <f t="shared" si="74"/>
        <v>0</v>
      </c>
      <c r="R87" s="2" t="s">
        <v>99</v>
      </c>
      <c r="S87" s="20">
        <v>818363.24</v>
      </c>
      <c r="T87" s="20">
        <v>179713.74</v>
      </c>
      <c r="U87" s="20">
        <v>118377.08</v>
      </c>
      <c r="V87" s="20">
        <v>24241.85</v>
      </c>
      <c r="W87" s="20">
        <v>354383.1</v>
      </c>
      <c r="X87" s="20">
        <v>5191.3500000000004</v>
      </c>
      <c r="Y87" s="20">
        <v>28183.47</v>
      </c>
      <c r="Z87" s="20"/>
      <c r="AA87" s="20">
        <v>22198.29</v>
      </c>
      <c r="AB87" s="20">
        <v>3526.2</v>
      </c>
      <c r="AC87" s="20"/>
      <c r="AD87" s="20"/>
      <c r="AE87" s="20">
        <v>657.11</v>
      </c>
      <c r="AF87" s="20"/>
      <c r="AG87" s="20"/>
      <c r="AH87" s="10">
        <f t="shared" si="75"/>
        <v>1554835.4300000004</v>
      </c>
      <c r="AI87" s="1093">
        <f t="shared" si="77"/>
        <v>818363.24</v>
      </c>
      <c r="AJ87" s="1093">
        <f t="shared" si="77"/>
        <v>179713.74</v>
      </c>
      <c r="AK87" s="1093">
        <f t="shared" si="77"/>
        <v>118377.08</v>
      </c>
      <c r="AL87" s="1093">
        <f t="shared" si="77"/>
        <v>24241.85</v>
      </c>
      <c r="AM87" s="1093">
        <f t="shared" si="77"/>
        <v>354383.1</v>
      </c>
      <c r="AN87" s="1093">
        <f t="shared" si="78"/>
        <v>59756.42</v>
      </c>
    </row>
    <row r="88" spans="1:40">
      <c r="A88" s="2" t="s">
        <v>15</v>
      </c>
      <c r="B88" s="20">
        <f t="shared" ref="B88:N88" si="90">B18+B53</f>
        <v>0</v>
      </c>
      <c r="C88" s="20">
        <f t="shared" si="90"/>
        <v>0</v>
      </c>
      <c r="D88" s="20">
        <f t="shared" si="90"/>
        <v>0</v>
      </c>
      <c r="E88" s="20">
        <f t="shared" si="90"/>
        <v>0</v>
      </c>
      <c r="F88" s="20">
        <f t="shared" si="90"/>
        <v>0</v>
      </c>
      <c r="G88" s="20">
        <f t="shared" si="90"/>
        <v>0</v>
      </c>
      <c r="H88" s="20">
        <f t="shared" si="90"/>
        <v>0</v>
      </c>
      <c r="I88" s="20">
        <f t="shared" si="90"/>
        <v>0</v>
      </c>
      <c r="J88" s="20">
        <f t="shared" si="90"/>
        <v>0</v>
      </c>
      <c r="K88" s="20">
        <f t="shared" si="90"/>
        <v>0</v>
      </c>
      <c r="L88" s="20">
        <f t="shared" si="90"/>
        <v>0</v>
      </c>
      <c r="M88" s="20">
        <f t="shared" si="90"/>
        <v>0</v>
      </c>
      <c r="N88" s="20">
        <f t="shared" si="90"/>
        <v>0</v>
      </c>
      <c r="O88" s="10">
        <f t="shared" si="74"/>
        <v>0</v>
      </c>
      <c r="R88" s="2" t="s">
        <v>100</v>
      </c>
      <c r="S88" s="20">
        <v>113553.85</v>
      </c>
      <c r="T88" s="20">
        <v>36281.89</v>
      </c>
      <c r="U88" s="20">
        <v>11513.9</v>
      </c>
      <c r="V88" s="20">
        <v>2675.48</v>
      </c>
      <c r="W88" s="20">
        <v>53970.45</v>
      </c>
      <c r="X88" s="20">
        <v>1959</v>
      </c>
      <c r="Y88" s="20">
        <v>5486.06</v>
      </c>
      <c r="Z88" s="20"/>
      <c r="AA88" s="20">
        <v>3612.76</v>
      </c>
      <c r="AB88" s="20"/>
      <c r="AC88" s="20"/>
      <c r="AD88" s="20"/>
      <c r="AE88" s="20">
        <v>28.57</v>
      </c>
      <c r="AF88" s="20"/>
      <c r="AG88" s="20"/>
      <c r="AH88" s="10">
        <f t="shared" si="75"/>
        <v>229081.96000000002</v>
      </c>
      <c r="AI88" s="1093">
        <f t="shared" si="77"/>
        <v>113553.85</v>
      </c>
      <c r="AJ88" s="1093">
        <f t="shared" si="77"/>
        <v>36281.89</v>
      </c>
      <c r="AK88" s="1093">
        <f t="shared" si="77"/>
        <v>11513.9</v>
      </c>
      <c r="AL88" s="1093">
        <f t="shared" si="77"/>
        <v>2675.48</v>
      </c>
      <c r="AM88" s="1093">
        <f t="shared" si="77"/>
        <v>53970.45</v>
      </c>
      <c r="AN88" s="1093">
        <f t="shared" si="78"/>
        <v>11086.39</v>
      </c>
    </row>
    <row r="89" spans="1:40">
      <c r="A89" s="2" t="s">
        <v>14</v>
      </c>
      <c r="B89" s="20">
        <f t="shared" ref="B89:N89" si="91">B19+B54</f>
        <v>0</v>
      </c>
      <c r="C89" s="20">
        <f t="shared" si="91"/>
        <v>0</v>
      </c>
      <c r="D89" s="20">
        <f t="shared" si="91"/>
        <v>0</v>
      </c>
      <c r="E89" s="20">
        <f t="shared" si="91"/>
        <v>0</v>
      </c>
      <c r="F89" s="20">
        <f t="shared" si="91"/>
        <v>0</v>
      </c>
      <c r="G89" s="20">
        <f t="shared" si="91"/>
        <v>0</v>
      </c>
      <c r="H89" s="20">
        <f t="shared" si="91"/>
        <v>0</v>
      </c>
      <c r="I89" s="20">
        <f t="shared" si="91"/>
        <v>0</v>
      </c>
      <c r="J89" s="20">
        <f t="shared" si="91"/>
        <v>0</v>
      </c>
      <c r="K89" s="20">
        <f t="shared" si="91"/>
        <v>0</v>
      </c>
      <c r="L89" s="20">
        <f t="shared" si="91"/>
        <v>0</v>
      </c>
      <c r="M89" s="20">
        <f t="shared" si="91"/>
        <v>0</v>
      </c>
      <c r="N89" s="20">
        <f t="shared" si="91"/>
        <v>0</v>
      </c>
      <c r="O89" s="10">
        <f t="shared" si="74"/>
        <v>0</v>
      </c>
      <c r="R89" s="2" t="s">
        <v>101</v>
      </c>
      <c r="S89" s="20">
        <v>125760.37</v>
      </c>
      <c r="T89" s="20">
        <v>31642.27</v>
      </c>
      <c r="U89" s="20">
        <v>13637.67</v>
      </c>
      <c r="V89" s="20">
        <v>5428.06</v>
      </c>
      <c r="W89" s="20">
        <v>72874.8</v>
      </c>
      <c r="X89" s="20">
        <v>1273.3499999999999</v>
      </c>
      <c r="Y89" s="20">
        <v>5477.11</v>
      </c>
      <c r="Z89" s="20">
        <v>580.04999999999995</v>
      </c>
      <c r="AA89" s="20">
        <v>3767.27</v>
      </c>
      <c r="AB89" s="20">
        <v>195.9</v>
      </c>
      <c r="AC89" s="20"/>
      <c r="AD89" s="20"/>
      <c r="AE89" s="20">
        <v>85.71</v>
      </c>
      <c r="AF89" s="20"/>
      <c r="AG89" s="20"/>
      <c r="AH89" s="10">
        <f t="shared" si="75"/>
        <v>260722.55999999994</v>
      </c>
      <c r="AI89" s="1093">
        <f t="shared" si="77"/>
        <v>125760.37</v>
      </c>
      <c r="AJ89" s="1093">
        <f t="shared" si="77"/>
        <v>31642.27</v>
      </c>
      <c r="AK89" s="1093">
        <f t="shared" si="77"/>
        <v>13637.67</v>
      </c>
      <c r="AL89" s="1093">
        <f t="shared" si="77"/>
        <v>5428.06</v>
      </c>
      <c r="AM89" s="1093">
        <f t="shared" si="77"/>
        <v>72874.8</v>
      </c>
      <c r="AN89" s="1093">
        <f t="shared" si="78"/>
        <v>11379.389999999998</v>
      </c>
    </row>
    <row r="90" spans="1:40">
      <c r="A90" s="2" t="s">
        <v>13</v>
      </c>
      <c r="B90" s="20">
        <f t="shared" ref="B90:N90" si="92">B20+B55</f>
        <v>0</v>
      </c>
      <c r="C90" s="20">
        <f t="shared" si="92"/>
        <v>0</v>
      </c>
      <c r="D90" s="20">
        <f t="shared" si="92"/>
        <v>0</v>
      </c>
      <c r="E90" s="20">
        <f t="shared" si="92"/>
        <v>0</v>
      </c>
      <c r="F90" s="20">
        <f t="shared" si="92"/>
        <v>0</v>
      </c>
      <c r="G90" s="20">
        <f t="shared" si="92"/>
        <v>0</v>
      </c>
      <c r="H90" s="20">
        <f t="shared" si="92"/>
        <v>0</v>
      </c>
      <c r="I90" s="20">
        <f t="shared" si="92"/>
        <v>0</v>
      </c>
      <c r="J90" s="20">
        <f t="shared" si="92"/>
        <v>0</v>
      </c>
      <c r="K90" s="20">
        <f t="shared" si="92"/>
        <v>0</v>
      </c>
      <c r="L90" s="20">
        <f t="shared" si="92"/>
        <v>0</v>
      </c>
      <c r="M90" s="20">
        <f t="shared" si="92"/>
        <v>0</v>
      </c>
      <c r="N90" s="20">
        <f t="shared" si="92"/>
        <v>0</v>
      </c>
      <c r="O90" s="10">
        <f t="shared" si="74"/>
        <v>0</v>
      </c>
      <c r="R90" s="2" t="s">
        <v>102</v>
      </c>
      <c r="S90" s="20">
        <v>704920.02</v>
      </c>
      <c r="T90" s="20">
        <v>144178.41</v>
      </c>
      <c r="U90" s="20">
        <v>133014.57999999999</v>
      </c>
      <c r="V90" s="20">
        <v>38248.92</v>
      </c>
      <c r="W90" s="20">
        <v>531182.85</v>
      </c>
      <c r="X90" s="20">
        <v>11460.15</v>
      </c>
      <c r="Y90" s="20">
        <v>23476.83</v>
      </c>
      <c r="Z90" s="20"/>
      <c r="AA90" s="20">
        <v>20096.439999999999</v>
      </c>
      <c r="AB90" s="20">
        <v>3330.3</v>
      </c>
      <c r="AC90" s="20"/>
      <c r="AD90" s="20"/>
      <c r="AE90" s="20">
        <v>342.84</v>
      </c>
      <c r="AF90" s="20"/>
      <c r="AG90" s="20"/>
      <c r="AH90" s="10">
        <f t="shared" si="75"/>
        <v>1610251.34</v>
      </c>
      <c r="AI90" s="1093">
        <f t="shared" si="77"/>
        <v>704920.02</v>
      </c>
      <c r="AJ90" s="1093">
        <f t="shared" si="77"/>
        <v>144178.41</v>
      </c>
      <c r="AK90" s="1093">
        <f t="shared" si="77"/>
        <v>133014.57999999999</v>
      </c>
      <c r="AL90" s="1093">
        <f t="shared" si="77"/>
        <v>38248.92</v>
      </c>
      <c r="AM90" s="1093">
        <f t="shared" si="77"/>
        <v>531182.85</v>
      </c>
      <c r="AN90" s="1093">
        <f t="shared" si="78"/>
        <v>58706.559999999998</v>
      </c>
    </row>
    <row r="91" spans="1:40">
      <c r="A91" s="2" t="s">
        <v>16</v>
      </c>
      <c r="B91" s="20">
        <f t="shared" ref="B91:N91" si="93">B21+B56</f>
        <v>0</v>
      </c>
      <c r="C91" s="20">
        <f t="shared" si="93"/>
        <v>0</v>
      </c>
      <c r="D91" s="20">
        <f t="shared" si="93"/>
        <v>0</v>
      </c>
      <c r="E91" s="20">
        <f t="shared" si="93"/>
        <v>0</v>
      </c>
      <c r="F91" s="20">
        <f t="shared" si="93"/>
        <v>0</v>
      </c>
      <c r="G91" s="20">
        <f t="shared" si="93"/>
        <v>0</v>
      </c>
      <c r="H91" s="20">
        <f t="shared" si="93"/>
        <v>0</v>
      </c>
      <c r="I91" s="20">
        <f t="shared" si="93"/>
        <v>0</v>
      </c>
      <c r="J91" s="20">
        <f t="shared" si="93"/>
        <v>0</v>
      </c>
      <c r="K91" s="20">
        <f t="shared" si="93"/>
        <v>0</v>
      </c>
      <c r="L91" s="20">
        <f t="shared" si="93"/>
        <v>0</v>
      </c>
      <c r="M91" s="20">
        <f t="shared" si="93"/>
        <v>0</v>
      </c>
      <c r="N91" s="20">
        <f t="shared" si="93"/>
        <v>0</v>
      </c>
      <c r="O91" s="10">
        <f t="shared" si="74"/>
        <v>0</v>
      </c>
      <c r="R91" s="2" t="s">
        <v>103</v>
      </c>
      <c r="S91" s="20">
        <v>276643.37</v>
      </c>
      <c r="T91" s="20">
        <v>53274.84</v>
      </c>
      <c r="U91" s="20">
        <v>35710.720000000001</v>
      </c>
      <c r="V91" s="20">
        <v>6911.45</v>
      </c>
      <c r="W91" s="20">
        <v>129098.1</v>
      </c>
      <c r="X91" s="20">
        <v>4603.6499999999996</v>
      </c>
      <c r="Y91" s="20">
        <v>6843.73</v>
      </c>
      <c r="Z91" s="20"/>
      <c r="AA91" s="20">
        <v>8442.6</v>
      </c>
      <c r="AB91" s="20">
        <v>97.95</v>
      </c>
      <c r="AC91" s="20"/>
      <c r="AD91" s="20"/>
      <c r="AE91" s="20">
        <v>257.13</v>
      </c>
      <c r="AF91" s="20"/>
      <c r="AG91" s="20"/>
      <c r="AH91" s="10">
        <f t="shared" si="75"/>
        <v>521883.54</v>
      </c>
      <c r="AI91" s="1093">
        <f t="shared" si="77"/>
        <v>276643.37</v>
      </c>
      <c r="AJ91" s="1093">
        <f t="shared" si="77"/>
        <v>53274.84</v>
      </c>
      <c r="AK91" s="1093">
        <f t="shared" si="77"/>
        <v>35710.720000000001</v>
      </c>
      <c r="AL91" s="1093">
        <f t="shared" si="77"/>
        <v>6911.45</v>
      </c>
      <c r="AM91" s="1093">
        <f t="shared" si="77"/>
        <v>129098.1</v>
      </c>
      <c r="AN91" s="1093">
        <f t="shared" si="78"/>
        <v>20245.060000000001</v>
      </c>
    </row>
    <row r="92" spans="1:40">
      <c r="A92" s="2" t="s">
        <v>17</v>
      </c>
      <c r="B92" s="20">
        <f t="shared" ref="B92:N92" si="94">B22+B57</f>
        <v>0</v>
      </c>
      <c r="C92" s="20">
        <f t="shared" si="94"/>
        <v>0</v>
      </c>
      <c r="D92" s="20">
        <f t="shared" si="94"/>
        <v>0</v>
      </c>
      <c r="E92" s="20">
        <f t="shared" si="94"/>
        <v>0</v>
      </c>
      <c r="F92" s="20">
        <f t="shared" si="94"/>
        <v>0</v>
      </c>
      <c r="G92" s="20">
        <f t="shared" si="94"/>
        <v>0</v>
      </c>
      <c r="H92" s="20">
        <f t="shared" si="94"/>
        <v>0</v>
      </c>
      <c r="I92" s="20">
        <f t="shared" si="94"/>
        <v>0</v>
      </c>
      <c r="J92" s="20">
        <f t="shared" si="94"/>
        <v>0</v>
      </c>
      <c r="K92" s="20">
        <f t="shared" si="94"/>
        <v>0</v>
      </c>
      <c r="L92" s="20">
        <f t="shared" si="94"/>
        <v>0</v>
      </c>
      <c r="M92" s="20">
        <f t="shared" si="94"/>
        <v>0</v>
      </c>
      <c r="N92" s="20">
        <f t="shared" si="94"/>
        <v>0</v>
      </c>
      <c r="O92" s="10">
        <f t="shared" si="74"/>
        <v>0</v>
      </c>
      <c r="R92" s="2" t="s">
        <v>104</v>
      </c>
      <c r="S92" s="20">
        <v>52025.02</v>
      </c>
      <c r="T92" s="20">
        <v>11163.76</v>
      </c>
      <c r="U92" s="20">
        <v>10011.15</v>
      </c>
      <c r="V92" s="20">
        <v>1426.82</v>
      </c>
      <c r="W92" s="20">
        <v>31050.15</v>
      </c>
      <c r="X92" s="20">
        <v>1371.3</v>
      </c>
      <c r="Y92" s="20">
        <v>1079.1400000000001</v>
      </c>
      <c r="Z92" s="20"/>
      <c r="AA92" s="20">
        <v>2032.18</v>
      </c>
      <c r="AB92" s="20"/>
      <c r="AC92" s="20"/>
      <c r="AD92" s="20"/>
      <c r="AE92" s="20"/>
      <c r="AF92" s="20"/>
      <c r="AG92" s="20"/>
      <c r="AH92" s="10">
        <f t="shared" si="75"/>
        <v>110159.51999999999</v>
      </c>
      <c r="AI92" s="1093">
        <f t="shared" si="77"/>
        <v>52025.02</v>
      </c>
      <c r="AJ92" s="1093">
        <f t="shared" si="77"/>
        <v>11163.76</v>
      </c>
      <c r="AK92" s="1093">
        <f t="shared" si="77"/>
        <v>10011.15</v>
      </c>
      <c r="AL92" s="1093">
        <f t="shared" si="77"/>
        <v>1426.82</v>
      </c>
      <c r="AM92" s="1093">
        <f t="shared" si="77"/>
        <v>31050.15</v>
      </c>
      <c r="AN92" s="1093">
        <f t="shared" si="78"/>
        <v>4482.62</v>
      </c>
    </row>
    <row r="93" spans="1:40">
      <c r="A93" s="2" t="s">
        <v>18</v>
      </c>
      <c r="B93" s="20">
        <f t="shared" ref="B93:N93" si="95">B23+B58</f>
        <v>0</v>
      </c>
      <c r="C93" s="20">
        <f t="shared" si="95"/>
        <v>0</v>
      </c>
      <c r="D93" s="20">
        <f t="shared" si="95"/>
        <v>0</v>
      </c>
      <c r="E93" s="20">
        <f t="shared" si="95"/>
        <v>0</v>
      </c>
      <c r="F93" s="20">
        <f t="shared" si="95"/>
        <v>0</v>
      </c>
      <c r="G93" s="20">
        <f t="shared" si="95"/>
        <v>0</v>
      </c>
      <c r="H93" s="20">
        <f t="shared" si="95"/>
        <v>0</v>
      </c>
      <c r="I93" s="20">
        <f t="shared" si="95"/>
        <v>0</v>
      </c>
      <c r="J93" s="20">
        <f t="shared" si="95"/>
        <v>0</v>
      </c>
      <c r="K93" s="20">
        <f t="shared" si="95"/>
        <v>0</v>
      </c>
      <c r="L93" s="20">
        <f t="shared" si="95"/>
        <v>0</v>
      </c>
      <c r="M93" s="20">
        <f t="shared" si="95"/>
        <v>0</v>
      </c>
      <c r="N93" s="20">
        <f t="shared" si="95"/>
        <v>0</v>
      </c>
      <c r="O93" s="10">
        <f t="shared" si="74"/>
        <v>0</v>
      </c>
      <c r="R93" s="2" t="s">
        <v>105</v>
      </c>
      <c r="S93" s="20">
        <v>986707.03</v>
      </c>
      <c r="T93" s="20">
        <v>124624.1</v>
      </c>
      <c r="U93" s="20">
        <v>179472.72</v>
      </c>
      <c r="V93" s="20">
        <v>20603.7</v>
      </c>
      <c r="W93" s="20">
        <v>419699.8</v>
      </c>
      <c r="X93" s="20">
        <v>15401.91</v>
      </c>
      <c r="Y93" s="20">
        <v>29620.06</v>
      </c>
      <c r="Z93" s="20">
        <v>1636.96</v>
      </c>
      <c r="AA93" s="20">
        <v>15764.42</v>
      </c>
      <c r="AB93" s="20">
        <v>1469.25</v>
      </c>
      <c r="AC93" s="20"/>
      <c r="AD93" s="20"/>
      <c r="AE93" s="20">
        <v>685.68</v>
      </c>
      <c r="AF93" s="20"/>
      <c r="AG93" s="20"/>
      <c r="AH93" s="10">
        <f t="shared" si="75"/>
        <v>1795685.63</v>
      </c>
      <c r="AI93" s="1093">
        <f t="shared" si="77"/>
        <v>986707.03</v>
      </c>
      <c r="AJ93" s="1093">
        <f t="shared" si="77"/>
        <v>124624.1</v>
      </c>
      <c r="AK93" s="1093">
        <f t="shared" si="77"/>
        <v>179472.72</v>
      </c>
      <c r="AL93" s="1093">
        <f t="shared" si="77"/>
        <v>20603.7</v>
      </c>
      <c r="AM93" s="1093">
        <f t="shared" si="77"/>
        <v>419699.8</v>
      </c>
      <c r="AN93" s="1093">
        <f t="shared" si="78"/>
        <v>64578.28</v>
      </c>
    </row>
    <row r="94" spans="1:40">
      <c r="A94" s="2" t="s">
        <v>20</v>
      </c>
      <c r="B94" s="20">
        <f t="shared" ref="B94:N94" si="96">B24+B59</f>
        <v>0</v>
      </c>
      <c r="C94" s="20">
        <f t="shared" si="96"/>
        <v>0</v>
      </c>
      <c r="D94" s="20">
        <f t="shared" si="96"/>
        <v>0</v>
      </c>
      <c r="E94" s="20">
        <f t="shared" si="96"/>
        <v>0</v>
      </c>
      <c r="F94" s="20">
        <f t="shared" si="96"/>
        <v>0</v>
      </c>
      <c r="G94" s="20">
        <f t="shared" si="96"/>
        <v>0</v>
      </c>
      <c r="H94" s="20">
        <f t="shared" si="96"/>
        <v>0</v>
      </c>
      <c r="I94" s="20">
        <f t="shared" si="96"/>
        <v>0</v>
      </c>
      <c r="J94" s="20">
        <f t="shared" si="96"/>
        <v>0</v>
      </c>
      <c r="K94" s="20">
        <f t="shared" si="96"/>
        <v>0</v>
      </c>
      <c r="L94" s="20">
        <f t="shared" si="96"/>
        <v>0</v>
      </c>
      <c r="M94" s="20">
        <f t="shared" si="96"/>
        <v>0</v>
      </c>
      <c r="N94" s="20">
        <f t="shared" si="96"/>
        <v>0</v>
      </c>
      <c r="O94" s="10">
        <f t="shared" si="74"/>
        <v>0</v>
      </c>
      <c r="R94" s="2" t="s">
        <v>106</v>
      </c>
      <c r="S94" s="20">
        <v>129148.03</v>
      </c>
      <c r="T94" s="20">
        <v>32641</v>
      </c>
      <c r="U94" s="20">
        <v>11561.52</v>
      </c>
      <c r="V94" s="20">
        <v>2580.77</v>
      </c>
      <c r="W94" s="20">
        <v>55733.55</v>
      </c>
      <c r="X94" s="20">
        <v>1371.3</v>
      </c>
      <c r="Y94" s="20">
        <v>6036.06</v>
      </c>
      <c r="Z94" s="20"/>
      <c r="AA94" s="20">
        <v>3625.03</v>
      </c>
      <c r="AB94" s="20">
        <v>97.95</v>
      </c>
      <c r="AC94" s="20"/>
      <c r="AD94" s="20"/>
      <c r="AE94" s="20">
        <v>85.71</v>
      </c>
      <c r="AF94" s="20"/>
      <c r="AG94" s="20"/>
      <c r="AH94" s="10">
        <f t="shared" si="75"/>
        <v>242880.91999999998</v>
      </c>
      <c r="AI94" s="1093">
        <f t="shared" si="77"/>
        <v>129148.03</v>
      </c>
      <c r="AJ94" s="1093">
        <f t="shared" si="77"/>
        <v>32641</v>
      </c>
      <c r="AK94" s="1093">
        <f t="shared" si="77"/>
        <v>11561.52</v>
      </c>
      <c r="AL94" s="1093">
        <f t="shared" si="77"/>
        <v>2580.77</v>
      </c>
      <c r="AM94" s="1093">
        <f t="shared" si="77"/>
        <v>55733.55</v>
      </c>
      <c r="AN94" s="1093">
        <f t="shared" si="78"/>
        <v>11216.050000000001</v>
      </c>
    </row>
    <row r="95" spans="1:40">
      <c r="A95" s="2" t="s">
        <v>19</v>
      </c>
      <c r="B95" s="20">
        <f t="shared" ref="B95:N95" si="97">B25+B60</f>
        <v>0</v>
      </c>
      <c r="C95" s="20">
        <f t="shared" si="97"/>
        <v>0</v>
      </c>
      <c r="D95" s="20">
        <f t="shared" si="97"/>
        <v>0</v>
      </c>
      <c r="E95" s="20">
        <f t="shared" si="97"/>
        <v>0</v>
      </c>
      <c r="F95" s="20">
        <f t="shared" si="97"/>
        <v>0</v>
      </c>
      <c r="G95" s="20">
        <f t="shared" si="97"/>
        <v>0</v>
      </c>
      <c r="H95" s="20">
        <f t="shared" si="97"/>
        <v>0</v>
      </c>
      <c r="I95" s="20">
        <f t="shared" si="97"/>
        <v>0</v>
      </c>
      <c r="J95" s="20">
        <f t="shared" si="97"/>
        <v>0</v>
      </c>
      <c r="K95" s="20">
        <f t="shared" si="97"/>
        <v>0</v>
      </c>
      <c r="L95" s="20">
        <f t="shared" si="97"/>
        <v>0</v>
      </c>
      <c r="M95" s="20">
        <f t="shared" si="97"/>
        <v>0</v>
      </c>
      <c r="N95" s="20">
        <f t="shared" si="97"/>
        <v>0</v>
      </c>
      <c r="O95" s="10">
        <f t="shared" si="74"/>
        <v>0</v>
      </c>
      <c r="R95" s="2" t="s">
        <v>107</v>
      </c>
      <c r="S95" s="20">
        <v>996492.81</v>
      </c>
      <c r="T95" s="20">
        <v>112094.56</v>
      </c>
      <c r="U95" s="20">
        <v>145536.43</v>
      </c>
      <c r="V95" s="20">
        <v>28786.560000000001</v>
      </c>
      <c r="W95" s="20">
        <v>695836.8</v>
      </c>
      <c r="X95" s="20">
        <v>4701.6000000000004</v>
      </c>
      <c r="Y95" s="20">
        <v>17269.68</v>
      </c>
      <c r="Z95" s="20">
        <v>1090.05</v>
      </c>
      <c r="AA95" s="20">
        <v>15430.43</v>
      </c>
      <c r="AB95" s="20">
        <v>2154.9</v>
      </c>
      <c r="AC95" s="20">
        <v>195.9</v>
      </c>
      <c r="AD95" s="20">
        <v>835.31</v>
      </c>
      <c r="AE95" s="20">
        <v>228.56</v>
      </c>
      <c r="AF95" s="20"/>
      <c r="AG95" s="20"/>
      <c r="AH95" s="10">
        <f t="shared" si="75"/>
        <v>2020653.59</v>
      </c>
      <c r="AI95" s="1093">
        <f t="shared" si="77"/>
        <v>996492.81</v>
      </c>
      <c r="AJ95" s="1093">
        <f t="shared" si="77"/>
        <v>112094.56</v>
      </c>
      <c r="AK95" s="1093">
        <f t="shared" si="77"/>
        <v>145536.43</v>
      </c>
      <c r="AL95" s="1093">
        <f t="shared" si="77"/>
        <v>28786.560000000001</v>
      </c>
      <c r="AM95" s="1093">
        <f t="shared" si="77"/>
        <v>695836.8</v>
      </c>
      <c r="AN95" s="1093">
        <f t="shared" si="78"/>
        <v>41906.429999999993</v>
      </c>
    </row>
    <row r="96" spans="1:40">
      <c r="A96" s="2" t="s">
        <v>21</v>
      </c>
      <c r="B96" s="20">
        <f t="shared" ref="B96:N96" si="98">B26+B61</f>
        <v>0</v>
      </c>
      <c r="C96" s="20">
        <f t="shared" si="98"/>
        <v>0</v>
      </c>
      <c r="D96" s="20">
        <f t="shared" si="98"/>
        <v>0</v>
      </c>
      <c r="E96" s="20">
        <f t="shared" si="98"/>
        <v>0</v>
      </c>
      <c r="F96" s="20">
        <f t="shared" si="98"/>
        <v>0</v>
      </c>
      <c r="G96" s="20">
        <f t="shared" si="98"/>
        <v>0</v>
      </c>
      <c r="H96" s="20">
        <f t="shared" si="98"/>
        <v>0</v>
      </c>
      <c r="I96" s="20">
        <f t="shared" si="98"/>
        <v>0</v>
      </c>
      <c r="J96" s="20">
        <f t="shared" si="98"/>
        <v>0</v>
      </c>
      <c r="K96" s="20">
        <f t="shared" si="98"/>
        <v>0</v>
      </c>
      <c r="L96" s="20">
        <f t="shared" si="98"/>
        <v>0</v>
      </c>
      <c r="M96" s="20">
        <f t="shared" si="98"/>
        <v>0</v>
      </c>
      <c r="N96" s="20">
        <f t="shared" si="98"/>
        <v>0</v>
      </c>
      <c r="O96" s="10">
        <f t="shared" si="74"/>
        <v>0</v>
      </c>
      <c r="R96" s="2" t="s">
        <v>108</v>
      </c>
      <c r="S96" s="20">
        <v>40804.519999999997</v>
      </c>
      <c r="T96" s="20">
        <v>11485.46</v>
      </c>
      <c r="U96" s="20">
        <v>3695.11</v>
      </c>
      <c r="V96" s="20">
        <v>2327.33</v>
      </c>
      <c r="W96" s="20">
        <v>70132.2</v>
      </c>
      <c r="X96" s="20">
        <v>881.55</v>
      </c>
      <c r="Y96" s="20">
        <v>1637.2</v>
      </c>
      <c r="Z96" s="20"/>
      <c r="AA96" s="20">
        <v>1921.48</v>
      </c>
      <c r="AB96" s="20"/>
      <c r="AC96" s="20"/>
      <c r="AD96" s="20"/>
      <c r="AE96" s="20">
        <v>28.57</v>
      </c>
      <c r="AF96" s="20"/>
      <c r="AG96" s="20"/>
      <c r="AH96" s="10">
        <f t="shared" si="75"/>
        <v>132913.42000000001</v>
      </c>
      <c r="AI96" s="1093">
        <f t="shared" si="77"/>
        <v>40804.519999999997</v>
      </c>
      <c r="AJ96" s="1093">
        <f t="shared" si="77"/>
        <v>11485.46</v>
      </c>
      <c r="AK96" s="1093">
        <f t="shared" si="77"/>
        <v>3695.11</v>
      </c>
      <c r="AL96" s="1093">
        <f t="shared" si="77"/>
        <v>2327.33</v>
      </c>
      <c r="AM96" s="1093">
        <f t="shared" si="77"/>
        <v>70132.2</v>
      </c>
      <c r="AN96" s="1093">
        <f t="shared" si="78"/>
        <v>4468.7999999999993</v>
      </c>
    </row>
    <row r="97" spans="1:40">
      <c r="A97" s="2" t="s">
        <v>22</v>
      </c>
      <c r="B97" s="20">
        <f t="shared" ref="B97:N97" si="99">B27+B62</f>
        <v>0</v>
      </c>
      <c r="C97" s="20">
        <f t="shared" si="99"/>
        <v>0</v>
      </c>
      <c r="D97" s="20">
        <f t="shared" si="99"/>
        <v>0</v>
      </c>
      <c r="E97" s="20">
        <f t="shared" si="99"/>
        <v>0</v>
      </c>
      <c r="F97" s="20">
        <f t="shared" si="99"/>
        <v>0</v>
      </c>
      <c r="G97" s="20">
        <f t="shared" si="99"/>
        <v>0</v>
      </c>
      <c r="H97" s="20">
        <f t="shared" si="99"/>
        <v>0</v>
      </c>
      <c r="I97" s="20">
        <f t="shared" si="99"/>
        <v>0</v>
      </c>
      <c r="J97" s="20">
        <f t="shared" si="99"/>
        <v>0</v>
      </c>
      <c r="K97" s="20">
        <f t="shared" si="99"/>
        <v>0</v>
      </c>
      <c r="L97" s="20">
        <f t="shared" si="99"/>
        <v>0</v>
      </c>
      <c r="M97" s="20">
        <f t="shared" si="99"/>
        <v>0</v>
      </c>
      <c r="N97" s="20">
        <f t="shared" si="99"/>
        <v>0</v>
      </c>
      <c r="O97" s="10">
        <f t="shared" si="74"/>
        <v>0</v>
      </c>
      <c r="R97" s="2" t="s">
        <v>109</v>
      </c>
      <c r="S97" s="20">
        <v>11804.35</v>
      </c>
      <c r="T97" s="20">
        <v>1554.56</v>
      </c>
      <c r="U97" s="20">
        <v>1257.0999999999999</v>
      </c>
      <c r="V97" s="20">
        <v>460.66</v>
      </c>
      <c r="W97" s="20">
        <v>9403.2000000000007</v>
      </c>
      <c r="X97" s="20">
        <v>97.95</v>
      </c>
      <c r="Y97" s="20">
        <v>130.91</v>
      </c>
      <c r="Z97" s="20"/>
      <c r="AA97" s="20">
        <v>171.22</v>
      </c>
      <c r="AB97" s="20"/>
      <c r="AC97" s="20"/>
      <c r="AD97" s="20"/>
      <c r="AE97" s="20"/>
      <c r="AF97" s="20"/>
      <c r="AG97" s="20"/>
      <c r="AH97" s="10">
        <f t="shared" si="75"/>
        <v>24879.950000000004</v>
      </c>
      <c r="AI97" s="1093">
        <f t="shared" si="77"/>
        <v>11804.35</v>
      </c>
      <c r="AJ97" s="1093">
        <f t="shared" si="77"/>
        <v>1554.56</v>
      </c>
      <c r="AK97" s="1093">
        <f t="shared" si="77"/>
        <v>1257.0999999999999</v>
      </c>
      <c r="AL97" s="1093">
        <f t="shared" si="77"/>
        <v>460.66</v>
      </c>
      <c r="AM97" s="1093">
        <f t="shared" si="77"/>
        <v>9403.2000000000007</v>
      </c>
      <c r="AN97" s="1093">
        <f t="shared" si="78"/>
        <v>400.08000000000004</v>
      </c>
    </row>
    <row r="98" spans="1:40">
      <c r="A98" s="2" t="s">
        <v>23</v>
      </c>
      <c r="B98" s="20">
        <f t="shared" ref="B98:N98" si="100">B28+B63</f>
        <v>0</v>
      </c>
      <c r="C98" s="20">
        <f t="shared" si="100"/>
        <v>0</v>
      </c>
      <c r="D98" s="20">
        <f t="shared" si="100"/>
        <v>0</v>
      </c>
      <c r="E98" s="20">
        <f t="shared" si="100"/>
        <v>0</v>
      </c>
      <c r="F98" s="20">
        <f t="shared" si="100"/>
        <v>0</v>
      </c>
      <c r="G98" s="20">
        <f t="shared" si="100"/>
        <v>0</v>
      </c>
      <c r="H98" s="20">
        <f t="shared" si="100"/>
        <v>0</v>
      </c>
      <c r="I98" s="20">
        <f t="shared" si="100"/>
        <v>0</v>
      </c>
      <c r="J98" s="20">
        <f t="shared" si="100"/>
        <v>0</v>
      </c>
      <c r="K98" s="20">
        <f t="shared" si="100"/>
        <v>0</v>
      </c>
      <c r="L98" s="20">
        <f t="shared" si="100"/>
        <v>0</v>
      </c>
      <c r="M98" s="20">
        <f t="shared" si="100"/>
        <v>0</v>
      </c>
      <c r="N98" s="20">
        <f t="shared" si="100"/>
        <v>0</v>
      </c>
      <c r="O98" s="10">
        <f t="shared" si="74"/>
        <v>0</v>
      </c>
      <c r="R98" s="2" t="s">
        <v>110</v>
      </c>
      <c r="S98" s="20">
        <v>740898.1</v>
      </c>
      <c r="T98" s="20">
        <v>62697.34</v>
      </c>
      <c r="U98" s="20">
        <v>111932.04</v>
      </c>
      <c r="V98" s="20">
        <v>12753.68</v>
      </c>
      <c r="W98" s="20">
        <v>410410.5</v>
      </c>
      <c r="X98" s="20">
        <v>3722.1</v>
      </c>
      <c r="Y98" s="20">
        <v>7401.92</v>
      </c>
      <c r="Z98" s="20"/>
      <c r="AA98" s="20">
        <v>9839.7099999999991</v>
      </c>
      <c r="AB98" s="20">
        <v>979.5</v>
      </c>
      <c r="AC98" s="20"/>
      <c r="AD98" s="20"/>
      <c r="AE98" s="20">
        <v>114.28</v>
      </c>
      <c r="AF98" s="20"/>
      <c r="AG98" s="20"/>
      <c r="AH98" s="10">
        <f t="shared" si="75"/>
        <v>1360749.1700000002</v>
      </c>
      <c r="AI98" s="1093">
        <f t="shared" si="77"/>
        <v>740898.1</v>
      </c>
      <c r="AJ98" s="1093">
        <f t="shared" si="77"/>
        <v>62697.34</v>
      </c>
      <c r="AK98" s="1093">
        <f t="shared" si="77"/>
        <v>111932.04</v>
      </c>
      <c r="AL98" s="1093">
        <f t="shared" si="77"/>
        <v>12753.68</v>
      </c>
      <c r="AM98" s="1093">
        <f t="shared" si="77"/>
        <v>410410.5</v>
      </c>
      <c r="AN98" s="1093">
        <f t="shared" si="78"/>
        <v>22057.51</v>
      </c>
    </row>
    <row r="99" spans="1:40">
      <c r="A99" s="2" t="s">
        <v>25</v>
      </c>
      <c r="B99" s="20">
        <f t="shared" ref="B99:N99" si="101">B29+B64</f>
        <v>0</v>
      </c>
      <c r="C99" s="20">
        <f t="shared" si="101"/>
        <v>0</v>
      </c>
      <c r="D99" s="20">
        <f t="shared" si="101"/>
        <v>0</v>
      </c>
      <c r="E99" s="20">
        <f t="shared" si="101"/>
        <v>0</v>
      </c>
      <c r="F99" s="20">
        <f t="shared" si="101"/>
        <v>0</v>
      </c>
      <c r="G99" s="20">
        <f t="shared" si="101"/>
        <v>0</v>
      </c>
      <c r="H99" s="20">
        <f t="shared" si="101"/>
        <v>0</v>
      </c>
      <c r="I99" s="20">
        <f t="shared" si="101"/>
        <v>0</v>
      </c>
      <c r="J99" s="20">
        <f t="shared" si="101"/>
        <v>0</v>
      </c>
      <c r="K99" s="20">
        <f t="shared" si="101"/>
        <v>0</v>
      </c>
      <c r="L99" s="20">
        <f t="shared" si="101"/>
        <v>0</v>
      </c>
      <c r="M99" s="20">
        <f t="shared" si="101"/>
        <v>0</v>
      </c>
      <c r="N99" s="20">
        <f t="shared" si="101"/>
        <v>0</v>
      </c>
      <c r="O99" s="10">
        <f t="shared" si="74"/>
        <v>0</v>
      </c>
      <c r="R99" s="2" t="s">
        <v>111</v>
      </c>
      <c r="S99" s="20">
        <v>3710769.18</v>
      </c>
      <c r="T99" s="20">
        <v>568088.93000000005</v>
      </c>
      <c r="U99" s="20">
        <v>584771.14</v>
      </c>
      <c r="V99" s="20">
        <v>68960.649999999994</v>
      </c>
      <c r="W99" s="20">
        <v>2369704.35</v>
      </c>
      <c r="X99" s="20">
        <v>26250.6</v>
      </c>
      <c r="Y99" s="20">
        <v>107348.94</v>
      </c>
      <c r="Z99" s="20">
        <v>5823.7</v>
      </c>
      <c r="AA99" s="20">
        <v>68418.67</v>
      </c>
      <c r="AB99" s="20">
        <v>6366.75</v>
      </c>
      <c r="AC99" s="20">
        <v>195.9</v>
      </c>
      <c r="AD99" s="20">
        <v>680</v>
      </c>
      <c r="AE99" s="20">
        <v>2199.89</v>
      </c>
      <c r="AF99" s="20">
        <v>163.63</v>
      </c>
      <c r="AG99" s="20">
        <v>1670.54</v>
      </c>
      <c r="AH99" s="10">
        <f t="shared" si="75"/>
        <v>7521412.8700000001</v>
      </c>
      <c r="AI99" s="1093">
        <f t="shared" si="77"/>
        <v>3710769.18</v>
      </c>
      <c r="AJ99" s="1093">
        <f t="shared" si="77"/>
        <v>568088.93000000005</v>
      </c>
      <c r="AK99" s="1093">
        <f t="shared" si="77"/>
        <v>584771.14</v>
      </c>
      <c r="AL99" s="1093">
        <f t="shared" si="77"/>
        <v>68960.649999999994</v>
      </c>
      <c r="AM99" s="1093">
        <f t="shared" si="77"/>
        <v>2369704.35</v>
      </c>
      <c r="AN99" s="1093">
        <f t="shared" si="78"/>
        <v>219118.62000000005</v>
      </c>
    </row>
    <row r="100" spans="1:40">
      <c r="A100" s="2" t="s">
        <v>24</v>
      </c>
      <c r="B100" s="20">
        <f t="shared" ref="B100:N100" si="102">B30+B65</f>
        <v>0</v>
      </c>
      <c r="C100" s="20">
        <f t="shared" si="102"/>
        <v>0</v>
      </c>
      <c r="D100" s="20">
        <f t="shared" si="102"/>
        <v>0</v>
      </c>
      <c r="E100" s="20">
        <f t="shared" si="102"/>
        <v>0</v>
      </c>
      <c r="F100" s="20">
        <f t="shared" si="102"/>
        <v>0</v>
      </c>
      <c r="G100" s="20">
        <f t="shared" si="102"/>
        <v>0</v>
      </c>
      <c r="H100" s="20">
        <f t="shared" si="102"/>
        <v>0</v>
      </c>
      <c r="I100" s="20">
        <f t="shared" si="102"/>
        <v>0</v>
      </c>
      <c r="J100" s="20">
        <f t="shared" si="102"/>
        <v>0</v>
      </c>
      <c r="K100" s="20">
        <f t="shared" si="102"/>
        <v>0</v>
      </c>
      <c r="L100" s="20">
        <f t="shared" si="102"/>
        <v>0</v>
      </c>
      <c r="M100" s="20">
        <f t="shared" si="102"/>
        <v>0</v>
      </c>
      <c r="N100" s="20">
        <f t="shared" si="102"/>
        <v>0</v>
      </c>
      <c r="O100" s="10">
        <f t="shared" si="74"/>
        <v>0</v>
      </c>
      <c r="R100" s="2" t="s">
        <v>112</v>
      </c>
      <c r="S100" s="20">
        <v>64352.509999999995</v>
      </c>
      <c r="T100" s="20">
        <v>12859.37</v>
      </c>
      <c r="U100" s="20">
        <v>7437.85</v>
      </c>
      <c r="V100" s="20">
        <v>646.38</v>
      </c>
      <c r="W100" s="20">
        <v>51031.95</v>
      </c>
      <c r="X100" s="20">
        <v>2252.85</v>
      </c>
      <c r="Y100" s="20">
        <v>1004.1</v>
      </c>
      <c r="Z100" s="20"/>
      <c r="AA100" s="20">
        <v>2176.2399999999998</v>
      </c>
      <c r="AB100" s="20">
        <v>391.8</v>
      </c>
      <c r="AC100" s="20"/>
      <c r="AD100" s="20"/>
      <c r="AE100" s="20"/>
      <c r="AF100" s="20"/>
      <c r="AG100" s="20"/>
      <c r="AH100" s="10">
        <f t="shared" si="75"/>
        <v>142153.04999999999</v>
      </c>
      <c r="AI100" s="1093">
        <f t="shared" si="77"/>
        <v>64352.509999999995</v>
      </c>
      <c r="AJ100" s="1093">
        <f t="shared" si="77"/>
        <v>12859.37</v>
      </c>
      <c r="AK100" s="1093">
        <f t="shared" si="77"/>
        <v>7437.85</v>
      </c>
      <c r="AL100" s="1093">
        <f t="shared" si="77"/>
        <v>646.38</v>
      </c>
      <c r="AM100" s="1093">
        <f t="shared" si="77"/>
        <v>51031.95</v>
      </c>
      <c r="AN100" s="1093">
        <f t="shared" si="78"/>
        <v>5824.99</v>
      </c>
    </row>
    <row r="101" spans="1:40">
      <c r="A101" s="2" t="s">
        <v>26</v>
      </c>
      <c r="B101" s="20">
        <f t="shared" ref="B101:N101" si="103">B31+B66</f>
        <v>0</v>
      </c>
      <c r="C101" s="20">
        <f t="shared" si="103"/>
        <v>0</v>
      </c>
      <c r="D101" s="20">
        <f t="shared" si="103"/>
        <v>0</v>
      </c>
      <c r="E101" s="20">
        <f t="shared" si="103"/>
        <v>0</v>
      </c>
      <c r="F101" s="20">
        <f t="shared" si="103"/>
        <v>0</v>
      </c>
      <c r="G101" s="20">
        <f t="shared" si="103"/>
        <v>0</v>
      </c>
      <c r="H101" s="20">
        <f t="shared" si="103"/>
        <v>0</v>
      </c>
      <c r="I101" s="20">
        <f t="shared" si="103"/>
        <v>0</v>
      </c>
      <c r="J101" s="20">
        <f t="shared" si="103"/>
        <v>0</v>
      </c>
      <c r="K101" s="20">
        <f t="shared" si="103"/>
        <v>0</v>
      </c>
      <c r="L101" s="20">
        <f t="shared" si="103"/>
        <v>0</v>
      </c>
      <c r="M101" s="20">
        <f t="shared" si="103"/>
        <v>0</v>
      </c>
      <c r="N101" s="20">
        <f t="shared" si="103"/>
        <v>0</v>
      </c>
      <c r="O101" s="10">
        <f t="shared" si="74"/>
        <v>0</v>
      </c>
      <c r="R101" s="2" t="s">
        <v>113</v>
      </c>
      <c r="S101" s="20">
        <v>31890.54</v>
      </c>
      <c r="T101" s="20">
        <v>9749.2999999999993</v>
      </c>
      <c r="U101" s="20">
        <v>4533.18</v>
      </c>
      <c r="V101" s="20">
        <v>1862.54</v>
      </c>
      <c r="W101" s="20">
        <v>32911.199999999997</v>
      </c>
      <c r="X101" s="20">
        <v>489.75</v>
      </c>
      <c r="Y101" s="20">
        <v>1362.01</v>
      </c>
      <c r="Z101" s="20"/>
      <c r="AA101" s="20">
        <v>1004.4</v>
      </c>
      <c r="AB101" s="20">
        <v>391.8</v>
      </c>
      <c r="AC101" s="20"/>
      <c r="AD101" s="20"/>
      <c r="AE101" s="20"/>
      <c r="AF101" s="20"/>
      <c r="AG101" s="20"/>
      <c r="AH101" s="10">
        <f t="shared" si="75"/>
        <v>84194.719999999987</v>
      </c>
      <c r="AI101" s="1093">
        <f t="shared" si="77"/>
        <v>31890.54</v>
      </c>
      <c r="AJ101" s="1093">
        <f t="shared" si="77"/>
        <v>9749.2999999999993</v>
      </c>
      <c r="AK101" s="1093">
        <f t="shared" si="77"/>
        <v>4533.18</v>
      </c>
      <c r="AL101" s="1093">
        <f t="shared" si="77"/>
        <v>1862.54</v>
      </c>
      <c r="AM101" s="1093">
        <f t="shared" si="77"/>
        <v>32911.199999999997</v>
      </c>
      <c r="AN101" s="1093">
        <f t="shared" si="78"/>
        <v>3247.96</v>
      </c>
    </row>
    <row r="102" spans="1:40">
      <c r="A102" s="7" t="s">
        <v>37</v>
      </c>
      <c r="B102" s="14">
        <f t="shared" ref="B102:O102" si="104">SUM(B75:B101)</f>
        <v>0</v>
      </c>
      <c r="C102" s="14">
        <f t="shared" si="104"/>
        <v>0</v>
      </c>
      <c r="D102" s="14">
        <f t="shared" si="104"/>
        <v>0</v>
      </c>
      <c r="E102" s="14">
        <f t="shared" si="104"/>
        <v>0</v>
      </c>
      <c r="F102" s="14">
        <f t="shared" si="104"/>
        <v>0</v>
      </c>
      <c r="G102" s="14">
        <f t="shared" si="104"/>
        <v>0</v>
      </c>
      <c r="H102" s="14">
        <f t="shared" si="104"/>
        <v>0</v>
      </c>
      <c r="I102" s="14">
        <f t="shared" si="104"/>
        <v>0</v>
      </c>
      <c r="J102" s="14">
        <f t="shared" si="104"/>
        <v>0</v>
      </c>
      <c r="K102" s="14">
        <f t="shared" si="104"/>
        <v>0</v>
      </c>
      <c r="L102" s="14">
        <f t="shared" si="104"/>
        <v>0</v>
      </c>
      <c r="M102" s="14">
        <f t="shared" si="104"/>
        <v>0</v>
      </c>
      <c r="N102" s="14">
        <f t="shared" si="104"/>
        <v>0</v>
      </c>
      <c r="O102" s="6">
        <f t="shared" si="104"/>
        <v>0</v>
      </c>
      <c r="P102" s="91"/>
      <c r="Q102" s="91"/>
      <c r="R102" s="7" t="s">
        <v>37</v>
      </c>
      <c r="S102" s="6">
        <f t="shared" ref="S102:AI102" si="105">SUM(S75:S101)</f>
        <v>10989944.309999997</v>
      </c>
      <c r="T102" s="6">
        <f t="shared" si="105"/>
        <v>1726374.8700000003</v>
      </c>
      <c r="U102" s="6">
        <f t="shared" si="105"/>
        <v>1666209.47</v>
      </c>
      <c r="V102" s="6">
        <f t="shared" si="105"/>
        <v>251289.02</v>
      </c>
      <c r="W102" s="6">
        <f t="shared" si="105"/>
        <v>6486719.6100000013</v>
      </c>
      <c r="X102" s="6">
        <f t="shared" si="105"/>
        <v>103752.81000000003</v>
      </c>
      <c r="Y102" s="6">
        <f t="shared" si="105"/>
        <v>290266.30000000005</v>
      </c>
      <c r="Z102" s="6">
        <f t="shared" si="105"/>
        <v>21292.43</v>
      </c>
      <c r="AA102" s="6">
        <f t="shared" si="105"/>
        <v>222055.50999999998</v>
      </c>
      <c r="AB102" s="6">
        <f t="shared" si="105"/>
        <v>22920.299999999996</v>
      </c>
      <c r="AC102" s="6">
        <f t="shared" si="105"/>
        <v>391.8</v>
      </c>
      <c r="AD102" s="6">
        <f t="shared" si="105"/>
        <v>1823.72</v>
      </c>
      <c r="AE102" s="6">
        <f t="shared" si="105"/>
        <v>5456.87</v>
      </c>
      <c r="AF102" s="6">
        <f t="shared" si="105"/>
        <v>266.95</v>
      </c>
      <c r="AG102" s="6">
        <f t="shared" si="105"/>
        <v>2299.87</v>
      </c>
      <c r="AH102" s="6">
        <f t="shared" si="105"/>
        <v>21791063.839999996</v>
      </c>
      <c r="AI102" s="1093">
        <f t="shared" si="105"/>
        <v>10989944.309999997</v>
      </c>
      <c r="AJ102" s="1093">
        <f t="shared" ref="AJ102:AN102" si="106">SUM(AJ75:AJ101)</f>
        <v>1726374.8700000003</v>
      </c>
      <c r="AK102" s="1093">
        <f t="shared" si="106"/>
        <v>1666209.47</v>
      </c>
      <c r="AL102" s="1093">
        <f t="shared" si="106"/>
        <v>251289.02</v>
      </c>
      <c r="AM102" s="1093">
        <f t="shared" si="106"/>
        <v>6486719.6100000013</v>
      </c>
      <c r="AN102" s="1093">
        <f t="shared" si="106"/>
        <v>670526.56000000006</v>
      </c>
    </row>
    <row r="103" spans="1:40">
      <c r="AF103" s="1093"/>
      <c r="AH103" s="1093"/>
    </row>
    <row r="104" spans="1:40">
      <c r="O104" s="1093" t="e">
        <f>O102+#REF!+#REF!+#REF!+#REF!</f>
        <v>#REF!</v>
      </c>
    </row>
    <row r="105" spans="1:40" ht="46.5">
      <c r="K105" s="1232" t="s">
        <v>48</v>
      </c>
      <c r="L105" s="1233"/>
      <c r="M105" s="1233"/>
      <c r="N105" s="1233"/>
      <c r="O105" s="1233"/>
      <c r="P105" s="1233"/>
      <c r="Q105" s="1233"/>
      <c r="R105" s="1233"/>
      <c r="S105" s="1233"/>
      <c r="T105" s="1233"/>
      <c r="U105" s="1233"/>
      <c r="V105" s="1233"/>
      <c r="W105" s="1233"/>
      <c r="X105" s="1233"/>
      <c r="Y105" s="1233"/>
      <c r="Z105" s="1233"/>
      <c r="AA105" s="1233"/>
    </row>
    <row r="106" spans="1:40" ht="35.1" customHeight="1">
      <c r="K106" s="1226" t="s">
        <v>33</v>
      </c>
      <c r="L106" s="1228" t="s">
        <v>27</v>
      </c>
      <c r="M106" s="1229"/>
      <c r="N106" s="1228" t="s">
        <v>29</v>
      </c>
      <c r="O106" s="1229"/>
      <c r="P106" s="1226" t="s">
        <v>28</v>
      </c>
      <c r="Q106" s="1226" t="s">
        <v>36</v>
      </c>
      <c r="R106" s="1226" t="s">
        <v>30</v>
      </c>
      <c r="S106" s="1226" t="s">
        <v>31</v>
      </c>
      <c r="T106" s="1226" t="s">
        <v>41</v>
      </c>
      <c r="U106" s="1226" t="s">
        <v>35</v>
      </c>
      <c r="V106" s="1226" t="s">
        <v>40</v>
      </c>
      <c r="W106" s="1226" t="s">
        <v>42</v>
      </c>
      <c r="X106" s="1226" t="s">
        <v>45</v>
      </c>
      <c r="Y106" s="1228" t="s">
        <v>51</v>
      </c>
      <c r="Z106" s="1229"/>
      <c r="AA106" s="1226" t="s">
        <v>34</v>
      </c>
    </row>
    <row r="107" spans="1:40" ht="35.1" customHeight="1">
      <c r="K107" s="1227"/>
      <c r="L107" s="1091" t="s">
        <v>43</v>
      </c>
      <c r="M107" s="1091" t="s">
        <v>44</v>
      </c>
      <c r="N107" s="1091" t="s">
        <v>43</v>
      </c>
      <c r="O107" s="1091" t="s">
        <v>44</v>
      </c>
      <c r="P107" s="1227"/>
      <c r="Q107" s="1227"/>
      <c r="R107" s="1227"/>
      <c r="S107" s="1227"/>
      <c r="T107" s="1227"/>
      <c r="U107" s="1227"/>
      <c r="V107" s="1227"/>
      <c r="W107" s="1227"/>
      <c r="X107" s="1227"/>
      <c r="Y107" s="1092" t="s">
        <v>52</v>
      </c>
      <c r="Z107" s="1092" t="s">
        <v>53</v>
      </c>
      <c r="AA107" s="1227"/>
    </row>
    <row r="108" spans="1:40">
      <c r="K108" s="2" t="s">
        <v>0</v>
      </c>
      <c r="L108" s="20">
        <f t="shared" ref="L108:L134" si="107">B75+S75</f>
        <v>24130.91</v>
      </c>
      <c r="M108" s="20">
        <f t="shared" ref="M108:M134" si="108">C75+T75</f>
        <v>4189.0600000000004</v>
      </c>
      <c r="N108" s="20">
        <f t="shared" ref="N108:N134" si="109">D75+U75</f>
        <v>4130.82</v>
      </c>
      <c r="O108" s="20">
        <f t="shared" ref="O108:O134" si="110">E75+V75</f>
        <v>867.36</v>
      </c>
      <c r="P108" s="20">
        <f t="shared" ref="P108:P134" si="111">F75+W75</f>
        <v>17631</v>
      </c>
      <c r="Q108" s="20">
        <f t="shared" ref="Q108:Q134" si="112">G75+X75</f>
        <v>881.55</v>
      </c>
      <c r="R108" s="20">
        <f t="shared" ref="R108:R134" si="113">H75+Y75</f>
        <v>435.78</v>
      </c>
      <c r="S108" s="20">
        <f t="shared" ref="S108:S134" si="114">I75+Z75</f>
        <v>0</v>
      </c>
      <c r="T108" s="20">
        <f t="shared" ref="T108:T134" si="115">J75+AA75</f>
        <v>716.81</v>
      </c>
      <c r="U108" s="20">
        <f t="shared" ref="U108:U134" si="116">K75+AB75</f>
        <v>195.9</v>
      </c>
      <c r="V108" s="20">
        <f t="shared" ref="V108:V134" si="117">L75+AC75</f>
        <v>0</v>
      </c>
      <c r="W108" s="20">
        <f t="shared" ref="W108:W134" si="118">M75+AD75</f>
        <v>0</v>
      </c>
      <c r="X108" s="20">
        <f t="shared" ref="X108:X134" si="119">N75+AE75</f>
        <v>0</v>
      </c>
      <c r="Y108" s="20">
        <f t="shared" ref="Y108:Y134" si="120">AF75</f>
        <v>0</v>
      </c>
      <c r="Z108" s="20">
        <f t="shared" ref="Z108:Z134" si="121">AG75</f>
        <v>0</v>
      </c>
      <c r="AA108" s="10">
        <f t="shared" ref="AA108:AA134" si="122">SUM(L108:Z108)</f>
        <v>53179.19</v>
      </c>
    </row>
    <row r="109" spans="1:40">
      <c r="K109" s="2" t="s">
        <v>1</v>
      </c>
      <c r="L109" s="20">
        <f t="shared" si="107"/>
        <v>96172.06</v>
      </c>
      <c r="M109" s="20">
        <f t="shared" si="108"/>
        <v>20580.86</v>
      </c>
      <c r="N109" s="20">
        <f t="shared" si="109"/>
        <v>10599.66</v>
      </c>
      <c r="O109" s="20">
        <f t="shared" si="110"/>
        <v>710</v>
      </c>
      <c r="P109" s="20">
        <f t="shared" si="111"/>
        <v>49954.5</v>
      </c>
      <c r="Q109" s="20">
        <f t="shared" si="112"/>
        <v>587.70000000000005</v>
      </c>
      <c r="R109" s="20">
        <f t="shared" si="113"/>
        <v>3193.78</v>
      </c>
      <c r="S109" s="20">
        <f t="shared" si="114"/>
        <v>552.78</v>
      </c>
      <c r="T109" s="20">
        <f t="shared" si="115"/>
        <v>1872.13</v>
      </c>
      <c r="U109" s="20">
        <f t="shared" si="116"/>
        <v>0</v>
      </c>
      <c r="V109" s="20">
        <f t="shared" si="117"/>
        <v>0</v>
      </c>
      <c r="W109" s="20">
        <f t="shared" si="118"/>
        <v>0</v>
      </c>
      <c r="X109" s="20">
        <f t="shared" si="119"/>
        <v>85.71</v>
      </c>
      <c r="Y109" s="20">
        <f t="shared" si="120"/>
        <v>0</v>
      </c>
      <c r="Z109" s="20">
        <f t="shared" si="121"/>
        <v>0</v>
      </c>
      <c r="AA109" s="10">
        <f t="shared" si="122"/>
        <v>184309.18000000002</v>
      </c>
    </row>
    <row r="110" spans="1:40">
      <c r="K110" s="2" t="s">
        <v>2</v>
      </c>
      <c r="L110" s="20">
        <f t="shared" si="107"/>
        <v>27971.66</v>
      </c>
      <c r="M110" s="20">
        <f t="shared" si="108"/>
        <v>7125.05</v>
      </c>
      <c r="N110" s="20">
        <f t="shared" si="109"/>
        <v>4628.43</v>
      </c>
      <c r="O110" s="20">
        <f t="shared" si="110"/>
        <v>992.44</v>
      </c>
      <c r="P110" s="20">
        <f t="shared" si="111"/>
        <v>29385</v>
      </c>
      <c r="Q110" s="20">
        <f t="shared" si="112"/>
        <v>783.6</v>
      </c>
      <c r="R110" s="20">
        <f t="shared" si="113"/>
        <v>803.85</v>
      </c>
      <c r="S110" s="20">
        <f t="shared" si="114"/>
        <v>284.27999999999997</v>
      </c>
      <c r="T110" s="20">
        <f t="shared" si="115"/>
        <v>1072.04</v>
      </c>
      <c r="U110" s="20">
        <f t="shared" si="116"/>
        <v>391.8</v>
      </c>
      <c r="V110" s="20">
        <f t="shared" si="117"/>
        <v>0</v>
      </c>
      <c r="W110" s="20">
        <f t="shared" si="118"/>
        <v>0</v>
      </c>
      <c r="X110" s="20">
        <f t="shared" si="119"/>
        <v>0</v>
      </c>
      <c r="Y110" s="20">
        <f t="shared" si="120"/>
        <v>0</v>
      </c>
      <c r="Z110" s="20">
        <f t="shared" si="121"/>
        <v>0</v>
      </c>
      <c r="AA110" s="10">
        <f t="shared" si="122"/>
        <v>73438.150000000009</v>
      </c>
    </row>
    <row r="111" spans="1:40">
      <c r="K111" s="2" t="s">
        <v>3</v>
      </c>
      <c r="L111" s="20">
        <f t="shared" si="107"/>
        <v>82476.14</v>
      </c>
      <c r="M111" s="20">
        <f t="shared" si="108"/>
        <v>16485.86</v>
      </c>
      <c r="N111" s="20">
        <f t="shared" si="109"/>
        <v>9818.7199999999993</v>
      </c>
      <c r="O111" s="20">
        <f t="shared" si="110"/>
        <v>2940.54</v>
      </c>
      <c r="P111" s="20">
        <f t="shared" si="111"/>
        <v>46624.2</v>
      </c>
      <c r="Q111" s="20">
        <f t="shared" si="112"/>
        <v>1861.05</v>
      </c>
      <c r="R111" s="20">
        <f t="shared" si="113"/>
        <v>2169.2800000000002</v>
      </c>
      <c r="S111" s="20">
        <f t="shared" si="114"/>
        <v>0</v>
      </c>
      <c r="T111" s="20">
        <f t="shared" si="115"/>
        <v>1782.55</v>
      </c>
      <c r="U111" s="20">
        <f t="shared" si="116"/>
        <v>293.85000000000002</v>
      </c>
      <c r="V111" s="20">
        <f t="shared" si="117"/>
        <v>0</v>
      </c>
      <c r="W111" s="20">
        <f t="shared" si="118"/>
        <v>0</v>
      </c>
      <c r="X111" s="20">
        <f t="shared" si="119"/>
        <v>28.57</v>
      </c>
      <c r="Y111" s="20">
        <f t="shared" si="120"/>
        <v>0</v>
      </c>
      <c r="Z111" s="20">
        <f t="shared" si="121"/>
        <v>0</v>
      </c>
      <c r="AA111" s="10">
        <f t="shared" si="122"/>
        <v>164480.75999999998</v>
      </c>
    </row>
    <row r="112" spans="1:40">
      <c r="K112" s="2" t="s">
        <v>4</v>
      </c>
      <c r="L112" s="20">
        <f t="shared" si="107"/>
        <v>290192.96999999997</v>
      </c>
      <c r="M112" s="20">
        <f t="shared" si="108"/>
        <v>66489.490000000005</v>
      </c>
      <c r="N112" s="20">
        <f t="shared" si="109"/>
        <v>45083.07</v>
      </c>
      <c r="O112" s="20">
        <f t="shared" si="110"/>
        <v>3387.54</v>
      </c>
      <c r="P112" s="20">
        <f t="shared" si="111"/>
        <v>150353.25</v>
      </c>
      <c r="Q112" s="20">
        <f t="shared" si="112"/>
        <v>2938.5</v>
      </c>
      <c r="R112" s="20">
        <f t="shared" si="113"/>
        <v>9420.9500000000007</v>
      </c>
      <c r="S112" s="20">
        <f t="shared" si="114"/>
        <v>0</v>
      </c>
      <c r="T112" s="20">
        <f t="shared" si="115"/>
        <v>9161.59</v>
      </c>
      <c r="U112" s="20">
        <f t="shared" si="116"/>
        <v>293.85000000000002</v>
      </c>
      <c r="V112" s="20">
        <f t="shared" si="117"/>
        <v>0</v>
      </c>
      <c r="W112" s="20">
        <f t="shared" si="118"/>
        <v>0</v>
      </c>
      <c r="X112" s="20">
        <f t="shared" si="119"/>
        <v>228.56</v>
      </c>
      <c r="Y112" s="20">
        <f t="shared" si="120"/>
        <v>62.93</v>
      </c>
      <c r="Z112" s="20">
        <f t="shared" si="121"/>
        <v>629.33000000000004</v>
      </c>
      <c r="AA112" s="10">
        <f t="shared" si="122"/>
        <v>578242.02999999991</v>
      </c>
    </row>
    <row r="113" spans="11:27">
      <c r="K113" s="2" t="s">
        <v>5</v>
      </c>
      <c r="L113" s="20">
        <f t="shared" si="107"/>
        <v>154805.78</v>
      </c>
      <c r="M113" s="20">
        <f t="shared" si="108"/>
        <v>16478.009999999998</v>
      </c>
      <c r="N113" s="20">
        <f t="shared" si="109"/>
        <v>17539.900000000001</v>
      </c>
      <c r="O113" s="20">
        <f t="shared" si="110"/>
        <v>1000.92</v>
      </c>
      <c r="P113" s="20">
        <f t="shared" si="111"/>
        <v>86391.9</v>
      </c>
      <c r="Q113" s="20">
        <f t="shared" si="112"/>
        <v>2448.75</v>
      </c>
      <c r="R113" s="20">
        <f t="shared" si="113"/>
        <v>1640.54</v>
      </c>
      <c r="S113" s="20">
        <f t="shared" si="114"/>
        <v>5562.72</v>
      </c>
      <c r="T113" s="20">
        <f t="shared" si="115"/>
        <v>2558.9499999999998</v>
      </c>
      <c r="U113" s="20">
        <f t="shared" si="116"/>
        <v>881.55</v>
      </c>
      <c r="V113" s="20">
        <f t="shared" si="117"/>
        <v>0</v>
      </c>
      <c r="W113" s="20">
        <f t="shared" si="118"/>
        <v>0</v>
      </c>
      <c r="X113" s="20">
        <f t="shared" si="119"/>
        <v>85.71</v>
      </c>
      <c r="Y113" s="20">
        <f t="shared" si="120"/>
        <v>0</v>
      </c>
      <c r="Z113" s="20">
        <f t="shared" si="121"/>
        <v>0</v>
      </c>
      <c r="AA113" s="10">
        <f t="shared" si="122"/>
        <v>289394.73</v>
      </c>
    </row>
    <row r="114" spans="11:27">
      <c r="K114" s="2" t="s">
        <v>6</v>
      </c>
      <c r="L114" s="20">
        <f t="shared" si="107"/>
        <v>492077.98</v>
      </c>
      <c r="M114" s="20">
        <f t="shared" si="108"/>
        <v>55093.9</v>
      </c>
      <c r="N114" s="20">
        <f t="shared" si="109"/>
        <v>43003.360000000001</v>
      </c>
      <c r="O114" s="20">
        <f t="shared" si="110"/>
        <v>4543.8900000000003</v>
      </c>
      <c r="P114" s="20">
        <f t="shared" si="111"/>
        <v>118323.6</v>
      </c>
      <c r="Q114" s="20">
        <f t="shared" si="112"/>
        <v>3036.45</v>
      </c>
      <c r="R114" s="20">
        <f t="shared" si="113"/>
        <v>7861.79</v>
      </c>
      <c r="S114" s="20">
        <f t="shared" si="114"/>
        <v>1105.56</v>
      </c>
      <c r="T114" s="20">
        <f t="shared" si="115"/>
        <v>7518.84</v>
      </c>
      <c r="U114" s="20">
        <f t="shared" si="116"/>
        <v>685.65</v>
      </c>
      <c r="V114" s="20">
        <f t="shared" si="117"/>
        <v>0</v>
      </c>
      <c r="W114" s="20">
        <f t="shared" si="118"/>
        <v>0</v>
      </c>
      <c r="X114" s="20">
        <f t="shared" si="119"/>
        <v>114.28</v>
      </c>
      <c r="Y114" s="20">
        <f t="shared" si="120"/>
        <v>0</v>
      </c>
      <c r="Z114" s="20">
        <f t="shared" si="121"/>
        <v>0</v>
      </c>
      <c r="AA114" s="10">
        <f t="shared" si="122"/>
        <v>733365.3</v>
      </c>
    </row>
    <row r="115" spans="11:27">
      <c r="K115" s="2" t="s">
        <v>7</v>
      </c>
      <c r="L115" s="20">
        <f t="shared" si="107"/>
        <v>342684.23</v>
      </c>
      <c r="M115" s="20">
        <f t="shared" si="108"/>
        <v>32330.75</v>
      </c>
      <c r="N115" s="20">
        <f t="shared" si="109"/>
        <v>57091.040000000001</v>
      </c>
      <c r="O115" s="20">
        <f t="shared" si="110"/>
        <v>3637.99</v>
      </c>
      <c r="P115" s="20">
        <f t="shared" si="111"/>
        <v>98635.65</v>
      </c>
      <c r="Q115" s="20">
        <f t="shared" si="112"/>
        <v>2056.9499999999998</v>
      </c>
      <c r="R115" s="20">
        <f t="shared" si="113"/>
        <v>7874.61</v>
      </c>
      <c r="S115" s="20">
        <f t="shared" si="114"/>
        <v>1484.49</v>
      </c>
      <c r="T115" s="20">
        <f t="shared" si="115"/>
        <v>2469.4899999999998</v>
      </c>
      <c r="U115" s="20">
        <f t="shared" si="116"/>
        <v>0</v>
      </c>
      <c r="V115" s="20">
        <f t="shared" si="117"/>
        <v>0</v>
      </c>
      <c r="W115" s="20">
        <f t="shared" si="118"/>
        <v>0</v>
      </c>
      <c r="X115" s="20">
        <f t="shared" si="119"/>
        <v>0</v>
      </c>
      <c r="Y115" s="20">
        <f t="shared" si="120"/>
        <v>0</v>
      </c>
      <c r="Z115" s="20">
        <f t="shared" si="121"/>
        <v>0</v>
      </c>
      <c r="AA115" s="10">
        <f t="shared" si="122"/>
        <v>548265.19999999984</v>
      </c>
    </row>
    <row r="116" spans="11:27">
      <c r="K116" s="2" t="s">
        <v>8</v>
      </c>
      <c r="L116" s="20">
        <f t="shared" si="107"/>
        <v>263553.43</v>
      </c>
      <c r="M116" s="20">
        <f t="shared" si="108"/>
        <v>42656.25</v>
      </c>
      <c r="N116" s="20">
        <f t="shared" si="109"/>
        <v>38474.97</v>
      </c>
      <c r="O116" s="20">
        <f t="shared" si="110"/>
        <v>8065.94</v>
      </c>
      <c r="P116" s="20">
        <f t="shared" si="111"/>
        <v>202560.6</v>
      </c>
      <c r="Q116" s="20">
        <f t="shared" si="112"/>
        <v>2546.6999999999998</v>
      </c>
      <c r="R116" s="20">
        <f t="shared" si="113"/>
        <v>6501.44</v>
      </c>
      <c r="S116" s="20">
        <f t="shared" si="114"/>
        <v>2441.65</v>
      </c>
      <c r="T116" s="20">
        <f t="shared" si="115"/>
        <v>5313.71</v>
      </c>
      <c r="U116" s="20">
        <f t="shared" si="116"/>
        <v>97.95</v>
      </c>
      <c r="V116" s="20">
        <f t="shared" si="117"/>
        <v>0</v>
      </c>
      <c r="W116" s="20">
        <f t="shared" si="118"/>
        <v>0</v>
      </c>
      <c r="X116" s="20">
        <f t="shared" si="119"/>
        <v>57.14</v>
      </c>
      <c r="Y116" s="20">
        <f t="shared" si="120"/>
        <v>0</v>
      </c>
      <c r="Z116" s="20">
        <f t="shared" si="121"/>
        <v>0</v>
      </c>
      <c r="AA116" s="10">
        <f t="shared" si="122"/>
        <v>572269.77999999991</v>
      </c>
    </row>
    <row r="117" spans="11:27">
      <c r="K117" s="2" t="s">
        <v>9</v>
      </c>
      <c r="L117" s="20">
        <f t="shared" si="107"/>
        <v>71643.19</v>
      </c>
      <c r="M117" s="20">
        <f t="shared" si="108"/>
        <v>26844.22</v>
      </c>
      <c r="N117" s="20">
        <f t="shared" si="109"/>
        <v>8402.11</v>
      </c>
      <c r="O117" s="20">
        <f t="shared" si="110"/>
        <v>915.94</v>
      </c>
      <c r="P117" s="20">
        <f t="shared" si="111"/>
        <v>37416.9</v>
      </c>
      <c r="Q117" s="20">
        <f t="shared" si="112"/>
        <v>1175.4000000000001</v>
      </c>
      <c r="R117" s="20">
        <f t="shared" si="113"/>
        <v>2760.77</v>
      </c>
      <c r="S117" s="20">
        <f t="shared" si="114"/>
        <v>0</v>
      </c>
      <c r="T117" s="20">
        <f t="shared" si="115"/>
        <v>3545.82</v>
      </c>
      <c r="U117" s="20">
        <f t="shared" si="116"/>
        <v>293.85000000000002</v>
      </c>
      <c r="V117" s="20">
        <f t="shared" si="117"/>
        <v>0</v>
      </c>
      <c r="W117" s="20">
        <f t="shared" si="118"/>
        <v>0</v>
      </c>
      <c r="X117" s="20">
        <f t="shared" si="119"/>
        <v>0</v>
      </c>
      <c r="Y117" s="20">
        <f t="shared" si="120"/>
        <v>0</v>
      </c>
      <c r="Z117" s="20">
        <f t="shared" si="121"/>
        <v>0</v>
      </c>
      <c r="AA117" s="10">
        <f t="shared" si="122"/>
        <v>152998.20000000001</v>
      </c>
    </row>
    <row r="118" spans="11:27">
      <c r="K118" s="2" t="s">
        <v>10</v>
      </c>
      <c r="L118" s="20">
        <f t="shared" si="107"/>
        <v>199352.69</v>
      </c>
      <c r="M118" s="20">
        <f t="shared" si="108"/>
        <v>21242.400000000001</v>
      </c>
      <c r="N118" s="20">
        <f t="shared" si="109"/>
        <v>33703.269999999997</v>
      </c>
      <c r="O118" s="20">
        <f t="shared" si="110"/>
        <v>3537.9</v>
      </c>
      <c r="P118" s="20">
        <f t="shared" si="111"/>
        <v>213919.61</v>
      </c>
      <c r="Q118" s="20">
        <f t="shared" si="112"/>
        <v>1665.15</v>
      </c>
      <c r="R118" s="20">
        <f t="shared" si="113"/>
        <v>1891.86</v>
      </c>
      <c r="S118" s="20">
        <f t="shared" si="114"/>
        <v>0</v>
      </c>
      <c r="T118" s="20">
        <f t="shared" si="115"/>
        <v>4241.07</v>
      </c>
      <c r="U118" s="20">
        <f t="shared" si="116"/>
        <v>97.95</v>
      </c>
      <c r="V118" s="20">
        <f t="shared" si="117"/>
        <v>0</v>
      </c>
      <c r="W118" s="20">
        <f t="shared" si="118"/>
        <v>0</v>
      </c>
      <c r="X118" s="20">
        <f t="shared" si="119"/>
        <v>85.71</v>
      </c>
      <c r="Y118" s="20">
        <f t="shared" si="120"/>
        <v>0</v>
      </c>
      <c r="Z118" s="20">
        <f t="shared" si="121"/>
        <v>0</v>
      </c>
      <c r="AA118" s="10">
        <f t="shared" si="122"/>
        <v>479737.61000000004</v>
      </c>
    </row>
    <row r="119" spans="11:27">
      <c r="K119" s="2" t="s">
        <v>11</v>
      </c>
      <c r="L119" s="20">
        <f t="shared" si="107"/>
        <v>140750.32999999999</v>
      </c>
      <c r="M119" s="20">
        <f t="shared" si="108"/>
        <v>24809.49</v>
      </c>
      <c r="N119" s="20">
        <f t="shared" si="109"/>
        <v>21271.93</v>
      </c>
      <c r="O119" s="20">
        <f t="shared" si="110"/>
        <v>2773.71</v>
      </c>
      <c r="P119" s="20">
        <f t="shared" si="111"/>
        <v>148100.4</v>
      </c>
      <c r="Q119" s="20">
        <f t="shared" si="112"/>
        <v>2742.6</v>
      </c>
      <c r="R119" s="20">
        <f t="shared" si="113"/>
        <v>3354.43</v>
      </c>
      <c r="S119" s="20">
        <f t="shared" si="114"/>
        <v>730.19</v>
      </c>
      <c r="T119" s="20">
        <f t="shared" si="115"/>
        <v>3301.37</v>
      </c>
      <c r="U119" s="20">
        <f t="shared" si="116"/>
        <v>685.65</v>
      </c>
      <c r="V119" s="20">
        <f t="shared" si="117"/>
        <v>0</v>
      </c>
      <c r="W119" s="20">
        <f t="shared" si="118"/>
        <v>308.41000000000003</v>
      </c>
      <c r="X119" s="20">
        <f t="shared" si="119"/>
        <v>57.14</v>
      </c>
      <c r="Y119" s="20">
        <f t="shared" si="120"/>
        <v>40.39</v>
      </c>
      <c r="Z119" s="20">
        <f t="shared" si="121"/>
        <v>0</v>
      </c>
      <c r="AA119" s="10">
        <f t="shared" si="122"/>
        <v>348926.04</v>
      </c>
    </row>
    <row r="120" spans="11:27">
      <c r="K120" s="2" t="s">
        <v>12</v>
      </c>
      <c r="L120" s="20">
        <f t="shared" si="107"/>
        <v>818363.24</v>
      </c>
      <c r="M120" s="20">
        <f t="shared" si="108"/>
        <v>179713.74</v>
      </c>
      <c r="N120" s="20">
        <f t="shared" si="109"/>
        <v>118377.08</v>
      </c>
      <c r="O120" s="20">
        <f t="shared" si="110"/>
        <v>24241.85</v>
      </c>
      <c r="P120" s="20">
        <f t="shared" si="111"/>
        <v>354383.1</v>
      </c>
      <c r="Q120" s="20">
        <f t="shared" si="112"/>
        <v>5191.3500000000004</v>
      </c>
      <c r="R120" s="20">
        <f t="shared" si="113"/>
        <v>28183.47</v>
      </c>
      <c r="S120" s="20">
        <f t="shared" si="114"/>
        <v>0</v>
      </c>
      <c r="T120" s="20">
        <f t="shared" si="115"/>
        <v>22198.29</v>
      </c>
      <c r="U120" s="20">
        <f t="shared" si="116"/>
        <v>3526.2</v>
      </c>
      <c r="V120" s="20">
        <f t="shared" si="117"/>
        <v>0</v>
      </c>
      <c r="W120" s="20">
        <f t="shared" si="118"/>
        <v>0</v>
      </c>
      <c r="X120" s="20">
        <f t="shared" si="119"/>
        <v>657.11</v>
      </c>
      <c r="Y120" s="20">
        <f t="shared" si="120"/>
        <v>0</v>
      </c>
      <c r="Z120" s="20">
        <f t="shared" si="121"/>
        <v>0</v>
      </c>
      <c r="AA120" s="10">
        <f t="shared" si="122"/>
        <v>1554835.4300000004</v>
      </c>
    </row>
    <row r="121" spans="11:27">
      <c r="K121" s="2" t="s">
        <v>15</v>
      </c>
      <c r="L121" s="20">
        <f t="shared" si="107"/>
        <v>113553.85</v>
      </c>
      <c r="M121" s="20">
        <f t="shared" si="108"/>
        <v>36281.89</v>
      </c>
      <c r="N121" s="20">
        <f t="shared" si="109"/>
        <v>11513.9</v>
      </c>
      <c r="O121" s="20">
        <f t="shared" si="110"/>
        <v>2675.48</v>
      </c>
      <c r="P121" s="20">
        <f t="shared" si="111"/>
        <v>53970.45</v>
      </c>
      <c r="Q121" s="20">
        <f t="shared" si="112"/>
        <v>1959</v>
      </c>
      <c r="R121" s="20">
        <f t="shared" si="113"/>
        <v>5486.06</v>
      </c>
      <c r="S121" s="20">
        <f t="shared" si="114"/>
        <v>0</v>
      </c>
      <c r="T121" s="20">
        <f t="shared" si="115"/>
        <v>3612.76</v>
      </c>
      <c r="U121" s="20">
        <f t="shared" si="116"/>
        <v>0</v>
      </c>
      <c r="V121" s="20">
        <f t="shared" si="117"/>
        <v>0</v>
      </c>
      <c r="W121" s="20">
        <f t="shared" si="118"/>
        <v>0</v>
      </c>
      <c r="X121" s="20">
        <f t="shared" si="119"/>
        <v>28.57</v>
      </c>
      <c r="Y121" s="20">
        <f t="shared" si="120"/>
        <v>0</v>
      </c>
      <c r="Z121" s="20">
        <f t="shared" si="121"/>
        <v>0</v>
      </c>
      <c r="AA121" s="10">
        <f t="shared" si="122"/>
        <v>229081.96000000002</v>
      </c>
    </row>
    <row r="122" spans="11:27">
      <c r="K122" s="2" t="s">
        <v>14</v>
      </c>
      <c r="L122" s="20">
        <f t="shared" si="107"/>
        <v>125760.37</v>
      </c>
      <c r="M122" s="20">
        <f t="shared" si="108"/>
        <v>31642.27</v>
      </c>
      <c r="N122" s="20">
        <f t="shared" si="109"/>
        <v>13637.67</v>
      </c>
      <c r="O122" s="20">
        <f t="shared" si="110"/>
        <v>5428.06</v>
      </c>
      <c r="P122" s="20">
        <f t="shared" si="111"/>
        <v>72874.8</v>
      </c>
      <c r="Q122" s="20">
        <f t="shared" si="112"/>
        <v>1273.3499999999999</v>
      </c>
      <c r="R122" s="20">
        <f t="shared" si="113"/>
        <v>5477.11</v>
      </c>
      <c r="S122" s="20">
        <f t="shared" si="114"/>
        <v>580.04999999999995</v>
      </c>
      <c r="T122" s="20">
        <f t="shared" si="115"/>
        <v>3767.27</v>
      </c>
      <c r="U122" s="20">
        <f t="shared" si="116"/>
        <v>195.9</v>
      </c>
      <c r="V122" s="20">
        <f t="shared" si="117"/>
        <v>0</v>
      </c>
      <c r="W122" s="20">
        <f t="shared" si="118"/>
        <v>0</v>
      </c>
      <c r="X122" s="20">
        <f t="shared" si="119"/>
        <v>85.71</v>
      </c>
      <c r="Y122" s="20">
        <f t="shared" si="120"/>
        <v>0</v>
      </c>
      <c r="Z122" s="20">
        <f t="shared" si="121"/>
        <v>0</v>
      </c>
      <c r="AA122" s="10">
        <f t="shared" si="122"/>
        <v>260722.55999999994</v>
      </c>
    </row>
    <row r="123" spans="11:27">
      <c r="K123" s="2" t="s">
        <v>13</v>
      </c>
      <c r="L123" s="20">
        <f t="shared" si="107"/>
        <v>704920.02</v>
      </c>
      <c r="M123" s="20">
        <f t="shared" si="108"/>
        <v>144178.41</v>
      </c>
      <c r="N123" s="20">
        <f t="shared" si="109"/>
        <v>133014.57999999999</v>
      </c>
      <c r="O123" s="20">
        <f t="shared" si="110"/>
        <v>38248.92</v>
      </c>
      <c r="P123" s="20">
        <f t="shared" si="111"/>
        <v>531182.85</v>
      </c>
      <c r="Q123" s="20">
        <f t="shared" si="112"/>
        <v>11460.15</v>
      </c>
      <c r="R123" s="20">
        <f t="shared" si="113"/>
        <v>23476.83</v>
      </c>
      <c r="S123" s="20">
        <f t="shared" si="114"/>
        <v>0</v>
      </c>
      <c r="T123" s="20">
        <f t="shared" si="115"/>
        <v>20096.439999999999</v>
      </c>
      <c r="U123" s="20">
        <f t="shared" si="116"/>
        <v>3330.3</v>
      </c>
      <c r="V123" s="20">
        <f t="shared" si="117"/>
        <v>0</v>
      </c>
      <c r="W123" s="20">
        <f t="shared" si="118"/>
        <v>0</v>
      </c>
      <c r="X123" s="20">
        <f t="shared" si="119"/>
        <v>342.84</v>
      </c>
      <c r="Y123" s="20">
        <f t="shared" si="120"/>
        <v>0</v>
      </c>
      <c r="Z123" s="20">
        <f t="shared" si="121"/>
        <v>0</v>
      </c>
      <c r="AA123" s="10">
        <f t="shared" si="122"/>
        <v>1610251.34</v>
      </c>
    </row>
    <row r="124" spans="11:27">
      <c r="K124" s="2" t="s">
        <v>16</v>
      </c>
      <c r="L124" s="20">
        <f t="shared" si="107"/>
        <v>276643.37</v>
      </c>
      <c r="M124" s="20">
        <f t="shared" si="108"/>
        <v>53274.84</v>
      </c>
      <c r="N124" s="20">
        <f t="shared" si="109"/>
        <v>35710.720000000001</v>
      </c>
      <c r="O124" s="20">
        <f t="shared" si="110"/>
        <v>6911.45</v>
      </c>
      <c r="P124" s="20">
        <f t="shared" si="111"/>
        <v>129098.1</v>
      </c>
      <c r="Q124" s="20">
        <f t="shared" si="112"/>
        <v>4603.6499999999996</v>
      </c>
      <c r="R124" s="20">
        <f t="shared" si="113"/>
        <v>6843.73</v>
      </c>
      <c r="S124" s="20">
        <f t="shared" si="114"/>
        <v>0</v>
      </c>
      <c r="T124" s="20">
        <f t="shared" si="115"/>
        <v>8442.6</v>
      </c>
      <c r="U124" s="20">
        <f t="shared" si="116"/>
        <v>97.95</v>
      </c>
      <c r="V124" s="20">
        <f t="shared" si="117"/>
        <v>0</v>
      </c>
      <c r="W124" s="20">
        <f t="shared" si="118"/>
        <v>0</v>
      </c>
      <c r="X124" s="20">
        <f t="shared" si="119"/>
        <v>257.13</v>
      </c>
      <c r="Y124" s="20">
        <f t="shared" si="120"/>
        <v>0</v>
      </c>
      <c r="Z124" s="20">
        <f t="shared" si="121"/>
        <v>0</v>
      </c>
      <c r="AA124" s="10">
        <f t="shared" si="122"/>
        <v>521883.54</v>
      </c>
    </row>
    <row r="125" spans="11:27">
      <c r="K125" s="2" t="s">
        <v>17</v>
      </c>
      <c r="L125" s="20">
        <f t="shared" si="107"/>
        <v>52025.02</v>
      </c>
      <c r="M125" s="20">
        <f t="shared" si="108"/>
        <v>11163.76</v>
      </c>
      <c r="N125" s="20">
        <f t="shared" si="109"/>
        <v>10011.15</v>
      </c>
      <c r="O125" s="20">
        <f t="shared" si="110"/>
        <v>1426.82</v>
      </c>
      <c r="P125" s="20">
        <f t="shared" si="111"/>
        <v>31050.15</v>
      </c>
      <c r="Q125" s="20">
        <f t="shared" si="112"/>
        <v>1371.3</v>
      </c>
      <c r="R125" s="20">
        <f t="shared" si="113"/>
        <v>1079.1400000000001</v>
      </c>
      <c r="S125" s="20">
        <f t="shared" si="114"/>
        <v>0</v>
      </c>
      <c r="T125" s="20">
        <f t="shared" si="115"/>
        <v>2032.18</v>
      </c>
      <c r="U125" s="20">
        <f t="shared" si="116"/>
        <v>0</v>
      </c>
      <c r="V125" s="20">
        <f t="shared" si="117"/>
        <v>0</v>
      </c>
      <c r="W125" s="20">
        <f t="shared" si="118"/>
        <v>0</v>
      </c>
      <c r="X125" s="20">
        <f t="shared" si="119"/>
        <v>0</v>
      </c>
      <c r="Y125" s="20">
        <f t="shared" si="120"/>
        <v>0</v>
      </c>
      <c r="Z125" s="20">
        <f t="shared" si="121"/>
        <v>0</v>
      </c>
      <c r="AA125" s="10">
        <f t="shared" si="122"/>
        <v>110159.51999999999</v>
      </c>
    </row>
    <row r="126" spans="11:27">
      <c r="K126" s="2" t="s">
        <v>18</v>
      </c>
      <c r="L126" s="20">
        <f t="shared" si="107"/>
        <v>986707.03</v>
      </c>
      <c r="M126" s="20">
        <f t="shared" si="108"/>
        <v>124624.1</v>
      </c>
      <c r="N126" s="20">
        <f t="shared" si="109"/>
        <v>179472.72</v>
      </c>
      <c r="O126" s="20">
        <f t="shared" si="110"/>
        <v>20603.7</v>
      </c>
      <c r="P126" s="20">
        <f t="shared" si="111"/>
        <v>419699.8</v>
      </c>
      <c r="Q126" s="20">
        <f t="shared" si="112"/>
        <v>15401.91</v>
      </c>
      <c r="R126" s="20">
        <f t="shared" si="113"/>
        <v>29620.06</v>
      </c>
      <c r="S126" s="20">
        <f t="shared" si="114"/>
        <v>1636.96</v>
      </c>
      <c r="T126" s="20">
        <f t="shared" si="115"/>
        <v>15764.42</v>
      </c>
      <c r="U126" s="20">
        <f t="shared" si="116"/>
        <v>1469.25</v>
      </c>
      <c r="V126" s="20">
        <f t="shared" si="117"/>
        <v>0</v>
      </c>
      <c r="W126" s="20">
        <f t="shared" si="118"/>
        <v>0</v>
      </c>
      <c r="X126" s="20">
        <f t="shared" si="119"/>
        <v>685.68</v>
      </c>
      <c r="Y126" s="20">
        <f t="shared" si="120"/>
        <v>0</v>
      </c>
      <c r="Z126" s="20">
        <f t="shared" si="121"/>
        <v>0</v>
      </c>
      <c r="AA126" s="10">
        <f t="shared" si="122"/>
        <v>1795685.63</v>
      </c>
    </row>
    <row r="127" spans="11:27">
      <c r="K127" s="2" t="s">
        <v>20</v>
      </c>
      <c r="L127" s="20">
        <f t="shared" si="107"/>
        <v>129148.03</v>
      </c>
      <c r="M127" s="20">
        <f t="shared" si="108"/>
        <v>32641</v>
      </c>
      <c r="N127" s="20">
        <f t="shared" si="109"/>
        <v>11561.52</v>
      </c>
      <c r="O127" s="20">
        <f t="shared" si="110"/>
        <v>2580.77</v>
      </c>
      <c r="P127" s="20">
        <f t="shared" si="111"/>
        <v>55733.55</v>
      </c>
      <c r="Q127" s="20">
        <f t="shared" si="112"/>
        <v>1371.3</v>
      </c>
      <c r="R127" s="20">
        <f t="shared" si="113"/>
        <v>6036.06</v>
      </c>
      <c r="S127" s="20">
        <f t="shared" si="114"/>
        <v>0</v>
      </c>
      <c r="T127" s="20">
        <f t="shared" si="115"/>
        <v>3625.03</v>
      </c>
      <c r="U127" s="20">
        <f t="shared" si="116"/>
        <v>97.95</v>
      </c>
      <c r="V127" s="20">
        <f t="shared" si="117"/>
        <v>0</v>
      </c>
      <c r="W127" s="20">
        <f t="shared" si="118"/>
        <v>0</v>
      </c>
      <c r="X127" s="20">
        <f t="shared" si="119"/>
        <v>85.71</v>
      </c>
      <c r="Y127" s="20">
        <f t="shared" si="120"/>
        <v>0</v>
      </c>
      <c r="Z127" s="20">
        <f t="shared" si="121"/>
        <v>0</v>
      </c>
      <c r="AA127" s="10">
        <f t="shared" si="122"/>
        <v>242880.91999999998</v>
      </c>
    </row>
    <row r="128" spans="11:27">
      <c r="K128" s="2" t="s">
        <v>19</v>
      </c>
      <c r="L128" s="20">
        <f t="shared" si="107"/>
        <v>996492.81</v>
      </c>
      <c r="M128" s="20">
        <f t="shared" si="108"/>
        <v>112094.56</v>
      </c>
      <c r="N128" s="20">
        <f t="shared" si="109"/>
        <v>145536.43</v>
      </c>
      <c r="O128" s="20">
        <f t="shared" si="110"/>
        <v>28786.560000000001</v>
      </c>
      <c r="P128" s="20">
        <f t="shared" si="111"/>
        <v>695836.8</v>
      </c>
      <c r="Q128" s="20">
        <f t="shared" si="112"/>
        <v>4701.6000000000004</v>
      </c>
      <c r="R128" s="20">
        <f t="shared" si="113"/>
        <v>17269.68</v>
      </c>
      <c r="S128" s="20">
        <f t="shared" si="114"/>
        <v>1090.05</v>
      </c>
      <c r="T128" s="20">
        <f t="shared" si="115"/>
        <v>15430.43</v>
      </c>
      <c r="U128" s="20">
        <f t="shared" si="116"/>
        <v>2154.9</v>
      </c>
      <c r="V128" s="20">
        <f t="shared" si="117"/>
        <v>195.9</v>
      </c>
      <c r="W128" s="20">
        <f t="shared" si="118"/>
        <v>835.31</v>
      </c>
      <c r="X128" s="20">
        <f t="shared" si="119"/>
        <v>228.56</v>
      </c>
      <c r="Y128" s="20">
        <f t="shared" si="120"/>
        <v>0</v>
      </c>
      <c r="Z128" s="20">
        <f t="shared" si="121"/>
        <v>0</v>
      </c>
      <c r="AA128" s="10">
        <f t="shared" si="122"/>
        <v>2020653.59</v>
      </c>
    </row>
    <row r="129" spans="11:27">
      <c r="K129" s="2" t="s">
        <v>21</v>
      </c>
      <c r="L129" s="20">
        <f t="shared" si="107"/>
        <v>40804.519999999997</v>
      </c>
      <c r="M129" s="20">
        <f t="shared" si="108"/>
        <v>11485.46</v>
      </c>
      <c r="N129" s="20">
        <f t="shared" si="109"/>
        <v>3695.11</v>
      </c>
      <c r="O129" s="20">
        <f t="shared" si="110"/>
        <v>2327.33</v>
      </c>
      <c r="P129" s="20">
        <f t="shared" si="111"/>
        <v>70132.2</v>
      </c>
      <c r="Q129" s="20">
        <f t="shared" si="112"/>
        <v>881.55</v>
      </c>
      <c r="R129" s="20">
        <f t="shared" si="113"/>
        <v>1637.2</v>
      </c>
      <c r="S129" s="20">
        <f t="shared" si="114"/>
        <v>0</v>
      </c>
      <c r="T129" s="20">
        <f t="shared" si="115"/>
        <v>1921.48</v>
      </c>
      <c r="U129" s="20">
        <f t="shared" si="116"/>
        <v>0</v>
      </c>
      <c r="V129" s="20">
        <f t="shared" si="117"/>
        <v>0</v>
      </c>
      <c r="W129" s="20">
        <f t="shared" si="118"/>
        <v>0</v>
      </c>
      <c r="X129" s="20">
        <f t="shared" si="119"/>
        <v>28.57</v>
      </c>
      <c r="Y129" s="20">
        <f t="shared" si="120"/>
        <v>0</v>
      </c>
      <c r="Z129" s="20">
        <f t="shared" si="121"/>
        <v>0</v>
      </c>
      <c r="AA129" s="10">
        <f t="shared" si="122"/>
        <v>132913.42000000001</v>
      </c>
    </row>
    <row r="130" spans="11:27">
      <c r="K130" s="2" t="s">
        <v>22</v>
      </c>
      <c r="L130" s="20">
        <f t="shared" si="107"/>
        <v>11804.35</v>
      </c>
      <c r="M130" s="20">
        <f t="shared" si="108"/>
        <v>1554.56</v>
      </c>
      <c r="N130" s="20">
        <f t="shared" si="109"/>
        <v>1257.0999999999999</v>
      </c>
      <c r="O130" s="20">
        <f t="shared" si="110"/>
        <v>460.66</v>
      </c>
      <c r="P130" s="20">
        <f t="shared" si="111"/>
        <v>9403.2000000000007</v>
      </c>
      <c r="Q130" s="20">
        <f t="shared" si="112"/>
        <v>97.95</v>
      </c>
      <c r="R130" s="20">
        <f t="shared" si="113"/>
        <v>130.91</v>
      </c>
      <c r="S130" s="20">
        <f t="shared" si="114"/>
        <v>0</v>
      </c>
      <c r="T130" s="20">
        <f t="shared" si="115"/>
        <v>171.22</v>
      </c>
      <c r="U130" s="20">
        <f t="shared" si="116"/>
        <v>0</v>
      </c>
      <c r="V130" s="20">
        <f t="shared" si="117"/>
        <v>0</v>
      </c>
      <c r="W130" s="20">
        <f t="shared" si="118"/>
        <v>0</v>
      </c>
      <c r="X130" s="20">
        <f t="shared" si="119"/>
        <v>0</v>
      </c>
      <c r="Y130" s="20">
        <f t="shared" si="120"/>
        <v>0</v>
      </c>
      <c r="Z130" s="20">
        <f t="shared" si="121"/>
        <v>0</v>
      </c>
      <c r="AA130" s="10">
        <f t="shared" si="122"/>
        <v>24879.950000000004</v>
      </c>
    </row>
    <row r="131" spans="11:27">
      <c r="K131" s="2" t="s">
        <v>23</v>
      </c>
      <c r="L131" s="20">
        <f t="shared" si="107"/>
        <v>740898.1</v>
      </c>
      <c r="M131" s="20">
        <f t="shared" si="108"/>
        <v>62697.34</v>
      </c>
      <c r="N131" s="20">
        <f t="shared" si="109"/>
        <v>111932.04</v>
      </c>
      <c r="O131" s="20">
        <f t="shared" si="110"/>
        <v>12753.68</v>
      </c>
      <c r="P131" s="20">
        <f t="shared" si="111"/>
        <v>410410.5</v>
      </c>
      <c r="Q131" s="20">
        <f t="shared" si="112"/>
        <v>3722.1</v>
      </c>
      <c r="R131" s="20">
        <f t="shared" si="113"/>
        <v>7401.92</v>
      </c>
      <c r="S131" s="20">
        <f t="shared" si="114"/>
        <v>0</v>
      </c>
      <c r="T131" s="20">
        <f t="shared" si="115"/>
        <v>9839.7099999999991</v>
      </c>
      <c r="U131" s="20">
        <f t="shared" si="116"/>
        <v>979.5</v>
      </c>
      <c r="V131" s="20">
        <f t="shared" si="117"/>
        <v>0</v>
      </c>
      <c r="W131" s="20">
        <f t="shared" si="118"/>
        <v>0</v>
      </c>
      <c r="X131" s="20">
        <f t="shared" si="119"/>
        <v>114.28</v>
      </c>
      <c r="Y131" s="20">
        <f t="shared" si="120"/>
        <v>0</v>
      </c>
      <c r="Z131" s="20">
        <f t="shared" si="121"/>
        <v>0</v>
      </c>
      <c r="AA131" s="10">
        <f t="shared" si="122"/>
        <v>1360749.1700000002</v>
      </c>
    </row>
    <row r="132" spans="11:27">
      <c r="K132" s="2" t="s">
        <v>25</v>
      </c>
      <c r="L132" s="20">
        <f t="shared" si="107"/>
        <v>3710769.18</v>
      </c>
      <c r="M132" s="20">
        <f t="shared" si="108"/>
        <v>568088.93000000005</v>
      </c>
      <c r="N132" s="20">
        <f t="shared" si="109"/>
        <v>584771.14</v>
      </c>
      <c r="O132" s="20">
        <f t="shared" si="110"/>
        <v>68960.649999999994</v>
      </c>
      <c r="P132" s="20">
        <f t="shared" si="111"/>
        <v>2369704.35</v>
      </c>
      <c r="Q132" s="20">
        <f t="shared" si="112"/>
        <v>26250.6</v>
      </c>
      <c r="R132" s="20">
        <f t="shared" si="113"/>
        <v>107348.94</v>
      </c>
      <c r="S132" s="20">
        <f t="shared" si="114"/>
        <v>5823.7</v>
      </c>
      <c r="T132" s="20">
        <f t="shared" si="115"/>
        <v>68418.67</v>
      </c>
      <c r="U132" s="20">
        <f t="shared" si="116"/>
        <v>6366.75</v>
      </c>
      <c r="V132" s="20">
        <f t="shared" si="117"/>
        <v>195.9</v>
      </c>
      <c r="W132" s="20">
        <f t="shared" si="118"/>
        <v>680</v>
      </c>
      <c r="X132" s="20">
        <f t="shared" si="119"/>
        <v>2199.89</v>
      </c>
      <c r="Y132" s="20">
        <f t="shared" si="120"/>
        <v>163.63</v>
      </c>
      <c r="Z132" s="20">
        <f t="shared" si="121"/>
        <v>1670.54</v>
      </c>
      <c r="AA132" s="10">
        <f t="shared" si="122"/>
        <v>7521412.8700000001</v>
      </c>
    </row>
    <row r="133" spans="11:27">
      <c r="K133" s="2" t="s">
        <v>24</v>
      </c>
      <c r="L133" s="20">
        <f t="shared" si="107"/>
        <v>64352.509999999995</v>
      </c>
      <c r="M133" s="20">
        <f t="shared" si="108"/>
        <v>12859.37</v>
      </c>
      <c r="N133" s="20">
        <f t="shared" si="109"/>
        <v>7437.85</v>
      </c>
      <c r="O133" s="20">
        <f t="shared" si="110"/>
        <v>646.38</v>
      </c>
      <c r="P133" s="20">
        <f t="shared" si="111"/>
        <v>51031.95</v>
      </c>
      <c r="Q133" s="20">
        <f t="shared" si="112"/>
        <v>2252.85</v>
      </c>
      <c r="R133" s="20">
        <f t="shared" si="113"/>
        <v>1004.1</v>
      </c>
      <c r="S133" s="20">
        <f t="shared" si="114"/>
        <v>0</v>
      </c>
      <c r="T133" s="20">
        <f t="shared" si="115"/>
        <v>2176.2399999999998</v>
      </c>
      <c r="U133" s="20">
        <f t="shared" si="116"/>
        <v>391.8</v>
      </c>
      <c r="V133" s="20">
        <f t="shared" si="117"/>
        <v>0</v>
      </c>
      <c r="W133" s="20">
        <f t="shared" si="118"/>
        <v>0</v>
      </c>
      <c r="X133" s="20">
        <f t="shared" si="119"/>
        <v>0</v>
      </c>
      <c r="Y133" s="20">
        <f t="shared" si="120"/>
        <v>0</v>
      </c>
      <c r="Z133" s="20">
        <f t="shared" si="121"/>
        <v>0</v>
      </c>
      <c r="AA133" s="10">
        <f t="shared" si="122"/>
        <v>142153.04999999999</v>
      </c>
    </row>
    <row r="134" spans="11:27">
      <c r="K134" s="2" t="s">
        <v>26</v>
      </c>
      <c r="L134" s="20">
        <f t="shared" si="107"/>
        <v>31890.54</v>
      </c>
      <c r="M134" s="20">
        <f t="shared" si="108"/>
        <v>9749.2999999999993</v>
      </c>
      <c r="N134" s="20">
        <f t="shared" si="109"/>
        <v>4533.18</v>
      </c>
      <c r="O134" s="20">
        <f t="shared" si="110"/>
        <v>1862.54</v>
      </c>
      <c r="P134" s="20">
        <f t="shared" si="111"/>
        <v>32911.199999999997</v>
      </c>
      <c r="Q134" s="20">
        <f t="shared" si="112"/>
        <v>489.75</v>
      </c>
      <c r="R134" s="20">
        <f t="shared" si="113"/>
        <v>1362.01</v>
      </c>
      <c r="S134" s="20">
        <f t="shared" si="114"/>
        <v>0</v>
      </c>
      <c r="T134" s="20">
        <f t="shared" si="115"/>
        <v>1004.4</v>
      </c>
      <c r="U134" s="20">
        <f t="shared" si="116"/>
        <v>391.8</v>
      </c>
      <c r="V134" s="20">
        <f t="shared" si="117"/>
        <v>0</v>
      </c>
      <c r="W134" s="20">
        <f t="shared" si="118"/>
        <v>0</v>
      </c>
      <c r="X134" s="20">
        <f t="shared" si="119"/>
        <v>0</v>
      </c>
      <c r="Y134" s="20">
        <f t="shared" si="120"/>
        <v>0</v>
      </c>
      <c r="Z134" s="20">
        <f t="shared" si="121"/>
        <v>0</v>
      </c>
      <c r="AA134" s="10">
        <f t="shared" si="122"/>
        <v>84194.719999999987</v>
      </c>
    </row>
    <row r="135" spans="11:27">
      <c r="K135" s="2" t="s">
        <v>37</v>
      </c>
      <c r="L135" s="1103">
        <f t="shared" ref="L135:AA135" si="123">SUM(L108:L134)</f>
        <v>10989944.309999997</v>
      </c>
      <c r="M135" s="1103">
        <f t="shared" si="123"/>
        <v>1726374.8700000003</v>
      </c>
      <c r="N135" s="1103">
        <f t="shared" si="123"/>
        <v>1666209.47</v>
      </c>
      <c r="O135" s="1103">
        <f t="shared" si="123"/>
        <v>251289.02</v>
      </c>
      <c r="P135" s="1103">
        <f t="shared" si="123"/>
        <v>6486719.6100000013</v>
      </c>
      <c r="Q135" s="1103">
        <f t="shared" si="123"/>
        <v>103752.81000000003</v>
      </c>
      <c r="R135" s="6">
        <f t="shared" si="123"/>
        <v>290266.30000000005</v>
      </c>
      <c r="S135" s="6">
        <f t="shared" si="123"/>
        <v>21292.43</v>
      </c>
      <c r="T135" s="6">
        <f t="shared" si="123"/>
        <v>222055.50999999998</v>
      </c>
      <c r="U135" s="6">
        <f t="shared" si="123"/>
        <v>22920.299999999996</v>
      </c>
      <c r="V135" s="6">
        <f t="shared" si="123"/>
        <v>391.8</v>
      </c>
      <c r="W135" s="6">
        <f t="shared" si="123"/>
        <v>1823.72</v>
      </c>
      <c r="X135" s="6">
        <f t="shared" si="123"/>
        <v>5456.87</v>
      </c>
      <c r="Y135" s="6">
        <f t="shared" si="123"/>
        <v>266.95</v>
      </c>
      <c r="Z135" s="6">
        <f t="shared" si="123"/>
        <v>2299.87</v>
      </c>
      <c r="AA135" s="6">
        <f t="shared" si="123"/>
        <v>21791063.839999996</v>
      </c>
    </row>
  </sheetData>
  <mergeCells count="103">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U73:V73"/>
    <mergeCell ref="W73:W74"/>
    <mergeCell ref="R2:AH2"/>
    <mergeCell ref="R3:R4"/>
    <mergeCell ref="S3:T3"/>
    <mergeCell ref="U3:V3"/>
    <mergeCell ref="W3:W4"/>
    <mergeCell ref="X3:X4"/>
    <mergeCell ref="Y3:Y4"/>
    <mergeCell ref="Y38:Y39"/>
    <mergeCell ref="Z38:Z39"/>
    <mergeCell ref="AA38:AA39"/>
    <mergeCell ref="AB38:AB39"/>
    <mergeCell ref="AC38:AC39"/>
    <mergeCell ref="AD38:AD39"/>
    <mergeCell ref="AH3:AH4"/>
    <mergeCell ref="AA3:AA4"/>
    <mergeCell ref="AB3:AB4"/>
    <mergeCell ref="AC3:AC4"/>
    <mergeCell ref="AD3:AD4"/>
    <mergeCell ref="AE3:AE4"/>
    <mergeCell ref="AE38:AE39"/>
    <mergeCell ref="AF38:AG38"/>
    <mergeCell ref="AH38:AH39"/>
    <mergeCell ref="N38:N39"/>
    <mergeCell ref="O38:O39"/>
    <mergeCell ref="H38:H39"/>
    <mergeCell ref="I38:I39"/>
    <mergeCell ref="J38:J39"/>
    <mergeCell ref="K38:K39"/>
    <mergeCell ref="L38:L39"/>
    <mergeCell ref="M38:M39"/>
    <mergeCell ref="Z3:Z4"/>
    <mergeCell ref="A37:O37"/>
    <mergeCell ref="A38:A39"/>
    <mergeCell ref="B38:C38"/>
    <mergeCell ref="D38:E38"/>
    <mergeCell ref="F38:F39"/>
    <mergeCell ref="G38:G39"/>
    <mergeCell ref="B35:H35"/>
    <mergeCell ref="O3:O4"/>
    <mergeCell ref="AF3:AG3"/>
    <mergeCell ref="N3:N4"/>
    <mergeCell ref="A2:O2"/>
    <mergeCell ref="A3:A4"/>
    <mergeCell ref="B3:C3"/>
    <mergeCell ref="D3:E3"/>
    <mergeCell ref="F3:F4"/>
    <mergeCell ref="G3:G4"/>
    <mergeCell ref="H3:H4"/>
    <mergeCell ref="I3:I4"/>
    <mergeCell ref="J3:J4"/>
    <mergeCell ref="K3:K4"/>
    <mergeCell ref="L3:L4"/>
    <mergeCell ref="M3:M4"/>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tabColor rgb="FF00B050"/>
  </sheetPr>
  <dimension ref="A1:AP134"/>
  <sheetViews>
    <sheetView showGridLines="0" topLeftCell="K101" zoomScale="90" zoomScaleNormal="90" workbookViewId="0">
      <selection sqref="A1:AC1"/>
    </sheetView>
  </sheetViews>
  <sheetFormatPr defaultRowHeight="15"/>
  <cols>
    <col min="1" max="1" width="13.5703125" customWidth="1"/>
    <col min="2" max="13" width="13.28515625" customWidth="1"/>
    <col min="14" max="14" width="15.28515625" style="62" bestFit="1" customWidth="1"/>
    <col min="15" max="15" width="11.7109375" customWidth="1"/>
    <col min="16" max="16" width="13.140625" customWidth="1"/>
    <col min="17" max="17" width="21" bestFit="1" customWidth="1"/>
    <col min="18" max="18" width="19.85546875" bestFit="1" customWidth="1"/>
    <col min="19" max="19" width="20.7109375" bestFit="1" customWidth="1"/>
    <col min="20" max="21" width="19.140625" customWidth="1"/>
    <col min="22" max="27" width="13.140625" customWidth="1"/>
  </cols>
  <sheetData>
    <row r="1" spans="1:42" ht="22.5" customHeight="1">
      <c r="A1" s="1404" t="str">
        <f>Lançamentos!A1</f>
        <v>TOTAL - Exercício e Exercícios Anteriores (100%)</v>
      </c>
      <c r="B1" s="1404" t="s">
        <v>114</v>
      </c>
      <c r="C1" s="1404"/>
      <c r="D1" s="1404"/>
      <c r="E1" s="1404"/>
      <c r="F1" s="1404"/>
      <c r="G1" s="1404"/>
      <c r="H1" s="1404"/>
      <c r="I1" s="1404"/>
      <c r="J1" s="1404"/>
      <c r="K1" s="1404"/>
      <c r="L1" s="1404"/>
      <c r="M1" s="1404"/>
      <c r="N1" s="240"/>
      <c r="P1" s="99"/>
      <c r="Q1" s="99"/>
      <c r="R1" s="99"/>
      <c r="S1" s="1403" t="s">
        <v>467</v>
      </c>
      <c r="T1" s="99"/>
      <c r="U1" s="99"/>
      <c r="V1" s="99"/>
      <c r="W1" s="99"/>
      <c r="X1" s="99"/>
      <c r="Y1" s="99"/>
      <c r="Z1" s="99"/>
      <c r="AA1" s="99"/>
      <c r="AB1" s="99"/>
      <c r="AC1" s="99"/>
      <c r="AD1" s="100"/>
    </row>
    <row r="2" spans="1:42" ht="19.5" customHeight="1">
      <c r="A2" s="86" t="s">
        <v>193</v>
      </c>
      <c r="B2" s="66" t="s">
        <v>130</v>
      </c>
      <c r="C2" s="66" t="s">
        <v>146</v>
      </c>
      <c r="D2" s="66" t="s">
        <v>147</v>
      </c>
      <c r="E2" s="66" t="s">
        <v>148</v>
      </c>
      <c r="F2" s="66" t="s">
        <v>149</v>
      </c>
      <c r="G2" s="66" t="s">
        <v>150</v>
      </c>
      <c r="H2" s="66" t="s">
        <v>151</v>
      </c>
      <c r="I2" s="66" t="s">
        <v>152</v>
      </c>
      <c r="J2" s="66" t="s">
        <v>153</v>
      </c>
      <c r="K2" s="66" t="s">
        <v>154</v>
      </c>
      <c r="L2" s="66" t="s">
        <v>155</v>
      </c>
      <c r="M2" s="66" t="s">
        <v>156</v>
      </c>
      <c r="N2" s="240"/>
      <c r="P2" s="1402" t="s">
        <v>200</v>
      </c>
      <c r="Q2" s="1402"/>
      <c r="R2" s="1402"/>
      <c r="S2" s="1403"/>
      <c r="T2" s="99"/>
      <c r="U2" s="99"/>
      <c r="V2" s="99"/>
      <c r="W2" s="99"/>
      <c r="X2" s="99"/>
      <c r="Y2" s="99"/>
      <c r="Z2" s="99"/>
      <c r="AA2" s="99"/>
      <c r="AB2" s="99"/>
      <c r="AC2" s="99"/>
      <c r="AD2" s="100"/>
    </row>
    <row r="3" spans="1:42" ht="19.5" customHeight="1">
      <c r="A3" s="112" t="s">
        <v>224</v>
      </c>
      <c r="B3" s="37">
        <f t="shared" ref="B3:E3" si="0">B10+B17+B23+B30+B36+B42</f>
        <v>30184239.498371247</v>
      </c>
      <c r="C3" s="37">
        <f t="shared" si="0"/>
        <v>56927031.176796898</v>
      </c>
      <c r="D3" s="37">
        <f t="shared" si="0"/>
        <v>74074346.245687261</v>
      </c>
      <c r="E3" s="37">
        <f t="shared" si="0"/>
        <v>89762305.828869447</v>
      </c>
      <c r="F3" s="37">
        <f>F10+F17+F23+F30+F36+F42</f>
        <v>109135045.40767497</v>
      </c>
      <c r="G3" s="37">
        <f t="shared" ref="G3:L3" si="1">G10+G17+G23+G30+G36+G42</f>
        <v>125438557.78640747</v>
      </c>
      <c r="H3" s="37">
        <f t="shared" si="1"/>
        <v>136801856.5243001</v>
      </c>
      <c r="I3" s="37">
        <f t="shared" si="1"/>
        <v>148498354.47810993</v>
      </c>
      <c r="J3" s="37">
        <f t="shared" si="1"/>
        <v>158386068.53800189</v>
      </c>
      <c r="K3" s="37">
        <f t="shared" si="1"/>
        <v>169500886.80442035</v>
      </c>
      <c r="L3" s="37">
        <f t="shared" si="1"/>
        <v>179138911.01441649</v>
      </c>
      <c r="M3" s="37">
        <f>M10+M17+M23+M30+M36+M42</f>
        <v>188503736.13176399</v>
      </c>
      <c r="N3" s="64">
        <f>N10+N17+N23+N30+N36+N42</f>
        <v>188503736.13176399</v>
      </c>
      <c r="P3" s="113"/>
      <c r="Q3" s="113"/>
      <c r="R3" s="113"/>
      <c r="S3" s="1403"/>
      <c r="T3" s="99"/>
      <c r="U3" s="99"/>
      <c r="V3" s="99"/>
      <c r="W3" s="99"/>
      <c r="X3" s="99"/>
      <c r="Y3" s="99"/>
      <c r="Z3" s="99"/>
      <c r="AA3" s="99"/>
      <c r="AB3" s="99"/>
      <c r="AC3" s="99"/>
      <c r="AD3" s="100"/>
    </row>
    <row r="4" spans="1:42" ht="19.5" customHeight="1">
      <c r="A4" s="86" t="s">
        <v>176</v>
      </c>
      <c r="B4" s="34">
        <f t="shared" ref="B4:N4" si="2">B11+B17+B24+B30+B36+B43</f>
        <v>20405585.018427227</v>
      </c>
      <c r="C4" s="34">
        <f t="shared" si="2"/>
        <v>38780890.492701955</v>
      </c>
      <c r="D4" s="34">
        <f t="shared" si="2"/>
        <v>51848991.224650159</v>
      </c>
      <c r="E4" s="34">
        <f t="shared" si="2"/>
        <v>64000775.320602335</v>
      </c>
      <c r="F4" s="34">
        <f t="shared" si="2"/>
        <v>78616211.464894429</v>
      </c>
      <c r="G4" s="34">
        <f t="shared" si="2"/>
        <v>91111288.721067593</v>
      </c>
      <c r="H4" s="34">
        <f t="shared" si="2"/>
        <v>100982553.92475586</v>
      </c>
      <c r="I4" s="34">
        <f t="shared" si="2"/>
        <v>111300916.6960756</v>
      </c>
      <c r="J4" s="34">
        <f t="shared" si="2"/>
        <v>120106175.49778946</v>
      </c>
      <c r="K4" s="34">
        <f t="shared" si="2"/>
        <v>129961338.64602092</v>
      </c>
      <c r="L4" s="34">
        <f t="shared" si="2"/>
        <v>138509298.93698749</v>
      </c>
      <c r="M4" s="34">
        <f t="shared" si="2"/>
        <v>146797896.80410895</v>
      </c>
      <c r="N4" s="64">
        <f t="shared" si="2"/>
        <v>146797896.80410895</v>
      </c>
      <c r="P4" s="101" t="s">
        <v>193</v>
      </c>
      <c r="Q4" s="102" t="s">
        <v>201</v>
      </c>
      <c r="R4" s="103" t="s">
        <v>202</v>
      </c>
      <c r="S4" s="103" t="s">
        <v>224</v>
      </c>
      <c r="T4" s="104" t="s">
        <v>203</v>
      </c>
      <c r="U4" s="104" t="s">
        <v>204</v>
      </c>
      <c r="V4" s="99"/>
      <c r="W4" s="99"/>
      <c r="X4" s="99"/>
      <c r="Y4" s="99"/>
      <c r="Z4" s="99"/>
      <c r="AA4" s="99"/>
      <c r="AB4" s="99"/>
      <c r="AC4" s="99"/>
      <c r="AD4" s="100"/>
      <c r="AN4" t="s">
        <v>176</v>
      </c>
      <c r="AO4" t="s">
        <v>177</v>
      </c>
      <c r="AP4" t="s">
        <v>196</v>
      </c>
    </row>
    <row r="5" spans="1:42" ht="19.5" customHeight="1">
      <c r="A5" s="86" t="s">
        <v>177</v>
      </c>
      <c r="B5" s="37">
        <f>B12+B18+B25+B31+B37+B44</f>
        <v>22576388.020000003</v>
      </c>
      <c r="C5" s="37">
        <f t="shared" ref="C5:M5" si="3">C12+C18+C25+C31+C37+C44</f>
        <v>44367451.859999999</v>
      </c>
      <c r="D5" s="37">
        <f t="shared" si="3"/>
        <v>60178955.04999999</v>
      </c>
      <c r="E5" s="37">
        <f t="shared" si="3"/>
        <v>68320825.239999995</v>
      </c>
      <c r="F5" s="37">
        <f t="shared" si="3"/>
        <v>76979531.129999995</v>
      </c>
      <c r="G5" s="37">
        <f t="shared" si="3"/>
        <v>88831768.00999999</v>
      </c>
      <c r="H5" s="37">
        <f t="shared" si="3"/>
        <v>104246407.38</v>
      </c>
      <c r="I5" s="37">
        <f t="shared" si="3"/>
        <v>120764590.23999998</v>
      </c>
      <c r="J5" s="37">
        <f>J12+J18+J25+J31+J37+J44</f>
        <v>133340030.06999999</v>
      </c>
      <c r="K5" s="37">
        <f t="shared" si="3"/>
        <v>146431794.62999997</v>
      </c>
      <c r="L5" s="37">
        <f t="shared" si="3"/>
        <v>157922348.10999998</v>
      </c>
      <c r="M5" s="37">
        <f t="shared" si="3"/>
        <v>169425814.06000003</v>
      </c>
      <c r="N5" s="240"/>
      <c r="P5" s="105" t="s">
        <v>205</v>
      </c>
      <c r="Q5" s="106">
        <f>B4</f>
        <v>20405585.018427227</v>
      </c>
      <c r="R5" s="269">
        <f>B5</f>
        <v>22576388.020000003</v>
      </c>
      <c r="S5" s="272">
        <f>B3</f>
        <v>30184239.498371247</v>
      </c>
      <c r="T5" s="100">
        <f>IF(R5="",NA(),IF(R5&gt;=Q5,R5,NA()))</f>
        <v>22576388.020000003</v>
      </c>
      <c r="U5" s="100" t="e">
        <f>IF(R5="",NA(),IF(R5&lt;Q5,R5,NA()))</f>
        <v>#N/A</v>
      </c>
      <c r="V5" s="99"/>
      <c r="W5" s="99"/>
      <c r="X5" s="99"/>
      <c r="Y5" s="99"/>
      <c r="Z5" s="99"/>
      <c r="AA5" s="99"/>
      <c r="AB5" s="99"/>
      <c r="AC5" s="99"/>
      <c r="AD5" s="100"/>
      <c r="AM5" s="95" t="str">
        <f>A8</f>
        <v>Anuid. PF - Exerc.</v>
      </c>
      <c r="AN5" s="96">
        <f>M11/1000000</f>
        <v>50.122525358499992</v>
      </c>
      <c r="AO5" s="96">
        <f>M12/1000000</f>
        <v>54.822531619999992</v>
      </c>
      <c r="AP5" s="39">
        <f>J13</f>
        <v>1.0856450873343548</v>
      </c>
    </row>
    <row r="6" spans="1:42" ht="19.5" customHeight="1">
      <c r="A6" s="86" t="s">
        <v>178</v>
      </c>
      <c r="B6" s="39">
        <f>B5/B4</f>
        <v>1.1063827868503862</v>
      </c>
      <c r="C6" s="39">
        <f>C5/C4</f>
        <v>1.1440544891136359</v>
      </c>
      <c r="D6" s="39">
        <f t="shared" ref="D6:M6" si="4">D5/D4</f>
        <v>1.1606581657347574</v>
      </c>
      <c r="E6" s="39">
        <f t="shared" si="4"/>
        <v>1.0674999622700978</v>
      </c>
      <c r="F6" s="39">
        <f t="shared" si="4"/>
        <v>0.97918138887136175</v>
      </c>
      <c r="G6" s="39">
        <f>G5/G4</f>
        <v>0.97498091901601525</v>
      </c>
      <c r="H6" s="39">
        <f t="shared" si="4"/>
        <v>1.0323209636555251</v>
      </c>
      <c r="I6" s="39">
        <f t="shared" si="4"/>
        <v>1.0850278131110671</v>
      </c>
      <c r="J6" s="39">
        <f t="shared" si="4"/>
        <v>1.1101846305351226</v>
      </c>
      <c r="K6" s="39">
        <f t="shared" si="4"/>
        <v>1.1267335051760281</v>
      </c>
      <c r="L6" s="39">
        <f t="shared" si="4"/>
        <v>1.1401570098325611</v>
      </c>
      <c r="M6" s="39">
        <f t="shared" si="4"/>
        <v>1.1541433341247824</v>
      </c>
      <c r="N6" s="240"/>
      <c r="P6" s="105" t="s">
        <v>206</v>
      </c>
      <c r="Q6" s="109">
        <f>C4</f>
        <v>38780890.492701955</v>
      </c>
      <c r="R6" s="271">
        <f>C5</f>
        <v>44367451.859999999</v>
      </c>
      <c r="S6" s="270">
        <f>C3</f>
        <v>56927031.176796898</v>
      </c>
      <c r="T6" s="100">
        <f t="shared" ref="T6:T16" si="5">IF(R6="",NA(),IF(R6&gt;=Q6,R6,NA()))</f>
        <v>44367451.859999999</v>
      </c>
      <c r="U6" s="100" t="e">
        <f t="shared" ref="U6:U16" si="6">IF(R6="",NA(),IF(R6&lt;Q6,R6,NA()))</f>
        <v>#N/A</v>
      </c>
      <c r="V6" s="99"/>
      <c r="W6" s="99"/>
      <c r="X6" s="99"/>
      <c r="Y6" s="99"/>
      <c r="Z6" s="99"/>
      <c r="AA6" s="99"/>
      <c r="AB6" s="99"/>
      <c r="AC6" s="99"/>
      <c r="AD6" s="100"/>
      <c r="AM6" s="95" t="str">
        <f>A15</f>
        <v>Anuid. PF - Exerc. Ant.</v>
      </c>
      <c r="AN6" s="96">
        <f>M17/1000000</f>
        <v>11.865014674057045</v>
      </c>
      <c r="AO6" s="96">
        <f>M18/1000000</f>
        <v>16.565108540000001</v>
      </c>
      <c r="AP6" s="39">
        <f>J19</f>
        <v>1.312679372698452</v>
      </c>
    </row>
    <row r="7" spans="1:42" ht="19.5" customHeight="1">
      <c r="N7" s="240"/>
      <c r="P7" s="105" t="s">
        <v>207</v>
      </c>
      <c r="Q7" s="109">
        <f>D4</f>
        <v>51848991.224650159</v>
      </c>
      <c r="R7" s="271">
        <f>D5</f>
        <v>60178955.04999999</v>
      </c>
      <c r="S7" s="270">
        <f>D3</f>
        <v>74074346.245687261</v>
      </c>
      <c r="T7" s="100">
        <f t="shared" si="5"/>
        <v>60178955.04999999</v>
      </c>
      <c r="U7" s="100" t="e">
        <f t="shared" si="6"/>
        <v>#N/A</v>
      </c>
      <c r="V7" s="99"/>
      <c r="W7" s="99"/>
      <c r="X7" s="99"/>
      <c r="Y7" s="99"/>
      <c r="Z7" s="99"/>
      <c r="AA7" s="99"/>
      <c r="AB7" s="99"/>
      <c r="AC7" s="99"/>
      <c r="AD7" s="100"/>
      <c r="AM7" s="95" t="str">
        <f>A21</f>
        <v>Anuid. PJ - Exerc.</v>
      </c>
      <c r="AN7" s="96">
        <f>M24/1000000</f>
        <v>6.6404554379999974</v>
      </c>
      <c r="AO7" s="96">
        <f>M25/1000000</f>
        <v>6.9692923700000007</v>
      </c>
      <c r="AP7" s="39">
        <f>J26</f>
        <v>1.0623869586849344</v>
      </c>
    </row>
    <row r="8" spans="1:42" ht="19.5" customHeight="1">
      <c r="A8" s="1404" t="str">
        <f>Lançamentos!A32</f>
        <v>Anuid. PF - Exerc.</v>
      </c>
      <c r="B8" s="1404" t="s">
        <v>114</v>
      </c>
      <c r="C8" s="1404"/>
      <c r="D8" s="1404"/>
      <c r="E8" s="1404"/>
      <c r="F8" s="1404"/>
      <c r="G8" s="1404"/>
      <c r="H8" s="1404"/>
      <c r="I8" s="1404"/>
      <c r="J8" s="1404"/>
      <c r="K8" s="1404"/>
      <c r="L8" s="1404"/>
      <c r="M8" s="1404"/>
      <c r="N8" s="240"/>
      <c r="P8" s="105" t="s">
        <v>208</v>
      </c>
      <c r="Q8" s="109">
        <f>E4</f>
        <v>64000775.320602335</v>
      </c>
      <c r="R8" s="271">
        <f>E5</f>
        <v>68320825.239999995</v>
      </c>
      <c r="S8" s="270">
        <f>E3</f>
        <v>89762305.828869447</v>
      </c>
      <c r="T8" s="100">
        <f t="shared" si="5"/>
        <v>68320825.239999995</v>
      </c>
      <c r="U8" s="100" t="e">
        <f t="shared" si="6"/>
        <v>#N/A</v>
      </c>
      <c r="V8" s="99"/>
      <c r="W8" s="99"/>
      <c r="X8" s="99"/>
      <c r="Y8" s="99"/>
      <c r="Z8" s="99"/>
      <c r="AA8" s="99"/>
      <c r="AB8" s="99"/>
      <c r="AC8" s="99"/>
      <c r="AD8" s="100"/>
      <c r="AM8" s="95" t="str">
        <f>A28</f>
        <v>Anuid. PJ - Exerc. Ant.</v>
      </c>
      <c r="AN8" s="96">
        <f>M30/1000000</f>
        <v>1.744647860598104</v>
      </c>
      <c r="AO8" s="96">
        <f>M31/1000000</f>
        <v>2.1360686699999998</v>
      </c>
      <c r="AP8" s="39">
        <f>J32</f>
        <v>1.2128036153357131</v>
      </c>
    </row>
    <row r="9" spans="1:42" ht="19.5" customHeight="1">
      <c r="A9" s="86" t="s">
        <v>193</v>
      </c>
      <c r="B9" s="66" t="s">
        <v>130</v>
      </c>
      <c r="C9" s="66" t="s">
        <v>146</v>
      </c>
      <c r="D9" s="66" t="s">
        <v>147</v>
      </c>
      <c r="E9" s="66" t="s">
        <v>148</v>
      </c>
      <c r="F9" s="66" t="s">
        <v>149</v>
      </c>
      <c r="G9" s="66" t="s">
        <v>150</v>
      </c>
      <c r="H9" s="66" t="s">
        <v>151</v>
      </c>
      <c r="I9" s="66" t="s">
        <v>152</v>
      </c>
      <c r="J9" s="66" t="s">
        <v>153</v>
      </c>
      <c r="K9" s="66" t="s">
        <v>154</v>
      </c>
      <c r="L9" s="66" t="s">
        <v>155</v>
      </c>
      <c r="M9" s="66" t="s">
        <v>156</v>
      </c>
      <c r="N9" s="240"/>
      <c r="P9" s="105" t="s">
        <v>209</v>
      </c>
      <c r="Q9" s="109">
        <f>F4</f>
        <v>78616211.464894429</v>
      </c>
      <c r="R9" s="271">
        <f>F5</f>
        <v>76979531.129999995</v>
      </c>
      <c r="S9" s="270">
        <f>F3</f>
        <v>109135045.40767497</v>
      </c>
      <c r="T9" s="100" t="e">
        <f t="shared" si="5"/>
        <v>#N/A</v>
      </c>
      <c r="U9" s="100">
        <f t="shared" si="6"/>
        <v>76979531.129999995</v>
      </c>
      <c r="V9" s="99"/>
      <c r="W9" s="99"/>
      <c r="X9" s="99"/>
      <c r="Y9" s="99"/>
      <c r="Z9" s="99"/>
      <c r="AA9" s="99"/>
      <c r="AB9" s="99"/>
      <c r="AC9" s="99"/>
      <c r="AD9" s="100"/>
      <c r="AM9" s="95" t="str">
        <f>A34</f>
        <v>RRT</v>
      </c>
      <c r="AN9" s="96">
        <f>M36/1000000</f>
        <v>70.227432364500004</v>
      </c>
      <c r="AO9" s="96">
        <f>M37/1000000</f>
        <v>81.413494150000005</v>
      </c>
      <c r="AP9" s="39">
        <f>J38</f>
        <v>1.0917105917580818</v>
      </c>
    </row>
    <row r="10" spans="1:42" ht="19.5" customHeight="1">
      <c r="A10" s="112" t="s">
        <v>224</v>
      </c>
      <c r="B10" s="37">
        <f>$N$10*Lançamentos!B50</f>
        <v>21122884.373729218</v>
      </c>
      <c r="C10" s="37">
        <f>$N$10*Lançamentos!B51</f>
        <v>38895946.024017379</v>
      </c>
      <c r="D10" s="37">
        <f>$N$10*Lançamentos!B52</f>
        <v>47484826.055779018</v>
      </c>
      <c r="E10" s="37">
        <f>$N$10*Lançamentos!B53</f>
        <v>54872176.056855232</v>
      </c>
      <c r="F10" s="37">
        <f>$N$10*Lançamentos!B54</f>
        <v>64895366.439034522</v>
      </c>
      <c r="G10" s="37">
        <f>$N$10*Lançamentos!B55</f>
        <v>72746849.917519733</v>
      </c>
      <c r="H10" s="37">
        <f>$N$10*Lançamentos!B56</f>
        <v>75562461.736610815</v>
      </c>
      <c r="I10" s="37">
        <f>$N$10*Lançamentos!B57</f>
        <v>78141667.175067455</v>
      </c>
      <c r="J10" s="37">
        <f>$N$10*Lançamentos!B58</f>
        <v>80151499.455211177</v>
      </c>
      <c r="K10" s="37">
        <f>$N$10*Lançamentos!B59</f>
        <v>82442099.720452353</v>
      </c>
      <c r="L10" s="37">
        <f>$N$10*Lançamentos!B60</f>
        <v>84435264.545906633</v>
      </c>
      <c r="M10" s="37">
        <f>$N$10*Lançamentos!B61</f>
        <v>86382588.019999966</v>
      </c>
      <c r="N10" s="64">
        <f>Lançamentos!AA2</f>
        <v>86382588.019999981</v>
      </c>
      <c r="P10" s="105" t="s">
        <v>210</v>
      </c>
      <c r="Q10" s="109">
        <f>G4</f>
        <v>91111288.721067593</v>
      </c>
      <c r="R10" s="271">
        <f>G5</f>
        <v>88831768.00999999</v>
      </c>
      <c r="S10" s="270">
        <f>G3</f>
        <v>125438557.78640747</v>
      </c>
      <c r="T10" s="100" t="e">
        <f t="shared" si="5"/>
        <v>#N/A</v>
      </c>
      <c r="U10" s="100">
        <f t="shared" si="6"/>
        <v>88831768.00999999</v>
      </c>
      <c r="V10" s="99"/>
      <c r="W10" s="99"/>
      <c r="X10" s="99"/>
      <c r="Y10" s="99"/>
      <c r="Z10" s="99"/>
      <c r="AA10" s="99"/>
      <c r="AB10" s="99"/>
      <c r="AC10" s="99"/>
      <c r="AD10" s="100"/>
      <c r="AM10" s="95" t="str">
        <f>A40</f>
        <v>Taxas e Multas</v>
      </c>
      <c r="AN10" s="96">
        <f>M43/1000000</f>
        <v>6.197821108453816</v>
      </c>
      <c r="AO10" s="96">
        <f>M44/1000000</f>
        <v>7.5193187100000003</v>
      </c>
      <c r="AP10" s="39">
        <f>J45</f>
        <v>1.2037528390862631</v>
      </c>
    </row>
    <row r="11" spans="1:42" ht="19.5" customHeight="1">
      <c r="A11" s="65" t="s">
        <v>176</v>
      </c>
      <c r="B11" s="34">
        <f>$N$11*Lançamentos!B50</f>
        <v>12256316.138870252</v>
      </c>
      <c r="C11" s="34">
        <f>$N$11*Lançamentos!B51</f>
        <v>22568935.309975661</v>
      </c>
      <c r="D11" s="34">
        <f>$N$11*Lançamentos!B52</f>
        <v>27552536.369640775</v>
      </c>
      <c r="E11" s="34">
        <f>$N$11*Lançamentos!B53</f>
        <v>31838963.139759414</v>
      </c>
      <c r="F11" s="34">
        <f>$N$11*Lançamentos!B54</f>
        <v>37654806.651967429</v>
      </c>
      <c r="G11" s="34">
        <f>$N$11*Lançamentos!B55</f>
        <v>42210541.653344139</v>
      </c>
      <c r="H11" s="34">
        <f>$N$11*Lançamentos!B56</f>
        <v>43844268.750863038</v>
      </c>
      <c r="I11" s="34">
        <f>$N$11*Lançamentos!B57</f>
        <v>45340823.704320706</v>
      </c>
      <c r="J11" s="34">
        <f>$N$11*Lançamentos!B58</f>
        <v>46507006.285056904</v>
      </c>
      <c r="K11" s="34">
        <f>$N$11*Lançamentos!B59</f>
        <v>47836101.33201424</v>
      </c>
      <c r="L11" s="34">
        <f>$N$11*Lançamentos!B60</f>
        <v>48992612.809586227</v>
      </c>
      <c r="M11" s="34">
        <f>$N$11*Lançamentos!B61</f>
        <v>50122525.358499989</v>
      </c>
      <c r="N11" s="64">
        <f>Lançamentos!O34</f>
        <v>50122525.358499996</v>
      </c>
      <c r="P11" s="105" t="s">
        <v>211</v>
      </c>
      <c r="Q11" s="109">
        <f>H4</f>
        <v>100982553.92475586</v>
      </c>
      <c r="R11" s="271">
        <f>H5</f>
        <v>104246407.38</v>
      </c>
      <c r="S11" s="270">
        <f>H3</f>
        <v>136801856.5243001</v>
      </c>
      <c r="T11" s="100">
        <f t="shared" si="5"/>
        <v>104246407.38</v>
      </c>
      <c r="U11" s="100" t="e">
        <f t="shared" si="6"/>
        <v>#N/A</v>
      </c>
      <c r="V11" s="99"/>
      <c r="W11" s="99"/>
      <c r="X11" s="99"/>
      <c r="Y11" s="99"/>
      <c r="Z11" s="99"/>
      <c r="AA11" s="99"/>
      <c r="AB11" s="99"/>
      <c r="AC11" s="99"/>
      <c r="AD11" s="100"/>
    </row>
    <row r="12" spans="1:42" ht="19.5" customHeight="1">
      <c r="A12" s="65" t="s">
        <v>177</v>
      </c>
      <c r="B12" s="177">
        <f>Lançamentos!B34</f>
        <v>11752892.600000001</v>
      </c>
      <c r="C12" s="177">
        <f>SUM(Lançamentos!B34:C34)</f>
        <v>22742836.909999996</v>
      </c>
      <c r="D12" s="177">
        <f>SUM(Lançamentos!B34:D34)</f>
        <v>28680349.049999997</v>
      </c>
      <c r="E12" s="177">
        <f>SUM(Lançamentos!B34:E34)</f>
        <v>31277767.549999997</v>
      </c>
      <c r="F12" s="177">
        <f>SUM(Lançamentos!B34:F34)</f>
        <v>33554317.009999998</v>
      </c>
      <c r="G12" s="177">
        <f>SUM(Lançamentos!B34:G34)</f>
        <v>37072789.209999993</v>
      </c>
      <c r="H12" s="177">
        <f>SUM(Lançamentos!B34:H34)</f>
        <v>42462675.139999993</v>
      </c>
      <c r="I12" s="177">
        <f>SUM(Lançamentos!B34:I34)</f>
        <v>48206207.059999995</v>
      </c>
      <c r="J12" s="177">
        <f>SUM(Lançamentos!B34:J34)</f>
        <v>50490102.899999991</v>
      </c>
      <c r="K12" s="177">
        <f>SUM(Lançamentos!B34:K34)</f>
        <v>51451272.719999991</v>
      </c>
      <c r="L12" s="177">
        <f>SUM(Lançamentos!B34:L34)</f>
        <v>53100695.819999993</v>
      </c>
      <c r="M12" s="177">
        <f>SUM(Lançamentos!B34:M34)</f>
        <v>54822531.61999999</v>
      </c>
      <c r="N12" s="240"/>
      <c r="P12" s="105" t="s">
        <v>212</v>
      </c>
      <c r="Q12" s="109">
        <f>I4</f>
        <v>111300916.6960756</v>
      </c>
      <c r="R12" s="271">
        <f>I5</f>
        <v>120764590.23999998</v>
      </c>
      <c r="S12" s="270">
        <f>I3</f>
        <v>148498354.47810993</v>
      </c>
      <c r="T12" s="100">
        <f t="shared" si="5"/>
        <v>120764590.23999998</v>
      </c>
      <c r="U12" s="100" t="e">
        <f t="shared" si="6"/>
        <v>#N/A</v>
      </c>
      <c r="V12" s="99"/>
      <c r="W12" s="99"/>
      <c r="X12" s="99"/>
      <c r="Y12" s="99"/>
      <c r="Z12" s="99"/>
      <c r="AA12" s="99"/>
      <c r="AB12" s="99"/>
      <c r="AC12" s="99"/>
      <c r="AD12" s="100"/>
    </row>
    <row r="13" spans="1:42" ht="19.5" customHeight="1">
      <c r="A13" s="65" t="s">
        <v>178</v>
      </c>
      <c r="B13" s="39">
        <f>B12/B11</f>
        <v>0.95892537911341325</v>
      </c>
      <c r="C13" s="39">
        <f t="shared" ref="C13" si="7">C12/C11</f>
        <v>1.0077053524074513</v>
      </c>
      <c r="D13" s="39">
        <f t="shared" ref="D13" si="8">D12/D11</f>
        <v>1.0409331709149623</v>
      </c>
      <c r="E13" s="39">
        <f t="shared" ref="E13" si="9">E12/E11</f>
        <v>0.98237393638429715</v>
      </c>
      <c r="F13" s="39">
        <f t="shared" ref="F13" si="10">F12/F11</f>
        <v>0.8911031550402827</v>
      </c>
      <c r="G13" s="39">
        <f t="shared" ref="G13" si="11">G12/G11</f>
        <v>0.87828271701561766</v>
      </c>
      <c r="H13" s="39">
        <f>H12/H11</f>
        <v>0.96848861549696053</v>
      </c>
      <c r="I13" s="39">
        <f t="shared" ref="I13" si="12">I12/I11</f>
        <v>1.0631965438997137</v>
      </c>
      <c r="J13" s="39">
        <f t="shared" ref="J13" si="13">J12/J11</f>
        <v>1.0856450873343548</v>
      </c>
      <c r="K13" s="39">
        <f t="shared" ref="K13" si="14">K12/K11</f>
        <v>1.0755741226253801</v>
      </c>
      <c r="L13" s="39">
        <f t="shared" ref="L13" si="15">L12/L11</f>
        <v>1.0838510700864263</v>
      </c>
      <c r="M13" s="39">
        <f t="shared" ref="M13" si="16">M12/M11</f>
        <v>1.0937703403386667</v>
      </c>
      <c r="N13" s="240"/>
      <c r="P13" s="105" t="s">
        <v>213</v>
      </c>
      <c r="Q13" s="109">
        <f>J4</f>
        <v>120106175.49778946</v>
      </c>
      <c r="R13" s="271">
        <f>J5</f>
        <v>133340030.06999999</v>
      </c>
      <c r="S13" s="270">
        <f>J3</f>
        <v>158386068.53800189</v>
      </c>
      <c r="T13" s="100">
        <f t="shared" si="5"/>
        <v>133340030.06999999</v>
      </c>
      <c r="U13" s="100" t="e">
        <f t="shared" si="6"/>
        <v>#N/A</v>
      </c>
      <c r="V13" s="99"/>
      <c r="W13" s="99"/>
      <c r="X13" s="99"/>
      <c r="Y13" s="99"/>
      <c r="Z13" s="99"/>
      <c r="AA13" s="99"/>
      <c r="AB13" s="99"/>
      <c r="AC13" s="99"/>
      <c r="AD13" s="100"/>
    </row>
    <row r="14" spans="1:42" ht="19.5" customHeight="1">
      <c r="N14" s="240"/>
      <c r="P14" s="105" t="s">
        <v>214</v>
      </c>
      <c r="Q14" s="109">
        <f>K4</f>
        <v>129961338.64602092</v>
      </c>
      <c r="R14" s="271">
        <f>K5</f>
        <v>146431794.62999997</v>
      </c>
      <c r="S14" s="270">
        <f>K3</f>
        <v>169500886.80442035</v>
      </c>
      <c r="T14" s="100">
        <f t="shared" si="5"/>
        <v>146431794.62999997</v>
      </c>
      <c r="U14" s="100" t="e">
        <f t="shared" si="6"/>
        <v>#N/A</v>
      </c>
      <c r="V14" s="99"/>
      <c r="W14" s="99"/>
      <c r="X14" s="99"/>
      <c r="Y14" s="99"/>
      <c r="Z14" s="99"/>
      <c r="AA14" s="99"/>
      <c r="AB14" s="99"/>
      <c r="AC14" s="99"/>
      <c r="AD14" s="100"/>
    </row>
    <row r="15" spans="1:42" ht="19.5" customHeight="1">
      <c r="A15" s="1404" t="str">
        <f>Lançamentos!Q32</f>
        <v>Anuid. PF - Exerc. Ant.</v>
      </c>
      <c r="B15" s="1404" t="s">
        <v>114</v>
      </c>
      <c r="C15" s="1404"/>
      <c r="D15" s="1404"/>
      <c r="E15" s="1404"/>
      <c r="F15" s="1404"/>
      <c r="G15" s="1404"/>
      <c r="H15" s="1404"/>
      <c r="I15" s="1404"/>
      <c r="J15" s="1404"/>
      <c r="K15" s="1404"/>
      <c r="L15" s="1404"/>
      <c r="M15" s="1404"/>
      <c r="N15" s="240"/>
      <c r="P15" s="105" t="s">
        <v>215</v>
      </c>
      <c r="Q15" s="109">
        <f>L4</f>
        <v>138509298.93698749</v>
      </c>
      <c r="R15" s="271">
        <f>L5</f>
        <v>157922348.10999998</v>
      </c>
      <c r="S15" s="270">
        <f>L3</f>
        <v>179138911.01441649</v>
      </c>
      <c r="T15" s="100">
        <f t="shared" si="5"/>
        <v>157922348.10999998</v>
      </c>
      <c r="U15" s="100" t="e">
        <f t="shared" si="6"/>
        <v>#N/A</v>
      </c>
      <c r="V15" s="99"/>
      <c r="W15" s="99"/>
      <c r="X15" s="99"/>
      <c r="Y15" s="99"/>
      <c r="Z15" s="99"/>
      <c r="AA15" s="99"/>
      <c r="AB15" s="99"/>
      <c r="AC15" s="99"/>
      <c r="AD15" s="100"/>
    </row>
    <row r="16" spans="1:42" ht="19.5" customHeight="1">
      <c r="A16" s="86" t="s">
        <v>193</v>
      </c>
      <c r="B16" s="66" t="s">
        <v>130</v>
      </c>
      <c r="C16" s="66" t="s">
        <v>146</v>
      </c>
      <c r="D16" s="66" t="s">
        <v>147</v>
      </c>
      <c r="E16" s="66" t="s">
        <v>148</v>
      </c>
      <c r="F16" s="66" t="s">
        <v>149</v>
      </c>
      <c r="G16" s="66" t="s">
        <v>150</v>
      </c>
      <c r="H16" s="66" t="s">
        <v>151</v>
      </c>
      <c r="I16" s="66" t="s">
        <v>152</v>
      </c>
      <c r="J16" s="66" t="s">
        <v>153</v>
      </c>
      <c r="K16" s="66" t="s">
        <v>154</v>
      </c>
      <c r="L16" s="66" t="s">
        <v>155</v>
      </c>
      <c r="M16" s="66" t="s">
        <v>156</v>
      </c>
      <c r="N16" s="240"/>
      <c r="P16" s="105" t="s">
        <v>216</v>
      </c>
      <c r="Q16" s="109">
        <f>M4</f>
        <v>146797896.80410895</v>
      </c>
      <c r="R16" s="271">
        <f>M5</f>
        <v>169425814.06000003</v>
      </c>
      <c r="S16" s="270">
        <f>M3</f>
        <v>188503736.13176399</v>
      </c>
      <c r="T16" s="100">
        <f t="shared" si="5"/>
        <v>169425814.06000003</v>
      </c>
      <c r="U16" s="100" t="e">
        <f t="shared" si="6"/>
        <v>#N/A</v>
      </c>
      <c r="V16" s="99"/>
      <c r="W16" s="99"/>
      <c r="X16" s="99"/>
      <c r="Y16" s="99"/>
      <c r="Z16" s="99"/>
      <c r="AA16" s="99"/>
      <c r="AB16" s="99"/>
      <c r="AC16" s="99"/>
      <c r="AD16" s="100"/>
    </row>
    <row r="17" spans="1:41" ht="19.5" customHeight="1" thickBot="1">
      <c r="A17" s="65" t="s">
        <v>176</v>
      </c>
      <c r="B17" s="34">
        <f>$N$17*Lançamentos!R50</f>
        <v>1660958.1722686691</v>
      </c>
      <c r="C17" s="34">
        <f>$N$17*Lançamentos!R51</f>
        <v>2821228.2075793813</v>
      </c>
      <c r="D17" s="34">
        <f>$N$17*Lançamentos!R52</f>
        <v>3795946.7694131993</v>
      </c>
      <c r="E17" s="34">
        <f>$N$17*Lançamentos!R53</f>
        <v>4683756.7982944483</v>
      </c>
      <c r="F17" s="34">
        <f>$N$17*Lançamentos!R54</f>
        <v>5629761.1071623079</v>
      </c>
      <c r="G17" s="34">
        <f>$N$17*Lançamentos!R55</f>
        <v>6430729.1209309585</v>
      </c>
      <c r="H17" s="34">
        <f>$N$17*Lançamentos!R56</f>
        <v>7414125.4337861119</v>
      </c>
      <c r="I17" s="34">
        <f>$N$17*Lançamentos!R57</f>
        <v>8414367.7617339753</v>
      </c>
      <c r="J17" s="34">
        <f>$N$17*Lançamentos!R58</f>
        <v>9197167.968886327</v>
      </c>
      <c r="K17" s="34">
        <f>$N$17*Lançamentos!R59</f>
        <v>10175017.180070689</v>
      </c>
      <c r="L17" s="34">
        <f>$N$17*Lançamentos!R60</f>
        <v>10969253.244508484</v>
      </c>
      <c r="M17" s="34">
        <f>$N$17*Lançamentos!R61</f>
        <v>11865014.674057046</v>
      </c>
      <c r="N17" s="64">
        <f>Lançamentos!AE34</f>
        <v>11865014.674057048</v>
      </c>
      <c r="P17" s="107"/>
      <c r="Q17" s="107"/>
      <c r="R17" s="107"/>
      <c r="S17" s="107"/>
      <c r="T17" s="107"/>
      <c r="U17" s="107"/>
      <c r="V17" s="107"/>
      <c r="W17" s="107"/>
      <c r="X17" s="107"/>
      <c r="Y17" s="107"/>
      <c r="Z17" s="107"/>
      <c r="AA17" s="107"/>
      <c r="AB17" s="107"/>
      <c r="AC17" s="107"/>
      <c r="AD17" s="100"/>
    </row>
    <row r="18" spans="1:41" ht="19.5" customHeight="1">
      <c r="A18" s="65" t="s">
        <v>177</v>
      </c>
      <c r="B18" s="177">
        <f>Lançamentos!R34</f>
        <v>2232851.5199999996</v>
      </c>
      <c r="C18" s="177">
        <f>SUM(Lançamentos!R34:S34)</f>
        <v>3959226.3899999997</v>
      </c>
      <c r="D18" s="177">
        <f>SUM(Lançamentos!R34:T34)</f>
        <v>5549976.379999999</v>
      </c>
      <c r="E18" s="177">
        <f>SUM(Lançamentos!R34:U34)</f>
        <v>6477352.379999999</v>
      </c>
      <c r="F18" s="177">
        <f>SUM(Lançamentos!R34:V34)</f>
        <v>7298766.209999999</v>
      </c>
      <c r="G18" s="177">
        <f>SUM(Lançamentos!R34:W34)</f>
        <v>8353420.4399999995</v>
      </c>
      <c r="H18" s="177">
        <f>SUM(Lançamentos!R34:X34)</f>
        <v>9582248.5299999993</v>
      </c>
      <c r="I18" s="177">
        <f>SUM(Lançamentos!R34:Y34)</f>
        <v>10828998</v>
      </c>
      <c r="J18" s="177">
        <f>SUM(Lançamentos!R34:Z34)</f>
        <v>12072932.68</v>
      </c>
      <c r="K18" s="177">
        <f>SUM(Lançamentos!R34:AA34)</f>
        <v>14347933.539999999</v>
      </c>
      <c r="L18" s="177">
        <f>SUM(Lançamentos!R34:AB34)</f>
        <v>15372878.59</v>
      </c>
      <c r="M18" s="177">
        <f>SUM(Lançamentos!R34:AC34)</f>
        <v>16565108.539999999</v>
      </c>
      <c r="N18" s="240"/>
      <c r="P18" s="99"/>
      <c r="Q18" s="99"/>
      <c r="R18" s="99"/>
      <c r="S18" s="99"/>
      <c r="T18" s="99"/>
      <c r="U18" s="99"/>
      <c r="V18" s="99"/>
      <c r="W18" s="99"/>
      <c r="X18" s="99"/>
      <c r="Y18" s="99"/>
      <c r="Z18" s="99"/>
      <c r="AA18" s="99"/>
      <c r="AB18" s="99"/>
      <c r="AC18" s="99"/>
      <c r="AO18" t="s">
        <v>1135</v>
      </c>
    </row>
    <row r="19" spans="1:41" ht="19.5" customHeight="1">
      <c r="A19" s="65" t="s">
        <v>178</v>
      </c>
      <c r="B19" s="39">
        <f>B18/B17</f>
        <v>1.3443153218904922</v>
      </c>
      <c r="C19" s="39">
        <f t="shared" ref="C19" si="17">C18/C17</f>
        <v>1.4033697732651775</v>
      </c>
      <c r="D19" s="39">
        <f t="shared" ref="D19" si="18">D18/D17</f>
        <v>1.4620796120536612</v>
      </c>
      <c r="E19" s="39">
        <f t="shared" ref="E19" si="19">E18/E17</f>
        <v>1.3829395203351877</v>
      </c>
      <c r="F19" s="39">
        <f t="shared" ref="F19" si="20">F18/F17</f>
        <v>1.2964610879694958</v>
      </c>
      <c r="G19" s="39">
        <f t="shared" ref="G19" si="21">G18/G17</f>
        <v>1.2989849646770222</v>
      </c>
      <c r="H19" s="39">
        <f t="shared" ref="H19" si="22">H18/H17</f>
        <v>1.2924314021359509</v>
      </c>
      <c r="I19" s="39">
        <f t="shared" ref="I19" si="23">I18/I17</f>
        <v>1.2869651418431032</v>
      </c>
      <c r="J19" s="39">
        <f t="shared" ref="J19" si="24">J18/J17</f>
        <v>1.312679372698452</v>
      </c>
      <c r="K19" s="39">
        <f t="shared" ref="K19" si="25">K18/K17</f>
        <v>1.410113937507899</v>
      </c>
      <c r="L19" s="39">
        <f t="shared" ref="L19" si="26">L18/L17</f>
        <v>1.4014516984277023</v>
      </c>
      <c r="M19" s="39">
        <f t="shared" ref="M19" si="27">M18/M17</f>
        <v>1.396130472237826</v>
      </c>
      <c r="N19" s="240"/>
      <c r="P19" s="1402" t="s">
        <v>1130</v>
      </c>
      <c r="Q19" s="1402"/>
      <c r="R19" s="1402"/>
      <c r="S19" s="99"/>
      <c r="T19" s="99"/>
      <c r="U19" s="99"/>
      <c r="V19" s="99"/>
      <c r="W19" s="99"/>
      <c r="X19" s="99"/>
      <c r="Y19" s="99"/>
      <c r="Z19" s="99"/>
      <c r="AA19" s="99"/>
      <c r="AB19" s="99"/>
      <c r="AC19" s="99"/>
    </row>
    <row r="20" spans="1:41" ht="19.5" customHeight="1">
      <c r="N20" s="240"/>
      <c r="P20" s="101" t="s">
        <v>193</v>
      </c>
      <c r="Q20" s="102" t="s">
        <v>201</v>
      </c>
      <c r="R20" s="103" t="s">
        <v>202</v>
      </c>
      <c r="S20" s="103" t="s">
        <v>224</v>
      </c>
      <c r="T20" s="104" t="s">
        <v>203</v>
      </c>
      <c r="U20" s="104" t="s">
        <v>204</v>
      </c>
      <c r="V20" s="99"/>
      <c r="W20" s="99"/>
      <c r="X20" s="99"/>
      <c r="Y20" s="99"/>
      <c r="Z20" s="99"/>
      <c r="AA20" s="99"/>
      <c r="AB20" s="99"/>
      <c r="AC20" s="99"/>
    </row>
    <row r="21" spans="1:41" ht="19.5" customHeight="1">
      <c r="A21" s="1404" t="str">
        <f>Lançamentos!A63</f>
        <v>Anuid. PJ - Exerc.</v>
      </c>
      <c r="B21" s="1404" t="s">
        <v>114</v>
      </c>
      <c r="C21" s="1404"/>
      <c r="D21" s="1404"/>
      <c r="E21" s="1404"/>
      <c r="F21" s="1404"/>
      <c r="G21" s="1404"/>
      <c r="H21" s="1404"/>
      <c r="I21" s="1404"/>
      <c r="J21" s="1404"/>
      <c r="K21" s="1404"/>
      <c r="L21" s="1404"/>
      <c r="M21" s="1404"/>
      <c r="N21" s="240"/>
      <c r="P21" s="105" t="s">
        <v>205</v>
      </c>
      <c r="Q21" s="106">
        <f>B11</f>
        <v>12256316.138870252</v>
      </c>
      <c r="R21" s="269">
        <f>B12</f>
        <v>11752892.600000001</v>
      </c>
      <c r="S21" s="272">
        <f>B10</f>
        <v>21122884.373729218</v>
      </c>
      <c r="T21" s="100" t="e">
        <f>IF(R21="",NA(),IF(R21&gt;=Q21,R21,NA()))</f>
        <v>#N/A</v>
      </c>
      <c r="U21" s="100">
        <f>IF(R21="",NA(),IF(R21&lt;Q21,R21,NA()))</f>
        <v>11752892.600000001</v>
      </c>
      <c r="V21" s="99"/>
      <c r="W21" s="99"/>
      <c r="X21" s="99"/>
      <c r="Y21" s="99"/>
      <c r="Z21" s="99"/>
      <c r="AA21" s="99"/>
      <c r="AB21" s="99"/>
      <c r="AC21" s="99"/>
    </row>
    <row r="22" spans="1:41" ht="19.5" customHeight="1">
      <c r="A22" s="86" t="s">
        <v>193</v>
      </c>
      <c r="B22" s="66" t="s">
        <v>130</v>
      </c>
      <c r="C22" s="66" t="s">
        <v>146</v>
      </c>
      <c r="D22" s="66" t="s">
        <v>147</v>
      </c>
      <c r="E22" s="66" t="s">
        <v>148</v>
      </c>
      <c r="F22" s="66" t="s">
        <v>149</v>
      </c>
      <c r="G22" s="66" t="s">
        <v>150</v>
      </c>
      <c r="H22" s="66" t="s">
        <v>151</v>
      </c>
      <c r="I22" s="66" t="s">
        <v>152</v>
      </c>
      <c r="J22" s="66" t="s">
        <v>153</v>
      </c>
      <c r="K22" s="66" t="s">
        <v>154</v>
      </c>
      <c r="L22" s="66" t="s">
        <v>155</v>
      </c>
      <c r="M22" s="66" t="s">
        <v>156</v>
      </c>
      <c r="N22" s="240"/>
      <c r="P22" s="105" t="s">
        <v>206</v>
      </c>
      <c r="Q22" s="109">
        <f>C11</f>
        <v>22568935.309975661</v>
      </c>
      <c r="R22" s="271">
        <f>C12</f>
        <v>22742836.909999996</v>
      </c>
      <c r="S22" s="270">
        <f>C10</f>
        <v>38895946.024017379</v>
      </c>
      <c r="T22" s="100">
        <f t="shared" ref="T22:T32" si="28">IF(R22="",NA(),IF(R22&gt;=Q22,R22,NA()))</f>
        <v>22742836.909999996</v>
      </c>
      <c r="U22" s="100" t="e">
        <f t="shared" ref="U22:U32" si="29">IF(R22="",NA(),IF(R22&lt;Q22,R22,NA()))</f>
        <v>#N/A</v>
      </c>
      <c r="V22" s="99"/>
      <c r="W22" s="99"/>
      <c r="X22" s="99"/>
      <c r="Y22" s="99"/>
      <c r="Z22" s="99"/>
      <c r="AA22" s="99"/>
      <c r="AB22" s="99"/>
      <c r="AC22" s="99"/>
    </row>
    <row r="23" spans="1:41" ht="19.5" customHeight="1">
      <c r="A23" s="112" t="s">
        <v>224</v>
      </c>
      <c r="B23" s="37">
        <f>$N$23*Lançamentos!B81</f>
        <v>2067102.4858629624</v>
      </c>
      <c r="C23" s="37">
        <f>$N$23*Lançamentos!B82</f>
        <v>4213071.1096877074</v>
      </c>
      <c r="D23" s="37">
        <f>$N$23*Lançamentos!B83</f>
        <v>5211376.7588465121</v>
      </c>
      <c r="E23" s="37">
        <f>$N$23*Lançamentos!B84</f>
        <v>6111397.9331756094</v>
      </c>
      <c r="F23" s="37">
        <f>$N$23*Lançamentos!B85</f>
        <v>7314501.3741805796</v>
      </c>
      <c r="G23" s="37">
        <f>$N$23*Lançamentos!B86</f>
        <v>8423768.2776798792</v>
      </c>
      <c r="H23" s="37">
        <f>$N$23*Lançamentos!B87</f>
        <v>8889071.3071013261</v>
      </c>
      <c r="I23" s="37">
        <f>$N$23*Lançamentos!B88</f>
        <v>9286848.3067036048</v>
      </c>
      <c r="J23" s="37">
        <f>$N$23*Lançamentos!B89</f>
        <v>9595658.653313458</v>
      </c>
      <c r="K23" s="37">
        <f>$N$23*Lançamentos!B90</f>
        <v>9941858.5814006049</v>
      </c>
      <c r="L23" s="37">
        <f>$N$23*Lançamentos!B91</f>
        <v>10211142.037870217</v>
      </c>
      <c r="M23" s="37">
        <f>$N$23*Lançamentos!B92</f>
        <v>10468500.740545867</v>
      </c>
      <c r="N23" s="64">
        <f>Lançamentos!AA3</f>
        <v>10468500.740545869</v>
      </c>
      <c r="P23" s="105" t="s">
        <v>207</v>
      </c>
      <c r="Q23" s="109">
        <f>D11</f>
        <v>27552536.369640775</v>
      </c>
      <c r="R23" s="271">
        <f>D12</f>
        <v>28680349.049999997</v>
      </c>
      <c r="S23" s="270">
        <f>D10</f>
        <v>47484826.055779018</v>
      </c>
      <c r="T23" s="100">
        <f t="shared" si="28"/>
        <v>28680349.049999997</v>
      </c>
      <c r="U23" s="100" t="e">
        <f t="shared" si="29"/>
        <v>#N/A</v>
      </c>
      <c r="V23" s="99"/>
      <c r="W23" s="99"/>
      <c r="X23" s="99"/>
      <c r="Y23" s="99"/>
      <c r="Z23" s="99"/>
      <c r="AA23" s="99"/>
      <c r="AB23" s="99"/>
      <c r="AC23" s="99"/>
    </row>
    <row r="24" spans="1:41" ht="19.5" customHeight="1">
      <c r="A24" s="65" t="s">
        <v>176</v>
      </c>
      <c r="B24" s="34">
        <f>$N$24*Lançamentos!B81</f>
        <v>1311219.4652656892</v>
      </c>
      <c r="C24" s="34">
        <f>$N$24*Lançamentos!B82</f>
        <v>2672465.8720850996</v>
      </c>
      <c r="D24" s="34">
        <f>$N$24*Lançamentos!B83</f>
        <v>3305718.3636350054</v>
      </c>
      <c r="E24" s="34">
        <f>$N$24*Lançamentos!B84</f>
        <v>3876626.3331249282</v>
      </c>
      <c r="F24" s="34">
        <f>$N$24*Lançamentos!B85</f>
        <v>4639787.6477489918</v>
      </c>
      <c r="G24" s="34">
        <f>$N$24*Lançamentos!B86</f>
        <v>5343425.8882284258</v>
      </c>
      <c r="H24" s="34">
        <f>$N$24*Lançamentos!B87</f>
        <v>5638580.286037486</v>
      </c>
      <c r="I24" s="34">
        <f>$N$24*Lançamentos!B88</f>
        <v>5890901.0820698831</v>
      </c>
      <c r="J24" s="34">
        <f>$N$24*Lançamentos!B89</f>
        <v>6086787.9044792922</v>
      </c>
      <c r="K24" s="34">
        <f>$N$24*Lançamentos!B90</f>
        <v>6306391.9578273958</v>
      </c>
      <c r="L24" s="34">
        <f>$N$24*Lançamentos!B91</f>
        <v>6477205.7961405823</v>
      </c>
      <c r="M24" s="34">
        <f>$N$24*Lançamentos!B92</f>
        <v>6640455.4379999973</v>
      </c>
      <c r="N24" s="64">
        <f>Lançamentos!O65</f>
        <v>6640455.4379999992</v>
      </c>
      <c r="P24" s="105" t="s">
        <v>208</v>
      </c>
      <c r="Q24" s="109">
        <f>E11</f>
        <v>31838963.139759414</v>
      </c>
      <c r="R24" s="271">
        <f>E12</f>
        <v>31277767.549999997</v>
      </c>
      <c r="S24" s="270">
        <f>E10</f>
        <v>54872176.056855232</v>
      </c>
      <c r="T24" s="100" t="e">
        <f t="shared" si="28"/>
        <v>#N/A</v>
      </c>
      <c r="U24" s="100">
        <f t="shared" si="29"/>
        <v>31277767.549999997</v>
      </c>
      <c r="V24" s="99"/>
      <c r="W24" s="99"/>
      <c r="X24" s="99"/>
      <c r="Y24" s="99"/>
      <c r="Z24" s="99"/>
      <c r="AA24" s="99"/>
      <c r="AB24" s="99"/>
      <c r="AC24" s="99"/>
    </row>
    <row r="25" spans="1:41" ht="19.5" customHeight="1">
      <c r="A25" s="65" t="s">
        <v>177</v>
      </c>
      <c r="B25" s="177">
        <f>Lançamentos!B65</f>
        <v>1353434.86</v>
      </c>
      <c r="C25" s="177">
        <f>SUM(Lançamentos!B65:C65)</f>
        <v>3019644.33</v>
      </c>
      <c r="D25" s="177">
        <f>SUM(Lançamentos!B65:D65)</f>
        <v>3856577.66</v>
      </c>
      <c r="E25" s="177">
        <f>SUM(Lançamentos!B65:E65)</f>
        <v>4199918.3100000005</v>
      </c>
      <c r="F25" s="177">
        <f>SUM(Lançamentos!B65:F65)</f>
        <v>4488784.3000000007</v>
      </c>
      <c r="G25" s="177">
        <f>SUM(Lançamentos!B65:G65)</f>
        <v>4938128.4000000004</v>
      </c>
      <c r="H25" s="177">
        <f>SUM(Lançamentos!B65:H65)</f>
        <v>5478391.0600000005</v>
      </c>
      <c r="I25" s="177">
        <f>SUM(Lançamentos!B65:I65)</f>
        <v>6217474.7200000007</v>
      </c>
      <c r="J25" s="177">
        <f>SUM(Lançamentos!B65:J65)</f>
        <v>6466524.0900000008</v>
      </c>
      <c r="K25" s="177">
        <f>SUM(Lançamentos!B65:K65)</f>
        <v>6576739.2700000005</v>
      </c>
      <c r="L25" s="177">
        <f>SUM(Lançamentos!B65:L65)</f>
        <v>6767085.8800000008</v>
      </c>
      <c r="M25" s="177">
        <f>SUM(Lançamentos!B65:M65)</f>
        <v>6969292.370000001</v>
      </c>
      <c r="N25" s="240"/>
      <c r="P25" s="105" t="s">
        <v>209</v>
      </c>
      <c r="Q25" s="109">
        <f>F11</f>
        <v>37654806.651967429</v>
      </c>
      <c r="R25" s="271">
        <f>F12</f>
        <v>33554317.009999998</v>
      </c>
      <c r="S25" s="270">
        <f>F10</f>
        <v>64895366.439034522</v>
      </c>
      <c r="T25" s="100" t="e">
        <f t="shared" si="28"/>
        <v>#N/A</v>
      </c>
      <c r="U25" s="100">
        <f t="shared" si="29"/>
        <v>33554317.009999998</v>
      </c>
      <c r="V25" s="99"/>
      <c r="W25" s="99"/>
      <c r="X25" s="99"/>
      <c r="Y25" s="99"/>
      <c r="Z25" s="99"/>
      <c r="AA25" s="99"/>
      <c r="AB25" s="99"/>
      <c r="AC25" s="99"/>
    </row>
    <row r="26" spans="1:41" ht="19.5" customHeight="1">
      <c r="A26" s="65" t="s">
        <v>178</v>
      </c>
      <c r="B26" s="39">
        <f>B25/B24</f>
        <v>1.0321955216899994</v>
      </c>
      <c r="C26" s="39">
        <f t="shared" ref="C26" si="30">C25/C24</f>
        <v>1.1299094074657074</v>
      </c>
      <c r="D26" s="39">
        <f t="shared" ref="D26" si="31">D25/D24</f>
        <v>1.1666383024109965</v>
      </c>
      <c r="E26" s="39">
        <f t="shared" ref="E26" si="32">E25/E24</f>
        <v>1.0833951867149569</v>
      </c>
      <c r="F26" s="39">
        <f t="shared" ref="F26" si="33">F25/F24</f>
        <v>0.96745468559918879</v>
      </c>
      <c r="G26" s="39">
        <f t="shared" ref="G26" si="34">G25/G24</f>
        <v>0.92415025552776986</v>
      </c>
      <c r="H26" s="39">
        <f t="shared" ref="H26" si="35">H25/H24</f>
        <v>0.97159050365317068</v>
      </c>
      <c r="I26" s="39">
        <f t="shared" ref="I26" si="36">I25/I24</f>
        <v>1.0554369583499048</v>
      </c>
      <c r="J26" s="39">
        <f t="shared" ref="J26" si="37">J25/J24</f>
        <v>1.0623869586849344</v>
      </c>
      <c r="K26" s="39">
        <f t="shared" ref="K26" si="38">K25/K24</f>
        <v>1.0428687772628933</v>
      </c>
      <c r="L26" s="39">
        <f t="shared" ref="L26" si="39">L25/L24</f>
        <v>1.0447538789074977</v>
      </c>
      <c r="M26" s="39">
        <f t="shared" ref="M26" si="40">M25/M24</f>
        <v>1.0495202377412602</v>
      </c>
      <c r="N26" s="240"/>
      <c r="P26" s="105" t="s">
        <v>210</v>
      </c>
      <c r="Q26" s="109">
        <f>G11</f>
        <v>42210541.653344139</v>
      </c>
      <c r="R26" s="271">
        <f>G12</f>
        <v>37072789.209999993</v>
      </c>
      <c r="S26" s="270">
        <f>G10</f>
        <v>72746849.917519733</v>
      </c>
      <c r="T26" s="100" t="e">
        <f t="shared" si="28"/>
        <v>#N/A</v>
      </c>
      <c r="U26" s="100">
        <f t="shared" si="29"/>
        <v>37072789.209999993</v>
      </c>
      <c r="V26" s="99"/>
      <c r="W26" s="99"/>
      <c r="X26" s="99"/>
      <c r="Y26" s="99"/>
      <c r="Z26" s="99"/>
      <c r="AA26" s="99"/>
      <c r="AB26" s="99"/>
      <c r="AC26" s="99"/>
    </row>
    <row r="27" spans="1:41" ht="19.5" customHeight="1">
      <c r="N27" s="240"/>
      <c r="P27" s="105" t="s">
        <v>211</v>
      </c>
      <c r="Q27" s="109">
        <f>H11</f>
        <v>43844268.750863038</v>
      </c>
      <c r="R27" s="271">
        <f>H12</f>
        <v>42462675.139999993</v>
      </c>
      <c r="S27" s="270">
        <f>H10</f>
        <v>75562461.736610815</v>
      </c>
      <c r="T27" s="100" t="e">
        <f t="shared" si="28"/>
        <v>#N/A</v>
      </c>
      <c r="U27" s="100">
        <f t="shared" si="29"/>
        <v>42462675.139999993</v>
      </c>
      <c r="V27" s="99"/>
      <c r="W27" s="99"/>
      <c r="X27" s="99"/>
      <c r="Y27" s="99"/>
      <c r="Z27" s="99"/>
      <c r="AA27" s="99"/>
      <c r="AB27" s="99"/>
      <c r="AC27" s="99"/>
    </row>
    <row r="28" spans="1:41" ht="19.5" customHeight="1">
      <c r="A28" s="1404" t="str">
        <f>Lançamentos!Q63</f>
        <v>Anuid. PJ - Exerc. Ant.</v>
      </c>
      <c r="B28" s="1404" t="s">
        <v>114</v>
      </c>
      <c r="C28" s="1404"/>
      <c r="D28" s="1404"/>
      <c r="E28" s="1404"/>
      <c r="F28" s="1404"/>
      <c r="G28" s="1404"/>
      <c r="H28" s="1404"/>
      <c r="I28" s="1404"/>
      <c r="J28" s="1404"/>
      <c r="K28" s="1404"/>
      <c r="L28" s="1404"/>
      <c r="M28" s="1404"/>
      <c r="N28" s="240"/>
      <c r="P28" s="105" t="s">
        <v>212</v>
      </c>
      <c r="Q28" s="109">
        <f>I11</f>
        <v>45340823.704320706</v>
      </c>
      <c r="R28" s="271">
        <f>I12</f>
        <v>48206207.059999995</v>
      </c>
      <c r="S28" s="270">
        <f>I10</f>
        <v>78141667.175067455</v>
      </c>
      <c r="T28" s="100">
        <f t="shared" si="28"/>
        <v>48206207.059999995</v>
      </c>
      <c r="U28" s="100" t="e">
        <f t="shared" si="29"/>
        <v>#N/A</v>
      </c>
      <c r="V28" s="99"/>
      <c r="W28" s="99"/>
      <c r="X28" s="99"/>
      <c r="Y28" s="99"/>
      <c r="Z28" s="99"/>
      <c r="AA28" s="99"/>
      <c r="AB28" s="99"/>
      <c r="AC28" s="99"/>
    </row>
    <row r="29" spans="1:41" ht="19.5" customHeight="1">
      <c r="A29" s="86" t="s">
        <v>193</v>
      </c>
      <c r="B29" s="66" t="s">
        <v>130</v>
      </c>
      <c r="C29" s="66" t="s">
        <v>146</v>
      </c>
      <c r="D29" s="66" t="s">
        <v>147</v>
      </c>
      <c r="E29" s="66" t="s">
        <v>148</v>
      </c>
      <c r="F29" s="66" t="s">
        <v>149</v>
      </c>
      <c r="G29" s="66" t="s">
        <v>150</v>
      </c>
      <c r="H29" s="66" t="s">
        <v>151</v>
      </c>
      <c r="I29" s="66" t="s">
        <v>152</v>
      </c>
      <c r="J29" s="66" t="s">
        <v>153</v>
      </c>
      <c r="K29" s="66" t="s">
        <v>154</v>
      </c>
      <c r="L29" s="66" t="s">
        <v>155</v>
      </c>
      <c r="M29" s="66" t="s">
        <v>156</v>
      </c>
      <c r="N29" s="240"/>
      <c r="P29" s="105" t="s">
        <v>213</v>
      </c>
      <c r="Q29" s="109">
        <f>J11</f>
        <v>46507006.285056904</v>
      </c>
      <c r="R29" s="271">
        <f>J12</f>
        <v>50490102.899999991</v>
      </c>
      <c r="S29" s="270">
        <f>J10</f>
        <v>80151499.455211177</v>
      </c>
      <c r="T29" s="100">
        <f t="shared" si="28"/>
        <v>50490102.899999991</v>
      </c>
      <c r="U29" s="100" t="e">
        <f t="shared" si="29"/>
        <v>#N/A</v>
      </c>
      <c r="V29" s="99"/>
      <c r="W29" s="99"/>
      <c r="X29" s="99"/>
      <c r="Y29" s="99"/>
      <c r="Z29" s="99"/>
      <c r="AA29" s="99"/>
      <c r="AB29" s="99"/>
      <c r="AC29" s="99"/>
    </row>
    <row r="30" spans="1:41" ht="19.5" customHeight="1">
      <c r="A30" s="65" t="s">
        <v>176</v>
      </c>
      <c r="B30" s="34">
        <f>$N$30*Lançamentos!R81</f>
        <v>217752.12995252226</v>
      </c>
      <c r="C30" s="34">
        <f>$N$30*Lançamentos!R82</f>
        <v>388539.41750197596</v>
      </c>
      <c r="D30" s="34">
        <f>$N$30*Lançamentos!R83</f>
        <v>535435.45418204111</v>
      </c>
      <c r="E30" s="34">
        <f>$N$30*Lançamentos!R84</f>
        <v>672479.00000376033</v>
      </c>
      <c r="F30" s="34">
        <f>$N$30*Lançamentos!R85</f>
        <v>807785.55003516539</v>
      </c>
      <c r="G30" s="34">
        <f>$N$30*Lançamentos!R86</f>
        <v>935532.22031509038</v>
      </c>
      <c r="H30" s="34">
        <f>$N$30*Lançamentos!R87</f>
        <v>1080192.4183031777</v>
      </c>
      <c r="I30" s="34">
        <f>$N$30*Lançamentos!R88</f>
        <v>1234104.1651959268</v>
      </c>
      <c r="J30" s="34">
        <f>$N$30*Lançamentos!R89</f>
        <v>1350755.7936711241</v>
      </c>
      <c r="K30" s="34">
        <f>$N$30*Lançamentos!R90</f>
        <v>1491833.0129095844</v>
      </c>
      <c r="L30" s="34">
        <f>$N$30*Lançamentos!R91</f>
        <v>1610059.1397355548</v>
      </c>
      <c r="M30" s="34">
        <f>$N$30*Lançamentos!R92</f>
        <v>1744647.8605981038</v>
      </c>
      <c r="N30" s="64">
        <f>Lançamentos!AE65</f>
        <v>1744647.8605981038</v>
      </c>
      <c r="P30" s="105" t="s">
        <v>214</v>
      </c>
      <c r="Q30" s="109">
        <f>K11</f>
        <v>47836101.33201424</v>
      </c>
      <c r="R30" s="271">
        <f>K12</f>
        <v>51451272.719999991</v>
      </c>
      <c r="S30" s="270">
        <f>K10</f>
        <v>82442099.720452353</v>
      </c>
      <c r="T30" s="100">
        <f t="shared" si="28"/>
        <v>51451272.719999991</v>
      </c>
      <c r="U30" s="100" t="e">
        <f t="shared" si="29"/>
        <v>#N/A</v>
      </c>
      <c r="V30" s="99"/>
      <c r="W30" s="99"/>
      <c r="X30" s="99"/>
      <c r="Y30" s="99"/>
      <c r="Z30" s="99"/>
      <c r="AA30" s="99"/>
      <c r="AB30" s="99"/>
      <c r="AC30" s="99"/>
    </row>
    <row r="31" spans="1:41" ht="19.5" customHeight="1">
      <c r="A31" s="65" t="s">
        <v>177</v>
      </c>
      <c r="B31" s="177">
        <f>Lançamentos!R65</f>
        <v>320293.44</v>
      </c>
      <c r="C31" s="177">
        <f>SUM(Lançamentos!R65:S65)</f>
        <v>571582.46</v>
      </c>
      <c r="D31" s="177">
        <f>SUM(Lançamentos!R65:T65)</f>
        <v>807349.42999999993</v>
      </c>
      <c r="E31" s="177">
        <f>SUM(Lançamentos!R65:U65)</f>
        <v>924365.69</v>
      </c>
      <c r="F31" s="177">
        <f>SUM(Lançamentos!R65:V65)</f>
        <v>1031422.8099999999</v>
      </c>
      <c r="G31" s="177">
        <f>SUM(Lançamentos!R65:W65)</f>
        <v>1176372.28</v>
      </c>
      <c r="H31" s="177">
        <f>SUM(Lançamentos!R65:X65)</f>
        <v>1342329.78</v>
      </c>
      <c r="I31" s="177">
        <f>SUM(Lançamentos!R65:Y65)</f>
        <v>1499391.26</v>
      </c>
      <c r="J31" s="177">
        <f>SUM(Lançamentos!R65:Z65)</f>
        <v>1638201.51</v>
      </c>
      <c r="K31" s="177">
        <f>SUM(Lançamentos!R65:AA65)</f>
        <v>1845393.05</v>
      </c>
      <c r="L31" s="177">
        <f>SUM(Lançamentos!R65:AB65)</f>
        <v>1973825.92</v>
      </c>
      <c r="M31" s="177">
        <f>SUM(Lançamentos!R65:AC65)</f>
        <v>2136068.67</v>
      </c>
      <c r="N31" s="240"/>
      <c r="P31" s="105" t="s">
        <v>215</v>
      </c>
      <c r="Q31" s="109">
        <f>L11</f>
        <v>48992612.809586227</v>
      </c>
      <c r="R31" s="271">
        <f>L12</f>
        <v>53100695.819999993</v>
      </c>
      <c r="S31" s="270">
        <f>L10</f>
        <v>84435264.545906633</v>
      </c>
      <c r="T31" s="100">
        <f t="shared" si="28"/>
        <v>53100695.819999993</v>
      </c>
      <c r="U31" s="100" t="e">
        <f t="shared" si="29"/>
        <v>#N/A</v>
      </c>
      <c r="V31" s="99"/>
      <c r="W31" s="99"/>
      <c r="X31" s="99"/>
      <c r="Y31" s="99"/>
      <c r="Z31" s="99"/>
      <c r="AA31" s="99"/>
      <c r="AB31" s="99"/>
      <c r="AC31" s="99"/>
    </row>
    <row r="32" spans="1:41" ht="19.5" customHeight="1">
      <c r="A32" s="65" t="s">
        <v>178</v>
      </c>
      <c r="B32" s="39">
        <f>B31/B30</f>
        <v>1.4709084134783683</v>
      </c>
      <c r="C32" s="39">
        <f t="shared" ref="C32" si="41">C31/C30</f>
        <v>1.4711054638287584</v>
      </c>
      <c r="D32" s="39">
        <f t="shared" ref="D32" si="42">D31/D30</f>
        <v>1.5078370767086178</v>
      </c>
      <c r="E32" s="39">
        <f t="shared" ref="E32" si="43">E31/E30</f>
        <v>1.3745643953117215</v>
      </c>
      <c r="F32" s="39">
        <f t="shared" ref="F32" si="44">F31/F30</f>
        <v>1.2768522659944821</v>
      </c>
      <c r="G32" s="39">
        <f t="shared" ref="G32" si="45">G31/G30</f>
        <v>1.2574364136852432</v>
      </c>
      <c r="H32" s="39">
        <f t="shared" ref="H32" si="46">H31/H30</f>
        <v>1.2426765428594668</v>
      </c>
      <c r="I32" s="39">
        <f t="shared" ref="I32" si="47">I31/I30</f>
        <v>1.2149632926341807</v>
      </c>
      <c r="J32" s="39">
        <f t="shared" ref="J32" si="48">J31/J30</f>
        <v>1.2128036153357131</v>
      </c>
      <c r="K32" s="39">
        <f t="shared" ref="K32" si="49">K31/K30</f>
        <v>1.2369970593430244</v>
      </c>
      <c r="L32" s="39">
        <f t="shared" ref="L32" si="50">L31/L30</f>
        <v>1.2259338003721976</v>
      </c>
      <c r="M32" s="39">
        <f t="shared" ref="M32" si="51">M31/M30</f>
        <v>1.2243551941007216</v>
      </c>
      <c r="N32" s="240"/>
      <c r="P32" s="105" t="s">
        <v>216</v>
      </c>
      <c r="Q32" s="109">
        <f>M11</f>
        <v>50122525.358499989</v>
      </c>
      <c r="R32" s="271">
        <f>M12</f>
        <v>54822531.61999999</v>
      </c>
      <c r="S32" s="270">
        <f>M10</f>
        <v>86382588.019999966</v>
      </c>
      <c r="T32" s="100">
        <f t="shared" si="28"/>
        <v>54822531.61999999</v>
      </c>
      <c r="U32" s="100" t="e">
        <f t="shared" si="29"/>
        <v>#N/A</v>
      </c>
      <c r="V32" s="99"/>
      <c r="W32" s="99"/>
      <c r="X32" s="99"/>
      <c r="Y32" s="99"/>
      <c r="Z32" s="99"/>
      <c r="AA32" s="99"/>
      <c r="AB32" s="99"/>
      <c r="AC32" s="99"/>
    </row>
    <row r="33" spans="1:29" ht="19.5" customHeight="1" thickBot="1">
      <c r="N33" s="240"/>
      <c r="P33" s="107"/>
      <c r="Q33" s="107"/>
      <c r="R33" s="107"/>
      <c r="S33" s="107"/>
      <c r="T33" s="107"/>
      <c r="U33" s="107"/>
      <c r="V33" s="107"/>
      <c r="W33" s="107"/>
      <c r="X33" s="107"/>
      <c r="Y33" s="107"/>
      <c r="Z33" s="107"/>
      <c r="AA33" s="107"/>
      <c r="AB33" s="107"/>
      <c r="AC33" s="107"/>
    </row>
    <row r="34" spans="1:29" ht="19.5" customHeight="1">
      <c r="A34" s="1404" t="str">
        <f>Lançamentos!A94</f>
        <v>RRT</v>
      </c>
      <c r="B34" s="1404" t="s">
        <v>114</v>
      </c>
      <c r="C34" s="1404"/>
      <c r="D34" s="1404"/>
      <c r="E34" s="1404"/>
      <c r="F34" s="1404"/>
      <c r="G34" s="1404"/>
      <c r="H34" s="1404"/>
      <c r="I34" s="1404"/>
      <c r="J34" s="1404"/>
      <c r="K34" s="1404"/>
      <c r="L34" s="1404"/>
      <c r="M34" s="1404"/>
      <c r="N34" s="240"/>
      <c r="P34" s="99"/>
      <c r="Q34" s="99"/>
      <c r="R34" s="99"/>
      <c r="S34" s="99"/>
      <c r="T34" s="99"/>
      <c r="U34" s="99"/>
      <c r="V34" s="99"/>
      <c r="W34" s="99"/>
      <c r="X34" s="99"/>
      <c r="Y34" s="99"/>
      <c r="Z34" s="99"/>
      <c r="AA34" s="99"/>
      <c r="AB34" s="99"/>
      <c r="AC34" s="99"/>
    </row>
    <row r="35" spans="1:29" ht="19.5" customHeight="1">
      <c r="A35" s="86" t="s">
        <v>193</v>
      </c>
      <c r="B35" s="66" t="s">
        <v>130</v>
      </c>
      <c r="C35" s="66" t="s">
        <v>146</v>
      </c>
      <c r="D35" s="66" t="s">
        <v>147</v>
      </c>
      <c r="E35" s="66" t="s">
        <v>148</v>
      </c>
      <c r="F35" s="66" t="s">
        <v>149</v>
      </c>
      <c r="G35" s="66" t="s">
        <v>150</v>
      </c>
      <c r="H35" s="66" t="s">
        <v>151</v>
      </c>
      <c r="I35" s="66" t="s">
        <v>152</v>
      </c>
      <c r="J35" s="66" t="s">
        <v>153</v>
      </c>
      <c r="K35" s="66" t="s">
        <v>154</v>
      </c>
      <c r="L35" s="66" t="s">
        <v>155</v>
      </c>
      <c r="M35" s="66" t="s">
        <v>156</v>
      </c>
      <c r="N35" s="240"/>
      <c r="P35" s="1402" t="s">
        <v>217</v>
      </c>
      <c r="Q35" s="1402"/>
      <c r="R35" s="1402"/>
      <c r="S35" s="99"/>
      <c r="T35" s="99"/>
      <c r="U35" s="99"/>
      <c r="V35" s="99"/>
      <c r="W35" s="99"/>
      <c r="X35" s="99"/>
      <c r="Y35" s="99"/>
      <c r="Z35" s="99"/>
      <c r="AA35" s="99"/>
      <c r="AB35" s="99"/>
      <c r="AC35" s="99"/>
    </row>
    <row r="36" spans="1:29" ht="19.5" customHeight="1">
      <c r="A36" s="65" t="s">
        <v>176</v>
      </c>
      <c r="B36" s="34">
        <f>$N$36*Lançamentos!B112</f>
        <v>4360896.3398541976</v>
      </c>
      <c r="C36" s="34">
        <f>$N$36*Lançamentos!B113</f>
        <v>9262643.1181037668</v>
      </c>
      <c r="D36" s="34">
        <f>$N$36*Lançamentos!B114</f>
        <v>15175128.294068078</v>
      </c>
      <c r="E36" s="34">
        <f>$N$36*Lançamentos!B115</f>
        <v>21038086.194907062</v>
      </c>
      <c r="F36" s="34">
        <f>$N$36*Lançamentos!B116</f>
        <v>27571721.465995748</v>
      </c>
      <c r="G36" s="34">
        <f>$N$36*Lançamentos!B117</f>
        <v>33468552.324798964</v>
      </c>
      <c r="H36" s="34">
        <f>$N$36*Lançamentos!B118</f>
        <v>39746513.536818929</v>
      </c>
      <c r="I36" s="34">
        <f>$N$36*Lançamentos!B119</f>
        <v>46587060.219900794</v>
      </c>
      <c r="J36" s="34">
        <f>$N$36*Lançamentos!B120</f>
        <v>52648520.966934644</v>
      </c>
      <c r="K36" s="34">
        <f>$N$36*Lançamentos!B121</f>
        <v>59178804.121601611</v>
      </c>
      <c r="L36" s="34">
        <f>$N$36*Lançamentos!B122</f>
        <v>64893370.123346224</v>
      </c>
      <c r="M36" s="34">
        <f>$N$36*Lançamentos!B123</f>
        <v>70227432.364500001</v>
      </c>
      <c r="N36" s="64">
        <f>Lançamentos!O96</f>
        <v>70227432.364500001</v>
      </c>
      <c r="P36" s="101" t="s">
        <v>193</v>
      </c>
      <c r="Q36" s="102" t="s">
        <v>201</v>
      </c>
      <c r="R36" s="103" t="s">
        <v>202</v>
      </c>
      <c r="S36" s="104"/>
      <c r="T36" s="104" t="s">
        <v>203</v>
      </c>
      <c r="U36" s="104" t="s">
        <v>204</v>
      </c>
      <c r="V36" s="99"/>
      <c r="W36" s="99"/>
      <c r="X36" s="99"/>
      <c r="Y36" s="99"/>
      <c r="Z36" s="99"/>
      <c r="AA36" s="99"/>
      <c r="AB36" s="99"/>
      <c r="AC36" s="99"/>
    </row>
    <row r="37" spans="1:29" ht="19.5" customHeight="1">
      <c r="A37" s="65" t="s">
        <v>177</v>
      </c>
      <c r="B37" s="177">
        <f>Lançamentos!B96</f>
        <v>6095755.0300000012</v>
      </c>
      <c r="C37" s="177">
        <f>SUM(Lançamentos!B96:C96)</f>
        <v>12582474.640000002</v>
      </c>
      <c r="D37" s="177">
        <f>SUM(Lançamentos!B96:D96)</f>
        <v>19157049.210000001</v>
      </c>
      <c r="E37" s="177">
        <f>SUM(Lançamentos!B96:E96)</f>
        <v>22925187.109999999</v>
      </c>
      <c r="F37" s="177">
        <f>SUM(Lançamentos!B96:F96)</f>
        <v>27735609.559999999</v>
      </c>
      <c r="G37" s="177">
        <f>SUM(Lançamentos!B96:G96)</f>
        <v>33971204.509999998</v>
      </c>
      <c r="H37" s="177">
        <f>SUM(Lançamentos!B96:H96)</f>
        <v>41539903.059999995</v>
      </c>
      <c r="I37" s="177">
        <f>SUM(Lançamentos!B96:I96)</f>
        <v>49562587.979999997</v>
      </c>
      <c r="J37" s="177">
        <f>SUM(Lançamentos!B96:J96)</f>
        <v>57476947.979999997</v>
      </c>
      <c r="K37" s="177">
        <f>SUM(Lançamentos!B96:K96)</f>
        <v>66244746.329999998</v>
      </c>
      <c r="L37" s="177">
        <f>SUM(Lançamentos!B96:L96)</f>
        <v>73970567.5</v>
      </c>
      <c r="M37" s="177">
        <f>SUM(Lançamentos!B96:M96)</f>
        <v>81413494.150000006</v>
      </c>
      <c r="N37" s="240"/>
      <c r="P37" s="105" t="s">
        <v>205</v>
      </c>
      <c r="Q37" s="106">
        <f>B17</f>
        <v>1660958.1722686691</v>
      </c>
      <c r="R37" s="269">
        <f>B18</f>
        <v>2232851.5199999996</v>
      </c>
      <c r="S37" s="99"/>
      <c r="T37" s="100">
        <f>IF(R37="",NA(),IF(R37&gt;=Q37,R37,NA()))</f>
        <v>2232851.5199999996</v>
      </c>
      <c r="U37" s="100" t="e">
        <f>IF(R37="",NA(),IF(R37&lt;Q37,R37,NA()))</f>
        <v>#N/A</v>
      </c>
      <c r="V37" s="99"/>
      <c r="W37" s="99"/>
      <c r="X37" s="99"/>
      <c r="Y37" s="99"/>
      <c r="Z37" s="99"/>
      <c r="AA37" s="99"/>
      <c r="AB37" s="99"/>
      <c r="AC37" s="99"/>
    </row>
    <row r="38" spans="1:29" ht="19.5" customHeight="1">
      <c r="A38" s="65" t="s">
        <v>178</v>
      </c>
      <c r="B38" s="39">
        <f>B37/B36</f>
        <v>1.3978215841296073</v>
      </c>
      <c r="C38" s="39">
        <f t="shared" ref="C38" si="52">C37/C36</f>
        <v>1.358410820709226</v>
      </c>
      <c r="D38" s="39">
        <f t="shared" ref="D38" si="53">D37/D36</f>
        <v>1.2623978419667428</v>
      </c>
      <c r="E38" s="39">
        <f t="shared" ref="E38" si="54">E37/E36</f>
        <v>1.0896992672056725</v>
      </c>
      <c r="F38" s="39">
        <f t="shared" ref="F38" si="55">F37/F36</f>
        <v>1.0059440646173063</v>
      </c>
      <c r="G38" s="39">
        <f t="shared" ref="G38" si="56">G37/G36</f>
        <v>1.0150186413897737</v>
      </c>
      <c r="H38" s="39">
        <f t="shared" ref="H38" si="57">H37/H36</f>
        <v>1.0451206750881374</v>
      </c>
      <c r="I38" s="39">
        <f t="shared" ref="I38" si="58">I37/I36</f>
        <v>1.0638702623873255</v>
      </c>
      <c r="J38" s="39">
        <f t="shared" ref="J38" si="59">J37/J36</f>
        <v>1.0917105917580818</v>
      </c>
      <c r="K38" s="39">
        <f t="shared" ref="K38" si="60">K37/K36</f>
        <v>1.1193998816515314</v>
      </c>
      <c r="L38" s="39">
        <f t="shared" ref="L38" si="61">L37/L36</f>
        <v>1.1398786556993461</v>
      </c>
      <c r="M38" s="39">
        <f t="shared" ref="M38" si="62">M37/M36</f>
        <v>1.1592833656147532</v>
      </c>
      <c r="N38" s="240"/>
      <c r="P38" s="105" t="s">
        <v>206</v>
      </c>
      <c r="Q38" s="109">
        <f>C17</f>
        <v>2821228.2075793813</v>
      </c>
      <c r="R38" s="271">
        <f>C18</f>
        <v>3959226.3899999997</v>
      </c>
      <c r="S38" s="99"/>
      <c r="T38" s="100">
        <f t="shared" ref="T38:T48" si="63">IF(R38="",NA(),IF(R38&gt;=Q38,R38,NA()))</f>
        <v>3959226.3899999997</v>
      </c>
      <c r="U38" s="100" t="e">
        <f t="shared" ref="U38:U48" si="64">IF(R38="",NA(),IF(R38&lt;Q38,R38,NA()))</f>
        <v>#N/A</v>
      </c>
      <c r="V38" s="99"/>
      <c r="W38" s="99"/>
      <c r="X38" s="99"/>
      <c r="Y38" s="99"/>
      <c r="Z38" s="99"/>
      <c r="AA38" s="99"/>
      <c r="AB38" s="99"/>
      <c r="AC38" s="99"/>
    </row>
    <row r="39" spans="1:29" ht="19.5" customHeight="1">
      <c r="N39" s="240"/>
      <c r="P39" s="105" t="s">
        <v>207</v>
      </c>
      <c r="Q39" s="109">
        <f>D17</f>
        <v>3795946.7694131993</v>
      </c>
      <c r="R39" s="271">
        <f>D18</f>
        <v>5549976.379999999</v>
      </c>
      <c r="S39" s="99"/>
      <c r="T39" s="100">
        <f t="shared" si="63"/>
        <v>5549976.379999999</v>
      </c>
      <c r="U39" s="100" t="e">
        <f t="shared" si="64"/>
        <v>#N/A</v>
      </c>
      <c r="V39" s="99"/>
      <c r="W39" s="99"/>
      <c r="X39" s="99"/>
      <c r="Y39" s="99"/>
      <c r="Z39" s="99"/>
      <c r="AA39" s="99"/>
      <c r="AB39" s="99"/>
      <c r="AC39" s="99"/>
    </row>
    <row r="40" spans="1:29" ht="19.5" customHeight="1">
      <c r="A40" s="1404" t="str">
        <f>Lançamentos!A125</f>
        <v>Taxas e Multas</v>
      </c>
      <c r="B40" s="1404" t="s">
        <v>114</v>
      </c>
      <c r="C40" s="1404"/>
      <c r="D40" s="1404"/>
      <c r="E40" s="1404"/>
      <c r="F40" s="1404"/>
      <c r="G40" s="1404"/>
      <c r="H40" s="1404"/>
      <c r="I40" s="1404"/>
      <c r="J40" s="1404"/>
      <c r="K40" s="1404"/>
      <c r="L40" s="1404"/>
      <c r="M40" s="1404"/>
      <c r="N40" s="240"/>
      <c r="P40" s="105" t="s">
        <v>208</v>
      </c>
      <c r="Q40" s="109">
        <f>E17</f>
        <v>4683756.7982944483</v>
      </c>
      <c r="R40" s="271">
        <f>E18</f>
        <v>6477352.379999999</v>
      </c>
      <c r="S40" s="99"/>
      <c r="T40" s="100">
        <f t="shared" si="63"/>
        <v>6477352.379999999</v>
      </c>
      <c r="U40" s="100" t="e">
        <f t="shared" si="64"/>
        <v>#N/A</v>
      </c>
      <c r="V40" s="99"/>
      <c r="W40" s="99"/>
      <c r="X40" s="99"/>
      <c r="Y40" s="99"/>
      <c r="Z40" s="99"/>
      <c r="AA40" s="99"/>
      <c r="AB40" s="99"/>
      <c r="AC40" s="99"/>
    </row>
    <row r="41" spans="1:29" ht="19.5" customHeight="1">
      <c r="A41" s="86" t="s">
        <v>193</v>
      </c>
      <c r="B41" s="66" t="s">
        <v>130</v>
      </c>
      <c r="C41" s="66" t="s">
        <v>146</v>
      </c>
      <c r="D41" s="66" t="s">
        <v>147</v>
      </c>
      <c r="E41" s="66" t="s">
        <v>148</v>
      </c>
      <c r="F41" s="66" t="s">
        <v>149</v>
      </c>
      <c r="G41" s="66" t="s">
        <v>150</v>
      </c>
      <c r="H41" s="66" t="s">
        <v>151</v>
      </c>
      <c r="I41" s="66" t="s">
        <v>152</v>
      </c>
      <c r="J41" s="66" t="s">
        <v>153</v>
      </c>
      <c r="K41" s="66" t="s">
        <v>154</v>
      </c>
      <c r="L41" s="66" t="s">
        <v>155</v>
      </c>
      <c r="M41" s="66" t="s">
        <v>156</v>
      </c>
      <c r="N41" s="240"/>
      <c r="P41" s="105" t="s">
        <v>209</v>
      </c>
      <c r="Q41" s="109">
        <f>F17</f>
        <v>5629761.1071623079</v>
      </c>
      <c r="R41" s="271">
        <f>F18</f>
        <v>7298766.209999999</v>
      </c>
      <c r="S41" s="99"/>
      <c r="T41" s="100">
        <f t="shared" si="63"/>
        <v>7298766.209999999</v>
      </c>
      <c r="U41" s="100" t="e">
        <f t="shared" si="64"/>
        <v>#N/A</v>
      </c>
      <c r="V41" s="99"/>
      <c r="W41" s="99"/>
      <c r="X41" s="99"/>
      <c r="Y41" s="99"/>
      <c r="Z41" s="99"/>
      <c r="AA41" s="99"/>
      <c r="AB41" s="99"/>
      <c r="AC41" s="99"/>
    </row>
    <row r="42" spans="1:29" ht="19.5" customHeight="1">
      <c r="A42" s="112" t="s">
        <v>224</v>
      </c>
      <c r="B42" s="34">
        <f>$N$42*Lançamentos!B143</f>
        <v>754645.99670367478</v>
      </c>
      <c r="C42" s="34">
        <f>$N$42*Lançamentos!B144</f>
        <v>1345603.2999066866</v>
      </c>
      <c r="D42" s="34">
        <f>$N$42*Lançamentos!B145</f>
        <v>1871632.9133984107</v>
      </c>
      <c r="E42" s="34">
        <f>$N$42*Lançamentos!B146</f>
        <v>2384409.8456333489</v>
      </c>
      <c r="F42" s="34">
        <f>$N$42*Lançamentos!B147</f>
        <v>2915909.4712666404</v>
      </c>
      <c r="G42" s="34">
        <f>$N$42*Lançamentos!B148</f>
        <v>3433125.925162849</v>
      </c>
      <c r="H42" s="34">
        <f>$N$42*Lançamentos!B149</f>
        <v>4109492.0916797547</v>
      </c>
      <c r="I42" s="34">
        <f>$N$42*Lançamentos!B150</f>
        <v>4834306.8495081654</v>
      </c>
      <c r="J42" s="34">
        <f>$N$42*Lançamentos!B151</f>
        <v>5442465.6999851614</v>
      </c>
      <c r="K42" s="34">
        <f>$N$42*Lançamentos!B152</f>
        <v>6271274.1879854966</v>
      </c>
      <c r="L42" s="34">
        <f>$N$42*Lançamentos!B153</f>
        <v>7019821.9230493736</v>
      </c>
      <c r="M42" s="34">
        <f>$N$42*Lançamentos!B154</f>
        <v>7815552.4720629985</v>
      </c>
      <c r="N42" s="64">
        <f>Lançamentos!AA4</f>
        <v>7815552.4720629985</v>
      </c>
      <c r="P42" s="105" t="s">
        <v>210</v>
      </c>
      <c r="Q42" s="109">
        <f>G17</f>
        <v>6430729.1209309585</v>
      </c>
      <c r="R42" s="271">
        <f>G18</f>
        <v>8353420.4399999995</v>
      </c>
      <c r="S42" s="99"/>
      <c r="T42" s="100">
        <f t="shared" si="63"/>
        <v>8353420.4399999995</v>
      </c>
      <c r="U42" s="100" t="e">
        <f t="shared" si="64"/>
        <v>#N/A</v>
      </c>
      <c r="V42" s="99"/>
      <c r="W42" s="99"/>
      <c r="X42" s="99"/>
      <c r="Y42" s="99"/>
      <c r="Z42" s="99"/>
      <c r="AA42" s="99"/>
      <c r="AB42" s="99"/>
      <c r="AC42" s="99"/>
    </row>
    <row r="43" spans="1:29" ht="19.5" customHeight="1">
      <c r="A43" s="65" t="s">
        <v>176</v>
      </c>
      <c r="B43" s="34">
        <f>$N$43*Lançamentos!B143</f>
        <v>598442.7722158992</v>
      </c>
      <c r="C43" s="34">
        <f>$N$43*Lançamentos!B144</f>
        <v>1067078.5674560755</v>
      </c>
      <c r="D43" s="34">
        <f>$N$43*Lançamentos!B145</f>
        <v>1484225.9737110594</v>
      </c>
      <c r="E43" s="34">
        <f>$N$43*Lançamentos!B146</f>
        <v>1890863.854512722</v>
      </c>
      <c r="F43" s="34">
        <f>$N$43*Lançamentos!B147</f>
        <v>2312349.0419847975</v>
      </c>
      <c r="G43" s="34">
        <f>$N$43*Lançamentos!B148</f>
        <v>2722507.5134500135</v>
      </c>
      <c r="H43" s="34">
        <f>$N$43*Lançamentos!B149</f>
        <v>3258873.4989471263</v>
      </c>
      <c r="I43" s="34">
        <f>$N$43*Lançamentos!B150</f>
        <v>3833659.7628543256</v>
      </c>
      <c r="J43" s="34">
        <f>$N$43*Lançamentos!B151</f>
        <v>4315936.5787611604</v>
      </c>
      <c r="K43" s="34">
        <f>$N$43*Lançamentos!B152</f>
        <v>4973191.0415973943</v>
      </c>
      <c r="L43" s="34">
        <f>$N$43*Lançamentos!B153</f>
        <v>5566797.8236704189</v>
      </c>
      <c r="M43" s="34">
        <f>$N$43*Lançamentos!B154</f>
        <v>6197821.1084538158</v>
      </c>
      <c r="N43" s="64">
        <f>Lançamentos!O127</f>
        <v>6197821.1084538158</v>
      </c>
      <c r="P43" s="105" t="s">
        <v>211</v>
      </c>
      <c r="Q43" s="109">
        <f>H17</f>
        <v>7414125.4337861119</v>
      </c>
      <c r="R43" s="271">
        <f>H18</f>
        <v>9582248.5299999993</v>
      </c>
      <c r="S43" s="99"/>
      <c r="T43" s="100">
        <f t="shared" si="63"/>
        <v>9582248.5299999993</v>
      </c>
      <c r="U43" s="100" t="e">
        <f t="shared" si="64"/>
        <v>#N/A</v>
      </c>
      <c r="V43" s="99"/>
      <c r="W43" s="99"/>
      <c r="X43" s="99"/>
      <c r="Y43" s="99"/>
      <c r="Z43" s="99"/>
      <c r="AA43" s="99"/>
      <c r="AB43" s="99"/>
      <c r="AC43" s="99"/>
    </row>
    <row r="44" spans="1:29" ht="19.5" customHeight="1">
      <c r="A44" s="65" t="s">
        <v>177</v>
      </c>
      <c r="B44" s="177">
        <f>Lançamentos!B127</f>
        <v>821160.57</v>
      </c>
      <c r="C44" s="177">
        <f>SUM(Lançamentos!B127:C127)</f>
        <v>1491687.13</v>
      </c>
      <c r="D44" s="177">
        <f>SUM(Lançamentos!B127:D127)</f>
        <v>2127653.3199999998</v>
      </c>
      <c r="E44" s="177">
        <f>SUM(Lançamentos!B127:E127)</f>
        <v>2516234.1999999997</v>
      </c>
      <c r="F44" s="177">
        <f>SUM(Lançamentos!B127:F127)</f>
        <v>2870631.2399999998</v>
      </c>
      <c r="G44" s="177">
        <f>SUM(Lançamentos!B127:G127)</f>
        <v>3319853.17</v>
      </c>
      <c r="H44" s="177">
        <f>SUM(Lançamentos!B127:H127)</f>
        <v>3840859.81</v>
      </c>
      <c r="I44" s="177">
        <f>SUM(Lançamentos!B127:I127)</f>
        <v>4449931.22</v>
      </c>
      <c r="J44" s="177">
        <f>SUM(Lançamentos!B127:J127)</f>
        <v>5195320.91</v>
      </c>
      <c r="K44" s="177">
        <f>SUM(Lançamentos!B127:K127)</f>
        <v>5965709.7200000007</v>
      </c>
      <c r="L44" s="177">
        <f>SUM(Lançamentos!B127:L127)</f>
        <v>6737294.4000000004</v>
      </c>
      <c r="M44" s="177">
        <f>SUM(Lançamentos!B127:M127)</f>
        <v>7519318.71</v>
      </c>
      <c r="N44" s="240"/>
      <c r="P44" s="105" t="s">
        <v>212</v>
      </c>
      <c r="Q44" s="109">
        <f>I17</f>
        <v>8414367.7617339753</v>
      </c>
      <c r="R44" s="271">
        <f>I18</f>
        <v>10828998</v>
      </c>
      <c r="S44" s="99"/>
      <c r="T44" s="100">
        <f t="shared" si="63"/>
        <v>10828998</v>
      </c>
      <c r="U44" s="100" t="e">
        <f t="shared" si="64"/>
        <v>#N/A</v>
      </c>
      <c r="V44" s="99"/>
      <c r="W44" s="99"/>
      <c r="X44" s="99"/>
      <c r="Y44" s="99"/>
      <c r="Z44" s="99"/>
      <c r="AA44" s="99"/>
      <c r="AB44" s="99"/>
      <c r="AC44" s="99"/>
    </row>
    <row r="45" spans="1:29" ht="19.5" customHeight="1">
      <c r="A45" s="65" t="s">
        <v>178</v>
      </c>
      <c r="B45" s="39">
        <f>B44/B43</f>
        <v>1.372162231919732</v>
      </c>
      <c r="C45" s="39">
        <f t="shared" ref="C45" si="65">C44/C43</f>
        <v>1.3979168690044961</v>
      </c>
      <c r="D45" s="39">
        <f t="shared" ref="D45" si="66">D44/D43</f>
        <v>1.4335103668076619</v>
      </c>
      <c r="E45" s="39">
        <f t="shared" ref="E45" si="67">E44/E43</f>
        <v>1.3307326140878801</v>
      </c>
      <c r="F45" s="39">
        <f t="shared" ref="F45" si="68">F44/F43</f>
        <v>1.2414350895468629</v>
      </c>
      <c r="G45" s="39">
        <f t="shared" ref="G45" si="69">G44/G43</f>
        <v>1.2194101039570755</v>
      </c>
      <c r="H45" s="39">
        <f t="shared" ref="H45" si="70">H44/H43</f>
        <v>1.1785851188273804</v>
      </c>
      <c r="I45" s="39">
        <f t="shared" ref="I45" si="71">I44/I43</f>
        <v>1.1607527780939102</v>
      </c>
      <c r="J45" s="39">
        <f t="shared" ref="J45" si="72">J44/J43</f>
        <v>1.2037528390862631</v>
      </c>
      <c r="K45" s="39">
        <f t="shared" ref="K45" si="73">K44/K43</f>
        <v>1.1995738088685626</v>
      </c>
      <c r="L45" s="39">
        <f t="shared" ref="L45" si="74">L44/L43</f>
        <v>1.2102638919905708</v>
      </c>
      <c r="M45" s="39">
        <f t="shared" ref="M45" si="75">M44/M43</f>
        <v>1.2132197071231474</v>
      </c>
      <c r="N45" s="240"/>
      <c r="P45" s="105" t="s">
        <v>213</v>
      </c>
      <c r="Q45" s="109">
        <f>J17</f>
        <v>9197167.968886327</v>
      </c>
      <c r="R45" s="271">
        <f>J18</f>
        <v>12072932.68</v>
      </c>
      <c r="S45" s="99"/>
      <c r="T45" s="100">
        <f t="shared" si="63"/>
        <v>12072932.68</v>
      </c>
      <c r="U45" s="100" t="e">
        <f t="shared" si="64"/>
        <v>#N/A</v>
      </c>
      <c r="V45" s="99"/>
      <c r="W45" s="99"/>
      <c r="X45" s="99"/>
      <c r="Y45" s="99"/>
      <c r="Z45" s="99"/>
      <c r="AA45" s="99"/>
      <c r="AB45" s="99"/>
      <c r="AC45" s="99"/>
    </row>
    <row r="46" spans="1:29" ht="19.5" customHeight="1">
      <c r="P46" s="105" t="s">
        <v>214</v>
      </c>
      <c r="Q46" s="109">
        <f>K17</f>
        <v>10175017.180070689</v>
      </c>
      <c r="R46" s="271">
        <f>K18</f>
        <v>14347933.539999999</v>
      </c>
      <c r="S46" s="99"/>
      <c r="T46" s="100">
        <f t="shared" si="63"/>
        <v>14347933.539999999</v>
      </c>
      <c r="U46" s="100" t="e">
        <f t="shared" si="64"/>
        <v>#N/A</v>
      </c>
      <c r="V46" s="99"/>
      <c r="W46" s="99"/>
      <c r="X46" s="99"/>
      <c r="Y46" s="99"/>
      <c r="Z46" s="99"/>
      <c r="AA46" s="99"/>
      <c r="AB46" s="99"/>
      <c r="AC46" s="99"/>
    </row>
    <row r="47" spans="1:29" ht="19.5" customHeight="1">
      <c r="A47" s="241"/>
      <c r="B47" s="242"/>
      <c r="C47" s="242"/>
      <c r="D47" s="242"/>
      <c r="E47" s="242"/>
      <c r="F47" s="242"/>
      <c r="G47" s="242"/>
      <c r="H47" s="242"/>
      <c r="I47" s="242"/>
      <c r="J47" s="241"/>
      <c r="K47" s="242"/>
      <c r="L47" s="242"/>
      <c r="M47" s="242"/>
      <c r="N47" s="242"/>
      <c r="O47" s="242"/>
      <c r="P47" s="105" t="s">
        <v>215</v>
      </c>
      <c r="Q47" s="109">
        <f>L17</f>
        <v>10969253.244508484</v>
      </c>
      <c r="R47" s="271">
        <f>L18</f>
        <v>15372878.59</v>
      </c>
      <c r="S47" s="99"/>
      <c r="T47" s="100">
        <f t="shared" si="63"/>
        <v>15372878.59</v>
      </c>
      <c r="U47" s="100" t="e">
        <f t="shared" si="64"/>
        <v>#N/A</v>
      </c>
      <c r="V47" s="99"/>
      <c r="W47" s="99"/>
      <c r="X47" s="99"/>
      <c r="Y47" s="99"/>
      <c r="Z47" s="99"/>
      <c r="AA47" s="99"/>
      <c r="AB47" s="99"/>
      <c r="AC47" s="99"/>
    </row>
    <row r="48" spans="1:29" ht="19.5" customHeight="1">
      <c r="A48" s="243"/>
      <c r="B48" s="244"/>
      <c r="C48" s="245"/>
      <c r="D48" s="244"/>
      <c r="E48" s="245"/>
      <c r="F48" s="244"/>
      <c r="G48" s="245"/>
      <c r="H48" s="244"/>
      <c r="I48" s="245"/>
      <c r="J48" s="244"/>
      <c r="K48" s="245"/>
      <c r="L48" s="244"/>
      <c r="M48" s="245"/>
      <c r="N48" s="246"/>
      <c r="O48" s="245"/>
      <c r="P48" s="105" t="s">
        <v>216</v>
      </c>
      <c r="Q48" s="109">
        <f>M17</f>
        <v>11865014.674057046</v>
      </c>
      <c r="R48" s="271">
        <f>M18</f>
        <v>16565108.539999999</v>
      </c>
      <c r="S48" s="99"/>
      <c r="T48" s="100">
        <f t="shared" si="63"/>
        <v>16565108.539999999</v>
      </c>
      <c r="U48" s="100" t="e">
        <f t="shared" si="64"/>
        <v>#N/A</v>
      </c>
      <c r="V48" s="99"/>
      <c r="W48" s="99"/>
      <c r="X48" s="99"/>
      <c r="Y48" s="99"/>
      <c r="Z48" s="99"/>
      <c r="AA48" s="99"/>
      <c r="AB48" s="99"/>
      <c r="AC48" s="99"/>
    </row>
    <row r="49" spans="1:29" ht="16.5" thickBot="1">
      <c r="A49" s="243"/>
      <c r="B49" s="244"/>
      <c r="C49" s="245"/>
      <c r="D49" s="244"/>
      <c r="E49" s="245"/>
      <c r="F49" s="244"/>
      <c r="G49" s="245"/>
      <c r="H49" s="244"/>
      <c r="I49" s="245"/>
      <c r="J49" s="244"/>
      <c r="K49" s="245"/>
      <c r="L49" s="244"/>
      <c r="M49" s="245"/>
      <c r="N49" s="246"/>
      <c r="O49" s="245"/>
      <c r="P49" s="107"/>
      <c r="Q49" s="107"/>
      <c r="R49" s="107"/>
      <c r="S49" s="107"/>
      <c r="T49" s="107"/>
      <c r="U49" s="107"/>
      <c r="V49" s="107"/>
      <c r="W49" s="107"/>
      <c r="X49" s="107"/>
      <c r="Y49" s="107"/>
      <c r="Z49" s="107"/>
      <c r="AA49" s="107"/>
      <c r="AB49" s="107"/>
      <c r="AC49" s="107"/>
    </row>
    <row r="50" spans="1:29" ht="15.75">
      <c r="A50" s="243"/>
      <c r="B50" s="244"/>
      <c r="C50" s="245"/>
      <c r="D50" s="244"/>
      <c r="E50" s="245"/>
      <c r="F50" s="244"/>
      <c r="G50" s="245"/>
      <c r="H50" s="244"/>
      <c r="I50" s="245"/>
      <c r="J50" s="244"/>
      <c r="K50" s="245"/>
      <c r="L50" s="244"/>
      <c r="M50" s="245"/>
      <c r="N50" s="246"/>
      <c r="O50" s="245"/>
      <c r="P50" s="99"/>
      <c r="Q50" s="99"/>
      <c r="R50" s="99"/>
      <c r="S50" s="99"/>
      <c r="T50" s="99"/>
      <c r="U50" s="99"/>
      <c r="V50" s="99"/>
      <c r="W50" s="99"/>
      <c r="X50" s="99"/>
      <c r="Y50" s="99"/>
      <c r="Z50" s="99"/>
      <c r="AA50" s="99"/>
      <c r="AB50" s="99"/>
      <c r="AC50" s="99"/>
    </row>
    <row r="51" spans="1:29" ht="19.5" customHeight="1">
      <c r="A51" s="243"/>
      <c r="B51" s="244"/>
      <c r="C51" s="245"/>
      <c r="D51" s="244"/>
      <c r="E51" s="245"/>
      <c r="F51" s="244"/>
      <c r="G51" s="245"/>
      <c r="H51" s="244"/>
      <c r="I51" s="245"/>
      <c r="J51" s="244"/>
      <c r="K51" s="245"/>
      <c r="L51" s="244"/>
      <c r="M51" s="245"/>
      <c r="N51" s="246"/>
      <c r="O51" s="245"/>
      <c r="P51" s="1402" t="s">
        <v>1129</v>
      </c>
      <c r="Q51" s="1402"/>
      <c r="R51" s="1402"/>
      <c r="S51" s="99"/>
      <c r="T51" s="99"/>
      <c r="U51" s="99"/>
      <c r="V51" s="99"/>
      <c r="W51" s="99"/>
      <c r="X51" s="99"/>
      <c r="Y51" s="99"/>
      <c r="Z51" s="99"/>
      <c r="AA51" s="99"/>
      <c r="AB51" s="99"/>
      <c r="AC51" s="99"/>
    </row>
    <row r="52" spans="1:29" ht="19.5" customHeight="1">
      <c r="A52" s="243"/>
      <c r="B52" s="244"/>
      <c r="C52" s="245"/>
      <c r="D52" s="244"/>
      <c r="E52" s="245"/>
      <c r="F52" s="244"/>
      <c r="G52" s="245"/>
      <c r="H52" s="244"/>
      <c r="I52" s="245"/>
      <c r="J52" s="244"/>
      <c r="K52" s="245"/>
      <c r="L52" s="244"/>
      <c r="M52" s="245"/>
      <c r="N52" s="246"/>
      <c r="O52" s="245"/>
      <c r="P52" s="101" t="s">
        <v>193</v>
      </c>
      <c r="Q52" s="102" t="s">
        <v>201</v>
      </c>
      <c r="R52" s="103" t="s">
        <v>202</v>
      </c>
      <c r="S52" s="103" t="s">
        <v>224</v>
      </c>
      <c r="T52" s="104" t="s">
        <v>203</v>
      </c>
      <c r="U52" s="104" t="s">
        <v>204</v>
      </c>
      <c r="V52" s="99"/>
      <c r="W52" s="99"/>
      <c r="X52" s="99"/>
      <c r="Y52" s="99"/>
      <c r="Z52" s="99"/>
      <c r="AA52" s="99"/>
      <c r="AB52" s="99"/>
      <c r="AC52" s="99"/>
    </row>
    <row r="53" spans="1:29" ht="19.5" customHeight="1">
      <c r="A53" s="243"/>
      <c r="B53" s="244"/>
      <c r="C53" s="245"/>
      <c r="D53" s="244"/>
      <c r="E53" s="245"/>
      <c r="F53" s="244"/>
      <c r="G53" s="245"/>
      <c r="H53" s="244"/>
      <c r="I53" s="245"/>
      <c r="J53" s="244"/>
      <c r="K53" s="245"/>
      <c r="L53" s="244"/>
      <c r="M53" s="245"/>
      <c r="N53" s="246"/>
      <c r="O53" s="245"/>
      <c r="P53" s="105" t="s">
        <v>205</v>
      </c>
      <c r="Q53" s="106">
        <f>B24</f>
        <v>1311219.4652656892</v>
      </c>
      <c r="R53" s="269">
        <f>B25</f>
        <v>1353434.86</v>
      </c>
      <c r="S53" s="272">
        <f>B23</f>
        <v>2067102.4858629624</v>
      </c>
      <c r="T53" s="100">
        <f>IF(R53="",NA(),IF(R53&gt;=Q53,R53,NA()))</f>
        <v>1353434.86</v>
      </c>
      <c r="U53" s="100" t="e">
        <f>IF(R53="",NA(),IF(R53&lt;Q53,R53,NA()))</f>
        <v>#N/A</v>
      </c>
      <c r="V53" s="99"/>
      <c r="W53" s="99"/>
      <c r="X53" s="99"/>
      <c r="Y53" s="99"/>
      <c r="Z53" s="99"/>
      <c r="AA53" s="99"/>
      <c r="AB53" s="99"/>
      <c r="AC53" s="99"/>
    </row>
    <row r="54" spans="1:29" ht="19.5" customHeight="1">
      <c r="A54" s="243"/>
      <c r="B54" s="244"/>
      <c r="C54" s="245"/>
      <c r="D54" s="244"/>
      <c r="E54" s="245"/>
      <c r="F54" s="244"/>
      <c r="G54" s="245"/>
      <c r="H54" s="244"/>
      <c r="I54" s="245"/>
      <c r="J54" s="244"/>
      <c r="K54" s="245"/>
      <c r="L54" s="244"/>
      <c r="M54" s="245"/>
      <c r="N54" s="246"/>
      <c r="O54" s="245"/>
      <c r="P54" s="105" t="s">
        <v>206</v>
      </c>
      <c r="Q54" s="109">
        <f>C24</f>
        <v>2672465.8720850996</v>
      </c>
      <c r="R54" s="271">
        <f>C25</f>
        <v>3019644.33</v>
      </c>
      <c r="S54" s="270">
        <f>C23</f>
        <v>4213071.1096877074</v>
      </c>
      <c r="T54" s="100">
        <f t="shared" ref="T54:T64" si="76">IF(R54="",NA(),IF(R54&gt;=Q54,R54,NA()))</f>
        <v>3019644.33</v>
      </c>
      <c r="U54" s="100" t="e">
        <f t="shared" ref="U54:U64" si="77">IF(R54="",NA(),IF(R54&lt;Q54,R54,NA()))</f>
        <v>#N/A</v>
      </c>
      <c r="V54" s="99"/>
      <c r="W54" s="99"/>
      <c r="X54" s="99"/>
      <c r="Y54" s="99"/>
      <c r="Z54" s="99"/>
      <c r="AA54" s="99"/>
      <c r="AB54" s="99"/>
      <c r="AC54" s="99"/>
    </row>
    <row r="55" spans="1:29" ht="19.5" customHeight="1">
      <c r="A55" s="247"/>
      <c r="B55" s="248"/>
      <c r="C55" s="249"/>
      <c r="D55" s="248"/>
      <c r="E55" s="249"/>
      <c r="F55" s="248"/>
      <c r="G55" s="249"/>
      <c r="H55" s="248"/>
      <c r="I55" s="249"/>
      <c r="J55" s="248"/>
      <c r="K55" s="249"/>
      <c r="L55" s="248"/>
      <c r="M55" s="249"/>
      <c r="N55" s="250"/>
      <c r="O55" s="249"/>
      <c r="P55" s="105" t="s">
        <v>207</v>
      </c>
      <c r="Q55" s="109">
        <f>D24</f>
        <v>3305718.3636350054</v>
      </c>
      <c r="R55" s="271">
        <f>D25</f>
        <v>3856577.66</v>
      </c>
      <c r="S55" s="270">
        <f>D23</f>
        <v>5211376.7588465121</v>
      </c>
      <c r="T55" s="100">
        <f t="shared" si="76"/>
        <v>3856577.66</v>
      </c>
      <c r="U55" s="100" t="e">
        <f t="shared" si="77"/>
        <v>#N/A</v>
      </c>
      <c r="V55" s="99"/>
      <c r="W55" s="99"/>
      <c r="X55" s="99"/>
      <c r="Y55" s="99"/>
      <c r="Z55" s="99"/>
      <c r="AA55" s="99"/>
      <c r="AB55" s="99"/>
      <c r="AC55" s="99"/>
    </row>
    <row r="56" spans="1:29" ht="19.5" customHeight="1">
      <c r="A56" s="243"/>
      <c r="B56" s="244"/>
      <c r="C56" s="245"/>
      <c r="D56" s="244"/>
      <c r="E56" s="245"/>
      <c r="F56" s="244"/>
      <c r="G56" s="245"/>
      <c r="H56" s="244"/>
      <c r="I56" s="245"/>
      <c r="J56" s="244"/>
      <c r="K56" s="245"/>
      <c r="L56" s="244"/>
      <c r="M56" s="245"/>
      <c r="N56" s="246"/>
      <c r="O56" s="245"/>
      <c r="P56" s="105" t="s">
        <v>208</v>
      </c>
      <c r="Q56" s="109">
        <f>E24</f>
        <v>3876626.3331249282</v>
      </c>
      <c r="R56" s="271">
        <f>E25</f>
        <v>4199918.3100000005</v>
      </c>
      <c r="S56" s="270">
        <f>E23</f>
        <v>6111397.9331756094</v>
      </c>
      <c r="T56" s="100">
        <f t="shared" si="76"/>
        <v>4199918.3100000005</v>
      </c>
      <c r="U56" s="100" t="e">
        <f t="shared" si="77"/>
        <v>#N/A</v>
      </c>
      <c r="V56" s="99"/>
      <c r="W56" s="99"/>
      <c r="X56" s="99"/>
      <c r="Y56" s="99"/>
      <c r="Z56" s="99"/>
      <c r="AA56" s="99"/>
      <c r="AB56" s="99"/>
      <c r="AC56" s="99"/>
    </row>
    <row r="57" spans="1:29" ht="19.5" customHeight="1">
      <c r="A57" s="243"/>
      <c r="B57" s="244"/>
      <c r="C57" s="245"/>
      <c r="D57" s="244"/>
      <c r="E57" s="245"/>
      <c r="F57" s="244"/>
      <c r="G57" s="245"/>
      <c r="H57" s="244"/>
      <c r="I57" s="245"/>
      <c r="J57" s="244"/>
      <c r="K57" s="245"/>
      <c r="L57" s="244"/>
      <c r="M57" s="245"/>
      <c r="N57" s="246"/>
      <c r="O57" s="245"/>
      <c r="P57" s="105" t="s">
        <v>209</v>
      </c>
      <c r="Q57" s="109">
        <f>F24</f>
        <v>4639787.6477489918</v>
      </c>
      <c r="R57" s="271">
        <f>F25</f>
        <v>4488784.3000000007</v>
      </c>
      <c r="S57" s="270">
        <f>F23</f>
        <v>7314501.3741805796</v>
      </c>
      <c r="T57" s="100" t="e">
        <f t="shared" si="76"/>
        <v>#N/A</v>
      </c>
      <c r="U57" s="100">
        <f t="shared" si="77"/>
        <v>4488784.3000000007</v>
      </c>
      <c r="V57" s="99"/>
      <c r="W57" s="99"/>
      <c r="X57" s="99"/>
      <c r="Y57" s="99"/>
      <c r="Z57" s="99"/>
      <c r="AA57" s="99"/>
      <c r="AB57" s="99"/>
      <c r="AC57" s="99"/>
    </row>
    <row r="58" spans="1:29" ht="19.5" customHeight="1">
      <c r="A58" s="243"/>
      <c r="B58" s="244"/>
      <c r="C58" s="245"/>
      <c r="D58" s="244"/>
      <c r="E58" s="245"/>
      <c r="F58" s="244"/>
      <c r="G58" s="245"/>
      <c r="H58" s="244"/>
      <c r="I58" s="245"/>
      <c r="J58" s="244"/>
      <c r="K58" s="245"/>
      <c r="L58" s="244"/>
      <c r="M58" s="245"/>
      <c r="N58" s="246"/>
      <c r="O58" s="245"/>
      <c r="P58" s="105" t="s">
        <v>210</v>
      </c>
      <c r="Q58" s="109">
        <f>G24</f>
        <v>5343425.8882284258</v>
      </c>
      <c r="R58" s="271">
        <f>G25</f>
        <v>4938128.4000000004</v>
      </c>
      <c r="S58" s="270">
        <f>G23</f>
        <v>8423768.2776798792</v>
      </c>
      <c r="T58" s="100" t="e">
        <f t="shared" si="76"/>
        <v>#N/A</v>
      </c>
      <c r="U58" s="100">
        <f t="shared" si="77"/>
        <v>4938128.4000000004</v>
      </c>
      <c r="V58" s="99"/>
      <c r="W58" s="99"/>
      <c r="X58" s="99"/>
      <c r="Y58" s="99"/>
      <c r="Z58" s="99"/>
      <c r="AA58" s="99"/>
      <c r="AB58" s="99"/>
      <c r="AC58" s="99"/>
    </row>
    <row r="59" spans="1:29" ht="19.5" customHeight="1">
      <c r="A59" s="243"/>
      <c r="B59" s="244"/>
      <c r="C59" s="245"/>
      <c r="D59" s="244"/>
      <c r="E59" s="245"/>
      <c r="F59" s="244"/>
      <c r="G59" s="245"/>
      <c r="H59" s="244"/>
      <c r="I59" s="245"/>
      <c r="J59" s="244"/>
      <c r="K59" s="245"/>
      <c r="L59" s="244"/>
      <c r="M59" s="245"/>
      <c r="N59" s="246"/>
      <c r="O59" s="245"/>
      <c r="P59" s="105" t="s">
        <v>211</v>
      </c>
      <c r="Q59" s="109">
        <f>H24</f>
        <v>5638580.286037486</v>
      </c>
      <c r="R59" s="271">
        <f>H25</f>
        <v>5478391.0600000005</v>
      </c>
      <c r="S59" s="270">
        <f>H23</f>
        <v>8889071.3071013261</v>
      </c>
      <c r="T59" s="100" t="e">
        <f t="shared" si="76"/>
        <v>#N/A</v>
      </c>
      <c r="U59" s="100">
        <f t="shared" si="77"/>
        <v>5478391.0600000005</v>
      </c>
      <c r="V59" s="99"/>
      <c r="W59" s="99"/>
      <c r="X59" s="99"/>
      <c r="Y59" s="99"/>
      <c r="Z59" s="99"/>
      <c r="AA59" s="99"/>
      <c r="AB59" s="99"/>
      <c r="AC59" s="99"/>
    </row>
    <row r="60" spans="1:29" ht="19.5" customHeight="1">
      <c r="A60" s="243"/>
      <c r="B60" s="244"/>
      <c r="C60" s="245"/>
      <c r="D60" s="244"/>
      <c r="E60" s="245"/>
      <c r="F60" s="244"/>
      <c r="G60" s="245"/>
      <c r="H60" s="244"/>
      <c r="I60" s="245"/>
      <c r="J60" s="244"/>
      <c r="K60" s="245"/>
      <c r="L60" s="244"/>
      <c r="M60" s="245"/>
      <c r="N60" s="246"/>
      <c r="O60" s="245"/>
      <c r="P60" s="105" t="s">
        <v>212</v>
      </c>
      <c r="Q60" s="109">
        <f>I24</f>
        <v>5890901.0820698831</v>
      </c>
      <c r="R60" s="271">
        <f>I25</f>
        <v>6217474.7200000007</v>
      </c>
      <c r="S60" s="270">
        <f>I23</f>
        <v>9286848.3067036048</v>
      </c>
      <c r="T60" s="100">
        <f t="shared" si="76"/>
        <v>6217474.7200000007</v>
      </c>
      <c r="U60" s="100" t="e">
        <f t="shared" si="77"/>
        <v>#N/A</v>
      </c>
      <c r="V60" s="99"/>
      <c r="W60" s="99"/>
      <c r="X60" s="99"/>
      <c r="Y60" s="99"/>
      <c r="Z60" s="99"/>
      <c r="AA60" s="99"/>
      <c r="AB60" s="99"/>
      <c r="AC60" s="99"/>
    </row>
    <row r="61" spans="1:29" ht="19.5" customHeight="1">
      <c r="A61" s="243"/>
      <c r="B61" s="244"/>
      <c r="C61" s="245"/>
      <c r="D61" s="244"/>
      <c r="E61" s="245"/>
      <c r="F61" s="244"/>
      <c r="G61" s="245"/>
      <c r="H61" s="244"/>
      <c r="I61" s="245"/>
      <c r="J61" s="244"/>
      <c r="K61" s="245"/>
      <c r="L61" s="244"/>
      <c r="M61" s="245"/>
      <c r="N61" s="246"/>
      <c r="O61" s="245"/>
      <c r="P61" s="105" t="s">
        <v>213</v>
      </c>
      <c r="Q61" s="109">
        <f>J24</f>
        <v>6086787.9044792922</v>
      </c>
      <c r="R61" s="271">
        <f>J25</f>
        <v>6466524.0900000008</v>
      </c>
      <c r="S61" s="270">
        <f>J23</f>
        <v>9595658.653313458</v>
      </c>
      <c r="T61" s="100">
        <f t="shared" si="76"/>
        <v>6466524.0900000008</v>
      </c>
      <c r="U61" s="100" t="e">
        <f t="shared" si="77"/>
        <v>#N/A</v>
      </c>
      <c r="V61" s="99"/>
      <c r="W61" s="99"/>
      <c r="X61" s="99"/>
      <c r="Y61" s="99"/>
      <c r="Z61" s="99"/>
      <c r="AA61" s="99"/>
      <c r="AB61" s="99"/>
      <c r="AC61" s="99"/>
    </row>
    <row r="62" spans="1:29" ht="19.5" customHeight="1">
      <c r="A62" s="243"/>
      <c r="B62" s="244"/>
      <c r="C62" s="245"/>
      <c r="D62" s="244"/>
      <c r="E62" s="245"/>
      <c r="F62" s="244"/>
      <c r="G62" s="245"/>
      <c r="H62" s="244"/>
      <c r="I62" s="245"/>
      <c r="J62" s="244"/>
      <c r="K62" s="245"/>
      <c r="L62" s="244"/>
      <c r="M62" s="245"/>
      <c r="N62" s="246"/>
      <c r="O62" s="245"/>
      <c r="P62" s="105" t="s">
        <v>214</v>
      </c>
      <c r="Q62" s="109">
        <f>K24</f>
        <v>6306391.9578273958</v>
      </c>
      <c r="R62" s="271">
        <f>K25</f>
        <v>6576739.2700000005</v>
      </c>
      <c r="S62" s="270">
        <f>K23</f>
        <v>9941858.5814006049</v>
      </c>
      <c r="T62" s="100">
        <f t="shared" si="76"/>
        <v>6576739.2700000005</v>
      </c>
      <c r="U62" s="100" t="e">
        <f t="shared" si="77"/>
        <v>#N/A</v>
      </c>
      <c r="V62" s="99"/>
      <c r="W62" s="99"/>
      <c r="X62" s="99"/>
      <c r="Y62" s="99"/>
      <c r="Z62" s="99"/>
      <c r="AA62" s="99"/>
      <c r="AB62" s="99"/>
      <c r="AC62" s="99"/>
    </row>
    <row r="63" spans="1:29" ht="19.5" customHeight="1">
      <c r="A63" s="243"/>
      <c r="B63" s="244"/>
      <c r="C63" s="245"/>
      <c r="D63" s="244"/>
      <c r="E63" s="245"/>
      <c r="F63" s="244"/>
      <c r="G63" s="245"/>
      <c r="H63" s="244"/>
      <c r="I63" s="245"/>
      <c r="J63" s="244"/>
      <c r="K63" s="245"/>
      <c r="L63" s="244"/>
      <c r="M63" s="245"/>
      <c r="N63" s="246"/>
      <c r="O63" s="245"/>
      <c r="P63" s="105" t="s">
        <v>215</v>
      </c>
      <c r="Q63" s="109">
        <f>L24</f>
        <v>6477205.7961405823</v>
      </c>
      <c r="R63" s="271">
        <f>L25</f>
        <v>6767085.8800000008</v>
      </c>
      <c r="S63" s="270">
        <f>L23</f>
        <v>10211142.037870217</v>
      </c>
      <c r="T63" s="100">
        <f t="shared" si="76"/>
        <v>6767085.8800000008</v>
      </c>
      <c r="U63" s="100" t="e">
        <f t="shared" si="77"/>
        <v>#N/A</v>
      </c>
      <c r="V63" s="99"/>
      <c r="W63" s="99"/>
      <c r="X63" s="99"/>
      <c r="Y63" s="99"/>
      <c r="Z63" s="99"/>
      <c r="AA63" s="99"/>
      <c r="AB63" s="99"/>
      <c r="AC63" s="99"/>
    </row>
    <row r="64" spans="1:29" ht="19.5" customHeight="1">
      <c r="A64" s="243"/>
      <c r="B64" s="244"/>
      <c r="C64" s="245"/>
      <c r="D64" s="244"/>
      <c r="E64" s="245"/>
      <c r="F64" s="244"/>
      <c r="G64" s="245"/>
      <c r="H64" s="244"/>
      <c r="I64" s="245"/>
      <c r="J64" s="244"/>
      <c r="K64" s="245"/>
      <c r="L64" s="244"/>
      <c r="M64" s="245"/>
      <c r="N64" s="246"/>
      <c r="O64" s="245"/>
      <c r="P64" s="105" t="s">
        <v>216</v>
      </c>
      <c r="Q64" s="109">
        <f>M24</f>
        <v>6640455.4379999973</v>
      </c>
      <c r="R64" s="271">
        <f>M25</f>
        <v>6969292.370000001</v>
      </c>
      <c r="S64" s="270">
        <f>M23</f>
        <v>10468500.740545867</v>
      </c>
      <c r="T64" s="100">
        <f t="shared" si="76"/>
        <v>6969292.370000001</v>
      </c>
      <c r="U64" s="100" t="e">
        <f t="shared" si="77"/>
        <v>#N/A</v>
      </c>
      <c r="V64" s="99"/>
      <c r="W64" s="99"/>
      <c r="X64" s="99"/>
      <c r="Y64" s="99"/>
      <c r="Z64" s="99"/>
      <c r="AA64" s="99"/>
      <c r="AB64" s="99"/>
      <c r="AC64" s="99"/>
    </row>
    <row r="65" spans="1:29" ht="18" customHeight="1" thickBot="1">
      <c r="A65" s="247"/>
      <c r="B65" s="248"/>
      <c r="C65" s="249"/>
      <c r="D65" s="248"/>
      <c r="E65" s="249"/>
      <c r="F65" s="248"/>
      <c r="G65" s="249"/>
      <c r="H65" s="248"/>
      <c r="I65" s="249"/>
      <c r="J65" s="248"/>
      <c r="K65" s="249"/>
      <c r="L65" s="248"/>
      <c r="M65" s="249"/>
      <c r="N65" s="250"/>
      <c r="O65" s="249"/>
      <c r="P65" s="107"/>
      <c r="Q65" s="107"/>
      <c r="R65" s="107"/>
      <c r="S65" s="107"/>
      <c r="T65" s="107"/>
      <c r="U65" s="107"/>
      <c r="V65" s="107"/>
      <c r="W65" s="107"/>
      <c r="X65" s="107"/>
      <c r="Y65" s="107"/>
      <c r="Z65" s="107"/>
      <c r="AA65" s="107"/>
      <c r="AB65" s="107"/>
      <c r="AC65" s="107"/>
    </row>
    <row r="66" spans="1:29" ht="18" customHeight="1">
      <c r="A66" s="243"/>
      <c r="B66" s="244"/>
      <c r="C66" s="245"/>
      <c r="D66" s="244"/>
      <c r="E66" s="245"/>
      <c r="F66" s="244"/>
      <c r="G66" s="245"/>
      <c r="H66" s="244"/>
      <c r="I66" s="245"/>
      <c r="J66" s="244"/>
      <c r="K66" s="245"/>
      <c r="L66" s="244"/>
      <c r="M66" s="245"/>
      <c r="N66" s="246"/>
      <c r="O66" s="245"/>
      <c r="P66" s="99"/>
      <c r="Q66" s="99"/>
      <c r="R66" s="99"/>
      <c r="S66" s="99"/>
      <c r="T66" s="99"/>
      <c r="U66" s="99"/>
      <c r="V66" s="99"/>
      <c r="W66" s="99"/>
      <c r="X66" s="99"/>
      <c r="Y66" s="99"/>
      <c r="Z66" s="99"/>
      <c r="AA66" s="99"/>
      <c r="AB66" s="99"/>
      <c r="AC66" s="99"/>
    </row>
    <row r="67" spans="1:29" ht="19.5" customHeight="1">
      <c r="A67" s="243"/>
      <c r="B67" s="244"/>
      <c r="C67" s="245"/>
      <c r="D67" s="244"/>
      <c r="E67" s="245"/>
      <c r="F67" s="244"/>
      <c r="G67" s="245"/>
      <c r="H67" s="244"/>
      <c r="I67" s="245"/>
      <c r="J67" s="244"/>
      <c r="K67" s="245"/>
      <c r="L67" s="244"/>
      <c r="M67" s="245"/>
      <c r="N67" s="246"/>
      <c r="O67" s="245"/>
      <c r="P67" s="1402" t="s">
        <v>218</v>
      </c>
      <c r="Q67" s="1402"/>
      <c r="R67" s="1402"/>
      <c r="S67" s="99"/>
      <c r="T67" s="99"/>
      <c r="U67" s="99"/>
      <c r="V67" s="99"/>
      <c r="W67" s="99"/>
      <c r="X67" s="99"/>
      <c r="Y67" s="99"/>
      <c r="Z67" s="99"/>
      <c r="AA67" s="99"/>
      <c r="AB67" s="99"/>
      <c r="AC67" s="99"/>
    </row>
    <row r="68" spans="1:29" ht="19.5" customHeight="1">
      <c r="A68" s="243"/>
      <c r="B68" s="244"/>
      <c r="C68" s="245"/>
      <c r="D68" s="244"/>
      <c r="E68" s="245"/>
      <c r="F68" s="244"/>
      <c r="G68" s="245"/>
      <c r="H68" s="244"/>
      <c r="I68" s="245"/>
      <c r="J68" s="244"/>
      <c r="K68" s="245"/>
      <c r="L68" s="244"/>
      <c r="M68" s="245"/>
      <c r="N68" s="246"/>
      <c r="O68" s="245"/>
      <c r="P68" s="101" t="s">
        <v>193</v>
      </c>
      <c r="Q68" s="102" t="s">
        <v>201</v>
      </c>
      <c r="R68" s="103" t="s">
        <v>202</v>
      </c>
      <c r="S68" s="104"/>
      <c r="T68" s="104" t="s">
        <v>203</v>
      </c>
      <c r="U68" s="104" t="s">
        <v>204</v>
      </c>
      <c r="V68" s="99"/>
      <c r="W68" s="99"/>
      <c r="X68" s="99"/>
      <c r="Y68" s="99"/>
      <c r="Z68" s="99"/>
      <c r="AA68" s="99"/>
      <c r="AB68" s="99"/>
      <c r="AC68" s="99"/>
    </row>
    <row r="69" spans="1:29" ht="19.5" customHeight="1">
      <c r="A69" s="243"/>
      <c r="B69" s="244"/>
      <c r="C69" s="245"/>
      <c r="D69" s="244"/>
      <c r="E69" s="245"/>
      <c r="F69" s="244"/>
      <c r="G69" s="245"/>
      <c r="H69" s="244"/>
      <c r="I69" s="245"/>
      <c r="J69" s="244"/>
      <c r="K69" s="245"/>
      <c r="L69" s="244"/>
      <c r="M69" s="245"/>
      <c r="N69" s="246"/>
      <c r="O69" s="245"/>
      <c r="P69" s="105" t="s">
        <v>205</v>
      </c>
      <c r="Q69" s="106">
        <f>B30</f>
        <v>217752.12995252226</v>
      </c>
      <c r="R69" s="269">
        <f>B31</f>
        <v>320293.44</v>
      </c>
      <c r="S69" s="99"/>
      <c r="T69" s="100">
        <f>IF(R69="",NA(),IF(R69&gt;=Q69,R69,NA()))</f>
        <v>320293.44</v>
      </c>
      <c r="U69" s="100" t="e">
        <f>IF(R69="",NA(),IF(R69&lt;Q69,R69,NA()))</f>
        <v>#N/A</v>
      </c>
      <c r="V69" s="99"/>
      <c r="W69" s="99"/>
      <c r="X69" s="99"/>
      <c r="Y69" s="99"/>
      <c r="Z69" s="99"/>
      <c r="AA69" s="99"/>
      <c r="AB69" s="99"/>
      <c r="AC69" s="99"/>
    </row>
    <row r="70" spans="1:29" ht="19.5" customHeight="1">
      <c r="A70" s="247"/>
      <c r="B70" s="248"/>
      <c r="C70" s="249"/>
      <c r="D70" s="248"/>
      <c r="E70" s="249"/>
      <c r="F70" s="248"/>
      <c r="G70" s="249"/>
      <c r="H70" s="248"/>
      <c r="I70" s="249"/>
      <c r="J70" s="248"/>
      <c r="K70" s="249"/>
      <c r="L70" s="248"/>
      <c r="M70" s="249"/>
      <c r="N70" s="250"/>
      <c r="O70" s="249"/>
      <c r="P70" s="105" t="s">
        <v>206</v>
      </c>
      <c r="Q70" s="109">
        <f>C30</f>
        <v>388539.41750197596</v>
      </c>
      <c r="R70" s="271">
        <f>C31</f>
        <v>571582.46</v>
      </c>
      <c r="S70" s="99"/>
      <c r="T70" s="100">
        <f t="shared" ref="T70:T80" si="78">IF(R70="",NA(),IF(R70&gt;=Q70,R70,NA()))</f>
        <v>571582.46</v>
      </c>
      <c r="U70" s="100" t="e">
        <f t="shared" ref="U70:U80" si="79">IF(R70="",NA(),IF(R70&lt;Q70,R70,NA()))</f>
        <v>#N/A</v>
      </c>
      <c r="V70" s="99"/>
      <c r="W70" s="99"/>
      <c r="X70" s="99"/>
      <c r="Y70" s="99"/>
      <c r="Z70" s="99"/>
      <c r="AA70" s="99"/>
      <c r="AB70" s="99"/>
      <c r="AC70" s="99"/>
    </row>
    <row r="71" spans="1:29" ht="19.5" customHeight="1">
      <c r="A71" s="243"/>
      <c r="B71" s="244"/>
      <c r="C71" s="245"/>
      <c r="D71" s="244"/>
      <c r="E71" s="245"/>
      <c r="F71" s="244"/>
      <c r="G71" s="245"/>
      <c r="H71" s="244"/>
      <c r="I71" s="245"/>
      <c r="J71" s="244"/>
      <c r="K71" s="245"/>
      <c r="L71" s="244"/>
      <c r="M71" s="245"/>
      <c r="N71" s="246"/>
      <c r="O71" s="245"/>
      <c r="P71" s="105" t="s">
        <v>207</v>
      </c>
      <c r="Q71" s="109">
        <f>D30</f>
        <v>535435.45418204111</v>
      </c>
      <c r="R71" s="271">
        <f>D31</f>
        <v>807349.42999999993</v>
      </c>
      <c r="S71" s="99"/>
      <c r="T71" s="100">
        <f t="shared" si="78"/>
        <v>807349.42999999993</v>
      </c>
      <c r="U71" s="100" t="e">
        <f t="shared" si="79"/>
        <v>#N/A</v>
      </c>
      <c r="V71" s="99"/>
      <c r="W71" s="99"/>
      <c r="X71" s="99"/>
      <c r="Y71" s="99"/>
      <c r="Z71" s="99"/>
      <c r="AA71" s="99"/>
      <c r="AB71" s="99"/>
      <c r="AC71" s="99"/>
    </row>
    <row r="72" spans="1:29" ht="19.5" customHeight="1">
      <c r="A72" s="243"/>
      <c r="B72" s="244"/>
      <c r="C72" s="245"/>
      <c r="D72" s="244"/>
      <c r="E72" s="245"/>
      <c r="F72" s="244"/>
      <c r="G72" s="245"/>
      <c r="H72" s="244"/>
      <c r="I72" s="245"/>
      <c r="J72" s="244"/>
      <c r="K72" s="245"/>
      <c r="L72" s="244"/>
      <c r="M72" s="245"/>
      <c r="N72" s="246"/>
      <c r="O72" s="245"/>
      <c r="P72" s="105" t="s">
        <v>208</v>
      </c>
      <c r="Q72" s="109">
        <f>E30</f>
        <v>672479.00000376033</v>
      </c>
      <c r="R72" s="271">
        <f>E31</f>
        <v>924365.69</v>
      </c>
      <c r="S72" s="99"/>
      <c r="T72" s="100">
        <f t="shared" si="78"/>
        <v>924365.69</v>
      </c>
      <c r="U72" s="100" t="e">
        <f t="shared" si="79"/>
        <v>#N/A</v>
      </c>
      <c r="V72" s="99"/>
      <c r="W72" s="99"/>
      <c r="X72" s="99"/>
      <c r="Y72" s="99"/>
      <c r="Z72" s="99"/>
      <c r="AA72" s="99"/>
      <c r="AB72" s="99"/>
      <c r="AC72" s="99"/>
    </row>
    <row r="73" spans="1:29" ht="19.5" customHeight="1">
      <c r="A73" s="243"/>
      <c r="B73" s="244"/>
      <c r="C73" s="245"/>
      <c r="D73" s="244"/>
      <c r="E73" s="245"/>
      <c r="F73" s="244"/>
      <c r="G73" s="245"/>
      <c r="H73" s="244"/>
      <c r="I73" s="245"/>
      <c r="J73" s="244"/>
      <c r="K73" s="245"/>
      <c r="L73" s="244"/>
      <c r="M73" s="245"/>
      <c r="N73" s="246"/>
      <c r="O73" s="245"/>
      <c r="P73" s="105" t="s">
        <v>209</v>
      </c>
      <c r="Q73" s="109">
        <f>F30</f>
        <v>807785.55003516539</v>
      </c>
      <c r="R73" s="271">
        <f>F31</f>
        <v>1031422.8099999999</v>
      </c>
      <c r="S73" s="99"/>
      <c r="T73" s="100">
        <f t="shared" si="78"/>
        <v>1031422.8099999999</v>
      </c>
      <c r="U73" s="100" t="e">
        <f t="shared" si="79"/>
        <v>#N/A</v>
      </c>
      <c r="V73" s="99"/>
      <c r="W73" s="99"/>
      <c r="X73" s="99"/>
      <c r="Y73" s="99"/>
      <c r="Z73" s="99"/>
      <c r="AA73" s="99"/>
      <c r="AB73" s="99"/>
      <c r="AC73" s="99"/>
    </row>
    <row r="74" spans="1:29" ht="19.5" customHeight="1">
      <c r="A74" s="243"/>
      <c r="B74" s="244"/>
      <c r="C74" s="245"/>
      <c r="D74" s="244"/>
      <c r="E74" s="245"/>
      <c r="F74" s="244"/>
      <c r="G74" s="245"/>
      <c r="H74" s="244"/>
      <c r="I74" s="245"/>
      <c r="J74" s="244"/>
      <c r="K74" s="245"/>
      <c r="L74" s="244"/>
      <c r="M74" s="245"/>
      <c r="N74" s="246"/>
      <c r="O74" s="245"/>
      <c r="P74" s="105" t="s">
        <v>210</v>
      </c>
      <c r="Q74" s="109">
        <f>G30</f>
        <v>935532.22031509038</v>
      </c>
      <c r="R74" s="271">
        <f>G31</f>
        <v>1176372.28</v>
      </c>
      <c r="S74" s="99"/>
      <c r="T74" s="100">
        <f t="shared" si="78"/>
        <v>1176372.28</v>
      </c>
      <c r="U74" s="100" t="e">
        <f t="shared" si="79"/>
        <v>#N/A</v>
      </c>
      <c r="V74" s="99"/>
      <c r="W74" s="99"/>
      <c r="X74" s="99"/>
      <c r="Y74" s="99"/>
      <c r="Z74" s="99"/>
      <c r="AA74" s="99"/>
      <c r="AB74" s="99"/>
      <c r="AC74" s="99"/>
    </row>
    <row r="75" spans="1:29" ht="19.5" customHeight="1">
      <c r="A75" s="247"/>
      <c r="B75" s="248"/>
      <c r="C75" s="249"/>
      <c r="D75" s="248"/>
      <c r="E75" s="249"/>
      <c r="F75" s="248"/>
      <c r="G75" s="249"/>
      <c r="H75" s="248"/>
      <c r="I75" s="249"/>
      <c r="J75" s="248"/>
      <c r="K75" s="249"/>
      <c r="L75" s="248"/>
      <c r="M75" s="249"/>
      <c r="N75" s="250"/>
      <c r="O75" s="249"/>
      <c r="P75" s="105" t="s">
        <v>211</v>
      </c>
      <c r="Q75" s="109">
        <f>H30</f>
        <v>1080192.4183031777</v>
      </c>
      <c r="R75" s="271">
        <f>H31</f>
        <v>1342329.78</v>
      </c>
      <c r="S75" s="99"/>
      <c r="T75" s="100">
        <f t="shared" si="78"/>
        <v>1342329.78</v>
      </c>
      <c r="U75" s="100" t="e">
        <f t="shared" si="79"/>
        <v>#N/A</v>
      </c>
      <c r="V75" s="99"/>
      <c r="W75" s="99"/>
      <c r="X75" s="99"/>
      <c r="Y75" s="99"/>
      <c r="Z75" s="99"/>
      <c r="AA75" s="99"/>
      <c r="AB75" s="99"/>
      <c r="AC75" s="99"/>
    </row>
    <row r="76" spans="1:29" ht="19.5" customHeight="1">
      <c r="A76" s="243"/>
      <c r="B76" s="244"/>
      <c r="C76" s="245"/>
      <c r="D76" s="244"/>
      <c r="E76" s="245"/>
      <c r="F76" s="244"/>
      <c r="G76" s="245"/>
      <c r="H76" s="244"/>
      <c r="I76" s="245"/>
      <c r="J76" s="244"/>
      <c r="K76" s="245"/>
      <c r="L76" s="244"/>
      <c r="M76" s="245"/>
      <c r="N76" s="246"/>
      <c r="O76" s="245"/>
      <c r="P76" s="105" t="s">
        <v>212</v>
      </c>
      <c r="Q76" s="109">
        <f>I30</f>
        <v>1234104.1651959268</v>
      </c>
      <c r="R76" s="271">
        <f>I31</f>
        <v>1499391.26</v>
      </c>
      <c r="S76" s="99"/>
      <c r="T76" s="100">
        <f t="shared" si="78"/>
        <v>1499391.26</v>
      </c>
      <c r="U76" s="100" t="e">
        <f t="shared" si="79"/>
        <v>#N/A</v>
      </c>
      <c r="V76" s="99"/>
      <c r="W76" s="99"/>
      <c r="X76" s="99"/>
      <c r="Y76" s="99"/>
      <c r="Z76" s="99"/>
      <c r="AA76" s="99"/>
      <c r="AB76" s="99"/>
      <c r="AC76" s="99"/>
    </row>
    <row r="77" spans="1:29" ht="19.5" customHeight="1">
      <c r="A77" s="243"/>
      <c r="B77" s="244"/>
      <c r="C77" s="245"/>
      <c r="D77" s="244"/>
      <c r="E77" s="245"/>
      <c r="F77" s="244"/>
      <c r="G77" s="245"/>
      <c r="H77" s="244"/>
      <c r="I77" s="245"/>
      <c r="J77" s="244"/>
      <c r="K77" s="245"/>
      <c r="L77" s="244"/>
      <c r="M77" s="245"/>
      <c r="N77" s="246"/>
      <c r="O77" s="245"/>
      <c r="P77" s="105" t="s">
        <v>213</v>
      </c>
      <c r="Q77" s="109">
        <f>J30</f>
        <v>1350755.7936711241</v>
      </c>
      <c r="R77" s="271">
        <f>J31</f>
        <v>1638201.51</v>
      </c>
      <c r="S77" s="99"/>
      <c r="T77" s="100">
        <f t="shared" si="78"/>
        <v>1638201.51</v>
      </c>
      <c r="U77" s="100" t="e">
        <f t="shared" si="79"/>
        <v>#N/A</v>
      </c>
      <c r="V77" s="99"/>
      <c r="W77" s="99"/>
      <c r="X77" s="99"/>
      <c r="Y77" s="99"/>
      <c r="Z77" s="99"/>
      <c r="AA77" s="99"/>
      <c r="AB77" s="99"/>
      <c r="AC77" s="99"/>
    </row>
    <row r="78" spans="1:29" ht="19.5" customHeight="1">
      <c r="A78" s="243"/>
      <c r="B78" s="244"/>
      <c r="C78" s="245"/>
      <c r="D78" s="244"/>
      <c r="E78" s="245"/>
      <c r="F78" s="244"/>
      <c r="G78" s="245"/>
      <c r="H78" s="244"/>
      <c r="I78" s="245"/>
      <c r="J78" s="244"/>
      <c r="K78" s="245"/>
      <c r="L78" s="244"/>
      <c r="M78" s="245"/>
      <c r="N78" s="246"/>
      <c r="O78" s="245"/>
      <c r="P78" s="105" t="s">
        <v>214</v>
      </c>
      <c r="Q78" s="109">
        <f>K30</f>
        <v>1491833.0129095844</v>
      </c>
      <c r="R78" s="271">
        <f>K31</f>
        <v>1845393.05</v>
      </c>
      <c r="S78" s="99"/>
      <c r="T78" s="100">
        <f t="shared" si="78"/>
        <v>1845393.05</v>
      </c>
      <c r="U78" s="100" t="e">
        <f t="shared" si="79"/>
        <v>#N/A</v>
      </c>
      <c r="V78" s="99"/>
      <c r="W78" s="99"/>
      <c r="X78" s="99"/>
      <c r="Y78" s="99"/>
      <c r="Z78" s="99"/>
      <c r="AA78" s="99"/>
      <c r="AB78" s="99"/>
      <c r="AC78" s="99"/>
    </row>
    <row r="79" spans="1:29" ht="19.5" customHeight="1">
      <c r="A79" s="247"/>
      <c r="B79" s="248"/>
      <c r="C79" s="249"/>
      <c r="D79" s="248"/>
      <c r="E79" s="249"/>
      <c r="F79" s="248"/>
      <c r="G79" s="249"/>
      <c r="H79" s="248"/>
      <c r="I79" s="249"/>
      <c r="J79" s="248"/>
      <c r="K79" s="249"/>
      <c r="L79" s="248"/>
      <c r="M79" s="249"/>
      <c r="N79" s="250"/>
      <c r="O79" s="249"/>
      <c r="P79" s="105" t="s">
        <v>215</v>
      </c>
      <c r="Q79" s="109">
        <f>L30</f>
        <v>1610059.1397355548</v>
      </c>
      <c r="R79" s="271">
        <f>L31</f>
        <v>1973825.92</v>
      </c>
      <c r="S79" s="99"/>
      <c r="T79" s="100">
        <f t="shared" si="78"/>
        <v>1973825.92</v>
      </c>
      <c r="U79" s="100" t="e">
        <f t="shared" si="79"/>
        <v>#N/A</v>
      </c>
      <c r="V79" s="99"/>
      <c r="W79" s="99"/>
      <c r="X79" s="99"/>
      <c r="Y79" s="99"/>
      <c r="Z79" s="99"/>
      <c r="AA79" s="99"/>
      <c r="AB79" s="99"/>
      <c r="AC79" s="99"/>
    </row>
    <row r="80" spans="1:29" ht="19.5" customHeight="1">
      <c r="A80" s="247"/>
      <c r="B80" s="248"/>
      <c r="C80" s="249"/>
      <c r="D80" s="248"/>
      <c r="E80" s="249"/>
      <c r="F80" s="248"/>
      <c r="G80" s="249"/>
      <c r="H80" s="248"/>
      <c r="I80" s="249"/>
      <c r="J80" s="248"/>
      <c r="K80" s="249"/>
      <c r="L80" s="248"/>
      <c r="M80" s="249"/>
      <c r="N80" s="250"/>
      <c r="O80" s="249"/>
      <c r="P80" s="105" t="s">
        <v>216</v>
      </c>
      <c r="Q80" s="109">
        <f>M30</f>
        <v>1744647.8605981038</v>
      </c>
      <c r="R80" s="271">
        <f>M31</f>
        <v>2136068.67</v>
      </c>
      <c r="S80" s="99"/>
      <c r="T80" s="100">
        <f t="shared" si="78"/>
        <v>2136068.67</v>
      </c>
      <c r="U80" s="100" t="e">
        <f t="shared" si="79"/>
        <v>#N/A</v>
      </c>
      <c r="V80" s="99"/>
      <c r="W80" s="99"/>
      <c r="X80" s="99"/>
      <c r="Y80" s="99"/>
      <c r="Z80" s="99"/>
      <c r="AA80" s="99"/>
      <c r="AB80" s="99"/>
      <c r="AC80" s="99"/>
    </row>
    <row r="81" spans="1:29" ht="18" customHeight="1" thickBot="1">
      <c r="A81" s="247"/>
      <c r="B81" s="246"/>
      <c r="C81" s="245"/>
      <c r="D81" s="246"/>
      <c r="E81" s="245"/>
      <c r="F81" s="246"/>
      <c r="G81" s="245"/>
      <c r="H81" s="246"/>
      <c r="I81" s="245"/>
      <c r="J81" s="246"/>
      <c r="K81" s="245"/>
      <c r="L81" s="246"/>
      <c r="M81" s="245"/>
      <c r="N81" s="246"/>
      <c r="O81" s="245"/>
      <c r="P81" s="107"/>
      <c r="Q81" s="107"/>
      <c r="R81" s="107"/>
      <c r="S81" s="107"/>
      <c r="T81" s="107"/>
      <c r="U81" s="107"/>
      <c r="V81" s="107"/>
      <c r="W81" s="107"/>
      <c r="X81" s="107"/>
      <c r="Y81" s="107"/>
      <c r="Z81" s="107"/>
      <c r="AA81" s="107"/>
      <c r="AB81" s="107"/>
      <c r="AC81" s="107"/>
    </row>
    <row r="82" spans="1:29" ht="18" customHeight="1">
      <c r="A82" s="247"/>
      <c r="B82" s="248"/>
      <c r="C82" s="251"/>
      <c r="D82" s="248"/>
      <c r="E82" s="251"/>
      <c r="F82" s="248"/>
      <c r="G82" s="251"/>
      <c r="H82" s="248"/>
      <c r="I82" s="251"/>
      <c r="J82" s="248"/>
      <c r="K82" s="251"/>
      <c r="L82" s="248"/>
      <c r="M82" s="251"/>
      <c r="N82" s="248"/>
      <c r="O82" s="251"/>
      <c r="P82" s="99"/>
      <c r="Q82" s="99"/>
      <c r="R82" s="99"/>
      <c r="S82" s="99"/>
      <c r="T82" s="99"/>
      <c r="U82" s="99"/>
      <c r="V82" s="99"/>
      <c r="W82" s="99"/>
      <c r="X82" s="99"/>
      <c r="Y82" s="99"/>
      <c r="Z82" s="99"/>
      <c r="AA82" s="99"/>
      <c r="AB82" s="99"/>
      <c r="AC82" s="99"/>
    </row>
    <row r="83" spans="1:29" ht="19.5" customHeight="1">
      <c r="A83" s="252"/>
      <c r="B83" s="252"/>
      <c r="C83" s="252"/>
      <c r="D83" s="252"/>
      <c r="E83" s="252"/>
      <c r="F83" s="252"/>
      <c r="G83" s="252"/>
      <c r="H83" s="252"/>
      <c r="I83" s="252"/>
      <c r="J83" s="252"/>
      <c r="K83" s="252"/>
      <c r="L83" s="252"/>
      <c r="M83" s="252"/>
      <c r="N83" s="244"/>
      <c r="O83" s="252"/>
      <c r="P83" s="1402" t="s">
        <v>28</v>
      </c>
      <c r="Q83" s="1402"/>
      <c r="R83" s="1402"/>
      <c r="S83" s="99"/>
      <c r="T83" s="99"/>
      <c r="U83" s="99"/>
      <c r="V83" s="99"/>
      <c r="W83" s="99"/>
      <c r="X83" s="99"/>
      <c r="Y83" s="99"/>
      <c r="Z83" s="99"/>
      <c r="AA83" s="99"/>
      <c r="AB83" s="99"/>
      <c r="AC83" s="99"/>
    </row>
    <row r="84" spans="1:29" ht="19.5" customHeight="1">
      <c r="A84" s="252"/>
      <c r="B84" s="252"/>
      <c r="C84" s="252"/>
      <c r="D84" s="252"/>
      <c r="E84" s="252"/>
      <c r="F84" s="252"/>
      <c r="G84" s="252"/>
      <c r="H84" s="252"/>
      <c r="I84" s="252"/>
      <c r="J84" s="252"/>
      <c r="K84" s="252"/>
      <c r="L84" s="252"/>
      <c r="M84" s="252"/>
      <c r="N84" s="244"/>
      <c r="O84" s="252"/>
      <c r="P84" s="101" t="s">
        <v>193</v>
      </c>
      <c r="Q84" s="102" t="s">
        <v>201</v>
      </c>
      <c r="R84" s="103" t="s">
        <v>202</v>
      </c>
      <c r="S84" s="104"/>
      <c r="T84" s="104" t="s">
        <v>683</v>
      </c>
      <c r="U84" s="104"/>
      <c r="V84" s="99"/>
      <c r="W84" s="99"/>
      <c r="X84" s="99"/>
      <c r="Y84" s="99"/>
      <c r="Z84" s="99"/>
      <c r="AA84" s="99"/>
      <c r="AB84" s="99"/>
      <c r="AC84" s="99"/>
    </row>
    <row r="85" spans="1:29" ht="19.5" customHeight="1">
      <c r="A85" s="252"/>
      <c r="B85" s="252"/>
      <c r="C85" s="252"/>
      <c r="D85" s="252"/>
      <c r="E85" s="252"/>
      <c r="F85" s="252"/>
      <c r="G85" s="252"/>
      <c r="H85" s="252"/>
      <c r="I85" s="252"/>
      <c r="J85" s="252"/>
      <c r="K85" s="252"/>
      <c r="L85" s="252"/>
      <c r="M85" s="252"/>
      <c r="N85" s="244"/>
      <c r="O85" s="252"/>
      <c r="P85" s="105" t="s">
        <v>205</v>
      </c>
      <c r="Q85" s="106">
        <f>B36</f>
        <v>4360896.3398541976</v>
      </c>
      <c r="R85" s="269">
        <f>B37</f>
        <v>6095755.0300000012</v>
      </c>
      <c r="S85" s="99"/>
      <c r="T85" s="100">
        <f>R85</f>
        <v>6095755.0300000012</v>
      </c>
      <c r="U85" s="100"/>
      <c r="V85" s="99"/>
      <c r="W85" s="99"/>
      <c r="X85" s="99"/>
      <c r="Y85" s="99"/>
      <c r="Z85" s="99"/>
      <c r="AA85" s="99"/>
      <c r="AB85" s="99"/>
      <c r="AC85" s="99"/>
    </row>
    <row r="86" spans="1:29" ht="19.5" customHeight="1">
      <c r="A86" s="252"/>
      <c r="B86" s="252"/>
      <c r="C86" s="252"/>
      <c r="D86" s="252"/>
      <c r="E86" s="252"/>
      <c r="F86" s="252"/>
      <c r="G86" s="252"/>
      <c r="H86" s="252"/>
      <c r="I86" s="252"/>
      <c r="J86" s="252"/>
      <c r="K86" s="252"/>
      <c r="L86" s="252"/>
      <c r="M86" s="252"/>
      <c r="N86" s="244"/>
      <c r="O86" s="252"/>
      <c r="P86" s="105" t="s">
        <v>206</v>
      </c>
      <c r="Q86" s="109">
        <f>C36</f>
        <v>9262643.1181037668</v>
      </c>
      <c r="R86" s="271">
        <f>C37</f>
        <v>12582474.640000002</v>
      </c>
      <c r="S86" s="99"/>
      <c r="T86" s="100">
        <f t="shared" ref="T86:T87" si="80">R86</f>
        <v>12582474.640000002</v>
      </c>
      <c r="U86" s="100"/>
      <c r="V86" s="99"/>
      <c r="W86" s="99"/>
      <c r="X86" s="99"/>
      <c r="Y86" s="99"/>
      <c r="Z86" s="99"/>
      <c r="AA86" s="99"/>
      <c r="AB86" s="99"/>
      <c r="AC86" s="99"/>
    </row>
    <row r="87" spans="1:29" ht="19.5" customHeight="1">
      <c r="A87" s="252"/>
      <c r="B87" s="252"/>
      <c r="C87" s="252"/>
      <c r="D87" s="252"/>
      <c r="E87" s="252"/>
      <c r="F87" s="252"/>
      <c r="G87" s="252"/>
      <c r="H87" s="252"/>
      <c r="I87" s="252"/>
      <c r="J87" s="252"/>
      <c r="K87" s="252"/>
      <c r="L87" s="252"/>
      <c r="M87" s="252"/>
      <c r="N87" s="244"/>
      <c r="O87" s="252"/>
      <c r="P87" s="105" t="s">
        <v>207</v>
      </c>
      <c r="Q87" s="109">
        <f>D36</f>
        <v>15175128.294068078</v>
      </c>
      <c r="R87" s="271">
        <f>D37</f>
        <v>19157049.210000001</v>
      </c>
      <c r="S87" s="99"/>
      <c r="T87" s="100">
        <f t="shared" si="80"/>
        <v>19157049.210000001</v>
      </c>
      <c r="U87" s="100"/>
      <c r="V87" s="99"/>
      <c r="W87" s="99"/>
      <c r="X87" s="99"/>
      <c r="Y87" s="99"/>
      <c r="Z87" s="99"/>
      <c r="AA87" s="99"/>
      <c r="AB87" s="99"/>
      <c r="AC87" s="99"/>
    </row>
    <row r="88" spans="1:29" ht="19.5" customHeight="1">
      <c r="A88" s="252"/>
      <c r="B88" s="252"/>
      <c r="C88" s="252"/>
      <c r="D88" s="252"/>
      <c r="E88" s="252"/>
      <c r="F88" s="252"/>
      <c r="G88" s="252"/>
      <c r="H88" s="252"/>
      <c r="I88" s="252"/>
      <c r="J88" s="252"/>
      <c r="K88" s="252"/>
      <c r="L88" s="252"/>
      <c r="M88" s="252"/>
      <c r="N88" s="244"/>
      <c r="O88" s="252"/>
      <c r="P88" s="105" t="s">
        <v>208</v>
      </c>
      <c r="Q88" s="109">
        <f>E36</f>
        <v>21038086.194907062</v>
      </c>
      <c r="R88" s="271">
        <f>E37</f>
        <v>22925187.109999999</v>
      </c>
      <c r="S88" s="99"/>
      <c r="T88" s="100">
        <f>R88</f>
        <v>22925187.109999999</v>
      </c>
      <c r="U88" s="100"/>
      <c r="V88" s="99"/>
      <c r="W88" s="99"/>
      <c r="X88" s="99"/>
      <c r="Y88" s="99"/>
      <c r="Z88" s="99"/>
      <c r="AA88" s="99"/>
      <c r="AB88" s="99"/>
      <c r="AC88" s="99"/>
    </row>
    <row r="89" spans="1:29" ht="19.5" customHeight="1">
      <c r="A89" s="252"/>
      <c r="B89" s="252"/>
      <c r="C89" s="252"/>
      <c r="D89" s="252"/>
      <c r="E89" s="252"/>
      <c r="F89" s="252"/>
      <c r="G89" s="252"/>
      <c r="H89" s="252"/>
      <c r="I89" s="252"/>
      <c r="J89" s="252"/>
      <c r="K89" s="252"/>
      <c r="L89" s="252"/>
      <c r="M89" s="252"/>
      <c r="N89" s="244"/>
      <c r="O89" s="252"/>
      <c r="P89" s="105" t="s">
        <v>209</v>
      </c>
      <c r="Q89" s="109">
        <f>F36</f>
        <v>27571721.465995748</v>
      </c>
      <c r="R89" s="271">
        <f>F37</f>
        <v>27735609.559999999</v>
      </c>
      <c r="S89" s="99"/>
      <c r="T89" s="100">
        <f>R89</f>
        <v>27735609.559999999</v>
      </c>
      <c r="U89" s="100"/>
      <c r="V89" s="99"/>
      <c r="W89" s="99"/>
      <c r="X89" s="99"/>
      <c r="Y89" s="99"/>
      <c r="Z89" s="99"/>
      <c r="AA89" s="99"/>
      <c r="AB89" s="99"/>
      <c r="AC89" s="99"/>
    </row>
    <row r="90" spans="1:29" ht="19.5" customHeight="1">
      <c r="A90" s="252"/>
      <c r="B90" s="252"/>
      <c r="C90" s="252"/>
      <c r="D90" s="252"/>
      <c r="E90" s="252"/>
      <c r="F90" s="252"/>
      <c r="G90" s="252"/>
      <c r="H90" s="252"/>
      <c r="I90" s="252"/>
      <c r="J90" s="252"/>
      <c r="K90" s="252"/>
      <c r="L90" s="252"/>
      <c r="M90" s="252"/>
      <c r="N90" s="244"/>
      <c r="O90" s="252"/>
      <c r="P90" s="105" t="s">
        <v>210</v>
      </c>
      <c r="Q90" s="109">
        <f>G36</f>
        <v>33468552.324798964</v>
      </c>
      <c r="R90" s="271">
        <f>G37</f>
        <v>33971204.509999998</v>
      </c>
      <c r="S90" s="99"/>
      <c r="T90" s="100">
        <f>R90</f>
        <v>33971204.509999998</v>
      </c>
      <c r="U90" s="100"/>
      <c r="V90" s="99"/>
      <c r="W90" s="99"/>
      <c r="X90" s="99"/>
      <c r="Y90" s="99"/>
      <c r="Z90" s="99"/>
      <c r="AA90" s="99"/>
      <c r="AB90" s="99"/>
      <c r="AC90" s="99"/>
    </row>
    <row r="91" spans="1:29" ht="19.5" customHeight="1">
      <c r="A91" s="252"/>
      <c r="B91" s="252"/>
      <c r="C91" s="252"/>
      <c r="D91" s="252"/>
      <c r="E91" s="252"/>
      <c r="F91" s="252"/>
      <c r="G91" s="252"/>
      <c r="H91" s="252"/>
      <c r="I91" s="252"/>
      <c r="J91" s="252"/>
      <c r="K91" s="252"/>
      <c r="L91" s="252"/>
      <c r="M91" s="252"/>
      <c r="N91" s="244"/>
      <c r="O91" s="252"/>
      <c r="P91" s="105" t="s">
        <v>211</v>
      </c>
      <c r="Q91" s="109">
        <f>H36</f>
        <v>39746513.536818929</v>
      </c>
      <c r="R91" s="271">
        <f>H37</f>
        <v>41539903.059999995</v>
      </c>
      <c r="S91" s="99"/>
      <c r="T91" s="100">
        <f t="shared" ref="T91:T96" si="81">IF(R91="",NA(),IF(R91&gt;=Q91,R91,NA()))</f>
        <v>41539903.059999995</v>
      </c>
      <c r="U91" s="100"/>
      <c r="V91" s="99"/>
      <c r="W91" s="99"/>
      <c r="X91" s="99"/>
      <c r="Y91" s="99"/>
      <c r="Z91" s="99"/>
      <c r="AA91" s="99"/>
      <c r="AB91" s="99"/>
      <c r="AC91" s="99"/>
    </row>
    <row r="92" spans="1:29" ht="19.5" customHeight="1">
      <c r="A92" s="252"/>
      <c r="B92" s="252"/>
      <c r="C92" s="252"/>
      <c r="D92" s="252"/>
      <c r="E92" s="252"/>
      <c r="F92" s="252"/>
      <c r="G92" s="252"/>
      <c r="H92" s="252"/>
      <c r="I92" s="252"/>
      <c r="J92" s="252"/>
      <c r="K92" s="252"/>
      <c r="L92" s="252"/>
      <c r="M92" s="252"/>
      <c r="N92" s="244"/>
      <c r="O92" s="252"/>
      <c r="P92" s="105" t="s">
        <v>212</v>
      </c>
      <c r="Q92" s="109">
        <f>I36</f>
        <v>46587060.219900794</v>
      </c>
      <c r="R92" s="271">
        <f>I37</f>
        <v>49562587.979999997</v>
      </c>
      <c r="S92" s="99"/>
      <c r="T92" s="100">
        <f t="shared" si="81"/>
        <v>49562587.979999997</v>
      </c>
      <c r="U92" s="100"/>
      <c r="V92" s="99"/>
      <c r="W92" s="99"/>
      <c r="X92" s="99"/>
      <c r="Y92" s="99"/>
      <c r="Z92" s="99"/>
      <c r="AA92" s="99"/>
      <c r="AB92" s="99"/>
      <c r="AC92" s="99"/>
    </row>
    <row r="93" spans="1:29" ht="19.5" customHeight="1">
      <c r="A93" s="252"/>
      <c r="B93" s="252"/>
      <c r="C93" s="252"/>
      <c r="D93" s="252"/>
      <c r="E93" s="252"/>
      <c r="F93" s="252"/>
      <c r="G93" s="252"/>
      <c r="H93" s="252"/>
      <c r="I93" s="252"/>
      <c r="J93" s="252"/>
      <c r="K93" s="252"/>
      <c r="L93" s="252"/>
      <c r="M93" s="252"/>
      <c r="N93" s="244"/>
      <c r="O93" s="252"/>
      <c r="P93" s="105" t="s">
        <v>213</v>
      </c>
      <c r="Q93" s="109">
        <f>J36</f>
        <v>52648520.966934644</v>
      </c>
      <c r="R93" s="271">
        <f>J37</f>
        <v>57476947.979999997</v>
      </c>
      <c r="S93" s="99"/>
      <c r="T93" s="100">
        <f t="shared" si="81"/>
        <v>57476947.979999997</v>
      </c>
      <c r="U93" s="100"/>
      <c r="V93" s="99"/>
      <c r="W93" s="99"/>
      <c r="X93" s="99"/>
      <c r="Y93" s="99"/>
      <c r="Z93" s="99"/>
      <c r="AA93" s="99"/>
      <c r="AB93" s="99"/>
      <c r="AC93" s="99"/>
    </row>
    <row r="94" spans="1:29" ht="19.5" customHeight="1">
      <c r="A94" s="252"/>
      <c r="B94" s="252"/>
      <c r="C94" s="252"/>
      <c r="D94" s="252"/>
      <c r="E94" s="252"/>
      <c r="F94" s="252"/>
      <c r="G94" s="252"/>
      <c r="H94" s="252"/>
      <c r="I94" s="252"/>
      <c r="J94" s="252"/>
      <c r="K94" s="252"/>
      <c r="L94" s="252"/>
      <c r="M94" s="252"/>
      <c r="N94" s="244"/>
      <c r="O94" s="252"/>
      <c r="P94" s="105" t="s">
        <v>214</v>
      </c>
      <c r="Q94" s="109">
        <f>K36</f>
        <v>59178804.121601611</v>
      </c>
      <c r="R94" s="271">
        <f>K37</f>
        <v>66244746.329999998</v>
      </c>
      <c r="S94" s="99"/>
      <c r="T94" s="100">
        <f t="shared" si="81"/>
        <v>66244746.329999998</v>
      </c>
      <c r="U94" s="100"/>
      <c r="V94" s="99"/>
      <c r="W94" s="99"/>
      <c r="X94" s="99"/>
      <c r="Y94" s="99"/>
      <c r="Z94" s="99"/>
      <c r="AA94" s="99"/>
      <c r="AB94" s="99"/>
      <c r="AC94" s="99"/>
    </row>
    <row r="95" spans="1:29" ht="19.5" customHeight="1">
      <c r="A95" s="252"/>
      <c r="B95" s="252"/>
      <c r="C95" s="252"/>
      <c r="D95" s="252"/>
      <c r="E95" s="252"/>
      <c r="F95" s="252"/>
      <c r="G95" s="252"/>
      <c r="H95" s="252"/>
      <c r="I95" s="252"/>
      <c r="J95" s="252"/>
      <c r="K95" s="252"/>
      <c r="L95" s="252"/>
      <c r="M95" s="252"/>
      <c r="N95" s="244"/>
      <c r="O95" s="252"/>
      <c r="P95" s="105" t="s">
        <v>215</v>
      </c>
      <c r="Q95" s="109">
        <f>L36</f>
        <v>64893370.123346224</v>
      </c>
      <c r="R95" s="271">
        <f>L37</f>
        <v>73970567.5</v>
      </c>
      <c r="S95" s="99"/>
      <c r="T95" s="100">
        <f t="shared" si="81"/>
        <v>73970567.5</v>
      </c>
      <c r="U95" s="100"/>
      <c r="V95" s="99"/>
      <c r="W95" s="99"/>
      <c r="X95" s="99"/>
      <c r="Y95" s="99"/>
      <c r="Z95" s="99"/>
      <c r="AA95" s="99"/>
      <c r="AB95" s="99"/>
      <c r="AC95" s="99"/>
    </row>
    <row r="96" spans="1:29" ht="19.5" customHeight="1">
      <c r="A96" s="252"/>
      <c r="B96" s="252"/>
      <c r="C96" s="252"/>
      <c r="D96" s="252"/>
      <c r="E96" s="252"/>
      <c r="F96" s="252"/>
      <c r="G96" s="252"/>
      <c r="H96" s="252"/>
      <c r="I96" s="252"/>
      <c r="J96" s="252"/>
      <c r="K96" s="252"/>
      <c r="L96" s="252"/>
      <c r="M96" s="252"/>
      <c r="N96" s="244"/>
      <c r="O96" s="252"/>
      <c r="P96" s="105" t="s">
        <v>216</v>
      </c>
      <c r="Q96" s="109">
        <f>M36</f>
        <v>70227432.364500001</v>
      </c>
      <c r="R96" s="271">
        <f>M37</f>
        <v>81413494.150000006</v>
      </c>
      <c r="S96" s="99"/>
      <c r="T96" s="100">
        <f t="shared" si="81"/>
        <v>81413494.150000006</v>
      </c>
      <c r="U96" s="100"/>
      <c r="V96" s="99"/>
      <c r="W96" s="99"/>
      <c r="X96" s="99"/>
      <c r="Y96" s="99"/>
      <c r="Z96" s="99"/>
      <c r="AA96" s="99"/>
      <c r="AB96" s="99"/>
      <c r="AC96" s="99"/>
    </row>
    <row r="97" spans="1:29" ht="18" customHeight="1" thickBot="1">
      <c r="A97" s="252"/>
      <c r="B97" s="252"/>
      <c r="C97" s="252"/>
      <c r="D97" s="252"/>
      <c r="E97" s="252"/>
      <c r="F97" s="252"/>
      <c r="G97" s="252"/>
      <c r="H97" s="252"/>
      <c r="I97" s="252"/>
      <c r="J97" s="252"/>
      <c r="K97" s="252"/>
      <c r="L97" s="252"/>
      <c r="M97" s="252"/>
      <c r="N97" s="244"/>
      <c r="O97" s="252"/>
      <c r="P97" s="107"/>
      <c r="Q97" s="108"/>
      <c r="R97" s="107"/>
      <c r="S97" s="107"/>
      <c r="T97" s="107"/>
      <c r="U97" s="107"/>
      <c r="V97" s="107"/>
      <c r="W97" s="107"/>
      <c r="X97" s="107"/>
      <c r="Y97" s="107"/>
      <c r="Z97" s="107"/>
      <c r="AA97" s="107"/>
      <c r="AB97" s="107"/>
      <c r="AC97" s="107"/>
    </row>
    <row r="98" spans="1:29" ht="18" customHeight="1">
      <c r="A98" s="252"/>
      <c r="B98" s="252"/>
      <c r="C98" s="252"/>
      <c r="D98" s="252"/>
      <c r="E98" s="252"/>
      <c r="F98" s="252"/>
      <c r="G98" s="252"/>
      <c r="H98" s="252"/>
      <c r="I98" s="252"/>
      <c r="J98" s="252"/>
      <c r="K98" s="252"/>
      <c r="L98" s="252"/>
      <c r="M98" s="252"/>
      <c r="N98" s="244"/>
      <c r="O98" s="252"/>
      <c r="P98" s="99"/>
      <c r="Q98" s="99"/>
      <c r="R98" s="99"/>
      <c r="S98" s="99"/>
      <c r="T98" s="99"/>
      <c r="U98" s="99"/>
      <c r="V98" s="99"/>
      <c r="W98" s="99"/>
      <c r="X98" s="99"/>
      <c r="Y98" s="99"/>
      <c r="Z98" s="99"/>
      <c r="AA98" s="99"/>
      <c r="AB98" s="99"/>
      <c r="AC98" s="99"/>
    </row>
    <row r="99" spans="1:29" ht="19.5" customHeight="1">
      <c r="A99" s="252"/>
      <c r="B99" s="252"/>
      <c r="C99" s="252"/>
      <c r="D99" s="252"/>
      <c r="E99" s="252"/>
      <c r="F99" s="252"/>
      <c r="G99" s="252"/>
      <c r="H99" s="252"/>
      <c r="I99" s="252"/>
      <c r="J99" s="252"/>
      <c r="K99" s="252"/>
      <c r="L99" s="252"/>
      <c r="M99" s="252"/>
      <c r="N99" s="244"/>
      <c r="O99" s="252"/>
      <c r="P99" s="1402" t="s">
        <v>142</v>
      </c>
      <c r="Q99" s="1402"/>
      <c r="R99" s="1402"/>
      <c r="S99" s="99"/>
      <c r="T99" s="99"/>
      <c r="U99" s="99"/>
      <c r="V99" s="99"/>
      <c r="W99" s="99"/>
      <c r="X99" s="99"/>
      <c r="Y99" s="99"/>
      <c r="Z99" s="99"/>
      <c r="AA99" s="99"/>
      <c r="AB99" s="99"/>
      <c r="AC99" s="99"/>
    </row>
    <row r="100" spans="1:29" ht="19.5" customHeight="1">
      <c r="A100" s="252"/>
      <c r="B100" s="252"/>
      <c r="C100" s="252"/>
      <c r="D100" s="252"/>
      <c r="E100" s="252"/>
      <c r="F100" s="252"/>
      <c r="G100" s="252"/>
      <c r="H100" s="252"/>
      <c r="I100" s="252"/>
      <c r="J100" s="252"/>
      <c r="K100" s="252"/>
      <c r="L100" s="252"/>
      <c r="M100" s="252"/>
      <c r="N100" s="244"/>
      <c r="O100" s="252"/>
      <c r="P100" s="101" t="s">
        <v>193</v>
      </c>
      <c r="Q100" s="102" t="s">
        <v>201</v>
      </c>
      <c r="R100" s="103" t="s">
        <v>202</v>
      </c>
      <c r="S100" s="103" t="s">
        <v>224</v>
      </c>
      <c r="T100" s="104" t="s">
        <v>203</v>
      </c>
      <c r="U100" s="104" t="s">
        <v>204</v>
      </c>
      <c r="V100" s="99"/>
      <c r="W100" s="99"/>
      <c r="X100" s="99"/>
      <c r="Y100" s="99"/>
      <c r="Z100" s="99"/>
      <c r="AA100" s="99"/>
      <c r="AB100" s="99"/>
      <c r="AC100" s="99"/>
    </row>
    <row r="101" spans="1:29" ht="19.5" customHeight="1">
      <c r="A101" s="252"/>
      <c r="B101" s="252"/>
      <c r="C101" s="252"/>
      <c r="D101" s="252"/>
      <c r="E101" s="252"/>
      <c r="F101" s="252"/>
      <c r="G101" s="252"/>
      <c r="H101" s="252"/>
      <c r="I101" s="252"/>
      <c r="J101" s="252"/>
      <c r="K101" s="252"/>
      <c r="L101" s="252"/>
      <c r="M101" s="252"/>
      <c r="N101" s="244"/>
      <c r="O101" s="252"/>
      <c r="P101" s="105" t="s">
        <v>205</v>
      </c>
      <c r="Q101" s="106">
        <f>B43</f>
        <v>598442.7722158992</v>
      </c>
      <c r="R101" s="269">
        <f>B44</f>
        <v>821160.57</v>
      </c>
      <c r="S101" s="270">
        <f>B42</f>
        <v>754645.99670367478</v>
      </c>
      <c r="T101" s="100">
        <f>IF(R101="",NA(),IF(R101&gt;=Q101,R101,NA()))</f>
        <v>821160.57</v>
      </c>
      <c r="U101" s="100" t="e">
        <f>IF(R101="",NA(),IF(R101&lt;Q101,R101,NA()))</f>
        <v>#N/A</v>
      </c>
      <c r="V101" s="99"/>
      <c r="W101" s="99"/>
      <c r="X101" s="99"/>
      <c r="Y101" s="99"/>
      <c r="Z101" s="99"/>
      <c r="AA101" s="99"/>
      <c r="AB101" s="99"/>
      <c r="AC101" s="99"/>
    </row>
    <row r="102" spans="1:29" ht="19.5" customHeight="1">
      <c r="A102" s="252"/>
      <c r="B102" s="252"/>
      <c r="C102" s="252"/>
      <c r="D102" s="252"/>
      <c r="E102" s="252"/>
      <c r="F102" s="252"/>
      <c r="G102" s="252"/>
      <c r="H102" s="252"/>
      <c r="I102" s="252"/>
      <c r="J102" s="252"/>
      <c r="K102" s="252"/>
      <c r="L102" s="252"/>
      <c r="M102" s="252"/>
      <c r="N102" s="244"/>
      <c r="O102" s="252"/>
      <c r="P102" s="105" t="s">
        <v>206</v>
      </c>
      <c r="Q102" s="109">
        <f>C43</f>
        <v>1067078.5674560755</v>
      </c>
      <c r="R102" s="271">
        <f>C44</f>
        <v>1491687.13</v>
      </c>
      <c r="S102" s="270">
        <f>C42</f>
        <v>1345603.2999066866</v>
      </c>
      <c r="T102" s="100">
        <f t="shared" ref="T102:T112" si="82">IF(R102="",NA(),IF(R102&gt;=Q102,R102,NA()))</f>
        <v>1491687.13</v>
      </c>
      <c r="U102" s="100" t="e">
        <f t="shared" ref="U102:U112" si="83">IF(R102="",NA(),IF(R102&lt;Q102,R102,NA()))</f>
        <v>#N/A</v>
      </c>
      <c r="V102" s="99"/>
      <c r="W102" s="99"/>
      <c r="X102" s="99"/>
      <c r="Y102" s="99"/>
      <c r="Z102" s="99"/>
      <c r="AA102" s="99"/>
      <c r="AB102" s="99"/>
      <c r="AC102" s="99"/>
    </row>
    <row r="103" spans="1:29" ht="19.5" customHeight="1">
      <c r="A103" s="252"/>
      <c r="B103" s="252"/>
      <c r="C103" s="252"/>
      <c r="D103" s="252"/>
      <c r="E103" s="252"/>
      <c r="F103" s="252"/>
      <c r="G103" s="252"/>
      <c r="H103" s="252"/>
      <c r="I103" s="252"/>
      <c r="J103" s="252"/>
      <c r="K103" s="252"/>
      <c r="L103" s="252"/>
      <c r="M103" s="252"/>
      <c r="N103" s="244"/>
      <c r="O103" s="252"/>
      <c r="P103" s="105" t="s">
        <v>207</v>
      </c>
      <c r="Q103" s="109">
        <f>D43</f>
        <v>1484225.9737110594</v>
      </c>
      <c r="R103" s="271">
        <f>D44</f>
        <v>2127653.3199999998</v>
      </c>
      <c r="S103" s="270">
        <f>D42</f>
        <v>1871632.9133984107</v>
      </c>
      <c r="T103" s="100">
        <f t="shared" si="82"/>
        <v>2127653.3199999998</v>
      </c>
      <c r="U103" s="100" t="e">
        <f t="shared" si="83"/>
        <v>#N/A</v>
      </c>
      <c r="V103" s="99"/>
      <c r="W103" s="99"/>
      <c r="X103" s="99"/>
      <c r="Y103" s="99"/>
      <c r="Z103" s="99"/>
      <c r="AA103" s="99"/>
      <c r="AB103" s="99"/>
      <c r="AC103" s="99"/>
    </row>
    <row r="104" spans="1:29" ht="19.5" customHeight="1">
      <c r="A104" s="252"/>
      <c r="B104" s="252"/>
      <c r="C104" s="252"/>
      <c r="D104" s="252"/>
      <c r="E104" s="252"/>
      <c r="F104" s="252"/>
      <c r="G104" s="252"/>
      <c r="H104" s="252"/>
      <c r="I104" s="252"/>
      <c r="J104" s="252"/>
      <c r="K104" s="252"/>
      <c r="L104" s="252"/>
      <c r="M104" s="252"/>
      <c r="N104" s="244"/>
      <c r="O104" s="252"/>
      <c r="P104" s="105" t="s">
        <v>208</v>
      </c>
      <c r="Q104" s="109">
        <f>E43</f>
        <v>1890863.854512722</v>
      </c>
      <c r="R104" s="271">
        <f>E44</f>
        <v>2516234.1999999997</v>
      </c>
      <c r="S104" s="270">
        <f>E42</f>
        <v>2384409.8456333489</v>
      </c>
      <c r="T104" s="100">
        <f t="shared" si="82"/>
        <v>2516234.1999999997</v>
      </c>
      <c r="U104" s="100" t="e">
        <f t="shared" si="83"/>
        <v>#N/A</v>
      </c>
      <c r="V104" s="99"/>
      <c r="W104" s="99"/>
      <c r="X104" s="99"/>
      <c r="Y104" s="99"/>
      <c r="Z104" s="99"/>
      <c r="AA104" s="99"/>
      <c r="AB104" s="99"/>
      <c r="AC104" s="99"/>
    </row>
    <row r="105" spans="1:29" ht="19.5" customHeight="1">
      <c r="A105" s="252"/>
      <c r="B105" s="252"/>
      <c r="C105" s="252"/>
      <c r="D105" s="252"/>
      <c r="E105" s="252"/>
      <c r="F105" s="252"/>
      <c r="G105" s="252"/>
      <c r="H105" s="252"/>
      <c r="I105" s="252"/>
      <c r="J105" s="252"/>
      <c r="K105" s="252"/>
      <c r="L105" s="252"/>
      <c r="M105" s="252"/>
      <c r="N105" s="244"/>
      <c r="O105" s="252"/>
      <c r="P105" s="105" t="s">
        <v>209</v>
      </c>
      <c r="Q105" s="109">
        <f>F43</f>
        <v>2312349.0419847975</v>
      </c>
      <c r="R105" s="271">
        <f>F44</f>
        <v>2870631.2399999998</v>
      </c>
      <c r="S105" s="270">
        <f>F42</f>
        <v>2915909.4712666404</v>
      </c>
      <c r="T105" s="100">
        <f t="shared" si="82"/>
        <v>2870631.2399999998</v>
      </c>
      <c r="U105" s="100" t="e">
        <f t="shared" si="83"/>
        <v>#N/A</v>
      </c>
      <c r="V105" s="99"/>
      <c r="W105" s="99"/>
      <c r="X105" s="99"/>
      <c r="Y105" s="99"/>
      <c r="Z105" s="99"/>
      <c r="AA105" s="99"/>
      <c r="AB105" s="99"/>
      <c r="AC105" s="99"/>
    </row>
    <row r="106" spans="1:29" ht="19.5" customHeight="1">
      <c r="A106" s="252"/>
      <c r="B106" s="252"/>
      <c r="C106" s="252"/>
      <c r="D106" s="252"/>
      <c r="E106" s="252"/>
      <c r="F106" s="252"/>
      <c r="G106" s="252"/>
      <c r="H106" s="252"/>
      <c r="I106" s="252"/>
      <c r="J106" s="252"/>
      <c r="K106" s="252"/>
      <c r="L106" s="252"/>
      <c r="M106" s="252"/>
      <c r="N106" s="244"/>
      <c r="O106" s="252"/>
      <c r="P106" s="105" t="s">
        <v>210</v>
      </c>
      <c r="Q106" s="109">
        <f>G43</f>
        <v>2722507.5134500135</v>
      </c>
      <c r="R106" s="271">
        <f>G44</f>
        <v>3319853.17</v>
      </c>
      <c r="S106" s="270">
        <f>G42</f>
        <v>3433125.925162849</v>
      </c>
      <c r="T106" s="100">
        <f t="shared" si="82"/>
        <v>3319853.17</v>
      </c>
      <c r="U106" s="100" t="e">
        <f t="shared" si="83"/>
        <v>#N/A</v>
      </c>
      <c r="V106" s="99"/>
      <c r="W106" s="99"/>
      <c r="X106" s="99"/>
      <c r="Y106" s="99"/>
      <c r="Z106" s="99"/>
      <c r="AA106" s="99"/>
      <c r="AB106" s="99"/>
      <c r="AC106" s="99"/>
    </row>
    <row r="107" spans="1:29" ht="19.5" customHeight="1">
      <c r="A107" s="252"/>
      <c r="B107" s="252"/>
      <c r="C107" s="252"/>
      <c r="D107" s="252"/>
      <c r="E107" s="252"/>
      <c r="F107" s="252"/>
      <c r="G107" s="252"/>
      <c r="H107" s="252"/>
      <c r="I107" s="252"/>
      <c r="J107" s="252"/>
      <c r="K107" s="252"/>
      <c r="L107" s="252"/>
      <c r="M107" s="252"/>
      <c r="N107" s="244"/>
      <c r="O107" s="252"/>
      <c r="P107" s="105" t="s">
        <v>211</v>
      </c>
      <c r="Q107" s="109">
        <f>H43</f>
        <v>3258873.4989471263</v>
      </c>
      <c r="R107" s="271">
        <f>H44</f>
        <v>3840859.81</v>
      </c>
      <c r="S107" s="270">
        <f>H42</f>
        <v>4109492.0916797547</v>
      </c>
      <c r="T107" s="100">
        <f t="shared" si="82"/>
        <v>3840859.81</v>
      </c>
      <c r="U107" s="100" t="e">
        <f t="shared" si="83"/>
        <v>#N/A</v>
      </c>
      <c r="V107" s="99"/>
      <c r="W107" s="99"/>
      <c r="X107" s="99"/>
      <c r="Y107" s="99"/>
      <c r="Z107" s="99"/>
      <c r="AA107" s="99"/>
      <c r="AB107" s="99"/>
      <c r="AC107" s="99"/>
    </row>
    <row r="108" spans="1:29" ht="19.5" customHeight="1">
      <c r="A108" s="252"/>
      <c r="B108" s="252"/>
      <c r="C108" s="252"/>
      <c r="D108" s="252"/>
      <c r="E108" s="252"/>
      <c r="F108" s="252"/>
      <c r="G108" s="252"/>
      <c r="H108" s="252"/>
      <c r="I108" s="252"/>
      <c r="J108" s="252"/>
      <c r="K108" s="252"/>
      <c r="L108" s="252"/>
      <c r="M108" s="252"/>
      <c r="N108" s="244"/>
      <c r="O108" s="252"/>
      <c r="P108" s="105" t="s">
        <v>212</v>
      </c>
      <c r="Q108" s="109">
        <f>I43</f>
        <v>3833659.7628543256</v>
      </c>
      <c r="R108" s="271">
        <f>I44</f>
        <v>4449931.22</v>
      </c>
      <c r="S108" s="270">
        <f>I42</f>
        <v>4834306.8495081654</v>
      </c>
      <c r="T108" s="100">
        <f t="shared" si="82"/>
        <v>4449931.22</v>
      </c>
      <c r="U108" s="100" t="e">
        <f t="shared" si="83"/>
        <v>#N/A</v>
      </c>
      <c r="V108" s="99"/>
      <c r="W108" s="99"/>
      <c r="X108" s="99"/>
      <c r="Y108" s="99"/>
      <c r="Z108" s="99"/>
      <c r="AA108" s="99"/>
      <c r="AB108" s="99"/>
      <c r="AC108" s="99"/>
    </row>
    <row r="109" spans="1:29" ht="19.5" customHeight="1">
      <c r="A109" s="252"/>
      <c r="B109" s="252"/>
      <c r="C109" s="252"/>
      <c r="D109" s="252"/>
      <c r="E109" s="252"/>
      <c r="F109" s="252"/>
      <c r="G109" s="252"/>
      <c r="H109" s="252"/>
      <c r="I109" s="252"/>
      <c r="J109" s="252"/>
      <c r="K109" s="252"/>
      <c r="L109" s="252"/>
      <c r="M109" s="252"/>
      <c r="N109" s="244"/>
      <c r="O109" s="252"/>
      <c r="P109" s="105" t="s">
        <v>213</v>
      </c>
      <c r="Q109" s="109">
        <f>J43</f>
        <v>4315936.5787611604</v>
      </c>
      <c r="R109" s="271">
        <f>J44</f>
        <v>5195320.91</v>
      </c>
      <c r="S109" s="270">
        <f>J42</f>
        <v>5442465.6999851614</v>
      </c>
      <c r="T109" s="100">
        <f t="shared" si="82"/>
        <v>5195320.91</v>
      </c>
      <c r="U109" s="100" t="e">
        <f t="shared" si="83"/>
        <v>#N/A</v>
      </c>
      <c r="V109" s="99"/>
      <c r="W109" s="99"/>
      <c r="X109" s="99"/>
      <c r="Y109" s="99"/>
      <c r="Z109" s="99"/>
      <c r="AA109" s="99"/>
      <c r="AB109" s="99"/>
      <c r="AC109" s="99"/>
    </row>
    <row r="110" spans="1:29" ht="19.5" customHeight="1">
      <c r="A110" s="252"/>
      <c r="B110" s="252"/>
      <c r="C110" s="252"/>
      <c r="D110" s="252"/>
      <c r="E110" s="252"/>
      <c r="F110" s="252"/>
      <c r="G110" s="252"/>
      <c r="H110" s="252"/>
      <c r="I110" s="252"/>
      <c r="J110" s="252"/>
      <c r="K110" s="252"/>
      <c r="L110" s="252"/>
      <c r="M110" s="252"/>
      <c r="N110" s="244"/>
      <c r="O110" s="252"/>
      <c r="P110" s="105" t="s">
        <v>214</v>
      </c>
      <c r="Q110" s="109">
        <f>K43</f>
        <v>4973191.0415973943</v>
      </c>
      <c r="R110" s="271">
        <f>K44</f>
        <v>5965709.7200000007</v>
      </c>
      <c r="S110" s="270">
        <f>K42</f>
        <v>6271274.1879854966</v>
      </c>
      <c r="T110" s="100">
        <f t="shared" si="82"/>
        <v>5965709.7200000007</v>
      </c>
      <c r="U110" s="100" t="e">
        <f t="shared" si="83"/>
        <v>#N/A</v>
      </c>
      <c r="V110" s="99"/>
      <c r="W110" s="99"/>
      <c r="X110" s="99"/>
      <c r="Y110" s="99"/>
      <c r="Z110" s="99"/>
      <c r="AA110" s="99"/>
      <c r="AB110" s="99"/>
      <c r="AC110" s="99"/>
    </row>
    <row r="111" spans="1:29" ht="19.5" customHeight="1">
      <c r="A111" s="252"/>
      <c r="B111" s="252"/>
      <c r="C111" s="252"/>
      <c r="D111" s="252"/>
      <c r="E111" s="252"/>
      <c r="F111" s="252"/>
      <c r="G111" s="252"/>
      <c r="H111" s="252"/>
      <c r="I111" s="252"/>
      <c r="J111" s="252"/>
      <c r="K111" s="252"/>
      <c r="L111" s="252"/>
      <c r="M111" s="252"/>
      <c r="N111" s="244"/>
      <c r="O111" s="252"/>
      <c r="P111" s="105" t="s">
        <v>215</v>
      </c>
      <c r="Q111" s="109">
        <f>L43</f>
        <v>5566797.8236704189</v>
      </c>
      <c r="R111" s="271">
        <f>L44</f>
        <v>6737294.4000000004</v>
      </c>
      <c r="S111" s="270">
        <f>L42</f>
        <v>7019821.9230493736</v>
      </c>
      <c r="T111" s="100">
        <f t="shared" si="82"/>
        <v>6737294.4000000004</v>
      </c>
      <c r="U111" s="100" t="e">
        <f t="shared" si="83"/>
        <v>#N/A</v>
      </c>
      <c r="V111" s="99"/>
      <c r="W111" s="99"/>
      <c r="X111" s="99"/>
      <c r="Y111" s="99"/>
      <c r="Z111" s="99"/>
      <c r="AA111" s="99"/>
      <c r="AB111" s="99"/>
      <c r="AC111" s="99"/>
    </row>
    <row r="112" spans="1:29" ht="19.5" customHeight="1">
      <c r="A112" s="252"/>
      <c r="B112" s="252"/>
      <c r="C112" s="252"/>
      <c r="D112" s="252"/>
      <c r="E112" s="252"/>
      <c r="F112" s="252"/>
      <c r="G112" s="252"/>
      <c r="H112" s="252"/>
      <c r="I112" s="252"/>
      <c r="J112" s="252"/>
      <c r="K112" s="252"/>
      <c r="L112" s="252"/>
      <c r="M112" s="252"/>
      <c r="N112" s="244"/>
      <c r="O112" s="252"/>
      <c r="P112" s="105" t="s">
        <v>216</v>
      </c>
      <c r="Q112" s="109">
        <f>M43</f>
        <v>6197821.1084538158</v>
      </c>
      <c r="R112" s="271">
        <f>M44</f>
        <v>7519318.71</v>
      </c>
      <c r="S112" s="270">
        <f>M42</f>
        <v>7815552.4720629985</v>
      </c>
      <c r="T112" s="100">
        <f t="shared" si="82"/>
        <v>7519318.71</v>
      </c>
      <c r="U112" s="100" t="e">
        <f t="shared" si="83"/>
        <v>#N/A</v>
      </c>
      <c r="V112" s="99"/>
      <c r="W112" s="99"/>
      <c r="X112" s="99"/>
      <c r="Y112" s="99"/>
      <c r="Z112" s="99"/>
      <c r="AA112" s="99"/>
      <c r="AB112" s="99"/>
      <c r="AC112" s="99"/>
    </row>
    <row r="113" spans="1:29" ht="18" customHeight="1" thickBot="1">
      <c r="A113" s="252"/>
      <c r="B113" s="252"/>
      <c r="C113" s="252"/>
      <c r="D113" s="252"/>
      <c r="E113" s="252"/>
      <c r="F113" s="252"/>
      <c r="G113" s="252"/>
      <c r="H113" s="252"/>
      <c r="I113" s="252"/>
      <c r="J113" s="252"/>
      <c r="K113" s="252"/>
      <c r="L113" s="252"/>
      <c r="M113" s="252"/>
      <c r="N113" s="244"/>
      <c r="O113" s="252"/>
      <c r="P113" s="107"/>
      <c r="Q113" s="107"/>
      <c r="R113" s="107"/>
      <c r="S113" s="107"/>
      <c r="T113" s="107"/>
      <c r="U113" s="107"/>
      <c r="V113" s="107"/>
      <c r="W113" s="107"/>
      <c r="X113" s="107"/>
      <c r="Y113" s="107"/>
      <c r="Z113" s="107"/>
      <c r="AA113" s="107"/>
      <c r="AB113" s="107"/>
      <c r="AC113" s="107"/>
    </row>
    <row r="114" spans="1:29">
      <c r="A114" s="252"/>
      <c r="B114" s="252"/>
      <c r="C114" s="252"/>
      <c r="D114" s="252"/>
      <c r="E114" s="252"/>
      <c r="F114" s="252"/>
      <c r="G114" s="252"/>
      <c r="H114" s="252"/>
      <c r="I114" s="252"/>
      <c r="J114" s="252"/>
      <c r="K114" s="252"/>
      <c r="L114" s="252"/>
      <c r="M114" s="252"/>
      <c r="N114" s="244"/>
      <c r="O114" s="252"/>
    </row>
    <row r="115" spans="1:29" ht="20.25">
      <c r="A115" s="252"/>
      <c r="B115" s="252"/>
      <c r="C115" s="252"/>
      <c r="D115" s="252"/>
      <c r="E115" s="252"/>
      <c r="F115" s="252"/>
      <c r="G115" s="252"/>
      <c r="H115" s="252"/>
      <c r="I115" s="252"/>
      <c r="J115" s="252"/>
      <c r="K115" s="252"/>
      <c r="L115" s="252"/>
      <c r="M115" s="252"/>
      <c r="N115" s="244"/>
      <c r="O115" s="252"/>
      <c r="P115" s="1401" t="s">
        <v>388</v>
      </c>
      <c r="Q115" s="1401"/>
      <c r="R115" s="1401"/>
      <c r="S115" s="99"/>
    </row>
    <row r="116" spans="1:29">
      <c r="A116" s="252"/>
      <c r="B116" s="252"/>
      <c r="C116" s="252"/>
      <c r="D116" s="252"/>
      <c r="E116" s="252"/>
      <c r="F116" s="252"/>
      <c r="G116" s="252"/>
      <c r="H116" s="252"/>
      <c r="I116" s="252"/>
      <c r="J116" s="252"/>
      <c r="K116" s="252"/>
      <c r="L116" s="252"/>
      <c r="M116" s="252"/>
      <c r="N116" s="244"/>
      <c r="O116" s="252"/>
      <c r="P116" s="101" t="s">
        <v>193</v>
      </c>
      <c r="Q116" s="102">
        <v>2017</v>
      </c>
      <c r="R116" s="103">
        <v>2018</v>
      </c>
      <c r="S116" s="103">
        <v>2019</v>
      </c>
      <c r="T116" s="103">
        <v>2020</v>
      </c>
    </row>
    <row r="117" spans="1:29" ht="15.75">
      <c r="A117" s="252"/>
      <c r="B117" s="252"/>
      <c r="C117" s="252"/>
      <c r="D117" s="252"/>
      <c r="E117" s="252"/>
      <c r="F117" s="252"/>
      <c r="G117" s="252"/>
      <c r="H117" s="252"/>
      <c r="I117" s="252"/>
      <c r="J117" s="252"/>
      <c r="K117" s="252"/>
      <c r="L117" s="252"/>
      <c r="M117" s="252"/>
      <c r="N117" s="244"/>
      <c r="O117" s="252"/>
      <c r="P117" s="105" t="s">
        <v>205</v>
      </c>
      <c r="Q117" s="106">
        <v>21630408.969999999</v>
      </c>
      <c r="R117" s="106">
        <v>20218507.809999999</v>
      </c>
      <c r="S117" s="110">
        <v>19627391.469999999</v>
      </c>
      <c r="T117" s="269">
        <f>B5</f>
        <v>22576388.020000003</v>
      </c>
    </row>
    <row r="118" spans="1:29" ht="15.75">
      <c r="A118" s="252"/>
      <c r="B118" s="252"/>
      <c r="C118" s="252"/>
      <c r="D118" s="252"/>
      <c r="E118" s="252"/>
      <c r="F118" s="252"/>
      <c r="G118" s="252"/>
      <c r="H118" s="252"/>
      <c r="I118" s="252"/>
      <c r="J118" s="252"/>
      <c r="K118" s="252"/>
      <c r="L118" s="252"/>
      <c r="M118" s="252"/>
      <c r="N118" s="244"/>
      <c r="O118" s="252"/>
      <c r="P118" s="105" t="s">
        <v>206</v>
      </c>
      <c r="Q118" s="109">
        <v>16112125.869999999</v>
      </c>
      <c r="R118" s="109">
        <v>18505494.743999995</v>
      </c>
      <c r="S118" s="110">
        <v>21944976.73</v>
      </c>
      <c r="T118" s="271">
        <f>C5-T117</f>
        <v>21791063.839999996</v>
      </c>
    </row>
    <row r="119" spans="1:29" ht="15.75">
      <c r="A119" s="252"/>
      <c r="B119" s="252"/>
      <c r="C119" s="252"/>
      <c r="D119" s="252"/>
      <c r="E119" s="252"/>
      <c r="F119" s="252"/>
      <c r="G119" s="252"/>
      <c r="H119" s="252"/>
      <c r="I119" s="252"/>
      <c r="J119" s="252"/>
      <c r="K119" s="252"/>
      <c r="L119" s="252"/>
      <c r="M119" s="252"/>
      <c r="N119" s="244"/>
      <c r="O119" s="252"/>
      <c r="P119" s="105" t="s">
        <v>207</v>
      </c>
      <c r="Q119" s="109">
        <v>13398689.972399998</v>
      </c>
      <c r="R119" s="109">
        <v>14386851.480000002</v>
      </c>
      <c r="S119" s="110">
        <v>13314373.720000001</v>
      </c>
      <c r="T119" s="271">
        <f>D5-SUM(T117:T118)</f>
        <v>15811503.18999999</v>
      </c>
    </row>
    <row r="120" spans="1:29" ht="15.75">
      <c r="A120" s="252"/>
      <c r="B120" s="252"/>
      <c r="C120" s="252"/>
      <c r="D120" s="252"/>
      <c r="E120" s="252"/>
      <c r="F120" s="252"/>
      <c r="G120" s="252"/>
      <c r="H120" s="252"/>
      <c r="I120" s="252"/>
      <c r="J120" s="252"/>
      <c r="K120" s="252"/>
      <c r="L120" s="252"/>
      <c r="M120" s="252"/>
      <c r="N120" s="244"/>
      <c r="O120" s="252"/>
      <c r="P120" s="105" t="s">
        <v>208</v>
      </c>
      <c r="Q120" s="109">
        <v>9431754.055999998</v>
      </c>
      <c r="R120" s="109">
        <v>14310542</v>
      </c>
      <c r="S120" s="110">
        <v>15168339.01</v>
      </c>
      <c r="T120" s="271">
        <f>E5-SUM(T117:T119)</f>
        <v>8141870.1900000051</v>
      </c>
    </row>
    <row r="121" spans="1:29" ht="15.75">
      <c r="A121" s="252"/>
      <c r="B121" s="252"/>
      <c r="C121" s="252"/>
      <c r="D121" s="252"/>
      <c r="E121" s="252"/>
      <c r="F121" s="252"/>
      <c r="G121" s="252"/>
      <c r="H121" s="252"/>
      <c r="I121" s="252"/>
      <c r="J121" s="252"/>
      <c r="K121" s="252"/>
      <c r="L121" s="252"/>
      <c r="M121" s="252"/>
      <c r="N121" s="244"/>
      <c r="O121" s="252"/>
      <c r="P121" s="105" t="s">
        <v>209</v>
      </c>
      <c r="Q121" s="109">
        <v>14942507.159999998</v>
      </c>
      <c r="R121" s="109">
        <v>13990650.66</v>
      </c>
      <c r="S121" s="110">
        <v>17298289.949999999</v>
      </c>
      <c r="T121" s="271">
        <f>F5-SUM(T117:T120)</f>
        <v>8658705.8900000006</v>
      </c>
    </row>
    <row r="122" spans="1:29" ht="15.75">
      <c r="A122" s="252"/>
      <c r="B122" s="252"/>
      <c r="C122" s="252"/>
      <c r="D122" s="252"/>
      <c r="E122" s="252"/>
      <c r="F122" s="252"/>
      <c r="G122" s="252"/>
      <c r="H122" s="252"/>
      <c r="I122" s="252"/>
      <c r="J122" s="252"/>
      <c r="K122" s="252"/>
      <c r="L122" s="252"/>
      <c r="M122" s="252"/>
      <c r="N122" s="244"/>
      <c r="O122" s="252"/>
      <c r="P122" s="105" t="s">
        <v>210</v>
      </c>
      <c r="Q122" s="109">
        <v>12352637.82</v>
      </c>
      <c r="R122" s="109">
        <v>12895178.670000002</v>
      </c>
      <c r="S122" s="110">
        <v>14414922.41</v>
      </c>
      <c r="T122" s="271">
        <f>G5-SUM(T117:T121)</f>
        <v>11852236.879999995</v>
      </c>
    </row>
    <row r="123" spans="1:29" ht="15.75">
      <c r="A123" s="252"/>
      <c r="B123" s="252"/>
      <c r="C123" s="252"/>
      <c r="D123" s="252"/>
      <c r="E123" s="252"/>
      <c r="F123" s="252"/>
      <c r="G123" s="252"/>
      <c r="H123" s="252"/>
      <c r="I123" s="252"/>
      <c r="J123" s="252"/>
      <c r="K123" s="252"/>
      <c r="L123" s="252"/>
      <c r="M123" s="252"/>
      <c r="N123" s="244"/>
      <c r="O123" s="252"/>
      <c r="P123" s="105" t="s">
        <v>211</v>
      </c>
      <c r="Q123" s="109">
        <v>9287542.5999999996</v>
      </c>
      <c r="R123" s="109">
        <v>9990709.9299999997</v>
      </c>
      <c r="S123" s="110">
        <v>13399020.84</v>
      </c>
      <c r="T123" s="271">
        <f>H5-SUM(T117:T122)</f>
        <v>15414639.370000005</v>
      </c>
    </row>
    <row r="124" spans="1:29" ht="15.75">
      <c r="A124" s="243"/>
      <c r="B124" s="243"/>
      <c r="C124" s="243"/>
      <c r="D124" s="243"/>
      <c r="E124" s="243"/>
      <c r="F124" s="243"/>
      <c r="G124" s="243"/>
      <c r="H124" s="243"/>
      <c r="I124" s="243"/>
      <c r="J124" s="243"/>
      <c r="K124" s="252"/>
      <c r="L124" s="252"/>
      <c r="M124" s="252"/>
      <c r="N124" s="244"/>
      <c r="O124" s="252"/>
      <c r="P124" s="105" t="s">
        <v>212</v>
      </c>
      <c r="Q124" s="109">
        <v>10586197.82</v>
      </c>
      <c r="R124" s="109">
        <v>10857304.02</v>
      </c>
      <c r="S124" s="110">
        <v>12677183.73</v>
      </c>
      <c r="T124" s="271">
        <f>I5-SUM(T117:T123)</f>
        <v>16518182.859999985</v>
      </c>
    </row>
    <row r="125" spans="1:29" ht="15.75">
      <c r="A125" s="252"/>
      <c r="B125" s="252"/>
      <c r="C125" s="252"/>
      <c r="D125" s="252"/>
      <c r="E125" s="252"/>
      <c r="F125" s="252"/>
      <c r="G125" s="252"/>
      <c r="H125" s="252"/>
      <c r="I125" s="252"/>
      <c r="J125" s="252"/>
      <c r="K125" s="252"/>
      <c r="L125" s="252"/>
      <c r="M125" s="252"/>
      <c r="N125" s="244"/>
      <c r="O125" s="252"/>
      <c r="P125" s="105" t="s">
        <v>213</v>
      </c>
      <c r="Q125" s="109">
        <v>8731413.6800000016</v>
      </c>
      <c r="R125" s="109">
        <v>8910908.9900000002</v>
      </c>
      <c r="S125" s="110">
        <v>11703872.49</v>
      </c>
      <c r="T125" s="271">
        <f>J5-SUM(T117:T124)</f>
        <v>12575439.830000013</v>
      </c>
    </row>
    <row r="126" spans="1:29" ht="15.75">
      <c r="A126" s="252"/>
      <c r="B126" s="252"/>
      <c r="C126" s="252"/>
      <c r="D126" s="252"/>
      <c r="E126" s="252"/>
      <c r="F126" s="252"/>
      <c r="G126" s="252"/>
      <c r="H126" s="252"/>
      <c r="I126" s="252"/>
      <c r="J126" s="252"/>
      <c r="K126" s="252"/>
      <c r="L126" s="252"/>
      <c r="M126" s="252"/>
      <c r="N126" s="244"/>
      <c r="O126" s="252"/>
      <c r="P126" s="105" t="s">
        <v>214</v>
      </c>
      <c r="Q126" s="109">
        <v>9908463.2660000008</v>
      </c>
      <c r="R126" s="109">
        <v>10128183.039999999</v>
      </c>
      <c r="S126" s="110">
        <v>12693953</v>
      </c>
      <c r="T126" s="271">
        <f>K5-SUM(T117:T125)</f>
        <v>13091764.559999973</v>
      </c>
    </row>
    <row r="127" spans="1:29" ht="15.75">
      <c r="A127" s="252"/>
      <c r="B127" s="252"/>
      <c r="C127" s="252"/>
      <c r="D127" s="252"/>
      <c r="E127" s="252"/>
      <c r="F127" s="252"/>
      <c r="G127" s="252"/>
      <c r="H127" s="252"/>
      <c r="I127" s="252"/>
      <c r="J127" s="252"/>
      <c r="K127" s="252"/>
      <c r="L127" s="252"/>
      <c r="M127" s="252"/>
      <c r="N127" s="244"/>
      <c r="O127" s="252"/>
      <c r="P127" s="105" t="s">
        <v>215</v>
      </c>
      <c r="Q127" s="109">
        <v>9005705.9680000003</v>
      </c>
      <c r="R127" s="109">
        <v>8546466.620000001</v>
      </c>
      <c r="S127" s="110">
        <v>10822467.210000001</v>
      </c>
      <c r="T127" s="271">
        <f>L5-SUM(T117:T126)</f>
        <v>11490553.480000019</v>
      </c>
    </row>
    <row r="128" spans="1:29" ht="15.75">
      <c r="A128" s="252"/>
      <c r="B128" s="252"/>
      <c r="C128" s="252"/>
      <c r="D128" s="252"/>
      <c r="E128" s="252"/>
      <c r="F128" s="252"/>
      <c r="G128" s="252"/>
      <c r="H128" s="252"/>
      <c r="I128" s="252"/>
      <c r="J128" s="252"/>
      <c r="K128" s="252"/>
      <c r="L128" s="252"/>
      <c r="M128" s="252"/>
      <c r="N128" s="244"/>
      <c r="O128" s="252"/>
      <c r="P128" s="105" t="s">
        <v>216</v>
      </c>
      <c r="Q128" s="109">
        <v>7781556.9900000002</v>
      </c>
      <c r="R128" s="109">
        <v>8604464.0199999996</v>
      </c>
      <c r="S128" s="110">
        <v>11238229</v>
      </c>
      <c r="T128" s="271">
        <f>M5-SUM(T117:T127)</f>
        <v>11503465.950000048</v>
      </c>
    </row>
    <row r="129" spans="1:20">
      <c r="A129" s="252"/>
      <c r="B129" s="252"/>
      <c r="C129" s="252"/>
      <c r="D129" s="252"/>
      <c r="E129" s="252"/>
      <c r="F129" s="252"/>
      <c r="G129" s="252"/>
      <c r="H129" s="252"/>
      <c r="I129" s="252"/>
      <c r="J129" s="252"/>
      <c r="K129" s="252"/>
      <c r="L129" s="252"/>
      <c r="M129" s="252"/>
      <c r="N129" s="244"/>
      <c r="O129" s="252"/>
      <c r="T129" t="b">
        <f>SUM(T117:T128)='ARRECADAÇÃO MENSAL POR RECEITA'!R17</f>
        <v>1</v>
      </c>
    </row>
    <row r="130" spans="1:20">
      <c r="A130" s="252"/>
      <c r="B130" s="252"/>
      <c r="C130" s="252"/>
      <c r="D130" s="252"/>
      <c r="E130" s="252"/>
      <c r="F130" s="252"/>
      <c r="G130" s="252"/>
      <c r="H130" s="252"/>
      <c r="I130" s="252"/>
      <c r="J130" s="252"/>
      <c r="K130" s="252"/>
      <c r="L130" s="252"/>
      <c r="M130" s="252"/>
      <c r="N130" s="244"/>
      <c r="O130" s="252"/>
    </row>
    <row r="131" spans="1:20">
      <c r="A131" s="252"/>
      <c r="B131" s="252"/>
      <c r="C131" s="252"/>
      <c r="D131" s="252"/>
      <c r="E131" s="252"/>
      <c r="F131" s="252"/>
      <c r="G131" s="252"/>
      <c r="H131" s="252"/>
      <c r="I131" s="252"/>
      <c r="J131" s="252"/>
      <c r="K131" s="252"/>
      <c r="L131" s="252"/>
      <c r="M131" s="252"/>
      <c r="N131" s="244"/>
      <c r="O131" s="252"/>
    </row>
    <row r="132" spans="1:20">
      <c r="A132" s="252"/>
      <c r="B132" s="252"/>
      <c r="C132" s="252"/>
      <c r="D132" s="252"/>
      <c r="E132" s="252"/>
      <c r="F132" s="252"/>
      <c r="G132" s="252"/>
      <c r="H132" s="252"/>
      <c r="I132" s="252"/>
      <c r="J132" s="252"/>
      <c r="K132" s="252"/>
      <c r="L132" s="252"/>
      <c r="M132" s="252"/>
      <c r="N132" s="244"/>
      <c r="O132" s="252"/>
    </row>
    <row r="133" spans="1:20">
      <c r="A133" s="252"/>
      <c r="B133" s="252"/>
      <c r="C133" s="252"/>
      <c r="D133" s="252"/>
      <c r="E133" s="252"/>
      <c r="F133" s="252"/>
      <c r="G133" s="252"/>
      <c r="H133" s="252"/>
      <c r="I133" s="252"/>
      <c r="J133" s="252"/>
      <c r="K133" s="252"/>
      <c r="L133" s="252"/>
      <c r="M133" s="252"/>
      <c r="N133" s="244"/>
      <c r="O133" s="252"/>
    </row>
    <row r="134" spans="1:20">
      <c r="A134" s="252"/>
      <c r="B134" s="252"/>
      <c r="C134" s="252"/>
      <c r="D134" s="252"/>
      <c r="E134" s="252"/>
      <c r="F134" s="252"/>
      <c r="G134" s="252"/>
      <c r="H134" s="252"/>
      <c r="I134" s="252"/>
      <c r="J134" s="252"/>
      <c r="K134" s="252"/>
      <c r="L134" s="252"/>
      <c r="M134" s="252"/>
      <c r="N134" s="244"/>
      <c r="O134" s="252"/>
    </row>
  </sheetData>
  <mergeCells count="16">
    <mergeCell ref="S1:S3"/>
    <mergeCell ref="A40:M40"/>
    <mergeCell ref="A1:M1"/>
    <mergeCell ref="A8:M8"/>
    <mergeCell ref="A15:M15"/>
    <mergeCell ref="A21:M21"/>
    <mergeCell ref="A28:M28"/>
    <mergeCell ref="A34:M34"/>
    <mergeCell ref="P115:R115"/>
    <mergeCell ref="P83:R83"/>
    <mergeCell ref="P99:R99"/>
    <mergeCell ref="P2:R2"/>
    <mergeCell ref="P19:R19"/>
    <mergeCell ref="P35:R35"/>
    <mergeCell ref="P51:R51"/>
    <mergeCell ref="P67:R67"/>
  </mergeCells>
  <pageMargins left="0.511811024" right="0.511811024" top="0.78740157499999996" bottom="0.78740157499999996" header="0.31496062000000002" footer="0.31496062000000002"/>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1">
    <tabColor rgb="FFFF0000"/>
  </sheetPr>
  <dimension ref="A1:CU120"/>
  <sheetViews>
    <sheetView topLeftCell="B1" zoomScale="80" zoomScaleNormal="80" workbookViewId="0">
      <pane xSplit="1" ySplit="3" topLeftCell="BA4" activePane="bottomRight" state="frozen"/>
      <selection sqref="A1:AC1"/>
      <selection pane="topRight" sqref="A1:AC1"/>
      <selection pane="bottomLeft" sqref="A1:AC1"/>
      <selection pane="bottomRight" sqref="A1:AC1"/>
    </sheetView>
  </sheetViews>
  <sheetFormatPr defaultRowHeight="15"/>
  <cols>
    <col min="1" max="1" width="14.7109375" style="97" hidden="1" customWidth="1"/>
    <col min="2" max="2" width="13.140625" style="97" customWidth="1"/>
    <col min="3" max="3" width="34.140625" style="97" customWidth="1"/>
    <col min="4" max="4" width="17.42578125" style="97" customWidth="1"/>
    <col min="5" max="13" width="15" style="97" customWidth="1"/>
    <col min="14" max="31" width="15" customWidth="1"/>
    <col min="32" max="34" width="13.5703125" customWidth="1"/>
    <col min="35" max="36" width="12.85546875" customWidth="1"/>
    <col min="37" max="38" width="13.28515625" customWidth="1"/>
    <col min="39" max="40" width="11.85546875" customWidth="1"/>
    <col min="41" max="42" width="13.42578125" customWidth="1"/>
    <col min="43" max="43" width="11.140625" customWidth="1"/>
    <col min="44" max="48" width="16.85546875" customWidth="1"/>
    <col min="49" max="49" width="16.42578125" customWidth="1"/>
    <col min="50" max="50" width="15.7109375" customWidth="1"/>
    <col min="51" max="51" width="38.28515625" bestFit="1" customWidth="1"/>
    <col min="52" max="52" width="26.5703125" bestFit="1" customWidth="1"/>
    <col min="53" max="53" width="13" style="175" customWidth="1"/>
    <col min="54" max="54" width="28.140625" style="175" bestFit="1" customWidth="1"/>
    <col min="55" max="55" width="16.7109375" style="175" bestFit="1" customWidth="1"/>
    <col min="56" max="56" width="16.42578125" style="175" bestFit="1" customWidth="1"/>
    <col min="57" max="57" width="29.5703125" style="175" bestFit="1" customWidth="1"/>
    <col min="58" max="58" width="17.85546875" style="175" bestFit="1" customWidth="1"/>
    <col min="59" max="59" width="17.42578125" style="175" bestFit="1" customWidth="1"/>
    <col min="60" max="60" width="27.85546875" style="175" bestFit="1" customWidth="1"/>
    <col min="61" max="61" width="17.85546875" style="175" bestFit="1" customWidth="1"/>
    <col min="62" max="62" width="17.42578125" style="175" bestFit="1" customWidth="1"/>
    <col min="63" max="63" width="29.28515625" style="175" bestFit="1" customWidth="1"/>
    <col min="64" max="64" width="17.85546875" style="175" bestFit="1" customWidth="1"/>
    <col min="65" max="65" width="17.42578125" style="186" bestFit="1" customWidth="1"/>
    <col min="66" max="66" width="13" style="175" bestFit="1" customWidth="1"/>
    <col min="67" max="67" width="17.85546875" style="175" bestFit="1" customWidth="1"/>
    <col min="68" max="68" width="17.42578125" style="186" bestFit="1" customWidth="1"/>
    <col min="69" max="69" width="14.85546875" style="175" bestFit="1" customWidth="1"/>
    <col min="70" max="70" width="17.85546875" style="175" bestFit="1" customWidth="1"/>
    <col min="71" max="71" width="17.42578125" style="186" bestFit="1" customWidth="1"/>
    <col min="72" max="72" width="17.85546875" style="175" bestFit="1" customWidth="1"/>
    <col min="73" max="73" width="23.5703125" style="175" bestFit="1" customWidth="1"/>
    <col min="74" max="74" width="19.5703125" style="175" bestFit="1" customWidth="1"/>
    <col min="75" max="75" width="24.140625" style="186" bestFit="1" customWidth="1"/>
    <col min="76" max="76" width="17.42578125" style="175" bestFit="1" customWidth="1"/>
    <col min="77" max="77" width="23.140625" style="175" bestFit="1" customWidth="1"/>
    <col min="78" max="78" width="19.28515625" style="175" bestFit="1" customWidth="1"/>
    <col min="79" max="79" width="23.7109375" style="186" bestFit="1" customWidth="1"/>
    <col min="80" max="80" width="18.42578125" style="175" bestFit="1" customWidth="1"/>
    <col min="81" max="81" width="22.28515625" style="175" bestFit="1" customWidth="1"/>
    <col min="82" max="82" width="27.7109375" style="175" bestFit="1" customWidth="1"/>
    <col min="83" max="83" width="25.5703125" style="175" bestFit="1" customWidth="1"/>
    <col min="84" max="84" width="20.85546875" style="186" bestFit="1" customWidth="1"/>
    <col min="85" max="85" width="20.7109375" style="186" bestFit="1" customWidth="1"/>
    <col min="86" max="86" width="20.5703125" style="186" bestFit="1" customWidth="1"/>
    <col min="87" max="87" width="20.28515625" style="186" bestFit="1" customWidth="1"/>
    <col min="88" max="88" width="18.7109375" style="175" bestFit="1" customWidth="1"/>
    <col min="89" max="89" width="17.85546875" style="175" bestFit="1" customWidth="1"/>
    <col min="90" max="90" width="18" style="175" bestFit="1" customWidth="1"/>
    <col min="91" max="91" width="27.28515625" style="175" bestFit="1" customWidth="1"/>
    <col min="92" max="92" width="30.5703125" style="186" bestFit="1" customWidth="1"/>
    <col min="93" max="93" width="11.5703125" style="175" bestFit="1" customWidth="1"/>
    <col min="94" max="94" width="11.28515625" style="175" bestFit="1" customWidth="1"/>
    <col min="95" max="95" width="14.28515625" bestFit="1" customWidth="1"/>
    <col min="96" max="96" width="15.85546875" bestFit="1" customWidth="1"/>
    <col min="97" max="97" width="38.42578125" bestFit="1" customWidth="1"/>
    <col min="98" max="98" width="24.85546875" bestFit="1" customWidth="1"/>
    <col min="99" max="99" width="45.5703125" bestFit="1" customWidth="1"/>
  </cols>
  <sheetData>
    <row r="1" spans="1:99" ht="15.75" customHeight="1">
      <c r="E1" s="1410" t="s">
        <v>283</v>
      </c>
      <c r="F1" s="1410"/>
      <c r="G1" s="1410"/>
      <c r="H1" s="1410"/>
      <c r="I1" s="1410"/>
      <c r="J1" s="1410"/>
      <c r="K1" s="1410"/>
      <c r="L1" s="1410"/>
      <c r="M1" s="1410"/>
      <c r="N1" s="1410"/>
      <c r="O1" s="1410"/>
      <c r="P1" s="1410"/>
      <c r="Q1" s="1410"/>
      <c r="R1" s="1410"/>
      <c r="S1" s="1410"/>
      <c r="T1" s="1410"/>
      <c r="U1" s="1410"/>
      <c r="V1" s="1411"/>
      <c r="W1" s="1419" t="s">
        <v>282</v>
      </c>
      <c r="X1" s="1420"/>
      <c r="Y1" s="1420"/>
      <c r="Z1" s="1420"/>
      <c r="AA1" s="1420"/>
      <c r="AB1" s="1420"/>
      <c r="AC1" s="1420"/>
      <c r="AD1" s="1420"/>
      <c r="AE1" s="1420"/>
      <c r="AF1" s="1420"/>
      <c r="AG1" s="1420"/>
      <c r="AH1" s="1421"/>
      <c r="AI1" s="1418" t="s">
        <v>371</v>
      </c>
      <c r="AJ1" s="1418"/>
      <c r="AK1" s="1418"/>
      <c r="AL1" s="1418"/>
      <c r="AM1" s="1414" t="s">
        <v>281</v>
      </c>
      <c r="AN1" s="1415"/>
      <c r="AO1" s="1410" t="s">
        <v>280</v>
      </c>
      <c r="AP1" s="1410"/>
      <c r="AQ1" s="1410"/>
      <c r="AR1" s="1424" t="s">
        <v>376</v>
      </c>
      <c r="AS1" s="1425"/>
      <c r="AT1" s="1425"/>
      <c r="AU1" s="1425"/>
      <c r="AV1" s="1425"/>
      <c r="AW1" s="191"/>
      <c r="AX1" s="192"/>
    </row>
    <row r="2" spans="1:99" s="1184" customFormat="1" ht="48" customHeight="1">
      <c r="A2" s="1182"/>
      <c r="B2" s="1182"/>
      <c r="C2" s="1182"/>
      <c r="D2" s="1182"/>
      <c r="E2" s="1407" t="s">
        <v>183</v>
      </c>
      <c r="F2" s="1408"/>
      <c r="G2" s="1408"/>
      <c r="H2" s="1408"/>
      <c r="I2" s="1408"/>
      <c r="J2" s="1409"/>
      <c r="K2" s="1407" t="s">
        <v>184</v>
      </c>
      <c r="L2" s="1408"/>
      <c r="M2" s="1408"/>
      <c r="N2" s="1408"/>
      <c r="O2" s="1408"/>
      <c r="P2" s="1409"/>
      <c r="Q2" s="1412" t="s">
        <v>28</v>
      </c>
      <c r="R2" s="1412"/>
      <c r="S2" s="1412"/>
      <c r="T2" s="1412" t="s">
        <v>279</v>
      </c>
      <c r="U2" s="1412"/>
      <c r="V2" s="1413"/>
      <c r="W2" s="1412" t="s">
        <v>183</v>
      </c>
      <c r="X2" s="1412"/>
      <c r="Y2" s="1412"/>
      <c r="Z2" s="1412"/>
      <c r="AA2" s="1412" t="s">
        <v>184</v>
      </c>
      <c r="AB2" s="1412"/>
      <c r="AC2" s="1412"/>
      <c r="AD2" s="1412"/>
      <c r="AE2" s="1413" t="s">
        <v>28</v>
      </c>
      <c r="AF2" s="1426"/>
      <c r="AG2" s="1426"/>
      <c r="AH2" s="1427"/>
      <c r="AI2" s="1412" t="s">
        <v>183</v>
      </c>
      <c r="AJ2" s="1412"/>
      <c r="AK2" s="1412" t="s">
        <v>184</v>
      </c>
      <c r="AL2" s="1412"/>
      <c r="AM2" s="1416"/>
      <c r="AN2" s="1417"/>
      <c r="AO2" s="1410"/>
      <c r="AP2" s="1410"/>
      <c r="AQ2" s="1410"/>
      <c r="AR2" s="1424"/>
      <c r="AS2" s="1425"/>
      <c r="AT2" s="1425"/>
      <c r="AU2" s="1425"/>
      <c r="AV2" s="1425"/>
      <c r="AW2" s="1183"/>
      <c r="AX2" s="1183"/>
      <c r="BB2" s="1184" t="s">
        <v>277</v>
      </c>
      <c r="BC2" s="1184" t="s">
        <v>176</v>
      </c>
      <c r="BD2" s="1184" t="s">
        <v>236</v>
      </c>
      <c r="BE2" s="1184" t="s">
        <v>276</v>
      </c>
      <c r="BF2" s="1184" t="s">
        <v>176</v>
      </c>
      <c r="BG2" s="1184" t="s">
        <v>236</v>
      </c>
      <c r="BH2" s="1184" t="s">
        <v>275</v>
      </c>
      <c r="BI2" s="1184" t="s">
        <v>176</v>
      </c>
      <c r="BJ2" s="1184" t="s">
        <v>236</v>
      </c>
      <c r="BK2" s="1184" t="s">
        <v>237</v>
      </c>
      <c r="BL2" s="1184" t="s">
        <v>176</v>
      </c>
      <c r="BM2" s="1185" t="s">
        <v>236</v>
      </c>
      <c r="BN2" s="1184" t="s">
        <v>28</v>
      </c>
      <c r="BO2" s="1184" t="s">
        <v>176</v>
      </c>
      <c r="BP2" s="1185" t="s">
        <v>236</v>
      </c>
      <c r="BQ2" s="1184" t="s">
        <v>185</v>
      </c>
      <c r="BR2" s="1184" t="s">
        <v>176</v>
      </c>
      <c r="BS2" s="1185" t="s">
        <v>236</v>
      </c>
      <c r="BT2" s="1184" t="s">
        <v>235</v>
      </c>
      <c r="BU2" s="1186" t="s">
        <v>1126</v>
      </c>
      <c r="BV2" s="1184" t="s">
        <v>230</v>
      </c>
      <c r="BW2" s="1185" t="s">
        <v>1115</v>
      </c>
      <c r="BX2" s="1184" t="s">
        <v>234</v>
      </c>
      <c r="BY2" s="1186" t="s">
        <v>1127</v>
      </c>
      <c r="BZ2" s="1184" t="s">
        <v>229</v>
      </c>
      <c r="CA2" s="1185" t="s">
        <v>1116</v>
      </c>
      <c r="CB2" s="1184" t="s">
        <v>233</v>
      </c>
      <c r="CC2" s="1184" t="s">
        <v>369</v>
      </c>
      <c r="CD2" s="1184" t="s">
        <v>274</v>
      </c>
      <c r="CE2" s="1184" t="s">
        <v>273</v>
      </c>
      <c r="CF2" s="1185" t="s">
        <v>372</v>
      </c>
      <c r="CG2" s="1185" t="s">
        <v>230</v>
      </c>
      <c r="CH2" s="1185" t="s">
        <v>373</v>
      </c>
      <c r="CI2" s="1185" t="s">
        <v>229</v>
      </c>
      <c r="CJ2" s="1184" t="s">
        <v>228</v>
      </c>
      <c r="CK2" s="1184" t="s">
        <v>227</v>
      </c>
      <c r="CL2" s="1184" t="s">
        <v>226</v>
      </c>
      <c r="CM2" s="1184" t="s">
        <v>225</v>
      </c>
      <c r="CN2" s="1185" t="s">
        <v>1117</v>
      </c>
      <c r="CO2" s="1184" t="s">
        <v>183</v>
      </c>
      <c r="CP2" s="1184" t="s">
        <v>184</v>
      </c>
      <c r="CQ2" s="1184" t="s">
        <v>28</v>
      </c>
      <c r="CR2" s="1184" t="s">
        <v>185</v>
      </c>
      <c r="CS2" s="1184" t="s">
        <v>587</v>
      </c>
      <c r="CT2" s="1184" t="s">
        <v>1118</v>
      </c>
      <c r="CU2" s="1184" t="s">
        <v>1119</v>
      </c>
    </row>
    <row r="3" spans="1:99" s="204" customFormat="1" ht="60">
      <c r="A3" s="67" t="s">
        <v>278</v>
      </c>
      <c r="B3" s="67" t="s">
        <v>182</v>
      </c>
      <c r="C3" s="67" t="s">
        <v>447</v>
      </c>
      <c r="D3" s="67" t="s">
        <v>272</v>
      </c>
      <c r="E3" s="67" t="s">
        <v>277</v>
      </c>
      <c r="F3" s="142" t="s">
        <v>176</v>
      </c>
      <c r="G3" s="142" t="s">
        <v>236</v>
      </c>
      <c r="H3" s="142" t="s">
        <v>276</v>
      </c>
      <c r="I3" s="142" t="s">
        <v>176</v>
      </c>
      <c r="J3" s="142" t="s">
        <v>236</v>
      </c>
      <c r="K3" s="142" t="s">
        <v>275</v>
      </c>
      <c r="L3" s="142" t="s">
        <v>176</v>
      </c>
      <c r="M3" s="142" t="s">
        <v>236</v>
      </c>
      <c r="N3" s="142" t="s">
        <v>237</v>
      </c>
      <c r="O3" s="142" t="s">
        <v>176</v>
      </c>
      <c r="P3" s="142" t="s">
        <v>236</v>
      </c>
      <c r="Q3" s="142" t="s">
        <v>28</v>
      </c>
      <c r="R3" s="142" t="s">
        <v>176</v>
      </c>
      <c r="S3" s="142" t="s">
        <v>236</v>
      </c>
      <c r="T3" s="142" t="s">
        <v>185</v>
      </c>
      <c r="U3" s="142" t="s">
        <v>176</v>
      </c>
      <c r="V3" s="67" t="s">
        <v>236</v>
      </c>
      <c r="W3" s="142" t="s">
        <v>235</v>
      </c>
      <c r="X3" s="142" t="s">
        <v>1152</v>
      </c>
      <c r="Y3" s="142" t="s">
        <v>230</v>
      </c>
      <c r="Z3" s="142" t="s">
        <v>1115</v>
      </c>
      <c r="AA3" s="142" t="s">
        <v>234</v>
      </c>
      <c r="AB3" s="142" t="s">
        <v>1153</v>
      </c>
      <c r="AC3" s="142" t="s">
        <v>229</v>
      </c>
      <c r="AD3" s="142" t="s">
        <v>1116</v>
      </c>
      <c r="AE3" s="142" t="s">
        <v>1131</v>
      </c>
      <c r="AF3" s="142" t="s">
        <v>369</v>
      </c>
      <c r="AG3" s="142" t="s">
        <v>274</v>
      </c>
      <c r="AH3" s="142" t="s">
        <v>273</v>
      </c>
      <c r="AI3" s="67" t="s">
        <v>372</v>
      </c>
      <c r="AJ3" s="67" t="s">
        <v>230</v>
      </c>
      <c r="AK3" s="67" t="s">
        <v>373</v>
      </c>
      <c r="AL3" s="67" t="s">
        <v>229</v>
      </c>
      <c r="AM3" s="141" t="s">
        <v>228</v>
      </c>
      <c r="AN3" s="141" t="s">
        <v>227</v>
      </c>
      <c r="AO3" s="141" t="s">
        <v>226</v>
      </c>
      <c r="AP3" s="67" t="s">
        <v>225</v>
      </c>
      <c r="AQ3" s="67" t="s">
        <v>1117</v>
      </c>
      <c r="AR3" s="67" t="s">
        <v>183</v>
      </c>
      <c r="AS3" s="67" t="s">
        <v>184</v>
      </c>
      <c r="AT3" s="67" t="s">
        <v>28</v>
      </c>
      <c r="AU3" s="67" t="s">
        <v>185</v>
      </c>
      <c r="AV3" s="67" t="s">
        <v>587</v>
      </c>
      <c r="AW3" s="1195" t="s">
        <v>1118</v>
      </c>
      <c r="AX3" s="1195" t="s">
        <v>1119</v>
      </c>
      <c r="AZ3" s="205" t="s">
        <v>182</v>
      </c>
      <c r="BA3" s="206" t="s">
        <v>272</v>
      </c>
      <c r="BB3" s="253" t="s">
        <v>271</v>
      </c>
      <c r="BC3" s="253" t="s">
        <v>270</v>
      </c>
      <c r="BD3" s="253" t="s">
        <v>269</v>
      </c>
      <c r="BE3" s="253" t="s">
        <v>268</v>
      </c>
      <c r="BF3" s="253" t="s">
        <v>266</v>
      </c>
      <c r="BG3" s="253" t="s">
        <v>265</v>
      </c>
      <c r="BH3" s="253" t="s">
        <v>267</v>
      </c>
      <c r="BI3" s="253" t="s">
        <v>262</v>
      </c>
      <c r="BJ3" s="253" t="s">
        <v>261</v>
      </c>
      <c r="BK3" s="253" t="s">
        <v>264</v>
      </c>
      <c r="BL3" s="253" t="s">
        <v>259</v>
      </c>
      <c r="BM3" s="253" t="s">
        <v>258</v>
      </c>
      <c r="BN3" s="253" t="s">
        <v>263</v>
      </c>
      <c r="BO3" s="253" t="s">
        <v>394</v>
      </c>
      <c r="BP3" s="253" t="s">
        <v>395</v>
      </c>
      <c r="BQ3" s="253" t="s">
        <v>260</v>
      </c>
      <c r="BR3" s="253" t="s">
        <v>396</v>
      </c>
      <c r="BS3" s="253" t="s">
        <v>397</v>
      </c>
      <c r="BT3" s="253" t="s">
        <v>257</v>
      </c>
      <c r="BU3" s="253" t="s">
        <v>1137</v>
      </c>
      <c r="BV3" s="253" t="s">
        <v>1101</v>
      </c>
      <c r="BW3" s="253" t="s">
        <v>1120</v>
      </c>
      <c r="BX3" s="253" t="s">
        <v>256</v>
      </c>
      <c r="BY3" s="253" t="s">
        <v>1138</v>
      </c>
      <c r="BZ3" s="253" t="s">
        <v>255</v>
      </c>
      <c r="CA3" s="253" t="s">
        <v>1121</v>
      </c>
      <c r="CB3" s="253" t="s">
        <v>1132</v>
      </c>
      <c r="CC3" s="253" t="s">
        <v>370</v>
      </c>
      <c r="CD3" s="253" t="s">
        <v>254</v>
      </c>
      <c r="CE3" s="253" t="s">
        <v>253</v>
      </c>
      <c r="CF3" s="253" t="s">
        <v>374</v>
      </c>
      <c r="CG3" s="253" t="s">
        <v>252</v>
      </c>
      <c r="CH3" s="253" t="s">
        <v>375</v>
      </c>
      <c r="CI3" s="253" t="s">
        <v>251</v>
      </c>
      <c r="CJ3" s="253" t="s">
        <v>250</v>
      </c>
      <c r="CK3" s="253" t="s">
        <v>249</v>
      </c>
      <c r="CL3" s="253" t="s">
        <v>248</v>
      </c>
      <c r="CM3" s="253" t="s">
        <v>247</v>
      </c>
      <c r="CN3" s="253" t="s">
        <v>1122</v>
      </c>
      <c r="CO3" s="253" t="s">
        <v>381</v>
      </c>
      <c r="CP3" s="253" t="s">
        <v>382</v>
      </c>
      <c r="CQ3" s="253" t="s">
        <v>383</v>
      </c>
      <c r="CR3" s="253" t="s">
        <v>384</v>
      </c>
      <c r="CS3" s="253" t="s">
        <v>1125</v>
      </c>
      <c r="CT3" s="253" t="s">
        <v>1123</v>
      </c>
      <c r="CU3" s="253" t="s">
        <v>1124</v>
      </c>
    </row>
    <row r="4" spans="1:99">
      <c r="A4" s="139">
        <v>1</v>
      </c>
      <c r="B4" s="66" t="s">
        <v>87</v>
      </c>
      <c r="C4" s="197" t="s">
        <v>0</v>
      </c>
      <c r="D4" s="139" t="s">
        <v>242</v>
      </c>
      <c r="E4" s="138">
        <f>VLOOKUP($C$4:$C$30,'TOTAL POR UF'!$A$5:$B$31,2,)</f>
        <v>122266.952</v>
      </c>
      <c r="F4" s="138">
        <f>VLOOKUP($B$4:$B$31,'Evolução das Receitas'!$P$214:$Q$241,2,0)</f>
        <v>92896.567999999999</v>
      </c>
      <c r="G4" s="137">
        <f t="shared" ref="G4:G31" si="0">E4/F4</f>
        <v>1.316162207413303</v>
      </c>
      <c r="H4" s="138">
        <f>VLOOKUP($C$4:$C$31,'TOTAL POR UF'!$A$5:$C$31,3,)</f>
        <v>35448.703999999998</v>
      </c>
      <c r="I4" s="138">
        <f>VLOOKUP($B$4:$B$31,'Evolução das Receitas'!$P$214:$R$241,3,0)</f>
        <v>19126.64</v>
      </c>
      <c r="J4" s="137">
        <f t="shared" ref="J4:J31" si="1">IFERROR(H4/I4,)</f>
        <v>1.853368077194949</v>
      </c>
      <c r="K4" s="138">
        <f>VLOOKUP($C$4:$C$31,'TOTAL POR UF'!$A$5:$D$31,4,)</f>
        <v>18856.16</v>
      </c>
      <c r="L4" s="138">
        <f>VLOOKUP($B$4:$B$31,'Evolução das Receitas'!$P$214:$S$241,4,)</f>
        <v>15220.45</v>
      </c>
      <c r="M4" s="137">
        <f t="shared" ref="M4:M31" si="2">K4/L4</f>
        <v>1.2388700728296469</v>
      </c>
      <c r="N4" s="138">
        <f>VLOOKUP($C$4:$C$31,'TOTAL POR UF'!$A$5:$E$31,5,)</f>
        <v>5183.0800000000008</v>
      </c>
      <c r="O4" s="138">
        <f>VLOOKUP($B$4:$B$31,'Evolução das Receitas'!$P$214:$T$241,5,0)</f>
        <v>2763.9080000000004</v>
      </c>
      <c r="P4" s="137">
        <f t="shared" ref="P4:P31" si="3">IFERROR(N4/O4,)</f>
        <v>1.875272259423975</v>
      </c>
      <c r="Q4" s="138">
        <f>VLOOKUP($C$4:$C$31,'TOTAL POR UF'!$A$5:$F$31,6,)</f>
        <v>209327.03200000001</v>
      </c>
      <c r="R4" s="138">
        <f>VLOOKUP($B$4:$B$31,'Evolução das Receitas'!$P$214:$U$241,6,0)</f>
        <v>156406.56200000001</v>
      </c>
      <c r="S4" s="137">
        <f t="shared" ref="S4:S31" si="4">Q4/R4</f>
        <v>1.3383519803983672</v>
      </c>
      <c r="T4" s="138">
        <f>VLOOKUP($C$4:$C$31,'TOTAL POR UF'!$A$5:$T$31, 20,0)</f>
        <v>24638.992000000002</v>
      </c>
      <c r="U4" s="138">
        <f>VLOOKUP($B$4:$B$31,'Evolução das Receitas'!$P$214:$V$241,7,0)</f>
        <v>23519.982000000004</v>
      </c>
      <c r="V4" s="137">
        <f t="shared" ref="V4:V31" si="5">T4/U4</f>
        <v>1.0475769921932763</v>
      </c>
      <c r="W4" s="34">
        <f>VLOOKUP($B$4:$B$30,'Anuid PF'!$A$7:$G$33,7,)</f>
        <v>635</v>
      </c>
      <c r="X4" s="34">
        <f>VLOOKUP($B$4:$B$30,'Relatórios - SICCAU e IGEO'!$A$3:$E$29,5,)</f>
        <v>78</v>
      </c>
      <c r="Y4" s="34">
        <f>VLOOKUP($B$4:$B$30,'Anuid PF'!$A$7:$B$33,2,)</f>
        <v>586</v>
      </c>
      <c r="Z4" s="189">
        <f>IFERROR(W4/Y4,)</f>
        <v>1.0836177474402731</v>
      </c>
      <c r="AA4" s="34">
        <f>VLOOKUP($B$4:$B$30,'Anuid PJ'!$A$6:$F$32,6,)</f>
        <v>132</v>
      </c>
      <c r="AB4" s="1005">
        <f>VLOOKUP($B$4:$B$30,'Relatórios - SICCAU e IGEO'!$A$3:$J$29,10,)</f>
        <v>18</v>
      </c>
      <c r="AC4" s="34">
        <f>VLOOKUP($B$4:$B$30,'Anuid PJ'!$A$6:$B$32,2,)</f>
        <v>122</v>
      </c>
      <c r="AD4" s="39">
        <f t="shared" ref="AD4:AD31" si="6">IFERROR(AA4/AC4,)</f>
        <v>1.0819672131147542</v>
      </c>
      <c r="AE4" s="34">
        <f>VLOOKUP($B$4:$B$30,RRT!$A$5:$F$31,6,)</f>
        <v>2685</v>
      </c>
      <c r="AF4" s="34">
        <f>VLOOKUP($B$4:$B$30,RRT!$A$5:$B$31,2,)</f>
        <v>1996</v>
      </c>
      <c r="AG4" s="199">
        <f>AE4/W4</f>
        <v>4.228346456692913</v>
      </c>
      <c r="AH4" s="136">
        <f>VLOOKUP($B$4:$B$30,'RRT POR PROFISSIONAL'!$A$4:$D$35,4,)</f>
        <v>3.4061433447098977</v>
      </c>
      <c r="AI4" s="39">
        <f>VLOOKUP($B$4:$B$30,'ADIMPLÊNCIA PF'!$A$4:$L$30,12,)</f>
        <v>0.70270270270270274</v>
      </c>
      <c r="AJ4" s="39">
        <f>VLOOKUP($B$4:$B$30,'ADIMPLÊNCIA PF'!$A$4:$E$30,5,)</f>
        <v>0.55226480836236935</v>
      </c>
      <c r="AK4" s="39">
        <f>VLOOKUP($B$4:$B$30,'ADIMPLÊNCIA PJ'!$A$4:$I$30,9,)</f>
        <v>0.42424242424242425</v>
      </c>
      <c r="AL4" s="39">
        <f>VLOOKUP($B$4:$B$30,'ADIMPLÊNCIA PJ'!$A$4:$D$30,4,)</f>
        <v>0.34426229508196721</v>
      </c>
      <c r="AM4" s="34">
        <f>VLOOKUP($B$4:$B$30,'PF - Gênero'!$A$32:$B$58,2,)</f>
        <v>344</v>
      </c>
      <c r="AN4" s="34">
        <f>VLOOKUP($B$4:$B$30,'PF - Gênero'!$A$32:$C$58,3,)</f>
        <v>291</v>
      </c>
      <c r="AO4" s="34">
        <f>VLOOKUP($B$4:$B$30,'Relatórios - SICCAU e IGEO'!$A$3:$F$29,6,)</f>
        <v>66</v>
      </c>
      <c r="AP4" s="34">
        <v>39</v>
      </c>
      <c r="AQ4" s="189">
        <f>AO4/AP4</f>
        <v>1.6923076923076923</v>
      </c>
      <c r="AR4" s="39">
        <f>VLOOKUP($B$4:$B$30,'Comparativo YoY'!$A$8:$EB$34,132,)/100</f>
        <v>0.19080120447287258</v>
      </c>
      <c r="AS4" s="39">
        <f>VLOOKUP($B$4:$B$30,'Comparativo YoY'!$A$8:$EC$34,133,)/100</f>
        <v>5.1571685685959781E-2</v>
      </c>
      <c r="AT4" s="39">
        <f>VLOOKUP($B$4:$B$30,'Comparativo YoY'!$A$8:$ED$34,134,)/100</f>
        <v>0.17411618697565928</v>
      </c>
      <c r="AU4" s="39">
        <f>VLOOKUP($B$4:$B$30,'Comparativo YoY'!$A$8:$EE$34,135,)/100</f>
        <v>9.1481594493037333E-2</v>
      </c>
      <c r="AV4" s="34">
        <f>VLOOKUP($B$4:$B$30,'Comparativo YoY'!$A$8:$EA$34,131,)</f>
        <v>356163.95199999999</v>
      </c>
      <c r="AW4" s="39">
        <f>((E4+K4+H4+N4+Q4+T4)/AV4)-1</f>
        <v>0.16721784353965163</v>
      </c>
      <c r="AX4" s="39">
        <f>(E4+H4+K4+N4+Q4+T4)/(F4+I4+L4+O4+R4+U4)</f>
        <v>1.3413203212773193</v>
      </c>
      <c r="AZ4" s="253" t="s">
        <v>102</v>
      </c>
      <c r="BA4" s="1022" t="s">
        <v>243</v>
      </c>
      <c r="BB4" s="1123">
        <v>3094576</v>
      </c>
      <c r="BC4" s="1123">
        <v>2702588.2</v>
      </c>
      <c r="BD4" s="184">
        <v>1.1450416308337319</v>
      </c>
      <c r="BE4" s="1123">
        <v>977570.23200000008</v>
      </c>
      <c r="BF4" s="1123">
        <v>704597.22</v>
      </c>
      <c r="BG4" s="184">
        <v>1.3874171005102747</v>
      </c>
      <c r="BH4" s="1123">
        <v>581652.55999999994</v>
      </c>
      <c r="BI4" s="1123">
        <v>447868.44000000006</v>
      </c>
      <c r="BJ4" s="184">
        <v>1.2987129881266022</v>
      </c>
      <c r="BK4" s="1123">
        <v>233059.16000000003</v>
      </c>
      <c r="BL4" s="1123">
        <v>187730.11</v>
      </c>
      <c r="BM4" s="184">
        <v>1.2414586024586043</v>
      </c>
      <c r="BN4" s="1123">
        <v>5699577.9440000001</v>
      </c>
      <c r="BO4" s="1123">
        <v>5482379.04</v>
      </c>
      <c r="BP4" s="184">
        <v>1.0396176372365526</v>
      </c>
      <c r="BQ4" s="1123">
        <v>461967.66400000005</v>
      </c>
      <c r="BR4" s="1123">
        <v>370038.78</v>
      </c>
      <c r="BS4" s="1123">
        <v>1.2484304050510597</v>
      </c>
      <c r="BT4" s="187">
        <v>12788</v>
      </c>
      <c r="BU4" s="1123">
        <v>982</v>
      </c>
      <c r="BV4" s="187">
        <v>12494</v>
      </c>
      <c r="BW4" s="184">
        <v>1.0235312950216104</v>
      </c>
      <c r="BX4" s="187">
        <v>2666</v>
      </c>
      <c r="BY4" s="1123">
        <v>73</v>
      </c>
      <c r="BZ4" s="187">
        <v>2643</v>
      </c>
      <c r="CA4" s="184">
        <v>1.0087022323117669</v>
      </c>
      <c r="CB4" s="1072">
        <v>74516</v>
      </c>
      <c r="CC4" s="1072">
        <v>69964</v>
      </c>
      <c r="CD4" s="1071">
        <v>5.8270253362527367</v>
      </c>
      <c r="CE4" s="1071">
        <v>5.5998079077957419</v>
      </c>
      <c r="CF4" s="184">
        <v>0.7442269276867759</v>
      </c>
      <c r="CG4" s="184">
        <v>0.65179975175837812</v>
      </c>
      <c r="CH4" s="184">
        <v>0.57464366091522878</v>
      </c>
      <c r="CI4" s="184">
        <v>0.44646235338630347</v>
      </c>
      <c r="CJ4" s="187">
        <v>4331</v>
      </c>
      <c r="CK4" s="187">
        <v>8457</v>
      </c>
      <c r="CL4" s="187">
        <v>995</v>
      </c>
      <c r="CM4" s="187">
        <v>810</v>
      </c>
      <c r="CN4" s="184">
        <v>1.228395061728395</v>
      </c>
      <c r="CO4" s="184">
        <v>0.14569134867175776</v>
      </c>
      <c r="CP4" s="184">
        <v>0.10283074210055049</v>
      </c>
      <c r="CQ4" s="184">
        <v>-1.5908861368139356E-2</v>
      </c>
      <c r="CR4" s="184">
        <v>7.9457543122113353E-2</v>
      </c>
      <c r="CS4" s="1123">
        <v>10512739.800000001</v>
      </c>
      <c r="CT4" s="184">
        <v>5.0953773249481804E-2</v>
      </c>
      <c r="CU4" s="184">
        <v>1.1165415111761963</v>
      </c>
    </row>
    <row r="5" spans="1:99">
      <c r="A5" s="139">
        <v>2</v>
      </c>
      <c r="B5" s="66" t="s">
        <v>90</v>
      </c>
      <c r="C5" s="197" t="s">
        <v>3</v>
      </c>
      <c r="D5" s="139" t="s">
        <v>242</v>
      </c>
      <c r="E5" s="138">
        <f>VLOOKUP($C$4:$C$31,'TOTAL POR UF'!$A$5:$B$31,2,)</f>
        <v>396572.79200000002</v>
      </c>
      <c r="F5" s="138">
        <f>VLOOKUP($B$4:$B$31,'Evolução das Receitas'!$P$214:$Q$241,2,0)</f>
        <v>392979.95</v>
      </c>
      <c r="G5" s="137">
        <f t="shared" si="0"/>
        <v>1.0091425580363578</v>
      </c>
      <c r="H5" s="138">
        <f>VLOOKUP($C$4:$C$31,'TOTAL POR UF'!$A$5:$C$31,3,)</f>
        <v>178100.65600000002</v>
      </c>
      <c r="I5" s="138">
        <f>VLOOKUP($B$4:$B$31,'Evolução das Receitas'!$P$214:$R$241,3,0)</f>
        <v>134347.413</v>
      </c>
      <c r="J5" s="137">
        <f t="shared" si="1"/>
        <v>1.3256723893894409</v>
      </c>
      <c r="K5" s="138">
        <f>VLOOKUP($C$4:$C$31,'TOTAL POR UF'!$A$5:$D$31,4,)</f>
        <v>37945.152000000002</v>
      </c>
      <c r="L5" s="138">
        <f>VLOOKUP($B$4:$B$31,'Evolução das Receitas'!$P$214:$S$241,4,)</f>
        <v>38909.86</v>
      </c>
      <c r="M5" s="137">
        <f t="shared" si="2"/>
        <v>0.97520659287902867</v>
      </c>
      <c r="N5" s="138">
        <f>VLOOKUP($C$4:$C$31,'TOTAL POR UF'!$A$5:$E$31,5,)</f>
        <v>18235.488000000001</v>
      </c>
      <c r="O5" s="138">
        <f>VLOOKUP($B$4:$B$31,'Evolução das Receitas'!$P$214:$T$241,5,0)</f>
        <v>15180.37</v>
      </c>
      <c r="P5" s="137">
        <f t="shared" si="3"/>
        <v>1.2012545148767784</v>
      </c>
      <c r="Q5" s="138">
        <f>VLOOKUP($C$4:$C$31,'TOTAL POR UF'!$A$5:$F$31,6,)</f>
        <v>488603.72000000009</v>
      </c>
      <c r="R5" s="138">
        <f>VLOOKUP($B$4:$B$31,'Evolução das Receitas'!$P$214:$U$241,6,0)</f>
        <v>377303.4</v>
      </c>
      <c r="S5" s="137">
        <f t="shared" si="4"/>
        <v>1.294988913431472</v>
      </c>
      <c r="T5" s="138">
        <f>VLOOKUP($C$4:$C$31,'TOTAL POR UF'!$A$5:$T$31, 20,0)</f>
        <v>75453.490000000005</v>
      </c>
      <c r="U5" s="138">
        <f>VLOOKUP($B$4:$B$31,'Evolução das Receitas'!$P$214:$V$241,7,0)</f>
        <v>58272.800000000003</v>
      </c>
      <c r="V5" s="137">
        <f t="shared" si="5"/>
        <v>1.2948320657322112</v>
      </c>
      <c r="W5" s="34">
        <f>VLOOKUP($B$4:$B$30,'Anuid PF'!$A$7:$G$33,7,)</f>
        <v>1744</v>
      </c>
      <c r="X5" s="34">
        <f>VLOOKUP($B$4:$B$30,'Relatórios - SICCAU e IGEO'!$A$3:$E$29,5,)</f>
        <v>-154</v>
      </c>
      <c r="Y5" s="34">
        <f>VLOOKUP($B$4:$B$30,'Anuid PF'!$A$7:$B$33,2,)</f>
        <v>1797</v>
      </c>
      <c r="Z5" s="39">
        <f t="shared" ref="Z5:Z29" si="7">IFERROR(W5/Y5,)</f>
        <v>0.97050639955481355</v>
      </c>
      <c r="AA5" s="34">
        <f>VLOOKUP($B$4:$B$30,'Anuid PJ'!$A$6:$F$32,6,)</f>
        <v>238</v>
      </c>
      <c r="AB5" s="1005">
        <f>VLOOKUP($B$4:$B$30,'Relatórios - SICCAU e IGEO'!$A$3:$J$29,10,)</f>
        <v>-9</v>
      </c>
      <c r="AC5" s="34">
        <f>VLOOKUP($B$4:$B$30,'Anuid PJ'!$A$6:$B$32,2,)</f>
        <v>222</v>
      </c>
      <c r="AD5" s="39">
        <f t="shared" si="6"/>
        <v>1.072072072072072</v>
      </c>
      <c r="AE5" s="34">
        <f>VLOOKUP($B$4:$B$30,RRT!$A$5:$F$31,6,)</f>
        <v>6192</v>
      </c>
      <c r="AF5" s="34">
        <f>VLOOKUP($B$4:$B$30,RRT!$A$5:$B$31,2,)</f>
        <v>4815</v>
      </c>
      <c r="AG5" s="199">
        <f t="shared" ref="AG5:AG30" si="8">AE5/W5</f>
        <v>3.5504587155963301</v>
      </c>
      <c r="AH5" s="136">
        <f>VLOOKUP($B$4:$B$30,'RRT POR PROFISSIONAL'!$A$4:$D$35,4,)</f>
        <v>2.679465776293823</v>
      </c>
      <c r="AI5" s="39">
        <f>VLOOKUP($B$4:$B$30,'ADIMPLÊNCIA PF'!$A$4:$L$30,12,)</f>
        <v>0.69890616004605643</v>
      </c>
      <c r="AJ5" s="39">
        <f>VLOOKUP($B$4:$B$30,'ADIMPLÊNCIA PF'!$A$4:$E$30,5,)</f>
        <v>0.52188552188552184</v>
      </c>
      <c r="AK5" s="39">
        <f>VLOOKUP($B$4:$B$30,'ADIMPLÊNCIA PJ'!$A$4:$I$30,9,)</f>
        <v>0.44117647058823528</v>
      </c>
      <c r="AL5" s="39">
        <f>VLOOKUP($B$4:$B$30,'ADIMPLÊNCIA PJ'!$A$4:$D$30,4,)</f>
        <v>0.36036036036036034</v>
      </c>
      <c r="AM5" s="34">
        <f>VLOOKUP($B$4:$B$30,'PF - Gênero'!$A$32:$B$58,2,)</f>
        <v>685</v>
      </c>
      <c r="AN5" s="34">
        <f>VLOOKUP($B$4:$B$30,'PF - Gênero'!$A$32:$C$58,3,)</f>
        <v>1059</v>
      </c>
      <c r="AO5" s="34">
        <f>VLOOKUP($B$4:$B$30,'Relatórios - SICCAU e IGEO'!$A$3:$F$29,6,)</f>
        <v>103</v>
      </c>
      <c r="AP5" s="34">
        <v>45</v>
      </c>
      <c r="AQ5" s="189">
        <f t="shared" ref="AQ5:AQ29" si="9">AO5/AP5</f>
        <v>2.2888888888888888</v>
      </c>
      <c r="AR5" s="39">
        <f>VLOOKUP($B$4:$B$30,'Comparativo YoY'!$A$8:$EB$34,132,)/100</f>
        <v>-3.3145472799273393E-2</v>
      </c>
      <c r="AS5" s="39">
        <f>VLOOKUP($B$4:$B$30,'Comparativo YoY'!$A$8:$EC$34,133,)/100</f>
        <v>-1.1086408306751139E-2</v>
      </c>
      <c r="AT5" s="39">
        <f>VLOOKUP($B$4:$B$30,'Comparativo YoY'!$A$8:$ED$34,134,)/100</f>
        <v>7.0141245303767336E-2</v>
      </c>
      <c r="AU5" s="39">
        <f>VLOOKUP($B$4:$B$30,'Comparativo YoY'!$A$8:$EE$34,135,)/100</f>
        <v>6.7621667284348064E-3</v>
      </c>
      <c r="AV5" s="34">
        <f>VLOOKUP($B$4:$B$30,'Comparativo YoY'!$A$8:$EA$34,131,)</f>
        <v>1182710.1360000002</v>
      </c>
      <c r="AW5" s="39">
        <f t="shared" ref="AW5:AW30" si="10">((E5+K5+H5+N5+Q5+T5)/AV5)-1</f>
        <v>1.0316274147497362E-2</v>
      </c>
      <c r="AX5" s="39">
        <f t="shared" ref="AX5:AX31" si="11">(E5+H5+K5+N5+Q5+T5)/(F5+I5+L5+O5+R5+U5)</f>
        <v>1.1749445338060192</v>
      </c>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row>
    <row r="6" spans="1:99">
      <c r="A6" s="139">
        <v>3</v>
      </c>
      <c r="B6" s="66" t="s">
        <v>89</v>
      </c>
      <c r="C6" s="197" t="s">
        <v>2</v>
      </c>
      <c r="D6" s="139" t="s">
        <v>242</v>
      </c>
      <c r="E6" s="138">
        <f>VLOOKUP($C$4:$C$31,'TOTAL POR UF'!$A$5:$B$31,2,)</f>
        <v>146661.62400000001</v>
      </c>
      <c r="F6" s="138">
        <f>VLOOKUP($B$4:$B$31,'Evolução das Receitas'!$P$214:$Q$241,2,0)</f>
        <v>101798.44</v>
      </c>
      <c r="G6" s="137">
        <f t="shared" si="0"/>
        <v>1.4407060068896931</v>
      </c>
      <c r="H6" s="138">
        <f>VLOOKUP($C$4:$C$31,'TOTAL POR UF'!$A$5:$C$31,3,)</f>
        <v>62251.96</v>
      </c>
      <c r="I6" s="138">
        <f>VLOOKUP($B$4:$B$31,'Evolução das Receitas'!$P$214:$R$241,3,0)</f>
        <v>28698.84</v>
      </c>
      <c r="J6" s="137">
        <f t="shared" si="1"/>
        <v>2.1691455125015504</v>
      </c>
      <c r="K6" s="138">
        <f>VLOOKUP($C$4:$C$31,'TOTAL POR UF'!$A$5:$D$31,4,)</f>
        <v>29426.504000000001</v>
      </c>
      <c r="L6" s="138">
        <f>VLOOKUP($B$4:$B$31,'Evolução das Receitas'!$P$214:$S$241,4,)</f>
        <v>16003.19</v>
      </c>
      <c r="M6" s="137">
        <f t="shared" si="2"/>
        <v>1.838789891265429</v>
      </c>
      <c r="N6" s="138">
        <f>VLOOKUP($C$4:$C$31,'TOTAL POR UF'!$A$5:$E$31,5,)</f>
        <v>11039.032000000001</v>
      </c>
      <c r="O6" s="138">
        <f>VLOOKUP($B$4:$B$31,'Evolução das Receitas'!$P$214:$T$241,5,0)</f>
        <v>6948.27</v>
      </c>
      <c r="P6" s="137">
        <f t="shared" si="3"/>
        <v>1.5887453999340844</v>
      </c>
      <c r="Q6" s="138">
        <f>VLOOKUP($C$4:$C$31,'TOTAL POR UF'!$A$5:$F$31,6,)</f>
        <v>260006.50400000002</v>
      </c>
      <c r="R6" s="138">
        <f>VLOOKUP($B$4:$B$31,'Evolução das Receitas'!$P$214:$U$241,6,0)</f>
        <v>200993.4</v>
      </c>
      <c r="S6" s="137">
        <f t="shared" si="4"/>
        <v>1.2936071731708605</v>
      </c>
      <c r="T6" s="138">
        <f>VLOOKUP($C$4:$C$31,'TOTAL POR UF'!$A$5:$T$31, 20,0)</f>
        <v>32623.255999999998</v>
      </c>
      <c r="U6" s="138">
        <f>VLOOKUP($B$4:$B$31,'Evolução das Receitas'!$P$214:$V$241,7,0)</f>
        <v>23054.03</v>
      </c>
      <c r="V6" s="137">
        <f t="shared" si="5"/>
        <v>1.4150782314415311</v>
      </c>
      <c r="W6" s="34">
        <f>VLOOKUP($B$4:$B$30,'Anuid PF'!$A$7:$G$33,7,)</f>
        <v>748</v>
      </c>
      <c r="X6" s="34">
        <f>VLOOKUP($B$4:$B$30,'Relatórios - SICCAU e IGEO'!$A$3:$E$29,5,)</f>
        <v>65</v>
      </c>
      <c r="Y6" s="34">
        <f>VLOOKUP($B$4:$B$30,'Anuid PF'!$A$7:$B$33,2,)</f>
        <v>715</v>
      </c>
      <c r="Z6" s="189">
        <f t="shared" si="7"/>
        <v>1.0461538461538462</v>
      </c>
      <c r="AA6" s="34">
        <f>VLOOKUP($B$4:$B$30,'Anuid PJ'!$A$6:$F$32,6,)</f>
        <v>256</v>
      </c>
      <c r="AB6" s="1005">
        <f>VLOOKUP($B$4:$B$30,'Relatórios - SICCAU e IGEO'!$A$3:$J$29,10,)</f>
        <v>17</v>
      </c>
      <c r="AC6" s="34">
        <f>VLOOKUP($B$4:$B$30,'Anuid PJ'!$A$6:$B$32,2,)</f>
        <v>245</v>
      </c>
      <c r="AD6" s="39">
        <f t="shared" si="6"/>
        <v>1.0448979591836736</v>
      </c>
      <c r="AE6" s="34">
        <f>VLOOKUP($B$4:$B$30,RRT!$A$5:$F$31,6,)</f>
        <v>3373</v>
      </c>
      <c r="AF6" s="34">
        <f>VLOOKUP($B$4:$B$30,RRT!$A$5:$B$31,2,)</f>
        <v>2565</v>
      </c>
      <c r="AG6" s="199">
        <f t="shared" si="8"/>
        <v>4.5093582887700538</v>
      </c>
      <c r="AH6" s="136">
        <f>VLOOKUP($B$4:$B$30,'RRT POR PROFISSIONAL'!$A$4:$D$35,4,)</f>
        <v>3.5874125874125875</v>
      </c>
      <c r="AI6" s="39">
        <f>VLOOKUP($B$4:$B$30,'ADIMPLÊNCIA PF'!$A$4:$L$30,12,)</f>
        <v>0.62045760430686403</v>
      </c>
      <c r="AJ6" s="39">
        <f>VLOOKUP($B$4:$B$30,'ADIMPLÊNCIA PF'!$A$4:$E$30,5,)</f>
        <v>0.45685997171145687</v>
      </c>
      <c r="AK6" s="39">
        <f>VLOOKUP($B$4:$B$30,'ADIMPLÊNCIA PJ'!$A$4:$I$30,9,)</f>
        <v>0.31640625</v>
      </c>
      <c r="AL6" s="39">
        <f>VLOOKUP($B$4:$B$30,'ADIMPLÊNCIA PJ'!$A$4:$D$30,4,)</f>
        <v>0.18367346938775511</v>
      </c>
      <c r="AM6" s="34">
        <f>VLOOKUP($B$4:$B$30,'PF - Gênero'!$A$32:$B$58,2,)</f>
        <v>413</v>
      </c>
      <c r="AN6" s="34">
        <f>VLOOKUP($B$4:$B$30,'PF - Gênero'!$A$32:$C$58,3,)</f>
        <v>335</v>
      </c>
      <c r="AO6" s="34">
        <f>VLOOKUP($B$4:$B$30,'Relatórios - SICCAU e IGEO'!$A$3:$F$29,6,)</f>
        <v>40</v>
      </c>
      <c r="AP6" s="34">
        <v>18</v>
      </c>
      <c r="AQ6" s="189">
        <f t="shared" si="9"/>
        <v>2.2222222222222223</v>
      </c>
      <c r="AR6" s="39">
        <f>VLOOKUP($B$4:$B$30,'Comparativo YoY'!$A$8:$EB$34,132,)/100</f>
        <v>0.22883167152450043</v>
      </c>
      <c r="AS6" s="39">
        <f>VLOOKUP($B$4:$B$30,'Comparativo YoY'!$A$8:$EC$34,133,)/100</f>
        <v>0.18349099745692413</v>
      </c>
      <c r="AT6" s="39">
        <f>VLOOKUP($B$4:$B$30,'Comparativo YoY'!$A$8:$ED$34,134,)/100</f>
        <v>5.019218733683317E-3</v>
      </c>
      <c r="AU6" s="39">
        <f>VLOOKUP($B$4:$B$30,'Comparativo YoY'!$A$8:$EE$34,135,)/100</f>
        <v>-0.18471617859481299</v>
      </c>
      <c r="AV6" s="34">
        <f>VLOOKUP($B$4:$B$30,'Comparativo YoY'!$A$8:$EA$34,131,)</f>
        <v>502924.19200000004</v>
      </c>
      <c r="AW6" s="39">
        <f t="shared" si="10"/>
        <v>7.7714869600069125E-2</v>
      </c>
      <c r="AX6" s="39">
        <f t="shared" si="11"/>
        <v>1.4357996797689363</v>
      </c>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row>
    <row r="7" spans="1:99">
      <c r="A7" s="139">
        <v>4</v>
      </c>
      <c r="B7" s="66" t="s">
        <v>100</v>
      </c>
      <c r="C7" s="197" t="s">
        <v>15</v>
      </c>
      <c r="D7" s="139" t="s">
        <v>242</v>
      </c>
      <c r="E7" s="138">
        <f>VLOOKUP($C$4:$C$31,'TOTAL POR UF'!$A$5:$B$31,2,)</f>
        <v>532980.34399999992</v>
      </c>
      <c r="F7" s="138">
        <f>VLOOKUP($B$4:$B$31,'Evolução das Receitas'!$P$214:$Q$241,2,0)</f>
        <v>386565.75</v>
      </c>
      <c r="G7" s="137">
        <f t="shared" si="0"/>
        <v>1.3787572851448944</v>
      </c>
      <c r="H7" s="138">
        <f>VLOOKUP($C$4:$C$31,'TOTAL POR UF'!$A$5:$C$31,3,)</f>
        <v>285816.85600000003</v>
      </c>
      <c r="I7" s="138">
        <f>VLOOKUP($B$4:$B$31,'Evolução das Receitas'!$P$214:$R$241,3,0)</f>
        <v>266422.43</v>
      </c>
      <c r="J7" s="137">
        <f t="shared" si="1"/>
        <v>1.0727957702360122</v>
      </c>
      <c r="K7" s="138">
        <f>VLOOKUP($C$4:$C$31,'TOTAL POR UF'!$A$5:$D$31,4,)</f>
        <v>52117.567999999999</v>
      </c>
      <c r="L7" s="138">
        <f>VLOOKUP($B$4:$B$31,'Evolução das Receitas'!$P$214:$S$241,4,)</f>
        <v>37952.99</v>
      </c>
      <c r="M7" s="137">
        <f t="shared" si="2"/>
        <v>1.3732137573350611</v>
      </c>
      <c r="N7" s="138">
        <f>VLOOKUP($C$4:$C$31,'TOTAL POR UF'!$A$5:$E$31,5,)</f>
        <v>14935.704000000002</v>
      </c>
      <c r="O7" s="138">
        <f>VLOOKUP($B$4:$B$31,'Evolução das Receitas'!$P$214:$T$241,5,0)</f>
        <v>12982.24</v>
      </c>
      <c r="P7" s="137">
        <f t="shared" si="3"/>
        <v>1.1504720294802748</v>
      </c>
      <c r="Q7" s="138">
        <f>VLOOKUP($C$4:$C$31,'TOTAL POR UF'!$A$5:$F$31,6,)</f>
        <v>614760.76800000004</v>
      </c>
      <c r="R7" s="138">
        <f>VLOOKUP($B$4:$B$31,'Evolução das Receitas'!$P$214:$U$241,6,0)</f>
        <v>479426.69</v>
      </c>
      <c r="S7" s="137">
        <f t="shared" si="4"/>
        <v>1.2822831536558801</v>
      </c>
      <c r="T7" s="138">
        <f>VLOOKUP($C$4:$C$31,'TOTAL POR UF'!$A$5:$T$31, 20,0)</f>
        <v>109887.272</v>
      </c>
      <c r="U7" s="138">
        <f>VLOOKUP($B$4:$B$31,'Evolução das Receitas'!$P$214:$V$241,7,0)</f>
        <v>76983.98</v>
      </c>
      <c r="V7" s="137">
        <f t="shared" si="5"/>
        <v>1.427404402838097</v>
      </c>
      <c r="W7" s="34">
        <f>VLOOKUP($B$4:$B$30,'Anuid PF'!$A$7:$G$33,7,)</f>
        <v>2911</v>
      </c>
      <c r="X7" s="34">
        <f>VLOOKUP($B$4:$B$30,'Relatórios - SICCAU e IGEO'!$A$3:$E$29,5,)</f>
        <v>249</v>
      </c>
      <c r="Y7" s="34">
        <f>VLOOKUP($B$4:$B$30,'Anuid PF'!$A$7:$B$33,2,)</f>
        <v>2833</v>
      </c>
      <c r="Z7" s="39">
        <f t="shared" si="7"/>
        <v>1.0275326509001059</v>
      </c>
      <c r="AA7" s="34">
        <f>VLOOKUP($B$4:$B$30,'Anuid PJ'!$A$6:$F$32,6,)</f>
        <v>382</v>
      </c>
      <c r="AB7" s="1005">
        <f>VLOOKUP($B$4:$B$30,'Relatórios - SICCAU e IGEO'!$A$3:$J$29,10,)</f>
        <v>-16</v>
      </c>
      <c r="AC7" s="34">
        <f>VLOOKUP($B$4:$B$30,'Anuid PJ'!$A$6:$B$32,2,)</f>
        <v>364</v>
      </c>
      <c r="AD7" s="39">
        <f t="shared" si="6"/>
        <v>1.0494505494505495</v>
      </c>
      <c r="AE7" s="34">
        <f>VLOOKUP($B$4:$B$30,RRT!$A$5:$F$31,6,)</f>
        <v>7688</v>
      </c>
      <c r="AF7" s="34">
        <f>VLOOKUP($B$4:$B$30,RRT!$A$5:$B$31,2,)</f>
        <v>5940</v>
      </c>
      <c r="AG7" s="199">
        <f t="shared" si="8"/>
        <v>2.6410168327035382</v>
      </c>
      <c r="AH7" s="136">
        <f>VLOOKUP($B$4:$B$30,'RRT POR PROFISSIONAL'!$A$4:$D$35,4,)</f>
        <v>2.0967172608542182</v>
      </c>
      <c r="AI7" s="39">
        <f>VLOOKUP($B$4:$B$30,'ADIMPLÊNCIA PF'!$A$4:$L$30,12,)</f>
        <v>0.60100107257776192</v>
      </c>
      <c r="AJ7" s="39">
        <f>VLOOKUP($B$4:$B$30,'ADIMPLÊNCIA PF'!$A$4:$E$30,5,)</f>
        <v>0.44219977553310885</v>
      </c>
      <c r="AK7" s="39">
        <f>VLOOKUP($B$4:$B$30,'ADIMPLÊNCIA PJ'!$A$4:$I$30,9,)</f>
        <v>0.36649214659685864</v>
      </c>
      <c r="AL7" s="39">
        <f>VLOOKUP($B$4:$B$30,'ADIMPLÊNCIA PJ'!$A$4:$D$30,4,)</f>
        <v>0.28846153846153844</v>
      </c>
      <c r="AM7" s="34">
        <f>VLOOKUP($B$4:$B$30,'PF - Gênero'!$A$32:$B$58,2,)</f>
        <v>1048</v>
      </c>
      <c r="AN7" s="34">
        <f>VLOOKUP($B$4:$B$30,'PF - Gênero'!$A$32:$C$58,3,)</f>
        <v>1863</v>
      </c>
      <c r="AO7" s="34">
        <f>VLOOKUP($B$4:$B$30,'Relatórios - SICCAU e IGEO'!$A$3:$F$29,6,)</f>
        <v>197</v>
      </c>
      <c r="AP7" s="34">
        <v>125</v>
      </c>
      <c r="AQ7" s="189">
        <f t="shared" si="9"/>
        <v>1.5760000000000001</v>
      </c>
      <c r="AR7" s="39">
        <f>VLOOKUP($B$4:$B$30,'Comparativo YoY'!$A$8:$EB$34,132,)/100</f>
        <v>0.23242333740706728</v>
      </c>
      <c r="AS7" s="39">
        <f>VLOOKUP($B$4:$B$30,'Comparativo YoY'!$A$8:$EC$34,133,)/100</f>
        <v>7.1506882238111025E-2</v>
      </c>
      <c r="AT7" s="39">
        <f>VLOOKUP($B$4:$B$30,'Comparativo YoY'!$A$8:$ED$34,134,)/100</f>
        <v>2.4218140478009929E-2</v>
      </c>
      <c r="AU7" s="39">
        <f>VLOOKUP($B$4:$B$30,'Comparativo YoY'!$A$8:$EE$34,135,)/100</f>
        <v>0.10705438327853244</v>
      </c>
      <c r="AV7" s="34">
        <f>VLOOKUP($B$4:$B$30,'Comparativo YoY'!$A$8:$EA$34,131,)</f>
        <v>1426443.7040000004</v>
      </c>
      <c r="AW7" s="39">
        <f t="shared" si="10"/>
        <v>0.12903054462218</v>
      </c>
      <c r="AX7" s="39">
        <f t="shared" si="11"/>
        <v>1.2778346135018426</v>
      </c>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row>
    <row r="8" spans="1:99">
      <c r="A8" s="139">
        <v>5</v>
      </c>
      <c r="B8" s="66" t="s">
        <v>108</v>
      </c>
      <c r="C8" s="197" t="s">
        <v>21</v>
      </c>
      <c r="D8" s="139" t="s">
        <v>242</v>
      </c>
      <c r="E8" s="138">
        <f>VLOOKUP($C$4:$C$31,'TOTAL POR UF'!$A$5:$B$31,2,)</f>
        <v>251457.01600000003</v>
      </c>
      <c r="F8" s="138">
        <f>VLOOKUP($B$4:$B$31,'Evolução das Receitas'!$P$214:$Q$241,2,0)</f>
        <v>225946.45</v>
      </c>
      <c r="G8" s="137">
        <f t="shared" si="0"/>
        <v>1.1129053631955714</v>
      </c>
      <c r="H8" s="138">
        <f>VLOOKUP($C$4:$C$31,'TOTAL POR UF'!$A$5:$C$31,3,)</f>
        <v>72366.208000000013</v>
      </c>
      <c r="I8" s="138">
        <f>VLOOKUP($B$4:$B$31,'Evolução das Receitas'!$P$214:$R$241,3,0)</f>
        <v>41619.199999999997</v>
      </c>
      <c r="J8" s="137">
        <f t="shared" si="1"/>
        <v>1.7387697985545136</v>
      </c>
      <c r="K8" s="138">
        <f>VLOOKUP($C$4:$C$31,'TOTAL POR UF'!$A$5:$D$31,4,)</f>
        <v>29699.384000000005</v>
      </c>
      <c r="L8" s="138">
        <f>VLOOKUP($B$4:$B$31,'Evolução das Receitas'!$P$214:$S$241,4,)</f>
        <v>27428.9</v>
      </c>
      <c r="M8" s="137">
        <f t="shared" si="2"/>
        <v>1.0827770708996716</v>
      </c>
      <c r="N8" s="138">
        <f>VLOOKUP($C$4:$C$31,'TOTAL POR UF'!$A$5:$E$31,5,)</f>
        <v>12175.887999999999</v>
      </c>
      <c r="O8" s="138">
        <f>VLOOKUP($B$4:$B$31,'Evolução das Receitas'!$P$214:$T$241,5,0)</f>
        <v>6861.61</v>
      </c>
      <c r="P8" s="137">
        <f t="shared" si="3"/>
        <v>1.7744943242183686</v>
      </c>
      <c r="Q8" s="138">
        <f>VLOOKUP($C$4:$C$31,'TOTAL POR UF'!$A$5:$F$31,6,)</f>
        <v>741770.32000000007</v>
      </c>
      <c r="R8" s="138">
        <f>VLOOKUP($B$4:$B$31,'Evolução das Receitas'!$P$214:$U$241,6,0)</f>
        <v>673739.28</v>
      </c>
      <c r="S8" s="137">
        <f t="shared" si="4"/>
        <v>1.1009753208986124</v>
      </c>
      <c r="T8" s="138">
        <f>VLOOKUP($C$4:$C$31,'TOTAL POR UF'!$A$5:$T$31, 20,0)</f>
        <v>39154.09599999999</v>
      </c>
      <c r="U8" s="138">
        <f>VLOOKUP($B$4:$B$31,'Evolução das Receitas'!$P$214:$V$241,7,0)</f>
        <v>27052.32</v>
      </c>
      <c r="V8" s="137">
        <f t="shared" si="5"/>
        <v>1.4473470667210795</v>
      </c>
      <c r="W8" s="34">
        <f>VLOOKUP($B$4:$B$30,'Anuid PF'!$A$7:$G$33,7,)</f>
        <v>1224</v>
      </c>
      <c r="X8" s="34">
        <f>VLOOKUP($B$4:$B$30,'Relatórios - SICCAU e IGEO'!$A$3:$E$29,5,)</f>
        <v>172</v>
      </c>
      <c r="Y8" s="34">
        <f>VLOOKUP($B$4:$B$30,'Anuid PF'!$A$7:$B$33,2,)</f>
        <v>1145</v>
      </c>
      <c r="Z8" s="39">
        <f t="shared" si="7"/>
        <v>1.068995633187773</v>
      </c>
      <c r="AA8" s="34">
        <f>VLOOKUP($B$4:$B$30,'Anuid PJ'!$A$6:$F$32,6,)</f>
        <v>216</v>
      </c>
      <c r="AB8" s="1005">
        <f>VLOOKUP($B$4:$B$30,'Relatórios - SICCAU e IGEO'!$A$3:$J$29,10,)</f>
        <v>18</v>
      </c>
      <c r="AC8" s="34">
        <f>VLOOKUP($B$4:$B$30,'Anuid PJ'!$A$6:$B$32,2,)</f>
        <v>205</v>
      </c>
      <c r="AD8" s="39">
        <f t="shared" si="6"/>
        <v>1.0536585365853659</v>
      </c>
      <c r="AE8" s="34">
        <f>VLOOKUP($B$4:$B$30,RRT!$A$5:$F$31,6,)</f>
        <v>9679</v>
      </c>
      <c r="AF8" s="34">
        <f>VLOOKUP($B$4:$B$30,RRT!$A$5:$B$31,2,)</f>
        <v>8598</v>
      </c>
      <c r="AG8" s="199">
        <f t="shared" si="8"/>
        <v>7.9076797385620914</v>
      </c>
      <c r="AH8" s="136">
        <f>VLOOKUP($B$4:$B$30,'RRT POR PROFISSIONAL'!$A$4:$D$35,4,)</f>
        <v>7.5091703056768555</v>
      </c>
      <c r="AI8" s="39">
        <f>VLOOKUP($B$4:$B$30,'ADIMPLÊNCIA PF'!$A$4:$L$30,12,)</f>
        <v>0.69293924466338264</v>
      </c>
      <c r="AJ8" s="39">
        <f>VLOOKUP($B$4:$B$30,'ADIMPLÊNCIA PF'!$A$4:$E$30,5,)</f>
        <v>0.59838998211091232</v>
      </c>
      <c r="AK8" s="39">
        <f>VLOOKUP($B$4:$B$30,'ADIMPLÊNCIA PJ'!$A$4:$I$30,9,)</f>
        <v>0.37962962962962965</v>
      </c>
      <c r="AL8" s="39">
        <f>VLOOKUP($B$4:$B$30,'ADIMPLÊNCIA PJ'!$A$4:$D$30,4,)</f>
        <v>0.35121951219512193</v>
      </c>
      <c r="AM8" s="34">
        <f>VLOOKUP($B$4:$B$30,'PF - Gênero'!$A$32:$B$58,2,)</f>
        <v>534</v>
      </c>
      <c r="AN8" s="34">
        <f>VLOOKUP($B$4:$B$30,'PF - Gênero'!$A$32:$C$58,3,)</f>
        <v>690</v>
      </c>
      <c r="AO8" s="34">
        <f>VLOOKUP($B$4:$B$30,'Relatórios - SICCAU e IGEO'!$A$3:$F$29,6,)</f>
        <v>146</v>
      </c>
      <c r="AP8" s="34">
        <v>65</v>
      </c>
      <c r="AQ8" s="189">
        <f t="shared" si="9"/>
        <v>2.2461538461538462</v>
      </c>
      <c r="AR8" s="39">
        <f>VLOOKUP($B$4:$B$30,'Comparativo YoY'!$A$8:$EB$34,132,)/100</f>
        <v>0.18674750102387222</v>
      </c>
      <c r="AS8" s="39">
        <f>VLOOKUP($B$4:$B$30,'Comparativo YoY'!$A$8:$EC$34,133,)/100</f>
        <v>0.10991733521909808</v>
      </c>
      <c r="AT8" s="39">
        <f>VLOOKUP($B$4:$B$30,'Comparativo YoY'!$A$8:$ED$34,134,)/100</f>
        <v>0.13179675263808008</v>
      </c>
      <c r="AU8" s="39">
        <f>VLOOKUP($B$4:$B$30,'Comparativo YoY'!$A$8:$EE$34,135,)/100</f>
        <v>0.20374049590273002</v>
      </c>
      <c r="AV8" s="34">
        <f>VLOOKUP($B$4:$B$30,'Comparativo YoY'!$A$8:$EA$34,131,)</f>
        <v>998513.26399999997</v>
      </c>
      <c r="AW8" s="39">
        <f t="shared" si="10"/>
        <v>0.14833017581226637</v>
      </c>
      <c r="AX8" s="39">
        <f t="shared" si="11"/>
        <v>1.1435949470430173</v>
      </c>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row>
    <row r="9" spans="1:99">
      <c r="A9" s="139">
        <v>6</v>
      </c>
      <c r="B9" s="66" t="s">
        <v>109</v>
      </c>
      <c r="C9" s="197" t="s">
        <v>22</v>
      </c>
      <c r="D9" s="139" t="s">
        <v>242</v>
      </c>
      <c r="E9" s="138">
        <f>VLOOKUP($C$4:$C$31,'TOTAL POR UF'!$A$5:$B$31,2,)</f>
        <v>44995.703999999998</v>
      </c>
      <c r="F9" s="138">
        <f>VLOOKUP($B$4:$B$31,'Evolução das Receitas'!$P$214:$Q$241,2,0)</f>
        <v>40502.449999999997</v>
      </c>
      <c r="G9" s="137">
        <f t="shared" si="0"/>
        <v>1.1109378321558325</v>
      </c>
      <c r="H9" s="138">
        <f>VLOOKUP($C$4:$C$31,'TOTAL POR UF'!$A$5:$C$31,3,)</f>
        <v>5967.0240000000003</v>
      </c>
      <c r="I9" s="138">
        <f>VLOOKUP($B$4:$B$31,'Evolução das Receitas'!$P$214:$R$241,3,0)</f>
        <v>2958.21</v>
      </c>
      <c r="J9" s="137">
        <f t="shared" si="1"/>
        <v>2.0171062906284543</v>
      </c>
      <c r="K9" s="138">
        <f>VLOOKUP($C$4:$C$31,'TOTAL POR UF'!$A$5:$D$31,4,)</f>
        <v>6940.7520000000004</v>
      </c>
      <c r="L9" s="138">
        <f>VLOOKUP($B$4:$B$31,'Evolução das Receitas'!$P$214:$S$241,4,)</f>
        <v>7672.1399999999994</v>
      </c>
      <c r="M9" s="137">
        <f t="shared" si="2"/>
        <v>0.90466962281710195</v>
      </c>
      <c r="N9" s="138">
        <f>VLOOKUP($C$4:$C$31,'TOTAL POR UF'!$A$5:$E$31,5,)</f>
        <v>1822.8400000000001</v>
      </c>
      <c r="O9" s="138">
        <f>VLOOKUP($B$4:$B$31,'Evolução das Receitas'!$P$214:$T$241,5,0)</f>
        <v>810.78</v>
      </c>
      <c r="P9" s="137">
        <f t="shared" si="3"/>
        <v>2.2482547670144801</v>
      </c>
      <c r="Q9" s="138">
        <f>VLOOKUP($C$4:$C$31,'TOTAL POR UF'!$A$5:$F$31,6,)</f>
        <v>94797.736000000004</v>
      </c>
      <c r="R9" s="138">
        <f>VLOOKUP($B$4:$B$31,'Evolução das Receitas'!$P$214:$U$241,6,0)</f>
        <v>81729.48</v>
      </c>
      <c r="S9" s="137">
        <f t="shared" si="4"/>
        <v>1.1598964779905612</v>
      </c>
      <c r="T9" s="138">
        <f>VLOOKUP($C$4:$C$31,'TOTAL POR UF'!$A$5:$T$31, 20,0)</f>
        <v>5204.3440000000001</v>
      </c>
      <c r="U9" s="138">
        <f>VLOOKUP($B$4:$B$31,'Evolução das Receitas'!$P$214:$V$241,7,0)</f>
        <v>2640.56</v>
      </c>
      <c r="V9" s="137">
        <f t="shared" si="5"/>
        <v>1.9709243493804345</v>
      </c>
      <c r="W9" s="34">
        <f>VLOOKUP($B$4:$B$30,'Anuid PF'!$A$7:$G$33,7,)</f>
        <v>223</v>
      </c>
      <c r="X9" s="34">
        <f>VLOOKUP($B$4:$B$30,'Relatórios - SICCAU e IGEO'!$A$3:$E$29,5,)</f>
        <v>9</v>
      </c>
      <c r="Y9" s="34">
        <f>VLOOKUP($B$4:$B$30,'Anuid PF'!$A$7:$B$33,2,)</f>
        <v>231</v>
      </c>
      <c r="Z9" s="39">
        <f t="shared" si="7"/>
        <v>0.96536796536796532</v>
      </c>
      <c r="AA9" s="34">
        <f>VLOOKUP($B$4:$B$30,'Anuid PJ'!$A$6:$F$32,6,)</f>
        <v>59</v>
      </c>
      <c r="AB9" s="1005">
        <f>VLOOKUP($B$4:$B$30,'Relatórios - SICCAU e IGEO'!$A$3:$J$29,10,)</f>
        <v>6</v>
      </c>
      <c r="AC9" s="34">
        <f>VLOOKUP($B$4:$B$30,'Anuid PJ'!$A$6:$B$32,2,)</f>
        <v>56</v>
      </c>
      <c r="AD9" s="39">
        <f t="shared" si="6"/>
        <v>1.0535714285714286</v>
      </c>
      <c r="AE9" s="34">
        <f>VLOOKUP($B$4:$B$30,RRT!$A$5:$F$31,6,)</f>
        <v>1191</v>
      </c>
      <c r="AF9" s="34">
        <f>VLOOKUP($B$4:$B$30,RRT!$A$5:$B$31,2,)</f>
        <v>1043</v>
      </c>
      <c r="AG9" s="199">
        <f t="shared" si="8"/>
        <v>5.3408071748878925</v>
      </c>
      <c r="AH9" s="136">
        <f>VLOOKUP($B$4:$B$30,'RRT POR PROFISSIONAL'!$A$4:$D$35,4,)</f>
        <v>4.5151515151515156</v>
      </c>
      <c r="AI9" s="39">
        <f>VLOOKUP($B$4:$B$30,'ADIMPLÊNCIA PF'!$A$4:$L$30,12,)</f>
        <v>0.59722222222222221</v>
      </c>
      <c r="AJ9" s="39">
        <f>VLOOKUP($B$4:$B$30,'ADIMPLÊNCIA PF'!$A$4:$E$30,5,)</f>
        <v>0.51818181818181819</v>
      </c>
      <c r="AK9" s="39">
        <f>VLOOKUP($B$4:$B$30,'ADIMPLÊNCIA PJ'!$A$4:$I$30,9,)</f>
        <v>0.32203389830508472</v>
      </c>
      <c r="AL9" s="39">
        <f>VLOOKUP($B$4:$B$30,'ADIMPLÊNCIA PJ'!$A$4:$D$30,4,)</f>
        <v>0.35714285714285715</v>
      </c>
      <c r="AM9" s="34">
        <f>VLOOKUP($B$4:$B$30,'PF - Gênero'!$A$32:$B$58,2,)</f>
        <v>89</v>
      </c>
      <c r="AN9" s="34">
        <f>VLOOKUP($B$4:$B$30,'PF - Gênero'!$A$32:$C$58,3,)</f>
        <v>134</v>
      </c>
      <c r="AO9" s="34">
        <f>VLOOKUP($B$4:$B$30,'Relatórios - SICCAU e IGEO'!$A$3:$F$29,6,)</f>
        <v>13</v>
      </c>
      <c r="AP9" s="34">
        <v>17</v>
      </c>
      <c r="AQ9" s="189">
        <f t="shared" si="9"/>
        <v>0.76470588235294112</v>
      </c>
      <c r="AR9" s="39">
        <f>VLOOKUP($B$4:$B$30,'Comparativo YoY'!$A$8:$EB$34,132,)/100</f>
        <v>-3.6291296345187618E-3</v>
      </c>
      <c r="AS9" s="39">
        <f>VLOOKUP($B$4:$B$30,'Comparativo YoY'!$A$8:$EC$34,133,)/100</f>
        <v>0.61191444904685877</v>
      </c>
      <c r="AT9" s="39">
        <f>VLOOKUP($B$4:$B$30,'Comparativo YoY'!$A$8:$ED$34,134,)/100</f>
        <v>-0.24109190333956987</v>
      </c>
      <c r="AU9" s="39">
        <f>VLOOKUP($B$4:$B$30,'Comparativo YoY'!$A$8:$EE$34,135,)/100</f>
        <v>-5.4032202948665148E-2</v>
      </c>
      <c r="AV9" s="34">
        <f>VLOOKUP($B$4:$B$30,'Comparativo YoY'!$A$8:$EA$34,131,)</f>
        <v>187000.04800000001</v>
      </c>
      <c r="AW9" s="39">
        <f t="shared" si="10"/>
        <v>-0.14583765240530855</v>
      </c>
      <c r="AX9" s="39">
        <f t="shared" si="11"/>
        <v>1.1717713901222784</v>
      </c>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9">
      <c r="A10" s="139">
        <v>7</v>
      </c>
      <c r="B10" s="66" t="s">
        <v>113</v>
      </c>
      <c r="C10" s="197" t="s">
        <v>26</v>
      </c>
      <c r="D10" s="139" t="s">
        <v>242</v>
      </c>
      <c r="E10" s="138">
        <f>VLOOKUP($C$4:$C$31,'TOTAL POR UF'!$A$5:$B$31,2,)</f>
        <v>170759.19200000004</v>
      </c>
      <c r="F10" s="138">
        <f>VLOOKUP($B$4:$B$31,'Evolução das Receitas'!$P$214:$Q$241,2,0)</f>
        <v>153321.75</v>
      </c>
      <c r="G10" s="137">
        <f t="shared" si="0"/>
        <v>1.1137310394643947</v>
      </c>
      <c r="H10" s="138">
        <f>VLOOKUP($C$4:$C$31,'TOTAL POR UF'!$A$5:$C$31,3,)</f>
        <v>71531.088000000003</v>
      </c>
      <c r="I10" s="138">
        <f>VLOOKUP($B$4:$B$31,'Evolução das Receitas'!$P$214:$R$241,3,0)</f>
        <v>49993.98</v>
      </c>
      <c r="J10" s="137">
        <f t="shared" si="1"/>
        <v>1.4307940276009232</v>
      </c>
      <c r="K10" s="138">
        <f>VLOOKUP($C$4:$C$31,'TOTAL POR UF'!$A$5:$D$31,4,)</f>
        <v>24965.488000000001</v>
      </c>
      <c r="L10" s="138">
        <f>VLOOKUP($B$4:$B$31,'Evolução das Receitas'!$P$214:$S$241,4,)</f>
        <v>23218.27</v>
      </c>
      <c r="M10" s="137">
        <f t="shared" si="2"/>
        <v>1.0752518598500234</v>
      </c>
      <c r="N10" s="138">
        <f>VLOOKUP($C$4:$C$31,'TOTAL POR UF'!$A$5:$E$31,5,)</f>
        <v>13609.960000000001</v>
      </c>
      <c r="O10" s="138">
        <f>VLOOKUP($B$4:$B$31,'Evolução das Receitas'!$P$214:$T$241,5,0)</f>
        <v>9444.98</v>
      </c>
      <c r="P10" s="137">
        <f t="shared" si="3"/>
        <v>1.4409728765968801</v>
      </c>
      <c r="Q10" s="138">
        <f>VLOOKUP($C$4:$C$31,'TOTAL POR UF'!$A$5:$F$31,6,)</f>
        <v>354995.56800000003</v>
      </c>
      <c r="R10" s="138">
        <f>VLOOKUP($B$4:$B$31,'Evolução das Receitas'!$P$214:$U$241,6,0)</f>
        <v>358810.44</v>
      </c>
      <c r="S10" s="137">
        <f t="shared" si="4"/>
        <v>0.98936800166684125</v>
      </c>
      <c r="T10" s="138">
        <f>VLOOKUP($C$4:$C$31,'TOTAL POR UF'!$A$5:$T$31, 20,0)</f>
        <v>34714.495999999999</v>
      </c>
      <c r="U10" s="138">
        <f>VLOOKUP($B$4:$B$31,'Evolução das Receitas'!$P$214:$V$241,7,0)</f>
        <v>35493.51</v>
      </c>
      <c r="V10" s="137">
        <f t="shared" si="5"/>
        <v>0.97805193118403888</v>
      </c>
      <c r="W10" s="34">
        <f>VLOOKUP($B$4:$B$30,'Anuid PF'!$A$7:$G$33,7,)</f>
        <v>751</v>
      </c>
      <c r="X10" s="34">
        <f>VLOOKUP($B$4:$B$30,'Relatórios - SICCAU e IGEO'!$A$3:$E$29,5,)</f>
        <v>53</v>
      </c>
      <c r="Y10" s="34">
        <f>VLOOKUP($B$4:$B$30,'Anuid PF'!$A$7:$B$33,2,)</f>
        <v>711</v>
      </c>
      <c r="Z10" s="39">
        <f t="shared" si="7"/>
        <v>1.0562587904360057</v>
      </c>
      <c r="AA10" s="34">
        <f>VLOOKUP($B$4:$B$30,'Anuid PJ'!$A$6:$F$32,6,)</f>
        <v>190</v>
      </c>
      <c r="AB10" s="1005">
        <f>VLOOKUP($B$4:$B$30,'Relatórios - SICCAU e IGEO'!$A$3:$J$29,10,)</f>
        <v>-5</v>
      </c>
      <c r="AC10" s="34">
        <f>VLOOKUP($B$4:$B$30,'Anuid PJ'!$A$6:$B$32,2,)</f>
        <v>189</v>
      </c>
      <c r="AD10" s="39">
        <f t="shared" si="6"/>
        <v>1.0052910052910053</v>
      </c>
      <c r="AE10" s="34">
        <f>VLOOKUP($B$4:$B$30,RRT!$A$5:$F$31,6,)</f>
        <v>4565</v>
      </c>
      <c r="AF10" s="34">
        <f>VLOOKUP($B$4:$B$30,RRT!$A$5:$B$31,2,)</f>
        <v>4579</v>
      </c>
      <c r="AG10" s="199">
        <f t="shared" si="8"/>
        <v>6.0785619174434089</v>
      </c>
      <c r="AH10" s="136">
        <f>VLOOKUP($B$4:$B$30,'RRT POR PROFISSIONAL'!$A$4:$D$35,4,)</f>
        <v>6.4402250351617436</v>
      </c>
      <c r="AI10" s="39">
        <f>VLOOKUP($B$4:$B$30,'ADIMPLÊNCIA PF'!$A$4:$L$30,12,)</f>
        <v>0.73243243243243239</v>
      </c>
      <c r="AJ10" s="39">
        <f>VLOOKUP($B$4:$B$30,'ADIMPLÊNCIA PF'!$A$4:$E$30,5,)</f>
        <v>0.66714697406340062</v>
      </c>
      <c r="AK10" s="39">
        <f>VLOOKUP($B$4:$B$30,'ADIMPLÊNCIA PJ'!$A$4:$I$30,9,)</f>
        <v>0.37368421052631579</v>
      </c>
      <c r="AL10" s="39">
        <f>VLOOKUP($B$4:$B$30,'ADIMPLÊNCIA PJ'!$A$4:$D$30,4,)</f>
        <v>0.33333333333333331</v>
      </c>
      <c r="AM10" s="34">
        <f>VLOOKUP($B$4:$B$30,'PF - Gênero'!$A$32:$B$58,2,)</f>
        <v>312</v>
      </c>
      <c r="AN10" s="34">
        <f>VLOOKUP($B$4:$B$30,'PF - Gênero'!$A$32:$C$58,3,)</f>
        <v>439</v>
      </c>
      <c r="AO10" s="34">
        <f>VLOOKUP($B$4:$B$30,'Relatórios - SICCAU e IGEO'!$A$3:$F$29,6,)</f>
        <v>62</v>
      </c>
      <c r="AP10" s="34">
        <v>38</v>
      </c>
      <c r="AQ10" s="189">
        <f t="shared" si="9"/>
        <v>1.631578947368421</v>
      </c>
      <c r="AR10" s="39">
        <f>VLOOKUP($B$4:$B$30,'Comparativo YoY'!$A$8:$EB$34,132,)/100</f>
        <v>-3.7620376555526608E-2</v>
      </c>
      <c r="AS10" s="39">
        <f>VLOOKUP($B$4:$B$30,'Comparativo YoY'!$A$8:$EC$34,133,)/100</f>
        <v>-0.27813178071060279</v>
      </c>
      <c r="AT10" s="39">
        <f>VLOOKUP($B$4:$B$30,'Comparativo YoY'!$A$8:$ED$34,134,)/100</f>
        <v>1.6975999295957535E-2</v>
      </c>
      <c r="AU10" s="39">
        <f>VLOOKUP($B$4:$B$30,'Comparativo YoY'!$A$8:$EE$34,135,)/100</f>
        <v>-0.40702972495618639</v>
      </c>
      <c r="AV10" s="34">
        <f>VLOOKUP($B$4:$B$30,'Comparativo YoY'!$A$8:$EA$34,131,)</f>
        <v>712813.16</v>
      </c>
      <c r="AW10" s="39">
        <f t="shared" si="10"/>
        <v>-5.9254472799014968E-2</v>
      </c>
      <c r="AX10" s="39">
        <f t="shared" si="11"/>
        <v>1.0639282139530577</v>
      </c>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row>
    <row r="11" spans="1:99">
      <c r="A11" s="139">
        <v>8</v>
      </c>
      <c r="B11" s="66" t="s">
        <v>88</v>
      </c>
      <c r="C11" s="197" t="s">
        <v>1</v>
      </c>
      <c r="D11" s="139" t="s">
        <v>245</v>
      </c>
      <c r="E11" s="138">
        <f>VLOOKUP($C$4:$C$31,'TOTAL POR UF'!$A$5:$B$31,2,)</f>
        <v>417683.984</v>
      </c>
      <c r="F11" s="138">
        <f>VLOOKUP($B$4:$B$31,'Evolução das Receitas'!$P$214:$Q$241,2,0)</f>
        <v>412238.73000000004</v>
      </c>
      <c r="G11" s="137">
        <f t="shared" si="0"/>
        <v>1.0132089820866661</v>
      </c>
      <c r="H11" s="138">
        <f>VLOOKUP($C$4:$C$31,'TOTAL POR UF'!$A$5:$C$31,3,)</f>
        <v>182611.66400000002</v>
      </c>
      <c r="I11" s="138">
        <f>VLOOKUP($B$4:$B$31,'Evolução das Receitas'!$P$214:$R$241,3,0)</f>
        <v>144042.57</v>
      </c>
      <c r="J11" s="137">
        <f t="shared" si="1"/>
        <v>1.2677617734812703</v>
      </c>
      <c r="K11" s="138">
        <f>VLOOKUP($C$4:$C$31,'TOTAL POR UF'!$A$5:$D$31,4,)</f>
        <v>25644.928</v>
      </c>
      <c r="L11" s="138">
        <f>VLOOKUP($B$4:$B$31,'Evolução das Receitas'!$P$214:$S$241,4,)</f>
        <v>25007.51</v>
      </c>
      <c r="M11" s="137">
        <f t="shared" si="2"/>
        <v>1.0254890630854492</v>
      </c>
      <c r="N11" s="138">
        <f>VLOOKUP($C$4:$C$31,'TOTAL POR UF'!$A$5:$E$31,5,)</f>
        <v>5401.768</v>
      </c>
      <c r="O11" s="138">
        <f>VLOOKUP($B$4:$B$31,'Evolução das Receitas'!$P$214:$T$241,5,0)</f>
        <v>5192.82</v>
      </c>
      <c r="P11" s="137">
        <f t="shared" si="3"/>
        <v>1.0402378669008363</v>
      </c>
      <c r="Q11" s="138">
        <f>VLOOKUP($C$4:$C$31,'TOTAL POR UF'!$A$5:$F$31,6,)</f>
        <v>521406.68800000002</v>
      </c>
      <c r="R11" s="138">
        <f>VLOOKUP($B$4:$B$31,'Evolução das Receitas'!$P$214:$U$241,6,0)</f>
        <v>493176.49</v>
      </c>
      <c r="S11" s="137">
        <f t="shared" si="4"/>
        <v>1.0572415728900622</v>
      </c>
      <c r="T11" s="138">
        <f>VLOOKUP($C$4:$C$31,'TOTAL POR UF'!$A$5:$T$31, 20,0)</f>
        <v>65167.272000000004</v>
      </c>
      <c r="U11" s="138">
        <f>VLOOKUP($B$4:$B$31,'Evolução das Receitas'!$P$214:$V$241,7,0)</f>
        <v>76923.38</v>
      </c>
      <c r="V11" s="137">
        <f t="shared" si="5"/>
        <v>0.84717119814547936</v>
      </c>
      <c r="W11" s="34">
        <f>VLOOKUP($B$4:$B$30,'Anuid PF'!$A$7:$G$33,7,)</f>
        <v>1983</v>
      </c>
      <c r="X11" s="34">
        <f>VLOOKUP($B$4:$B$30,'Relatórios - SICCAU e IGEO'!$A$3:$E$29,5,)</f>
        <v>82</v>
      </c>
      <c r="Y11" s="34">
        <f>VLOOKUP($B$4:$B$30,'Anuid PF'!$A$7:$B$33,2,)</f>
        <v>1973</v>
      </c>
      <c r="Z11" s="39">
        <f t="shared" si="7"/>
        <v>1.005068423720223</v>
      </c>
      <c r="AA11" s="34">
        <f>VLOOKUP($B$4:$B$30,'Anuid PJ'!$A$6:$F$32,6,)</f>
        <v>152</v>
      </c>
      <c r="AB11" s="1005">
        <f>VLOOKUP($B$4:$B$30,'Relatórios - SICCAU e IGEO'!$A$3:$J$29,10,)</f>
        <v>10</v>
      </c>
      <c r="AC11" s="34">
        <f>VLOOKUP($B$4:$B$30,'Anuid PJ'!$A$6:$B$32,2,)</f>
        <v>148</v>
      </c>
      <c r="AD11" s="39">
        <f t="shared" si="6"/>
        <v>1.027027027027027</v>
      </c>
      <c r="AE11" s="34">
        <f>VLOOKUP($B$4:$B$30,RRT!$A$5:$F$31,6,)</f>
        <v>6640</v>
      </c>
      <c r="AF11" s="34">
        <f>VLOOKUP($B$4:$B$30,RRT!$A$5:$B$31,2,)</f>
        <v>5861</v>
      </c>
      <c r="AG11" s="199">
        <f t="shared" si="8"/>
        <v>3.3484619263741804</v>
      </c>
      <c r="AH11" s="136">
        <f>VLOOKUP($B$4:$B$30,'RRT POR PROFISSIONAL'!$A$4:$D$35,4,)</f>
        <v>2.9706031424227066</v>
      </c>
      <c r="AI11" s="39">
        <f>VLOOKUP($B$4:$B$30,'ADIMPLÊNCIA PF'!$A$4:$L$30,12,)</f>
        <v>0.6627188465499485</v>
      </c>
      <c r="AJ11" s="39">
        <f>VLOOKUP($B$4:$B$30,'ADIMPLÊNCIA PF'!$A$4:$E$30,5,)</f>
        <v>0.52208201892744477</v>
      </c>
      <c r="AK11" s="39">
        <f>VLOOKUP($B$4:$B$30,'ADIMPLÊNCIA PJ'!$A$4:$I$30,9,)</f>
        <v>0.44078947368421051</v>
      </c>
      <c r="AL11" s="39">
        <f>VLOOKUP($B$4:$B$30,'ADIMPLÊNCIA PJ'!$A$4:$D$30,4,)</f>
        <v>0.34459459459459457</v>
      </c>
      <c r="AM11" s="34">
        <f>VLOOKUP($B$4:$B$30,'PF - Gênero'!$A$32:$B$58,2,)</f>
        <v>539</v>
      </c>
      <c r="AN11" s="34">
        <f>VLOOKUP($B$4:$B$30,'PF - Gênero'!$A$32:$C$58,3,)</f>
        <v>1444</v>
      </c>
      <c r="AO11" s="34">
        <f>VLOOKUP($B$4:$B$30,'Relatórios - SICCAU e IGEO'!$A$3:$F$29,6,)</f>
        <v>101</v>
      </c>
      <c r="AP11" s="34">
        <v>63</v>
      </c>
      <c r="AQ11" s="189">
        <f t="shared" si="9"/>
        <v>1.6031746031746033</v>
      </c>
      <c r="AR11" s="39">
        <f>VLOOKUP($B$4:$B$30,'Comparativo YoY'!$A$8:$EB$34,132,)/100</f>
        <v>0.18104418331109629</v>
      </c>
      <c r="AS11" s="39">
        <f>VLOOKUP($B$4:$B$30,'Comparativo YoY'!$A$8:$EC$34,133,)/100</f>
        <v>8.6226433728553778E-3</v>
      </c>
      <c r="AT11" s="39">
        <f>VLOOKUP($B$4:$B$30,'Comparativo YoY'!$A$8:$ED$34,134,)/100</f>
        <v>6.8566240272829762E-4</v>
      </c>
      <c r="AU11" s="39">
        <f>VLOOKUP($B$4:$B$30,'Comparativo YoY'!$A$8:$EE$34,135,)/100</f>
        <v>-0.14678588894203926</v>
      </c>
      <c r="AV11" s="34">
        <f>VLOOKUP($B$4:$B$30,'Comparativo YoY'!$A$8:$EA$34,131,)</f>
        <v>1136484.6240000001</v>
      </c>
      <c r="AW11" s="39">
        <f t="shared" si="10"/>
        <v>7.1652249648034072E-2</v>
      </c>
      <c r="AX11" s="39">
        <f t="shared" si="11"/>
        <v>1.0530311128096033</v>
      </c>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9">
      <c r="A12" s="139">
        <v>9</v>
      </c>
      <c r="B12" s="66" t="s">
        <v>91</v>
      </c>
      <c r="C12" s="197" t="s">
        <v>4</v>
      </c>
      <c r="D12" s="139" t="s">
        <v>245</v>
      </c>
      <c r="E12" s="138">
        <f>VLOOKUP($C$4:$C$31,'TOTAL POR UF'!$A$5:$B$31,2,)</f>
        <v>1294521.3040000002</v>
      </c>
      <c r="F12" s="138">
        <f>VLOOKUP($B$4:$B$31,'Evolução das Receitas'!$P$214:$Q$241,2,0)</f>
        <v>1122504.2</v>
      </c>
      <c r="G12" s="137">
        <f t="shared" si="0"/>
        <v>1.1532440626948213</v>
      </c>
      <c r="H12" s="138">
        <f>VLOOKUP($C$4:$C$31,'TOTAL POR UF'!$A$5:$C$31,3,)</f>
        <v>360788.64000000007</v>
      </c>
      <c r="I12" s="138">
        <f>VLOOKUP($B$4:$B$31,'Evolução das Receitas'!$P$214:$R$241,3,0)</f>
        <v>300000</v>
      </c>
      <c r="J12" s="137">
        <f t="shared" si="1"/>
        <v>1.2026288000000003</v>
      </c>
      <c r="K12" s="138">
        <f>VLOOKUP($C$4:$C$31,'TOTAL POR UF'!$A$5:$D$31,4,)</f>
        <v>163260.00799999997</v>
      </c>
      <c r="L12" s="138">
        <f>VLOOKUP($B$4:$B$31,'Evolução das Receitas'!$P$214:$S$241,4,)</f>
        <v>166075.54</v>
      </c>
      <c r="M12" s="137">
        <f t="shared" si="2"/>
        <v>0.98304667863792561</v>
      </c>
      <c r="N12" s="138">
        <f>VLOOKUP($C$4:$C$31,'TOTAL POR UF'!$A$5:$E$31,5,)</f>
        <v>33370.375999999997</v>
      </c>
      <c r="O12" s="138">
        <f>VLOOKUP($B$4:$B$31,'Evolução das Receitas'!$P$214:$T$241,5,0)</f>
        <v>25000</v>
      </c>
      <c r="P12" s="137">
        <f t="shared" si="3"/>
        <v>1.3348150399999998</v>
      </c>
      <c r="Q12" s="138">
        <f>VLOOKUP($C$4:$C$31,'TOTAL POR UF'!$A$5:$F$31,6,)</f>
        <v>1382643.584</v>
      </c>
      <c r="R12" s="138">
        <f>VLOOKUP($B$4:$B$31,'Evolução das Receitas'!$P$214:$U$241,6,0)</f>
        <v>1061850.04</v>
      </c>
      <c r="S12" s="137">
        <f t="shared" si="4"/>
        <v>1.3021081432553319</v>
      </c>
      <c r="T12" s="138">
        <f>VLOOKUP($C$4:$C$31,'TOTAL POR UF'!$A$5:$T$31, 20,0)</f>
        <v>155558.25600000002</v>
      </c>
      <c r="U12" s="138">
        <f>VLOOKUP($B$4:$B$31,'Evolução das Receitas'!$P$214:$V$241,7,0)</f>
        <v>107746.69</v>
      </c>
      <c r="V12" s="137">
        <f t="shared" si="5"/>
        <v>1.4437404620039838</v>
      </c>
      <c r="W12" s="34">
        <f>VLOOKUP($B$4:$B$30,'Anuid PF'!$A$7:$G$33,7,)</f>
        <v>6492</v>
      </c>
      <c r="X12" s="34">
        <f>VLOOKUP($B$4:$B$30,'Relatórios - SICCAU e IGEO'!$A$3:$E$29,5,)</f>
        <v>624</v>
      </c>
      <c r="Y12" s="34">
        <f>VLOOKUP($B$4:$B$30,'Anuid PF'!$A$7:$B$33,2,)</f>
        <v>6154</v>
      </c>
      <c r="Z12" s="39">
        <f t="shared" si="7"/>
        <v>1.0549236269093272</v>
      </c>
      <c r="AA12" s="34">
        <f>VLOOKUP($B$4:$B$30,'Anuid PJ'!$A$6:$F$32,6,)</f>
        <v>957</v>
      </c>
      <c r="AB12" s="1005">
        <f>VLOOKUP($B$4:$B$30,'Relatórios - SICCAU e IGEO'!$A$3:$J$29,10,)</f>
        <v>37</v>
      </c>
      <c r="AC12" s="34">
        <f>VLOOKUP($B$4:$B$30,'Anuid PJ'!$A$6:$B$32,2,)</f>
        <v>949</v>
      </c>
      <c r="AD12" s="39">
        <f t="shared" si="6"/>
        <v>1.0084299262381453</v>
      </c>
      <c r="AE12" s="34">
        <f>VLOOKUP($B$4:$B$30,RRT!$A$5:$F$31,6,)</f>
        <v>17122</v>
      </c>
      <c r="AF12" s="34">
        <f>VLOOKUP($B$4:$B$30,RRT!$A$5:$B$31,2,)</f>
        <v>13550</v>
      </c>
      <c r="AG12" s="199">
        <f t="shared" si="8"/>
        <v>2.6373998767714109</v>
      </c>
      <c r="AH12" s="136">
        <f>VLOOKUP($B$4:$B$30,'RRT POR PROFISSIONAL'!$A$4:$D$35,4,)</f>
        <v>2.2018199545011377</v>
      </c>
      <c r="AI12" s="39">
        <f>VLOOKUP($B$4:$B$30,'ADIMPLÊNCIA PF'!$A$4:$L$30,12,)</f>
        <v>0.7254168084382443</v>
      </c>
      <c r="AJ12" s="39">
        <f>VLOOKUP($B$4:$B$30,'ADIMPLÊNCIA PF'!$A$4:$E$30,5,)</f>
        <v>0.54254732585921706</v>
      </c>
      <c r="AK12" s="39">
        <f>VLOOKUP($B$4:$B$30,'ADIMPLÊNCIA PJ'!$A$4:$I$30,9,)</f>
        <v>0.44409613375130619</v>
      </c>
      <c r="AL12" s="39">
        <f>VLOOKUP($B$4:$B$30,'ADIMPLÊNCIA PJ'!$A$4:$D$30,4,)</f>
        <v>0.4130663856691254</v>
      </c>
      <c r="AM12" s="34">
        <f>VLOOKUP($B$4:$B$30,'PF - Gênero'!$A$32:$B$58,2,)</f>
        <v>2457</v>
      </c>
      <c r="AN12" s="34">
        <f>VLOOKUP($B$4:$B$30,'PF - Gênero'!$A$32:$C$58,3,)</f>
        <v>4035</v>
      </c>
      <c r="AO12" s="34">
        <f>VLOOKUP($B$4:$B$30,'Relatórios - SICCAU e IGEO'!$A$3:$F$29,6,)</f>
        <v>573</v>
      </c>
      <c r="AP12" s="34">
        <v>248</v>
      </c>
      <c r="AQ12" s="189">
        <f t="shared" si="9"/>
        <v>2.310483870967742</v>
      </c>
      <c r="AR12" s="39">
        <f>VLOOKUP($B$4:$B$30,'Comparativo YoY'!$A$8:$EB$34,132,)/100</f>
        <v>0.11541918291359848</v>
      </c>
      <c r="AS12" s="39">
        <f>VLOOKUP($B$4:$B$30,'Comparativo YoY'!$A$8:$EC$34,133,)/100</f>
        <v>-9.4110022953897643E-2</v>
      </c>
      <c r="AT12" s="39">
        <f>VLOOKUP($B$4:$B$30,'Comparativo YoY'!$A$8:$ED$34,134,)/100</f>
        <v>-8.7703896700414813E-2</v>
      </c>
      <c r="AU12" s="39">
        <f>VLOOKUP($B$4:$B$30,'Comparativo YoY'!$A$8:$EE$34,135,)/100</f>
        <v>-7.9079559893131521E-2</v>
      </c>
      <c r="AV12" s="34">
        <f>VLOOKUP($B$4:$B$30,'Comparativo YoY'!$A$8:$EA$34,131,)</f>
        <v>3385563.2400000012</v>
      </c>
      <c r="AW12" s="39">
        <f t="shared" si="10"/>
        <v>1.3524863295713008E-3</v>
      </c>
      <c r="AX12" s="39">
        <f t="shared" si="11"/>
        <v>1.2180837990485025</v>
      </c>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9">
      <c r="A13" s="139">
        <v>10</v>
      </c>
      <c r="B13" s="66" t="s">
        <v>92</v>
      </c>
      <c r="C13" s="197" t="s">
        <v>5</v>
      </c>
      <c r="D13" s="139" t="s">
        <v>245</v>
      </c>
      <c r="E13" s="138">
        <f>VLOOKUP($C$4:$C$31,'TOTAL POR UF'!$A$5:$B$31,2,)</f>
        <v>786417.12000000023</v>
      </c>
      <c r="F13" s="138">
        <f>VLOOKUP($B$4:$B$31,'Evolução das Receitas'!$P$214:$Q$241,2,0)</f>
        <v>948653.19</v>
      </c>
      <c r="G13" s="137">
        <f t="shared" si="0"/>
        <v>0.82898273920314369</v>
      </c>
      <c r="H13" s="138">
        <f>VLOOKUP($C$4:$C$31,'TOTAL POR UF'!$A$5:$C$31,3,)</f>
        <v>171491.20000000001</v>
      </c>
      <c r="I13" s="138">
        <f>VLOOKUP($B$4:$B$31,'Evolução das Receitas'!$P$214:$R$241,3,0)</f>
        <v>172305.77</v>
      </c>
      <c r="J13" s="137">
        <f t="shared" si="1"/>
        <v>0.99527253208061472</v>
      </c>
      <c r="K13" s="138">
        <f>VLOOKUP($C$4:$C$31,'TOTAL POR UF'!$A$5:$D$31,4,)</f>
        <v>75934.504000000015</v>
      </c>
      <c r="L13" s="138">
        <f>VLOOKUP($B$4:$B$31,'Evolução das Receitas'!$P$214:$S$241,4,)</f>
        <v>86662.07</v>
      </c>
      <c r="M13" s="137">
        <f t="shared" si="2"/>
        <v>0.87621382687951033</v>
      </c>
      <c r="N13" s="138">
        <f>VLOOKUP($C$4:$C$31,'TOTAL POR UF'!$A$5:$E$31,5,)</f>
        <v>7642.0319999999992</v>
      </c>
      <c r="O13" s="138">
        <f>VLOOKUP($B$4:$B$31,'Evolução das Receitas'!$P$214:$T$241,5,0)</f>
        <v>8679</v>
      </c>
      <c r="P13" s="137">
        <f t="shared" si="3"/>
        <v>0.88051987556170053</v>
      </c>
      <c r="Q13" s="138">
        <f>VLOOKUP($C$4:$C$31,'TOTAL POR UF'!$A$5:$F$31,6,)</f>
        <v>879120.08800000011</v>
      </c>
      <c r="R13" s="138">
        <f>VLOOKUP($B$4:$B$31,'Evolução das Receitas'!$P$214:$U$241,6,0)</f>
        <v>710881.91999999993</v>
      </c>
      <c r="S13" s="137">
        <f t="shared" si="4"/>
        <v>1.236661199654649</v>
      </c>
      <c r="T13" s="138">
        <f>VLOOKUP($C$4:$C$31,'TOTAL POR UF'!$A$5:$T$31, 20,0)</f>
        <v>99510.183999999994</v>
      </c>
      <c r="U13" s="138">
        <f>VLOOKUP($B$4:$B$31,'Evolução das Receitas'!$P$214:$V$241,7,0)</f>
        <v>57383.770000000004</v>
      </c>
      <c r="V13" s="137">
        <f t="shared" si="5"/>
        <v>1.7341172251317749</v>
      </c>
      <c r="W13" s="34">
        <f>VLOOKUP($B$4:$B$30,'Anuid PF'!$A$7:$G$33,7,)</f>
        <v>3872</v>
      </c>
      <c r="X13" s="34">
        <f>VLOOKUP($B$4:$B$30,'Relatórios - SICCAU e IGEO'!$A$3:$E$29,5,)</f>
        <v>620</v>
      </c>
      <c r="Y13" s="34">
        <f>VLOOKUP($B$4:$B$30,'Anuid PF'!$A$7:$B$33,2,)</f>
        <v>3593</v>
      </c>
      <c r="Z13" s="39">
        <f t="shared" si="7"/>
        <v>1.0776509880322851</v>
      </c>
      <c r="AA13" s="34">
        <f>VLOOKUP($B$4:$B$30,'Anuid PJ'!$A$6:$F$32,6,)</f>
        <v>390</v>
      </c>
      <c r="AB13" s="1005">
        <f>VLOOKUP($B$4:$B$30,'Relatórios - SICCAU e IGEO'!$A$3:$J$29,10,)</f>
        <v>48</v>
      </c>
      <c r="AC13" s="34">
        <f>VLOOKUP($B$4:$B$30,'Anuid PJ'!$A$6:$B$32,2,)</f>
        <v>366</v>
      </c>
      <c r="AD13" s="39">
        <f t="shared" si="6"/>
        <v>1.0655737704918034</v>
      </c>
      <c r="AE13" s="34">
        <f>VLOOKUP($B$4:$B$30,RRT!$A$5:$F$31,6,)</f>
        <v>11420</v>
      </c>
      <c r="AF13" s="34">
        <f>VLOOKUP($B$4:$B$30,RRT!$A$5:$B$31,2,)</f>
        <v>9072</v>
      </c>
      <c r="AG13" s="199">
        <f t="shared" si="8"/>
        <v>2.9493801652892562</v>
      </c>
      <c r="AH13" s="136">
        <f>VLOOKUP($B$4:$B$30,'RRT POR PROFISSIONAL'!$A$4:$D$35,4,)</f>
        <v>2.5249095463401057</v>
      </c>
      <c r="AI13" s="39">
        <f>VLOOKUP($B$4:$B$30,'ADIMPLÊNCIA PF'!$A$4:$L$30,12,)</f>
        <v>0.73574297188755022</v>
      </c>
      <c r="AJ13" s="39">
        <f>VLOOKUP($B$4:$B$30,'ADIMPLÊNCIA PF'!$A$4:$E$30,5,)</f>
        <v>0.58424313956919449</v>
      </c>
      <c r="AK13" s="39">
        <f>VLOOKUP($B$4:$B$30,'ADIMPLÊNCIA PJ'!$A$4:$I$30,9,)</f>
        <v>0.54871794871794877</v>
      </c>
      <c r="AL13" s="39">
        <f>VLOOKUP($B$4:$B$30,'ADIMPLÊNCIA PJ'!$A$4:$D$30,4,)</f>
        <v>0.46448087431693991</v>
      </c>
      <c r="AM13" s="34">
        <f>VLOOKUP($B$4:$B$30,'PF - Gênero'!$A$32:$B$58,2,)</f>
        <v>1523</v>
      </c>
      <c r="AN13" s="34">
        <f>VLOOKUP($B$4:$B$30,'PF - Gênero'!$A$32:$C$58,3,)</f>
        <v>2349</v>
      </c>
      <c r="AO13" s="34">
        <f>VLOOKUP($B$4:$B$30,'Relatórios - SICCAU e IGEO'!$A$3:$F$29,6,)</f>
        <v>471</v>
      </c>
      <c r="AP13" s="34">
        <v>225</v>
      </c>
      <c r="AQ13" s="189">
        <f t="shared" si="9"/>
        <v>2.0933333333333333</v>
      </c>
      <c r="AR13" s="39">
        <f>VLOOKUP($B$4:$B$30,'Comparativo YoY'!$A$8:$EB$34,132,)/100</f>
        <v>0.16499444207980091</v>
      </c>
      <c r="AS13" s="39">
        <f>VLOOKUP($B$4:$B$30,'Comparativo YoY'!$A$8:$EC$34,133,)/100</f>
        <v>-7.424388798414043E-2</v>
      </c>
      <c r="AT13" s="39">
        <f>VLOOKUP($B$4:$B$30,'Comparativo YoY'!$A$8:$ED$34,134,)/100</f>
        <v>-1.348140501061252E-2</v>
      </c>
      <c r="AU13" s="39">
        <f>VLOOKUP($B$4:$B$30,'Comparativo YoY'!$A$8:$EE$34,135,)/100</f>
        <v>0.14279880291960595</v>
      </c>
      <c r="AV13" s="34">
        <f>VLOOKUP($B$4:$B$30,'Comparativo YoY'!$A$8:$EA$34,131,)</f>
        <v>1890731.72</v>
      </c>
      <c r="AW13" s="39">
        <f t="shared" si="10"/>
        <v>6.8430336589476726E-2</v>
      </c>
      <c r="AX13" s="39">
        <f t="shared" si="11"/>
        <v>1.0179129406709697</v>
      </c>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row>
    <row r="14" spans="1:99">
      <c r="A14" s="139">
        <v>11</v>
      </c>
      <c r="B14" s="66" t="s">
        <v>96</v>
      </c>
      <c r="C14" s="197" t="s">
        <v>9</v>
      </c>
      <c r="D14" s="139" t="s">
        <v>245</v>
      </c>
      <c r="E14" s="138">
        <f>VLOOKUP($C$4:$C$31,'TOTAL POR UF'!$A$5:$B$31,2,)</f>
        <v>344353.32800000004</v>
      </c>
      <c r="F14" s="138">
        <f>VLOOKUP($B$4:$B$31,'Evolução das Receitas'!$P$214:$Q$241,2,0)</f>
        <v>369035.8</v>
      </c>
      <c r="G14" s="137">
        <f t="shared" si="0"/>
        <v>0.93311632096398245</v>
      </c>
      <c r="H14" s="138">
        <f>VLOOKUP($C$4:$C$31,'TOTAL POR UF'!$A$5:$C$31,3,)</f>
        <v>178005.09600000002</v>
      </c>
      <c r="I14" s="138">
        <f>VLOOKUP($B$4:$B$31,'Evolução das Receitas'!$P$214:$R$241,3,0)</f>
        <v>149286.31</v>
      </c>
      <c r="J14" s="137">
        <f t="shared" si="1"/>
        <v>1.1923738754075979</v>
      </c>
      <c r="K14" s="138">
        <f>VLOOKUP($C$4:$C$31,'TOTAL POR UF'!$A$5:$D$31,4,)</f>
        <v>31513.328000000009</v>
      </c>
      <c r="L14" s="138">
        <f>VLOOKUP($B$4:$B$31,'Evolução das Receitas'!$P$214:$S$241,4,)</f>
        <v>29715.33</v>
      </c>
      <c r="M14" s="137">
        <f t="shared" si="2"/>
        <v>1.0605074215901358</v>
      </c>
      <c r="N14" s="138">
        <f>VLOOKUP($C$4:$C$31,'TOTAL POR UF'!$A$5:$E$31,5,)</f>
        <v>8980.1920000000009</v>
      </c>
      <c r="O14" s="138">
        <f>VLOOKUP($B$4:$B$31,'Evolução das Receitas'!$P$214:$T$241,5,0)</f>
        <v>6988.38</v>
      </c>
      <c r="P14" s="137">
        <f t="shared" si="3"/>
        <v>1.2850177008119192</v>
      </c>
      <c r="Q14" s="138">
        <f>VLOOKUP($C$4:$C$31,'TOTAL POR UF'!$A$5:$F$31,6,)</f>
        <v>384952.05599999998</v>
      </c>
      <c r="R14" s="138">
        <f>VLOOKUP($B$4:$B$31,'Evolução das Receitas'!$P$214:$U$241,6,0)</f>
        <v>324381.13</v>
      </c>
      <c r="S14" s="137">
        <f t="shared" si="4"/>
        <v>1.1867276496632218</v>
      </c>
      <c r="T14" s="138">
        <f>VLOOKUP($C$4:$C$31,'TOTAL POR UF'!$A$5:$T$31, 20,0)</f>
        <v>66854.616000000009</v>
      </c>
      <c r="U14" s="138">
        <f>VLOOKUP($B$4:$B$31,'Evolução das Receitas'!$P$214:$V$241,7,0)</f>
        <v>53046.36</v>
      </c>
      <c r="V14" s="137">
        <f t="shared" si="5"/>
        <v>1.2603054384881451</v>
      </c>
      <c r="W14" s="34">
        <f>VLOOKUP($B$4:$B$30,'Anuid PF'!$A$7:$G$33,7,)</f>
        <v>1776</v>
      </c>
      <c r="X14" s="34">
        <f>VLOOKUP($B$4:$B$30,'Relatórios - SICCAU e IGEO'!$A$3:$E$29,5,)</f>
        <v>253</v>
      </c>
      <c r="Y14" s="34">
        <f>VLOOKUP($B$4:$B$30,'Anuid PF'!$A$7:$B$33,2,)</f>
        <v>1662</v>
      </c>
      <c r="Z14" s="39">
        <f t="shared" si="7"/>
        <v>1.0685920577617329</v>
      </c>
      <c r="AA14" s="34">
        <f>VLOOKUP($B$4:$B$30,'Anuid PJ'!$A$6:$F$32,6,)</f>
        <v>272</v>
      </c>
      <c r="AB14" s="1005">
        <f>VLOOKUP($B$4:$B$30,'Relatórios - SICCAU e IGEO'!$A$3:$J$29,10,)</f>
        <v>17</v>
      </c>
      <c r="AC14" s="34">
        <f>VLOOKUP($B$4:$B$30,'Anuid PJ'!$A$6:$B$32,2,)</f>
        <v>262</v>
      </c>
      <c r="AD14" s="39">
        <f t="shared" si="6"/>
        <v>1.0381679389312977</v>
      </c>
      <c r="AE14" s="34">
        <f>VLOOKUP($B$4:$B$30,RRT!$A$5:$F$31,6,)</f>
        <v>4498</v>
      </c>
      <c r="AF14" s="34">
        <f>VLOOKUP($B$4:$B$30,RRT!$A$5:$B$31,2,)</f>
        <v>3660</v>
      </c>
      <c r="AG14" s="199">
        <f t="shared" si="8"/>
        <v>2.5326576576576576</v>
      </c>
      <c r="AH14" s="136">
        <f>VLOOKUP($B$4:$B$30,'RRT POR PROFISSIONAL'!$A$4:$D$35,4,)</f>
        <v>2.2021660649819497</v>
      </c>
      <c r="AI14" s="39">
        <f>VLOOKUP($B$4:$B$30,'ADIMPLÊNCIA PF'!$A$4:$L$30,12,)</f>
        <v>0.65889710062535534</v>
      </c>
      <c r="AJ14" s="39">
        <f>VLOOKUP($B$4:$B$30,'ADIMPLÊNCIA PF'!$A$4:$E$30,5,)</f>
        <v>0.47211895910780671</v>
      </c>
      <c r="AK14" s="39">
        <f>VLOOKUP($B$4:$B$30,'ADIMPLÊNCIA PJ'!$A$4:$I$30,9,)</f>
        <v>0.3125</v>
      </c>
      <c r="AL14" s="39">
        <f>VLOOKUP($B$4:$B$30,'ADIMPLÊNCIA PJ'!$A$4:$D$30,4,)</f>
        <v>0.21755725190839695</v>
      </c>
      <c r="AM14" s="34">
        <f>VLOOKUP($B$4:$B$30,'PF - Gênero'!$A$32:$B$58,2,)</f>
        <v>722</v>
      </c>
      <c r="AN14" s="34">
        <f>VLOOKUP($B$4:$B$30,'PF - Gênero'!$A$32:$C$58,3,)</f>
        <v>1054</v>
      </c>
      <c r="AO14" s="34">
        <f>VLOOKUP($B$4:$B$30,'Relatórios - SICCAU e IGEO'!$A$3:$F$29,6,)</f>
        <v>172</v>
      </c>
      <c r="AP14" s="34">
        <v>92</v>
      </c>
      <c r="AQ14" s="189">
        <f t="shared" si="9"/>
        <v>1.8695652173913044</v>
      </c>
      <c r="AR14" s="39">
        <f>VLOOKUP($B$4:$B$30,'Comparativo YoY'!$A$8:$EB$34,132,)/100</f>
        <v>0.1738293423704414</v>
      </c>
      <c r="AS14" s="39">
        <f>VLOOKUP($B$4:$B$30,'Comparativo YoY'!$A$8:$EC$34,133,)/100</f>
        <v>-0.16256568396946336</v>
      </c>
      <c r="AT14" s="39">
        <f>VLOOKUP($B$4:$B$30,'Comparativo YoY'!$A$8:$ED$34,134,)/100</f>
        <v>1.8392415351155905E-2</v>
      </c>
      <c r="AU14" s="39">
        <f>VLOOKUP($B$4:$B$30,'Comparativo YoY'!$A$8:$EE$34,135,)/100</f>
        <v>-8.8622475120089209E-2</v>
      </c>
      <c r="AV14" s="34">
        <f>VLOOKUP($B$4:$B$30,'Comparativo YoY'!$A$8:$EA$34,131,)</f>
        <v>944713.28</v>
      </c>
      <c r="AW14" s="39">
        <f t="shared" si="10"/>
        <v>7.4038692459155619E-2</v>
      </c>
      <c r="AX14" s="39">
        <f t="shared" si="11"/>
        <v>1.0881602382858184</v>
      </c>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9">
      <c r="A15" s="139">
        <v>12</v>
      </c>
      <c r="B15" s="66" t="s">
        <v>101</v>
      </c>
      <c r="C15" s="197" t="s">
        <v>14</v>
      </c>
      <c r="D15" s="139" t="s">
        <v>245</v>
      </c>
      <c r="E15" s="138">
        <f>VLOOKUP($C$4:$C$31,'TOTAL POR UF'!$A$5:$B$31,2,)</f>
        <v>558335.76800000016</v>
      </c>
      <c r="F15" s="138">
        <f>VLOOKUP($B$4:$B$31,'Evolução das Receitas'!$P$214:$Q$241,2,0)</f>
        <v>416936.32200000004</v>
      </c>
      <c r="G15" s="137">
        <f t="shared" si="0"/>
        <v>1.3391391887416326</v>
      </c>
      <c r="H15" s="138">
        <f>VLOOKUP($C$4:$C$31,'TOTAL POR UF'!$A$5:$C$31,3,)</f>
        <v>257480.97599999997</v>
      </c>
      <c r="I15" s="138">
        <f>VLOOKUP($B$4:$B$31,'Evolução das Receitas'!$P$214:$R$241,3,0)</f>
        <v>153007.4</v>
      </c>
      <c r="J15" s="137">
        <f t="shared" si="1"/>
        <v>1.6828008057126647</v>
      </c>
      <c r="K15" s="138">
        <f>VLOOKUP($C$4:$C$31,'TOTAL POR UF'!$A$5:$D$31,4,)</f>
        <v>49680.295999999995</v>
      </c>
      <c r="L15" s="138">
        <f>VLOOKUP($B$4:$B$31,'Evolução das Receitas'!$P$214:$S$241,4,)</f>
        <v>40340.9</v>
      </c>
      <c r="M15" s="137">
        <f t="shared" si="2"/>
        <v>1.2315118403406962</v>
      </c>
      <c r="N15" s="138">
        <f>VLOOKUP($C$4:$C$31,'TOTAL POR UF'!$A$5:$E$31,5,)</f>
        <v>21381.648000000001</v>
      </c>
      <c r="O15" s="138">
        <f>VLOOKUP($B$4:$B$31,'Evolução das Receitas'!$P$214:$T$241,5,0)</f>
        <v>14275.61</v>
      </c>
      <c r="P15" s="137">
        <f t="shared" si="3"/>
        <v>1.4977747360708229</v>
      </c>
      <c r="Q15" s="138">
        <f>VLOOKUP($C$4:$C$31,'TOTAL POR UF'!$A$5:$F$31,6,)</f>
        <v>732697.67200000002</v>
      </c>
      <c r="R15" s="138">
        <f>VLOOKUP($B$4:$B$31,'Evolução das Receitas'!$P$214:$U$241,6,0)</f>
        <v>601804.80000000005</v>
      </c>
      <c r="S15" s="137">
        <f t="shared" si="4"/>
        <v>1.2175005450272247</v>
      </c>
      <c r="T15" s="138">
        <f>VLOOKUP($C$4:$C$31,'TOTAL POR UF'!$A$5:$T$31, 20,0)</f>
        <v>90573.8</v>
      </c>
      <c r="U15" s="138">
        <f>VLOOKUP($B$4:$B$31,'Evolução das Receitas'!$P$214:$V$241,7,0)</f>
        <v>67172.36</v>
      </c>
      <c r="V15" s="137">
        <f t="shared" si="5"/>
        <v>1.3483790058887317</v>
      </c>
      <c r="W15" s="34">
        <f>VLOOKUP($B$4:$B$30,'Anuid PF'!$A$7:$G$33,7,)</f>
        <v>2639</v>
      </c>
      <c r="X15" s="34">
        <f>VLOOKUP($B$4:$B$30,'Relatórios - SICCAU e IGEO'!$A$3:$E$29,5,)</f>
        <v>281</v>
      </c>
      <c r="Y15" s="34">
        <f>VLOOKUP($B$4:$B$30,'Anuid PF'!$A$7:$B$33,2,)</f>
        <v>2536</v>
      </c>
      <c r="Z15" s="39">
        <f t="shared" si="7"/>
        <v>1.040615141955836</v>
      </c>
      <c r="AA15" s="34">
        <f>VLOOKUP($B$4:$B$30,'Anuid PJ'!$A$6:$F$32,6,)</f>
        <v>480</v>
      </c>
      <c r="AB15" s="1005">
        <f>VLOOKUP($B$4:$B$30,'Relatórios - SICCAU e IGEO'!$A$3:$J$29,10,)</f>
        <v>19</v>
      </c>
      <c r="AC15" s="34">
        <f>VLOOKUP($B$4:$B$30,'Anuid PJ'!$A$6:$B$32,2,)</f>
        <v>467</v>
      </c>
      <c r="AD15" s="39">
        <f t="shared" si="6"/>
        <v>1.0278372591006424</v>
      </c>
      <c r="AE15" s="34">
        <f>VLOOKUP($B$4:$B$30,RRT!$A$5:$F$31,6,)</f>
        <v>9518</v>
      </c>
      <c r="AF15" s="34">
        <f>VLOOKUP($B$4:$B$30,RRT!$A$5:$B$31,2,)</f>
        <v>7680</v>
      </c>
      <c r="AG15" s="199">
        <f t="shared" si="8"/>
        <v>3.6066691928760894</v>
      </c>
      <c r="AH15" s="136">
        <f>VLOOKUP($B$4:$B$30,'RRT POR PROFISSIONAL'!$A$4:$D$35,4,)</f>
        <v>3.0283911671924288</v>
      </c>
      <c r="AI15" s="39">
        <f>VLOOKUP($B$4:$B$30,'ADIMPLÊNCIA PF'!$A$4:$L$30,12,)</f>
        <v>0.71779141104294475</v>
      </c>
      <c r="AJ15" s="39">
        <f>VLOOKUP($B$4:$B$30,'ADIMPLÊNCIA PF'!$A$4:$E$30,5,)</f>
        <v>0.50101832993890016</v>
      </c>
      <c r="AK15" s="39">
        <f>VLOOKUP($B$4:$B$30,'ADIMPLÊNCIA PJ'!$A$4:$I$30,9,)</f>
        <v>0.28125</v>
      </c>
      <c r="AL15" s="39">
        <f>VLOOKUP($B$4:$B$30,'ADIMPLÊNCIA PJ'!$A$4:$D$30,4,)</f>
        <v>0.23340471092077089</v>
      </c>
      <c r="AM15" s="34">
        <f>VLOOKUP($B$4:$B$30,'PF - Gênero'!$A$32:$B$58,2,)</f>
        <v>914</v>
      </c>
      <c r="AN15" s="34">
        <f>VLOOKUP($B$4:$B$30,'PF - Gênero'!$A$32:$C$58,3,)</f>
        <v>1725</v>
      </c>
      <c r="AO15" s="34">
        <f>VLOOKUP($B$4:$B$30,'Relatórios - SICCAU e IGEO'!$A$3:$F$29,6,)</f>
        <v>275</v>
      </c>
      <c r="AP15" s="34">
        <v>168</v>
      </c>
      <c r="AQ15" s="189">
        <f t="shared" si="9"/>
        <v>1.6369047619047619</v>
      </c>
      <c r="AR15" s="39">
        <f>VLOOKUP($B$4:$B$30,'Comparativo YoY'!$A$8:$EB$34,132,)/100</f>
        <v>0.25963905803684995</v>
      </c>
      <c r="AS15" s="39">
        <f>VLOOKUP($B$4:$B$30,'Comparativo YoY'!$A$8:$EC$34,133,)/100</f>
        <v>-0.23504389173529844</v>
      </c>
      <c r="AT15" s="39">
        <f>VLOOKUP($B$4:$B$30,'Comparativo YoY'!$A$8:$ED$34,134,)/100</f>
        <v>-2.9611298054749539E-2</v>
      </c>
      <c r="AU15" s="39">
        <f>VLOOKUP($B$4:$B$30,'Comparativo YoY'!$A$8:$EE$34,135,)/100</f>
        <v>0.11688304129450301</v>
      </c>
      <c r="AV15" s="34">
        <f>VLOOKUP($B$4:$B$30,'Comparativo YoY'!$A$8:$EA$34,131,)</f>
        <v>1576706.9040000001</v>
      </c>
      <c r="AW15" s="39">
        <f t="shared" si="10"/>
        <v>8.4634154681167084E-2</v>
      </c>
      <c r="AX15" s="39">
        <f t="shared" si="11"/>
        <v>1.3220724584975894</v>
      </c>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9">
      <c r="A16" s="139">
        <v>13</v>
      </c>
      <c r="B16" s="66" t="s">
        <v>103</v>
      </c>
      <c r="C16" s="197" t="s">
        <v>16</v>
      </c>
      <c r="D16" s="139" t="s">
        <v>245</v>
      </c>
      <c r="E16" s="138">
        <f>VLOOKUP($C$4:$C$31,'TOTAL POR UF'!$A$5:$B$31,2,)</f>
        <v>1066023.8159999999</v>
      </c>
      <c r="F16" s="138">
        <f>VLOOKUP($B$4:$B$31,'Evolução das Receitas'!$P$214:$Q$241,2,0)</f>
        <v>1037353.97</v>
      </c>
      <c r="G16" s="137">
        <f t="shared" si="0"/>
        <v>1.027637476530793</v>
      </c>
      <c r="H16" s="138">
        <f>VLOOKUP($C$4:$C$31,'TOTAL POR UF'!$A$5:$C$31,3,)</f>
        <v>362496.12800000003</v>
      </c>
      <c r="I16" s="138">
        <f>VLOOKUP($B$4:$B$31,'Evolução das Receitas'!$P$214:$R$241,3,0)</f>
        <v>321606.04000000004</v>
      </c>
      <c r="J16" s="137">
        <f t="shared" si="1"/>
        <v>1.1271434081275338</v>
      </c>
      <c r="K16" s="138">
        <f>VLOOKUP($C$4:$C$31,'TOTAL POR UF'!$A$5:$D$31,4,)</f>
        <v>113434.568</v>
      </c>
      <c r="L16" s="138">
        <f>VLOOKUP($B$4:$B$31,'Evolução das Receitas'!$P$214:$S$241,4,)</f>
        <v>129174.40000000001</v>
      </c>
      <c r="M16" s="137">
        <f t="shared" si="2"/>
        <v>0.87815053137463761</v>
      </c>
      <c r="N16" s="138">
        <f>VLOOKUP($C$4:$C$31,'TOTAL POR UF'!$A$5:$E$31,5,)</f>
        <v>31026.512000000002</v>
      </c>
      <c r="O16" s="138">
        <f>VLOOKUP($B$4:$B$31,'Evolução das Receitas'!$P$214:$T$241,5,0)</f>
        <v>24973.199999999997</v>
      </c>
      <c r="P16" s="137">
        <f t="shared" si="3"/>
        <v>1.2423923245719413</v>
      </c>
      <c r="Q16" s="138">
        <f>VLOOKUP($C$4:$C$31,'TOTAL POR UF'!$A$5:$F$31,6,)</f>
        <v>1184538.544</v>
      </c>
      <c r="R16" s="138">
        <f>VLOOKUP($B$4:$B$31,'Evolução das Receitas'!$P$214:$U$241,6,0)</f>
        <v>1178424.77</v>
      </c>
      <c r="S16" s="137">
        <f t="shared" si="4"/>
        <v>1.0051880901994279</v>
      </c>
      <c r="T16" s="138">
        <f>VLOOKUP($C$4:$C$31,'TOTAL POR UF'!$A$5:$T$31, 20,0)</f>
        <v>159443.14400000006</v>
      </c>
      <c r="U16" s="138">
        <f>VLOOKUP($B$4:$B$31,'Evolução das Receitas'!$P$214:$V$241,7,0)</f>
        <v>117377.69</v>
      </c>
      <c r="V16" s="137">
        <f t="shared" si="5"/>
        <v>1.3583769113193491</v>
      </c>
      <c r="W16" s="34">
        <f>VLOOKUP($B$4:$B$30,'Anuid PF'!$A$7:$G$33,7,)</f>
        <v>4886</v>
      </c>
      <c r="X16" s="34">
        <f>VLOOKUP($B$4:$B$30,'Relatórios - SICCAU e IGEO'!$A$3:$E$29,5,)</f>
        <v>371</v>
      </c>
      <c r="Y16" s="34">
        <f>VLOOKUP($B$4:$B$30,'Anuid PF'!$A$7:$B$33,2,)</f>
        <v>4654</v>
      </c>
      <c r="Z16" s="39">
        <f t="shared" si="7"/>
        <v>1.0498495917490331</v>
      </c>
      <c r="AA16" s="34">
        <f>VLOOKUP($B$4:$B$30,'Anuid PJ'!$A$6:$F$32,6,)</f>
        <v>528</v>
      </c>
      <c r="AB16" s="1005">
        <f>VLOOKUP($B$4:$B$30,'Relatórios - SICCAU e IGEO'!$A$3:$J$29,10,)</f>
        <v>-8</v>
      </c>
      <c r="AC16" s="34">
        <f>VLOOKUP($B$4:$B$30,'Anuid PJ'!$A$6:$B$32,2,)</f>
        <v>539</v>
      </c>
      <c r="AD16" s="39">
        <f t="shared" si="6"/>
        <v>0.97959183673469385</v>
      </c>
      <c r="AE16" s="34">
        <f>VLOOKUP($B$4:$B$30,RRT!$A$5:$F$31,6,)</f>
        <v>15054</v>
      </c>
      <c r="AF16" s="34">
        <f>VLOOKUP($B$4:$B$30,RRT!$A$5:$B$31,2,)</f>
        <v>13028</v>
      </c>
      <c r="AG16" s="199">
        <f t="shared" si="8"/>
        <v>3.0810478919361439</v>
      </c>
      <c r="AH16" s="136">
        <f>VLOOKUP($B$4:$B$30,'RRT POR PROFISSIONAL'!$A$4:$D$35,4,)</f>
        <v>2.7993124194241514</v>
      </c>
      <c r="AI16" s="39">
        <f>VLOOKUP($B$4:$B$30,'ADIMPLÊNCIA PF'!$A$4:$L$30,12,)</f>
        <v>0.75789244502503805</v>
      </c>
      <c r="AJ16" s="39">
        <f>VLOOKUP($B$4:$B$30,'ADIMPLÊNCIA PF'!$A$4:$E$30,5,)</f>
        <v>0.57618497109826594</v>
      </c>
      <c r="AK16" s="39">
        <f>VLOOKUP($B$4:$B$30,'ADIMPLÊNCIA PJ'!$A$4:$I$30,9,)</f>
        <v>0.55681818181818177</v>
      </c>
      <c r="AL16" s="39">
        <f>VLOOKUP($B$4:$B$30,'ADIMPLÊNCIA PJ'!$A$4:$D$30,4,)</f>
        <v>0.48979591836734693</v>
      </c>
      <c r="AM16" s="34">
        <f>VLOOKUP($B$4:$B$30,'PF - Gênero'!$A$32:$B$58,2,)</f>
        <v>1577</v>
      </c>
      <c r="AN16" s="34">
        <f>VLOOKUP($B$4:$B$30,'PF - Gênero'!$A$32:$C$58,3,)</f>
        <v>3309</v>
      </c>
      <c r="AO16" s="34">
        <f>VLOOKUP($B$4:$B$30,'Relatórios - SICCAU e IGEO'!$A$3:$F$29,6,)</f>
        <v>332</v>
      </c>
      <c r="AP16" s="34">
        <v>159</v>
      </c>
      <c r="AQ16" s="189">
        <f t="shared" si="9"/>
        <v>2.0880503144654088</v>
      </c>
      <c r="AR16" s="39">
        <f>VLOOKUP($B$4:$B$30,'Comparativo YoY'!$A$8:$EB$34,132,)/100</f>
        <v>7.4432663547855781E-3</v>
      </c>
      <c r="AS16" s="39">
        <f>VLOOKUP($B$4:$B$30,'Comparativo YoY'!$A$8:$EC$34,133,)/100</f>
        <v>-0.23366829159319921</v>
      </c>
      <c r="AT16" s="39">
        <f>VLOOKUP($B$4:$B$30,'Comparativo YoY'!$A$8:$ED$34,134,)/100</f>
        <v>-0.16568705948794515</v>
      </c>
      <c r="AU16" s="39">
        <f>VLOOKUP($B$4:$B$30,'Comparativo YoY'!$A$8:$EE$34,135,)/100</f>
        <v>-0.19934707700156751</v>
      </c>
      <c r="AV16" s="34">
        <f>VLOOKUP($B$4:$B$30,'Comparativo YoY'!$A$8:$EA$34,131,)</f>
        <v>3225394.1680000001</v>
      </c>
      <c r="AW16" s="39">
        <f t="shared" si="10"/>
        <v>-9.5625973116722052E-2</v>
      </c>
      <c r="AX16" s="39">
        <f t="shared" si="11"/>
        <v>1.0384678182310052</v>
      </c>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row>
    <row r="17" spans="1:99">
      <c r="A17" s="139">
        <v>14</v>
      </c>
      <c r="B17" s="66" t="s">
        <v>104</v>
      </c>
      <c r="C17" s="197" t="s">
        <v>17</v>
      </c>
      <c r="D17" s="139" t="s">
        <v>245</v>
      </c>
      <c r="E17" s="138">
        <f>VLOOKUP($C$4:$C$31,'TOTAL POR UF'!$A$5:$B$31,2,)</f>
        <v>294695.696</v>
      </c>
      <c r="F17" s="138">
        <f>VLOOKUP($B$4:$B$31,'Evolução das Receitas'!$P$214:$Q$241,2,0)</f>
        <v>310782.46000000002</v>
      </c>
      <c r="G17" s="137">
        <f t="shared" si="0"/>
        <v>0.94823786387429965</v>
      </c>
      <c r="H17" s="138">
        <f>VLOOKUP($C$4:$C$31,'TOTAL POR UF'!$A$5:$C$31,3,)</f>
        <v>82142.800000000017</v>
      </c>
      <c r="I17" s="138">
        <f>VLOOKUP($B$4:$B$31,'Evolução das Receitas'!$P$214:$R$241,3,0)</f>
        <v>55168.07</v>
      </c>
      <c r="J17" s="137">
        <f t="shared" si="1"/>
        <v>1.4889554773259246</v>
      </c>
      <c r="K17" s="138">
        <f>VLOOKUP($C$4:$C$31,'TOTAL POR UF'!$A$5:$D$31,4,)</f>
        <v>42071.16</v>
      </c>
      <c r="L17" s="138">
        <f>VLOOKUP($B$4:$B$31,'Evolução das Receitas'!$P$214:$S$241,4,)</f>
        <v>43670.39</v>
      </c>
      <c r="M17" s="137">
        <f t="shared" si="2"/>
        <v>0.96337953473738169</v>
      </c>
      <c r="N17" s="138">
        <f>VLOOKUP($C$4:$C$31,'TOTAL POR UF'!$A$5:$E$31,5,)</f>
        <v>12088.040000000005</v>
      </c>
      <c r="O17" s="138">
        <f>VLOOKUP($B$4:$B$31,'Evolução das Receitas'!$P$214:$T$241,5,0)</f>
        <v>16377.880000000001</v>
      </c>
      <c r="P17" s="137">
        <f t="shared" si="3"/>
        <v>0.73807110566202727</v>
      </c>
      <c r="Q17" s="138">
        <f>VLOOKUP($C$4:$C$31,'TOTAL POR UF'!$A$5:$F$31,6,)</f>
        <v>348988.08800000005</v>
      </c>
      <c r="R17" s="138">
        <f>VLOOKUP($B$4:$B$31,'Evolução das Receitas'!$P$214:$U$241,6,0)</f>
        <v>309541.19999999995</v>
      </c>
      <c r="S17" s="137">
        <f t="shared" si="4"/>
        <v>1.1274366320218443</v>
      </c>
      <c r="T17" s="138">
        <f>VLOOKUP($C$4:$C$31,'TOTAL POR UF'!$A$5:$T$31, 20,0)</f>
        <v>42910.888000000014</v>
      </c>
      <c r="U17" s="138">
        <f>VLOOKUP($B$4:$B$31,'Evolução das Receitas'!$P$214:$V$241,7,0)</f>
        <v>31540.54</v>
      </c>
      <c r="V17" s="137">
        <f t="shared" si="5"/>
        <v>1.3604994714738559</v>
      </c>
      <c r="W17" s="34">
        <f>VLOOKUP($B$4:$B$30,'Anuid PF'!$A$7:$G$33,7,)</f>
        <v>1337</v>
      </c>
      <c r="X17" s="34">
        <f>VLOOKUP($B$4:$B$30,'Relatórios - SICCAU e IGEO'!$A$3:$E$29,5,)</f>
        <v>145</v>
      </c>
      <c r="Y17" s="34">
        <f>VLOOKUP($B$4:$B$30,'Anuid PF'!$A$7:$B$33,2,)</f>
        <v>1260</v>
      </c>
      <c r="Z17" s="39">
        <f t="shared" si="7"/>
        <v>1.0611111111111111</v>
      </c>
      <c r="AA17" s="34">
        <f>VLOOKUP($B$4:$B$30,'Anuid PJ'!$A$6:$F$32,6,)</f>
        <v>239</v>
      </c>
      <c r="AB17" s="1005">
        <f>VLOOKUP($B$4:$B$30,'Relatórios - SICCAU e IGEO'!$A$3:$J$29,10,)</f>
        <v>30</v>
      </c>
      <c r="AC17" s="34">
        <f>VLOOKUP($B$4:$B$30,'Anuid PJ'!$A$6:$B$32,2,)</f>
        <v>223</v>
      </c>
      <c r="AD17" s="39">
        <f t="shared" si="6"/>
        <v>1.0717488789237668</v>
      </c>
      <c r="AE17" s="34">
        <f>VLOOKUP($B$4:$B$30,RRT!$A$5:$F$31,6,)</f>
        <v>4635</v>
      </c>
      <c r="AF17" s="34">
        <f>VLOOKUP($B$4:$B$30,RRT!$A$5:$B$31,2,)</f>
        <v>3695</v>
      </c>
      <c r="AG17" s="199">
        <f t="shared" si="8"/>
        <v>3.4667165295437545</v>
      </c>
      <c r="AH17" s="136">
        <f>VLOOKUP($B$4:$B$30,'RRT POR PROFISSIONAL'!$A$4:$D$35,4,)</f>
        <v>2.9325396825396823</v>
      </c>
      <c r="AI17" s="39">
        <f>VLOOKUP($B$4:$B$30,'ADIMPLÊNCIA PF'!$A$4:$L$30,12,)</f>
        <v>0.75267175572519085</v>
      </c>
      <c r="AJ17" s="39">
        <f>VLOOKUP($B$4:$B$30,'ADIMPLÊNCIA PF'!$A$4:$E$30,5,)</f>
        <v>0.53694581280788178</v>
      </c>
      <c r="AK17" s="39">
        <f>VLOOKUP($B$4:$B$30,'ADIMPLÊNCIA PJ'!$A$4:$I$30,9,)</f>
        <v>0.5104602510460251</v>
      </c>
      <c r="AL17" s="39">
        <f>VLOOKUP($B$4:$B$30,'ADIMPLÊNCIA PJ'!$A$4:$D$30,4,)</f>
        <v>0.39013452914798208</v>
      </c>
      <c r="AM17" s="34">
        <f>VLOOKUP($B$4:$B$30,'PF - Gênero'!$A$32:$B$58,2,)</f>
        <v>489</v>
      </c>
      <c r="AN17" s="34">
        <f>VLOOKUP($B$4:$B$30,'PF - Gênero'!$A$32:$C$58,3,)</f>
        <v>848</v>
      </c>
      <c r="AO17" s="34">
        <f>VLOOKUP($B$4:$B$30,'Relatórios - SICCAU e IGEO'!$A$3:$F$29,6,)</f>
        <v>148</v>
      </c>
      <c r="AP17" s="34">
        <v>84</v>
      </c>
      <c r="AQ17" s="189">
        <f t="shared" si="9"/>
        <v>1.7619047619047619</v>
      </c>
      <c r="AR17" s="39">
        <f>VLOOKUP($B$4:$B$30,'Comparativo YoY'!$A$8:$EB$34,132,)/100</f>
        <v>0.27880806630987665</v>
      </c>
      <c r="AS17" s="39">
        <f>VLOOKUP($B$4:$B$30,'Comparativo YoY'!$A$8:$EC$34,133,)/100</f>
        <v>7.6810145387422757E-2</v>
      </c>
      <c r="AT17" s="39">
        <f>VLOOKUP($B$4:$B$30,'Comparativo YoY'!$A$8:$ED$34,134,)/100</f>
        <v>-1.4713934306448805E-2</v>
      </c>
      <c r="AU17" s="39">
        <f>VLOOKUP($B$4:$B$30,'Comparativo YoY'!$A$8:$EE$34,135,)/100</f>
        <v>-0.12129455472732914</v>
      </c>
      <c r="AV17" s="34">
        <f>VLOOKUP($B$4:$B$30,'Comparativo YoY'!$A$8:$EA$34,131,)</f>
        <v>748009.41200000001</v>
      </c>
      <c r="AW17" s="39">
        <f t="shared" si="10"/>
        <v>0.10011539801320057</v>
      </c>
      <c r="AX17" s="39">
        <f t="shared" si="11"/>
        <v>1.0727643696970857</v>
      </c>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9">
      <c r="A18" s="139">
        <v>15</v>
      </c>
      <c r="B18" s="66" t="s">
        <v>106</v>
      </c>
      <c r="C18" s="197" t="s">
        <v>20</v>
      </c>
      <c r="D18" s="139" t="s">
        <v>245</v>
      </c>
      <c r="E18" s="138">
        <f>VLOOKUP($C$4:$C$31,'TOTAL POR UF'!$A$5:$B$31,2,)</f>
        <v>538060.95199999993</v>
      </c>
      <c r="F18" s="138">
        <f>VLOOKUP($B$4:$B$31,'Evolução das Receitas'!$P$214:$Q$241,2,0)</f>
        <v>487662.72</v>
      </c>
      <c r="G18" s="137">
        <f t="shared" si="0"/>
        <v>1.1033464932484485</v>
      </c>
      <c r="H18" s="138">
        <f>VLOOKUP($C$4:$C$31,'TOTAL POR UF'!$A$5:$C$31,3,)</f>
        <v>249700.10400000005</v>
      </c>
      <c r="I18" s="138">
        <f>VLOOKUP($B$4:$B$31,'Evolução das Receitas'!$P$214:$R$241,3,0)</f>
        <v>192304.15</v>
      </c>
      <c r="J18" s="137">
        <f t="shared" si="1"/>
        <v>1.2984644585153262</v>
      </c>
      <c r="K18" s="138">
        <f>VLOOKUP($C$4:$C$31,'TOTAL POR UF'!$A$5:$D$31,4,)</f>
        <v>40339.616000000002</v>
      </c>
      <c r="L18" s="138">
        <f>VLOOKUP($B$4:$B$31,'Evolução das Receitas'!$P$214:$S$241,4,)</f>
        <v>37583.050000000003</v>
      </c>
      <c r="M18" s="137">
        <f t="shared" si="2"/>
        <v>1.073345989748038</v>
      </c>
      <c r="N18" s="138">
        <f>VLOOKUP($C$4:$C$31,'TOTAL POR UF'!$A$5:$E$31,5,)</f>
        <v>10941.432000000001</v>
      </c>
      <c r="O18" s="138">
        <f>VLOOKUP($B$4:$B$31,'Evolução das Receitas'!$P$214:$T$241,5,0)</f>
        <v>11774</v>
      </c>
      <c r="P18" s="137">
        <f t="shared" si="3"/>
        <v>0.92928758280958046</v>
      </c>
      <c r="Q18" s="138">
        <f>VLOOKUP($C$4:$C$31,'TOTAL POR UF'!$A$5:$F$31,6,)</f>
        <v>629055.46400000004</v>
      </c>
      <c r="R18" s="138">
        <f>VLOOKUP($B$4:$B$31,'Evolução das Receitas'!$P$214:$U$241,6,0)</f>
        <v>564975.6</v>
      </c>
      <c r="S18" s="137">
        <f t="shared" si="4"/>
        <v>1.1134205866589637</v>
      </c>
      <c r="T18" s="138">
        <f>VLOOKUP($C$4:$C$31,'TOTAL POR UF'!$A$5:$T$31, 20,0)</f>
        <v>90127.840000000011</v>
      </c>
      <c r="U18" s="138">
        <f>VLOOKUP($B$4:$B$31,'Evolução das Receitas'!$P$214:$V$241,7,0)</f>
        <v>92298.27</v>
      </c>
      <c r="V18" s="137">
        <f t="shared" si="5"/>
        <v>0.97648460799969494</v>
      </c>
      <c r="W18" s="34">
        <f>VLOOKUP($B$4:$B$30,'Anuid PF'!$A$7:$G$33,7,)</f>
        <v>2487</v>
      </c>
      <c r="X18" s="34">
        <f>VLOOKUP($B$4:$B$30,'Relatórios - SICCAU e IGEO'!$A$3:$E$29,5,)</f>
        <v>142</v>
      </c>
      <c r="Y18" s="34">
        <f>VLOOKUP($B$4:$B$30,'Anuid PF'!$A$7:$B$33,2,)</f>
        <v>2420</v>
      </c>
      <c r="Z18" s="189">
        <f t="shared" si="7"/>
        <v>1.0276859504132232</v>
      </c>
      <c r="AA18" s="34">
        <f>VLOOKUP($B$4:$B$30,'Anuid PJ'!$A$6:$F$32,6,)</f>
        <v>295</v>
      </c>
      <c r="AB18" s="1005">
        <f>VLOOKUP($B$4:$B$30,'Relatórios - SICCAU e IGEO'!$A$3:$J$29,10,)</f>
        <v>15</v>
      </c>
      <c r="AC18" s="34">
        <f>VLOOKUP($B$4:$B$30,'Anuid PJ'!$A$6:$B$32,2,)</f>
        <v>284</v>
      </c>
      <c r="AD18" s="39">
        <f t="shared" si="6"/>
        <v>1.0387323943661972</v>
      </c>
      <c r="AE18" s="34">
        <f>VLOOKUP($B$4:$B$30,RRT!$A$5:$F$31,6,)</f>
        <v>8016</v>
      </c>
      <c r="AF18" s="34">
        <f>VLOOKUP($B$4:$B$30,RRT!$A$5:$B$31,2,)</f>
        <v>7210</v>
      </c>
      <c r="AG18" s="199">
        <f t="shared" si="8"/>
        <v>3.2231604342581424</v>
      </c>
      <c r="AH18" s="136">
        <f>VLOOKUP($B$4:$B$30,'RRT POR PROFISSIONAL'!$A$4:$D$35,4,)</f>
        <v>2.9793388429752068</v>
      </c>
      <c r="AI18" s="39">
        <f>VLOOKUP($B$4:$B$30,'ADIMPLÊNCIA PF'!$A$4:$L$30,12,)</f>
        <v>0.69099062372604969</v>
      </c>
      <c r="AJ18" s="39">
        <f>VLOOKUP($B$4:$B$30,'ADIMPLÊNCIA PF'!$A$4:$E$30,5,)</f>
        <v>0.59796437659033075</v>
      </c>
      <c r="AK18" s="39">
        <f>VLOOKUP($B$4:$B$30,'ADIMPLÊNCIA PJ'!$A$4:$I$30,9,)</f>
        <v>0.3728813559322034</v>
      </c>
      <c r="AL18" s="39">
        <f>VLOOKUP($B$4:$B$30,'ADIMPLÊNCIA PJ'!$A$4:$D$30,4,)</f>
        <v>0.323943661971831</v>
      </c>
      <c r="AM18" s="34">
        <f>VLOOKUP($B$4:$B$30,'PF - Gênero'!$A$32:$B$58,2,)</f>
        <v>668</v>
      </c>
      <c r="AN18" s="34">
        <f>VLOOKUP($B$4:$B$30,'PF - Gênero'!$A$32:$C$58,3,)</f>
        <v>1819</v>
      </c>
      <c r="AO18" s="34">
        <f>VLOOKUP($B$4:$B$30,'Relatórios - SICCAU e IGEO'!$A$3:$F$29,6,)</f>
        <v>191</v>
      </c>
      <c r="AP18" s="34">
        <v>168</v>
      </c>
      <c r="AQ18" s="189">
        <f t="shared" si="9"/>
        <v>1.1369047619047619</v>
      </c>
      <c r="AR18" s="39">
        <f>VLOOKUP($B$4:$B$30,'Comparativo YoY'!$A$8:$EB$34,132,)/100</f>
        <v>0.17609990357504571</v>
      </c>
      <c r="AS18" s="39">
        <f>VLOOKUP($B$4:$B$30,'Comparativo YoY'!$A$8:$EC$34,133,)/100</f>
        <v>-0.16185120142448411</v>
      </c>
      <c r="AT18" s="39">
        <f>VLOOKUP($B$4:$B$30,'Comparativo YoY'!$A$8:$ED$34,134,)/100</f>
        <v>8.3981483274504845E-3</v>
      </c>
      <c r="AU18" s="39">
        <f>VLOOKUP($B$4:$B$30,'Comparativo YoY'!$A$8:$EE$34,135,)/100</f>
        <v>-2.5243626256752662E-2</v>
      </c>
      <c r="AV18" s="34">
        <f>VLOOKUP($B$4:$B$30,'Comparativo YoY'!$A$8:$EA$34,131,)</f>
        <v>1447270.1200000003</v>
      </c>
      <c r="AW18" s="39">
        <f t="shared" si="10"/>
        <v>7.66652240426271E-2</v>
      </c>
      <c r="AX18" s="39">
        <f t="shared" si="11"/>
        <v>1.1237760648673758</v>
      </c>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row>
    <row r="19" spans="1:99">
      <c r="A19" s="139">
        <v>16</v>
      </c>
      <c r="B19" s="66" t="s">
        <v>112</v>
      </c>
      <c r="C19" s="197" t="s">
        <v>24</v>
      </c>
      <c r="D19" s="139" t="s">
        <v>245</v>
      </c>
      <c r="E19" s="138">
        <f>VLOOKUP($C$4:$C$31,'TOTAL POR UF'!$A$5:$B$31,2,)</f>
        <v>329185.56</v>
      </c>
      <c r="F19" s="138">
        <f>VLOOKUP($B$4:$B$31,'Evolução das Receitas'!$P$214:$Q$241,2,0)</f>
        <v>249818.4</v>
      </c>
      <c r="G19" s="137">
        <f t="shared" si="0"/>
        <v>1.3176994168564045</v>
      </c>
      <c r="H19" s="138">
        <f>VLOOKUP($C$4:$C$31,'TOTAL POR UF'!$A$5:$C$31,3,)</f>
        <v>129505.38399999999</v>
      </c>
      <c r="I19" s="138">
        <f>VLOOKUP($B$4:$B$31,'Evolução das Receitas'!$P$214:$R$241,3,0)</f>
        <v>41425.74</v>
      </c>
      <c r="J19" s="137">
        <f t="shared" si="1"/>
        <v>3.1262056875749233</v>
      </c>
      <c r="K19" s="138">
        <f>VLOOKUP($C$4:$C$31,'TOTAL POR UF'!$A$5:$D$31,4,)</f>
        <v>29891.24</v>
      </c>
      <c r="L19" s="138">
        <f>VLOOKUP($B$4:$B$31,'Evolução das Receitas'!$P$214:$S$241,4,)</f>
        <v>28347.62</v>
      </c>
      <c r="M19" s="137">
        <f t="shared" si="2"/>
        <v>1.0544532486325131</v>
      </c>
      <c r="N19" s="138">
        <f>VLOOKUP($C$4:$C$31,'TOTAL POR UF'!$A$5:$E$31,5,)</f>
        <v>6979.48</v>
      </c>
      <c r="O19" s="138">
        <f>VLOOKUP($B$4:$B$31,'Evolução das Receitas'!$P$214:$T$241,5,0)</f>
        <v>2298.14</v>
      </c>
      <c r="P19" s="137">
        <f t="shared" si="3"/>
        <v>3.037012540576292</v>
      </c>
      <c r="Q19" s="138">
        <f>VLOOKUP($C$4:$C$31,'TOTAL POR UF'!$A$5:$F$31,6,)</f>
        <v>523260.00800000009</v>
      </c>
      <c r="R19" s="138">
        <f>VLOOKUP($B$4:$B$31,'Evolução das Receitas'!$P$214:$U$241,6,0)</f>
        <v>428707.56</v>
      </c>
      <c r="S19" s="137">
        <f t="shared" si="4"/>
        <v>1.2205523224269712</v>
      </c>
      <c r="T19" s="138">
        <f>VLOOKUP($C$4:$C$31,'TOTAL POR UF'!$A$5:$T$31, 20,0)</f>
        <v>57597.128000000004</v>
      </c>
      <c r="U19" s="138">
        <f>VLOOKUP($B$4:$B$31,'Evolução das Receitas'!$P$214:$V$241,7,0)</f>
        <v>35429.54</v>
      </c>
      <c r="V19" s="137">
        <f t="shared" si="5"/>
        <v>1.6256809430774433</v>
      </c>
      <c r="W19" s="34">
        <f>VLOOKUP($B$4:$B$30,'Anuid PF'!$A$7:$G$33,7,)</f>
        <v>1444</v>
      </c>
      <c r="X19" s="34">
        <f>VLOOKUP($B$4:$B$30,'Relatórios - SICCAU e IGEO'!$A$3:$E$29,5,)</f>
        <v>118</v>
      </c>
      <c r="Y19" s="34">
        <f>VLOOKUP($B$4:$B$30,'Anuid PF'!$A$7:$B$33,2,)</f>
        <v>1381</v>
      </c>
      <c r="Z19" s="189">
        <f t="shared" si="7"/>
        <v>1.0456191165821869</v>
      </c>
      <c r="AA19" s="34">
        <f>VLOOKUP($B$4:$B$30,'Anuid PJ'!$A$6:$F$32,6,)</f>
        <v>161</v>
      </c>
      <c r="AB19" s="1005">
        <f>VLOOKUP($B$4:$B$30,'Relatórios - SICCAU e IGEO'!$A$3:$J$29,10,)</f>
        <v>6</v>
      </c>
      <c r="AC19" s="34">
        <f>VLOOKUP($B$4:$B$30,'Anuid PJ'!$A$6:$B$32,2,)</f>
        <v>158</v>
      </c>
      <c r="AD19" s="39">
        <f t="shared" si="6"/>
        <v>1.018987341772152</v>
      </c>
      <c r="AE19" s="34">
        <f>VLOOKUP($B$4:$B$30,RRT!$A$5:$F$31,6,)</f>
        <v>6810</v>
      </c>
      <c r="AF19" s="34">
        <f>VLOOKUP($B$4:$B$30,RRT!$A$5:$B$31,2,)</f>
        <v>5471</v>
      </c>
      <c r="AG19" s="199">
        <f t="shared" si="8"/>
        <v>4.71606648199446</v>
      </c>
      <c r="AH19" s="136">
        <f>VLOOKUP($B$4:$B$30,'RRT POR PROFISSIONAL'!$A$4:$D$35,4,)</f>
        <v>3.9616220130340332</v>
      </c>
      <c r="AI19" s="39">
        <f>VLOOKUP($B$4:$B$30,'ADIMPLÊNCIA PF'!$A$4:$L$30,12,)</f>
        <v>0.71408450704225357</v>
      </c>
      <c r="AJ19" s="39">
        <f>VLOOKUP($B$4:$B$30,'ADIMPLÊNCIA PF'!$A$4:$E$30,5,)</f>
        <v>0.54761904761904767</v>
      </c>
      <c r="AK19" s="39">
        <f>VLOOKUP($B$4:$B$30,'ADIMPLÊNCIA PJ'!$A$4:$I$30,9,)</f>
        <v>0.50310559006211175</v>
      </c>
      <c r="AL19" s="39">
        <f>VLOOKUP($B$4:$B$30,'ADIMPLÊNCIA PJ'!$A$4:$D$30,4,)</f>
        <v>0.46202531645569622</v>
      </c>
      <c r="AM19" s="34">
        <f>VLOOKUP($B$4:$B$30,'PF - Gênero'!$A$32:$B$58,2,)</f>
        <v>562</v>
      </c>
      <c r="AN19" s="34">
        <f>VLOOKUP($B$4:$B$30,'PF - Gênero'!$A$32:$C$58,3,)</f>
        <v>882</v>
      </c>
      <c r="AO19" s="34">
        <f>VLOOKUP($B$4:$B$30,'Relatórios - SICCAU e IGEO'!$A$3:$F$29,6,)</f>
        <v>126</v>
      </c>
      <c r="AP19" s="34">
        <v>74</v>
      </c>
      <c r="AQ19" s="189">
        <f t="shared" si="9"/>
        <v>1.7027027027027026</v>
      </c>
      <c r="AR19" s="39">
        <f>VLOOKUP($B$4:$B$30,'Comparativo YoY'!$A$8:$EB$34,132,)/100</f>
        <v>0.20590454490551197</v>
      </c>
      <c r="AS19" s="39">
        <f>VLOOKUP($B$4:$B$30,'Comparativo YoY'!$A$8:$EC$34,133,)/100</f>
        <v>-5.9461676681533362E-2</v>
      </c>
      <c r="AT19" s="39">
        <f>VLOOKUP($B$4:$B$30,'Comparativo YoY'!$A$8:$ED$34,134,)/100</f>
        <v>1.9333494683320539E-2</v>
      </c>
      <c r="AU19" s="39">
        <f>VLOOKUP($B$4:$B$30,'Comparativo YoY'!$A$8:$EE$34,135,)/100</f>
        <v>0.31001982231606318</v>
      </c>
      <c r="AV19" s="34">
        <f>VLOOKUP($B$4:$B$30,'Comparativo YoY'!$A$8:$EA$34,131,)</f>
        <v>976874.62400000007</v>
      </c>
      <c r="AW19" s="39">
        <f t="shared" si="10"/>
        <v>0.10190066724468427</v>
      </c>
      <c r="AX19" s="39">
        <f t="shared" si="11"/>
        <v>1.3694425255112102</v>
      </c>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row>
    <row r="20" spans="1:99">
      <c r="A20" s="139">
        <v>17</v>
      </c>
      <c r="B20" s="66" t="s">
        <v>93</v>
      </c>
      <c r="C20" s="197" t="s">
        <v>6</v>
      </c>
      <c r="D20" s="139" t="s">
        <v>246</v>
      </c>
      <c r="E20" s="138">
        <f>VLOOKUP($C$4:$C$31,'TOTAL POR UF'!$A$5:$B$31,2,)</f>
        <v>1414428.9920000003</v>
      </c>
      <c r="F20" s="138">
        <f>VLOOKUP($B$4:$B$31,'Evolução das Receitas'!$P$214:$Q$241,2,0)</f>
        <v>1291106.17</v>
      </c>
      <c r="G20" s="137">
        <f t="shared" si="0"/>
        <v>1.0955171812090405</v>
      </c>
      <c r="H20" s="138">
        <f>VLOOKUP($C$4:$C$31,'TOTAL POR UF'!$A$5:$C$31,3,)</f>
        <v>453876.95199999999</v>
      </c>
      <c r="I20" s="138">
        <f>VLOOKUP($B$4:$B$31,'Evolução das Receitas'!$P$214:$R$241,3,0)</f>
        <v>320000</v>
      </c>
      <c r="J20" s="137">
        <f t="shared" si="1"/>
        <v>1.4183654749999999</v>
      </c>
      <c r="K20" s="138">
        <f>VLOOKUP($C$4:$C$31,'TOTAL POR UF'!$A$5:$D$31,4,)</f>
        <v>126929.92</v>
      </c>
      <c r="L20" s="138">
        <f>VLOOKUP($B$4:$B$31,'Evolução das Receitas'!$P$214:$S$241,4,)</f>
        <v>106063.11</v>
      </c>
      <c r="M20" s="137">
        <f t="shared" si="2"/>
        <v>1.1967395638313829</v>
      </c>
      <c r="N20" s="138">
        <f>VLOOKUP($C$4:$C$31,'TOTAL POR UF'!$A$5:$E$31,5,)</f>
        <v>27478.191999999999</v>
      </c>
      <c r="O20" s="138">
        <f>VLOOKUP($B$4:$B$31,'Evolução das Receitas'!$P$214:$T$241,5,0)</f>
        <v>30000</v>
      </c>
      <c r="P20" s="137">
        <f t="shared" si="3"/>
        <v>0.91593973333333334</v>
      </c>
      <c r="Q20" s="138">
        <f>VLOOKUP($C$4:$C$31,'TOTAL POR UF'!$A$5:$F$31,6,)</f>
        <v>1237583.1600000001</v>
      </c>
      <c r="R20" s="138">
        <f>VLOOKUP($B$4:$B$31,'Evolução das Receitas'!$P$214:$U$241,6,0)</f>
        <v>1189583.1599999999</v>
      </c>
      <c r="S20" s="137">
        <f t="shared" si="4"/>
        <v>1.0403502685764316</v>
      </c>
      <c r="T20" s="138">
        <f>VLOOKUP($C$4:$C$31,'TOTAL POR UF'!$A$5:$T$31, 20,0)</f>
        <v>193527.32</v>
      </c>
      <c r="U20" s="138">
        <f>VLOOKUP($B$4:$B$31,'Evolução das Receitas'!$P$214:$V$241,7,0)</f>
        <v>186218.79</v>
      </c>
      <c r="V20" s="137">
        <f t="shared" si="5"/>
        <v>1.0392470061694634</v>
      </c>
      <c r="W20" s="34">
        <f>VLOOKUP($B$4:$B$30,'Anuid PF'!$A$7:$G$33,7,)</f>
        <v>6203</v>
      </c>
      <c r="X20" s="34">
        <f>VLOOKUP($B$4:$B$30,'Relatórios - SICCAU e IGEO'!$A$3:$E$29,5,)</f>
        <v>470</v>
      </c>
      <c r="Y20" s="34">
        <f>VLOOKUP($B$4:$B$30,'Anuid PF'!$A$7:$B$33,2,)</f>
        <v>6105</v>
      </c>
      <c r="Z20" s="39">
        <f t="shared" si="7"/>
        <v>1.016052416052416</v>
      </c>
      <c r="AA20" s="34">
        <f>VLOOKUP($B$4:$B$30,'Anuid PJ'!$A$6:$F$32,6,)</f>
        <v>734</v>
      </c>
      <c r="AB20" s="1005">
        <f>VLOOKUP($B$4:$B$30,'Relatórios - SICCAU e IGEO'!$A$3:$J$29,10,)</f>
        <v>37</v>
      </c>
      <c r="AC20" s="34">
        <f>VLOOKUP($B$4:$B$30,'Anuid PJ'!$A$6:$B$32,2,)</f>
        <v>716</v>
      </c>
      <c r="AD20" s="39">
        <f t="shared" si="6"/>
        <v>1.0251396648044693</v>
      </c>
      <c r="AE20" s="34">
        <f>VLOOKUP($B$4:$B$30,RRT!$A$5:$F$31,6,)</f>
        <v>17197</v>
      </c>
      <c r="AF20" s="34">
        <f>VLOOKUP($B$4:$B$30,RRT!$A$5:$B$31,2,)</f>
        <v>15181</v>
      </c>
      <c r="AG20" s="199">
        <f t="shared" si="8"/>
        <v>2.7723682089311623</v>
      </c>
      <c r="AH20" s="136">
        <f>VLOOKUP($B$4:$B$30,'RRT POR PROFISSIONAL'!$A$4:$D$35,4,)</f>
        <v>2.4866502866502866</v>
      </c>
      <c r="AI20" s="39">
        <f>VLOOKUP($B$4:$B$30,'ADIMPLÊNCIA PF'!$A$4:$L$30,12,)</f>
        <v>0.73295649194929768</v>
      </c>
      <c r="AJ20" s="39">
        <f>VLOOKUP($B$4:$B$30,'ADIMPLÊNCIA PF'!$A$4:$E$30,5,)</f>
        <v>0.65728447512834132</v>
      </c>
      <c r="AK20" s="39">
        <f>VLOOKUP($B$4:$B$30,'ADIMPLÊNCIA PJ'!$A$4:$I$30,9,)</f>
        <v>0.43732970027247958</v>
      </c>
      <c r="AL20" s="39">
        <f>VLOOKUP($B$4:$B$30,'ADIMPLÊNCIA PJ'!$A$4:$D$30,4,)</f>
        <v>0.38407821229050282</v>
      </c>
      <c r="AM20" s="34">
        <f>VLOOKUP($B$4:$B$30,'PF - Gênero'!$A$32:$B$58,2,)</f>
        <v>2230</v>
      </c>
      <c r="AN20" s="34">
        <f>VLOOKUP($B$4:$B$30,'PF - Gênero'!$A$32:$C$58,3,)</f>
        <v>3973</v>
      </c>
      <c r="AO20" s="34">
        <f>VLOOKUP($B$4:$B$30,'Relatórios - SICCAU e IGEO'!$A$3:$F$29,6,)</f>
        <v>337</v>
      </c>
      <c r="AP20" s="34">
        <v>213</v>
      </c>
      <c r="AQ20" s="189">
        <f t="shared" si="9"/>
        <v>1.5821596244131455</v>
      </c>
      <c r="AR20" s="39">
        <f>VLOOKUP($B$4:$B$30,'Comparativo YoY'!$A$8:$EB$34,132,)/100</f>
        <v>0.10724692114032237</v>
      </c>
      <c r="AS20" s="39">
        <f>VLOOKUP($B$4:$B$30,'Comparativo YoY'!$A$8:$EC$34,133,)/100</f>
        <v>-0.19704058854747999</v>
      </c>
      <c r="AT20" s="39">
        <f>VLOOKUP($B$4:$B$30,'Comparativo YoY'!$A$8:$ED$34,134,)/100</f>
        <v>2.4916618552790908E-2</v>
      </c>
      <c r="AU20" s="39">
        <f>VLOOKUP($B$4:$B$30,'Comparativo YoY'!$A$8:$EE$34,135,)/100</f>
        <v>-6.534449532781679E-2</v>
      </c>
      <c r="AV20" s="34">
        <f>VLOOKUP($B$4:$B$30,'Comparativo YoY'!$A$8:$EA$34,131,)</f>
        <v>3294196.1320000002</v>
      </c>
      <c r="AW20" s="39">
        <f t="shared" si="10"/>
        <v>4.8457468105605805E-2</v>
      </c>
      <c r="AX20" s="39">
        <f t="shared" si="11"/>
        <v>1.1059418360379838</v>
      </c>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row>
    <row r="21" spans="1:99">
      <c r="A21" s="139">
        <v>18</v>
      </c>
      <c r="B21" s="66" t="s">
        <v>95</v>
      </c>
      <c r="C21" s="197" t="s">
        <v>8</v>
      </c>
      <c r="D21" s="139" t="s">
        <v>246</v>
      </c>
      <c r="E21" s="138">
        <f>VLOOKUP($C$4:$C$31,'TOTAL POR UF'!$A$5:$B$31,2,)</f>
        <v>1027458.144</v>
      </c>
      <c r="F21" s="138">
        <f>VLOOKUP($B$4:$B$31,'Evolução das Receitas'!$P$214:$Q$241,2,0)</f>
        <v>887072.21</v>
      </c>
      <c r="G21" s="137">
        <f t="shared" si="0"/>
        <v>1.1582576169306442</v>
      </c>
      <c r="H21" s="138">
        <f>VLOOKUP($C$4:$C$31,'TOTAL POR UF'!$A$5:$C$31,3,)</f>
        <v>347601.92800000001</v>
      </c>
      <c r="I21" s="138">
        <f>VLOOKUP($B$4:$B$31,'Evolução das Receitas'!$P$214:$R$241,3,0)</f>
        <v>200000</v>
      </c>
      <c r="J21" s="137">
        <f t="shared" si="1"/>
        <v>1.73800964</v>
      </c>
      <c r="K21" s="138">
        <f>VLOOKUP($C$4:$C$31,'TOTAL POR UF'!$A$5:$D$31,4,)</f>
        <v>132923.22400000002</v>
      </c>
      <c r="L21" s="138">
        <f>VLOOKUP($B$4:$B$31,'Evolução das Receitas'!$P$214:$S$241,4,)</f>
        <v>117915.48999999999</v>
      </c>
      <c r="M21" s="137">
        <f t="shared" si="2"/>
        <v>1.1272753393129269</v>
      </c>
      <c r="N21" s="138">
        <f>VLOOKUP($C$4:$C$31,'TOTAL POR UF'!$A$5:$E$31,5,)</f>
        <v>34313.144</v>
      </c>
      <c r="O21" s="138">
        <f>VLOOKUP($B$4:$B$31,'Evolução das Receitas'!$P$214:$T$241,5,0)</f>
        <v>30000</v>
      </c>
      <c r="P21" s="137">
        <f t="shared" si="3"/>
        <v>1.1437714666666667</v>
      </c>
      <c r="Q21" s="138">
        <f>VLOOKUP($C$4:$C$31,'TOTAL POR UF'!$A$5:$F$31,6,)</f>
        <v>2215100.4400000004</v>
      </c>
      <c r="R21" s="138">
        <f>VLOOKUP($B$4:$B$31,'Evolução das Receitas'!$P$214:$U$241,6,0)</f>
        <v>1856034.96</v>
      </c>
      <c r="S21" s="137">
        <f t="shared" si="4"/>
        <v>1.1934583602886448</v>
      </c>
      <c r="T21" s="138">
        <f>VLOOKUP($C$4:$C$31,'TOTAL POR UF'!$A$5:$T$31, 20,0)</f>
        <v>166027.19199999995</v>
      </c>
      <c r="U21" s="138">
        <f>VLOOKUP($B$4:$B$31,'Evolução das Receitas'!$P$214:$V$241,7,0)</f>
        <v>111784</v>
      </c>
      <c r="V21" s="137">
        <f t="shared" si="5"/>
        <v>1.485250053674944</v>
      </c>
      <c r="W21" s="34">
        <f>VLOOKUP($B$4:$B$30,'Anuid PF'!$A$7:$G$33,7,)</f>
        <v>4702</v>
      </c>
      <c r="X21" s="34">
        <f>VLOOKUP($B$4:$B$30,'Relatórios - SICCAU e IGEO'!$A$3:$E$29,5,)</f>
        <v>378</v>
      </c>
      <c r="Y21" s="34">
        <f>VLOOKUP($B$4:$B$30,'Anuid PF'!$A$7:$B$33,2,)</f>
        <v>4514</v>
      </c>
      <c r="Z21" s="39">
        <f t="shared" si="7"/>
        <v>1.0416482055826317</v>
      </c>
      <c r="AA21" s="34">
        <f>VLOOKUP($B$4:$B$30,'Anuid PJ'!$A$6:$F$32,6,)</f>
        <v>670</v>
      </c>
      <c r="AB21" s="1005">
        <f>VLOOKUP($B$4:$B$30,'Relatórios - SICCAU e IGEO'!$A$3:$J$29,10,)</f>
        <v>52</v>
      </c>
      <c r="AC21" s="34">
        <f>VLOOKUP($B$4:$B$30,'Anuid PJ'!$A$6:$B$32,2,)</f>
        <v>632</v>
      </c>
      <c r="AD21" s="39">
        <f t="shared" si="6"/>
        <v>1.0601265822784811</v>
      </c>
      <c r="AE21" s="34">
        <f>VLOOKUP($B$4:$B$30,RRT!$A$5:$F$31,6,)</f>
        <v>27819</v>
      </c>
      <c r="AF21" s="34">
        <f>VLOOKUP($B$4:$B$30,RRT!$A$5:$B$31,2,)</f>
        <v>23686</v>
      </c>
      <c r="AG21" s="199">
        <f t="shared" si="8"/>
        <v>5.9164185452998721</v>
      </c>
      <c r="AH21" s="136">
        <f>VLOOKUP($B$4:$B$30,'RRT POR PROFISSIONAL'!$A$4:$D$35,4,)</f>
        <v>5.2472308373947723</v>
      </c>
      <c r="AI21" s="39">
        <f>VLOOKUP($B$4:$B$30,'ADIMPLÊNCIA PF'!$A$4:$L$30,12,)</f>
        <v>0.70523778216085908</v>
      </c>
      <c r="AJ21" s="39">
        <f>VLOOKUP($B$4:$B$30,'ADIMPLÊNCIA PF'!$A$4:$E$30,5,)</f>
        <v>0.60082777650034491</v>
      </c>
      <c r="AK21" s="39">
        <f>VLOOKUP($B$4:$B$30,'ADIMPLÊNCIA PJ'!$A$4:$I$30,9,)</f>
        <v>0.51343283582089549</v>
      </c>
      <c r="AL21" s="39">
        <f>VLOOKUP($B$4:$B$30,'ADIMPLÊNCIA PJ'!$A$4:$D$30,4,)</f>
        <v>0.47151898734177217</v>
      </c>
      <c r="AM21" s="34">
        <f>VLOOKUP($B$4:$B$30,'PF - Gênero'!$A$32:$B$58,2,)</f>
        <v>1517</v>
      </c>
      <c r="AN21" s="34">
        <f>VLOOKUP($B$4:$B$30,'PF - Gênero'!$A$32:$C$58,3,)</f>
        <v>3185</v>
      </c>
      <c r="AO21" s="34">
        <f>VLOOKUP($B$4:$B$30,'Relatórios - SICCAU e IGEO'!$A$3:$F$29,6,)</f>
        <v>321</v>
      </c>
      <c r="AP21" s="34">
        <v>165</v>
      </c>
      <c r="AQ21" s="189">
        <f t="shared" si="9"/>
        <v>1.9454545454545455</v>
      </c>
      <c r="AR21" s="39">
        <f>VLOOKUP($B$4:$B$30,'Comparativo YoY'!$A$8:$EB$34,132,)/100</f>
        <v>0.14530196170410847</v>
      </c>
      <c r="AS21" s="39">
        <f>VLOOKUP($B$4:$B$30,'Comparativo YoY'!$A$8:$EC$34,133,)/100</f>
        <v>5.2142030028448264E-2</v>
      </c>
      <c r="AT21" s="39">
        <f>VLOOKUP($B$4:$B$30,'Comparativo YoY'!$A$8:$ED$34,134,)/100</f>
        <v>3.136959037887465E-2</v>
      </c>
      <c r="AU21" s="39">
        <f>VLOOKUP($B$4:$B$30,'Comparativo YoY'!$A$8:$EE$34,135,)/100</f>
        <v>-0.19126236440129546</v>
      </c>
      <c r="AV21" s="34">
        <f>VLOOKUP($B$4:$B$30,'Comparativo YoY'!$A$8:$EA$34,131,)</f>
        <v>3712576.5760000004</v>
      </c>
      <c r="AW21" s="39">
        <f t="shared" si="10"/>
        <v>5.6792766878675849E-2</v>
      </c>
      <c r="AX21" s="39">
        <f t="shared" si="11"/>
        <v>1.2249956018263057</v>
      </c>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row>
    <row r="22" spans="1:99">
      <c r="A22" s="139">
        <v>19</v>
      </c>
      <c r="B22" s="66" t="s">
        <v>98</v>
      </c>
      <c r="C22" s="197" t="s">
        <v>11</v>
      </c>
      <c r="D22" s="139" t="s">
        <v>246</v>
      </c>
      <c r="E22" s="138">
        <f>VLOOKUP($C$4:$C$31,'TOTAL POR UF'!$A$5:$B$31,2,)</f>
        <v>658269.41599999997</v>
      </c>
      <c r="F22" s="138">
        <f>VLOOKUP($B$4:$B$31,'Evolução das Receitas'!$P$214:$Q$241,2,0)</f>
        <v>563580.01</v>
      </c>
      <c r="G22" s="137">
        <f t="shared" si="0"/>
        <v>1.1680141316580763</v>
      </c>
      <c r="H22" s="138">
        <f>VLOOKUP($C$4:$C$31,'TOTAL POR UF'!$A$5:$C$31,3,)</f>
        <v>228300.79200000004</v>
      </c>
      <c r="I22" s="138">
        <f>VLOOKUP($B$4:$B$31,'Evolução das Receitas'!$P$214:$R$241,3,0)</f>
        <v>181697.13</v>
      </c>
      <c r="J22" s="137">
        <f t="shared" si="1"/>
        <v>1.2564909087997154</v>
      </c>
      <c r="K22" s="138">
        <f>VLOOKUP($C$4:$C$31,'TOTAL POR UF'!$A$5:$D$31,4,)</f>
        <v>107677.84000000003</v>
      </c>
      <c r="L22" s="138">
        <f>VLOOKUP($B$4:$B$31,'Evolução das Receitas'!$P$214:$S$241,4,)</f>
        <v>97064.06</v>
      </c>
      <c r="M22" s="137">
        <f t="shared" si="2"/>
        <v>1.1093481974687647</v>
      </c>
      <c r="N22" s="138">
        <f>VLOOKUP($C$4:$C$31,'TOTAL POR UF'!$A$5:$E$31,5,)</f>
        <v>32443.696000000007</v>
      </c>
      <c r="O22" s="138">
        <f>VLOOKUP($B$4:$B$31,'Evolução das Receitas'!$P$214:$T$241,5,0)</f>
        <v>24717.03</v>
      </c>
      <c r="P22" s="137">
        <f t="shared" si="3"/>
        <v>1.312604952941353</v>
      </c>
      <c r="Q22" s="138">
        <f>VLOOKUP($C$4:$C$31,'TOTAL POR UF'!$A$5:$F$31,6,)</f>
        <v>1530480.8640000001</v>
      </c>
      <c r="R22" s="138">
        <f>VLOOKUP($B$4:$B$31,'Evolução das Receitas'!$P$214:$U$241,6,0)</f>
        <v>1397237.1600000001</v>
      </c>
      <c r="S22" s="137">
        <f t="shared" si="4"/>
        <v>1.0953622676339354</v>
      </c>
      <c r="T22" s="138">
        <f>VLOOKUP($C$4:$C$31,'TOTAL POR UF'!$A$5:$T$31, 20,0)</f>
        <v>112457.42400000001</v>
      </c>
      <c r="U22" s="138">
        <f>VLOOKUP($B$4:$B$31,'Evolução das Receitas'!$P$214:$V$241,7,0)</f>
        <v>117897.60000000001</v>
      </c>
      <c r="V22" s="137">
        <f t="shared" si="5"/>
        <v>0.95385677062128493</v>
      </c>
      <c r="W22" s="34">
        <f>VLOOKUP($B$4:$B$30,'Anuid PF'!$A$7:$G$33,7,)</f>
        <v>3285</v>
      </c>
      <c r="X22" s="34">
        <f>VLOOKUP($B$4:$B$30,'Relatórios - SICCAU e IGEO'!$A$3:$E$29,5,)</f>
        <v>262</v>
      </c>
      <c r="Y22" s="34">
        <f>VLOOKUP($B$4:$B$30,'Anuid PF'!$A$7:$B$33,2,)</f>
        <v>3207</v>
      </c>
      <c r="Z22" s="39">
        <f t="shared" si="7"/>
        <v>1.0243217960710944</v>
      </c>
      <c r="AA22" s="34">
        <f>VLOOKUP($B$4:$B$30,'Anuid PJ'!$A$6:$F$32,6,)</f>
        <v>638</v>
      </c>
      <c r="AB22" s="1005">
        <f>VLOOKUP($B$4:$B$30,'Relatórios - SICCAU e IGEO'!$A$3:$J$29,10,)</f>
        <v>42</v>
      </c>
      <c r="AC22" s="34">
        <f>VLOOKUP($B$4:$B$30,'Anuid PJ'!$A$6:$B$32,2,)</f>
        <v>627</v>
      </c>
      <c r="AD22" s="39">
        <f t="shared" si="6"/>
        <v>1.0175438596491229</v>
      </c>
      <c r="AE22" s="34">
        <f>VLOOKUP($B$4:$B$30,RRT!$A$5:$F$31,6,)</f>
        <v>19629</v>
      </c>
      <c r="AF22" s="34">
        <f>VLOOKUP($B$4:$B$30,RRT!$A$5:$B$31,2,)</f>
        <v>17831</v>
      </c>
      <c r="AG22" s="199">
        <f t="shared" si="8"/>
        <v>5.9753424657534246</v>
      </c>
      <c r="AH22" s="136">
        <f>VLOOKUP($B$4:$B$30,'RRT POR PROFISSIONAL'!$A$4:$D$35,4,)</f>
        <v>5.5600249454318682</v>
      </c>
      <c r="AI22" s="39">
        <f>VLOOKUP($B$4:$B$30,'ADIMPLÊNCIA PF'!$A$4:$L$30,12,)</f>
        <v>0.63513097072419111</v>
      </c>
      <c r="AJ22" s="39">
        <f>VLOOKUP($B$4:$B$30,'ADIMPLÊNCIA PF'!$A$4:$E$30,5,)</f>
        <v>0.54090471607314727</v>
      </c>
      <c r="AK22" s="39">
        <f>VLOOKUP($B$4:$B$30,'ADIMPLÊNCIA PJ'!$A$4:$I$30,9,)</f>
        <v>0.43573667711598746</v>
      </c>
      <c r="AL22" s="39">
        <f>VLOOKUP($B$4:$B$30,'ADIMPLÊNCIA PJ'!$A$4:$D$30,4,)</f>
        <v>0.39872408293460926</v>
      </c>
      <c r="AM22" s="34">
        <f>VLOOKUP($B$4:$B$30,'PF - Gênero'!$A$32:$B$58,2,)</f>
        <v>1259</v>
      </c>
      <c r="AN22" s="34">
        <f>VLOOKUP($B$4:$B$30,'PF - Gênero'!$A$32:$C$58,3,)</f>
        <v>2026</v>
      </c>
      <c r="AO22" s="34">
        <f>VLOOKUP($B$4:$B$30,'Relatórios - SICCAU e IGEO'!$A$3:$F$29,6,)</f>
        <v>179</v>
      </c>
      <c r="AP22" s="34">
        <v>117</v>
      </c>
      <c r="AQ22" s="189">
        <f t="shared" si="9"/>
        <v>1.5299145299145298</v>
      </c>
      <c r="AR22" s="39">
        <f>VLOOKUP($B$4:$B$30,'Comparativo YoY'!$A$8:$EB$34,132,)/100</f>
        <v>0.16525417763049205</v>
      </c>
      <c r="AS22" s="39">
        <f>VLOOKUP($B$4:$B$30,'Comparativo YoY'!$A$8:$EC$34,133,)/100</f>
        <v>-2.546699732731085E-2</v>
      </c>
      <c r="AT22" s="39">
        <f>VLOOKUP($B$4:$B$30,'Comparativo YoY'!$A$8:$ED$34,134,)/100</f>
        <v>-8.7649250049632879E-2</v>
      </c>
      <c r="AU22" s="39">
        <f>VLOOKUP($B$4:$B$30,'Comparativo YoY'!$A$8:$EE$34,135,)/100</f>
        <v>-0.12975052875482773</v>
      </c>
      <c r="AV22" s="34">
        <f>VLOOKUP($B$4:$B$30,'Comparativo YoY'!$A$8:$EA$34,131,)</f>
        <v>2711359.7680000002</v>
      </c>
      <c r="AW22" s="39">
        <f t="shared" si="10"/>
        <v>-1.5390704137644318E-2</v>
      </c>
      <c r="AX22" s="39">
        <f t="shared" si="11"/>
        <v>1.1206606866893685</v>
      </c>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row>
    <row r="23" spans="1:99">
      <c r="A23" s="139">
        <v>20</v>
      </c>
      <c r="B23" s="66" t="s">
        <v>97</v>
      </c>
      <c r="C23" s="197" t="s">
        <v>10</v>
      </c>
      <c r="D23" s="139" t="s">
        <v>246</v>
      </c>
      <c r="E23" s="138">
        <f>VLOOKUP($C$4:$C$31,'TOTAL POR UF'!$A$5:$B$31,2,)</f>
        <v>802645.91199999989</v>
      </c>
      <c r="F23" s="138">
        <f>VLOOKUP($B$4:$B$31,'Evolução das Receitas'!$P$214:$Q$241,2,0)</f>
        <v>755762.61</v>
      </c>
      <c r="G23" s="137">
        <f t="shared" si="0"/>
        <v>1.0620344290385044</v>
      </c>
      <c r="H23" s="138">
        <f>VLOOKUP($C$4:$C$31,'TOTAL POR UF'!$A$5:$C$31,3,)</f>
        <v>267001.57600000006</v>
      </c>
      <c r="I23" s="138">
        <f>VLOOKUP($B$4:$B$31,'Evolução das Receitas'!$P$214:$R$241,3,0)</f>
        <v>101619.48</v>
      </c>
      <c r="J23" s="137">
        <f t="shared" si="1"/>
        <v>2.6274644979486221</v>
      </c>
      <c r="K23" s="138">
        <f>VLOOKUP($C$4:$C$31,'TOTAL POR UF'!$A$5:$D$31,4,)</f>
        <v>98877.48000000001</v>
      </c>
      <c r="L23" s="138">
        <f>VLOOKUP($B$4:$B$31,'Evolução das Receitas'!$P$214:$S$241,4,)</f>
        <v>91461.94</v>
      </c>
      <c r="M23" s="137">
        <f t="shared" si="2"/>
        <v>1.0810778778582655</v>
      </c>
      <c r="N23" s="138">
        <f>VLOOKUP($C$4:$C$31,'TOTAL POR UF'!$A$5:$E$31,5,)</f>
        <v>35888.976000000002</v>
      </c>
      <c r="O23" s="138">
        <f>VLOOKUP($B$4:$B$31,'Evolução das Receitas'!$P$214:$T$241,5,0)</f>
        <v>16067.46</v>
      </c>
      <c r="P23" s="137">
        <f t="shared" si="3"/>
        <v>2.23364340101049</v>
      </c>
      <c r="Q23" s="138">
        <f>VLOOKUP($C$4:$C$31,'TOTAL POR UF'!$A$5:$F$31,6,)</f>
        <v>2337413.4960000003</v>
      </c>
      <c r="R23" s="138">
        <f>VLOOKUP($B$4:$B$31,'Evolução das Receitas'!$P$214:$U$241,6,0)</f>
        <v>2291324.7599999998</v>
      </c>
      <c r="S23" s="137">
        <f t="shared" si="4"/>
        <v>1.0201144494244458</v>
      </c>
      <c r="T23" s="138">
        <f>VLOOKUP($C$4:$C$31,'TOTAL POR UF'!$A$5:$T$31, 20,0)</f>
        <v>113008.93599999999</v>
      </c>
      <c r="U23" s="138">
        <f>VLOOKUP($B$4:$B$31,'Evolução das Receitas'!$P$214:$V$241,7,0)</f>
        <v>111791.62</v>
      </c>
      <c r="V23" s="137">
        <f t="shared" si="5"/>
        <v>1.010889152514294</v>
      </c>
      <c r="W23" s="34">
        <f>VLOOKUP($B$4:$B$30,'Anuid PF'!$A$7:$G$33,7,)</f>
        <v>3178</v>
      </c>
      <c r="X23" s="34">
        <f>VLOOKUP($B$4:$B$30,'Relatórios - SICCAU e IGEO'!$A$3:$E$29,5,)</f>
        <v>268</v>
      </c>
      <c r="Y23" s="34">
        <f>VLOOKUP($B$4:$B$30,'Anuid PF'!$A$7:$B$33,2,)</f>
        <v>3105</v>
      </c>
      <c r="Z23" s="39">
        <f t="shared" si="7"/>
        <v>1.0235104669887278</v>
      </c>
      <c r="AA23" s="34">
        <f>VLOOKUP($B$4:$B$30,'Anuid PJ'!$A$6:$F$32,6,)</f>
        <v>585</v>
      </c>
      <c r="AB23" s="1005">
        <f>VLOOKUP($B$4:$B$30,'Relatórios - SICCAU e IGEO'!$A$3:$J$29,10,)</f>
        <v>58</v>
      </c>
      <c r="AC23" s="34">
        <f>VLOOKUP($B$4:$B$30,'Anuid PJ'!$A$6:$B$32,2,)</f>
        <v>548</v>
      </c>
      <c r="AD23" s="39">
        <f t="shared" si="6"/>
        <v>1.0675182481751824</v>
      </c>
      <c r="AE23" s="34">
        <f>VLOOKUP($B$4:$B$30,RRT!$A$5:$F$31,6,)</f>
        <v>29385</v>
      </c>
      <c r="AF23" s="34">
        <f>VLOOKUP($B$4:$B$30,RRT!$A$5:$B$31,2,)</f>
        <v>29241</v>
      </c>
      <c r="AG23" s="199">
        <f t="shared" si="8"/>
        <v>9.2463813719320331</v>
      </c>
      <c r="AH23" s="136">
        <f>VLOOKUP($B$4:$B$30,'RRT POR PROFISSIONAL'!$A$4:$D$35,4,)</f>
        <v>9.4173913043478255</v>
      </c>
      <c r="AI23" s="39">
        <f>VLOOKUP($B$4:$B$30,'ADIMPLÊNCIA PF'!$A$4:$L$30,12,)</f>
        <v>0.76202612296909844</v>
      </c>
      <c r="AJ23" s="39">
        <f>VLOOKUP($B$4:$B$30,'ADIMPLÊNCIA PF'!$A$4:$E$30,5,)</f>
        <v>0.72896574659128699</v>
      </c>
      <c r="AK23" s="39">
        <f>VLOOKUP($B$4:$B$30,'ADIMPLÊNCIA PJ'!$A$4:$I$30,9,)</f>
        <v>0.45299145299145299</v>
      </c>
      <c r="AL23" s="39">
        <f>VLOOKUP($B$4:$B$30,'ADIMPLÊNCIA PJ'!$A$4:$D$30,4,)</f>
        <v>0.42153284671532848</v>
      </c>
      <c r="AM23" s="34">
        <f>VLOOKUP($B$4:$B$30,'PF - Gênero'!$A$32:$B$58,2,)</f>
        <v>1069</v>
      </c>
      <c r="AN23" s="34">
        <f>VLOOKUP($B$4:$B$30,'PF - Gênero'!$A$32:$C$58,3,)</f>
        <v>2109</v>
      </c>
      <c r="AO23" s="34">
        <f>VLOOKUP($B$4:$B$30,'Relatórios - SICCAU e IGEO'!$A$3:$F$29,6,)</f>
        <v>244</v>
      </c>
      <c r="AP23" s="34">
        <v>176</v>
      </c>
      <c r="AQ23" s="189">
        <f t="shared" si="9"/>
        <v>1.3863636363636365</v>
      </c>
      <c r="AR23" s="39">
        <f>VLOOKUP($B$4:$B$30,'Comparativo YoY'!$A$8:$EB$34,132,)/100</f>
        <v>0.34240512259534028</v>
      </c>
      <c r="AS23" s="39">
        <f>VLOOKUP($B$4:$B$30,'Comparativo YoY'!$A$8:$EC$34,133,)/100</f>
        <v>0.44828490702361734</v>
      </c>
      <c r="AT23" s="39">
        <f>VLOOKUP($B$4:$B$30,'Comparativo YoY'!$A$8:$ED$34,134,)/100</f>
        <v>9.3086654695726731E-2</v>
      </c>
      <c r="AU23" s="39">
        <f>VLOOKUP($B$4:$B$30,'Comparativo YoY'!$A$8:$EE$34,135,)/100</f>
        <v>0.41716810804257276</v>
      </c>
      <c r="AV23" s="34">
        <f>VLOOKUP($B$4:$B$30,'Comparativo YoY'!$A$8:$EA$34,131,)</f>
        <v>3107970.1100000008</v>
      </c>
      <c r="AW23" s="39">
        <f t="shared" si="10"/>
        <v>0.17595608923021433</v>
      </c>
      <c r="AX23" s="39">
        <f t="shared" si="11"/>
        <v>1.0851562151711054</v>
      </c>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row>
    <row r="24" spans="1:99">
      <c r="A24" s="139">
        <v>21</v>
      </c>
      <c r="B24" s="66" t="s">
        <v>94</v>
      </c>
      <c r="C24" s="197" t="s">
        <v>448</v>
      </c>
      <c r="D24" s="139" t="s">
        <v>244</v>
      </c>
      <c r="E24" s="138">
        <f>VLOOKUP($C$4:$C$31,'TOTAL POR UF'!$A$5:$B$31,2,)</f>
        <v>1024352.368</v>
      </c>
      <c r="F24" s="138">
        <f>VLOOKUP($B$4:$B$31,'Evolução das Receitas'!$P$214:$Q$241,2,0)</f>
        <v>1024414.12</v>
      </c>
      <c r="G24" s="137">
        <f t="shared" si="0"/>
        <v>0.99993971969070483</v>
      </c>
      <c r="H24" s="138">
        <f>VLOOKUP($C$4:$C$31,'TOTAL POR UF'!$A$5:$C$31,3,)</f>
        <v>156727.40800000002</v>
      </c>
      <c r="I24" s="138">
        <f>VLOOKUP($B$4:$B$31,'Evolução das Receitas'!$P$214:$R$241,3,0)</f>
        <v>127208.3</v>
      </c>
      <c r="J24" s="137">
        <f t="shared" si="1"/>
        <v>1.2320533172756811</v>
      </c>
      <c r="K24" s="138">
        <f>VLOOKUP($C$4:$C$31,'TOTAL POR UF'!$A$5:$D$31,4,)</f>
        <v>120009.32</v>
      </c>
      <c r="L24" s="138">
        <f>VLOOKUP($B$4:$B$31,'Evolução das Receitas'!$P$214:$S$241,4,)</f>
        <v>121100.47</v>
      </c>
      <c r="M24" s="137">
        <f t="shared" si="2"/>
        <v>0.9909897129218409</v>
      </c>
      <c r="N24" s="138">
        <f>VLOOKUP($C$4:$C$31,'TOTAL POR UF'!$A$5:$E$31,5,)</f>
        <v>26498.400000000001</v>
      </c>
      <c r="O24" s="138">
        <f>VLOOKUP($B$4:$B$31,'Evolução das Receitas'!$P$214:$T$241,5,0)</f>
        <v>25044.92</v>
      </c>
      <c r="P24" s="137">
        <f t="shared" si="3"/>
        <v>1.0580349228506221</v>
      </c>
      <c r="Q24" s="138">
        <f>VLOOKUP($C$4:$C$31,'TOTAL POR UF'!$A$5:$F$31,6,)</f>
        <v>1054006.0960000001</v>
      </c>
      <c r="R24" s="138">
        <f>VLOOKUP($B$4:$B$31,'Evolução das Receitas'!$P$214:$U$241,6,0)</f>
        <v>981772.44</v>
      </c>
      <c r="S24" s="137">
        <f t="shared" si="4"/>
        <v>1.0735747440618726</v>
      </c>
      <c r="T24" s="138">
        <f>VLOOKUP($C$4:$C$31,'TOTAL POR UF'!$A$5:$T$31, 20,0)</f>
        <v>103272.87999999999</v>
      </c>
      <c r="U24" s="138">
        <f>VLOOKUP($B$4:$B$31,'Evolução das Receitas'!$P$214:$V$241,7,0)</f>
        <v>111410.01999999999</v>
      </c>
      <c r="V24" s="137">
        <f t="shared" si="5"/>
        <v>0.92696222476218926</v>
      </c>
      <c r="W24" s="34">
        <f>VLOOKUP($B$4:$B$30,'Anuid PF'!$A$7:$G$33,7,)</f>
        <v>3559</v>
      </c>
      <c r="X24" s="34">
        <f>VLOOKUP($B$4:$B$30,'Relatórios - SICCAU e IGEO'!$A$3:$E$29,5,)</f>
        <v>378</v>
      </c>
      <c r="Y24" s="34">
        <f>VLOOKUP($B$4:$B$30,'Anuid PF'!$A$7:$B$33,2,)</f>
        <v>3483</v>
      </c>
      <c r="Z24" s="189">
        <f t="shared" si="7"/>
        <v>1.0218202698822854</v>
      </c>
      <c r="AA24" s="34">
        <f>VLOOKUP($B$4:$B$30,'Anuid PJ'!$A$6:$F$32,6,)</f>
        <v>452</v>
      </c>
      <c r="AB24" s="1005">
        <f>VLOOKUP($B$4:$B$30,'Relatórios - SICCAU e IGEO'!$A$3:$J$29,10,)</f>
        <v>32</v>
      </c>
      <c r="AC24" s="34">
        <f>VLOOKUP($B$4:$B$30,'Anuid PJ'!$A$6:$B$32,2,)</f>
        <v>430</v>
      </c>
      <c r="AD24" s="39">
        <f t="shared" si="6"/>
        <v>1.0511627906976744</v>
      </c>
      <c r="AE24" s="34">
        <f>VLOOKUP($B$4:$B$30,RRT!$A$5:$F$31,6,)</f>
        <v>13559</v>
      </c>
      <c r="AF24" s="34">
        <f>VLOOKUP($B$4:$B$30,RRT!$A$5:$B$31,2,)</f>
        <v>12529</v>
      </c>
      <c r="AG24" s="199">
        <f t="shared" si="8"/>
        <v>3.8097780275358248</v>
      </c>
      <c r="AH24" s="136">
        <f>VLOOKUP($B$4:$B$30,'RRT POR PROFISSIONAL'!$A$4:$D$35,4,)</f>
        <v>3.5971863336204422</v>
      </c>
      <c r="AI24" s="39">
        <f>VLOOKUP($B$4:$B$30,'ADIMPLÊNCIA PF'!$A$4:$L$30,12,)</f>
        <v>0.9018544935805991</v>
      </c>
      <c r="AJ24" s="39">
        <f>VLOOKUP($B$4:$B$30,'ADIMPLÊNCIA PF'!$A$4:$E$30,5,)</f>
        <v>0.75422472576341537</v>
      </c>
      <c r="AK24" s="39">
        <f>VLOOKUP($B$4:$B$30,'ADIMPLÊNCIA PJ'!$A$4:$I$30,9,)</f>
        <v>0.71017699115044253</v>
      </c>
      <c r="AL24" s="39">
        <f>VLOOKUP($B$4:$B$30,'ADIMPLÊNCIA PJ'!$A$4:$D$30,4,)</f>
        <v>0.61627906976744184</v>
      </c>
      <c r="AM24" s="34">
        <f>VLOOKUP($B$4:$B$30,'PF - Gênero'!$A$32:$B$58,2,)</f>
        <v>972</v>
      </c>
      <c r="AN24" s="34">
        <f>VLOOKUP($B$4:$B$30,'PF - Gênero'!$A$32:$C$58,3,)</f>
        <v>2587</v>
      </c>
      <c r="AO24" s="34">
        <f>VLOOKUP($B$4:$B$30,'Relatórios - SICCAU e IGEO'!$A$3:$F$29,6,)</f>
        <v>264</v>
      </c>
      <c r="AP24" s="34">
        <v>137</v>
      </c>
      <c r="AQ24" s="189">
        <f t="shared" si="9"/>
        <v>1.9270072992700731</v>
      </c>
      <c r="AR24" s="39">
        <f>VLOOKUP($B$4:$B$30,'Comparativo YoY'!$A$8:$EB$34,132,)/100</f>
        <v>-1.0978406385689966E-2</v>
      </c>
      <c r="AS24" s="39">
        <f>VLOOKUP($B$4:$B$30,'Comparativo YoY'!$A$8:$EC$34,133,)/100</f>
        <v>-7.4308921144627074E-2</v>
      </c>
      <c r="AT24" s="39">
        <f>VLOOKUP($B$4:$B$30,'Comparativo YoY'!$A$8:$ED$34,134,)/100</f>
        <v>-7.2258040874377094E-2</v>
      </c>
      <c r="AU24" s="39">
        <f>VLOOKUP($B$4:$B$30,'Comparativo YoY'!$A$8:$EE$34,135,)/100</f>
        <v>-0.33149674733397161</v>
      </c>
      <c r="AV24" s="34">
        <f>VLOOKUP($B$4:$B$30,'Comparativo YoY'!$A$8:$EA$34,131,)</f>
        <v>2643040.6319999998</v>
      </c>
      <c r="AW24" s="39">
        <f t="shared" si="10"/>
        <v>-5.9845527187491143E-2</v>
      </c>
      <c r="AX24" s="39">
        <f t="shared" si="11"/>
        <v>1.0392798642357375</v>
      </c>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row>
    <row r="25" spans="1:99">
      <c r="A25" s="139">
        <v>22</v>
      </c>
      <c r="B25" s="66" t="s">
        <v>99</v>
      </c>
      <c r="C25" s="197" t="s">
        <v>12</v>
      </c>
      <c r="D25" s="139" t="s">
        <v>244</v>
      </c>
      <c r="E25" s="138">
        <f>VLOOKUP($C$4:$C$31,'TOTAL POR UF'!$A$5:$B$31,2,)</f>
        <v>3664133.1760000004</v>
      </c>
      <c r="F25" s="138">
        <f>VLOOKUP($B$4:$B$31,'Evolução das Receitas'!$P$214:$Q$241,2,0)</f>
        <v>3094886.04</v>
      </c>
      <c r="G25" s="137">
        <f t="shared" si="0"/>
        <v>1.1839315337116583</v>
      </c>
      <c r="H25" s="138">
        <f>VLOOKUP($C$4:$C$31,'TOTAL POR UF'!$A$5:$C$31,3,)</f>
        <v>1347251.92</v>
      </c>
      <c r="I25" s="138">
        <f>VLOOKUP($B$4:$B$31,'Evolução das Receitas'!$P$214:$R$241,3,0)</f>
        <v>1098934.42</v>
      </c>
      <c r="J25" s="137">
        <f t="shared" si="1"/>
        <v>1.22596207333282</v>
      </c>
      <c r="K25" s="138">
        <f>VLOOKUP($C$4:$C$31,'TOTAL POR UF'!$A$5:$D$31,4,)</f>
        <v>406662.56</v>
      </c>
      <c r="L25" s="138">
        <f>VLOOKUP($B$4:$B$31,'Evolução das Receitas'!$P$214:$S$241,4,)</f>
        <v>385175.61</v>
      </c>
      <c r="M25" s="137">
        <f t="shared" si="2"/>
        <v>1.0557848146200119</v>
      </c>
      <c r="N25" s="138">
        <f>VLOOKUP($C$4:$C$31,'TOTAL POR UF'!$A$5:$E$31,5,)</f>
        <v>163626.35200000001</v>
      </c>
      <c r="O25" s="138">
        <f>VLOOKUP($B$4:$B$31,'Evolução das Receitas'!$P$214:$T$241,5,0)</f>
        <v>169602.58000000002</v>
      </c>
      <c r="P25" s="137">
        <f t="shared" si="3"/>
        <v>0.96476334263311325</v>
      </c>
      <c r="Q25" s="138">
        <f>VLOOKUP($C$4:$C$31,'TOTAL POR UF'!$A$5:$F$31,6,)</f>
        <v>3909885.6560000004</v>
      </c>
      <c r="R25" s="138">
        <f>VLOOKUP($B$4:$B$31,'Evolução das Receitas'!$P$214:$U$241,6,0)</f>
        <v>3780321.4800000004</v>
      </c>
      <c r="S25" s="137">
        <f t="shared" si="4"/>
        <v>1.0342733221725895</v>
      </c>
      <c r="T25" s="138">
        <f>VLOOKUP($C$4:$C$31,'TOTAL POR UF'!$A$5:$T$31, 20,0)</f>
        <v>528908.40799999994</v>
      </c>
      <c r="U25" s="138">
        <f>VLOOKUP($B$4:$B$31,'Evolução das Receitas'!$P$214:$V$241,7,0)</f>
        <v>463078.48</v>
      </c>
      <c r="V25" s="137">
        <f t="shared" si="5"/>
        <v>1.1421571738768772</v>
      </c>
      <c r="W25" s="34">
        <f>VLOOKUP($B$4:$B$30,'Anuid PF'!$A$7:$G$33,7,)</f>
        <v>15690</v>
      </c>
      <c r="X25" s="34">
        <f>VLOOKUP($B$4:$B$30,'Relatórios - SICCAU e IGEO'!$A$3:$E$29,5,)</f>
        <v>1472</v>
      </c>
      <c r="Y25" s="34">
        <f>VLOOKUP($B$4:$B$30,'Anuid PF'!$A$7:$B$33,2,)</f>
        <v>15260</v>
      </c>
      <c r="Z25" s="39">
        <f t="shared" si="7"/>
        <v>1.0281782437745741</v>
      </c>
      <c r="AA25" s="34">
        <f>VLOOKUP($B$4:$B$30,'Anuid PJ'!$A$6:$F$32,6,)</f>
        <v>1738</v>
      </c>
      <c r="AB25" s="1005">
        <f>VLOOKUP($B$4:$B$30,'Relatórios - SICCAU e IGEO'!$A$3:$J$29,10,)</f>
        <v>-89</v>
      </c>
      <c r="AC25" s="34">
        <f>VLOOKUP($B$4:$B$30,'Anuid PJ'!$A$6:$B$32,2,)</f>
        <v>1747</v>
      </c>
      <c r="AD25" s="39">
        <f t="shared" si="6"/>
        <v>0.99484831139095597</v>
      </c>
      <c r="AE25" s="34">
        <f>VLOOKUP($B$4:$B$30,RRT!$A$5:$F$31,6,)</f>
        <v>50211</v>
      </c>
      <c r="AF25" s="34">
        <f>VLOOKUP($B$4:$B$30,RRT!$A$5:$B$31,2,)</f>
        <v>48243</v>
      </c>
      <c r="AG25" s="199">
        <f t="shared" si="8"/>
        <v>3.20019120458891</v>
      </c>
      <c r="AH25" s="136">
        <f>VLOOKUP($B$4:$B$30,'RRT POR PROFISSIONAL'!$A$4:$D$35,4,)</f>
        <v>3.1614023591087812</v>
      </c>
      <c r="AI25" s="39">
        <f>VLOOKUP($B$4:$B$30,'ADIMPLÊNCIA PF'!$A$4:$L$30,12,)</f>
        <v>0.73632233853446571</v>
      </c>
      <c r="AJ25" s="39">
        <f>VLOOKUP($B$4:$B$30,'ADIMPLÊNCIA PF'!$A$4:$E$30,5,)</f>
        <v>0.61806273698724579</v>
      </c>
      <c r="AK25" s="39">
        <f>VLOOKUP($B$4:$B$30,'ADIMPLÊNCIA PJ'!$A$4:$I$30,9,)</f>
        <v>0.61910241657077103</v>
      </c>
      <c r="AL25" s="39">
        <f>VLOOKUP($B$4:$B$30,'ADIMPLÊNCIA PJ'!$A$4:$D$30,4,)</f>
        <v>0.56153405838580428</v>
      </c>
      <c r="AM25" s="34">
        <f>VLOOKUP($B$4:$B$30,'PF - Gênero'!$A$32:$B$58,2,)</f>
        <v>4837</v>
      </c>
      <c r="AN25" s="34">
        <f>VLOOKUP($B$4:$B$30,'PF - Gênero'!$A$32:$C$58,3,)</f>
        <v>10853</v>
      </c>
      <c r="AO25" s="34">
        <f>VLOOKUP($B$4:$B$30,'Relatórios - SICCAU e IGEO'!$A$3:$F$29,6,)</f>
        <v>1048</v>
      </c>
      <c r="AP25" s="34">
        <v>677</v>
      </c>
      <c r="AQ25" s="189">
        <f t="shared" si="9"/>
        <v>1.5480059084194977</v>
      </c>
      <c r="AR25" s="39">
        <f>VLOOKUP($B$4:$B$30,'Comparativo YoY'!$A$8:$EB$34,132,)/100</f>
        <v>0.12989616008312879</v>
      </c>
      <c r="AS25" s="39">
        <f>VLOOKUP($B$4:$B$30,'Comparativo YoY'!$A$8:$EC$34,133,)/100</f>
        <v>-8.3929154525507102E-2</v>
      </c>
      <c r="AT25" s="39">
        <f>VLOOKUP($B$4:$B$30,'Comparativo YoY'!$A$8:$ED$34,134,)/100</f>
        <v>-6.4094851512864898E-2</v>
      </c>
      <c r="AU25" s="39">
        <f>VLOOKUP($B$4:$B$30,'Comparativo YoY'!$A$8:$EE$34,135,)/100</f>
        <v>-7.0492133815441782E-2</v>
      </c>
      <c r="AV25" s="34">
        <f>VLOOKUP($B$4:$B$30,'Comparativo YoY'!$A$8:$EA$34,131,)</f>
        <v>9804471.0860000011</v>
      </c>
      <c r="AW25" s="39">
        <f t="shared" si="10"/>
        <v>2.203045774783563E-2</v>
      </c>
      <c r="AX25" s="39">
        <f t="shared" si="11"/>
        <v>1.1143760699491478</v>
      </c>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row>
    <row r="26" spans="1:99">
      <c r="A26" s="139">
        <v>23</v>
      </c>
      <c r="B26" s="66" t="s">
        <v>105</v>
      </c>
      <c r="C26" s="197" t="s">
        <v>18</v>
      </c>
      <c r="D26" s="139" t="s">
        <v>244</v>
      </c>
      <c r="E26" s="138">
        <f>VLOOKUP($C$4:$C$31,'TOTAL POR UF'!$A$5:$B$31,2,)</f>
        <v>3952588.0640000002</v>
      </c>
      <c r="F26" s="138">
        <f>VLOOKUP($B$4:$B$31,'Evolução das Receitas'!$P$214:$Q$241,2,0)</f>
        <v>3576099.3560000006</v>
      </c>
      <c r="G26" s="137">
        <f t="shared" si="0"/>
        <v>1.105279152092999</v>
      </c>
      <c r="H26" s="138">
        <f>VLOOKUP($C$4:$C$31,'TOTAL POR UF'!$A$5:$C$31,3,)</f>
        <v>991405.28800000006</v>
      </c>
      <c r="I26" s="138">
        <f>VLOOKUP($B$4:$B$31,'Evolução das Receitas'!$P$214:$R$241,3,0)</f>
        <v>720000</v>
      </c>
      <c r="J26" s="137">
        <f t="shared" si="1"/>
        <v>1.3769517888888889</v>
      </c>
      <c r="K26" s="138">
        <f>VLOOKUP($C$4:$C$31,'TOTAL POR UF'!$A$5:$D$31,4,)</f>
        <v>569134.29599999986</v>
      </c>
      <c r="L26" s="138">
        <f>VLOOKUP($B$4:$B$31,'Evolução das Receitas'!$P$214:$S$241,4,)</f>
        <v>564504.696</v>
      </c>
      <c r="M26" s="137">
        <f t="shared" si="2"/>
        <v>1.008201171810978</v>
      </c>
      <c r="N26" s="138">
        <f>VLOOKUP($C$4:$C$31,'TOTAL POR UF'!$A$5:$E$31,5,)</f>
        <v>123888.24</v>
      </c>
      <c r="O26" s="138">
        <f>VLOOKUP($B$4:$B$31,'Evolução das Receitas'!$P$214:$T$241,5,0)</f>
        <v>140000</v>
      </c>
      <c r="P26" s="137">
        <f t="shared" si="3"/>
        <v>0.88491600000000004</v>
      </c>
      <c r="Q26" s="138">
        <f>VLOOKUP($C$4:$C$31,'TOTAL POR UF'!$A$5:$F$31,6,)</f>
        <v>3812455.0720000006</v>
      </c>
      <c r="R26" s="138">
        <f>VLOOKUP($B$4:$B$31,'Evolução das Receitas'!$P$214:$U$241,6,0)</f>
        <v>2909820.24</v>
      </c>
      <c r="S26" s="137">
        <f t="shared" si="4"/>
        <v>1.3102029532930874</v>
      </c>
      <c r="T26" s="138">
        <f>VLOOKUP($C$4:$C$31,'TOTAL POR UF'!$A$5:$T$31, 20,0)</f>
        <v>518730.87999999995</v>
      </c>
      <c r="U26" s="138">
        <f>VLOOKUP($B$4:$B$31,'Evolução das Receitas'!$P$214:$V$241,7,0)</f>
        <v>529897.70799999963</v>
      </c>
      <c r="V26" s="137">
        <f t="shared" si="5"/>
        <v>0.97892644593208977</v>
      </c>
      <c r="W26" s="34">
        <f>VLOOKUP($B$4:$B$30,'Anuid PF'!$A$7:$G$33,7,)</f>
        <v>20366</v>
      </c>
      <c r="X26" s="34">
        <f>VLOOKUP($B$4:$B$30,'Relatórios - SICCAU e IGEO'!$A$3:$E$29,5,)</f>
        <v>497</v>
      </c>
      <c r="Y26" s="34">
        <f>VLOOKUP($B$4:$B$30,'Anuid PF'!$A$7:$B$33,2,)</f>
        <v>19977</v>
      </c>
      <c r="Z26" s="189">
        <f t="shared" si="7"/>
        <v>1.01947239325224</v>
      </c>
      <c r="AA26" s="34">
        <f>VLOOKUP($B$4:$B$30,'Anuid PJ'!$A$6:$F$32,6,)</f>
        <v>2780</v>
      </c>
      <c r="AB26" s="1005">
        <f>VLOOKUP($B$4:$B$30,'Relatórios - SICCAU e IGEO'!$A$3:$J$29,10,)</f>
        <v>12</v>
      </c>
      <c r="AC26" s="34">
        <f>VLOOKUP($B$4:$B$30,'Anuid PJ'!$A$6:$B$32,2,)</f>
        <v>2768</v>
      </c>
      <c r="AD26" s="39">
        <f t="shared" si="6"/>
        <v>1.004335260115607</v>
      </c>
      <c r="AE26" s="34">
        <f>VLOOKUP($B$4:$B$30,RRT!$A$5:$F$31,6,)</f>
        <v>48694</v>
      </c>
      <c r="AF26" s="34">
        <f>VLOOKUP($B$4:$B$30,RRT!$A$5:$B$31,2,)</f>
        <v>37134</v>
      </c>
      <c r="AG26" s="199">
        <f t="shared" si="8"/>
        <v>2.3909456938033977</v>
      </c>
      <c r="AH26" s="136">
        <f>VLOOKUP($B$4:$B$30,'RRT POR PROFISSIONAL'!$A$4:$D$35,4,)</f>
        <v>1.8588376633128096</v>
      </c>
      <c r="AI26" s="39">
        <f>VLOOKUP($B$4:$B$30,'ADIMPLÊNCIA PF'!$A$4:$L$30,12,)</f>
        <v>0.6934163301929116</v>
      </c>
      <c r="AJ26" s="39">
        <f>VLOOKUP($B$4:$B$30,'ADIMPLÊNCIA PF'!$A$4:$E$30,5,)</f>
        <v>0.55376375050394522</v>
      </c>
      <c r="AK26" s="39">
        <f>VLOOKUP($B$4:$B$30,'ADIMPLÊNCIA PJ'!$A$4:$I$30,9,)</f>
        <v>0.52517985611510787</v>
      </c>
      <c r="AL26" s="39">
        <f>VLOOKUP($B$4:$B$30,'ADIMPLÊNCIA PJ'!$A$4:$D$30,4,)</f>
        <v>0.45845375722543352</v>
      </c>
      <c r="AM26" s="34">
        <f>VLOOKUP($B$4:$B$30,'PF - Gênero'!$A$32:$B$58,2,)</f>
        <v>8385</v>
      </c>
      <c r="AN26" s="34">
        <f>VLOOKUP($B$4:$B$30,'PF - Gênero'!$A$32:$C$58,3,)</f>
        <v>11981</v>
      </c>
      <c r="AO26" s="34">
        <f>VLOOKUP($B$4:$B$30,'Relatórios - SICCAU e IGEO'!$A$3:$F$29,6,)</f>
        <v>614</v>
      </c>
      <c r="AP26" s="34">
        <v>260</v>
      </c>
      <c r="AQ26" s="189">
        <f t="shared" si="9"/>
        <v>2.3615384615384616</v>
      </c>
      <c r="AR26" s="39">
        <f>VLOOKUP($B$4:$B$30,'Comparativo YoY'!$A$8:$EB$34,132,)/100</f>
        <v>-9.8940781922547669E-2</v>
      </c>
      <c r="AS26" s="39">
        <f>VLOOKUP($B$4:$B$30,'Comparativo YoY'!$A$8:$EC$34,133,)/100</f>
        <v>-0.2913355689765848</v>
      </c>
      <c r="AT26" s="39">
        <f>VLOOKUP($B$4:$B$30,'Comparativo YoY'!$A$8:$ED$34,134,)/100</f>
        <v>-0.21689555148279566</v>
      </c>
      <c r="AU26" s="39">
        <f>VLOOKUP($B$4:$B$30,'Comparativo YoY'!$A$8:$EE$34,135,)/100</f>
        <v>-0.33388752509683284</v>
      </c>
      <c r="AV26" s="34">
        <f>VLOOKUP($B$4:$B$30,'Comparativo YoY'!$A$8:$EA$34,131,)</f>
        <v>12111926.156000003</v>
      </c>
      <c r="AW26" s="39">
        <f t="shared" si="10"/>
        <v>-0.17699284889860756</v>
      </c>
      <c r="AX26" s="39">
        <f t="shared" si="11"/>
        <v>1.1810215107907023</v>
      </c>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row>
    <row r="27" spans="1:99">
      <c r="A27" s="139">
        <v>24</v>
      </c>
      <c r="B27" s="66" t="s">
        <v>111</v>
      </c>
      <c r="C27" s="197" t="s">
        <v>25</v>
      </c>
      <c r="D27" s="139" t="s">
        <v>244</v>
      </c>
      <c r="E27" s="138">
        <f>VLOOKUP($C$4:$C$31,'TOTAL POR UF'!$A$5:$B$31,2,)</f>
        <v>14346806.248000003</v>
      </c>
      <c r="F27" s="138">
        <f>VLOOKUP($B$4:$B$31,'Evolução das Receitas'!$P$214:$Q$241,2,0)</f>
        <v>13929347.976</v>
      </c>
      <c r="G27" s="137">
        <f t="shared" si="0"/>
        <v>1.0299696922439785</v>
      </c>
      <c r="H27" s="138">
        <f>VLOOKUP($C$4:$C$31,'TOTAL POR UF'!$A$5:$C$31,3,)</f>
        <v>4338347.7039999999</v>
      </c>
      <c r="I27" s="138">
        <f>VLOOKUP($B$4:$B$31,'Evolução das Receitas'!$P$214:$R$241,3,0)</f>
        <v>2955102.1689929012</v>
      </c>
      <c r="J27" s="137">
        <f t="shared" si="1"/>
        <v>1.468087211847064</v>
      </c>
      <c r="K27" s="138">
        <f>VLOOKUP($C$4:$C$31,'TOTAL POR UF'!$A$5:$D$31,4,)</f>
        <v>1750933.5360000001</v>
      </c>
      <c r="L27" s="138">
        <f>VLOOKUP($B$4:$B$31,'Evolução das Receitas'!$P$214:$S$241,4,)</f>
        <v>1832188.7080000001</v>
      </c>
      <c r="M27" s="137">
        <f t="shared" si="2"/>
        <v>0.95565130838040291</v>
      </c>
      <c r="N27" s="138">
        <f>VLOOKUP($C$4:$C$31,'TOTAL POR UF'!$A$5:$E$31,5,)</f>
        <v>574729.56000000006</v>
      </c>
      <c r="O27" s="138">
        <f>VLOOKUP($B$4:$B$31,'Evolução das Receitas'!$P$214:$T$241,5,0)</f>
        <v>421066.2122784832</v>
      </c>
      <c r="P27" s="137">
        <f t="shared" si="3"/>
        <v>1.3649386800475161</v>
      </c>
      <c r="Q27" s="138">
        <f>VLOOKUP($C$4:$C$31,'TOTAL POR UF'!$A$5:$F$31,6,)</f>
        <v>22973868.832000002</v>
      </c>
      <c r="R27" s="138">
        <f>VLOOKUP($B$4:$B$31,'Evolução das Receitas'!$P$214:$U$241,6,0)</f>
        <v>18080943.120000001</v>
      </c>
      <c r="S27" s="137">
        <f t="shared" si="4"/>
        <v>1.2706123059801984</v>
      </c>
      <c r="T27" s="138">
        <f>VLOOKUP($C$4:$C$31,'TOTAL POR UF'!$A$5:$T$31, 20,0)</f>
        <v>2027238.6159999999</v>
      </c>
      <c r="U27" s="138">
        <f>VLOOKUP($B$4:$B$31,'Evolução das Receitas'!$P$214:$V$241,7,0)</f>
        <v>1422974.2455000002</v>
      </c>
      <c r="V27" s="137">
        <f t="shared" si="5"/>
        <v>1.4246488454804571</v>
      </c>
      <c r="W27" s="34">
        <f>VLOOKUP($B$4:$B$30,'Anuid PF'!$A$7:$G$33,7,)</f>
        <v>61253</v>
      </c>
      <c r="X27" s="34">
        <f>VLOOKUP($B$4:$B$30,'Relatórios - SICCAU e IGEO'!$A$3:$E$29,5,)</f>
        <v>4024</v>
      </c>
      <c r="Y27" s="34">
        <f>VLOOKUP($B$4:$B$30,'Anuid PF'!$A$7:$B$33,2,)</f>
        <v>62511</v>
      </c>
      <c r="Z27" s="189">
        <f t="shared" si="7"/>
        <v>0.97987554190462478</v>
      </c>
      <c r="AA27" s="34">
        <f>VLOOKUP($B$4:$B$30,'Anuid PJ'!$A$6:$F$32,6,)</f>
        <v>7514</v>
      </c>
      <c r="AB27" s="1005">
        <f>VLOOKUP($B$4:$B$30,'Relatórios - SICCAU e IGEO'!$A$3:$J$29,10,)</f>
        <v>359</v>
      </c>
      <c r="AC27" s="34">
        <f>VLOOKUP($B$4:$B$30,'Anuid PJ'!$A$6:$B$32,2,)</f>
        <v>8174</v>
      </c>
      <c r="AD27" s="39">
        <f t="shared" si="6"/>
        <v>0.91925617812576466</v>
      </c>
      <c r="AE27" s="34">
        <f>VLOOKUP($B$4:$B$30,RRT!$A$5:$F$31,6,)</f>
        <v>298424</v>
      </c>
      <c r="AF27" s="34">
        <f>VLOOKUP($B$4:$B$30,RRT!$A$5:$B$31,2,)</f>
        <v>230169</v>
      </c>
      <c r="AG27" s="199">
        <f t="shared" si="8"/>
        <v>4.8719899433497131</v>
      </c>
      <c r="AH27" s="136">
        <f>VLOOKUP($B$4:$B$30,'RRT POR PROFISSIONAL'!$A$4:$D$35,4,)</f>
        <v>3.6820559581513654</v>
      </c>
      <c r="AI27" s="39">
        <f>VLOOKUP($B$4:$B$30,'ADIMPLÊNCIA PF'!$A$4:$L$30,12,)</f>
        <v>0.73178608853996663</v>
      </c>
      <c r="AJ27" s="39">
        <f>VLOOKUP($B$4:$B$30,'ADIMPLÊNCIA PF'!$A$4:$E$30,5,)</f>
        <v>0.58965126696756087</v>
      </c>
      <c r="AK27" s="39">
        <f>VLOOKUP($B$4:$B$30,'ADIMPLÊNCIA PJ'!$A$4:$I$30,9,)</f>
        <v>0.59622038860793181</v>
      </c>
      <c r="AL27" s="39">
        <f>VLOOKUP($B$4:$B$30,'ADIMPLÊNCIA PJ'!$A$4:$D$30,4,)</f>
        <v>0.49033520919990214</v>
      </c>
      <c r="AM27" s="34">
        <f>VLOOKUP($B$4:$B$30,'PF - Gênero'!$A$32:$B$58,2,)</f>
        <v>22802</v>
      </c>
      <c r="AN27" s="34">
        <f>VLOOKUP($B$4:$B$30,'PF - Gênero'!$A$32:$C$58,3,)</f>
        <v>38451</v>
      </c>
      <c r="AO27" s="34">
        <f>VLOOKUP($B$4:$B$30,'Relatórios - SICCAU e IGEO'!$A$3:$F$29,6,)</f>
        <v>2977</v>
      </c>
      <c r="AP27" s="34">
        <v>1862</v>
      </c>
      <c r="AQ27" s="189">
        <f t="shared" si="9"/>
        <v>1.5988184747583243</v>
      </c>
      <c r="AR27" s="39">
        <f>VLOOKUP($B$4:$B$30,'Comparativo YoY'!$A$8:$EB$34,132,)/100</f>
        <v>9.5599755988583016E-3</v>
      </c>
      <c r="AS27" s="39">
        <f>VLOOKUP($B$4:$B$30,'Comparativo YoY'!$A$8:$EC$34,133,)/100</f>
        <v>-4.5345319429433602E-2</v>
      </c>
      <c r="AT27" s="39">
        <f>VLOOKUP($B$4:$B$30,'Comparativo YoY'!$A$8:$ED$34,134,)/100</f>
        <v>-9.9522379553286702E-2</v>
      </c>
      <c r="AU27" s="39">
        <f>VLOOKUP($B$4:$B$30,'Comparativo YoY'!$A$8:$EE$34,135,)/100</f>
        <v>-0.16507823313974584</v>
      </c>
      <c r="AV27" s="34">
        <f>VLOOKUP($B$4:$B$30,'Comparativo YoY'!$A$8:$EA$34,131,)</f>
        <v>48885385.682399996</v>
      </c>
      <c r="AW27" s="39">
        <f t="shared" si="10"/>
        <v>-5.8779554386015787E-2</v>
      </c>
      <c r="AX27" s="39">
        <f t="shared" si="11"/>
        <v>1.1907347984270829</v>
      </c>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row>
    <row r="28" spans="1:99">
      <c r="A28" s="139">
        <v>25</v>
      </c>
      <c r="B28" s="66" t="s">
        <v>102</v>
      </c>
      <c r="C28" s="197" t="s">
        <v>13</v>
      </c>
      <c r="D28" s="139" t="s">
        <v>243</v>
      </c>
      <c r="E28" s="138">
        <f>VLOOKUP($C$4:$C$31,'TOTAL POR UF'!$A$5:$B$31,2,)</f>
        <v>3094576</v>
      </c>
      <c r="F28" s="138">
        <f>VLOOKUP($B$4:$B$31,'Evolução das Receitas'!$P$214:$Q$241,2,0)</f>
        <v>2702588.2</v>
      </c>
      <c r="G28" s="137">
        <f t="shared" si="0"/>
        <v>1.1450416308337319</v>
      </c>
      <c r="H28" s="138">
        <f>VLOOKUP($C$4:$C$31,'TOTAL POR UF'!$A$5:$C$31,3,)</f>
        <v>977570.23200000008</v>
      </c>
      <c r="I28" s="138">
        <f>VLOOKUP($B$4:$B$31,'Evolução das Receitas'!$P$214:$R$241,3,0)</f>
        <v>704597.22</v>
      </c>
      <c r="J28" s="137">
        <f t="shared" si="1"/>
        <v>1.3874171005102747</v>
      </c>
      <c r="K28" s="138">
        <f>VLOOKUP($C$4:$C$31,'TOTAL POR UF'!$A$5:$D$31,4,)</f>
        <v>581652.55999999994</v>
      </c>
      <c r="L28" s="138">
        <f>VLOOKUP($B$4:$B$31,'Evolução das Receitas'!$P$214:$S$241,4,)</f>
        <v>447868.44000000006</v>
      </c>
      <c r="M28" s="137">
        <f t="shared" si="2"/>
        <v>1.2987129881266022</v>
      </c>
      <c r="N28" s="138">
        <f>VLOOKUP($C$4:$C$31,'TOTAL POR UF'!$A$5:$E$31,5,)</f>
        <v>233059.16000000003</v>
      </c>
      <c r="O28" s="138">
        <f>VLOOKUP($B$4:$B$31,'Evolução das Receitas'!$P$214:$T$241,5,0)</f>
        <v>187730.11</v>
      </c>
      <c r="P28" s="137">
        <f t="shared" si="3"/>
        <v>1.2414586024586043</v>
      </c>
      <c r="Q28" s="138">
        <f>VLOOKUP($C$4:$C$31,'TOTAL POR UF'!$A$5:$F$31,6,)</f>
        <v>5699577.9440000001</v>
      </c>
      <c r="R28" s="138">
        <f>VLOOKUP($B$4:$B$31,'Evolução das Receitas'!$P$214:$U$241,6,0)</f>
        <v>5482379.04</v>
      </c>
      <c r="S28" s="137">
        <f t="shared" si="4"/>
        <v>1.0396176372365526</v>
      </c>
      <c r="T28" s="138">
        <f>VLOOKUP($C$4:$C$31,'TOTAL POR UF'!$A$5:$T$31, 20,0)</f>
        <v>461967.66400000005</v>
      </c>
      <c r="U28" s="138">
        <f>VLOOKUP($B$4:$B$31,'Evolução das Receitas'!$P$214:$V$241,7,0)</f>
        <v>370038.78</v>
      </c>
      <c r="V28" s="137">
        <f t="shared" si="5"/>
        <v>1.2484304050510597</v>
      </c>
      <c r="W28" s="34">
        <f>VLOOKUP($B$4:$B$30,'Anuid PF'!$A$7:$G$33,7,)</f>
        <v>12788</v>
      </c>
      <c r="X28" s="34">
        <f>VLOOKUP($B$4:$B$30,'Relatórios - SICCAU e IGEO'!$A$3:$E$29,5,)</f>
        <v>982</v>
      </c>
      <c r="Y28" s="34">
        <f>VLOOKUP($B$4:$B$30,'Anuid PF'!$A$7:$B$33,2,)</f>
        <v>12494</v>
      </c>
      <c r="Z28" s="39">
        <f t="shared" si="7"/>
        <v>1.0235312950216104</v>
      </c>
      <c r="AA28" s="34">
        <f>VLOOKUP($B$4:$B$30,'Anuid PJ'!$A$6:$F$32,6,)</f>
        <v>2666</v>
      </c>
      <c r="AB28" s="1005">
        <f>VLOOKUP($B$4:$B$30,'Relatórios - SICCAU e IGEO'!$A$3:$J$29,10,)</f>
        <v>73</v>
      </c>
      <c r="AC28" s="34">
        <f>VLOOKUP($B$4:$B$30,'Anuid PJ'!$A$6:$B$32,2,)</f>
        <v>2643</v>
      </c>
      <c r="AD28" s="39">
        <f t="shared" si="6"/>
        <v>1.0087022323117669</v>
      </c>
      <c r="AE28" s="34">
        <f>VLOOKUP($B$4:$B$30,RRT!$A$5:$F$31,6,)</f>
        <v>74516</v>
      </c>
      <c r="AF28" s="34">
        <f>VLOOKUP($B$4:$B$30,RRT!$A$5:$B$31,2,)</f>
        <v>69964</v>
      </c>
      <c r="AG28" s="199">
        <f t="shared" si="8"/>
        <v>5.8270253362527367</v>
      </c>
      <c r="AH28" s="136">
        <f>VLOOKUP($B$4:$B$30,'RRT POR PROFISSIONAL'!$A$4:$D$35,4,)</f>
        <v>5.5998079077957419</v>
      </c>
      <c r="AI28" s="39">
        <f>VLOOKUP($B$4:$B$30,'ADIMPLÊNCIA PF'!$A$4:$L$30,12,)</f>
        <v>0.7442269276867759</v>
      </c>
      <c r="AJ28" s="39">
        <f>VLOOKUP($B$4:$B$30,'ADIMPLÊNCIA PF'!$A$4:$E$30,5,)</f>
        <v>0.65179975175837812</v>
      </c>
      <c r="AK28" s="39">
        <f>VLOOKUP($B$4:$B$30,'ADIMPLÊNCIA PJ'!$A$4:$I$30,9,)</f>
        <v>0.57464366091522878</v>
      </c>
      <c r="AL28" s="39">
        <f>VLOOKUP($B$4:$B$30,'ADIMPLÊNCIA PJ'!$A$4:$D$30,4,)</f>
        <v>0.44646235338630347</v>
      </c>
      <c r="AM28" s="34">
        <f>VLOOKUP($B$4:$B$30,'PF - Gênero'!$A$32:$B$58,2,)</f>
        <v>4331</v>
      </c>
      <c r="AN28" s="34">
        <f>VLOOKUP($B$4:$B$30,'PF - Gênero'!$A$32:$C$58,3,)</f>
        <v>8457</v>
      </c>
      <c r="AO28" s="34">
        <f>VLOOKUP($B$4:$B$30,'Relatórios - SICCAU e IGEO'!$A$3:$F$29,6,)</f>
        <v>995</v>
      </c>
      <c r="AP28" s="34">
        <v>810</v>
      </c>
      <c r="AQ28" s="189">
        <f t="shared" si="9"/>
        <v>1.228395061728395</v>
      </c>
      <c r="AR28" s="39">
        <f>VLOOKUP($B$4:$B$30,'Comparativo YoY'!$A$8:$EB$34,132,)/100</f>
        <v>0.14569134867175776</v>
      </c>
      <c r="AS28" s="39">
        <f>VLOOKUP($B$4:$B$30,'Comparativo YoY'!$A$8:$EC$34,133,)/100</f>
        <v>0.10283074210055049</v>
      </c>
      <c r="AT28" s="39">
        <f>VLOOKUP($B$4:$B$30,'Comparativo YoY'!$A$8:$ED$34,134,)/100</f>
        <v>-1.5908861368139356E-2</v>
      </c>
      <c r="AU28" s="39">
        <f>VLOOKUP($B$4:$B$30,'Comparativo YoY'!$A$8:$EE$34,135,)/100</f>
        <v>7.9457543122113353E-2</v>
      </c>
      <c r="AV28" s="34">
        <f>VLOOKUP($B$4:$B$30,'Comparativo YoY'!$A$8:$EA$34,131,)</f>
        <v>10512739.800000001</v>
      </c>
      <c r="AW28" s="39">
        <f t="shared" si="10"/>
        <v>5.0953773249481804E-2</v>
      </c>
      <c r="AX28" s="39">
        <f t="shared" si="11"/>
        <v>1.1165415111761963</v>
      </c>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row>
    <row r="29" spans="1:99">
      <c r="A29" s="139">
        <v>26</v>
      </c>
      <c r="B29" s="66" t="s">
        <v>107</v>
      </c>
      <c r="C29" s="197" t="s">
        <v>19</v>
      </c>
      <c r="D29" s="139" t="s">
        <v>243</v>
      </c>
      <c r="E29" s="138">
        <f>VLOOKUP($C$4:$C$31,'TOTAL POR UF'!$A$5:$B$31,2,)</f>
        <v>3963520.0160000008</v>
      </c>
      <c r="F29" s="138">
        <f>VLOOKUP($B$4:$B$31,'Evolução das Receitas'!$P$214:$Q$241,2,0)</f>
        <v>3229102.92</v>
      </c>
      <c r="G29" s="137">
        <f t="shared" si="0"/>
        <v>1.2274368808288094</v>
      </c>
      <c r="H29" s="138">
        <f>VLOOKUP($C$4:$C$31,'TOTAL POR UF'!$A$5:$C$31,3,)</f>
        <v>973907.08799999999</v>
      </c>
      <c r="I29" s="138">
        <f>VLOOKUP($B$4:$B$31,'Evolução das Receitas'!$P$214:$R$241,3,0)</f>
        <v>763682.25</v>
      </c>
      <c r="J29" s="137">
        <f t="shared" si="1"/>
        <v>1.275277889462535</v>
      </c>
      <c r="K29" s="138">
        <f>VLOOKUP($C$4:$C$31,'TOTAL POR UF'!$A$5:$D$31,4,)</f>
        <v>556269.75199999998</v>
      </c>
      <c r="L29" s="138">
        <f>VLOOKUP($B$4:$B$31,'Evolução das Receitas'!$P$214:$S$241,4,)</f>
        <v>444889.02</v>
      </c>
      <c r="M29" s="137">
        <f t="shared" si="2"/>
        <v>1.2503562169279878</v>
      </c>
      <c r="N29" s="138">
        <f>VLOOKUP($C$4:$C$31,'TOTAL POR UF'!$A$5:$E$31,5,)</f>
        <v>176156.84800000003</v>
      </c>
      <c r="O29" s="138">
        <f>VLOOKUP($B$4:$B$31,'Evolução das Receitas'!$P$214:$T$241,5,0)</f>
        <v>114583.78</v>
      </c>
      <c r="P29" s="137">
        <f t="shared" si="3"/>
        <v>1.5373628623527695</v>
      </c>
      <c r="Q29" s="138">
        <f>VLOOKUP($C$4:$C$31,'TOTAL POR UF'!$A$5:$F$31,6,)</f>
        <v>6715767.8319999995</v>
      </c>
      <c r="R29" s="138">
        <f>VLOOKUP($B$4:$B$31,'Evolução das Receitas'!$P$214:$U$241,6,0)</f>
        <v>6208149.3599999994</v>
      </c>
      <c r="S29" s="137">
        <f t="shared" si="4"/>
        <v>1.0817664721906755</v>
      </c>
      <c r="T29" s="138">
        <f>VLOOKUP($C$4:$C$31,'TOTAL POR UF'!$A$5:$T$31, 20,0)</f>
        <v>430533.80000000005</v>
      </c>
      <c r="U29" s="138">
        <f>VLOOKUP($B$4:$B$31,'Evolução das Receitas'!$P$214:$V$241,7,0)</f>
        <v>439312.46</v>
      </c>
      <c r="V29" s="137">
        <f t="shared" si="5"/>
        <v>0.98001727517585102</v>
      </c>
      <c r="W29" s="34">
        <f>VLOOKUP($B$4:$B$30,'Anuid PF'!$A$7:$G$33,7,)</f>
        <v>16438</v>
      </c>
      <c r="X29" s="34">
        <f>VLOOKUP($B$4:$B$30,'Relatórios - SICCAU e IGEO'!$A$3:$E$29,5,)</f>
        <v>919</v>
      </c>
      <c r="Y29" s="34">
        <f>VLOOKUP($B$4:$B$30,'Anuid PF'!$A$7:$B$33,2,)</f>
        <v>16222</v>
      </c>
      <c r="Z29" s="39">
        <f t="shared" si="7"/>
        <v>1.0133152508938479</v>
      </c>
      <c r="AA29" s="34">
        <f>VLOOKUP($B$4:$B$30,'Anuid PJ'!$A$6:$F$32,6,)</f>
        <v>2709</v>
      </c>
      <c r="AB29" s="1005">
        <f>VLOOKUP($B$4:$B$30,'Relatórios - SICCAU e IGEO'!$A$3:$J$29,10,)</f>
        <v>116</v>
      </c>
      <c r="AC29" s="34">
        <f>VLOOKUP($B$4:$B$30,'Anuid PJ'!$A$6:$B$32,2,)</f>
        <v>2623</v>
      </c>
      <c r="AD29" s="39">
        <f t="shared" si="6"/>
        <v>1.0327868852459017</v>
      </c>
      <c r="AE29" s="34">
        <f>VLOOKUP($B$4:$B$30,RRT!$A$5:$F$31,6,)</f>
        <v>86272</v>
      </c>
      <c r="AF29" s="34">
        <f>VLOOKUP($B$4:$B$30,RRT!$A$5:$B$31,2,)</f>
        <v>79226</v>
      </c>
      <c r="AG29" s="199">
        <f t="shared" si="8"/>
        <v>5.2483270470860202</v>
      </c>
      <c r="AH29" s="136">
        <f>VLOOKUP($B$4:$B$30,'RRT POR PROFISSIONAL'!$A$4:$D$35,4,)</f>
        <v>4.8838614227592156</v>
      </c>
      <c r="AI29" s="39">
        <f>VLOOKUP($B$4:$B$30,'ADIMPLÊNCIA PF'!$A$4:$L$30,12,)</f>
        <v>0.74844956334641188</v>
      </c>
      <c r="AJ29" s="39">
        <f>VLOOKUP($B$4:$B$30,'ADIMPLÊNCIA PF'!$A$4:$E$30,5,)</f>
        <v>0.61414063005369046</v>
      </c>
      <c r="AK29" s="39">
        <f>VLOOKUP($B$4:$B$30,'ADIMPLÊNCIA PJ'!$A$4:$I$30,9,)</f>
        <v>0.53229974160206717</v>
      </c>
      <c r="AL29" s="39">
        <f>VLOOKUP($B$4:$B$30,'ADIMPLÊNCIA PJ'!$A$4:$D$30,4,)</f>
        <v>0.43042317956538317</v>
      </c>
      <c r="AM29" s="34">
        <f>VLOOKUP($B$4:$B$30,'PF - Gênero'!$A$32:$B$58,2,)</f>
        <v>5579</v>
      </c>
      <c r="AN29" s="34">
        <f>VLOOKUP($B$4:$B$30,'PF - Gênero'!$A$32:$C$58,3,)</f>
        <v>10859</v>
      </c>
      <c r="AO29" s="34">
        <f>VLOOKUP($B$4:$B$30,'Relatórios - SICCAU e IGEO'!$A$3:$F$29,6,)</f>
        <v>989</v>
      </c>
      <c r="AP29" s="34">
        <v>735</v>
      </c>
      <c r="AQ29" s="189">
        <f t="shared" si="9"/>
        <v>1.3455782312925171</v>
      </c>
      <c r="AR29" s="39">
        <f>VLOOKUP($B$4:$B$30,'Comparativo YoY'!$A$8:$EB$34,132,)/100</f>
        <v>2.975127220145083E-2</v>
      </c>
      <c r="AS29" s="39">
        <f>VLOOKUP($B$4:$B$30,'Comparativo YoY'!$A$8:$EC$34,133,)/100</f>
        <v>-6.7507326237440712E-2</v>
      </c>
      <c r="AT29" s="39">
        <f>VLOOKUP($B$4:$B$30,'Comparativo YoY'!$A$8:$ED$34,134,)/100</f>
        <v>-0.15515231486400624</v>
      </c>
      <c r="AU29" s="39">
        <f>VLOOKUP($B$4:$B$30,'Comparativo YoY'!$A$8:$EE$34,135,)/100</f>
        <v>-0.19870939396167914</v>
      </c>
      <c r="AV29" s="34">
        <f>VLOOKUP($B$4:$B$30,'Comparativo YoY'!$A$8:$EA$34,131,)</f>
        <v>14066614.194000002</v>
      </c>
      <c r="AW29" s="39">
        <f t="shared" si="10"/>
        <v>-8.8895511084207679E-2</v>
      </c>
      <c r="AX29" s="39">
        <f t="shared" si="11"/>
        <v>1.1443282132329136</v>
      </c>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9">
      <c r="A30" s="139">
        <v>27</v>
      </c>
      <c r="B30" s="66" t="s">
        <v>110</v>
      </c>
      <c r="C30" s="197" t="s">
        <v>23</v>
      </c>
      <c r="D30" s="139" t="s">
        <v>243</v>
      </c>
      <c r="E30" s="138">
        <f>VLOOKUP($C$4:$C$31,'TOTAL POR UF'!$A$5:$B$31,2,)</f>
        <v>2614275.8080000002</v>
      </c>
      <c r="F30" s="138">
        <f>VLOOKUP($B$4:$B$31,'Evolução das Receitas'!$P$214:$Q$241,2,0)</f>
        <v>2429073.9160000002</v>
      </c>
      <c r="G30" s="137">
        <f t="shared" si="0"/>
        <v>1.0762438272380674</v>
      </c>
      <c r="H30" s="138">
        <f>VLOOKUP($C$4:$C$31,'TOTAL POR UF'!$A$5:$C$31,3,)</f>
        <v>484391.45600000006</v>
      </c>
      <c r="I30" s="138">
        <f>VLOOKUP($B$4:$B$31,'Evolução das Receitas'!$P$214:$R$241,3,0)</f>
        <v>336083.68936591974</v>
      </c>
      <c r="J30" s="137">
        <f t="shared" si="1"/>
        <v>1.4412822500071001</v>
      </c>
      <c r="K30" s="138">
        <f>VLOOKUP($C$4:$C$31,'TOTAL POR UF'!$A$5:$D$31,4,)</f>
        <v>352642.75200000009</v>
      </c>
      <c r="L30" s="138">
        <f>VLOOKUP($B$4:$B$31,'Evolução das Receitas'!$P$214:$S$241,4,)</f>
        <v>359595.36800000002</v>
      </c>
      <c r="M30" s="137">
        <f t="shared" si="2"/>
        <v>0.98066544616892859</v>
      </c>
      <c r="N30" s="138">
        <f>VLOOKUP($C$4:$C$31,'TOTAL POR UF'!$A$5:$E$31,5,)</f>
        <v>65958.895999999993</v>
      </c>
      <c r="O30" s="138">
        <f>VLOOKUP($B$4:$B$31,'Evolução das Receitas'!$P$214:$T$241,5,0)</f>
        <v>73316.311999999947</v>
      </c>
      <c r="P30" s="137">
        <f t="shared" si="3"/>
        <v>0.8996483074598739</v>
      </c>
      <c r="Q30" s="138">
        <f>VLOOKUP($C$4:$C$31,'TOTAL POR UF'!$A$5:$F$31,6,)</f>
        <v>4293732.0880000005</v>
      </c>
      <c r="R30" s="138">
        <f>VLOOKUP($B$4:$B$31,'Evolução das Receitas'!$P$214:$U$241,6,0)</f>
        <v>4019319.4799999995</v>
      </c>
      <c r="S30" s="137">
        <f t="shared" si="4"/>
        <v>1.0682734003518428</v>
      </c>
      <c r="T30" s="138">
        <f>VLOOKUP($C$4:$C$31,'TOTAL POR UF'!$A$5:$T$31, 20,0)</f>
        <v>231104.20800000001</v>
      </c>
      <c r="U30" s="138">
        <f>VLOOKUP($B$4:$B$31,'Evolução das Receitas'!$P$214:$V$241,7,0)</f>
        <v>211496.23599999945</v>
      </c>
      <c r="V30" s="137">
        <f t="shared" si="5"/>
        <v>1.092710737414734</v>
      </c>
      <c r="W30" s="34">
        <f>VLOOKUP($B$4:$B$30,'Anuid PF'!$A$7:$G$33,7,)</f>
        <v>10476</v>
      </c>
      <c r="X30" s="34">
        <f>VLOOKUP($B$4:$B$30,'Relatórios - SICCAU e IGEO'!$A$3:$E$29,5,)</f>
        <v>904</v>
      </c>
      <c r="Y30" s="34">
        <f>VLOOKUP($B$4:$B$30,'Anuid PF'!$A$7:$B$33,2,)</f>
        <v>10227</v>
      </c>
      <c r="Z30" s="39">
        <f>IFERROR(W30/Y30,)</f>
        <v>1.0243473159284247</v>
      </c>
      <c r="AA30" s="34">
        <f>VLOOKUP($B$4:$B$30,'Anuid PJ'!$A$6:$F$32,6,)</f>
        <v>1733</v>
      </c>
      <c r="AB30" s="1005">
        <f>VLOOKUP($B$4:$B$30,'Relatórios - SICCAU e IGEO'!$A$3:$J$29,10,)</f>
        <v>113</v>
      </c>
      <c r="AC30" s="34">
        <f>VLOOKUP($B$4:$B$30,'Anuid PJ'!$A$6:$B$32,2,)</f>
        <v>1673</v>
      </c>
      <c r="AD30" s="39">
        <f t="shared" si="6"/>
        <v>1.035863717872086</v>
      </c>
      <c r="AE30" s="34">
        <f>VLOOKUP($B$4:$B$30,RRT!$A$5:$F$31,6,)</f>
        <v>54618</v>
      </c>
      <c r="AF30" s="34">
        <f>VLOOKUP($B$4:$B$30,RRT!$A$5:$B$31,2,)</f>
        <v>51293</v>
      </c>
      <c r="AG30" s="199">
        <f t="shared" si="8"/>
        <v>5.2136311569301261</v>
      </c>
      <c r="AH30" s="136">
        <f>VLOOKUP($B$4:$B$30,'RRT POR PROFISSIONAL'!$A$4:$D$35,4,)</f>
        <v>5.0154493008702454</v>
      </c>
      <c r="AI30" s="39">
        <f>VLOOKUP($B$4:$B$30,'ADIMPLÊNCIA PF'!$A$4:$L$30,12,)</f>
        <v>0.75542635658914725</v>
      </c>
      <c r="AJ30" s="39">
        <f>VLOOKUP($B$4:$B$30,'ADIMPLÊNCIA PF'!$A$4:$E$30,5,)</f>
        <v>0.68010508234818634</v>
      </c>
      <c r="AK30" s="39">
        <f>VLOOKUP($B$4:$B$30,'ADIMPLÊNCIA PJ'!$A$4:$I$30,9,)</f>
        <v>0.52336987882285058</v>
      </c>
      <c r="AL30" s="39">
        <f>VLOOKUP($B$4:$B$30,'ADIMPLÊNCIA PJ'!$A$4:$D$30,4,)</f>
        <v>0.50448296473401077</v>
      </c>
      <c r="AM30" s="34">
        <f>VLOOKUP($B$4:$B$30,'PF - Gênero'!$A$32:$B$58,2,)</f>
        <v>3421</v>
      </c>
      <c r="AN30" s="34">
        <f>VLOOKUP($B$4:$B$30,'PF - Gênero'!$A$32:$C$58,3,)</f>
        <v>7055</v>
      </c>
      <c r="AO30" s="34">
        <f>VLOOKUP($B$4:$B$30,'Relatórios - SICCAU e IGEO'!$A$3:$F$29,6,)</f>
        <v>719</v>
      </c>
      <c r="AP30" s="34">
        <v>464</v>
      </c>
      <c r="AQ30" s="189">
        <f>AO30/AP30</f>
        <v>1.5495689655172413</v>
      </c>
      <c r="AR30" s="39">
        <f>VLOOKUP($B$4:$B$30,'Comparativo YoY'!$A$8:$EB$34,132,)/100</f>
        <v>0.10484371425318401</v>
      </c>
      <c r="AS30" s="39">
        <f>VLOOKUP($B$4:$B$30,'Comparativo YoY'!$A$8:$EC$34,133,)/100</f>
        <v>3.4709118951966357E-2</v>
      </c>
      <c r="AT30" s="39">
        <f>VLOOKUP($B$4:$B$30,'Comparativo YoY'!$A$8:$ED$34,134,)/100</f>
        <v>-4.3375061525471353E-2</v>
      </c>
      <c r="AU30" s="39">
        <f>VLOOKUP($B$4:$B$30,'Comparativo YoY'!$A$8:$EE$34,135,)/100</f>
        <v>0.10218931732733694</v>
      </c>
      <c r="AV30" s="34">
        <f>VLOOKUP($B$4:$B$30,'Comparativo YoY'!$A$8:$EA$34,131,)</f>
        <v>7907275.0640000021</v>
      </c>
      <c r="AW30" s="39">
        <f t="shared" si="10"/>
        <v>1.7051404296512862E-2</v>
      </c>
      <c r="AX30" s="39">
        <f t="shared" si="11"/>
        <v>1.0825453895869075</v>
      </c>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row>
    <row r="31" spans="1:99" ht="15.75" customHeight="1">
      <c r="A31" s="139">
        <v>28</v>
      </c>
      <c r="B31" s="66" t="s">
        <v>241</v>
      </c>
      <c r="C31" s="197" t="s">
        <v>449</v>
      </c>
      <c r="D31" s="139" t="s">
        <v>240</v>
      </c>
      <c r="E31" s="138">
        <f>'TOTAL POR UF'!B65</f>
        <v>10964506.324000001</v>
      </c>
      <c r="F31" s="138">
        <f>VLOOKUP($B$4:$B$31,'Evolução das Receitas'!$P$214:$Q$241,2,0)</f>
        <v>9890494.6805000007</v>
      </c>
      <c r="G31" s="137">
        <f t="shared" si="0"/>
        <v>1.1085902857434937</v>
      </c>
      <c r="H31" s="138">
        <f>'TOTAL POR UF'!C65</f>
        <v>3313021.7079999992</v>
      </c>
      <c r="I31" s="138">
        <f>VLOOKUP($B$4:$B$31,'Evolução das Receitas'!$P$214:$R$241,3,0)</f>
        <v>2283777.2526982254</v>
      </c>
      <c r="J31" s="137">
        <f t="shared" si="1"/>
        <v>1.4506763757655206</v>
      </c>
      <c r="K31" s="138">
        <f>'TOTAL POR UF'!D65</f>
        <v>1393858.4740000002</v>
      </c>
      <c r="L31" s="138">
        <f>VLOOKUP($B$4:$B$31,'Evolução das Receitas'!$P$214:$S$241,4,)</f>
        <v>1319645.9160000002</v>
      </c>
      <c r="M31" s="137">
        <f t="shared" si="2"/>
        <v>1.0562367200930283</v>
      </c>
      <c r="N31" s="138">
        <f>'TOTAL POR UF'!E65</f>
        <v>427213.734</v>
      </c>
      <c r="O31" s="138">
        <f>VLOOKUP($B$4:$B$31,'Evolução das Receitas'!$P$214:$T$241,5,0)</f>
        <v>341968.26831962075</v>
      </c>
      <c r="P31" s="137">
        <f t="shared" si="3"/>
        <v>1.2492788763684488</v>
      </c>
      <c r="Q31" s="138">
        <f>'TOTAL POR UF'!F65</f>
        <v>16282698.830000002</v>
      </c>
      <c r="R31" s="138">
        <f>VLOOKUP($B$4:$B$31,'Evolução das Receitas'!$P$214:$U$241,6,0)</f>
        <v>14028394.402500002</v>
      </c>
      <c r="S31" s="137">
        <f t="shared" si="4"/>
        <v>1.1606958261095268</v>
      </c>
      <c r="T31" s="138">
        <f>'TOTAL POR UF'!T65</f>
        <v>1483122.3079999997</v>
      </c>
      <c r="U31" s="138">
        <f>VLOOKUP($B$4:$B$31,'Evolução das Receitas'!$P$214:$V$241,7,0)</f>
        <v>1235985.3869538163</v>
      </c>
      <c r="V31" s="137">
        <f t="shared" si="5"/>
        <v>1.1999513292428738</v>
      </c>
      <c r="W31" s="34">
        <f>'Anuid PF'!G36</f>
        <v>193090</v>
      </c>
      <c r="X31" s="34">
        <f>'Relatórios - SICCAU e IGEO'!E30</f>
        <v>13662</v>
      </c>
      <c r="Y31" s="34">
        <f>'Anuid PF'!B36</f>
        <v>190756</v>
      </c>
      <c r="Z31" s="189">
        <f>IFERROR(W31/Y31,)</f>
        <v>1.0122355260122879</v>
      </c>
      <c r="AA31" s="34">
        <f>'Anuid PJ'!F35</f>
        <v>27166</v>
      </c>
      <c r="AB31" s="1005">
        <f>'Relatórios - SICCAU e IGEO'!J30</f>
        <v>1008</v>
      </c>
      <c r="AC31" s="34">
        <f>'Anuid PJ'!B35</f>
        <v>27380</v>
      </c>
      <c r="AD31" s="39">
        <f t="shared" si="6"/>
        <v>0.99218407596785974</v>
      </c>
      <c r="AE31" s="34">
        <f>RRT!F34</f>
        <v>839410</v>
      </c>
      <c r="AF31" s="34">
        <f>RRT!B34</f>
        <v>713260</v>
      </c>
      <c r="AG31" s="199">
        <f>AE31/W31</f>
        <v>4.3472473975866173</v>
      </c>
      <c r="AH31" s="136">
        <f>'RRT POR PROFISSIONAL'!D36</f>
        <v>3.7391222294449453</v>
      </c>
      <c r="AI31" s="39">
        <f>'ADIMPLÊNCIA PF'!L31</f>
        <v>0.7285864181757884</v>
      </c>
      <c r="AJ31" s="39">
        <f>'ADIMPLÊNCIA PF'!E31</f>
        <v>0.59807537199276872</v>
      </c>
      <c r="AK31" s="39">
        <f>'ADIMPLÊNCIA PJ'!I31</f>
        <v>0.5342339689317529</v>
      </c>
      <c r="AL31" s="39">
        <f>'ADIMPLÊNCIA PJ'!D31</f>
        <v>0.4547845142439737</v>
      </c>
      <c r="AM31" s="34">
        <f>SUM(AM4:AM30)</f>
        <v>69278</v>
      </c>
      <c r="AN31" s="34">
        <f>SUM(AN4:AN30)</f>
        <v>123812</v>
      </c>
      <c r="AO31" s="34">
        <f>SUM(AO4:AO30)</f>
        <v>11703</v>
      </c>
      <c r="AP31" s="34">
        <v>7238</v>
      </c>
      <c r="AQ31" s="189">
        <f>AO31/AP31</f>
        <v>1.6168831168831168</v>
      </c>
      <c r="AR31" s="39">
        <f>'Comparativo YoY'!EB37/100</f>
        <v>5.7015126121574722E-2</v>
      </c>
      <c r="AS31" s="39">
        <f>'Comparativo YoY'!EC37/100</f>
        <v>-6.6486440864633498E-2</v>
      </c>
      <c r="AT31" s="39">
        <f>'Comparativo YoY'!ED37/100</f>
        <v>-7.8659279721581182E-2</v>
      </c>
      <c r="AU31" s="39">
        <f>'Comparativo YoY'!EE37/100</f>
        <v>-0.13051306529233728</v>
      </c>
      <c r="AV31" s="34">
        <f>'Comparativo YoY'!EA36</f>
        <v>34847147.814599998</v>
      </c>
      <c r="AW31" s="39">
        <f>((E31+K31+H31+N31+Q31+T31)/AV31)-1</f>
        <v>-2.8201057998447299E-2</v>
      </c>
      <c r="AX31" s="39">
        <f t="shared" si="11"/>
        <v>1.1637151868734976</v>
      </c>
      <c r="BB31" s="1198"/>
      <c r="BC31" s="1198"/>
      <c r="BD31" s="186"/>
      <c r="BE31" s="1198"/>
      <c r="BF31" s="1198"/>
      <c r="BG31" s="186"/>
      <c r="BH31" s="1198"/>
      <c r="BI31" s="1198"/>
      <c r="BJ31" s="187"/>
      <c r="BK31" s="1198"/>
      <c r="BL31" s="1198"/>
      <c r="BN31" s="1198"/>
      <c r="BO31" s="1198"/>
      <c r="BQ31" s="1198"/>
      <c r="BR31" s="1198"/>
      <c r="BT31" s="1199"/>
      <c r="BU31" s="1199"/>
      <c r="BV31" s="1199"/>
      <c r="BX31" s="1199"/>
      <c r="BY31" s="1199"/>
      <c r="BZ31" s="1199"/>
      <c r="CB31" s="185"/>
      <c r="CC31" s="185"/>
      <c r="CD31" s="1073"/>
      <c r="CE31" s="1073"/>
      <c r="CJ31" s="185"/>
      <c r="CK31" s="185"/>
      <c r="CL31" s="185"/>
      <c r="CM31" s="185"/>
      <c r="CO31" s="186"/>
      <c r="CP31" s="186"/>
      <c r="CQ31" s="61"/>
      <c r="CR31" s="61"/>
      <c r="CS31" s="18"/>
      <c r="CT31" s="61"/>
    </row>
    <row r="32" spans="1:99">
      <c r="E32" s="164">
        <f>'TOTAL POR UF'!B98-SUM(E4:E31)</f>
        <v>0</v>
      </c>
      <c r="F32" s="170">
        <f>SUM(F4:F31)-SUM('Evolução das Receitas'!Q214:Q241)</f>
        <v>0</v>
      </c>
      <c r="G32" s="127"/>
      <c r="H32" s="164">
        <f>'TOTAL POR UF'!C98-SUM(H4:H31)</f>
        <v>0</v>
      </c>
      <c r="I32" s="170">
        <f>SUM(I4:I31)-SUM('Evolução das Receitas'!R214:R241)</f>
        <v>0</v>
      </c>
      <c r="J32" s="164"/>
      <c r="K32" s="164">
        <f>'TOTAL POR UF'!D98-SUM(K4:K31)</f>
        <v>0</v>
      </c>
      <c r="L32" s="170">
        <f>SUM($L$4:$L$31)-SUM('Evolução das Receitas'!$S$214:$S$241)</f>
        <v>0</v>
      </c>
      <c r="M32" s="127"/>
      <c r="N32" s="164">
        <f>'TOTAL POR UF'!E98-SUM(N4:N31)</f>
        <v>0</v>
      </c>
      <c r="O32" s="170">
        <f>SUM(O4:O31)-SUM('Evolução das Receitas'!T214:T241)</f>
        <v>0</v>
      </c>
      <c r="P32" s="164"/>
      <c r="Q32" s="164">
        <f>'TOTAL POR UF'!F98-SUM(Q4:Q31)</f>
        <v>0</v>
      </c>
      <c r="R32" s="165">
        <f>SUM(R4:R31)-SUM('Evolução das Receitas'!U214:U241)</f>
        <v>0</v>
      </c>
      <c r="S32" s="163"/>
      <c r="T32" s="164">
        <f>'TOTAL POR UF'!T98-SUM(T4:T31)</f>
        <v>0</v>
      </c>
      <c r="U32" s="165">
        <f>SUM(U4:U31)-SUM('Evolução das Receitas'!V214:V241)</f>
        <v>0</v>
      </c>
      <c r="V32" s="165"/>
      <c r="W32" s="172">
        <f>W31-SUM(W4:W30)</f>
        <v>0</v>
      </c>
      <c r="X32" s="172">
        <f>X31-SUM(X4:X30)</f>
        <v>0</v>
      </c>
      <c r="Y32" s="172">
        <f>Y31-SUM(Y4:Y30)</f>
        <v>0</v>
      </c>
      <c r="Z32" s="163"/>
      <c r="AA32" s="172">
        <f>AA31-SUM(AA4:AA30)</f>
        <v>0</v>
      </c>
      <c r="AB32" s="172">
        <f>AB31-SUM(AB4:AB30)</f>
        <v>0</v>
      </c>
      <c r="AC32" s="172">
        <f>AC31-SUM(AC4:AC30)</f>
        <v>0</v>
      </c>
      <c r="AD32" s="163"/>
      <c r="AE32" s="172">
        <f>AE31-SUM(AE4:AE30)</f>
        <v>0</v>
      </c>
      <c r="AF32" s="172">
        <f>AF31-SUM(AF4:AF30)</f>
        <v>0</v>
      </c>
      <c r="AG32" s="163"/>
      <c r="AH32" s="163"/>
      <c r="AI32" s="166"/>
      <c r="AJ32" s="163"/>
      <c r="AK32" s="166"/>
      <c r="AL32" s="163"/>
      <c r="AM32" s="172">
        <f>AM31-'PF - Gênero'!B59</f>
        <v>0</v>
      </c>
      <c r="AN32" s="172">
        <f>AN31-'PF - Gênero'!C59</f>
        <v>0</v>
      </c>
      <c r="AO32" s="172">
        <f>'Relatórios - SICCAU e IGEO'!F30-AO31</f>
        <v>0</v>
      </c>
      <c r="AP32" s="172">
        <f>7238-SUM(AP4:AP30)</f>
        <v>-6</v>
      </c>
      <c r="BB32" s="1198">
        <f>SUM(BB4:BB31)</f>
        <v>3094576</v>
      </c>
      <c r="BC32" s="1198">
        <f>SUM(BC4:BC31)</f>
        <v>2702588.2</v>
      </c>
      <c r="BD32" s="186">
        <f>BB32/BC32</f>
        <v>1.1450416308337319</v>
      </c>
      <c r="BE32" s="1198">
        <f t="shared" ref="BE32:BF32" si="12">SUM(BE4:BE31)</f>
        <v>977570.23200000008</v>
      </c>
      <c r="BF32" s="1198">
        <f t="shared" si="12"/>
        <v>704597.22</v>
      </c>
      <c r="BG32" s="186">
        <f>BE32/BF32</f>
        <v>1.3874171005102747</v>
      </c>
      <c r="BH32" s="1198">
        <f t="shared" ref="BH32:BI32" si="13">SUM(BH4:BH31)</f>
        <v>581652.55999999994</v>
      </c>
      <c r="BI32" s="1198">
        <f t="shared" si="13"/>
        <v>447868.44000000006</v>
      </c>
      <c r="BJ32" s="186">
        <f>BH32/BI32</f>
        <v>1.2987129881266022</v>
      </c>
      <c r="BK32" s="1198">
        <f t="shared" ref="BK32:BL32" si="14">SUM(BK4:BK31)</f>
        <v>233059.16000000003</v>
      </c>
      <c r="BL32" s="1198">
        <f t="shared" si="14"/>
        <v>187730.11</v>
      </c>
      <c r="BM32" s="186">
        <f>BK32/BL32</f>
        <v>1.2414586024586043</v>
      </c>
      <c r="BN32" s="1198">
        <f>SUM(BN4:BN31)</f>
        <v>5699577.9440000001</v>
      </c>
      <c r="BO32" s="1198">
        <f>SUM(BO4:BO31)</f>
        <v>5482379.04</v>
      </c>
      <c r="BP32" s="186">
        <f>BN32/BO32</f>
        <v>1.0396176372365526</v>
      </c>
      <c r="BQ32" s="1198">
        <f>SUM(BQ4:BQ31)</f>
        <v>461967.66400000005</v>
      </c>
      <c r="BR32" s="1198">
        <f>SUM(BR4:BR31)</f>
        <v>370038.78</v>
      </c>
      <c r="BS32" s="186">
        <f>BQ32/BR32</f>
        <v>1.2484304050510597</v>
      </c>
      <c r="BT32" s="1199">
        <f>SUM(BT4:BT31)</f>
        <v>12788</v>
      </c>
      <c r="BU32" s="1199">
        <f>SUM(BU4:BU31)</f>
        <v>982</v>
      </c>
      <c r="BV32" s="1199">
        <f>SUM(BV4:BV31)</f>
        <v>12494</v>
      </c>
      <c r="BW32" s="186">
        <f>BT32/BV32</f>
        <v>1.0235312950216104</v>
      </c>
      <c r="BX32" s="1199">
        <f>SUM(BX4:BX31)</f>
        <v>2666</v>
      </c>
      <c r="BY32" s="1199">
        <f>SUM(BY4:BY31)</f>
        <v>73</v>
      </c>
      <c r="BZ32" s="1199">
        <f>SUM(BZ4:BZ31)</f>
        <v>2643</v>
      </c>
      <c r="CA32" s="186">
        <f>BX32/BZ32</f>
        <v>1.0087022323117669</v>
      </c>
      <c r="CB32" s="185">
        <f>SUM(CB4:CB31)</f>
        <v>74516</v>
      </c>
      <c r="CC32" s="185">
        <f>SUM(CC4:CC31)</f>
        <v>69964</v>
      </c>
      <c r="CD32" s="1074">
        <f t="shared" ref="CD32:CI32" si="15">AVERAGE(CD4:CD30)</f>
        <v>5.8270253362527367</v>
      </c>
      <c r="CE32" s="1074">
        <f t="shared" si="15"/>
        <v>5.5998079077957419</v>
      </c>
      <c r="CF32" s="186">
        <f t="shared" si="15"/>
        <v>0.7442269276867759</v>
      </c>
      <c r="CG32" s="186">
        <f t="shared" si="15"/>
        <v>0.65179975175837812</v>
      </c>
      <c r="CH32" s="186">
        <f t="shared" si="15"/>
        <v>0.57464366091522878</v>
      </c>
      <c r="CI32" s="186">
        <f t="shared" si="15"/>
        <v>0.44646235338630347</v>
      </c>
      <c r="CJ32" s="185">
        <f>SUM(CJ4:CJ31)</f>
        <v>4331</v>
      </c>
      <c r="CK32" s="185">
        <f>SUM(CK4:CK31)</f>
        <v>8457</v>
      </c>
      <c r="CL32" s="185">
        <f>SUM(CL4:CL31)</f>
        <v>995</v>
      </c>
      <c r="CM32" s="185">
        <f>SUM(CM4:CM31)</f>
        <v>810</v>
      </c>
      <c r="CN32" s="186">
        <f>CL32/CM32</f>
        <v>1.228395061728395</v>
      </c>
      <c r="CO32" s="186">
        <f t="shared" ref="CO32:CU32" si="16">AVERAGE(CO4:CO30)</f>
        <v>0.14569134867175776</v>
      </c>
      <c r="CP32" s="186">
        <f t="shared" si="16"/>
        <v>0.10283074210055049</v>
      </c>
      <c r="CQ32" s="61">
        <f t="shared" si="16"/>
        <v>-1.5908861368139356E-2</v>
      </c>
      <c r="CR32" s="61">
        <f t="shared" si="16"/>
        <v>7.9457543122113353E-2</v>
      </c>
      <c r="CS32" s="1198">
        <f>SUM(CS4:CS31)</f>
        <v>10512739.800000001</v>
      </c>
      <c r="CT32" s="61">
        <f t="shared" si="16"/>
        <v>5.0953773249481804E-2</v>
      </c>
      <c r="CU32" s="61">
        <f t="shared" si="16"/>
        <v>1.1165415111761963</v>
      </c>
    </row>
    <row r="33" spans="1:98" ht="15.75" thickBot="1">
      <c r="A33" s="23"/>
      <c r="F33" s="135"/>
      <c r="L33" s="135"/>
      <c r="R33" s="135"/>
      <c r="U33" s="135"/>
      <c r="AE33" s="63"/>
      <c r="AF33" s="63"/>
      <c r="AG33" s="63"/>
      <c r="BA33" s="175" t="s">
        <v>239</v>
      </c>
      <c r="BB33" s="175" t="s">
        <v>180</v>
      </c>
      <c r="BH33" s="1072"/>
      <c r="BI33" s="1072"/>
      <c r="BK33" s="1072"/>
      <c r="BL33" s="1072"/>
      <c r="BN33" s="1072"/>
      <c r="BO33" s="1072"/>
    </row>
    <row r="34" spans="1:98" ht="15.75" thickBot="1">
      <c r="A34" s="23"/>
      <c r="B34" s="202"/>
      <c r="C34" s="134"/>
      <c r="D34" s="134"/>
      <c r="E34" s="133"/>
      <c r="F34" s="133"/>
      <c r="G34" s="133"/>
      <c r="H34" s="133"/>
      <c r="I34" s="133"/>
      <c r="J34" s="133"/>
      <c r="K34" s="133"/>
      <c r="L34" s="133"/>
      <c r="M34" s="133"/>
      <c r="N34" s="62"/>
      <c r="O34" s="62"/>
      <c r="P34" s="62"/>
      <c r="Q34" s="62"/>
      <c r="R34" s="62"/>
      <c r="AE34" s="63"/>
      <c r="AY34" s="132" t="s">
        <v>197</v>
      </c>
      <c r="AZ34" s="254">
        <f>BB32</f>
        <v>3094576</v>
      </c>
      <c r="BA34" s="255">
        <f>AZ34/BB34</f>
        <v>2.2827856359216213E-2</v>
      </c>
      <c r="BB34" s="256">
        <f>'TOTAL POR UF'!R32</f>
        <v>135561392.68200001</v>
      </c>
      <c r="BC34" s="261"/>
      <c r="BD34" s="261"/>
      <c r="BN34" s="1072"/>
      <c r="BO34" s="1072"/>
      <c r="CQ34" s="1405" t="s">
        <v>1100</v>
      </c>
      <c r="CR34" s="1406"/>
      <c r="CS34" s="1406"/>
      <c r="CT34" s="1406"/>
    </row>
    <row r="35" spans="1:98" ht="15.75" thickBot="1">
      <c r="A35" s="23"/>
      <c r="B35" s="202"/>
      <c r="C35" s="130"/>
      <c r="D35" s="131"/>
      <c r="E35" s="130"/>
      <c r="F35" s="130"/>
      <c r="G35" s="130"/>
      <c r="H35" s="130"/>
      <c r="I35" s="130"/>
      <c r="J35" s="130"/>
      <c r="K35" s="130"/>
      <c r="L35" s="130"/>
      <c r="M35" s="130"/>
      <c r="N35" s="62"/>
      <c r="O35" s="62"/>
      <c r="P35" s="62"/>
      <c r="Q35" s="62"/>
      <c r="R35" s="62"/>
      <c r="AY35" s="129" t="s">
        <v>176</v>
      </c>
      <c r="AZ35" s="257">
        <f>BC32</f>
        <v>2702588.2</v>
      </c>
      <c r="BA35" s="258"/>
      <c r="BB35" s="259"/>
      <c r="BC35" s="262" t="s">
        <v>181</v>
      </c>
      <c r="BD35" s="263">
        <f>F31</f>
        <v>9890494.6805000007</v>
      </c>
      <c r="CQ35" s="1406"/>
      <c r="CR35" s="1406"/>
      <c r="CS35" s="1406"/>
      <c r="CT35" s="1406"/>
    </row>
    <row r="36" spans="1:98">
      <c r="A36" s="118"/>
      <c r="B36" s="202"/>
      <c r="C36" s="116"/>
      <c r="D36" s="117"/>
      <c r="E36" s="116"/>
      <c r="F36" s="116"/>
      <c r="G36" s="116"/>
      <c r="H36" s="116"/>
      <c r="I36" s="116"/>
      <c r="J36" s="116"/>
      <c r="K36" s="116"/>
      <c r="L36" s="116"/>
      <c r="M36" s="116"/>
      <c r="N36" s="62"/>
      <c r="O36" s="62"/>
      <c r="P36" s="62"/>
      <c r="Q36" s="62"/>
      <c r="R36" s="62"/>
      <c r="AY36" s="129" t="s">
        <v>236</v>
      </c>
      <c r="AZ36" s="260">
        <f>BD32</f>
        <v>1.1450416308337319</v>
      </c>
      <c r="BA36" s="255"/>
      <c r="BB36" s="256"/>
      <c r="BC36" s="264" t="s">
        <v>459</v>
      </c>
      <c r="BD36" s="265">
        <f>E31/BD35</f>
        <v>1.1085902857434937</v>
      </c>
      <c r="CQ36" s="1406"/>
      <c r="CR36" s="1406"/>
      <c r="CS36" s="1406"/>
      <c r="CT36" s="1406"/>
    </row>
    <row r="37" spans="1:98" ht="15.75" thickBot="1">
      <c r="A37" s="118"/>
      <c r="B37" s="202"/>
      <c r="C37" s="116"/>
      <c r="D37" s="117"/>
      <c r="E37" s="116"/>
      <c r="F37" s="116"/>
      <c r="G37" s="116"/>
      <c r="H37" s="116"/>
      <c r="I37" s="116"/>
      <c r="J37" s="116"/>
      <c r="K37" s="116"/>
      <c r="L37" s="116"/>
      <c r="M37" s="116"/>
      <c r="N37" s="62"/>
      <c r="O37" s="62"/>
      <c r="P37" s="62"/>
      <c r="Q37" s="62"/>
      <c r="R37" s="62"/>
      <c r="AY37" s="174" t="s">
        <v>238</v>
      </c>
      <c r="AZ37" s="254">
        <f>BE32</f>
        <v>977570.23200000008</v>
      </c>
      <c r="BA37" s="255">
        <f>AZ37/BB37</f>
        <v>7.211273155722034E-3</v>
      </c>
      <c r="BB37" s="256">
        <f>BB34</f>
        <v>135561392.68200001</v>
      </c>
      <c r="BC37" s="261"/>
      <c r="BD37" s="261"/>
      <c r="CQ37" s="1406"/>
      <c r="CR37" s="1406"/>
      <c r="CS37" s="1406"/>
      <c r="CT37" s="1406"/>
    </row>
    <row r="38" spans="1:98" ht="15.75" thickBot="1">
      <c r="A38" s="118"/>
      <c r="B38" s="202"/>
      <c r="C38" s="116"/>
      <c r="D38" s="117"/>
      <c r="E38" s="116"/>
      <c r="F38" s="116"/>
      <c r="G38" s="116"/>
      <c r="H38" s="116"/>
      <c r="I38" s="116"/>
      <c r="J38" s="116"/>
      <c r="K38" s="116"/>
      <c r="L38" s="116"/>
      <c r="M38" s="116"/>
      <c r="N38" s="62"/>
      <c r="O38" s="62"/>
      <c r="P38" s="62"/>
      <c r="Q38" s="62"/>
      <c r="R38" s="62"/>
      <c r="AY38" s="174" t="s">
        <v>176</v>
      </c>
      <c r="AZ38" s="257">
        <f>BF32</f>
        <v>704597.22</v>
      </c>
      <c r="BA38" s="258"/>
      <c r="BB38" s="259"/>
      <c r="BC38" s="262" t="s">
        <v>181</v>
      </c>
      <c r="BD38" s="263">
        <f>I31</f>
        <v>2283777.2526982254</v>
      </c>
    </row>
    <row r="39" spans="1:98" ht="30">
      <c r="A39" s="118"/>
      <c r="B39" s="202"/>
      <c r="C39" s="116"/>
      <c r="D39" s="117"/>
      <c r="E39" s="116"/>
      <c r="F39" s="116"/>
      <c r="G39" s="116"/>
      <c r="H39" s="116"/>
      <c r="I39" s="116"/>
      <c r="J39" s="116"/>
      <c r="K39" s="116"/>
      <c r="L39" s="116"/>
      <c r="M39" s="116"/>
      <c r="N39" s="62"/>
      <c r="O39" s="62"/>
      <c r="P39" s="62"/>
      <c r="Q39" s="62"/>
      <c r="R39" s="62"/>
      <c r="AY39" s="174" t="s">
        <v>236</v>
      </c>
      <c r="AZ39" s="260">
        <f>BG32</f>
        <v>1.3874171005102747</v>
      </c>
      <c r="BA39" s="255"/>
      <c r="BB39" s="256"/>
      <c r="BC39" s="264" t="s">
        <v>462</v>
      </c>
      <c r="BD39" s="265">
        <f>H31/BD38</f>
        <v>1.4506763757655206</v>
      </c>
    </row>
    <row r="40" spans="1:98" ht="15.75" thickBot="1">
      <c r="A40" s="118"/>
      <c r="B40" s="202"/>
      <c r="C40" s="116"/>
      <c r="D40" s="117"/>
      <c r="E40" s="116"/>
      <c r="F40" s="116"/>
      <c r="G40" s="116"/>
      <c r="H40" s="116"/>
      <c r="I40" s="116"/>
      <c r="J40" s="116"/>
      <c r="K40" s="116"/>
      <c r="L40" s="116"/>
      <c r="M40" s="116"/>
      <c r="N40" s="62"/>
      <c r="O40" s="62"/>
      <c r="P40" s="62"/>
      <c r="Q40" s="62"/>
      <c r="R40" s="62"/>
      <c r="AY40" s="153" t="s">
        <v>222</v>
      </c>
      <c r="AZ40" s="254">
        <f>BH32</f>
        <v>581652.55999999994</v>
      </c>
      <c r="BA40" s="255">
        <f>AZ40/BB40</f>
        <v>4.2906947803674515E-3</v>
      </c>
      <c r="BB40" s="256">
        <f>BB34</f>
        <v>135561392.68200001</v>
      </c>
      <c r="BC40" s="261"/>
      <c r="BD40" s="261"/>
    </row>
    <row r="41" spans="1:98" ht="15.75" thickBot="1">
      <c r="A41" s="118"/>
      <c r="B41" s="202"/>
      <c r="C41" s="116"/>
      <c r="D41" s="117"/>
      <c r="E41" s="116"/>
      <c r="F41" s="116"/>
      <c r="G41" s="116"/>
      <c r="H41" s="116"/>
      <c r="I41" s="116"/>
      <c r="J41" s="116"/>
      <c r="K41" s="116"/>
      <c r="L41" s="116"/>
      <c r="M41" s="116"/>
      <c r="N41" s="62"/>
      <c r="O41" s="62"/>
      <c r="P41" s="62"/>
      <c r="Q41" s="62"/>
      <c r="R41" s="62"/>
      <c r="AY41" s="153" t="s">
        <v>176</v>
      </c>
      <c r="AZ41" s="257">
        <f>BI32</f>
        <v>447868.44000000006</v>
      </c>
      <c r="BA41" s="258"/>
      <c r="BB41" s="259"/>
      <c r="BC41" s="262" t="s">
        <v>181</v>
      </c>
      <c r="BD41" s="263">
        <f>L31</f>
        <v>1319645.9160000002</v>
      </c>
    </row>
    <row r="42" spans="1:98">
      <c r="A42" s="118"/>
      <c r="B42" s="202"/>
      <c r="C42" s="116"/>
      <c r="D42" s="117"/>
      <c r="E42" s="116"/>
      <c r="F42" s="116"/>
      <c r="G42" s="116"/>
      <c r="H42" s="116"/>
      <c r="I42" s="116"/>
      <c r="J42" s="116"/>
      <c r="K42" s="116"/>
      <c r="L42" s="116"/>
      <c r="M42" s="116"/>
      <c r="N42" s="62"/>
      <c r="O42" s="62"/>
      <c r="P42" s="62"/>
      <c r="Q42" s="62"/>
      <c r="R42" s="62"/>
      <c r="AY42" s="123" t="s">
        <v>236</v>
      </c>
      <c r="AZ42" s="260">
        <f>BJ32</f>
        <v>1.2987129881266022</v>
      </c>
      <c r="BA42" s="255"/>
      <c r="BB42" s="256"/>
      <c r="BC42" s="264" t="s">
        <v>463</v>
      </c>
      <c r="BD42" s="265">
        <f>K31/BD41</f>
        <v>1.0562367200930283</v>
      </c>
    </row>
    <row r="43" spans="1:98" ht="15.75" thickBot="1">
      <c r="A43" s="118"/>
      <c r="B43" s="202"/>
      <c r="C43" s="116"/>
      <c r="D43" s="117"/>
      <c r="E43" s="116"/>
      <c r="F43" s="116"/>
      <c r="G43" s="116"/>
      <c r="H43" s="116"/>
      <c r="I43" s="116"/>
      <c r="J43" s="116"/>
      <c r="K43" s="116"/>
      <c r="L43" s="116"/>
      <c r="M43" s="116"/>
      <c r="N43" s="62"/>
      <c r="O43" s="62"/>
      <c r="P43" s="62"/>
      <c r="Q43" s="62"/>
      <c r="R43" s="62"/>
      <c r="AY43" s="174" t="s">
        <v>237</v>
      </c>
      <c r="AZ43" s="254">
        <f>BK32</f>
        <v>233059.16000000003</v>
      </c>
      <c r="BA43" s="255">
        <f>AZ43/BB43</f>
        <v>1.719214854532443E-3</v>
      </c>
      <c r="BB43" s="256">
        <f>BB34</f>
        <v>135561392.68200001</v>
      </c>
      <c r="BC43" s="261"/>
      <c r="BD43" s="261"/>
    </row>
    <row r="44" spans="1:98" ht="15.75" thickBot="1">
      <c r="A44" s="118"/>
      <c r="B44" s="202"/>
      <c r="C44" s="116"/>
      <c r="D44" s="117"/>
      <c r="E44" s="116"/>
      <c r="F44" s="116"/>
      <c r="G44" s="116"/>
      <c r="H44" s="116"/>
      <c r="I44" s="116"/>
      <c r="J44" s="116"/>
      <c r="K44" s="116"/>
      <c r="L44" s="116"/>
      <c r="M44" s="116"/>
      <c r="N44" s="62"/>
      <c r="O44" s="62"/>
      <c r="P44" s="62"/>
      <c r="Q44" s="62"/>
      <c r="R44" s="62"/>
      <c r="AY44" s="174" t="s">
        <v>176</v>
      </c>
      <c r="AZ44" s="257">
        <f>BL32</f>
        <v>187730.11</v>
      </c>
      <c r="BA44" s="258"/>
      <c r="BB44" s="259"/>
      <c r="BC44" s="262" t="s">
        <v>181</v>
      </c>
      <c r="BD44" s="263">
        <f>O31</f>
        <v>341968.26831962075</v>
      </c>
    </row>
    <row r="45" spans="1:98" ht="30">
      <c r="A45" s="118"/>
      <c r="B45" s="202"/>
      <c r="C45" s="116"/>
      <c r="D45" s="117"/>
      <c r="E45" s="116"/>
      <c r="F45" s="116"/>
      <c r="G45" s="116"/>
      <c r="H45" s="116"/>
      <c r="I45" s="116"/>
      <c r="J45" s="116"/>
      <c r="K45" s="116"/>
      <c r="L45" s="116"/>
      <c r="M45" s="116"/>
      <c r="N45" s="62"/>
      <c r="O45" s="62"/>
      <c r="P45" s="62"/>
      <c r="Q45" s="62"/>
      <c r="R45" s="62"/>
      <c r="AY45" s="174" t="s">
        <v>236</v>
      </c>
      <c r="AZ45" s="260">
        <f>BM32</f>
        <v>1.2414586024586043</v>
      </c>
      <c r="BA45" s="255"/>
      <c r="BB45" s="256"/>
      <c r="BC45" s="264" t="s">
        <v>464</v>
      </c>
      <c r="BD45" s="265">
        <f>N31/BD44</f>
        <v>1.2492788763684488</v>
      </c>
    </row>
    <row r="46" spans="1:98" ht="15.75" thickBot="1">
      <c r="A46" s="118"/>
      <c r="B46" s="202"/>
      <c r="C46" s="116"/>
      <c r="D46" s="117"/>
      <c r="E46" s="116"/>
      <c r="F46" s="116"/>
      <c r="G46" s="116"/>
      <c r="H46" s="116"/>
      <c r="I46" s="116"/>
      <c r="J46" s="116"/>
      <c r="K46" s="116"/>
      <c r="L46" s="116"/>
      <c r="M46" s="116"/>
      <c r="N46" s="62"/>
      <c r="O46" s="62"/>
      <c r="P46" s="62"/>
      <c r="Q46" s="62"/>
      <c r="R46" s="62"/>
      <c r="AY46" s="128" t="s">
        <v>28</v>
      </c>
      <c r="AZ46" s="254">
        <f>BN32</f>
        <v>5699577.9440000001</v>
      </c>
      <c r="BA46" s="255">
        <f>AZ46/BB46</f>
        <v>4.2044256341996079E-2</v>
      </c>
      <c r="BB46" s="256">
        <f>BB34</f>
        <v>135561392.68200001</v>
      </c>
      <c r="BC46" s="261"/>
      <c r="BD46" s="261"/>
    </row>
    <row r="47" spans="1:98" ht="15.75" thickBot="1">
      <c r="A47" s="118"/>
      <c r="B47" s="202"/>
      <c r="C47" s="116"/>
      <c r="D47" s="117"/>
      <c r="E47" s="116"/>
      <c r="F47" s="116"/>
      <c r="G47" s="116"/>
      <c r="H47" s="116"/>
      <c r="I47" s="116"/>
      <c r="J47" s="116"/>
      <c r="K47" s="116"/>
      <c r="L47" s="116"/>
      <c r="M47" s="116"/>
      <c r="N47" s="62"/>
      <c r="O47" s="62"/>
      <c r="P47" s="62"/>
      <c r="Q47" s="62"/>
      <c r="R47" s="62"/>
      <c r="AY47" s="128" t="s">
        <v>176</v>
      </c>
      <c r="AZ47" s="257">
        <f>BO32</f>
        <v>5482379.04</v>
      </c>
      <c r="BA47" s="258"/>
      <c r="BB47" s="259"/>
      <c r="BC47" s="262" t="s">
        <v>181</v>
      </c>
      <c r="BD47" s="263">
        <f>R31</f>
        <v>14028394.402500002</v>
      </c>
    </row>
    <row r="48" spans="1:98">
      <c r="A48" s="118"/>
      <c r="B48" s="202"/>
      <c r="C48" s="116"/>
      <c r="D48" s="117"/>
      <c r="E48" s="116"/>
      <c r="F48" s="116"/>
      <c r="G48" s="116"/>
      <c r="H48" s="116"/>
      <c r="I48" s="116"/>
      <c r="J48" s="116"/>
      <c r="K48" s="116"/>
      <c r="L48" s="116"/>
      <c r="M48" s="116"/>
      <c r="N48" s="62"/>
      <c r="O48" s="62"/>
      <c r="P48" s="62"/>
      <c r="Q48" s="62"/>
      <c r="R48" s="62"/>
      <c r="AY48" s="128" t="s">
        <v>236</v>
      </c>
      <c r="AZ48" s="260">
        <f>BP32</f>
        <v>1.0396176372365526</v>
      </c>
      <c r="BA48" s="255"/>
      <c r="BB48" s="256"/>
      <c r="BC48" s="264" t="s">
        <v>465</v>
      </c>
      <c r="BD48" s="265">
        <f>Q31/BD47</f>
        <v>1.1606958261095268</v>
      </c>
    </row>
    <row r="49" spans="1:56" ht="15.75" thickBot="1">
      <c r="A49" s="118"/>
      <c r="B49" s="202"/>
      <c r="C49" s="116"/>
      <c r="D49" s="117"/>
      <c r="E49" s="116"/>
      <c r="F49" s="116"/>
      <c r="G49" s="116"/>
      <c r="H49" s="116"/>
      <c r="I49" s="116"/>
      <c r="J49" s="116"/>
      <c r="K49" s="116"/>
      <c r="L49" s="116"/>
      <c r="M49" s="116"/>
      <c r="N49" s="62"/>
      <c r="O49" s="62"/>
      <c r="P49" s="62"/>
      <c r="Q49" s="62"/>
      <c r="R49" s="62"/>
      <c r="AY49" s="154" t="s">
        <v>185</v>
      </c>
      <c r="AZ49" s="254">
        <f>BQ32</f>
        <v>461967.66400000005</v>
      </c>
      <c r="BA49" s="255">
        <f>AZ49/BB49</f>
        <v>3.4078114340687251E-3</v>
      </c>
      <c r="BB49" s="256">
        <f>BB34</f>
        <v>135561392.68200001</v>
      </c>
      <c r="BC49" s="261"/>
      <c r="BD49" s="261"/>
    </row>
    <row r="50" spans="1:56" ht="15.75" thickBot="1">
      <c r="A50" s="118"/>
      <c r="B50" s="202"/>
      <c r="C50" s="119"/>
      <c r="D50" s="117"/>
      <c r="E50" s="116"/>
      <c r="F50" s="116"/>
      <c r="G50" s="116"/>
      <c r="H50" s="116"/>
      <c r="I50" s="116"/>
      <c r="J50" s="116"/>
      <c r="K50" s="116"/>
      <c r="L50" s="116"/>
      <c r="M50" s="116"/>
      <c r="N50" s="62"/>
      <c r="O50" s="62"/>
      <c r="P50" s="62"/>
      <c r="Q50" s="62"/>
      <c r="R50" s="62"/>
      <c r="AY50" s="154" t="s">
        <v>176</v>
      </c>
      <c r="AZ50" s="257">
        <f>BR32</f>
        <v>370038.78</v>
      </c>
      <c r="BA50" s="258"/>
      <c r="BB50" s="259"/>
      <c r="BC50" s="262" t="s">
        <v>181</v>
      </c>
      <c r="BD50" s="263">
        <f>U31</f>
        <v>1235985.3869538163</v>
      </c>
    </row>
    <row r="51" spans="1:56" ht="15.75" thickBot="1">
      <c r="A51" s="121"/>
      <c r="B51" s="202"/>
      <c r="C51" s="119"/>
      <c r="D51" s="120"/>
      <c r="E51" s="119"/>
      <c r="F51" s="119"/>
      <c r="G51" s="119"/>
      <c r="H51" s="119"/>
      <c r="I51" s="119"/>
      <c r="J51" s="119"/>
      <c r="K51" s="119"/>
      <c r="L51" s="119"/>
      <c r="M51" s="119"/>
      <c r="N51" s="62"/>
      <c r="O51" s="62"/>
      <c r="P51" s="62"/>
      <c r="Q51" s="62"/>
      <c r="R51" s="62"/>
      <c r="AY51" s="155" t="s">
        <v>236</v>
      </c>
      <c r="AZ51" s="260">
        <f>BS32</f>
        <v>1.2484304050510597</v>
      </c>
      <c r="BA51" s="255"/>
      <c r="BB51" s="256"/>
      <c r="BC51" s="264" t="s">
        <v>466</v>
      </c>
      <c r="BD51" s="265">
        <f>T31/BD50</f>
        <v>1.1999513292428738</v>
      </c>
    </row>
    <row r="52" spans="1:56">
      <c r="A52" s="118"/>
      <c r="B52" s="202"/>
      <c r="C52" s="119"/>
      <c r="D52" s="117"/>
      <c r="E52" s="116"/>
      <c r="F52" s="116"/>
      <c r="G52" s="116"/>
      <c r="H52" s="116"/>
      <c r="I52" s="116"/>
      <c r="J52" s="116"/>
      <c r="K52" s="116"/>
      <c r="L52" s="116"/>
      <c r="M52" s="116"/>
      <c r="N52" s="62"/>
      <c r="O52" s="62"/>
      <c r="P52" s="62"/>
      <c r="Q52" s="62"/>
      <c r="R52" s="62"/>
      <c r="AY52" s="127" t="s">
        <v>235</v>
      </c>
      <c r="AZ52" s="62">
        <f>BT32</f>
        <v>12788</v>
      </c>
      <c r="BA52" s="186"/>
      <c r="BD52" s="188"/>
    </row>
    <row r="53" spans="1:56">
      <c r="A53" s="118"/>
      <c r="B53" s="202"/>
      <c r="C53" s="119"/>
      <c r="D53" s="117"/>
      <c r="E53" s="116"/>
      <c r="F53" s="116"/>
      <c r="G53" s="116"/>
      <c r="H53" s="116"/>
      <c r="I53" s="116"/>
      <c r="J53" s="116"/>
      <c r="K53" s="116"/>
      <c r="L53" s="116"/>
      <c r="M53" s="116"/>
      <c r="N53" s="62"/>
      <c r="O53" s="62"/>
      <c r="P53" s="62"/>
      <c r="Q53" s="62"/>
      <c r="R53" s="62"/>
      <c r="AY53" s="126" t="s">
        <v>1079</v>
      </c>
      <c r="AZ53" s="62">
        <f>BU32</f>
        <v>982</v>
      </c>
      <c r="BA53" s="1422" t="s">
        <v>461</v>
      </c>
      <c r="BB53" s="1422"/>
      <c r="BC53" s="1423" t="s">
        <v>181</v>
      </c>
      <c r="BD53" s="1423"/>
    </row>
    <row r="54" spans="1:56">
      <c r="A54" s="118"/>
      <c r="B54" s="202"/>
      <c r="C54" s="119"/>
      <c r="D54" s="117"/>
      <c r="E54" s="116"/>
      <c r="F54" s="116"/>
      <c r="G54" s="116"/>
      <c r="H54" s="116"/>
      <c r="I54" s="116"/>
      <c r="J54" s="116"/>
      <c r="K54" s="116"/>
      <c r="L54" s="116"/>
      <c r="M54" s="116"/>
      <c r="N54" s="62"/>
      <c r="O54" s="62"/>
      <c r="P54" s="62"/>
      <c r="Q54" s="62"/>
      <c r="R54" s="62"/>
      <c r="AY54" s="126" t="s">
        <v>230</v>
      </c>
      <c r="AZ54" s="62">
        <f>BV32</f>
        <v>12494</v>
      </c>
      <c r="BA54" s="186"/>
    </row>
    <row r="55" spans="1:56">
      <c r="A55" s="118"/>
      <c r="B55" s="202"/>
      <c r="C55" s="119"/>
      <c r="D55" s="117"/>
      <c r="E55" s="116"/>
      <c r="F55" s="116"/>
      <c r="G55" s="116"/>
      <c r="H55" s="116"/>
      <c r="I55" s="116"/>
      <c r="J55" s="116"/>
      <c r="K55" s="116"/>
      <c r="L55" s="116"/>
      <c r="M55" s="116"/>
      <c r="N55" s="62"/>
      <c r="O55" s="62"/>
      <c r="P55" s="62"/>
      <c r="Q55" s="62"/>
      <c r="R55" s="62"/>
      <c r="AY55" s="126" t="s">
        <v>1115</v>
      </c>
      <c r="AZ55" s="61">
        <f>BW32</f>
        <v>1.0235312950216104</v>
      </c>
      <c r="BA55" s="186"/>
    </row>
    <row r="56" spans="1:56">
      <c r="A56" s="118"/>
      <c r="B56" s="202"/>
      <c r="C56" s="119"/>
      <c r="D56" s="117"/>
      <c r="E56" s="116"/>
      <c r="F56" s="116"/>
      <c r="G56" s="116"/>
      <c r="H56" s="116"/>
      <c r="I56" s="116"/>
      <c r="J56" s="116"/>
      <c r="K56" s="116"/>
      <c r="L56" s="116"/>
      <c r="M56" s="116"/>
      <c r="N56" s="62"/>
      <c r="O56" s="62"/>
      <c r="P56" s="62"/>
      <c r="Q56" s="62"/>
      <c r="R56" s="62"/>
      <c r="AY56" s="126" t="s">
        <v>234</v>
      </c>
      <c r="AZ56" s="62">
        <f>BX32</f>
        <v>2666</v>
      </c>
      <c r="BA56" s="186"/>
    </row>
    <row r="57" spans="1:56">
      <c r="A57" s="118"/>
      <c r="B57" s="202"/>
      <c r="C57" s="116"/>
      <c r="D57" s="117"/>
      <c r="E57" s="116"/>
      <c r="F57" s="116"/>
      <c r="G57" s="116"/>
      <c r="H57" s="116"/>
      <c r="I57" s="116"/>
      <c r="J57" s="116"/>
      <c r="K57" s="116"/>
      <c r="L57" s="116"/>
      <c r="M57" s="116"/>
      <c r="N57" s="62"/>
      <c r="O57" s="62"/>
      <c r="P57" s="62"/>
      <c r="Q57" s="62"/>
      <c r="R57" s="62"/>
      <c r="AY57" s="126" t="s">
        <v>1080</v>
      </c>
      <c r="AZ57" s="62">
        <f>BY32</f>
        <v>73</v>
      </c>
      <c r="BA57" s="186"/>
    </row>
    <row r="58" spans="1:56">
      <c r="A58" s="118"/>
      <c r="B58" s="202"/>
      <c r="C58" s="116"/>
      <c r="D58" s="117"/>
      <c r="E58" s="116"/>
      <c r="F58" s="116"/>
      <c r="G58" s="116"/>
      <c r="H58" s="116"/>
      <c r="I58" s="116"/>
      <c r="J58" s="116"/>
      <c r="K58" s="116"/>
      <c r="L58" s="116"/>
      <c r="M58" s="116"/>
      <c r="N58" s="62"/>
      <c r="O58" s="62"/>
      <c r="P58" s="62"/>
      <c r="Q58" s="62"/>
      <c r="R58" s="62"/>
      <c r="AY58" s="126" t="s">
        <v>229</v>
      </c>
      <c r="AZ58" s="62">
        <f>BZ32</f>
        <v>2643</v>
      </c>
      <c r="BA58" s="186"/>
    </row>
    <row r="59" spans="1:56" ht="15.75" thickBot="1">
      <c r="A59" s="118"/>
      <c r="B59" s="202"/>
      <c r="C59" s="116"/>
      <c r="D59" s="117"/>
      <c r="E59" s="116"/>
      <c r="F59" s="116"/>
      <c r="G59" s="116"/>
      <c r="H59" s="116"/>
      <c r="I59" s="116"/>
      <c r="J59" s="116"/>
      <c r="K59" s="116"/>
      <c r="L59" s="116"/>
      <c r="M59" s="116"/>
      <c r="N59" s="62"/>
      <c r="O59" s="62"/>
      <c r="P59" s="62"/>
      <c r="Q59" s="62"/>
      <c r="R59" s="62"/>
      <c r="AY59" s="126" t="s">
        <v>1116</v>
      </c>
      <c r="AZ59" s="61">
        <f>CA32</f>
        <v>1.0087022323117669</v>
      </c>
      <c r="BA59" s="186"/>
    </row>
    <row r="60" spans="1:56">
      <c r="A60" s="118"/>
      <c r="B60" s="202"/>
      <c r="C60" s="116"/>
      <c r="D60" s="117"/>
      <c r="E60" s="116"/>
      <c r="F60" s="116"/>
      <c r="G60" s="116"/>
      <c r="H60" s="116"/>
      <c r="I60" s="116"/>
      <c r="J60" s="116"/>
      <c r="K60" s="116"/>
      <c r="L60" s="116"/>
      <c r="M60" s="116"/>
      <c r="N60" s="62"/>
      <c r="O60" s="62"/>
      <c r="P60" s="62"/>
      <c r="Q60" s="62"/>
      <c r="R60" s="62"/>
      <c r="AY60" s="124" t="s">
        <v>233</v>
      </c>
      <c r="AZ60" s="62">
        <f>CB32</f>
        <v>74516</v>
      </c>
      <c r="BA60" s="186"/>
    </row>
    <row r="61" spans="1:56">
      <c r="A61" s="121"/>
      <c r="B61" s="202"/>
      <c r="C61" s="119"/>
      <c r="D61" s="120"/>
      <c r="E61" s="119"/>
      <c r="F61" s="119"/>
      <c r="G61" s="119"/>
      <c r="H61" s="119"/>
      <c r="I61" s="119"/>
      <c r="J61" s="119"/>
      <c r="K61" s="119"/>
      <c r="L61" s="119"/>
      <c r="M61" s="119"/>
      <c r="N61" s="62"/>
      <c r="O61" s="62"/>
      <c r="P61" s="62"/>
      <c r="Q61" s="62"/>
      <c r="R61" s="62"/>
      <c r="AY61" s="128" t="s">
        <v>460</v>
      </c>
      <c r="AZ61" s="62">
        <f>CC32</f>
        <v>69964</v>
      </c>
      <c r="BA61" s="186"/>
    </row>
    <row r="62" spans="1:56">
      <c r="A62" s="118"/>
      <c r="B62" s="202"/>
      <c r="C62" s="116"/>
      <c r="D62" s="117"/>
      <c r="E62" s="116"/>
      <c r="F62" s="116"/>
      <c r="G62" s="116"/>
      <c r="H62" s="116"/>
      <c r="I62" s="116"/>
      <c r="J62" s="116"/>
      <c r="K62" s="116"/>
      <c r="L62" s="116"/>
      <c r="M62" s="116"/>
      <c r="N62" s="62"/>
      <c r="O62" s="62"/>
      <c r="P62" s="62"/>
      <c r="Q62" s="62"/>
      <c r="R62" s="62"/>
      <c r="AY62" s="123" t="s">
        <v>232</v>
      </c>
      <c r="AZ62" s="125">
        <f>CD32</f>
        <v>5.8270253362527367</v>
      </c>
      <c r="BA62" s="186"/>
    </row>
    <row r="63" spans="1:56" ht="15.75" thickBot="1">
      <c r="A63" s="118"/>
      <c r="B63" s="202"/>
      <c r="C63" s="116"/>
      <c r="D63" s="117"/>
      <c r="E63" s="116"/>
      <c r="F63" s="116"/>
      <c r="G63" s="116"/>
      <c r="H63" s="116"/>
      <c r="I63" s="116"/>
      <c r="J63" s="116"/>
      <c r="K63" s="116"/>
      <c r="L63" s="116"/>
      <c r="M63" s="116"/>
      <c r="N63" s="62"/>
      <c r="O63" s="62"/>
      <c r="P63" s="62"/>
      <c r="Q63" s="62"/>
      <c r="R63" s="62"/>
      <c r="AY63" s="122" t="s">
        <v>231</v>
      </c>
      <c r="AZ63" s="125">
        <f>CE32</f>
        <v>5.5998079077957419</v>
      </c>
      <c r="BA63" s="186"/>
    </row>
    <row r="64" spans="1:56">
      <c r="A64" s="118"/>
      <c r="B64" s="202"/>
      <c r="C64" s="116"/>
      <c r="D64" s="117"/>
      <c r="E64" s="116"/>
      <c r="F64" s="116"/>
      <c r="G64" s="116"/>
      <c r="H64" s="116"/>
      <c r="I64" s="116"/>
      <c r="J64" s="116"/>
      <c r="K64" s="116"/>
      <c r="L64" s="116"/>
      <c r="M64" s="116"/>
      <c r="N64" s="62"/>
      <c r="O64" s="62"/>
      <c r="P64" s="62"/>
      <c r="Q64" s="62"/>
      <c r="R64" s="62"/>
      <c r="AY64" s="126" t="s">
        <v>372</v>
      </c>
      <c r="AZ64" s="61">
        <f>CF32</f>
        <v>0.7442269276867759</v>
      </c>
      <c r="BA64" s="186"/>
    </row>
    <row r="65" spans="1:53">
      <c r="A65" s="118"/>
      <c r="B65" s="202"/>
      <c r="C65" s="116"/>
      <c r="D65" s="117"/>
      <c r="E65" s="116"/>
      <c r="F65" s="116"/>
      <c r="G65" s="116"/>
      <c r="H65" s="116"/>
      <c r="I65" s="116"/>
      <c r="J65" s="116"/>
      <c r="K65" s="116"/>
      <c r="L65" s="116"/>
      <c r="M65" s="116"/>
      <c r="N65" s="62"/>
      <c r="O65" s="62"/>
      <c r="P65" s="62"/>
      <c r="Q65" s="62"/>
      <c r="R65" s="62"/>
      <c r="AY65" s="126" t="s">
        <v>230</v>
      </c>
      <c r="AZ65" s="61">
        <f>CG32</f>
        <v>0.65179975175837812</v>
      </c>
      <c r="BA65" s="186"/>
    </row>
    <row r="66" spans="1:53">
      <c r="A66" s="118"/>
      <c r="B66" s="202"/>
      <c r="C66" s="116"/>
      <c r="D66" s="117"/>
      <c r="E66" s="116"/>
      <c r="F66" s="116"/>
      <c r="G66" s="116"/>
      <c r="H66" s="116"/>
      <c r="I66" s="116"/>
      <c r="J66" s="116"/>
      <c r="K66" s="116"/>
      <c r="L66" s="116"/>
      <c r="M66" s="116"/>
      <c r="N66" s="62"/>
      <c r="O66" s="62"/>
      <c r="P66" s="62"/>
      <c r="Q66" s="62"/>
      <c r="R66" s="62"/>
      <c r="AY66" s="126" t="s">
        <v>373</v>
      </c>
      <c r="AZ66" s="61">
        <f>CH32</f>
        <v>0.57464366091522878</v>
      </c>
      <c r="BA66" s="186"/>
    </row>
    <row r="67" spans="1:53">
      <c r="A67" s="118"/>
      <c r="B67" s="202"/>
      <c r="C67" s="116"/>
      <c r="D67" s="117"/>
      <c r="E67" s="116"/>
      <c r="F67" s="116"/>
      <c r="G67" s="116"/>
      <c r="H67" s="116"/>
      <c r="I67" s="116"/>
      <c r="J67" s="116"/>
      <c r="K67" s="116"/>
      <c r="L67" s="116"/>
      <c r="M67" s="116"/>
      <c r="N67" s="62"/>
      <c r="O67" s="62"/>
      <c r="P67" s="62"/>
      <c r="Q67" s="62"/>
      <c r="R67" s="62"/>
      <c r="AY67" s="126" t="s">
        <v>229</v>
      </c>
      <c r="AZ67" s="61">
        <f>CI32</f>
        <v>0.44646235338630347</v>
      </c>
      <c r="BA67" s="186"/>
    </row>
    <row r="68" spans="1:53">
      <c r="A68" s="118"/>
      <c r="B68" s="202"/>
      <c r="C68" s="116"/>
      <c r="D68" s="117"/>
      <c r="E68" s="116"/>
      <c r="F68" s="116"/>
      <c r="G68" s="116"/>
      <c r="H68" s="116"/>
      <c r="I68" s="116"/>
      <c r="J68" s="116"/>
      <c r="K68" s="116"/>
      <c r="L68" s="116"/>
      <c r="M68" s="116"/>
      <c r="N68" s="62"/>
      <c r="O68" s="62"/>
      <c r="P68" s="62"/>
      <c r="Q68" s="62"/>
      <c r="R68" s="62"/>
      <c r="AY68" s="126" t="s">
        <v>228</v>
      </c>
      <c r="AZ68" s="62">
        <f>CJ32</f>
        <v>4331</v>
      </c>
      <c r="BA68" s="186"/>
    </row>
    <row r="69" spans="1:53" ht="15.75" thickBot="1">
      <c r="A69" s="121"/>
      <c r="B69" s="202"/>
      <c r="C69" s="119"/>
      <c r="D69" s="120"/>
      <c r="E69" s="119"/>
      <c r="F69" s="119"/>
      <c r="G69" s="119"/>
      <c r="H69" s="119"/>
      <c r="I69" s="119"/>
      <c r="J69" s="119"/>
      <c r="K69" s="119"/>
      <c r="L69" s="119"/>
      <c r="M69" s="119"/>
      <c r="N69" s="62"/>
      <c r="O69" s="62"/>
      <c r="P69" s="62"/>
      <c r="Q69" s="62"/>
      <c r="R69" s="62"/>
      <c r="AY69" s="126" t="s">
        <v>227</v>
      </c>
      <c r="AZ69" s="62">
        <f>CK32</f>
        <v>8457</v>
      </c>
      <c r="BA69" s="186"/>
    </row>
    <row r="70" spans="1:53">
      <c r="A70" s="118"/>
      <c r="B70" s="202"/>
      <c r="C70" s="116"/>
      <c r="D70" s="117"/>
      <c r="E70" s="116"/>
      <c r="F70" s="116"/>
      <c r="G70" s="116"/>
      <c r="H70" s="116"/>
      <c r="I70" s="116"/>
      <c r="J70" s="116"/>
      <c r="K70" s="116"/>
      <c r="L70" s="116"/>
      <c r="M70" s="116"/>
      <c r="N70" s="62"/>
      <c r="O70" s="62"/>
      <c r="P70" s="62"/>
      <c r="Q70" s="62"/>
      <c r="R70" s="62"/>
      <c r="AY70" s="132" t="s">
        <v>226</v>
      </c>
      <c r="AZ70" s="62">
        <f>CL32</f>
        <v>995</v>
      </c>
      <c r="BA70" s="186"/>
    </row>
    <row r="71" spans="1:53">
      <c r="A71" s="118"/>
      <c r="B71" s="202"/>
      <c r="C71" s="116"/>
      <c r="D71" s="117"/>
      <c r="E71" s="116"/>
      <c r="F71" s="116"/>
      <c r="G71" s="116"/>
      <c r="H71" s="116"/>
      <c r="I71" s="116"/>
      <c r="J71" s="116"/>
      <c r="K71" s="116"/>
      <c r="L71" s="116"/>
      <c r="M71" s="116"/>
      <c r="N71" s="62"/>
      <c r="O71" s="62"/>
      <c r="P71" s="62"/>
      <c r="Q71" s="62"/>
      <c r="R71" s="62"/>
      <c r="AY71" s="129" t="s">
        <v>225</v>
      </c>
      <c r="AZ71" s="62">
        <f>CM32</f>
        <v>810</v>
      </c>
      <c r="BA71" s="186"/>
    </row>
    <row r="72" spans="1:53" ht="15.75" thickBot="1">
      <c r="A72" s="118"/>
      <c r="B72" s="202"/>
      <c r="C72" s="116"/>
      <c r="D72" s="117"/>
      <c r="E72" s="116"/>
      <c r="F72" s="116"/>
      <c r="G72" s="116"/>
      <c r="H72" s="117"/>
      <c r="I72" s="117"/>
      <c r="J72" s="117"/>
      <c r="K72" s="116"/>
      <c r="L72" s="116"/>
      <c r="M72" s="116"/>
      <c r="AY72" s="152" t="s">
        <v>1117</v>
      </c>
      <c r="AZ72" s="61">
        <f>CN32</f>
        <v>1.228395061728395</v>
      </c>
    </row>
    <row r="73" spans="1:53">
      <c r="A73" s="118"/>
      <c r="B73" s="202"/>
      <c r="C73" s="116"/>
      <c r="D73" s="117"/>
      <c r="E73" s="116"/>
      <c r="F73" s="116"/>
      <c r="G73" s="116"/>
      <c r="H73" s="117"/>
      <c r="I73" s="117"/>
      <c r="J73" s="117"/>
      <c r="K73" s="116"/>
      <c r="L73" s="116"/>
      <c r="M73" s="116"/>
      <c r="AY73" s="162" t="s">
        <v>377</v>
      </c>
      <c r="AZ73" s="42">
        <f>CO32</f>
        <v>0.14569134867175776</v>
      </c>
    </row>
    <row r="74" spans="1:53">
      <c r="A74" s="121"/>
      <c r="B74" s="202"/>
      <c r="C74" s="119"/>
      <c r="D74" s="120"/>
      <c r="E74" s="119"/>
      <c r="F74" s="119"/>
      <c r="G74" s="119"/>
      <c r="H74" s="120"/>
      <c r="I74" s="120"/>
      <c r="J74" s="120"/>
      <c r="K74" s="119"/>
      <c r="L74" s="119"/>
      <c r="M74" s="119"/>
      <c r="AY74" s="162" t="s">
        <v>378</v>
      </c>
      <c r="AZ74" s="42">
        <f>CP32</f>
        <v>0.10283074210055049</v>
      </c>
    </row>
    <row r="75" spans="1:53">
      <c r="A75" s="118"/>
      <c r="B75" s="202"/>
      <c r="C75" s="116"/>
      <c r="D75" s="117"/>
      <c r="E75" s="116"/>
      <c r="F75" s="116"/>
      <c r="G75" s="116"/>
      <c r="H75" s="117"/>
      <c r="I75" s="117"/>
      <c r="J75" s="117"/>
      <c r="K75" s="116"/>
      <c r="L75" s="116"/>
      <c r="M75" s="116"/>
      <c r="AY75" s="162" t="s">
        <v>379</v>
      </c>
      <c r="AZ75" s="42">
        <f>CQ32</f>
        <v>-1.5908861368139356E-2</v>
      </c>
    </row>
    <row r="76" spans="1:53">
      <c r="A76" s="118"/>
      <c r="B76" s="202"/>
      <c r="C76" s="116"/>
      <c r="D76" s="117"/>
      <c r="E76" s="116"/>
      <c r="F76" s="116"/>
      <c r="G76" s="116"/>
      <c r="H76" s="117"/>
      <c r="I76" s="117"/>
      <c r="J76" s="117"/>
      <c r="K76" s="116"/>
      <c r="L76" s="116"/>
      <c r="M76" s="116"/>
      <c r="AY76" s="162" t="s">
        <v>380</v>
      </c>
      <c r="AZ76" s="42">
        <f>CR32</f>
        <v>7.9457543122113353E-2</v>
      </c>
    </row>
    <row r="77" spans="1:53">
      <c r="A77" s="118"/>
      <c r="B77" s="202"/>
      <c r="C77" s="116"/>
      <c r="D77" s="117"/>
      <c r="E77" s="116"/>
      <c r="F77" s="116"/>
      <c r="G77" s="116"/>
      <c r="H77" s="117"/>
      <c r="I77" s="117"/>
      <c r="J77" s="117"/>
      <c r="K77" s="116"/>
      <c r="L77" s="116"/>
      <c r="M77" s="116"/>
      <c r="AY77" s="162" t="s">
        <v>402</v>
      </c>
      <c r="AZ77" s="190">
        <f>AZ35+AZ38+AZ41+AZ44+AZ47+AZ50</f>
        <v>9895201.7899999991</v>
      </c>
    </row>
    <row r="78" spans="1:53">
      <c r="A78" s="118"/>
      <c r="B78" s="202"/>
      <c r="C78" s="116"/>
      <c r="D78" s="117"/>
      <c r="E78" s="116"/>
      <c r="F78" s="116"/>
      <c r="G78" s="116"/>
      <c r="H78" s="117"/>
      <c r="I78" s="117"/>
      <c r="J78" s="117"/>
      <c r="K78" s="116"/>
      <c r="L78" s="116"/>
      <c r="M78" s="116"/>
      <c r="AY78" s="162" t="s">
        <v>403</v>
      </c>
      <c r="AZ78" s="190">
        <f>AZ34+AZ37+AZ40+AZ43+AZ46+AZ49</f>
        <v>11048403.560000001</v>
      </c>
    </row>
    <row r="79" spans="1:53">
      <c r="A79" s="118"/>
      <c r="B79" s="202"/>
      <c r="C79" s="116"/>
      <c r="D79" s="117"/>
      <c r="E79" s="116"/>
      <c r="F79" s="116"/>
      <c r="G79" s="116"/>
      <c r="H79" s="117"/>
      <c r="I79" s="117"/>
      <c r="J79" s="117"/>
      <c r="K79" s="116"/>
      <c r="L79" s="116"/>
      <c r="M79" s="116"/>
      <c r="AY79" s="162" t="s">
        <v>399</v>
      </c>
      <c r="AZ79" s="61">
        <f>AZ78/AZ77</f>
        <v>1.1165415111761963</v>
      </c>
    </row>
    <row r="80" spans="1:53">
      <c r="A80" s="118"/>
      <c r="B80" s="202"/>
      <c r="C80" s="116"/>
      <c r="D80" s="117"/>
      <c r="E80" s="116"/>
      <c r="F80" s="116"/>
      <c r="G80" s="116"/>
      <c r="H80" s="117"/>
      <c r="I80" s="117"/>
      <c r="J80" s="117"/>
      <c r="K80" s="116"/>
      <c r="L80" s="116"/>
      <c r="M80" s="116"/>
      <c r="AY80" s="162" t="s">
        <v>401</v>
      </c>
      <c r="AZ80" s="194">
        <f>CS32</f>
        <v>10512739.800000001</v>
      </c>
    </row>
    <row r="81" spans="1:64">
      <c r="A81" s="118"/>
      <c r="B81" s="202"/>
      <c r="C81" s="116"/>
      <c r="D81" s="117"/>
      <c r="E81" s="116"/>
      <c r="F81" s="116"/>
      <c r="G81" s="116"/>
      <c r="H81" s="117"/>
      <c r="I81" s="117"/>
      <c r="J81" s="117"/>
      <c r="K81" s="116"/>
      <c r="L81" s="116"/>
      <c r="M81" s="116"/>
      <c r="AY81" s="162" t="s">
        <v>400</v>
      </c>
      <c r="AZ81" s="61">
        <f>((AZ34+AZ37+AZ40+AZ43+AZ46+AZ49)/AZ80)-1</f>
        <v>5.0953773249481582E-2</v>
      </c>
    </row>
    <row r="82" spans="1:64">
      <c r="A82" s="118"/>
      <c r="B82" s="202"/>
      <c r="C82" s="116"/>
      <c r="D82" s="117"/>
      <c r="E82" s="116"/>
      <c r="F82" s="116"/>
      <c r="G82" s="116"/>
      <c r="H82" s="117"/>
      <c r="I82" s="117"/>
      <c r="J82" s="117"/>
      <c r="K82" s="116"/>
      <c r="L82" s="116"/>
      <c r="M82" s="116"/>
      <c r="AY82" s="162" t="s">
        <v>404</v>
      </c>
      <c r="AZ82" s="194">
        <f>F31+I31+L31+O31+R31+U31</f>
        <v>29100265.906971663</v>
      </c>
    </row>
    <row r="83" spans="1:64">
      <c r="A83" s="118"/>
      <c r="B83" s="202"/>
      <c r="C83" s="116"/>
      <c r="D83" s="117"/>
      <c r="E83" s="116"/>
      <c r="F83" s="116"/>
      <c r="G83" s="116"/>
      <c r="H83" s="117"/>
      <c r="I83" s="117"/>
      <c r="J83" s="117"/>
      <c r="K83" s="116"/>
      <c r="L83" s="116"/>
      <c r="M83" s="116"/>
      <c r="AY83" s="162" t="s">
        <v>405</v>
      </c>
      <c r="AZ83" s="194">
        <f>E31+H31+K31+N31+Q31+T31</f>
        <v>33864421.377999999</v>
      </c>
    </row>
    <row r="84" spans="1:64">
      <c r="A84" s="118"/>
      <c r="B84" s="202"/>
      <c r="C84" s="116"/>
      <c r="D84" s="117"/>
      <c r="E84" s="116"/>
      <c r="F84" s="116"/>
      <c r="G84" s="116"/>
      <c r="H84" s="117"/>
      <c r="I84" s="117"/>
      <c r="J84" s="117"/>
      <c r="K84" s="116"/>
      <c r="L84" s="116"/>
      <c r="M84" s="116"/>
      <c r="AY84" s="162" t="s">
        <v>399</v>
      </c>
      <c r="AZ84" s="61">
        <f>AZ83/AZ82</f>
        <v>1.1637151868734976</v>
      </c>
    </row>
    <row r="85" spans="1:64">
      <c r="A85" s="118"/>
      <c r="B85" s="202"/>
      <c r="C85" s="116"/>
      <c r="D85" s="117"/>
      <c r="E85" s="116"/>
      <c r="F85" s="116"/>
      <c r="G85" s="116"/>
      <c r="H85" s="117"/>
      <c r="I85" s="117"/>
      <c r="J85" s="117"/>
      <c r="K85" s="116"/>
      <c r="L85" s="116"/>
      <c r="M85" s="116"/>
      <c r="AY85" s="162" t="s">
        <v>401</v>
      </c>
      <c r="AZ85" s="194">
        <f>AV31</f>
        <v>34847147.814599998</v>
      </c>
    </row>
    <row r="86" spans="1:64">
      <c r="A86" s="118"/>
      <c r="B86" s="202"/>
      <c r="C86" s="116"/>
      <c r="D86" s="117"/>
      <c r="E86" s="116"/>
      <c r="F86" s="116"/>
      <c r="G86" s="116"/>
      <c r="H86" s="117"/>
      <c r="I86" s="117"/>
      <c r="J86" s="117"/>
      <c r="K86" s="116"/>
      <c r="L86" s="116"/>
      <c r="M86" s="116"/>
      <c r="AY86" s="162" t="s">
        <v>400</v>
      </c>
      <c r="AZ86" s="61">
        <f>(AZ83/AZ85)-1</f>
        <v>-2.8201057998447299E-2</v>
      </c>
    </row>
    <row r="87" spans="1:64">
      <c r="A87" s="118"/>
      <c r="B87" s="202"/>
      <c r="C87" s="116"/>
      <c r="D87" s="117"/>
      <c r="E87" s="116"/>
      <c r="F87" s="116"/>
      <c r="G87" s="116"/>
      <c r="H87" s="117"/>
      <c r="I87" s="117"/>
      <c r="J87" s="117"/>
      <c r="K87" s="116"/>
      <c r="L87" s="116"/>
      <c r="M87" s="116"/>
    </row>
    <row r="88" spans="1:64">
      <c r="A88" s="118"/>
      <c r="B88" s="202"/>
      <c r="C88" s="116"/>
      <c r="D88" s="117"/>
      <c r="E88" s="116"/>
      <c r="F88" s="116"/>
      <c r="G88" s="116"/>
      <c r="H88" s="117"/>
      <c r="I88" s="117"/>
      <c r="J88" s="117"/>
      <c r="K88" s="116"/>
      <c r="L88" s="116"/>
      <c r="M88" s="116"/>
      <c r="AZ88" s="140" t="s">
        <v>305</v>
      </c>
      <c r="BA88" s="253" t="s">
        <v>271</v>
      </c>
      <c r="BB88" s="253" t="s">
        <v>270</v>
      </c>
      <c r="BC88" s="253" t="s">
        <v>268</v>
      </c>
      <c r="BD88" s="253" t="s">
        <v>266</v>
      </c>
      <c r="BE88" s="253" t="s">
        <v>267</v>
      </c>
      <c r="BF88" s="253" t="s">
        <v>262</v>
      </c>
      <c r="BG88" s="253" t="s">
        <v>264</v>
      </c>
      <c r="BH88" s="253" t="s">
        <v>259</v>
      </c>
      <c r="BI88" s="253" t="s">
        <v>263</v>
      </c>
      <c r="BJ88" s="253" t="s">
        <v>394</v>
      </c>
      <c r="BK88" s="253" t="s">
        <v>260</v>
      </c>
      <c r="BL88" s="253" t="s">
        <v>396</v>
      </c>
    </row>
    <row r="89" spans="1:64">
      <c r="A89" s="118"/>
      <c r="B89" s="202"/>
      <c r="C89" s="116"/>
      <c r="D89" s="117"/>
      <c r="E89" s="116"/>
      <c r="F89" s="116"/>
      <c r="G89" s="116"/>
      <c r="H89" s="117"/>
      <c r="I89" s="117"/>
      <c r="J89" s="117"/>
      <c r="K89" s="116"/>
      <c r="L89" s="116"/>
      <c r="M89" s="116"/>
      <c r="AZ89" s="1020" t="s">
        <v>87</v>
      </c>
      <c r="BA89" s="63">
        <v>68997.936000000002</v>
      </c>
      <c r="BB89" s="63">
        <v>178885</v>
      </c>
      <c r="BC89" s="63">
        <v>14784.648000000001</v>
      </c>
      <c r="BD89" s="63">
        <v>10000</v>
      </c>
      <c r="BE89" s="63">
        <v>11426.28</v>
      </c>
      <c r="BF89" s="63">
        <v>42650</v>
      </c>
      <c r="BG89" s="63">
        <v>2329.6480000000001</v>
      </c>
      <c r="BH89" s="63">
        <v>2000</v>
      </c>
      <c r="BI89" s="63">
        <v>75174.712</v>
      </c>
      <c r="BJ89" s="63">
        <v>164369</v>
      </c>
      <c r="BK89" s="63">
        <v>11510.992</v>
      </c>
      <c r="BL89" s="63">
        <v>17366</v>
      </c>
    </row>
    <row r="90" spans="1:64">
      <c r="A90" s="118"/>
      <c r="B90" s="202"/>
      <c r="C90" s="116"/>
      <c r="D90" s="117"/>
      <c r="E90" s="116"/>
      <c r="F90" s="116"/>
      <c r="G90" s="116"/>
      <c r="H90" s="117"/>
      <c r="I90" s="117"/>
      <c r="J90" s="117"/>
      <c r="K90" s="116"/>
      <c r="L90" s="116"/>
      <c r="M90" s="116"/>
      <c r="AZ90" s="1020" t="s">
        <v>88</v>
      </c>
      <c r="BA90" s="63">
        <v>258179.592</v>
      </c>
      <c r="BB90" s="63">
        <v>530544</v>
      </c>
      <c r="BC90" s="63">
        <v>85545.312000000005</v>
      </c>
      <c r="BD90" s="63">
        <v>47376</v>
      </c>
      <c r="BE90" s="63">
        <v>15572.824000000001</v>
      </c>
      <c r="BF90" s="63">
        <v>29225</v>
      </c>
      <c r="BG90" s="63">
        <v>3062.6479999999997</v>
      </c>
      <c r="BH90" s="63">
        <v>3000</v>
      </c>
      <c r="BI90" s="63">
        <v>213686.96800000002</v>
      </c>
      <c r="BJ90" s="63">
        <v>626315</v>
      </c>
      <c r="BK90" s="63">
        <v>28433.352000000003</v>
      </c>
      <c r="BL90" s="63">
        <v>53374</v>
      </c>
    </row>
    <row r="91" spans="1:64">
      <c r="A91" s="118"/>
      <c r="B91" s="202"/>
      <c r="C91" s="116"/>
      <c r="D91" s="117"/>
      <c r="E91" s="116"/>
      <c r="F91" s="116"/>
      <c r="G91" s="116"/>
      <c r="H91" s="117"/>
      <c r="I91" s="117"/>
      <c r="J91" s="117"/>
      <c r="K91" s="116"/>
      <c r="L91" s="116"/>
      <c r="M91" s="116"/>
      <c r="AZ91" s="1020" t="s">
        <v>90</v>
      </c>
      <c r="BA91" s="63">
        <v>242562.25599999996</v>
      </c>
      <c r="BB91" s="63">
        <v>564309</v>
      </c>
      <c r="BC91" s="63">
        <v>85287.48000000001</v>
      </c>
      <c r="BD91" s="63">
        <v>68298</v>
      </c>
      <c r="BE91" s="63">
        <v>24016.351999999999</v>
      </c>
      <c r="BF91" s="63">
        <v>79901</v>
      </c>
      <c r="BG91" s="63">
        <v>10192.448</v>
      </c>
      <c r="BH91" s="63">
        <v>12255.076999999999</v>
      </c>
      <c r="BI91" s="63">
        <v>189895.40000000002</v>
      </c>
      <c r="BJ91" s="63">
        <v>459872</v>
      </c>
      <c r="BK91" s="63">
        <v>29199.836000000003</v>
      </c>
      <c r="BL91" s="63">
        <v>49684</v>
      </c>
    </row>
    <row r="92" spans="1:64">
      <c r="A92" s="121"/>
      <c r="B92" s="202"/>
      <c r="C92" s="119"/>
      <c r="D92" s="120"/>
      <c r="E92" s="119"/>
      <c r="F92" s="119"/>
      <c r="G92" s="119"/>
      <c r="H92" s="120"/>
      <c r="I92" s="120"/>
      <c r="J92" s="120"/>
      <c r="K92" s="119"/>
      <c r="L92" s="119"/>
      <c r="M92" s="119"/>
      <c r="AZ92" s="1020" t="s">
        <v>89</v>
      </c>
      <c r="BA92" s="63">
        <v>77794.552000000011</v>
      </c>
      <c r="BB92" s="63">
        <v>202321</v>
      </c>
      <c r="BC92" s="63">
        <v>25953.296000000002</v>
      </c>
      <c r="BD92" s="63">
        <v>9864</v>
      </c>
      <c r="BE92" s="63">
        <v>13945.032000000001</v>
      </c>
      <c r="BF92" s="63">
        <v>69074</v>
      </c>
      <c r="BG92" s="63">
        <v>6848.2880000000014</v>
      </c>
      <c r="BH92" s="63">
        <v>2500</v>
      </c>
      <c r="BI92" s="63">
        <v>110025.46400000001</v>
      </c>
      <c r="BJ92" s="63">
        <v>196141</v>
      </c>
      <c r="BK92" s="63">
        <v>14296.919999999998</v>
      </c>
      <c r="BL92" s="63">
        <v>21039</v>
      </c>
    </row>
    <row r="93" spans="1:64">
      <c r="A93" s="118"/>
      <c r="B93" s="202"/>
      <c r="C93" s="116"/>
      <c r="D93" s="117"/>
      <c r="E93" s="116"/>
      <c r="F93" s="116"/>
      <c r="G93" s="116"/>
      <c r="H93" s="117"/>
      <c r="I93" s="117"/>
      <c r="J93" s="117"/>
      <c r="K93" s="116"/>
      <c r="L93" s="116"/>
      <c r="M93" s="116"/>
      <c r="AZ93" s="1020" t="s">
        <v>91</v>
      </c>
      <c r="BA93" s="63">
        <v>804484.87200000009</v>
      </c>
      <c r="BB93" s="63">
        <v>1458683</v>
      </c>
      <c r="BC93" s="63">
        <v>198121.90400000004</v>
      </c>
      <c r="BD93" s="63">
        <v>200000.24</v>
      </c>
      <c r="BE93" s="63">
        <v>107305.856</v>
      </c>
      <c r="BF93" s="63">
        <v>312474</v>
      </c>
      <c r="BG93" s="63">
        <v>14856.76</v>
      </c>
      <c r="BH93" s="63">
        <v>35000</v>
      </c>
      <c r="BI93" s="63">
        <v>547012.54399999999</v>
      </c>
      <c r="BJ93" s="63">
        <v>1538908</v>
      </c>
      <c r="BK93" s="63">
        <v>68821.16</v>
      </c>
      <c r="BL93" s="63">
        <v>148953</v>
      </c>
    </row>
    <row r="94" spans="1:64">
      <c r="A94" s="118"/>
      <c r="B94" s="202"/>
      <c r="C94" s="116"/>
      <c r="D94" s="117"/>
      <c r="E94" s="116"/>
      <c r="F94" s="116"/>
      <c r="G94" s="116"/>
      <c r="H94" s="117"/>
      <c r="I94" s="117"/>
      <c r="J94" s="117"/>
      <c r="K94" s="116"/>
      <c r="L94" s="116"/>
      <c r="M94" s="116"/>
      <c r="AZ94" s="1020" t="s">
        <v>241</v>
      </c>
      <c r="BA94" s="63">
        <v>7414557.8420000002</v>
      </c>
      <c r="BB94" s="63">
        <v>12113602</v>
      </c>
      <c r="BC94" s="63">
        <v>1670684.0880000002</v>
      </c>
      <c r="BD94" s="63">
        <v>1626261.56125075</v>
      </c>
      <c r="BE94" s="63">
        <v>987625.67999999993</v>
      </c>
      <c r="BF94" s="63">
        <v>1885126</v>
      </c>
      <c r="BG94" s="63">
        <v>235274.45599999998</v>
      </c>
      <c r="BH94" s="63">
        <v>220015.04716165501</v>
      </c>
      <c r="BI94" s="63">
        <v>6794240.9020000007</v>
      </c>
      <c r="BJ94" s="63">
        <v>18936892</v>
      </c>
      <c r="BK94" s="63">
        <v>659850.08600000024</v>
      </c>
      <c r="BL94" s="63">
        <v>1470749</v>
      </c>
    </row>
    <row r="95" spans="1:64">
      <c r="A95" s="118"/>
      <c r="B95" s="202"/>
      <c r="C95" s="116"/>
      <c r="D95" s="117"/>
      <c r="E95" s="116"/>
      <c r="F95" s="116"/>
      <c r="G95" s="116"/>
      <c r="H95" s="117"/>
      <c r="I95" s="117"/>
      <c r="J95" s="117"/>
      <c r="K95" s="116"/>
      <c r="L95" s="116"/>
      <c r="M95" s="116"/>
      <c r="AZ95" s="1020" t="s">
        <v>92</v>
      </c>
      <c r="BA95" s="63">
        <v>490393.43200000009</v>
      </c>
      <c r="BB95" s="63">
        <v>881226</v>
      </c>
      <c r="BC95" s="63">
        <v>69757.392000000007</v>
      </c>
      <c r="BD95" s="63">
        <v>71486.8</v>
      </c>
      <c r="BE95" s="63">
        <v>49333.488000000005</v>
      </c>
      <c r="BF95" s="63">
        <v>104154</v>
      </c>
      <c r="BG95" s="63">
        <v>4895.24</v>
      </c>
      <c r="BH95" s="63">
        <v>8679</v>
      </c>
      <c r="BI95" s="63">
        <v>323861.12800000003</v>
      </c>
      <c r="BJ95" s="63">
        <v>1063644</v>
      </c>
      <c r="BK95" s="63">
        <v>41528.527999999998</v>
      </c>
      <c r="BL95" s="63">
        <v>92206</v>
      </c>
    </row>
    <row r="96" spans="1:64">
      <c r="A96" s="121"/>
      <c r="B96" s="119"/>
      <c r="C96" s="119"/>
      <c r="D96" s="120"/>
      <c r="E96" s="119"/>
      <c r="F96" s="119"/>
      <c r="G96" s="119"/>
      <c r="H96" s="120"/>
      <c r="I96" s="120"/>
      <c r="J96" s="120"/>
      <c r="K96" s="119"/>
      <c r="L96" s="119"/>
      <c r="M96" s="119"/>
      <c r="AZ96" s="1020" t="s">
        <v>93</v>
      </c>
      <c r="BA96" s="63">
        <v>1019812.0800000001</v>
      </c>
      <c r="BB96" s="63">
        <v>1554742</v>
      </c>
      <c r="BC96" s="63">
        <v>239359.016</v>
      </c>
      <c r="BD96" s="63">
        <v>240000</v>
      </c>
      <c r="BE96" s="63">
        <v>84006.680000000008</v>
      </c>
      <c r="BF96" s="63">
        <v>190337</v>
      </c>
      <c r="BG96" s="63">
        <v>16386.743999999999</v>
      </c>
      <c r="BH96" s="63">
        <v>45000.22</v>
      </c>
      <c r="BI96" s="63">
        <v>508600.07999999996</v>
      </c>
      <c r="BJ96" s="63">
        <v>1497990</v>
      </c>
      <c r="BK96" s="63">
        <v>91111.304000000018</v>
      </c>
      <c r="BL96" s="63">
        <v>145938</v>
      </c>
    </row>
    <row r="97" spans="1:64">
      <c r="A97" s="118"/>
      <c r="B97" s="116"/>
      <c r="C97" s="116"/>
      <c r="D97" s="117"/>
      <c r="E97" s="116"/>
      <c r="F97" s="116"/>
      <c r="G97" s="116"/>
      <c r="H97" s="117"/>
      <c r="I97" s="117"/>
      <c r="J97" s="117"/>
      <c r="K97" s="116"/>
      <c r="L97" s="116"/>
      <c r="M97" s="116"/>
      <c r="AZ97" s="1020" t="s">
        <v>94</v>
      </c>
      <c r="BA97" s="63">
        <v>703868.51199999999</v>
      </c>
      <c r="BB97" s="63">
        <v>1068447</v>
      </c>
      <c r="BC97" s="63">
        <v>98915.560000000012</v>
      </c>
      <c r="BD97" s="63">
        <v>235278</v>
      </c>
      <c r="BE97" s="63">
        <v>87240.864000000001</v>
      </c>
      <c r="BF97" s="63">
        <v>137710</v>
      </c>
      <c r="BG97" s="63">
        <v>12324.088</v>
      </c>
      <c r="BH97" s="63">
        <v>45000</v>
      </c>
      <c r="BI97" s="63">
        <v>425245.45600000001</v>
      </c>
      <c r="BJ97" s="63">
        <v>1203034</v>
      </c>
      <c r="BK97" s="63">
        <v>50402.776000000005</v>
      </c>
      <c r="BL97" s="63">
        <v>108414</v>
      </c>
    </row>
    <row r="98" spans="1:64">
      <c r="A98" s="118"/>
      <c r="B98" s="116"/>
      <c r="C98" s="116"/>
      <c r="D98" s="117"/>
      <c r="E98" s="116"/>
      <c r="F98" s="116"/>
      <c r="G98" s="116"/>
      <c r="H98" s="117"/>
      <c r="I98" s="117"/>
      <c r="J98" s="117"/>
      <c r="K98" s="116"/>
      <c r="L98" s="116"/>
      <c r="M98" s="116"/>
      <c r="AZ98" s="1020" t="s">
        <v>95</v>
      </c>
      <c r="BA98" s="63">
        <v>655888.14400000009</v>
      </c>
      <c r="BB98" s="63">
        <v>1156064</v>
      </c>
      <c r="BC98" s="63">
        <v>154966.016</v>
      </c>
      <c r="BD98" s="63">
        <v>200000</v>
      </c>
      <c r="BE98" s="63">
        <v>81929.344000000012</v>
      </c>
      <c r="BF98" s="63">
        <v>158728</v>
      </c>
      <c r="BG98" s="63">
        <v>22523.952000000001</v>
      </c>
      <c r="BH98" s="63">
        <v>30000</v>
      </c>
      <c r="BI98" s="63">
        <v>926313.52000000014</v>
      </c>
      <c r="BJ98" s="63">
        <v>2178450</v>
      </c>
      <c r="BK98" s="63">
        <v>68607.808000000005</v>
      </c>
      <c r="BL98" s="63">
        <v>111784</v>
      </c>
    </row>
    <row r="99" spans="1:64">
      <c r="A99" s="118"/>
      <c r="B99" s="116"/>
      <c r="C99" s="116"/>
      <c r="D99" s="117"/>
      <c r="E99" s="116"/>
      <c r="F99" s="116"/>
      <c r="G99" s="116"/>
      <c r="H99" s="117"/>
      <c r="I99" s="117"/>
      <c r="J99" s="117"/>
      <c r="K99" s="116"/>
      <c r="L99" s="116"/>
      <c r="M99" s="116"/>
      <c r="AZ99" s="1020" t="s">
        <v>96</v>
      </c>
      <c r="BA99" s="63">
        <v>211252.448</v>
      </c>
      <c r="BB99" s="63">
        <v>414059</v>
      </c>
      <c r="BC99" s="63">
        <v>104962.16800000001</v>
      </c>
      <c r="BD99" s="63">
        <v>72000</v>
      </c>
      <c r="BE99" s="63">
        <v>17860.360000000004</v>
      </c>
      <c r="BF99" s="63">
        <v>66908</v>
      </c>
      <c r="BG99" s="63">
        <v>3440.1200000000003</v>
      </c>
      <c r="BH99" s="63">
        <v>5671</v>
      </c>
      <c r="BI99" s="63">
        <v>140077.05600000001</v>
      </c>
      <c r="BJ99" s="63">
        <v>425841</v>
      </c>
      <c r="BK99" s="63">
        <v>30845.672000000002</v>
      </c>
      <c r="BL99" s="63">
        <v>40806</v>
      </c>
    </row>
    <row r="100" spans="1:64">
      <c r="A100" s="118"/>
      <c r="B100" s="116"/>
      <c r="C100" s="116"/>
      <c r="D100" s="117"/>
      <c r="E100" s="116"/>
      <c r="F100" s="116"/>
      <c r="G100" s="116"/>
      <c r="H100" s="117"/>
      <c r="I100" s="117"/>
      <c r="J100" s="117"/>
      <c r="K100" s="116"/>
      <c r="L100" s="116"/>
      <c r="M100" s="116"/>
      <c r="AZ100" s="1020" t="s">
        <v>99</v>
      </c>
      <c r="BA100" s="63">
        <v>2392296.8880000003</v>
      </c>
      <c r="BB100" s="63">
        <v>4134115</v>
      </c>
      <c r="BC100" s="63">
        <v>706937.04799999995</v>
      </c>
      <c r="BD100" s="63">
        <v>570984.59</v>
      </c>
      <c r="BE100" s="63">
        <v>282018.31200000003</v>
      </c>
      <c r="BF100" s="63">
        <v>537915</v>
      </c>
      <c r="BG100" s="63">
        <v>96283.432000000001</v>
      </c>
      <c r="BH100" s="63">
        <v>86374.23</v>
      </c>
      <c r="BI100" s="63">
        <v>1663650.496</v>
      </c>
      <c r="BJ100" s="63">
        <v>3904874</v>
      </c>
      <c r="BK100" s="63">
        <v>252779.592</v>
      </c>
      <c r="BL100" s="63">
        <v>385961</v>
      </c>
    </row>
    <row r="101" spans="1:64">
      <c r="A101" s="118"/>
      <c r="B101" s="116"/>
      <c r="C101" s="116"/>
      <c r="D101" s="117"/>
      <c r="E101" s="116"/>
      <c r="F101" s="116"/>
      <c r="G101" s="116"/>
      <c r="H101" s="117"/>
      <c r="I101" s="117"/>
      <c r="J101" s="117"/>
      <c r="K101" s="116"/>
      <c r="L101" s="116"/>
      <c r="M101" s="116"/>
      <c r="AZ101" s="1020" t="s">
        <v>98</v>
      </c>
      <c r="BA101" s="63">
        <v>433535.016</v>
      </c>
      <c r="BB101" s="63">
        <v>895046</v>
      </c>
      <c r="BC101" s="63">
        <v>105161.96800000002</v>
      </c>
      <c r="BD101" s="63">
        <v>60000</v>
      </c>
      <c r="BE101" s="63">
        <v>68143.096000000005</v>
      </c>
      <c r="BF101" s="63">
        <v>156349</v>
      </c>
      <c r="BG101" s="63">
        <v>15041.560000000005</v>
      </c>
      <c r="BH101" s="63">
        <v>10000</v>
      </c>
      <c r="BI101" s="63">
        <v>669932.06400000001</v>
      </c>
      <c r="BJ101" s="63">
        <v>1914657</v>
      </c>
      <c r="BK101" s="63">
        <v>49499.456000000006</v>
      </c>
      <c r="BL101" s="63">
        <v>133472</v>
      </c>
    </row>
    <row r="102" spans="1:64">
      <c r="A102" s="118"/>
      <c r="B102" s="116"/>
      <c r="C102" s="116"/>
      <c r="D102" s="117"/>
      <c r="E102" s="116"/>
      <c r="F102" s="116"/>
      <c r="G102" s="116"/>
      <c r="H102" s="117"/>
      <c r="I102" s="117"/>
      <c r="J102" s="117"/>
      <c r="K102" s="116"/>
      <c r="L102" s="116"/>
      <c r="M102" s="116"/>
      <c r="AZ102" s="1020" t="s">
        <v>97</v>
      </c>
      <c r="BA102" s="63">
        <v>511070.89600000007</v>
      </c>
      <c r="BB102" s="63">
        <v>909746</v>
      </c>
      <c r="BC102" s="63">
        <v>107719.432</v>
      </c>
      <c r="BD102" s="63">
        <v>0</v>
      </c>
      <c r="BE102" s="63">
        <v>65950.680000000008</v>
      </c>
      <c r="BF102" s="63">
        <v>147035</v>
      </c>
      <c r="BG102" s="63">
        <v>16137.655999999999</v>
      </c>
      <c r="BH102" s="63">
        <v>0</v>
      </c>
      <c r="BI102" s="63">
        <v>1065630.696</v>
      </c>
      <c r="BJ102" s="63">
        <v>2195541</v>
      </c>
      <c r="BK102" s="63">
        <v>43996.008000000002</v>
      </c>
      <c r="BL102" s="63">
        <v>146354</v>
      </c>
    </row>
    <row r="103" spans="1:64">
      <c r="A103" s="118"/>
      <c r="B103" s="116"/>
      <c r="C103" s="116"/>
      <c r="D103" s="117"/>
      <c r="E103" s="116"/>
      <c r="F103" s="116"/>
      <c r="G103" s="116"/>
      <c r="H103" s="117"/>
      <c r="I103" s="117"/>
      <c r="J103" s="117"/>
      <c r="K103" s="116"/>
      <c r="L103" s="116"/>
      <c r="M103" s="116"/>
      <c r="AZ103" s="1020" t="s">
        <v>100</v>
      </c>
      <c r="BA103" s="63">
        <v>326453.41599999997</v>
      </c>
      <c r="BB103" s="63">
        <v>676931</v>
      </c>
      <c r="BC103" s="63">
        <v>139424.66400000002</v>
      </c>
      <c r="BD103" s="63">
        <v>0</v>
      </c>
      <c r="BE103" s="63">
        <v>31324.624000000003</v>
      </c>
      <c r="BF103" s="63">
        <v>113889</v>
      </c>
      <c r="BG103" s="63">
        <v>7982.2560000000012</v>
      </c>
      <c r="BH103" s="63">
        <v>0</v>
      </c>
      <c r="BI103" s="63">
        <v>223901.08800000005</v>
      </c>
      <c r="BJ103" s="63">
        <v>734896</v>
      </c>
      <c r="BK103" s="63">
        <v>50356.928</v>
      </c>
      <c r="BL103" s="63">
        <v>68657</v>
      </c>
    </row>
    <row r="104" spans="1:64">
      <c r="A104" s="118"/>
      <c r="B104" s="116"/>
      <c r="C104" s="116"/>
      <c r="D104" s="117"/>
      <c r="E104" s="116"/>
      <c r="F104" s="116"/>
      <c r="G104" s="116"/>
      <c r="H104" s="117"/>
      <c r="I104" s="117"/>
      <c r="J104" s="117"/>
      <c r="K104" s="116"/>
      <c r="L104" s="116"/>
      <c r="M104" s="116"/>
      <c r="AZ104" s="1020" t="s">
        <v>101</v>
      </c>
      <c r="BA104" s="63">
        <v>330979.92000000004</v>
      </c>
      <c r="BB104" s="63">
        <v>682270</v>
      </c>
      <c r="BC104" s="63">
        <v>119694.81600000001</v>
      </c>
      <c r="BD104" s="63">
        <v>105127.66</v>
      </c>
      <c r="BE104" s="63">
        <v>31746.888000000003</v>
      </c>
      <c r="BF104" s="63">
        <v>129914</v>
      </c>
      <c r="BG104" s="63">
        <v>10844</v>
      </c>
      <c r="BH104" s="63">
        <v>24091.404999999999</v>
      </c>
      <c r="BI104" s="63">
        <v>280247.03200000001</v>
      </c>
      <c r="BJ104" s="63">
        <v>901869</v>
      </c>
      <c r="BK104" s="63">
        <v>36829.824000000001</v>
      </c>
      <c r="BL104" s="63">
        <v>77132</v>
      </c>
    </row>
    <row r="105" spans="1:64">
      <c r="A105" s="98"/>
      <c r="B105" s="115"/>
      <c r="C105" s="115"/>
      <c r="D105" s="114"/>
      <c r="E105" s="115"/>
      <c r="F105" s="115"/>
      <c r="G105" s="115"/>
      <c r="H105" s="114"/>
      <c r="I105" s="114"/>
      <c r="J105" s="114"/>
      <c r="K105" s="98"/>
      <c r="L105" s="98"/>
      <c r="M105" s="98"/>
      <c r="AZ105" s="1020" t="s">
        <v>103</v>
      </c>
      <c r="BA105" s="63">
        <v>677444.83200000005</v>
      </c>
      <c r="BB105" s="63">
        <v>1325136</v>
      </c>
      <c r="BC105" s="63">
        <v>190627.70400000003</v>
      </c>
      <c r="BD105" s="63">
        <v>374949.26830000005</v>
      </c>
      <c r="BE105" s="63">
        <v>77556.351999999999</v>
      </c>
      <c r="BF105" s="63">
        <v>184281</v>
      </c>
      <c r="BG105" s="63">
        <v>15525.480000000001</v>
      </c>
      <c r="BH105" s="63">
        <v>60000</v>
      </c>
      <c r="BI105" s="63">
        <v>468406.50400000007</v>
      </c>
      <c r="BJ105" s="63">
        <v>1313736</v>
      </c>
      <c r="BK105" s="63">
        <v>71765.440000000002</v>
      </c>
      <c r="BL105" s="63">
        <v>127042</v>
      </c>
    </row>
    <row r="106" spans="1:64">
      <c r="A106" s="98"/>
      <c r="B106" s="98"/>
      <c r="C106" s="98"/>
      <c r="D106" s="98"/>
      <c r="E106" s="98"/>
      <c r="F106" s="98"/>
      <c r="G106" s="98"/>
      <c r="H106" s="98"/>
      <c r="I106" s="98"/>
      <c r="J106" s="98"/>
      <c r="K106" s="98"/>
      <c r="L106" s="98"/>
      <c r="M106" s="98"/>
      <c r="AZ106" s="1020" t="s">
        <v>104</v>
      </c>
      <c r="BA106" s="63">
        <v>175562.20800000001</v>
      </c>
      <c r="BB106" s="63">
        <v>349866</v>
      </c>
      <c r="BC106" s="63">
        <v>35259.816000000006</v>
      </c>
      <c r="BD106" s="63">
        <v>63000</v>
      </c>
      <c r="BE106" s="63">
        <v>23975.136000000002</v>
      </c>
      <c r="BF106" s="63">
        <v>69732</v>
      </c>
      <c r="BG106" s="63">
        <v>6294.0160000000005</v>
      </c>
      <c r="BH106" s="63">
        <v>23443</v>
      </c>
      <c r="BI106" s="63">
        <v>128012.88800000001</v>
      </c>
      <c r="BJ106" s="63">
        <v>506338</v>
      </c>
      <c r="BK106" s="63">
        <v>14706.752</v>
      </c>
      <c r="BL106" s="63">
        <v>41667</v>
      </c>
    </row>
    <row r="107" spans="1:64">
      <c r="A107" s="98"/>
      <c r="B107" s="98"/>
      <c r="C107" s="98"/>
      <c r="D107" s="98"/>
      <c r="E107" s="98"/>
      <c r="F107" s="98"/>
      <c r="G107" s="98"/>
      <c r="H107" s="98"/>
      <c r="I107" s="98"/>
      <c r="J107" s="98"/>
      <c r="K107" s="98"/>
      <c r="L107" s="98"/>
      <c r="M107" s="98"/>
      <c r="AZ107" s="1020" t="s">
        <v>102</v>
      </c>
      <c r="BA107" s="63">
        <v>2090943.2640000004</v>
      </c>
      <c r="BB107" s="63">
        <v>3356103</v>
      </c>
      <c r="BC107" s="63">
        <v>574974.09600000002</v>
      </c>
      <c r="BD107" s="63">
        <v>0</v>
      </c>
      <c r="BE107" s="63">
        <v>402846.42400000006</v>
      </c>
      <c r="BF107" s="63">
        <v>818328</v>
      </c>
      <c r="BG107" s="63">
        <v>153333.61599999998</v>
      </c>
      <c r="BH107" s="63">
        <v>0</v>
      </c>
      <c r="BI107" s="63">
        <v>2460880.784</v>
      </c>
      <c r="BJ107" s="63">
        <v>6203981</v>
      </c>
      <c r="BK107" s="63">
        <v>234651.37600000005</v>
      </c>
      <c r="BL107" s="63">
        <v>467029</v>
      </c>
    </row>
    <row r="108" spans="1:64">
      <c r="A108" s="98"/>
      <c r="B108" s="98"/>
      <c r="C108" s="98"/>
      <c r="D108" s="98"/>
      <c r="E108" s="98"/>
      <c r="F108" s="98"/>
      <c r="G108" s="98"/>
      <c r="H108" s="98"/>
      <c r="I108" s="98"/>
      <c r="J108" s="98"/>
      <c r="K108" s="98"/>
      <c r="L108" s="98"/>
      <c r="M108" s="98"/>
      <c r="AZ108" s="1020" t="s">
        <v>105</v>
      </c>
      <c r="BA108" s="63">
        <v>2701844.4879999999</v>
      </c>
      <c r="BB108" s="63">
        <v>4669598</v>
      </c>
      <c r="BC108" s="63">
        <v>503950.72</v>
      </c>
      <c r="BD108" s="63">
        <v>1000000</v>
      </c>
      <c r="BE108" s="63">
        <v>418884.43199999997</v>
      </c>
      <c r="BF108" s="63">
        <v>832187</v>
      </c>
      <c r="BG108" s="63">
        <v>72563.872000000003</v>
      </c>
      <c r="BH108" s="63">
        <v>200000</v>
      </c>
      <c r="BI108" s="63">
        <v>1487205.5360000001</v>
      </c>
      <c r="BJ108" s="63">
        <v>4544597</v>
      </c>
      <c r="BK108" s="63">
        <v>250232.64800000002</v>
      </c>
      <c r="BL108" s="63">
        <v>452087</v>
      </c>
    </row>
    <row r="109" spans="1:64">
      <c r="A109" s="98"/>
      <c r="B109" s="98"/>
      <c r="C109" s="98"/>
      <c r="D109" s="98"/>
      <c r="E109" s="98"/>
      <c r="F109" s="98"/>
      <c r="G109" s="98"/>
      <c r="H109" s="98"/>
      <c r="I109" s="98"/>
      <c r="J109" s="98"/>
      <c r="K109" s="98"/>
      <c r="L109" s="98"/>
      <c r="M109" s="98"/>
      <c r="AZ109" s="1020" t="s">
        <v>106</v>
      </c>
      <c r="BA109" s="63">
        <v>348564.16799999995</v>
      </c>
      <c r="BB109" s="63">
        <v>665466</v>
      </c>
      <c r="BC109" s="63">
        <v>140266.48800000001</v>
      </c>
      <c r="BD109" s="63">
        <v>131639.10999999999</v>
      </c>
      <c r="BE109" s="63">
        <v>26747.648000000005</v>
      </c>
      <c r="BF109" s="63">
        <v>77302</v>
      </c>
      <c r="BG109" s="63">
        <v>7662.4480000000003</v>
      </c>
      <c r="BH109" s="63">
        <v>16674.580000000002</v>
      </c>
      <c r="BI109" s="63">
        <v>240311.50400000002</v>
      </c>
      <c r="BJ109" s="63">
        <v>748652</v>
      </c>
      <c r="BK109" s="63">
        <v>45661.472000000002</v>
      </c>
      <c r="BL109" s="63">
        <v>67114</v>
      </c>
    </row>
    <row r="110" spans="1:64">
      <c r="A110" s="98"/>
      <c r="B110" s="98"/>
      <c r="C110" s="98"/>
      <c r="D110" s="98"/>
      <c r="E110" s="98"/>
      <c r="F110" s="98"/>
      <c r="G110" s="98"/>
      <c r="H110" s="98"/>
      <c r="I110" s="98"/>
      <c r="J110" s="98"/>
      <c r="K110" s="98"/>
      <c r="L110" s="98"/>
      <c r="M110" s="98"/>
      <c r="AZ110" s="1020" t="s">
        <v>108</v>
      </c>
      <c r="BA110" s="63">
        <v>152492.016</v>
      </c>
      <c r="BB110" s="63">
        <v>311999</v>
      </c>
      <c r="BC110" s="63">
        <v>40870.864000000001</v>
      </c>
      <c r="BD110" s="63">
        <v>0</v>
      </c>
      <c r="BE110" s="63">
        <v>20495.792000000001</v>
      </c>
      <c r="BF110" s="63">
        <v>64102</v>
      </c>
      <c r="BG110" s="63">
        <v>6889.1679999999997</v>
      </c>
      <c r="BH110" s="63">
        <v>0</v>
      </c>
      <c r="BI110" s="63">
        <v>316588.96000000002</v>
      </c>
      <c r="BJ110" s="63">
        <v>688174</v>
      </c>
      <c r="BK110" s="63">
        <v>18084.160000000003</v>
      </c>
      <c r="BL110" s="63">
        <v>47892</v>
      </c>
    </row>
    <row r="111" spans="1:64">
      <c r="A111" s="98"/>
      <c r="B111" s="98"/>
      <c r="C111" s="98"/>
      <c r="D111" s="98"/>
      <c r="E111" s="98"/>
      <c r="F111" s="98"/>
      <c r="G111" s="98"/>
      <c r="H111" s="98"/>
      <c r="I111" s="98"/>
      <c r="J111" s="98"/>
      <c r="K111" s="98"/>
      <c r="L111" s="98"/>
      <c r="M111" s="98"/>
      <c r="AZ111" s="1020" t="s">
        <v>109</v>
      </c>
      <c r="BA111" s="63">
        <v>28251.423999999999</v>
      </c>
      <c r="BB111" s="63">
        <v>61429</v>
      </c>
      <c r="BC111" s="63">
        <v>3033.4960000000005</v>
      </c>
      <c r="BD111" s="63">
        <v>0</v>
      </c>
      <c r="BE111" s="63">
        <v>5157.9360000000006</v>
      </c>
      <c r="BF111" s="63">
        <v>12767</v>
      </c>
      <c r="BG111" s="63">
        <v>810.78400000000011</v>
      </c>
      <c r="BH111" s="63">
        <v>0</v>
      </c>
      <c r="BI111" s="63">
        <v>39867.376000000004</v>
      </c>
      <c r="BJ111" s="63">
        <v>115103</v>
      </c>
      <c r="BK111" s="63">
        <v>1240.952</v>
      </c>
      <c r="BL111" s="63">
        <v>8518</v>
      </c>
    </row>
    <row r="112" spans="1:64">
      <c r="A112" s="98"/>
      <c r="B112" s="98"/>
      <c r="C112" s="98"/>
      <c r="D112" s="98"/>
      <c r="E112" s="98"/>
      <c r="F112" s="98"/>
      <c r="G112" s="98"/>
      <c r="H112" s="98"/>
      <c r="I112" s="98"/>
      <c r="J112" s="98"/>
      <c r="K112" s="98"/>
      <c r="L112" s="98"/>
      <c r="M112" s="98"/>
      <c r="AZ112" s="1020" t="s">
        <v>107</v>
      </c>
      <c r="BA112" s="63">
        <v>2655777.6320000002</v>
      </c>
      <c r="BB112" s="63">
        <v>4628708</v>
      </c>
      <c r="BC112" s="63">
        <v>477534.2</v>
      </c>
      <c r="BD112" s="63">
        <v>600000</v>
      </c>
      <c r="BE112" s="63">
        <v>368240.07199999999</v>
      </c>
      <c r="BF112" s="63">
        <v>813564</v>
      </c>
      <c r="BG112" s="63">
        <v>114583.77600000001</v>
      </c>
      <c r="BH112" s="63">
        <v>0</v>
      </c>
      <c r="BI112" s="63">
        <v>2928315.5920000002</v>
      </c>
      <c r="BJ112" s="63">
        <v>9028890</v>
      </c>
      <c r="BK112" s="63">
        <v>184512.67200000002</v>
      </c>
      <c r="BL112" s="63">
        <v>651202</v>
      </c>
    </row>
    <row r="113" spans="1:64">
      <c r="A113" s="98"/>
      <c r="B113" s="98"/>
      <c r="C113" s="98"/>
      <c r="D113" s="98"/>
      <c r="E113" s="98"/>
      <c r="F113" s="98"/>
      <c r="G113" s="98"/>
      <c r="H113" s="98"/>
      <c r="I113" s="98"/>
      <c r="J113" s="98"/>
      <c r="K113" s="98"/>
      <c r="L113" s="98"/>
      <c r="M113" s="98"/>
      <c r="AZ113" s="1020" t="s">
        <v>110</v>
      </c>
      <c r="BA113" s="63">
        <v>1815305.9760000003</v>
      </c>
      <c r="BB113" s="63">
        <v>3024856</v>
      </c>
      <c r="BC113" s="63">
        <v>208771.50400000002</v>
      </c>
      <c r="BD113" s="63">
        <v>0</v>
      </c>
      <c r="BE113" s="63">
        <v>252078.62400000001</v>
      </c>
      <c r="BF113" s="63">
        <v>486793</v>
      </c>
      <c r="BG113" s="63">
        <v>39261.264000000003</v>
      </c>
      <c r="BH113" s="63">
        <v>0</v>
      </c>
      <c r="BI113" s="63">
        <v>1809245.9280000001</v>
      </c>
      <c r="BJ113" s="63">
        <v>4869245</v>
      </c>
      <c r="BK113" s="63">
        <v>89587.512000000017</v>
      </c>
      <c r="BL113" s="63">
        <v>377140</v>
      </c>
    </row>
    <row r="114" spans="1:64">
      <c r="A114" s="98"/>
      <c r="B114" s="98"/>
      <c r="C114" s="98"/>
      <c r="D114" s="98"/>
      <c r="E114" s="98"/>
      <c r="F114" s="98"/>
      <c r="G114" s="98"/>
      <c r="H114" s="98"/>
      <c r="I114" s="98"/>
      <c r="J114" s="98"/>
      <c r="K114" s="98"/>
      <c r="L114" s="98"/>
      <c r="M114" s="98"/>
      <c r="AZ114" s="1020" t="s">
        <v>112</v>
      </c>
      <c r="BA114" s="63">
        <v>193303.408</v>
      </c>
      <c r="BB114" s="63">
        <v>413617</v>
      </c>
      <c r="BC114" s="63">
        <v>47822.2</v>
      </c>
      <c r="BD114" s="63">
        <v>53389</v>
      </c>
      <c r="BE114" s="63">
        <v>21353.559999999998</v>
      </c>
      <c r="BF114" s="63">
        <v>46346</v>
      </c>
      <c r="BG114" s="63">
        <v>3586.2720000000004</v>
      </c>
      <c r="BH114" s="63">
        <v>3030</v>
      </c>
      <c r="BI114" s="63">
        <v>222906.12800000003</v>
      </c>
      <c r="BJ114" s="63">
        <v>568585</v>
      </c>
      <c r="BK114" s="63">
        <v>20199.16</v>
      </c>
      <c r="BL114" s="63">
        <v>46285</v>
      </c>
    </row>
    <row r="115" spans="1:64">
      <c r="A115" s="98"/>
      <c r="B115" s="98"/>
      <c r="C115" s="98"/>
      <c r="D115" s="98"/>
      <c r="E115" s="98"/>
      <c r="F115" s="98"/>
      <c r="G115" s="98"/>
      <c r="H115" s="98"/>
      <c r="I115" s="98"/>
      <c r="J115" s="98"/>
      <c r="K115" s="98"/>
      <c r="L115" s="98"/>
      <c r="M115" s="98"/>
      <c r="AZ115" s="1020" t="s">
        <v>111</v>
      </c>
      <c r="BA115" s="63">
        <v>10199369.528000001</v>
      </c>
      <c r="BB115" s="63">
        <v>13906769.25</v>
      </c>
      <c r="BC115" s="63">
        <v>2159993.4880000004</v>
      </c>
      <c r="BD115" s="63">
        <v>2397933.06</v>
      </c>
      <c r="BE115" s="63">
        <v>1347575.1039999998</v>
      </c>
      <c r="BF115" s="63">
        <v>1483033.66</v>
      </c>
      <c r="BG115" s="63">
        <v>269192.03200000001</v>
      </c>
      <c r="BH115" s="63">
        <v>262342.11</v>
      </c>
      <c r="BI115" s="63">
        <v>9566977.9360000025</v>
      </c>
      <c r="BJ115" s="63">
        <v>28090409.649999999</v>
      </c>
      <c r="BK115" s="63">
        <v>844029.14400000009</v>
      </c>
      <c r="BL115" s="63">
        <v>1446143.82</v>
      </c>
    </row>
    <row r="116" spans="1:64">
      <c r="A116" s="98"/>
      <c r="B116" s="98"/>
      <c r="C116" s="98"/>
      <c r="D116" s="98"/>
      <c r="E116" s="98"/>
      <c r="F116" s="98"/>
      <c r="G116" s="98"/>
      <c r="H116" s="98"/>
      <c r="I116" s="98"/>
      <c r="J116" s="98"/>
      <c r="K116" s="98"/>
      <c r="L116" s="98"/>
      <c r="M116" s="98"/>
      <c r="AZ116" s="1020" t="s">
        <v>113</v>
      </c>
      <c r="BA116" s="63">
        <v>91802.464000000007</v>
      </c>
      <c r="BB116" s="63">
        <v>208060</v>
      </c>
      <c r="BC116" s="63">
        <v>43041.056000000004</v>
      </c>
      <c r="BD116" s="63">
        <v>30000</v>
      </c>
      <c r="BE116" s="63">
        <v>13770.960000000001</v>
      </c>
      <c r="BF116" s="63">
        <v>53708</v>
      </c>
      <c r="BG116" s="63">
        <v>8246.2560000000012</v>
      </c>
      <c r="BH116" s="63">
        <v>5000</v>
      </c>
      <c r="BI116" s="63">
        <v>144990.76800000001</v>
      </c>
      <c r="BJ116" s="63">
        <v>427088</v>
      </c>
      <c r="BK116" s="63">
        <v>17111.64</v>
      </c>
      <c r="BL116" s="63">
        <v>30999</v>
      </c>
    </row>
    <row r="117" spans="1:64">
      <c r="A117" s="98"/>
      <c r="B117" s="98"/>
      <c r="C117" s="98"/>
      <c r="D117" s="98"/>
      <c r="E117" s="98"/>
      <c r="F117" s="98"/>
      <c r="G117" s="98"/>
      <c r="H117" s="98"/>
      <c r="I117" s="98"/>
      <c r="J117" s="98"/>
      <c r="K117" s="98"/>
      <c r="L117" s="98"/>
      <c r="M117" s="98"/>
      <c r="AZ117" s="1020" t="s">
        <v>306</v>
      </c>
      <c r="BA117" s="63">
        <v>37072789.209999993</v>
      </c>
      <c r="BB117" s="63">
        <v>60342597.25</v>
      </c>
      <c r="BC117" s="63">
        <v>8353420.4399999995</v>
      </c>
      <c r="BD117" s="63">
        <v>8167587.2895507496</v>
      </c>
      <c r="BE117" s="63">
        <v>4938128.3999999994</v>
      </c>
      <c r="BF117" s="63">
        <v>9103532.6600000001</v>
      </c>
      <c r="BG117" s="63">
        <v>1176372.2799999998</v>
      </c>
      <c r="BH117" s="63">
        <v>1100075.669161655</v>
      </c>
      <c r="BI117" s="63">
        <v>33971204.509999998</v>
      </c>
      <c r="BJ117" s="63">
        <v>95048091.650000006</v>
      </c>
      <c r="BK117" s="63">
        <v>3319853.1700000013</v>
      </c>
      <c r="BL117" s="63">
        <v>6835007.8200000003</v>
      </c>
    </row>
    <row r="118" spans="1:64">
      <c r="A118" s="98"/>
      <c r="B118" s="98"/>
      <c r="C118" s="98"/>
      <c r="D118" s="98"/>
      <c r="E118" s="98"/>
      <c r="F118" s="98"/>
      <c r="G118" s="98"/>
      <c r="H118" s="98"/>
      <c r="I118" s="98"/>
      <c r="J118" s="98"/>
      <c r="K118" s="98"/>
      <c r="L118" s="98"/>
      <c r="M118" s="98"/>
    </row>
    <row r="119" spans="1:64">
      <c r="A119" s="98"/>
      <c r="B119" s="98"/>
      <c r="C119" s="98"/>
      <c r="D119" s="98"/>
      <c r="E119" s="98"/>
      <c r="F119" s="98"/>
      <c r="G119" s="98"/>
      <c r="H119" s="98"/>
      <c r="I119" s="98"/>
      <c r="J119" s="98"/>
      <c r="K119" s="98"/>
      <c r="L119" s="98"/>
      <c r="M119" s="98"/>
    </row>
    <row r="120" spans="1:64">
      <c r="A120" s="98"/>
      <c r="B120" s="98"/>
      <c r="C120" s="98"/>
      <c r="D120" s="98"/>
      <c r="E120" s="98"/>
      <c r="F120" s="98"/>
      <c r="G120" s="98"/>
      <c r="H120" s="98"/>
      <c r="I120" s="98"/>
      <c r="J120" s="98"/>
      <c r="K120" s="98"/>
      <c r="L120" s="98"/>
      <c r="M120" s="98"/>
    </row>
  </sheetData>
  <mergeCells count="18">
    <mergeCell ref="BA53:BB53"/>
    <mergeCell ref="BC53:BD53"/>
    <mergeCell ref="AR1:AV2"/>
    <mergeCell ref="AO1:AQ2"/>
    <mergeCell ref="AE2:AH2"/>
    <mergeCell ref="CQ34:CT37"/>
    <mergeCell ref="E2:J2"/>
    <mergeCell ref="E1:V1"/>
    <mergeCell ref="Q2:S2"/>
    <mergeCell ref="T2:V2"/>
    <mergeCell ref="AM1:AN2"/>
    <mergeCell ref="K2:P2"/>
    <mergeCell ref="AA2:AD2"/>
    <mergeCell ref="W2:Z2"/>
    <mergeCell ref="AI1:AL1"/>
    <mergeCell ref="AK2:AL2"/>
    <mergeCell ref="AI2:AJ2"/>
    <mergeCell ref="W1:AH1"/>
  </mergeCells>
  <conditionalFormatting sqref="Z4:Z31">
    <cfRule type="cellIs" dxfId="147" priority="10" operator="lessThan">
      <formula>0.969999999999</formula>
    </cfRule>
    <cfRule type="cellIs" dxfId="146" priority="11" operator="between">
      <formula>0.97</formula>
      <formula>0.999999999998</formula>
    </cfRule>
    <cfRule type="cellIs" dxfId="145" priority="12" operator="greaterThan">
      <formula>0.999999999999</formula>
    </cfRule>
  </conditionalFormatting>
  <conditionalFormatting sqref="AD4:AD31">
    <cfRule type="cellIs" dxfId="144" priority="5" operator="greaterThan">
      <formula>0.999</formula>
    </cfRule>
    <cfRule type="cellIs" dxfId="143" priority="6" operator="lessThan">
      <formula>0.95</formula>
    </cfRule>
  </conditionalFormatting>
  <conditionalFormatting sqref="AQ4:AQ31">
    <cfRule type="cellIs" dxfId="142" priority="2" operator="greaterThan">
      <formula>$AQ$31</formula>
    </cfRule>
  </conditionalFormatting>
  <conditionalFormatting sqref="AQ4:AQ30">
    <cfRule type="cellIs" dxfId="141" priority="1" operator="lessThan">
      <formula>$AQ$31</formula>
    </cfRule>
  </conditionalFormatting>
  <pageMargins left="0.511811024" right="0.511811024" top="0.78740157499999996" bottom="0.78740157499999996" header="0.31496062000000002" footer="0.31496062000000002"/>
  <pageSetup paperSize="9" orientation="portrait" r:id="rId3"/>
  <ignoredErrors>
    <ignoredError sqref="BD32" formula="1"/>
  </ignoredErrors>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theme="6" tint="-0.249977111117893"/>
  </sheetPr>
  <dimension ref="A1:FF66"/>
  <sheetViews>
    <sheetView topLeftCell="DJ1" zoomScale="60" zoomScaleNormal="60" workbookViewId="0">
      <selection sqref="A1:AC1"/>
    </sheetView>
  </sheetViews>
  <sheetFormatPr defaultRowHeight="15"/>
  <cols>
    <col min="1" max="1" width="13.7109375" style="881" customWidth="1"/>
    <col min="2" max="68" width="13.7109375" style="210" customWidth="1"/>
    <col min="69" max="69" width="16.85546875" style="210" customWidth="1"/>
    <col min="70" max="160" width="13.7109375" style="210" customWidth="1"/>
    <col min="161" max="161" width="10.140625" style="253" bestFit="1" customWidth="1"/>
    <col min="162" max="162" width="16.5703125" style="253" bestFit="1" customWidth="1"/>
    <col min="163" max="16384" width="9.140625" style="253"/>
  </cols>
  <sheetData>
    <row r="1" spans="1:162" ht="18.75">
      <c r="A1" s="1428" t="s">
        <v>684</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28"/>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c r="BU1" s="1428"/>
      <c r="BV1" s="1428"/>
      <c r="BW1" s="1428"/>
      <c r="BX1" s="1428"/>
      <c r="BY1" s="1428"/>
      <c r="BZ1" s="1428"/>
      <c r="CA1" s="1428"/>
      <c r="CB1" s="1428"/>
      <c r="CC1" s="1428"/>
      <c r="CD1" s="1428"/>
      <c r="CE1" s="1428"/>
      <c r="CF1" s="1428"/>
      <c r="CG1" s="1428"/>
      <c r="CH1" s="1428"/>
      <c r="CI1" s="1428"/>
      <c r="CJ1" s="1428"/>
      <c r="CK1" s="1428"/>
      <c r="CL1" s="1428"/>
      <c r="CM1" s="1428"/>
      <c r="CN1" s="1428"/>
      <c r="CO1" s="1428"/>
      <c r="CP1" s="1428"/>
      <c r="CQ1" s="1428"/>
      <c r="CR1" s="1428"/>
      <c r="CS1" s="1428"/>
      <c r="CT1" s="1428"/>
      <c r="CU1" s="1428"/>
      <c r="CV1" s="1428"/>
      <c r="CW1" s="1428"/>
      <c r="CX1" s="1428"/>
      <c r="CY1" s="1428"/>
      <c r="CZ1" s="1428"/>
      <c r="DA1" s="1428"/>
      <c r="DB1" s="1428"/>
      <c r="DC1" s="1428"/>
      <c r="DD1" s="1428"/>
      <c r="DE1" s="1428"/>
      <c r="DF1" s="1428"/>
      <c r="DG1" s="1428"/>
      <c r="DH1" s="1428"/>
      <c r="DI1" s="1428"/>
      <c r="DJ1" s="1428"/>
      <c r="DK1" s="1428"/>
      <c r="DL1" s="1428"/>
      <c r="DM1" s="1428"/>
      <c r="DN1" s="1428"/>
      <c r="DO1" s="1428"/>
      <c r="DP1" s="1428"/>
      <c r="DQ1" s="1428"/>
      <c r="DR1" s="1428"/>
      <c r="DS1" s="1428"/>
      <c r="DT1" s="1428"/>
      <c r="DU1" s="1428"/>
      <c r="DV1" s="1428"/>
      <c r="DW1" s="1428"/>
      <c r="DX1" s="1428"/>
      <c r="DY1" s="1428"/>
      <c r="DZ1" s="1428"/>
      <c r="EA1" s="1428"/>
      <c r="EB1" s="1428"/>
      <c r="EC1" s="1428"/>
      <c r="ED1" s="1428"/>
      <c r="EE1" s="1428"/>
      <c r="EF1" s="1428"/>
      <c r="EG1" s="1428"/>
      <c r="EH1" s="1428"/>
      <c r="EI1" s="1428"/>
      <c r="EJ1" s="1428"/>
      <c r="EK1" s="1428"/>
      <c r="EL1" s="1428"/>
      <c r="EM1" s="1428"/>
      <c r="EN1" s="1428"/>
      <c r="EO1" s="1428"/>
      <c r="EP1" s="1428"/>
      <c r="EQ1" s="1428"/>
      <c r="ER1" s="1428"/>
      <c r="ES1" s="1428"/>
      <c r="ET1" s="1428"/>
      <c r="EU1" s="1428"/>
      <c r="EV1" s="1428"/>
      <c r="EW1" s="1428"/>
      <c r="EX1" s="1428"/>
      <c r="EY1" s="1428"/>
      <c r="EZ1" s="1428"/>
      <c r="FA1" s="1428"/>
      <c r="FB1" s="1428"/>
      <c r="FC1" s="1428"/>
      <c r="FD1" s="1428"/>
    </row>
    <row r="2" spans="1:162" s="880" customFormat="1" ht="30" customHeight="1">
      <c r="A2" s="878" t="s">
        <v>685</v>
      </c>
      <c r="B2" s="878" t="s">
        <v>686</v>
      </c>
      <c r="C2" s="878" t="s">
        <v>687</v>
      </c>
      <c r="D2" s="878" t="s">
        <v>688</v>
      </c>
      <c r="E2" s="878" t="s">
        <v>689</v>
      </c>
      <c r="F2" s="878" t="s">
        <v>690</v>
      </c>
      <c r="G2" s="878" t="s">
        <v>691</v>
      </c>
      <c r="H2" s="878" t="s">
        <v>692</v>
      </c>
      <c r="I2" s="878" t="s">
        <v>693</v>
      </c>
      <c r="J2" s="878" t="s">
        <v>694</v>
      </c>
      <c r="K2" s="878" t="s">
        <v>695</v>
      </c>
      <c r="L2" s="878" t="s">
        <v>696</v>
      </c>
      <c r="M2" s="878" t="s">
        <v>697</v>
      </c>
      <c r="N2" s="878" t="s">
        <v>698</v>
      </c>
      <c r="O2" s="878" t="s">
        <v>699</v>
      </c>
      <c r="P2" s="878" t="s">
        <v>700</v>
      </c>
      <c r="Q2" s="878" t="s">
        <v>701</v>
      </c>
      <c r="R2" s="878" t="s">
        <v>702</v>
      </c>
      <c r="S2" s="878" t="s">
        <v>703</v>
      </c>
      <c r="T2" s="878" t="s">
        <v>704</v>
      </c>
      <c r="U2" s="878" t="s">
        <v>705</v>
      </c>
      <c r="V2" s="878" t="s">
        <v>706</v>
      </c>
      <c r="W2" s="878" t="s">
        <v>707</v>
      </c>
      <c r="X2" s="878" t="s">
        <v>708</v>
      </c>
      <c r="Y2" s="878" t="s">
        <v>709</v>
      </c>
      <c r="Z2" s="878" t="s">
        <v>710</v>
      </c>
      <c r="AA2" s="878" t="s">
        <v>711</v>
      </c>
      <c r="AB2" s="878" t="s">
        <v>712</v>
      </c>
      <c r="AC2" s="878" t="s">
        <v>713</v>
      </c>
      <c r="AD2" s="878" t="s">
        <v>714</v>
      </c>
      <c r="AE2" s="878" t="s">
        <v>715</v>
      </c>
      <c r="AF2" s="878" t="s">
        <v>716</v>
      </c>
      <c r="AG2" s="878" t="s">
        <v>717</v>
      </c>
      <c r="AH2" s="878" t="s">
        <v>718</v>
      </c>
      <c r="AI2" s="878" t="s">
        <v>719</v>
      </c>
      <c r="AJ2" s="878" t="s">
        <v>720</v>
      </c>
      <c r="AK2" s="878" t="s">
        <v>721</v>
      </c>
      <c r="AL2" s="878" t="s">
        <v>722</v>
      </c>
      <c r="AM2" s="878" t="s">
        <v>723</v>
      </c>
      <c r="AN2" s="878" t="s">
        <v>724</v>
      </c>
      <c r="AO2" s="878" t="s">
        <v>725</v>
      </c>
      <c r="AP2" s="878" t="s">
        <v>726</v>
      </c>
      <c r="AQ2" s="878" t="s">
        <v>727</v>
      </c>
      <c r="AR2" s="878" t="s">
        <v>728</v>
      </c>
      <c r="AS2" s="878" t="s">
        <v>729</v>
      </c>
      <c r="AT2" s="878" t="s">
        <v>730</v>
      </c>
      <c r="AU2" s="878" t="s">
        <v>731</v>
      </c>
      <c r="AV2" s="878" t="s">
        <v>732</v>
      </c>
      <c r="AW2" s="878" t="s">
        <v>733</v>
      </c>
      <c r="AX2" s="878" t="s">
        <v>734</v>
      </c>
      <c r="AY2" s="878" t="s">
        <v>735</v>
      </c>
      <c r="AZ2" s="878" t="s">
        <v>736</v>
      </c>
      <c r="BA2" s="878" t="s">
        <v>737</v>
      </c>
      <c r="BB2" s="878" t="s">
        <v>738</v>
      </c>
      <c r="BC2" s="878" t="s">
        <v>739</v>
      </c>
      <c r="BD2" s="878" t="s">
        <v>740</v>
      </c>
      <c r="BE2" s="878" t="s">
        <v>741</v>
      </c>
      <c r="BF2" s="878" t="s">
        <v>742</v>
      </c>
      <c r="BG2" s="878" t="s">
        <v>743</v>
      </c>
      <c r="BH2" s="878" t="s">
        <v>744</v>
      </c>
      <c r="BI2" s="878" t="s">
        <v>745</v>
      </c>
      <c r="BJ2" s="879" t="s">
        <v>746</v>
      </c>
      <c r="BK2" s="879" t="s">
        <v>747</v>
      </c>
      <c r="BL2" s="879" t="s">
        <v>748</v>
      </c>
      <c r="BM2" s="879" t="s">
        <v>749</v>
      </c>
      <c r="BN2" s="879" t="s">
        <v>750</v>
      </c>
      <c r="BO2" s="879" t="s">
        <v>751</v>
      </c>
      <c r="BP2" s="879" t="s">
        <v>752</v>
      </c>
      <c r="BQ2" s="879" t="s">
        <v>753</v>
      </c>
      <c r="BR2" s="879" t="s">
        <v>754</v>
      </c>
      <c r="BS2" s="879" t="s">
        <v>755</v>
      </c>
      <c r="BT2" s="879" t="s">
        <v>756</v>
      </c>
      <c r="BU2" s="879" t="s">
        <v>757</v>
      </c>
      <c r="BV2" s="879" t="s">
        <v>758</v>
      </c>
      <c r="BW2" s="879" t="s">
        <v>759</v>
      </c>
      <c r="BX2" s="879" t="s">
        <v>760</v>
      </c>
      <c r="BY2" s="879" t="s">
        <v>761</v>
      </c>
      <c r="BZ2" s="879" t="s">
        <v>762</v>
      </c>
      <c r="CA2" s="879" t="s">
        <v>763</v>
      </c>
      <c r="CB2" s="879" t="s">
        <v>764</v>
      </c>
      <c r="CC2" s="879" t="s">
        <v>765</v>
      </c>
      <c r="CD2" s="879" t="s">
        <v>766</v>
      </c>
      <c r="CE2" s="878" t="s">
        <v>767</v>
      </c>
      <c r="CF2" s="878" t="s">
        <v>768</v>
      </c>
      <c r="CG2" s="878" t="s">
        <v>769</v>
      </c>
      <c r="CH2" s="878" t="s">
        <v>770</v>
      </c>
      <c r="CI2" s="878" t="s">
        <v>771</v>
      </c>
      <c r="CJ2" s="878" t="s">
        <v>772</v>
      </c>
      <c r="CK2" s="878" t="s">
        <v>773</v>
      </c>
      <c r="CL2" s="878" t="s">
        <v>774</v>
      </c>
      <c r="CM2" s="878" t="s">
        <v>775</v>
      </c>
      <c r="CN2" s="878" t="s">
        <v>776</v>
      </c>
      <c r="CO2" s="878" t="s">
        <v>777</v>
      </c>
      <c r="CP2" s="878" t="s">
        <v>778</v>
      </c>
      <c r="CQ2" s="879" t="s">
        <v>779</v>
      </c>
      <c r="CR2" s="879" t="s">
        <v>780</v>
      </c>
      <c r="CS2" s="879" t="s">
        <v>781</v>
      </c>
      <c r="CT2" s="879" t="s">
        <v>782</v>
      </c>
      <c r="CU2" s="879" t="s">
        <v>783</v>
      </c>
      <c r="CV2" s="879" t="s">
        <v>784</v>
      </c>
      <c r="CW2" s="879" t="s">
        <v>785</v>
      </c>
      <c r="CX2" s="879" t="s">
        <v>786</v>
      </c>
      <c r="CY2" s="879" t="s">
        <v>787</v>
      </c>
      <c r="CZ2" s="879" t="s">
        <v>788</v>
      </c>
      <c r="DA2" s="879" t="s">
        <v>789</v>
      </c>
      <c r="DB2" s="879" t="s">
        <v>790</v>
      </c>
      <c r="DC2" s="879" t="s">
        <v>791</v>
      </c>
      <c r="DD2" s="879" t="s">
        <v>792</v>
      </c>
      <c r="DE2" s="879" t="s">
        <v>793</v>
      </c>
      <c r="DF2" s="879" t="s">
        <v>794</v>
      </c>
      <c r="DG2" s="879" t="s">
        <v>795</v>
      </c>
      <c r="DH2" s="879" t="s">
        <v>796</v>
      </c>
      <c r="DI2" s="879" t="s">
        <v>797</v>
      </c>
      <c r="DJ2" s="879" t="s">
        <v>798</v>
      </c>
      <c r="DK2" s="879" t="s">
        <v>799</v>
      </c>
      <c r="DL2" s="879" t="s">
        <v>800</v>
      </c>
      <c r="DM2" s="879" t="s">
        <v>801</v>
      </c>
      <c r="DN2" s="879" t="s">
        <v>802</v>
      </c>
      <c r="DO2" s="879" t="s">
        <v>803</v>
      </c>
      <c r="DP2" s="879" t="s">
        <v>804</v>
      </c>
      <c r="DQ2" s="879" t="s">
        <v>805</v>
      </c>
      <c r="DR2" s="879" t="s">
        <v>806</v>
      </c>
      <c r="DS2" s="879" t="s">
        <v>807</v>
      </c>
      <c r="DT2" s="879" t="s">
        <v>808</v>
      </c>
      <c r="DU2" s="879" t="s">
        <v>809</v>
      </c>
      <c r="DV2" s="879" t="s">
        <v>810</v>
      </c>
      <c r="DW2" s="879" t="s">
        <v>811</v>
      </c>
      <c r="DX2" s="878" t="s">
        <v>812</v>
      </c>
      <c r="DY2" s="878" t="s">
        <v>813</v>
      </c>
      <c r="DZ2" s="878" t="s">
        <v>814</v>
      </c>
      <c r="EA2" s="878" t="s">
        <v>815</v>
      </c>
      <c r="EB2" s="878" t="s">
        <v>816</v>
      </c>
      <c r="EC2" s="878" t="s">
        <v>817</v>
      </c>
      <c r="ED2" s="878" t="s">
        <v>818</v>
      </c>
      <c r="EE2" s="878" t="s">
        <v>819</v>
      </c>
      <c r="EF2" s="878" t="s">
        <v>820</v>
      </c>
      <c r="EG2" s="878" t="s">
        <v>821</v>
      </c>
      <c r="EH2" s="878" t="s">
        <v>822</v>
      </c>
      <c r="EI2" s="878" t="s">
        <v>823</v>
      </c>
      <c r="EJ2" s="878" t="s">
        <v>824</v>
      </c>
      <c r="EK2" s="878" t="s">
        <v>825</v>
      </c>
      <c r="EL2" s="878" t="s">
        <v>826</v>
      </c>
      <c r="EM2" s="878" t="s">
        <v>827</v>
      </c>
      <c r="EN2" s="878" t="s">
        <v>828</v>
      </c>
      <c r="EO2" s="878" t="s">
        <v>829</v>
      </c>
      <c r="EP2" s="878" t="s">
        <v>830</v>
      </c>
      <c r="EQ2" s="878" t="s">
        <v>831</v>
      </c>
      <c r="ER2" s="878" t="s">
        <v>832</v>
      </c>
      <c r="ES2" s="878" t="s">
        <v>833</v>
      </c>
      <c r="ET2" s="878" t="s">
        <v>834</v>
      </c>
      <c r="EU2" s="878" t="s">
        <v>835</v>
      </c>
      <c r="EV2" s="878" t="s">
        <v>836</v>
      </c>
      <c r="EW2" s="878" t="s">
        <v>837</v>
      </c>
      <c r="EX2" s="878" t="s">
        <v>838</v>
      </c>
      <c r="EY2" s="878" t="s">
        <v>839</v>
      </c>
      <c r="EZ2" s="878" t="s">
        <v>840</v>
      </c>
      <c r="FA2" s="878" t="s">
        <v>841</v>
      </c>
      <c r="FB2" s="878" t="s">
        <v>842</v>
      </c>
      <c r="FC2" s="878" t="s">
        <v>843</v>
      </c>
      <c r="FD2" s="878" t="s">
        <v>844</v>
      </c>
    </row>
    <row r="3" spans="1:162">
      <c r="A3" s="881" t="s">
        <v>87</v>
      </c>
      <c r="B3" s="62">
        <v>1324</v>
      </c>
      <c r="C3" s="62">
        <v>924</v>
      </c>
      <c r="D3" s="62">
        <v>400</v>
      </c>
      <c r="E3" s="62">
        <v>126</v>
      </c>
      <c r="F3" s="62">
        <v>113</v>
      </c>
      <c r="G3" s="62">
        <v>13</v>
      </c>
      <c r="H3" s="62">
        <v>64</v>
      </c>
      <c r="I3" s="62">
        <v>33</v>
      </c>
      <c r="J3" s="62">
        <v>31</v>
      </c>
      <c r="K3" s="62">
        <v>133</v>
      </c>
      <c r="L3" s="62">
        <v>79</v>
      </c>
      <c r="M3" s="62">
        <v>54</v>
      </c>
      <c r="N3" s="62">
        <v>462</v>
      </c>
      <c r="O3" s="62">
        <v>402</v>
      </c>
      <c r="P3" s="62">
        <v>60</v>
      </c>
      <c r="Q3" s="62">
        <v>23</v>
      </c>
      <c r="R3" s="62">
        <v>15</v>
      </c>
      <c r="S3" s="62">
        <v>8</v>
      </c>
      <c r="T3" s="62">
        <v>156</v>
      </c>
      <c r="U3" s="62">
        <v>136</v>
      </c>
      <c r="V3" s="62">
        <v>20</v>
      </c>
      <c r="W3" s="62">
        <v>183</v>
      </c>
      <c r="X3" s="62">
        <v>161</v>
      </c>
      <c r="Y3" s="62">
        <v>22</v>
      </c>
      <c r="Z3" s="62">
        <v>33</v>
      </c>
      <c r="AA3" s="62">
        <v>29</v>
      </c>
      <c r="AB3" s="62">
        <v>4</v>
      </c>
      <c r="AC3" s="62">
        <v>70</v>
      </c>
      <c r="AD3" s="62">
        <v>59</v>
      </c>
      <c r="AE3" s="62">
        <v>11</v>
      </c>
      <c r="AF3" s="62">
        <v>2</v>
      </c>
      <c r="AG3" s="62">
        <v>1</v>
      </c>
      <c r="AH3" s="62">
        <v>1</v>
      </c>
      <c r="AI3" s="62">
        <v>718</v>
      </c>
      <c r="AJ3" s="62">
        <v>566</v>
      </c>
      <c r="AK3" s="62">
        <v>152</v>
      </c>
      <c r="AL3" s="62">
        <v>112</v>
      </c>
      <c r="AM3" s="62">
        <v>108</v>
      </c>
      <c r="AN3" s="62">
        <v>4</v>
      </c>
      <c r="AO3" s="62">
        <v>13</v>
      </c>
      <c r="AP3" s="62">
        <v>9</v>
      </c>
      <c r="AQ3" s="62">
        <v>4</v>
      </c>
      <c r="AR3" s="62">
        <v>34</v>
      </c>
      <c r="AS3" s="62">
        <v>24</v>
      </c>
      <c r="AT3" s="62">
        <v>10</v>
      </c>
      <c r="AU3" s="62">
        <v>159</v>
      </c>
      <c r="AV3" s="62">
        <v>148</v>
      </c>
      <c r="AW3" s="62">
        <v>11</v>
      </c>
      <c r="AX3" s="62">
        <v>3</v>
      </c>
      <c r="AY3" s="62">
        <v>2</v>
      </c>
      <c r="AZ3" s="62">
        <v>1</v>
      </c>
      <c r="BA3" s="62">
        <v>6</v>
      </c>
      <c r="BB3" s="62">
        <v>6</v>
      </c>
      <c r="BC3" s="62">
        <v>0</v>
      </c>
      <c r="BD3" s="62">
        <v>12</v>
      </c>
      <c r="BE3" s="62">
        <v>6</v>
      </c>
      <c r="BF3" s="62">
        <v>6</v>
      </c>
      <c r="BG3" s="62">
        <v>1</v>
      </c>
      <c r="BH3" s="62">
        <v>1</v>
      </c>
      <c r="BI3" s="62">
        <v>0</v>
      </c>
      <c r="BJ3" s="253">
        <v>4</v>
      </c>
      <c r="BK3" s="253">
        <v>3</v>
      </c>
      <c r="BL3" s="253">
        <v>1</v>
      </c>
      <c r="BM3" s="253">
        <v>2</v>
      </c>
      <c r="BN3" s="253">
        <v>2</v>
      </c>
      <c r="BO3" s="253">
        <v>0</v>
      </c>
      <c r="BP3" s="253">
        <v>5</v>
      </c>
      <c r="BQ3" s="253">
        <v>5</v>
      </c>
      <c r="BR3" s="253">
        <v>0</v>
      </c>
      <c r="BS3" s="253"/>
      <c r="BT3" s="253"/>
      <c r="BU3" s="253"/>
      <c r="BV3" s="253">
        <v>14</v>
      </c>
      <c r="BW3" s="253">
        <v>13</v>
      </c>
      <c r="BX3" s="253">
        <v>1</v>
      </c>
      <c r="BY3" s="253">
        <v>25</v>
      </c>
      <c r="BZ3" s="253">
        <v>23</v>
      </c>
      <c r="CA3" s="253">
        <v>2</v>
      </c>
      <c r="CB3" s="253">
        <v>39</v>
      </c>
      <c r="CC3" s="253">
        <v>28</v>
      </c>
      <c r="CD3" s="253">
        <v>11</v>
      </c>
      <c r="CE3" s="253">
        <v>16</v>
      </c>
      <c r="CF3" s="253">
        <v>9</v>
      </c>
      <c r="CG3" s="253">
        <v>7</v>
      </c>
      <c r="CH3" s="253">
        <v>2</v>
      </c>
      <c r="CI3" s="253">
        <v>0</v>
      </c>
      <c r="CJ3" s="253">
        <v>2</v>
      </c>
      <c r="CK3" s="253"/>
      <c r="CL3" s="253"/>
      <c r="CM3" s="253"/>
      <c r="CN3" s="253">
        <v>4</v>
      </c>
      <c r="CO3" s="253">
        <v>4</v>
      </c>
      <c r="CP3" s="253">
        <v>0</v>
      </c>
      <c r="CQ3" s="253">
        <v>5</v>
      </c>
      <c r="CR3" s="253">
        <v>5</v>
      </c>
      <c r="CS3" s="253">
        <v>0</v>
      </c>
      <c r="CT3" s="253">
        <v>9</v>
      </c>
      <c r="CU3" s="253">
        <v>8</v>
      </c>
      <c r="CV3" s="253">
        <v>1</v>
      </c>
      <c r="CW3" s="253">
        <v>10</v>
      </c>
      <c r="CX3" s="253">
        <v>9</v>
      </c>
      <c r="CY3" s="253">
        <v>1</v>
      </c>
      <c r="CZ3" s="253">
        <v>16</v>
      </c>
      <c r="DA3" s="253">
        <v>9</v>
      </c>
      <c r="DB3" s="253">
        <v>7</v>
      </c>
      <c r="DC3" s="253">
        <v>1</v>
      </c>
      <c r="DD3" s="253">
        <v>1</v>
      </c>
      <c r="DE3" s="253">
        <v>0</v>
      </c>
      <c r="DF3" s="253">
        <v>9</v>
      </c>
      <c r="DG3" s="253">
        <v>8</v>
      </c>
      <c r="DH3" s="253">
        <v>1</v>
      </c>
      <c r="DI3" s="253">
        <v>17</v>
      </c>
      <c r="DJ3" s="253">
        <v>11</v>
      </c>
      <c r="DK3" s="253">
        <v>6</v>
      </c>
      <c r="DL3" s="253">
        <v>4</v>
      </c>
      <c r="DM3" s="253">
        <v>2</v>
      </c>
      <c r="DN3" s="253">
        <v>2</v>
      </c>
      <c r="DO3" s="253"/>
      <c r="DP3" s="253"/>
      <c r="DQ3" s="253"/>
      <c r="DR3" s="253"/>
      <c r="DS3" s="253"/>
      <c r="DT3" s="253"/>
      <c r="DU3" s="253">
        <v>2</v>
      </c>
      <c r="DV3" s="253">
        <v>2</v>
      </c>
      <c r="DW3" s="253">
        <v>0</v>
      </c>
      <c r="DX3" s="253">
        <v>6</v>
      </c>
      <c r="DY3" s="253">
        <v>5</v>
      </c>
      <c r="DZ3" s="253">
        <v>1</v>
      </c>
      <c r="EA3" s="253"/>
      <c r="EB3" s="253"/>
      <c r="EC3" s="253"/>
      <c r="ED3" s="253"/>
      <c r="EE3" s="253"/>
      <c r="EF3" s="253"/>
      <c r="EG3" s="253">
        <v>1</v>
      </c>
      <c r="EH3" s="253">
        <v>1</v>
      </c>
      <c r="EI3" s="253">
        <v>0</v>
      </c>
      <c r="EJ3" s="253">
        <v>8</v>
      </c>
      <c r="EK3" s="253">
        <v>7</v>
      </c>
      <c r="EL3" s="253">
        <v>1</v>
      </c>
      <c r="EM3" s="253"/>
      <c r="EN3" s="253"/>
      <c r="EO3" s="253"/>
      <c r="EP3" s="253"/>
      <c r="EQ3" s="253"/>
      <c r="ER3" s="253"/>
      <c r="ES3" s="253"/>
      <c r="ET3" s="253"/>
      <c r="EU3" s="253"/>
      <c r="EV3" s="253"/>
      <c r="EW3" s="253"/>
      <c r="EX3" s="253"/>
      <c r="EY3" s="253">
        <v>8</v>
      </c>
      <c r="EZ3" s="253">
        <v>5</v>
      </c>
      <c r="FA3" s="253">
        <v>3</v>
      </c>
      <c r="FB3" s="253">
        <v>2</v>
      </c>
      <c r="FC3" s="253">
        <v>0</v>
      </c>
      <c r="FD3" s="253">
        <v>2</v>
      </c>
      <c r="FE3" s="63">
        <f>B3+E3+H3+K3+N3+Q3+T3+W3+Z3+AC3+AF3+AI3+AL3+AO3+AR3+AU3+AX3+BA3+BD3+BG3+BJ3+BM3+BP3+BS3+BV3+BY3+CB3+CE3+CH3+CK3+CN3+CQ3+CT3+CW3+CZ3+DC3+DF3+DI3+DL3+DO3+DR3+DU3+DX3+EA3+ED3+EG3+EJ3+EM3+EP3+ES3+EV3+EY3+FB3</f>
        <v>3843</v>
      </c>
      <c r="FF3" s="253" t="b">
        <f>FE3=W33</f>
        <v>1</v>
      </c>
    </row>
    <row r="4" spans="1:162">
      <c r="A4" s="881" t="s">
        <v>88</v>
      </c>
      <c r="B4" s="62">
        <v>3505</v>
      </c>
      <c r="C4" s="62">
        <v>1662</v>
      </c>
      <c r="D4" s="62">
        <v>1843</v>
      </c>
      <c r="E4" s="62">
        <v>661</v>
      </c>
      <c r="F4" s="62">
        <v>362</v>
      </c>
      <c r="G4" s="62">
        <v>299</v>
      </c>
      <c r="H4" s="62">
        <v>85</v>
      </c>
      <c r="I4" s="62">
        <v>44</v>
      </c>
      <c r="J4" s="62">
        <v>41</v>
      </c>
      <c r="K4" s="62">
        <v>589</v>
      </c>
      <c r="L4" s="62">
        <v>129</v>
      </c>
      <c r="M4" s="62">
        <v>460</v>
      </c>
      <c r="N4" s="62">
        <v>1211</v>
      </c>
      <c r="O4" s="62">
        <v>748</v>
      </c>
      <c r="P4" s="62">
        <v>463</v>
      </c>
      <c r="Q4" s="62">
        <v>54</v>
      </c>
      <c r="R4" s="62">
        <v>26</v>
      </c>
      <c r="S4" s="62">
        <v>28</v>
      </c>
      <c r="T4" s="62">
        <v>268</v>
      </c>
      <c r="U4" s="62">
        <v>155</v>
      </c>
      <c r="V4" s="62">
        <v>113</v>
      </c>
      <c r="W4" s="62">
        <v>368</v>
      </c>
      <c r="X4" s="62">
        <v>204</v>
      </c>
      <c r="Y4" s="62">
        <v>164</v>
      </c>
      <c r="Z4" s="62">
        <v>35</v>
      </c>
      <c r="AA4" s="62">
        <v>18</v>
      </c>
      <c r="AB4" s="62">
        <v>17</v>
      </c>
      <c r="AC4" s="62">
        <v>73</v>
      </c>
      <c r="AD4" s="62">
        <v>54</v>
      </c>
      <c r="AE4" s="62">
        <v>19</v>
      </c>
      <c r="AF4" s="62">
        <v>1</v>
      </c>
      <c r="AG4" s="62">
        <v>1</v>
      </c>
      <c r="AH4" s="62">
        <v>0</v>
      </c>
      <c r="AI4" s="62">
        <v>1428</v>
      </c>
      <c r="AJ4" s="62">
        <v>855</v>
      </c>
      <c r="AK4" s="62">
        <v>573</v>
      </c>
      <c r="AL4" s="62">
        <v>581</v>
      </c>
      <c r="AM4" s="62">
        <v>361</v>
      </c>
      <c r="AN4" s="62">
        <v>220</v>
      </c>
      <c r="AO4" s="62">
        <v>26</v>
      </c>
      <c r="AP4" s="62">
        <v>22</v>
      </c>
      <c r="AQ4" s="62">
        <v>4</v>
      </c>
      <c r="AR4" s="62">
        <v>63</v>
      </c>
      <c r="AS4" s="62">
        <v>24</v>
      </c>
      <c r="AT4" s="62">
        <v>39</v>
      </c>
      <c r="AU4" s="62">
        <v>779</v>
      </c>
      <c r="AV4" s="62">
        <v>536</v>
      </c>
      <c r="AW4" s="62">
        <v>243</v>
      </c>
      <c r="AX4" s="62">
        <v>6</v>
      </c>
      <c r="AY4" s="62">
        <v>6</v>
      </c>
      <c r="AZ4" s="62">
        <v>0</v>
      </c>
      <c r="BA4" s="62">
        <v>13</v>
      </c>
      <c r="BB4" s="62">
        <v>6</v>
      </c>
      <c r="BC4" s="62">
        <v>7</v>
      </c>
      <c r="BD4" s="62">
        <v>8</v>
      </c>
      <c r="BE4" s="62">
        <v>3</v>
      </c>
      <c r="BF4" s="62">
        <v>5</v>
      </c>
      <c r="BG4" s="62"/>
      <c r="BH4" s="62"/>
      <c r="BI4" s="62"/>
      <c r="BJ4" s="253">
        <v>12</v>
      </c>
      <c r="BK4" s="253">
        <v>3</v>
      </c>
      <c r="BL4" s="253">
        <v>9</v>
      </c>
      <c r="BM4" s="253">
        <v>6</v>
      </c>
      <c r="BN4" s="253">
        <v>2</v>
      </c>
      <c r="BO4" s="253">
        <v>4</v>
      </c>
      <c r="BP4" s="253">
        <v>3</v>
      </c>
      <c r="BQ4" s="253">
        <v>0</v>
      </c>
      <c r="BR4" s="253">
        <v>3</v>
      </c>
      <c r="BS4" s="253">
        <v>9</v>
      </c>
      <c r="BT4" s="253">
        <v>2</v>
      </c>
      <c r="BU4" s="253">
        <v>7</v>
      </c>
      <c r="BV4" s="253">
        <v>7</v>
      </c>
      <c r="BW4" s="253">
        <v>3</v>
      </c>
      <c r="BX4" s="253">
        <v>4</v>
      </c>
      <c r="BY4" s="253">
        <v>26</v>
      </c>
      <c r="BZ4" s="253">
        <v>14</v>
      </c>
      <c r="CA4" s="253">
        <v>12</v>
      </c>
      <c r="CB4" s="253">
        <v>33</v>
      </c>
      <c r="CC4" s="253">
        <v>15</v>
      </c>
      <c r="CD4" s="253">
        <v>18</v>
      </c>
      <c r="CE4" s="253">
        <v>237</v>
      </c>
      <c r="CF4" s="253">
        <v>170</v>
      </c>
      <c r="CG4" s="253">
        <v>67</v>
      </c>
      <c r="CH4" s="253">
        <v>28</v>
      </c>
      <c r="CI4" s="253">
        <v>15</v>
      </c>
      <c r="CJ4" s="253">
        <v>13</v>
      </c>
      <c r="CK4" s="253">
        <v>3</v>
      </c>
      <c r="CL4" s="253">
        <v>1</v>
      </c>
      <c r="CM4" s="253">
        <v>2</v>
      </c>
      <c r="CN4" s="253">
        <v>9</v>
      </c>
      <c r="CO4" s="253">
        <v>0</v>
      </c>
      <c r="CP4" s="253">
        <v>9</v>
      </c>
      <c r="CQ4" s="253">
        <v>5</v>
      </c>
      <c r="CR4" s="253">
        <v>1</v>
      </c>
      <c r="CS4" s="253">
        <v>4</v>
      </c>
      <c r="CT4" s="253">
        <v>27</v>
      </c>
      <c r="CU4" s="253">
        <v>7</v>
      </c>
      <c r="CV4" s="253">
        <v>20</v>
      </c>
      <c r="CW4" s="253">
        <v>4</v>
      </c>
      <c r="CX4" s="253">
        <v>3</v>
      </c>
      <c r="CY4" s="253">
        <v>1</v>
      </c>
      <c r="CZ4" s="253">
        <v>58</v>
      </c>
      <c r="DA4" s="253">
        <v>25</v>
      </c>
      <c r="DB4" s="253">
        <v>33</v>
      </c>
      <c r="DC4" s="253"/>
      <c r="DD4" s="253"/>
      <c r="DE4" s="253"/>
      <c r="DF4" s="253">
        <v>114</v>
      </c>
      <c r="DG4" s="253">
        <v>31</v>
      </c>
      <c r="DH4" s="253">
        <v>83</v>
      </c>
      <c r="DI4" s="253">
        <v>150</v>
      </c>
      <c r="DJ4" s="253">
        <v>35</v>
      </c>
      <c r="DK4" s="253">
        <v>115</v>
      </c>
      <c r="DL4" s="253">
        <v>13</v>
      </c>
      <c r="DM4" s="253">
        <v>4</v>
      </c>
      <c r="DN4" s="253">
        <v>9</v>
      </c>
      <c r="DO4" s="253"/>
      <c r="DP4" s="253"/>
      <c r="DQ4" s="253"/>
      <c r="DR4" s="253"/>
      <c r="DS4" s="253"/>
      <c r="DT4" s="253"/>
      <c r="DU4" s="253">
        <v>53</v>
      </c>
      <c r="DV4" s="253">
        <v>26</v>
      </c>
      <c r="DW4" s="253">
        <v>27</v>
      </c>
      <c r="DX4" s="253"/>
      <c r="DY4" s="253"/>
      <c r="DZ4" s="253"/>
      <c r="EA4" s="253"/>
      <c r="EB4" s="253"/>
      <c r="EC4" s="253"/>
      <c r="ED4" s="253"/>
      <c r="EE4" s="253"/>
      <c r="EF4" s="253"/>
      <c r="EG4" s="253">
        <v>4</v>
      </c>
      <c r="EH4" s="253">
        <v>0</v>
      </c>
      <c r="EI4" s="253">
        <v>4</v>
      </c>
      <c r="EJ4" s="253">
        <v>20</v>
      </c>
      <c r="EK4" s="253">
        <v>1</v>
      </c>
      <c r="EL4" s="253">
        <v>19</v>
      </c>
      <c r="EM4" s="253">
        <v>1</v>
      </c>
      <c r="EN4" s="253">
        <v>1</v>
      </c>
      <c r="EO4" s="253">
        <v>0</v>
      </c>
      <c r="EP4" s="253"/>
      <c r="EQ4" s="253"/>
      <c r="ER4" s="253"/>
      <c r="ES4" s="253"/>
      <c r="ET4" s="253"/>
      <c r="EU4" s="253"/>
      <c r="EV4" s="253">
        <v>2</v>
      </c>
      <c r="EW4" s="253">
        <v>1</v>
      </c>
      <c r="EX4" s="253">
        <v>1</v>
      </c>
      <c r="EY4" s="253">
        <v>3</v>
      </c>
      <c r="EZ4" s="253">
        <v>1</v>
      </c>
      <c r="FA4" s="253">
        <v>2</v>
      </c>
      <c r="FB4" s="253">
        <v>8</v>
      </c>
      <c r="FC4" s="253">
        <v>0</v>
      </c>
      <c r="FD4" s="253">
        <v>8</v>
      </c>
      <c r="FE4" s="63">
        <f t="shared" ref="FE4:FE30" si="0">B4+E4+H4+K4+N4+Q4+T4+W4+Z4+AC4+AF4+AI4+AL4+AO4+AR4+AU4+AX4+BA4+BD4+BG4+BJ4+BM4+BP4+BS4+BV4+BY4+CB4+CE4+CH4+CK4+CN4+CQ4+CT4+CW4+CZ4+DC4+DF4+DI4+DL4+DO4+DR4+DU4+DX4+EA4+ED4+EG4+EJ4+EM4+EP4+ES4+EV4+EY4+FB4</f>
        <v>10589</v>
      </c>
      <c r="FF4" s="253" t="b">
        <f t="shared" ref="FF4:FF30" si="1">FE4=W34</f>
        <v>1</v>
      </c>
    </row>
    <row r="5" spans="1:162">
      <c r="A5" s="881" t="s">
        <v>90</v>
      </c>
      <c r="B5" s="62">
        <v>2791</v>
      </c>
      <c r="C5" s="62">
        <v>1417</v>
      </c>
      <c r="D5" s="62">
        <v>1374</v>
      </c>
      <c r="E5" s="62">
        <v>190</v>
      </c>
      <c r="F5" s="62">
        <v>141</v>
      </c>
      <c r="G5" s="62">
        <v>49</v>
      </c>
      <c r="H5" s="62">
        <v>167</v>
      </c>
      <c r="I5" s="62">
        <v>107</v>
      </c>
      <c r="J5" s="62">
        <v>60</v>
      </c>
      <c r="K5" s="62">
        <v>732</v>
      </c>
      <c r="L5" s="62">
        <v>198</v>
      </c>
      <c r="M5" s="62">
        <v>534</v>
      </c>
      <c r="N5" s="62">
        <v>1297</v>
      </c>
      <c r="O5" s="62">
        <v>871</v>
      </c>
      <c r="P5" s="62">
        <v>426</v>
      </c>
      <c r="Q5" s="62">
        <v>59</v>
      </c>
      <c r="R5" s="62">
        <v>37</v>
      </c>
      <c r="S5" s="62">
        <v>22</v>
      </c>
      <c r="T5" s="62">
        <v>476</v>
      </c>
      <c r="U5" s="62">
        <v>219</v>
      </c>
      <c r="V5" s="62">
        <v>257</v>
      </c>
      <c r="W5" s="62">
        <v>321</v>
      </c>
      <c r="X5" s="62">
        <v>191</v>
      </c>
      <c r="Y5" s="62">
        <v>130</v>
      </c>
      <c r="Z5" s="62">
        <v>70</v>
      </c>
      <c r="AA5" s="62">
        <v>45</v>
      </c>
      <c r="AB5" s="62">
        <v>25</v>
      </c>
      <c r="AC5" s="62">
        <v>127</v>
      </c>
      <c r="AD5" s="62">
        <v>61</v>
      </c>
      <c r="AE5" s="62">
        <v>66</v>
      </c>
      <c r="AF5" s="62">
        <v>12</v>
      </c>
      <c r="AG5" s="62">
        <v>7</v>
      </c>
      <c r="AH5" s="62">
        <v>5</v>
      </c>
      <c r="AI5" s="62">
        <v>1196</v>
      </c>
      <c r="AJ5" s="62">
        <v>696</v>
      </c>
      <c r="AK5" s="62">
        <v>500</v>
      </c>
      <c r="AL5" s="62">
        <v>171</v>
      </c>
      <c r="AM5" s="62">
        <v>124</v>
      </c>
      <c r="AN5" s="62">
        <v>47</v>
      </c>
      <c r="AO5" s="62">
        <v>51</v>
      </c>
      <c r="AP5" s="62">
        <v>31</v>
      </c>
      <c r="AQ5" s="62">
        <v>20</v>
      </c>
      <c r="AR5" s="62">
        <v>226</v>
      </c>
      <c r="AS5" s="62">
        <v>83</v>
      </c>
      <c r="AT5" s="62">
        <v>143</v>
      </c>
      <c r="AU5" s="62">
        <v>573</v>
      </c>
      <c r="AV5" s="62">
        <v>357</v>
      </c>
      <c r="AW5" s="62">
        <v>216</v>
      </c>
      <c r="AX5" s="62">
        <v>13</v>
      </c>
      <c r="AY5" s="62">
        <v>9</v>
      </c>
      <c r="AZ5" s="62">
        <v>4</v>
      </c>
      <c r="BA5" s="62">
        <v>23</v>
      </c>
      <c r="BB5" s="62">
        <v>14</v>
      </c>
      <c r="BC5" s="62">
        <v>9</v>
      </c>
      <c r="BD5" s="62">
        <v>31</v>
      </c>
      <c r="BE5" s="62">
        <v>19</v>
      </c>
      <c r="BF5" s="62">
        <v>12</v>
      </c>
      <c r="BG5" s="62">
        <v>7</v>
      </c>
      <c r="BH5" s="62">
        <v>5</v>
      </c>
      <c r="BI5" s="62">
        <v>2</v>
      </c>
      <c r="BJ5" s="253">
        <v>37</v>
      </c>
      <c r="BK5" s="253">
        <v>18</v>
      </c>
      <c r="BL5" s="253">
        <v>19</v>
      </c>
      <c r="BM5" s="253">
        <v>11</v>
      </c>
      <c r="BN5" s="253">
        <v>9</v>
      </c>
      <c r="BO5" s="253">
        <v>2</v>
      </c>
      <c r="BP5" s="253"/>
      <c r="BQ5" s="253"/>
      <c r="BR5" s="253"/>
      <c r="BS5" s="253">
        <v>9</v>
      </c>
      <c r="BT5" s="253">
        <v>6</v>
      </c>
      <c r="BU5" s="253">
        <v>3</v>
      </c>
      <c r="BV5" s="253">
        <v>12</v>
      </c>
      <c r="BW5" s="253">
        <v>4</v>
      </c>
      <c r="BX5" s="253">
        <v>8</v>
      </c>
      <c r="BY5" s="253">
        <v>45</v>
      </c>
      <c r="BZ5" s="253">
        <v>10</v>
      </c>
      <c r="CA5" s="253">
        <v>35</v>
      </c>
      <c r="CB5" s="253">
        <v>63</v>
      </c>
      <c r="CC5" s="253">
        <v>32</v>
      </c>
      <c r="CD5" s="253">
        <v>31</v>
      </c>
      <c r="CE5" s="253">
        <v>35</v>
      </c>
      <c r="CF5" s="253">
        <v>25</v>
      </c>
      <c r="CG5" s="253">
        <v>10</v>
      </c>
      <c r="CH5" s="253">
        <v>49</v>
      </c>
      <c r="CI5" s="253">
        <v>27</v>
      </c>
      <c r="CJ5" s="253">
        <v>22</v>
      </c>
      <c r="CK5" s="253"/>
      <c r="CL5" s="253"/>
      <c r="CM5" s="253"/>
      <c r="CN5" s="253">
        <v>2</v>
      </c>
      <c r="CO5" s="253">
        <v>1</v>
      </c>
      <c r="CP5" s="253">
        <v>1</v>
      </c>
      <c r="CQ5" s="253">
        <v>11</v>
      </c>
      <c r="CR5" s="253">
        <v>3</v>
      </c>
      <c r="CS5" s="253">
        <v>8</v>
      </c>
      <c r="CT5" s="253">
        <v>13</v>
      </c>
      <c r="CU5" s="253">
        <v>3</v>
      </c>
      <c r="CV5" s="253">
        <v>10</v>
      </c>
      <c r="CW5" s="253">
        <v>6</v>
      </c>
      <c r="CX5" s="253">
        <v>4</v>
      </c>
      <c r="CY5" s="253">
        <v>2</v>
      </c>
      <c r="CZ5" s="253">
        <v>32</v>
      </c>
      <c r="DA5" s="253">
        <v>13</v>
      </c>
      <c r="DB5" s="253">
        <v>19</v>
      </c>
      <c r="DC5" s="253">
        <v>4</v>
      </c>
      <c r="DD5" s="253">
        <v>1</v>
      </c>
      <c r="DE5" s="253">
        <v>3</v>
      </c>
      <c r="DF5" s="253">
        <v>59</v>
      </c>
      <c r="DG5" s="253">
        <v>15</v>
      </c>
      <c r="DH5" s="253">
        <v>44</v>
      </c>
      <c r="DI5" s="253">
        <v>203</v>
      </c>
      <c r="DJ5" s="253">
        <v>116</v>
      </c>
      <c r="DK5" s="253">
        <v>87</v>
      </c>
      <c r="DL5" s="253">
        <v>16</v>
      </c>
      <c r="DM5" s="253">
        <v>9</v>
      </c>
      <c r="DN5" s="253">
        <v>7</v>
      </c>
      <c r="DO5" s="253"/>
      <c r="DP5" s="253"/>
      <c r="DQ5" s="253"/>
      <c r="DR5" s="253"/>
      <c r="DS5" s="253"/>
      <c r="DT5" s="253"/>
      <c r="DU5" s="253">
        <v>19</v>
      </c>
      <c r="DV5" s="253">
        <v>7</v>
      </c>
      <c r="DW5" s="253">
        <v>12</v>
      </c>
      <c r="DX5" s="253">
        <v>1</v>
      </c>
      <c r="DY5" s="253">
        <v>1</v>
      </c>
      <c r="DZ5" s="253">
        <v>0</v>
      </c>
      <c r="EA5" s="253"/>
      <c r="EB5" s="253"/>
      <c r="EC5" s="253"/>
      <c r="ED5" s="253"/>
      <c r="EE5" s="253"/>
      <c r="EF5" s="253"/>
      <c r="EG5" s="253">
        <v>7</v>
      </c>
      <c r="EH5" s="253">
        <v>3</v>
      </c>
      <c r="EI5" s="253">
        <v>4</v>
      </c>
      <c r="EJ5" s="253">
        <v>54</v>
      </c>
      <c r="EK5" s="253">
        <v>2</v>
      </c>
      <c r="EL5" s="253">
        <v>52</v>
      </c>
      <c r="EM5" s="253">
        <v>16</v>
      </c>
      <c r="EN5" s="253">
        <v>14</v>
      </c>
      <c r="EO5" s="253">
        <v>2</v>
      </c>
      <c r="EP5" s="253">
        <v>1</v>
      </c>
      <c r="EQ5" s="253">
        <v>0</v>
      </c>
      <c r="ER5" s="253">
        <v>1</v>
      </c>
      <c r="ES5" s="253">
        <v>1</v>
      </c>
      <c r="ET5" s="253">
        <v>1</v>
      </c>
      <c r="EU5" s="253">
        <v>0</v>
      </c>
      <c r="EV5" s="253">
        <v>3</v>
      </c>
      <c r="EW5" s="253">
        <v>1</v>
      </c>
      <c r="EX5" s="253">
        <v>2</v>
      </c>
      <c r="EY5" s="253">
        <v>4</v>
      </c>
      <c r="EZ5" s="253">
        <v>0</v>
      </c>
      <c r="FA5" s="253">
        <v>4</v>
      </c>
      <c r="FB5" s="253">
        <v>26</v>
      </c>
      <c r="FC5" s="253">
        <v>21</v>
      </c>
      <c r="FD5" s="253">
        <v>5</v>
      </c>
      <c r="FE5" s="63">
        <f t="shared" si="0"/>
        <v>9272</v>
      </c>
      <c r="FF5" s="253" t="b">
        <f t="shared" si="1"/>
        <v>1</v>
      </c>
    </row>
    <row r="6" spans="1:162">
      <c r="A6" s="881" t="s">
        <v>89</v>
      </c>
      <c r="B6" s="62">
        <v>1712</v>
      </c>
      <c r="C6" s="62">
        <v>1169</v>
      </c>
      <c r="D6" s="62">
        <v>543</v>
      </c>
      <c r="E6" s="62">
        <v>372</v>
      </c>
      <c r="F6" s="62">
        <v>312</v>
      </c>
      <c r="G6" s="62">
        <v>60</v>
      </c>
      <c r="H6" s="62">
        <v>24</v>
      </c>
      <c r="I6" s="62">
        <v>20</v>
      </c>
      <c r="J6" s="62">
        <v>4</v>
      </c>
      <c r="K6" s="62">
        <v>65</v>
      </c>
      <c r="L6" s="62">
        <v>24</v>
      </c>
      <c r="M6" s="62">
        <v>41</v>
      </c>
      <c r="N6" s="62">
        <v>1371</v>
      </c>
      <c r="O6" s="62">
        <v>1000</v>
      </c>
      <c r="P6" s="62">
        <v>371</v>
      </c>
      <c r="Q6" s="62">
        <v>40</v>
      </c>
      <c r="R6" s="62">
        <v>27</v>
      </c>
      <c r="S6" s="62">
        <v>13</v>
      </c>
      <c r="T6" s="62">
        <v>219</v>
      </c>
      <c r="U6" s="62">
        <v>169</v>
      </c>
      <c r="V6" s="62">
        <v>50</v>
      </c>
      <c r="W6" s="62">
        <v>43</v>
      </c>
      <c r="X6" s="62">
        <v>33</v>
      </c>
      <c r="Y6" s="62">
        <v>10</v>
      </c>
      <c r="Z6" s="62">
        <v>35</v>
      </c>
      <c r="AA6" s="62">
        <v>20</v>
      </c>
      <c r="AB6" s="62">
        <v>15</v>
      </c>
      <c r="AC6" s="62">
        <v>62</v>
      </c>
      <c r="AD6" s="62">
        <v>49</v>
      </c>
      <c r="AE6" s="62">
        <v>13</v>
      </c>
      <c r="AF6" s="62">
        <v>4</v>
      </c>
      <c r="AG6" s="62">
        <v>4</v>
      </c>
      <c r="AH6" s="62">
        <v>0</v>
      </c>
      <c r="AI6" s="62">
        <v>1025</v>
      </c>
      <c r="AJ6" s="62">
        <v>789</v>
      </c>
      <c r="AK6" s="62">
        <v>236</v>
      </c>
      <c r="AL6" s="62">
        <v>408</v>
      </c>
      <c r="AM6" s="62">
        <v>359</v>
      </c>
      <c r="AN6" s="62">
        <v>49</v>
      </c>
      <c r="AO6" s="62">
        <v>24</v>
      </c>
      <c r="AP6" s="62">
        <v>22</v>
      </c>
      <c r="AQ6" s="62">
        <v>2</v>
      </c>
      <c r="AR6" s="62">
        <v>16</v>
      </c>
      <c r="AS6" s="62">
        <v>12</v>
      </c>
      <c r="AT6" s="62">
        <v>4</v>
      </c>
      <c r="AU6" s="62">
        <v>775</v>
      </c>
      <c r="AV6" s="62">
        <v>632</v>
      </c>
      <c r="AW6" s="62">
        <v>143</v>
      </c>
      <c r="AX6" s="62">
        <v>14</v>
      </c>
      <c r="AY6" s="62">
        <v>13</v>
      </c>
      <c r="AZ6" s="62">
        <v>1</v>
      </c>
      <c r="BA6" s="62">
        <v>12</v>
      </c>
      <c r="BB6" s="62">
        <v>8</v>
      </c>
      <c r="BC6" s="62">
        <v>4</v>
      </c>
      <c r="BD6" s="62">
        <v>28</v>
      </c>
      <c r="BE6" s="62">
        <v>26</v>
      </c>
      <c r="BF6" s="62">
        <v>2</v>
      </c>
      <c r="BG6" s="62">
        <v>1</v>
      </c>
      <c r="BH6" s="62">
        <v>1</v>
      </c>
      <c r="BI6" s="62">
        <v>0</v>
      </c>
      <c r="BJ6" s="253">
        <v>5</v>
      </c>
      <c r="BK6" s="253">
        <v>2</v>
      </c>
      <c r="BL6" s="253">
        <v>3</v>
      </c>
      <c r="BM6" s="253">
        <v>2</v>
      </c>
      <c r="BN6" s="253">
        <v>1</v>
      </c>
      <c r="BO6" s="253">
        <v>1</v>
      </c>
      <c r="BP6" s="253">
        <v>6</v>
      </c>
      <c r="BQ6" s="253">
        <v>2</v>
      </c>
      <c r="BR6" s="253">
        <v>4</v>
      </c>
      <c r="BS6" s="253">
        <v>2</v>
      </c>
      <c r="BT6" s="253">
        <v>1</v>
      </c>
      <c r="BU6" s="253">
        <v>1</v>
      </c>
      <c r="BV6" s="253">
        <v>2</v>
      </c>
      <c r="BW6" s="253">
        <v>2</v>
      </c>
      <c r="BX6" s="253">
        <v>0</v>
      </c>
      <c r="BY6" s="253">
        <v>115</v>
      </c>
      <c r="BZ6" s="253">
        <v>94</v>
      </c>
      <c r="CA6" s="253">
        <v>21</v>
      </c>
      <c r="CB6" s="253">
        <v>73</v>
      </c>
      <c r="CC6" s="253">
        <v>54</v>
      </c>
      <c r="CD6" s="253">
        <v>19</v>
      </c>
      <c r="CE6" s="253">
        <v>11</v>
      </c>
      <c r="CF6" s="253">
        <v>9</v>
      </c>
      <c r="CG6" s="253">
        <v>2</v>
      </c>
      <c r="CH6" s="253">
        <v>62</v>
      </c>
      <c r="CI6" s="253">
        <v>41</v>
      </c>
      <c r="CJ6" s="253">
        <v>21</v>
      </c>
      <c r="CK6" s="253"/>
      <c r="CL6" s="253"/>
      <c r="CM6" s="253"/>
      <c r="CN6" s="253"/>
      <c r="CO6" s="253"/>
      <c r="CP6" s="253"/>
      <c r="CQ6" s="253"/>
      <c r="CR6" s="253"/>
      <c r="CS6" s="253"/>
      <c r="CT6" s="253">
        <v>2</v>
      </c>
      <c r="CU6" s="253">
        <v>1</v>
      </c>
      <c r="CV6" s="253">
        <v>1</v>
      </c>
      <c r="CW6" s="253">
        <v>3</v>
      </c>
      <c r="CX6" s="253">
        <v>1</v>
      </c>
      <c r="CY6" s="253">
        <v>2</v>
      </c>
      <c r="CZ6" s="253">
        <v>10</v>
      </c>
      <c r="DA6" s="253">
        <v>7</v>
      </c>
      <c r="DB6" s="253">
        <v>3</v>
      </c>
      <c r="DC6" s="253"/>
      <c r="DD6" s="253"/>
      <c r="DE6" s="253"/>
      <c r="DF6" s="253">
        <v>13</v>
      </c>
      <c r="DG6" s="253">
        <v>6</v>
      </c>
      <c r="DH6" s="253">
        <v>7</v>
      </c>
      <c r="DI6" s="253">
        <v>9</v>
      </c>
      <c r="DJ6" s="253">
        <v>7</v>
      </c>
      <c r="DK6" s="253">
        <v>2</v>
      </c>
      <c r="DL6" s="253">
        <v>5</v>
      </c>
      <c r="DM6" s="253">
        <v>3</v>
      </c>
      <c r="DN6" s="253">
        <v>2</v>
      </c>
      <c r="DO6" s="253"/>
      <c r="DP6" s="253"/>
      <c r="DQ6" s="253"/>
      <c r="DR6" s="253"/>
      <c r="DS6" s="253"/>
      <c r="DT6" s="253"/>
      <c r="DU6" s="253">
        <v>5</v>
      </c>
      <c r="DV6" s="253">
        <v>0</v>
      </c>
      <c r="DW6" s="253">
        <v>5</v>
      </c>
      <c r="DX6" s="253"/>
      <c r="DY6" s="253"/>
      <c r="DZ6" s="253"/>
      <c r="EA6" s="253"/>
      <c r="EB6" s="253"/>
      <c r="EC6" s="253"/>
      <c r="ED6" s="253"/>
      <c r="EE6" s="253"/>
      <c r="EF6" s="253"/>
      <c r="EG6" s="253">
        <v>2</v>
      </c>
      <c r="EH6" s="253">
        <v>2</v>
      </c>
      <c r="EI6" s="253">
        <v>0</v>
      </c>
      <c r="EJ6" s="253">
        <v>5</v>
      </c>
      <c r="EK6" s="253">
        <v>5</v>
      </c>
      <c r="EL6" s="253">
        <v>0</v>
      </c>
      <c r="EM6" s="253"/>
      <c r="EN6" s="253"/>
      <c r="EO6" s="253"/>
      <c r="EP6" s="253"/>
      <c r="EQ6" s="253"/>
      <c r="ER6" s="253"/>
      <c r="ES6" s="253"/>
      <c r="ET6" s="253"/>
      <c r="EU6" s="253"/>
      <c r="EV6" s="253">
        <v>1</v>
      </c>
      <c r="EW6" s="253">
        <v>1</v>
      </c>
      <c r="EX6" s="253">
        <v>0</v>
      </c>
      <c r="EY6" s="253">
        <v>7</v>
      </c>
      <c r="EZ6" s="253">
        <v>7</v>
      </c>
      <c r="FA6" s="253">
        <v>0</v>
      </c>
      <c r="FB6" s="253">
        <v>4</v>
      </c>
      <c r="FC6" s="253">
        <v>2</v>
      </c>
      <c r="FD6" s="253">
        <v>2</v>
      </c>
      <c r="FE6" s="63">
        <f t="shared" si="0"/>
        <v>6594</v>
      </c>
      <c r="FF6" s="253" t="b">
        <f t="shared" si="1"/>
        <v>1</v>
      </c>
    </row>
    <row r="7" spans="1:162">
      <c r="A7" s="881" t="s">
        <v>91</v>
      </c>
      <c r="B7" s="62">
        <v>8930</v>
      </c>
      <c r="C7" s="62">
        <v>4735</v>
      </c>
      <c r="D7" s="62">
        <v>4195</v>
      </c>
      <c r="E7" s="62">
        <v>1013</v>
      </c>
      <c r="F7" s="62">
        <v>653</v>
      </c>
      <c r="G7" s="62">
        <v>360</v>
      </c>
      <c r="H7" s="62">
        <v>248</v>
      </c>
      <c r="I7" s="62">
        <v>108</v>
      </c>
      <c r="J7" s="62">
        <v>140</v>
      </c>
      <c r="K7" s="62">
        <v>1266</v>
      </c>
      <c r="L7" s="62">
        <v>344</v>
      </c>
      <c r="M7" s="62">
        <v>922</v>
      </c>
      <c r="N7" s="62">
        <v>1950</v>
      </c>
      <c r="O7" s="62">
        <v>1192</v>
      </c>
      <c r="P7" s="62">
        <v>758</v>
      </c>
      <c r="Q7" s="62">
        <v>181</v>
      </c>
      <c r="R7" s="62">
        <v>113</v>
      </c>
      <c r="S7" s="62">
        <v>68</v>
      </c>
      <c r="T7" s="62">
        <v>809</v>
      </c>
      <c r="U7" s="62">
        <v>465</v>
      </c>
      <c r="V7" s="62">
        <v>344</v>
      </c>
      <c r="W7" s="62">
        <v>1131</v>
      </c>
      <c r="X7" s="62">
        <v>699</v>
      </c>
      <c r="Y7" s="62">
        <v>432</v>
      </c>
      <c r="Z7" s="62">
        <v>158</v>
      </c>
      <c r="AA7" s="62">
        <v>99</v>
      </c>
      <c r="AB7" s="62">
        <v>59</v>
      </c>
      <c r="AC7" s="62">
        <v>285</v>
      </c>
      <c r="AD7" s="62">
        <v>194</v>
      </c>
      <c r="AE7" s="62">
        <v>91</v>
      </c>
      <c r="AF7" s="62">
        <v>32</v>
      </c>
      <c r="AG7" s="62">
        <v>24</v>
      </c>
      <c r="AH7" s="62">
        <v>8</v>
      </c>
      <c r="AI7" s="62">
        <v>3436</v>
      </c>
      <c r="AJ7" s="62">
        <v>1990</v>
      </c>
      <c r="AK7" s="62">
        <v>1446</v>
      </c>
      <c r="AL7" s="62">
        <v>936</v>
      </c>
      <c r="AM7" s="62">
        <v>597</v>
      </c>
      <c r="AN7" s="62">
        <v>339</v>
      </c>
      <c r="AO7" s="62">
        <v>104</v>
      </c>
      <c r="AP7" s="62">
        <v>73</v>
      </c>
      <c r="AQ7" s="62">
        <v>31</v>
      </c>
      <c r="AR7" s="62">
        <v>347</v>
      </c>
      <c r="AS7" s="62">
        <v>139</v>
      </c>
      <c r="AT7" s="62">
        <v>208</v>
      </c>
      <c r="AU7" s="62">
        <v>1304</v>
      </c>
      <c r="AV7" s="62">
        <v>777</v>
      </c>
      <c r="AW7" s="62">
        <v>527</v>
      </c>
      <c r="AX7" s="62">
        <v>23</v>
      </c>
      <c r="AY7" s="62">
        <v>17</v>
      </c>
      <c r="AZ7" s="62">
        <v>6</v>
      </c>
      <c r="BA7" s="62">
        <v>45</v>
      </c>
      <c r="BB7" s="62">
        <v>33</v>
      </c>
      <c r="BC7" s="62">
        <v>12</v>
      </c>
      <c r="BD7" s="62">
        <v>49</v>
      </c>
      <c r="BE7" s="62">
        <v>35</v>
      </c>
      <c r="BF7" s="62">
        <v>14</v>
      </c>
      <c r="BG7" s="62">
        <v>15</v>
      </c>
      <c r="BH7" s="62">
        <v>8</v>
      </c>
      <c r="BI7" s="62">
        <v>7</v>
      </c>
      <c r="BJ7" s="253">
        <v>129</v>
      </c>
      <c r="BK7" s="253">
        <v>87</v>
      </c>
      <c r="BL7" s="253">
        <v>42</v>
      </c>
      <c r="BM7" s="253">
        <v>29</v>
      </c>
      <c r="BN7" s="253">
        <v>15</v>
      </c>
      <c r="BO7" s="253">
        <v>14</v>
      </c>
      <c r="BP7" s="253">
        <v>6</v>
      </c>
      <c r="BQ7" s="253">
        <v>5</v>
      </c>
      <c r="BR7" s="253">
        <v>1</v>
      </c>
      <c r="BS7" s="253">
        <v>37</v>
      </c>
      <c r="BT7" s="253">
        <v>16</v>
      </c>
      <c r="BU7" s="253">
        <v>21</v>
      </c>
      <c r="BV7" s="253">
        <v>78</v>
      </c>
      <c r="BW7" s="253">
        <v>62</v>
      </c>
      <c r="BX7" s="253">
        <v>16</v>
      </c>
      <c r="BY7" s="253">
        <v>145</v>
      </c>
      <c r="BZ7" s="253">
        <v>89</v>
      </c>
      <c r="CA7" s="253">
        <v>56</v>
      </c>
      <c r="CB7" s="253">
        <v>136</v>
      </c>
      <c r="CC7" s="253">
        <v>60</v>
      </c>
      <c r="CD7" s="253">
        <v>76</v>
      </c>
      <c r="CE7" s="253">
        <v>157</v>
      </c>
      <c r="CF7" s="253">
        <v>105</v>
      </c>
      <c r="CG7" s="253">
        <v>52</v>
      </c>
      <c r="CH7" s="253">
        <v>136</v>
      </c>
      <c r="CI7" s="253">
        <v>84</v>
      </c>
      <c r="CJ7" s="253">
        <v>52</v>
      </c>
      <c r="CK7" s="253">
        <v>10</v>
      </c>
      <c r="CL7" s="253">
        <v>6</v>
      </c>
      <c r="CM7" s="253">
        <v>4</v>
      </c>
      <c r="CN7" s="253">
        <v>13</v>
      </c>
      <c r="CO7" s="253">
        <v>3</v>
      </c>
      <c r="CP7" s="253">
        <v>10</v>
      </c>
      <c r="CQ7" s="253">
        <v>27</v>
      </c>
      <c r="CR7" s="253">
        <v>17</v>
      </c>
      <c r="CS7" s="253">
        <v>10</v>
      </c>
      <c r="CT7" s="253">
        <v>93</v>
      </c>
      <c r="CU7" s="253">
        <v>43</v>
      </c>
      <c r="CV7" s="253">
        <v>50</v>
      </c>
      <c r="CW7" s="253">
        <v>51</v>
      </c>
      <c r="CX7" s="253">
        <v>24</v>
      </c>
      <c r="CY7" s="253">
        <v>27</v>
      </c>
      <c r="CZ7" s="253">
        <v>267</v>
      </c>
      <c r="DA7" s="253">
        <v>147</v>
      </c>
      <c r="DB7" s="253">
        <v>120</v>
      </c>
      <c r="DC7" s="253">
        <v>15</v>
      </c>
      <c r="DD7" s="253">
        <v>7</v>
      </c>
      <c r="DE7" s="253">
        <v>8</v>
      </c>
      <c r="DF7" s="253">
        <v>230</v>
      </c>
      <c r="DG7" s="253">
        <v>79</v>
      </c>
      <c r="DH7" s="253">
        <v>151</v>
      </c>
      <c r="DI7" s="253">
        <v>506</v>
      </c>
      <c r="DJ7" s="253">
        <v>270</v>
      </c>
      <c r="DK7" s="253">
        <v>236</v>
      </c>
      <c r="DL7" s="253">
        <v>57</v>
      </c>
      <c r="DM7" s="253">
        <v>24</v>
      </c>
      <c r="DN7" s="253">
        <v>33</v>
      </c>
      <c r="DO7" s="253"/>
      <c r="DP7" s="253"/>
      <c r="DQ7" s="253"/>
      <c r="DR7" s="253">
        <v>2</v>
      </c>
      <c r="DS7" s="253">
        <v>2</v>
      </c>
      <c r="DT7" s="253">
        <v>0</v>
      </c>
      <c r="DU7" s="253">
        <v>115</v>
      </c>
      <c r="DV7" s="253">
        <v>73</v>
      </c>
      <c r="DW7" s="253">
        <v>42</v>
      </c>
      <c r="DX7" s="253">
        <v>8</v>
      </c>
      <c r="DY7" s="253">
        <v>7</v>
      </c>
      <c r="DZ7" s="253">
        <v>1</v>
      </c>
      <c r="EA7" s="253">
        <v>2</v>
      </c>
      <c r="EB7" s="253">
        <v>2</v>
      </c>
      <c r="EC7" s="253">
        <v>0</v>
      </c>
      <c r="ED7" s="253">
        <v>10</v>
      </c>
      <c r="EE7" s="253">
        <v>0</v>
      </c>
      <c r="EF7" s="253">
        <v>10</v>
      </c>
      <c r="EG7" s="253">
        <v>22</v>
      </c>
      <c r="EH7" s="253">
        <v>12</v>
      </c>
      <c r="EI7" s="253">
        <v>10</v>
      </c>
      <c r="EJ7" s="253">
        <v>88</v>
      </c>
      <c r="EK7" s="253">
        <v>32</v>
      </c>
      <c r="EL7" s="253">
        <v>56</v>
      </c>
      <c r="EM7" s="253">
        <v>9</v>
      </c>
      <c r="EN7" s="253">
        <v>9</v>
      </c>
      <c r="EO7" s="253">
        <v>0</v>
      </c>
      <c r="EP7" s="253">
        <v>1</v>
      </c>
      <c r="EQ7" s="253">
        <v>1</v>
      </c>
      <c r="ER7" s="253">
        <v>0</v>
      </c>
      <c r="ES7" s="253">
        <v>3</v>
      </c>
      <c r="ET7" s="253">
        <v>2</v>
      </c>
      <c r="EU7" s="253">
        <v>1</v>
      </c>
      <c r="EV7" s="253">
        <v>6</v>
      </c>
      <c r="EW7" s="253">
        <v>2</v>
      </c>
      <c r="EX7" s="253">
        <v>4</v>
      </c>
      <c r="EY7" s="253">
        <v>22</v>
      </c>
      <c r="EZ7" s="253">
        <v>14</v>
      </c>
      <c r="FA7" s="253">
        <v>8</v>
      </c>
      <c r="FB7" s="253">
        <v>42</v>
      </c>
      <c r="FC7" s="253">
        <v>10</v>
      </c>
      <c r="FD7" s="253">
        <v>32</v>
      </c>
      <c r="FE7" s="63">
        <f t="shared" si="0"/>
        <v>24714</v>
      </c>
      <c r="FF7" s="253" t="b">
        <f t="shared" si="1"/>
        <v>1</v>
      </c>
    </row>
    <row r="8" spans="1:162">
      <c r="A8" s="881" t="s">
        <v>92</v>
      </c>
      <c r="B8" s="62">
        <v>5002</v>
      </c>
      <c r="C8" s="62">
        <v>2954</v>
      </c>
      <c r="D8" s="62">
        <v>2048</v>
      </c>
      <c r="E8" s="62">
        <v>1173</v>
      </c>
      <c r="F8" s="62">
        <v>865</v>
      </c>
      <c r="G8" s="62">
        <v>308</v>
      </c>
      <c r="H8" s="62">
        <v>226</v>
      </c>
      <c r="I8" s="62">
        <v>117</v>
      </c>
      <c r="J8" s="62">
        <v>109</v>
      </c>
      <c r="K8" s="62">
        <v>1223</v>
      </c>
      <c r="L8" s="62">
        <v>355</v>
      </c>
      <c r="M8" s="62">
        <v>868</v>
      </c>
      <c r="N8" s="62">
        <v>2407</v>
      </c>
      <c r="O8" s="62">
        <v>1639</v>
      </c>
      <c r="P8" s="62">
        <v>768</v>
      </c>
      <c r="Q8" s="62">
        <v>178</v>
      </c>
      <c r="R8" s="62">
        <v>121</v>
      </c>
      <c r="S8" s="62">
        <v>57</v>
      </c>
      <c r="T8" s="62">
        <v>515</v>
      </c>
      <c r="U8" s="62">
        <v>359</v>
      </c>
      <c r="V8" s="62">
        <v>156</v>
      </c>
      <c r="W8" s="62">
        <v>610</v>
      </c>
      <c r="X8" s="62">
        <v>390</v>
      </c>
      <c r="Y8" s="62">
        <v>220</v>
      </c>
      <c r="Z8" s="62">
        <v>152</v>
      </c>
      <c r="AA8" s="62">
        <v>128</v>
      </c>
      <c r="AB8" s="62">
        <v>24</v>
      </c>
      <c r="AC8" s="62">
        <v>203</v>
      </c>
      <c r="AD8" s="62">
        <v>139</v>
      </c>
      <c r="AE8" s="62">
        <v>64</v>
      </c>
      <c r="AF8" s="62">
        <v>17</v>
      </c>
      <c r="AG8" s="62">
        <v>16</v>
      </c>
      <c r="AH8" s="62">
        <v>1</v>
      </c>
      <c r="AI8" s="62">
        <v>2157</v>
      </c>
      <c r="AJ8" s="62">
        <v>1440</v>
      </c>
      <c r="AK8" s="62">
        <v>717</v>
      </c>
      <c r="AL8" s="62">
        <v>922</v>
      </c>
      <c r="AM8" s="62">
        <v>681</v>
      </c>
      <c r="AN8" s="62">
        <v>241</v>
      </c>
      <c r="AO8" s="62">
        <v>125</v>
      </c>
      <c r="AP8" s="62">
        <v>79</v>
      </c>
      <c r="AQ8" s="62">
        <v>46</v>
      </c>
      <c r="AR8" s="62">
        <v>270</v>
      </c>
      <c r="AS8" s="62">
        <v>97</v>
      </c>
      <c r="AT8" s="62">
        <v>173</v>
      </c>
      <c r="AU8" s="62">
        <v>1207</v>
      </c>
      <c r="AV8" s="62">
        <v>831</v>
      </c>
      <c r="AW8" s="62">
        <v>376</v>
      </c>
      <c r="AX8" s="62">
        <v>12</v>
      </c>
      <c r="AY8" s="62">
        <v>9</v>
      </c>
      <c r="AZ8" s="62">
        <v>3</v>
      </c>
      <c r="BA8" s="62">
        <v>9</v>
      </c>
      <c r="BB8" s="62">
        <v>7</v>
      </c>
      <c r="BC8" s="62">
        <v>2</v>
      </c>
      <c r="BD8" s="62">
        <v>28</v>
      </c>
      <c r="BE8" s="62">
        <v>21</v>
      </c>
      <c r="BF8" s="62">
        <v>7</v>
      </c>
      <c r="BG8" s="62">
        <v>3</v>
      </c>
      <c r="BH8" s="62">
        <v>3</v>
      </c>
      <c r="BI8" s="62">
        <v>0</v>
      </c>
      <c r="BJ8" s="253">
        <v>101</v>
      </c>
      <c r="BK8" s="253">
        <v>64</v>
      </c>
      <c r="BL8" s="253">
        <v>37</v>
      </c>
      <c r="BM8" s="253">
        <v>21</v>
      </c>
      <c r="BN8" s="253">
        <v>15</v>
      </c>
      <c r="BO8" s="253">
        <v>6</v>
      </c>
      <c r="BP8" s="253">
        <v>10</v>
      </c>
      <c r="BQ8" s="253">
        <v>7</v>
      </c>
      <c r="BR8" s="253">
        <v>3</v>
      </c>
      <c r="BS8" s="253">
        <v>23</v>
      </c>
      <c r="BT8" s="253">
        <v>10</v>
      </c>
      <c r="BU8" s="253">
        <v>13</v>
      </c>
      <c r="BV8" s="253">
        <v>23</v>
      </c>
      <c r="BW8" s="253">
        <v>15</v>
      </c>
      <c r="BX8" s="253">
        <v>8</v>
      </c>
      <c r="BY8" s="253">
        <v>62</v>
      </c>
      <c r="BZ8" s="253">
        <v>47</v>
      </c>
      <c r="CA8" s="253">
        <v>15</v>
      </c>
      <c r="CB8" s="253">
        <v>143</v>
      </c>
      <c r="CC8" s="253">
        <v>76</v>
      </c>
      <c r="CD8" s="253">
        <v>67</v>
      </c>
      <c r="CE8" s="253">
        <v>451</v>
      </c>
      <c r="CF8" s="253">
        <v>365</v>
      </c>
      <c r="CG8" s="253">
        <v>86</v>
      </c>
      <c r="CH8" s="253">
        <v>335</v>
      </c>
      <c r="CI8" s="253">
        <v>224</v>
      </c>
      <c r="CJ8" s="253">
        <v>111</v>
      </c>
      <c r="CK8" s="253">
        <v>4</v>
      </c>
      <c r="CL8" s="253">
        <v>1</v>
      </c>
      <c r="CM8" s="253">
        <v>3</v>
      </c>
      <c r="CN8" s="253">
        <v>83</v>
      </c>
      <c r="CO8" s="253">
        <v>23</v>
      </c>
      <c r="CP8" s="253">
        <v>60</v>
      </c>
      <c r="CQ8" s="253">
        <v>21</v>
      </c>
      <c r="CR8" s="253">
        <v>10</v>
      </c>
      <c r="CS8" s="253">
        <v>11</v>
      </c>
      <c r="CT8" s="253">
        <v>22</v>
      </c>
      <c r="CU8" s="253">
        <v>10</v>
      </c>
      <c r="CV8" s="253">
        <v>12</v>
      </c>
      <c r="CW8" s="253">
        <v>42</v>
      </c>
      <c r="CX8" s="253">
        <v>19</v>
      </c>
      <c r="CY8" s="253">
        <v>23</v>
      </c>
      <c r="CZ8" s="253">
        <v>44</v>
      </c>
      <c r="DA8" s="253">
        <v>31</v>
      </c>
      <c r="DB8" s="253">
        <v>13</v>
      </c>
      <c r="DC8" s="253">
        <v>3</v>
      </c>
      <c r="DD8" s="253">
        <v>2</v>
      </c>
      <c r="DE8" s="253">
        <v>1</v>
      </c>
      <c r="DF8" s="253">
        <v>177</v>
      </c>
      <c r="DG8" s="253">
        <v>63</v>
      </c>
      <c r="DH8" s="253">
        <v>114</v>
      </c>
      <c r="DI8" s="253">
        <v>193</v>
      </c>
      <c r="DJ8" s="253">
        <v>94</v>
      </c>
      <c r="DK8" s="253">
        <v>99</v>
      </c>
      <c r="DL8" s="253">
        <v>55</v>
      </c>
      <c r="DM8" s="253">
        <v>49</v>
      </c>
      <c r="DN8" s="253">
        <v>6</v>
      </c>
      <c r="DO8" s="253">
        <v>1</v>
      </c>
      <c r="DP8" s="253">
        <v>1</v>
      </c>
      <c r="DQ8" s="253">
        <v>0</v>
      </c>
      <c r="DR8" s="253"/>
      <c r="DS8" s="253"/>
      <c r="DT8" s="253"/>
      <c r="DU8" s="253">
        <v>49</v>
      </c>
      <c r="DV8" s="253">
        <v>35</v>
      </c>
      <c r="DW8" s="253">
        <v>14</v>
      </c>
      <c r="DX8" s="253"/>
      <c r="DY8" s="253"/>
      <c r="DZ8" s="253"/>
      <c r="EA8" s="253">
        <v>2</v>
      </c>
      <c r="EB8" s="253">
        <v>1</v>
      </c>
      <c r="EC8" s="253">
        <v>1</v>
      </c>
      <c r="ED8" s="253">
        <v>1</v>
      </c>
      <c r="EE8" s="253">
        <v>1</v>
      </c>
      <c r="EF8" s="253">
        <v>0</v>
      </c>
      <c r="EG8" s="253">
        <v>2</v>
      </c>
      <c r="EH8" s="253">
        <v>1</v>
      </c>
      <c r="EI8" s="253">
        <v>1</v>
      </c>
      <c r="EJ8" s="253">
        <v>7</v>
      </c>
      <c r="EK8" s="253">
        <v>6</v>
      </c>
      <c r="EL8" s="253">
        <v>1</v>
      </c>
      <c r="EM8" s="253">
        <v>2</v>
      </c>
      <c r="EN8" s="253">
        <v>0</v>
      </c>
      <c r="EO8" s="253">
        <v>2</v>
      </c>
      <c r="EP8" s="253"/>
      <c r="EQ8" s="253"/>
      <c r="ER8" s="253"/>
      <c r="ES8" s="253">
        <v>1</v>
      </c>
      <c r="ET8" s="253">
        <v>1</v>
      </c>
      <c r="EU8" s="253">
        <v>0</v>
      </c>
      <c r="EV8" s="253"/>
      <c r="EW8" s="253"/>
      <c r="EX8" s="253"/>
      <c r="EY8" s="253">
        <v>4</v>
      </c>
      <c r="EZ8" s="253">
        <v>4</v>
      </c>
      <c r="FA8" s="253">
        <v>0</v>
      </c>
      <c r="FB8" s="253">
        <v>12</v>
      </c>
      <c r="FC8" s="253">
        <v>1</v>
      </c>
      <c r="FD8" s="253">
        <v>11</v>
      </c>
      <c r="FE8" s="63">
        <f t="shared" si="0"/>
        <v>18333</v>
      </c>
      <c r="FF8" s="253" t="b">
        <f t="shared" si="1"/>
        <v>1</v>
      </c>
    </row>
    <row r="9" spans="1:162">
      <c r="A9" s="881" t="s">
        <v>93</v>
      </c>
      <c r="B9" s="62">
        <v>5578</v>
      </c>
      <c r="C9" s="62">
        <v>2656</v>
      </c>
      <c r="D9" s="62">
        <v>2922</v>
      </c>
      <c r="E9" s="62">
        <v>1254</v>
      </c>
      <c r="F9" s="62">
        <v>803</v>
      </c>
      <c r="G9" s="62">
        <v>451</v>
      </c>
      <c r="H9" s="62">
        <v>300</v>
      </c>
      <c r="I9" s="62">
        <v>118</v>
      </c>
      <c r="J9" s="62">
        <v>182</v>
      </c>
      <c r="K9" s="62">
        <v>2623</v>
      </c>
      <c r="L9" s="62">
        <v>661</v>
      </c>
      <c r="M9" s="62">
        <v>1962</v>
      </c>
      <c r="N9" s="62">
        <v>2503</v>
      </c>
      <c r="O9" s="62">
        <v>1471</v>
      </c>
      <c r="P9" s="62">
        <v>1032</v>
      </c>
      <c r="Q9" s="62">
        <v>136</v>
      </c>
      <c r="R9" s="62">
        <v>44</v>
      </c>
      <c r="S9" s="62">
        <v>92</v>
      </c>
      <c r="T9" s="62">
        <v>382</v>
      </c>
      <c r="U9" s="62">
        <v>180</v>
      </c>
      <c r="V9" s="62">
        <v>202</v>
      </c>
      <c r="W9" s="62">
        <v>319</v>
      </c>
      <c r="X9" s="62">
        <v>155</v>
      </c>
      <c r="Y9" s="62">
        <v>164</v>
      </c>
      <c r="Z9" s="62">
        <v>49</v>
      </c>
      <c r="AA9" s="62">
        <v>27</v>
      </c>
      <c r="AB9" s="62">
        <v>22</v>
      </c>
      <c r="AC9" s="62">
        <v>117</v>
      </c>
      <c r="AD9" s="62">
        <v>64</v>
      </c>
      <c r="AE9" s="62">
        <v>53</v>
      </c>
      <c r="AF9" s="62">
        <v>16</v>
      </c>
      <c r="AG9" s="62">
        <v>11</v>
      </c>
      <c r="AH9" s="62">
        <v>5</v>
      </c>
      <c r="AI9" s="62">
        <v>2886</v>
      </c>
      <c r="AJ9" s="62">
        <v>1570</v>
      </c>
      <c r="AK9" s="62">
        <v>1316</v>
      </c>
      <c r="AL9" s="62">
        <v>854</v>
      </c>
      <c r="AM9" s="62">
        <v>463</v>
      </c>
      <c r="AN9" s="62">
        <v>391</v>
      </c>
      <c r="AO9" s="62">
        <v>244</v>
      </c>
      <c r="AP9" s="62">
        <v>141</v>
      </c>
      <c r="AQ9" s="62">
        <v>103</v>
      </c>
      <c r="AR9" s="62">
        <v>1587</v>
      </c>
      <c r="AS9" s="62">
        <v>533</v>
      </c>
      <c r="AT9" s="62">
        <v>1054</v>
      </c>
      <c r="AU9" s="62">
        <v>1211</v>
      </c>
      <c r="AV9" s="62">
        <v>731</v>
      </c>
      <c r="AW9" s="62">
        <v>480</v>
      </c>
      <c r="AX9" s="62">
        <v>14</v>
      </c>
      <c r="AY9" s="62">
        <v>5</v>
      </c>
      <c r="AZ9" s="62">
        <v>9</v>
      </c>
      <c r="BA9" s="62">
        <v>6</v>
      </c>
      <c r="BB9" s="62">
        <v>1</v>
      </c>
      <c r="BC9" s="62">
        <v>5</v>
      </c>
      <c r="BD9" s="62">
        <v>26</v>
      </c>
      <c r="BE9" s="62">
        <v>18</v>
      </c>
      <c r="BF9" s="62">
        <v>8</v>
      </c>
      <c r="BG9" s="62">
        <v>3</v>
      </c>
      <c r="BH9" s="62">
        <v>2</v>
      </c>
      <c r="BI9" s="62">
        <v>1</v>
      </c>
      <c r="BJ9" s="253">
        <v>66</v>
      </c>
      <c r="BK9" s="253">
        <v>35</v>
      </c>
      <c r="BL9" s="253">
        <v>31</v>
      </c>
      <c r="BM9" s="253">
        <v>26</v>
      </c>
      <c r="BN9" s="253">
        <v>12</v>
      </c>
      <c r="BO9" s="253">
        <v>14</v>
      </c>
      <c r="BP9" s="253">
        <v>5</v>
      </c>
      <c r="BQ9" s="253">
        <v>3</v>
      </c>
      <c r="BR9" s="253">
        <v>2</v>
      </c>
      <c r="BS9" s="253">
        <v>34</v>
      </c>
      <c r="BT9" s="253">
        <v>18</v>
      </c>
      <c r="BU9" s="253">
        <v>16</v>
      </c>
      <c r="BV9" s="253">
        <v>39</v>
      </c>
      <c r="BW9" s="253">
        <v>14</v>
      </c>
      <c r="BX9" s="253">
        <v>25</v>
      </c>
      <c r="BY9" s="253">
        <v>37</v>
      </c>
      <c r="BZ9" s="253">
        <v>13</v>
      </c>
      <c r="CA9" s="253">
        <v>24</v>
      </c>
      <c r="CB9" s="253">
        <v>163</v>
      </c>
      <c r="CC9" s="253">
        <v>75</v>
      </c>
      <c r="CD9" s="253">
        <v>88</v>
      </c>
      <c r="CE9" s="253">
        <v>176</v>
      </c>
      <c r="CF9" s="253">
        <v>137</v>
      </c>
      <c r="CG9" s="253">
        <v>39</v>
      </c>
      <c r="CH9" s="253">
        <v>15</v>
      </c>
      <c r="CI9" s="253">
        <v>9</v>
      </c>
      <c r="CJ9" s="253">
        <v>6</v>
      </c>
      <c r="CK9" s="253"/>
      <c r="CL9" s="253"/>
      <c r="CM9" s="253"/>
      <c r="CN9" s="253">
        <v>17</v>
      </c>
      <c r="CO9" s="253">
        <v>9</v>
      </c>
      <c r="CP9" s="253">
        <v>8</v>
      </c>
      <c r="CQ9" s="253">
        <v>24</v>
      </c>
      <c r="CR9" s="253">
        <v>12</v>
      </c>
      <c r="CS9" s="253">
        <v>12</v>
      </c>
      <c r="CT9" s="253">
        <v>64</v>
      </c>
      <c r="CU9" s="253">
        <v>11</v>
      </c>
      <c r="CV9" s="253">
        <v>53</v>
      </c>
      <c r="CW9" s="253">
        <v>18</v>
      </c>
      <c r="CX9" s="253">
        <v>5</v>
      </c>
      <c r="CY9" s="253">
        <v>13</v>
      </c>
      <c r="CZ9" s="253">
        <v>46</v>
      </c>
      <c r="DA9" s="253">
        <v>31</v>
      </c>
      <c r="DB9" s="253">
        <v>15</v>
      </c>
      <c r="DC9" s="253">
        <v>12</v>
      </c>
      <c r="DD9" s="253">
        <v>6</v>
      </c>
      <c r="DE9" s="253">
        <v>6</v>
      </c>
      <c r="DF9" s="253">
        <v>228</v>
      </c>
      <c r="DG9" s="253">
        <v>129</v>
      </c>
      <c r="DH9" s="253">
        <v>99</v>
      </c>
      <c r="DI9" s="253">
        <v>610</v>
      </c>
      <c r="DJ9" s="253">
        <v>271</v>
      </c>
      <c r="DK9" s="253">
        <v>339</v>
      </c>
      <c r="DL9" s="253">
        <v>42</v>
      </c>
      <c r="DM9" s="253">
        <v>25</v>
      </c>
      <c r="DN9" s="253">
        <v>17</v>
      </c>
      <c r="DO9" s="253"/>
      <c r="DP9" s="253"/>
      <c r="DQ9" s="253"/>
      <c r="DR9" s="253"/>
      <c r="DS9" s="253"/>
      <c r="DT9" s="253"/>
      <c r="DU9" s="253">
        <v>37</v>
      </c>
      <c r="DV9" s="253">
        <v>3</v>
      </c>
      <c r="DW9" s="253">
        <v>34</v>
      </c>
      <c r="DX9" s="253">
        <v>4</v>
      </c>
      <c r="DY9" s="253">
        <v>0</v>
      </c>
      <c r="DZ9" s="253">
        <v>4</v>
      </c>
      <c r="EA9" s="253"/>
      <c r="EB9" s="253"/>
      <c r="EC9" s="253"/>
      <c r="ED9" s="253">
        <v>1</v>
      </c>
      <c r="EE9" s="253">
        <v>0</v>
      </c>
      <c r="EF9" s="253">
        <v>1</v>
      </c>
      <c r="EG9" s="253"/>
      <c r="EH9" s="253"/>
      <c r="EI9" s="253"/>
      <c r="EJ9" s="253">
        <v>2</v>
      </c>
      <c r="EK9" s="253">
        <v>2</v>
      </c>
      <c r="EL9" s="253">
        <v>0</v>
      </c>
      <c r="EM9" s="253"/>
      <c r="EN9" s="253"/>
      <c r="EO9" s="253"/>
      <c r="EP9" s="253"/>
      <c r="EQ9" s="253"/>
      <c r="ER9" s="253"/>
      <c r="ES9" s="253"/>
      <c r="ET9" s="253"/>
      <c r="EU9" s="253"/>
      <c r="EV9" s="253"/>
      <c r="EW9" s="253"/>
      <c r="EX9" s="253"/>
      <c r="EY9" s="253">
        <v>3</v>
      </c>
      <c r="EZ9" s="253">
        <v>2</v>
      </c>
      <c r="FA9" s="253">
        <v>1</v>
      </c>
      <c r="FB9" s="253">
        <v>10</v>
      </c>
      <c r="FC9" s="253">
        <v>1</v>
      </c>
      <c r="FD9" s="253">
        <v>9</v>
      </c>
      <c r="FE9" s="63">
        <f t="shared" si="0"/>
        <v>21787</v>
      </c>
      <c r="FF9" s="253" t="b">
        <f t="shared" si="1"/>
        <v>1</v>
      </c>
    </row>
    <row r="10" spans="1:162">
      <c r="A10" s="881" t="s">
        <v>94</v>
      </c>
      <c r="B10" s="62">
        <v>5139</v>
      </c>
      <c r="C10" s="62">
        <v>2133</v>
      </c>
      <c r="D10" s="62">
        <v>3006</v>
      </c>
      <c r="E10" s="62">
        <v>693</v>
      </c>
      <c r="F10" s="62">
        <v>393</v>
      </c>
      <c r="G10" s="62">
        <v>300</v>
      </c>
      <c r="H10" s="62">
        <v>147</v>
      </c>
      <c r="I10" s="62">
        <v>62</v>
      </c>
      <c r="J10" s="62">
        <v>85</v>
      </c>
      <c r="K10" s="62">
        <v>1334</v>
      </c>
      <c r="L10" s="62">
        <v>268</v>
      </c>
      <c r="M10" s="62">
        <v>1066</v>
      </c>
      <c r="N10" s="62">
        <v>2182</v>
      </c>
      <c r="O10" s="62">
        <v>1088</v>
      </c>
      <c r="P10" s="62">
        <v>1094</v>
      </c>
      <c r="Q10" s="62">
        <v>99</v>
      </c>
      <c r="R10" s="62">
        <v>36</v>
      </c>
      <c r="S10" s="62">
        <v>63</v>
      </c>
      <c r="T10" s="62">
        <v>315</v>
      </c>
      <c r="U10" s="62">
        <v>115</v>
      </c>
      <c r="V10" s="62">
        <v>200</v>
      </c>
      <c r="W10" s="62">
        <v>449</v>
      </c>
      <c r="X10" s="62">
        <v>231</v>
      </c>
      <c r="Y10" s="62">
        <v>218</v>
      </c>
      <c r="Z10" s="62">
        <v>97</v>
      </c>
      <c r="AA10" s="62">
        <v>53</v>
      </c>
      <c r="AB10" s="62">
        <v>44</v>
      </c>
      <c r="AC10" s="62">
        <v>92</v>
      </c>
      <c r="AD10" s="62">
        <v>46</v>
      </c>
      <c r="AE10" s="62">
        <v>46</v>
      </c>
      <c r="AF10" s="62">
        <v>17</v>
      </c>
      <c r="AG10" s="62">
        <v>8</v>
      </c>
      <c r="AH10" s="62">
        <v>9</v>
      </c>
      <c r="AI10" s="62">
        <v>2905</v>
      </c>
      <c r="AJ10" s="62">
        <v>1377</v>
      </c>
      <c r="AK10" s="62">
        <v>1528</v>
      </c>
      <c r="AL10" s="62">
        <v>393</v>
      </c>
      <c r="AM10" s="62">
        <v>177</v>
      </c>
      <c r="AN10" s="62">
        <v>216</v>
      </c>
      <c r="AO10" s="62">
        <v>99</v>
      </c>
      <c r="AP10" s="62">
        <v>28</v>
      </c>
      <c r="AQ10" s="62">
        <v>71</v>
      </c>
      <c r="AR10" s="62">
        <v>765</v>
      </c>
      <c r="AS10" s="62">
        <v>200</v>
      </c>
      <c r="AT10" s="62">
        <v>565</v>
      </c>
      <c r="AU10" s="62">
        <v>865</v>
      </c>
      <c r="AV10" s="62">
        <v>432</v>
      </c>
      <c r="AW10" s="62">
        <v>433</v>
      </c>
      <c r="AX10" s="62">
        <v>9</v>
      </c>
      <c r="AY10" s="62">
        <v>8</v>
      </c>
      <c r="AZ10" s="62">
        <v>1</v>
      </c>
      <c r="BA10" s="62">
        <v>13</v>
      </c>
      <c r="BB10" s="62">
        <v>8</v>
      </c>
      <c r="BC10" s="62">
        <v>5</v>
      </c>
      <c r="BD10" s="62">
        <v>20</v>
      </c>
      <c r="BE10" s="62">
        <v>18</v>
      </c>
      <c r="BF10" s="62">
        <v>2</v>
      </c>
      <c r="BG10" s="62">
        <v>7</v>
      </c>
      <c r="BH10" s="62">
        <v>4</v>
      </c>
      <c r="BI10" s="62">
        <v>3</v>
      </c>
      <c r="BJ10" s="253">
        <v>36</v>
      </c>
      <c r="BK10" s="253">
        <v>11</v>
      </c>
      <c r="BL10" s="253">
        <v>25</v>
      </c>
      <c r="BM10" s="253">
        <v>9</v>
      </c>
      <c r="BN10" s="253">
        <v>1</v>
      </c>
      <c r="BO10" s="253">
        <v>8</v>
      </c>
      <c r="BP10" s="253">
        <v>5</v>
      </c>
      <c r="BQ10" s="253">
        <v>2</v>
      </c>
      <c r="BR10" s="253">
        <v>3</v>
      </c>
      <c r="BS10" s="253">
        <v>35</v>
      </c>
      <c r="BT10" s="253">
        <v>22</v>
      </c>
      <c r="BU10" s="253">
        <v>13</v>
      </c>
      <c r="BV10" s="253">
        <v>16</v>
      </c>
      <c r="BW10" s="253">
        <v>6</v>
      </c>
      <c r="BX10" s="253">
        <v>10</v>
      </c>
      <c r="BY10" s="253">
        <v>128</v>
      </c>
      <c r="BZ10" s="253">
        <v>38</v>
      </c>
      <c r="CA10" s="253">
        <v>90</v>
      </c>
      <c r="CB10" s="253">
        <v>133</v>
      </c>
      <c r="CC10" s="253">
        <v>53</v>
      </c>
      <c r="CD10" s="253">
        <v>80</v>
      </c>
      <c r="CE10" s="253">
        <v>183</v>
      </c>
      <c r="CF10" s="253">
        <v>104</v>
      </c>
      <c r="CG10" s="253">
        <v>79</v>
      </c>
      <c r="CH10" s="253">
        <v>166</v>
      </c>
      <c r="CI10" s="253">
        <v>64</v>
      </c>
      <c r="CJ10" s="253">
        <v>102</v>
      </c>
      <c r="CK10" s="253">
        <v>3</v>
      </c>
      <c r="CL10" s="253">
        <v>2</v>
      </c>
      <c r="CM10" s="253">
        <v>1</v>
      </c>
      <c r="CN10" s="253">
        <v>68</v>
      </c>
      <c r="CO10" s="253">
        <v>63</v>
      </c>
      <c r="CP10" s="253">
        <v>5</v>
      </c>
      <c r="CQ10" s="253">
        <v>13</v>
      </c>
      <c r="CR10" s="253">
        <v>7</v>
      </c>
      <c r="CS10" s="253">
        <v>6</v>
      </c>
      <c r="CT10" s="253">
        <v>28</v>
      </c>
      <c r="CU10" s="253">
        <v>12</v>
      </c>
      <c r="CV10" s="253">
        <v>16</v>
      </c>
      <c r="CW10" s="253">
        <v>20</v>
      </c>
      <c r="CX10" s="253">
        <v>9</v>
      </c>
      <c r="CY10" s="253">
        <v>11</v>
      </c>
      <c r="CZ10" s="253">
        <v>578</v>
      </c>
      <c r="DA10" s="253">
        <v>190</v>
      </c>
      <c r="DB10" s="253">
        <v>388</v>
      </c>
      <c r="DC10" s="253">
        <v>8</v>
      </c>
      <c r="DD10" s="253">
        <v>3</v>
      </c>
      <c r="DE10" s="253">
        <v>5</v>
      </c>
      <c r="DF10" s="253">
        <v>287</v>
      </c>
      <c r="DG10" s="253">
        <v>141</v>
      </c>
      <c r="DH10" s="253">
        <v>146</v>
      </c>
      <c r="DI10" s="253">
        <v>774</v>
      </c>
      <c r="DJ10" s="253">
        <v>309</v>
      </c>
      <c r="DK10" s="253">
        <v>465</v>
      </c>
      <c r="DL10" s="253">
        <v>38</v>
      </c>
      <c r="DM10" s="253">
        <v>14</v>
      </c>
      <c r="DN10" s="253">
        <v>24</v>
      </c>
      <c r="DO10" s="253">
        <v>1</v>
      </c>
      <c r="DP10" s="253">
        <v>0</v>
      </c>
      <c r="DQ10" s="253">
        <v>1</v>
      </c>
      <c r="DR10" s="253"/>
      <c r="DS10" s="253"/>
      <c r="DT10" s="253"/>
      <c r="DU10" s="253">
        <v>40</v>
      </c>
      <c r="DV10" s="253">
        <v>16</v>
      </c>
      <c r="DW10" s="253">
        <v>24</v>
      </c>
      <c r="DX10" s="253">
        <v>2</v>
      </c>
      <c r="DY10" s="253">
        <v>2</v>
      </c>
      <c r="DZ10" s="253">
        <v>0</v>
      </c>
      <c r="EA10" s="253"/>
      <c r="EB10" s="253"/>
      <c r="EC10" s="253"/>
      <c r="ED10" s="253">
        <v>1</v>
      </c>
      <c r="EE10" s="253">
        <v>1</v>
      </c>
      <c r="EF10" s="253">
        <v>0</v>
      </c>
      <c r="EG10" s="253">
        <v>8</v>
      </c>
      <c r="EH10" s="253">
        <v>7</v>
      </c>
      <c r="EI10" s="253">
        <v>1</v>
      </c>
      <c r="EJ10" s="253">
        <v>30</v>
      </c>
      <c r="EK10" s="253">
        <v>18</v>
      </c>
      <c r="EL10" s="253">
        <v>12</v>
      </c>
      <c r="EM10" s="253">
        <v>13</v>
      </c>
      <c r="EN10" s="253">
        <v>12</v>
      </c>
      <c r="EO10" s="253">
        <v>1</v>
      </c>
      <c r="EP10" s="253"/>
      <c r="EQ10" s="253"/>
      <c r="ER10" s="253"/>
      <c r="ES10" s="253">
        <v>4</v>
      </c>
      <c r="ET10" s="253">
        <v>4</v>
      </c>
      <c r="EU10" s="253">
        <v>0</v>
      </c>
      <c r="EV10" s="253">
        <v>2</v>
      </c>
      <c r="EW10" s="253">
        <v>2</v>
      </c>
      <c r="EX10" s="253">
        <v>0</v>
      </c>
      <c r="EY10" s="253">
        <v>13</v>
      </c>
      <c r="EZ10" s="253">
        <v>12</v>
      </c>
      <c r="FA10" s="253">
        <v>1</v>
      </c>
      <c r="FB10" s="253">
        <v>14</v>
      </c>
      <c r="FC10" s="253">
        <v>7</v>
      </c>
      <c r="FD10" s="253">
        <v>7</v>
      </c>
      <c r="FE10" s="63">
        <f t="shared" si="0"/>
        <v>18296</v>
      </c>
      <c r="FF10" s="253" t="b">
        <f t="shared" si="1"/>
        <v>1</v>
      </c>
    </row>
    <row r="11" spans="1:162">
      <c r="A11" s="881" t="s">
        <v>95</v>
      </c>
      <c r="B11" s="62">
        <v>14826</v>
      </c>
      <c r="C11" s="62">
        <v>6436</v>
      </c>
      <c r="D11" s="62">
        <v>8390</v>
      </c>
      <c r="E11" s="62">
        <v>5517</v>
      </c>
      <c r="F11" s="62">
        <v>2765</v>
      </c>
      <c r="G11" s="62">
        <v>2752</v>
      </c>
      <c r="H11" s="62">
        <v>279</v>
      </c>
      <c r="I11" s="62">
        <v>118</v>
      </c>
      <c r="J11" s="62">
        <v>161</v>
      </c>
      <c r="K11" s="62">
        <v>1577</v>
      </c>
      <c r="L11" s="62">
        <v>405</v>
      </c>
      <c r="M11" s="62">
        <v>1172</v>
      </c>
      <c r="N11" s="62">
        <v>7647</v>
      </c>
      <c r="O11" s="62">
        <v>3998</v>
      </c>
      <c r="P11" s="62">
        <v>3649</v>
      </c>
      <c r="Q11" s="62">
        <v>202</v>
      </c>
      <c r="R11" s="62">
        <v>110</v>
      </c>
      <c r="S11" s="62">
        <v>92</v>
      </c>
      <c r="T11" s="62">
        <v>704</v>
      </c>
      <c r="U11" s="62">
        <v>389</v>
      </c>
      <c r="V11" s="62">
        <v>315</v>
      </c>
      <c r="W11" s="62">
        <v>1727</v>
      </c>
      <c r="X11" s="62">
        <v>892</v>
      </c>
      <c r="Y11" s="62">
        <v>835</v>
      </c>
      <c r="Z11" s="62">
        <v>504</v>
      </c>
      <c r="AA11" s="62">
        <v>403</v>
      </c>
      <c r="AB11" s="62">
        <v>101</v>
      </c>
      <c r="AC11" s="62">
        <v>224</v>
      </c>
      <c r="AD11" s="62">
        <v>106</v>
      </c>
      <c r="AE11" s="62">
        <v>118</v>
      </c>
      <c r="AF11" s="62">
        <v>24</v>
      </c>
      <c r="AG11" s="62">
        <v>15</v>
      </c>
      <c r="AH11" s="62">
        <v>9</v>
      </c>
      <c r="AI11" s="62">
        <v>7708</v>
      </c>
      <c r="AJ11" s="62">
        <v>3753</v>
      </c>
      <c r="AK11" s="62">
        <v>3955</v>
      </c>
      <c r="AL11" s="62">
        <v>4814</v>
      </c>
      <c r="AM11" s="62">
        <v>2389</v>
      </c>
      <c r="AN11" s="62">
        <v>2425</v>
      </c>
      <c r="AO11" s="62">
        <v>182</v>
      </c>
      <c r="AP11" s="62">
        <v>111</v>
      </c>
      <c r="AQ11" s="62">
        <v>71</v>
      </c>
      <c r="AR11" s="62">
        <v>504</v>
      </c>
      <c r="AS11" s="62">
        <v>217</v>
      </c>
      <c r="AT11" s="62">
        <v>287</v>
      </c>
      <c r="AU11" s="62">
        <v>5709</v>
      </c>
      <c r="AV11" s="62">
        <v>2960</v>
      </c>
      <c r="AW11" s="62">
        <v>2749</v>
      </c>
      <c r="AX11" s="62">
        <v>40</v>
      </c>
      <c r="AY11" s="62">
        <v>28</v>
      </c>
      <c r="AZ11" s="62">
        <v>12</v>
      </c>
      <c r="BA11" s="62">
        <v>91</v>
      </c>
      <c r="BB11" s="62">
        <v>38</v>
      </c>
      <c r="BC11" s="62">
        <v>53</v>
      </c>
      <c r="BD11" s="62">
        <v>348</v>
      </c>
      <c r="BE11" s="62">
        <v>262</v>
      </c>
      <c r="BF11" s="62">
        <v>86</v>
      </c>
      <c r="BG11" s="62">
        <v>10</v>
      </c>
      <c r="BH11" s="62">
        <v>5</v>
      </c>
      <c r="BI11" s="62">
        <v>5</v>
      </c>
      <c r="BJ11" s="253">
        <v>53</v>
      </c>
      <c r="BK11" s="253">
        <v>23</v>
      </c>
      <c r="BL11" s="253">
        <v>30</v>
      </c>
      <c r="BM11" s="253">
        <v>11</v>
      </c>
      <c r="BN11" s="253">
        <v>4</v>
      </c>
      <c r="BO11" s="253">
        <v>7</v>
      </c>
      <c r="BP11" s="253">
        <v>6</v>
      </c>
      <c r="BQ11" s="253">
        <v>4</v>
      </c>
      <c r="BR11" s="253">
        <v>2</v>
      </c>
      <c r="BS11" s="253">
        <v>16</v>
      </c>
      <c r="BT11" s="253">
        <v>7</v>
      </c>
      <c r="BU11" s="253">
        <v>9</v>
      </c>
      <c r="BV11" s="253">
        <v>6</v>
      </c>
      <c r="BW11" s="253">
        <v>5</v>
      </c>
      <c r="BX11" s="253">
        <v>1</v>
      </c>
      <c r="BY11" s="253">
        <v>84</v>
      </c>
      <c r="BZ11" s="253">
        <v>30</v>
      </c>
      <c r="CA11" s="253">
        <v>54</v>
      </c>
      <c r="CB11" s="253">
        <v>193</v>
      </c>
      <c r="CC11" s="253">
        <v>78</v>
      </c>
      <c r="CD11" s="253">
        <v>115</v>
      </c>
      <c r="CE11" s="253">
        <v>118</v>
      </c>
      <c r="CF11" s="253">
        <v>78</v>
      </c>
      <c r="CG11" s="253">
        <v>40</v>
      </c>
      <c r="CH11" s="253">
        <v>94</v>
      </c>
      <c r="CI11" s="253">
        <v>52</v>
      </c>
      <c r="CJ11" s="253">
        <v>42</v>
      </c>
      <c r="CK11" s="253">
        <v>1</v>
      </c>
      <c r="CL11" s="253">
        <v>0</v>
      </c>
      <c r="CM11" s="253">
        <v>1</v>
      </c>
      <c r="CN11" s="253">
        <v>20</v>
      </c>
      <c r="CO11" s="253">
        <v>2</v>
      </c>
      <c r="CP11" s="253">
        <v>18</v>
      </c>
      <c r="CQ11" s="253">
        <v>18</v>
      </c>
      <c r="CR11" s="253">
        <v>7</v>
      </c>
      <c r="CS11" s="253">
        <v>11</v>
      </c>
      <c r="CT11" s="253">
        <v>20</v>
      </c>
      <c r="CU11" s="253">
        <v>6</v>
      </c>
      <c r="CV11" s="253">
        <v>14</v>
      </c>
      <c r="CW11" s="253">
        <v>28</v>
      </c>
      <c r="CX11" s="253">
        <v>15</v>
      </c>
      <c r="CY11" s="253">
        <v>13</v>
      </c>
      <c r="CZ11" s="253">
        <v>149</v>
      </c>
      <c r="DA11" s="253">
        <v>82</v>
      </c>
      <c r="DB11" s="253">
        <v>67</v>
      </c>
      <c r="DC11" s="253">
        <v>6</v>
      </c>
      <c r="DD11" s="253">
        <v>6</v>
      </c>
      <c r="DE11" s="253">
        <v>0</v>
      </c>
      <c r="DF11" s="253">
        <v>273</v>
      </c>
      <c r="DG11" s="253">
        <v>113</v>
      </c>
      <c r="DH11" s="253">
        <v>160</v>
      </c>
      <c r="DI11" s="253">
        <v>611</v>
      </c>
      <c r="DJ11" s="253">
        <v>257</v>
      </c>
      <c r="DK11" s="253">
        <v>354</v>
      </c>
      <c r="DL11" s="253">
        <v>78</v>
      </c>
      <c r="DM11" s="253">
        <v>47</v>
      </c>
      <c r="DN11" s="253">
        <v>31</v>
      </c>
      <c r="DO11" s="253"/>
      <c r="DP11" s="253"/>
      <c r="DQ11" s="253"/>
      <c r="DR11" s="253"/>
      <c r="DS11" s="253"/>
      <c r="DT11" s="253"/>
      <c r="DU11" s="253">
        <v>56</v>
      </c>
      <c r="DV11" s="253">
        <v>23</v>
      </c>
      <c r="DW11" s="253">
        <v>33</v>
      </c>
      <c r="DX11" s="253"/>
      <c r="DY11" s="253"/>
      <c r="DZ11" s="253"/>
      <c r="EA11" s="253"/>
      <c r="EB11" s="253"/>
      <c r="EC11" s="253"/>
      <c r="ED11" s="253">
        <v>3</v>
      </c>
      <c r="EE11" s="253">
        <v>3</v>
      </c>
      <c r="EF11" s="253">
        <v>0</v>
      </c>
      <c r="EG11" s="253">
        <v>9</v>
      </c>
      <c r="EH11" s="253">
        <v>6</v>
      </c>
      <c r="EI11" s="253">
        <v>3</v>
      </c>
      <c r="EJ11" s="253">
        <v>17</v>
      </c>
      <c r="EK11" s="253">
        <v>8</v>
      </c>
      <c r="EL11" s="253">
        <v>9</v>
      </c>
      <c r="EM11" s="253">
        <v>5</v>
      </c>
      <c r="EN11" s="253">
        <v>4</v>
      </c>
      <c r="EO11" s="253">
        <v>1</v>
      </c>
      <c r="EP11" s="253">
        <v>4</v>
      </c>
      <c r="EQ11" s="253">
        <v>3</v>
      </c>
      <c r="ER11" s="253">
        <v>1</v>
      </c>
      <c r="ES11" s="253">
        <v>6</v>
      </c>
      <c r="ET11" s="253">
        <v>4</v>
      </c>
      <c r="EU11" s="253">
        <v>2</v>
      </c>
      <c r="EV11" s="253">
        <v>6</v>
      </c>
      <c r="EW11" s="253">
        <v>1</v>
      </c>
      <c r="EX11" s="253">
        <v>5</v>
      </c>
      <c r="EY11" s="253">
        <v>5</v>
      </c>
      <c r="EZ11" s="253">
        <v>4</v>
      </c>
      <c r="FA11" s="253">
        <v>1</v>
      </c>
      <c r="FB11" s="253">
        <v>8</v>
      </c>
      <c r="FC11" s="253">
        <v>3</v>
      </c>
      <c r="FD11" s="253">
        <v>5</v>
      </c>
      <c r="FE11" s="63">
        <f t="shared" si="0"/>
        <v>54541</v>
      </c>
      <c r="FF11" s="253" t="b">
        <f t="shared" si="1"/>
        <v>1</v>
      </c>
    </row>
    <row r="12" spans="1:162">
      <c r="A12" s="881" t="s">
        <v>96</v>
      </c>
      <c r="B12" s="62">
        <v>2280</v>
      </c>
      <c r="C12" s="62">
        <v>1222</v>
      </c>
      <c r="D12" s="62">
        <v>1058</v>
      </c>
      <c r="E12" s="62">
        <v>195</v>
      </c>
      <c r="F12" s="62">
        <v>145</v>
      </c>
      <c r="G12" s="62">
        <v>50</v>
      </c>
      <c r="H12" s="62">
        <v>67</v>
      </c>
      <c r="I12" s="62">
        <v>31</v>
      </c>
      <c r="J12" s="62">
        <v>36</v>
      </c>
      <c r="K12" s="62">
        <v>474</v>
      </c>
      <c r="L12" s="62">
        <v>114</v>
      </c>
      <c r="M12" s="62">
        <v>360</v>
      </c>
      <c r="N12" s="62">
        <v>628</v>
      </c>
      <c r="O12" s="62">
        <v>420</v>
      </c>
      <c r="P12" s="62">
        <v>208</v>
      </c>
      <c r="Q12" s="62">
        <v>99</v>
      </c>
      <c r="R12" s="62">
        <v>14</v>
      </c>
      <c r="S12" s="62">
        <v>85</v>
      </c>
      <c r="T12" s="62">
        <v>272</v>
      </c>
      <c r="U12" s="62">
        <v>160</v>
      </c>
      <c r="V12" s="62">
        <v>112</v>
      </c>
      <c r="W12" s="62">
        <v>405</v>
      </c>
      <c r="X12" s="62">
        <v>184</v>
      </c>
      <c r="Y12" s="62">
        <v>221</v>
      </c>
      <c r="Z12" s="62">
        <v>90</v>
      </c>
      <c r="AA12" s="62">
        <v>14</v>
      </c>
      <c r="AB12" s="62">
        <v>76</v>
      </c>
      <c r="AC12" s="62">
        <v>163</v>
      </c>
      <c r="AD12" s="62">
        <v>68</v>
      </c>
      <c r="AE12" s="62">
        <v>95</v>
      </c>
      <c r="AF12" s="62">
        <v>14</v>
      </c>
      <c r="AG12" s="62">
        <v>7</v>
      </c>
      <c r="AH12" s="62">
        <v>7</v>
      </c>
      <c r="AI12" s="62">
        <v>872</v>
      </c>
      <c r="AJ12" s="62">
        <v>545</v>
      </c>
      <c r="AK12" s="62">
        <v>327</v>
      </c>
      <c r="AL12" s="62">
        <v>164</v>
      </c>
      <c r="AM12" s="62">
        <v>114</v>
      </c>
      <c r="AN12" s="62">
        <v>50</v>
      </c>
      <c r="AO12" s="62">
        <v>51</v>
      </c>
      <c r="AP12" s="62">
        <v>32</v>
      </c>
      <c r="AQ12" s="62">
        <v>19</v>
      </c>
      <c r="AR12" s="62">
        <v>232</v>
      </c>
      <c r="AS12" s="62">
        <v>77</v>
      </c>
      <c r="AT12" s="62">
        <v>155</v>
      </c>
      <c r="AU12" s="62">
        <v>348</v>
      </c>
      <c r="AV12" s="62">
        <v>254</v>
      </c>
      <c r="AW12" s="62">
        <v>94</v>
      </c>
      <c r="AX12" s="62">
        <v>7</v>
      </c>
      <c r="AY12" s="62">
        <v>4</v>
      </c>
      <c r="AZ12" s="62">
        <v>3</v>
      </c>
      <c r="BA12" s="62">
        <v>32</v>
      </c>
      <c r="BB12" s="62">
        <v>21</v>
      </c>
      <c r="BC12" s="62">
        <v>11</v>
      </c>
      <c r="BD12" s="62">
        <v>19</v>
      </c>
      <c r="BE12" s="62">
        <v>8</v>
      </c>
      <c r="BF12" s="62">
        <v>11</v>
      </c>
      <c r="BG12" s="62">
        <v>6</v>
      </c>
      <c r="BH12" s="62">
        <v>5</v>
      </c>
      <c r="BI12" s="62">
        <v>1</v>
      </c>
      <c r="BJ12" s="253">
        <v>23</v>
      </c>
      <c r="BK12" s="253">
        <v>6</v>
      </c>
      <c r="BL12" s="253">
        <v>17</v>
      </c>
      <c r="BM12" s="253">
        <v>5</v>
      </c>
      <c r="BN12" s="253">
        <v>0</v>
      </c>
      <c r="BO12" s="253">
        <v>5</v>
      </c>
      <c r="BP12" s="253">
        <v>4</v>
      </c>
      <c r="BQ12" s="253">
        <v>2</v>
      </c>
      <c r="BR12" s="253">
        <v>2</v>
      </c>
      <c r="BS12" s="253">
        <v>13</v>
      </c>
      <c r="BT12" s="253">
        <v>4</v>
      </c>
      <c r="BU12" s="253">
        <v>9</v>
      </c>
      <c r="BV12" s="253">
        <v>7</v>
      </c>
      <c r="BW12" s="253">
        <v>3</v>
      </c>
      <c r="BX12" s="253">
        <v>4</v>
      </c>
      <c r="BY12" s="253">
        <v>40</v>
      </c>
      <c r="BZ12" s="253">
        <v>23</v>
      </c>
      <c r="CA12" s="253">
        <v>17</v>
      </c>
      <c r="CB12" s="253">
        <v>48</v>
      </c>
      <c r="CC12" s="253">
        <v>24</v>
      </c>
      <c r="CD12" s="253">
        <v>24</v>
      </c>
      <c r="CE12" s="253">
        <v>206</v>
      </c>
      <c r="CF12" s="253">
        <v>179</v>
      </c>
      <c r="CG12" s="253">
        <v>27</v>
      </c>
      <c r="CH12" s="253">
        <v>93</v>
      </c>
      <c r="CI12" s="253">
        <v>70</v>
      </c>
      <c r="CJ12" s="253">
        <v>23</v>
      </c>
      <c r="CK12" s="253"/>
      <c r="CL12" s="253"/>
      <c r="CM12" s="253"/>
      <c r="CN12" s="253">
        <v>8</v>
      </c>
      <c r="CO12" s="253">
        <v>5</v>
      </c>
      <c r="CP12" s="253">
        <v>3</v>
      </c>
      <c r="CQ12" s="253">
        <v>18</v>
      </c>
      <c r="CR12" s="253">
        <v>4</v>
      </c>
      <c r="CS12" s="253">
        <v>14</v>
      </c>
      <c r="CT12" s="253">
        <v>18</v>
      </c>
      <c r="CU12" s="253">
        <v>8</v>
      </c>
      <c r="CV12" s="253">
        <v>10</v>
      </c>
      <c r="CW12" s="253">
        <v>16</v>
      </c>
      <c r="CX12" s="253">
        <v>7</v>
      </c>
      <c r="CY12" s="253">
        <v>9</v>
      </c>
      <c r="CZ12" s="253">
        <v>79</v>
      </c>
      <c r="DA12" s="253">
        <v>53</v>
      </c>
      <c r="DB12" s="253">
        <v>26</v>
      </c>
      <c r="DC12" s="253">
        <v>3</v>
      </c>
      <c r="DD12" s="253">
        <v>2</v>
      </c>
      <c r="DE12" s="253">
        <v>1</v>
      </c>
      <c r="DF12" s="253">
        <v>137</v>
      </c>
      <c r="DG12" s="253">
        <v>64</v>
      </c>
      <c r="DH12" s="253">
        <v>73</v>
      </c>
      <c r="DI12" s="253">
        <v>103</v>
      </c>
      <c r="DJ12" s="253">
        <v>48</v>
      </c>
      <c r="DK12" s="253">
        <v>55</v>
      </c>
      <c r="DL12" s="253">
        <v>47</v>
      </c>
      <c r="DM12" s="253">
        <v>39</v>
      </c>
      <c r="DN12" s="253">
        <v>8</v>
      </c>
      <c r="DO12" s="253"/>
      <c r="DP12" s="253"/>
      <c r="DQ12" s="253"/>
      <c r="DR12" s="253"/>
      <c r="DS12" s="253"/>
      <c r="DT12" s="253"/>
      <c r="DU12" s="253">
        <v>16</v>
      </c>
      <c r="DV12" s="253">
        <v>7</v>
      </c>
      <c r="DW12" s="253">
        <v>9</v>
      </c>
      <c r="DX12" s="253">
        <v>5</v>
      </c>
      <c r="DY12" s="253">
        <v>1</v>
      </c>
      <c r="DZ12" s="253">
        <v>4</v>
      </c>
      <c r="EA12" s="253"/>
      <c r="EB12" s="253"/>
      <c r="EC12" s="253"/>
      <c r="ED12" s="253"/>
      <c r="EE12" s="253"/>
      <c r="EF12" s="253"/>
      <c r="EG12" s="253">
        <v>20</v>
      </c>
      <c r="EH12" s="253">
        <v>15</v>
      </c>
      <c r="EI12" s="253">
        <v>5</v>
      </c>
      <c r="EJ12" s="253">
        <v>15</v>
      </c>
      <c r="EK12" s="253">
        <v>3</v>
      </c>
      <c r="EL12" s="253">
        <v>12</v>
      </c>
      <c r="EM12" s="253">
        <v>2</v>
      </c>
      <c r="EN12" s="253">
        <v>2</v>
      </c>
      <c r="EO12" s="253">
        <v>0</v>
      </c>
      <c r="EP12" s="253">
        <v>1</v>
      </c>
      <c r="EQ12" s="253">
        <v>1</v>
      </c>
      <c r="ER12" s="253">
        <v>0</v>
      </c>
      <c r="ES12" s="253">
        <v>1</v>
      </c>
      <c r="ET12" s="253">
        <v>0</v>
      </c>
      <c r="EU12" s="253">
        <v>1</v>
      </c>
      <c r="EV12" s="253">
        <v>3</v>
      </c>
      <c r="EW12" s="253">
        <v>2</v>
      </c>
      <c r="EX12" s="253">
        <v>1</v>
      </c>
      <c r="EY12" s="253">
        <v>6</v>
      </c>
      <c r="EZ12" s="253">
        <v>2</v>
      </c>
      <c r="FA12" s="253">
        <v>4</v>
      </c>
      <c r="FB12" s="253">
        <v>14</v>
      </c>
      <c r="FC12" s="253">
        <v>8</v>
      </c>
      <c r="FD12" s="253">
        <v>6</v>
      </c>
      <c r="FE12" s="63">
        <f t="shared" si="0"/>
        <v>7369</v>
      </c>
      <c r="FF12" s="253" t="b">
        <f t="shared" si="1"/>
        <v>1</v>
      </c>
    </row>
    <row r="13" spans="1:162">
      <c r="A13" s="881" t="s">
        <v>99</v>
      </c>
      <c r="B13" s="62">
        <v>28373</v>
      </c>
      <c r="C13" s="62">
        <v>11925</v>
      </c>
      <c r="D13" s="62">
        <v>16448</v>
      </c>
      <c r="E13" s="62">
        <v>3544</v>
      </c>
      <c r="F13" s="62">
        <v>2220</v>
      </c>
      <c r="G13" s="62">
        <v>1324</v>
      </c>
      <c r="H13" s="62">
        <v>399</v>
      </c>
      <c r="I13" s="62">
        <v>204</v>
      </c>
      <c r="J13" s="62">
        <v>195</v>
      </c>
      <c r="K13" s="62">
        <v>2066</v>
      </c>
      <c r="L13" s="62">
        <v>544</v>
      </c>
      <c r="M13" s="62">
        <v>1522</v>
      </c>
      <c r="N13" s="62">
        <v>5640</v>
      </c>
      <c r="O13" s="62">
        <v>3316</v>
      </c>
      <c r="P13" s="62">
        <v>2324</v>
      </c>
      <c r="Q13" s="62">
        <v>448</v>
      </c>
      <c r="R13" s="62">
        <v>164</v>
      </c>
      <c r="S13" s="62">
        <v>284</v>
      </c>
      <c r="T13" s="62">
        <v>1667</v>
      </c>
      <c r="U13" s="62">
        <v>796</v>
      </c>
      <c r="V13" s="62">
        <v>871</v>
      </c>
      <c r="W13" s="62">
        <v>2734</v>
      </c>
      <c r="X13" s="62">
        <v>1332</v>
      </c>
      <c r="Y13" s="62">
        <v>1402</v>
      </c>
      <c r="Z13" s="62">
        <v>600</v>
      </c>
      <c r="AA13" s="62">
        <v>307</v>
      </c>
      <c r="AB13" s="62">
        <v>293</v>
      </c>
      <c r="AC13" s="62">
        <v>566</v>
      </c>
      <c r="AD13" s="62">
        <v>234</v>
      </c>
      <c r="AE13" s="62">
        <v>332</v>
      </c>
      <c r="AF13" s="62">
        <v>136</v>
      </c>
      <c r="AG13" s="62">
        <v>63</v>
      </c>
      <c r="AH13" s="62">
        <v>73</v>
      </c>
      <c r="AI13" s="62">
        <v>7421</v>
      </c>
      <c r="AJ13" s="62">
        <v>4171</v>
      </c>
      <c r="AK13" s="62">
        <v>3250</v>
      </c>
      <c r="AL13" s="62">
        <v>1603</v>
      </c>
      <c r="AM13" s="62">
        <v>967</v>
      </c>
      <c r="AN13" s="62">
        <v>636</v>
      </c>
      <c r="AO13" s="62">
        <v>134</v>
      </c>
      <c r="AP13" s="62">
        <v>82</v>
      </c>
      <c r="AQ13" s="62">
        <v>52</v>
      </c>
      <c r="AR13" s="62">
        <v>437</v>
      </c>
      <c r="AS13" s="62">
        <v>146</v>
      </c>
      <c r="AT13" s="62">
        <v>291</v>
      </c>
      <c r="AU13" s="62">
        <v>2018</v>
      </c>
      <c r="AV13" s="62">
        <v>1190</v>
      </c>
      <c r="AW13" s="62">
        <v>828</v>
      </c>
      <c r="AX13" s="62">
        <v>29</v>
      </c>
      <c r="AY13" s="62">
        <v>15</v>
      </c>
      <c r="AZ13" s="62">
        <v>14</v>
      </c>
      <c r="BA13" s="62">
        <v>82</v>
      </c>
      <c r="BB13" s="62">
        <v>37</v>
      </c>
      <c r="BC13" s="62">
        <v>45</v>
      </c>
      <c r="BD13" s="62">
        <v>190</v>
      </c>
      <c r="BE13" s="62">
        <v>129</v>
      </c>
      <c r="BF13" s="62">
        <v>61</v>
      </c>
      <c r="BG13" s="62">
        <v>33</v>
      </c>
      <c r="BH13" s="62">
        <v>12</v>
      </c>
      <c r="BI13" s="62">
        <v>21</v>
      </c>
      <c r="BJ13" s="253">
        <v>265</v>
      </c>
      <c r="BK13" s="253">
        <v>158</v>
      </c>
      <c r="BL13" s="253">
        <v>107</v>
      </c>
      <c r="BM13" s="253">
        <v>48</v>
      </c>
      <c r="BN13" s="253">
        <v>22</v>
      </c>
      <c r="BO13" s="253">
        <v>26</v>
      </c>
      <c r="BP13" s="253">
        <v>25</v>
      </c>
      <c r="BQ13" s="253">
        <v>16</v>
      </c>
      <c r="BR13" s="253">
        <v>9</v>
      </c>
      <c r="BS13" s="253">
        <v>61</v>
      </c>
      <c r="BT13" s="253">
        <v>19</v>
      </c>
      <c r="BU13" s="253">
        <v>42</v>
      </c>
      <c r="BV13" s="253">
        <v>67</v>
      </c>
      <c r="BW13" s="253">
        <v>34</v>
      </c>
      <c r="BX13" s="253">
        <v>33</v>
      </c>
      <c r="BY13" s="253">
        <v>285</v>
      </c>
      <c r="BZ13" s="253">
        <v>118</v>
      </c>
      <c r="CA13" s="253">
        <v>167</v>
      </c>
      <c r="CB13" s="253">
        <v>423</v>
      </c>
      <c r="CC13" s="253">
        <v>180</v>
      </c>
      <c r="CD13" s="253">
        <v>243</v>
      </c>
      <c r="CE13" s="253">
        <v>808</v>
      </c>
      <c r="CF13" s="253">
        <v>526</v>
      </c>
      <c r="CG13" s="253">
        <v>282</v>
      </c>
      <c r="CH13" s="253">
        <v>404</v>
      </c>
      <c r="CI13" s="253">
        <v>170</v>
      </c>
      <c r="CJ13" s="253">
        <v>234</v>
      </c>
      <c r="CK13" s="253">
        <v>21</v>
      </c>
      <c r="CL13" s="253">
        <v>11</v>
      </c>
      <c r="CM13" s="253">
        <v>10</v>
      </c>
      <c r="CN13" s="253">
        <v>89</v>
      </c>
      <c r="CO13" s="253">
        <v>36</v>
      </c>
      <c r="CP13" s="253">
        <v>53</v>
      </c>
      <c r="CQ13" s="253">
        <v>187</v>
      </c>
      <c r="CR13" s="253">
        <v>150</v>
      </c>
      <c r="CS13" s="253">
        <v>37</v>
      </c>
      <c r="CT13" s="253">
        <v>182</v>
      </c>
      <c r="CU13" s="253">
        <v>72</v>
      </c>
      <c r="CV13" s="253">
        <v>110</v>
      </c>
      <c r="CW13" s="253">
        <v>92</v>
      </c>
      <c r="CX13" s="253">
        <v>42</v>
      </c>
      <c r="CY13" s="253">
        <v>50</v>
      </c>
      <c r="CZ13" s="253">
        <v>711</v>
      </c>
      <c r="DA13" s="253">
        <v>353</v>
      </c>
      <c r="DB13" s="253">
        <v>358</v>
      </c>
      <c r="DC13" s="253">
        <v>48</v>
      </c>
      <c r="DD13" s="253">
        <v>20</v>
      </c>
      <c r="DE13" s="253">
        <v>28</v>
      </c>
      <c r="DF13" s="253">
        <v>445</v>
      </c>
      <c r="DG13" s="253">
        <v>224</v>
      </c>
      <c r="DH13" s="253">
        <v>221</v>
      </c>
      <c r="DI13" s="253">
        <v>2714</v>
      </c>
      <c r="DJ13" s="253">
        <v>1283</v>
      </c>
      <c r="DK13" s="253">
        <v>1431</v>
      </c>
      <c r="DL13" s="253">
        <v>197</v>
      </c>
      <c r="DM13" s="253">
        <v>97</v>
      </c>
      <c r="DN13" s="253">
        <v>100</v>
      </c>
      <c r="DO13" s="253">
        <v>11</v>
      </c>
      <c r="DP13" s="253">
        <v>10</v>
      </c>
      <c r="DQ13" s="253">
        <v>1</v>
      </c>
      <c r="DR13" s="253">
        <v>3</v>
      </c>
      <c r="DS13" s="253">
        <v>2</v>
      </c>
      <c r="DT13" s="253">
        <v>1</v>
      </c>
      <c r="DU13" s="253">
        <v>509</v>
      </c>
      <c r="DV13" s="253">
        <v>266</v>
      </c>
      <c r="DW13" s="253">
        <v>243</v>
      </c>
      <c r="DX13" s="253">
        <v>8</v>
      </c>
      <c r="DY13" s="253">
        <v>4</v>
      </c>
      <c r="DZ13" s="253">
        <v>4</v>
      </c>
      <c r="EA13" s="253">
        <v>2</v>
      </c>
      <c r="EB13" s="253">
        <v>0</v>
      </c>
      <c r="EC13" s="253">
        <v>2</v>
      </c>
      <c r="ED13" s="253">
        <v>3</v>
      </c>
      <c r="EE13" s="253">
        <v>3</v>
      </c>
      <c r="EF13" s="253">
        <v>0</v>
      </c>
      <c r="EG13" s="253">
        <v>31</v>
      </c>
      <c r="EH13" s="253">
        <v>4</v>
      </c>
      <c r="EI13" s="253">
        <v>27</v>
      </c>
      <c r="EJ13" s="253">
        <v>105</v>
      </c>
      <c r="EK13" s="253">
        <v>20</v>
      </c>
      <c r="EL13" s="253">
        <v>85</v>
      </c>
      <c r="EM13" s="253">
        <v>11</v>
      </c>
      <c r="EN13" s="253">
        <v>8</v>
      </c>
      <c r="EO13" s="253">
        <v>3</v>
      </c>
      <c r="EP13" s="253">
        <v>2</v>
      </c>
      <c r="EQ13" s="253">
        <v>0</v>
      </c>
      <c r="ER13" s="253">
        <v>2</v>
      </c>
      <c r="ES13" s="253">
        <v>9</v>
      </c>
      <c r="ET13" s="253">
        <v>7</v>
      </c>
      <c r="EU13" s="253">
        <v>2</v>
      </c>
      <c r="EV13" s="253">
        <v>3</v>
      </c>
      <c r="EW13" s="253">
        <v>2</v>
      </c>
      <c r="EX13" s="253">
        <v>1</v>
      </c>
      <c r="EY13" s="253">
        <v>24</v>
      </c>
      <c r="EZ13" s="253">
        <v>18</v>
      </c>
      <c r="FA13" s="253">
        <v>6</v>
      </c>
      <c r="FB13" s="253">
        <v>44</v>
      </c>
      <c r="FC13" s="253">
        <v>14</v>
      </c>
      <c r="FD13" s="253">
        <v>30</v>
      </c>
      <c r="FE13" s="63">
        <f t="shared" si="0"/>
        <v>65957</v>
      </c>
      <c r="FF13" s="253" t="b">
        <f t="shared" si="1"/>
        <v>1</v>
      </c>
    </row>
    <row r="14" spans="1:162">
      <c r="A14" s="881" t="s">
        <v>98</v>
      </c>
      <c r="B14" s="62">
        <v>8379</v>
      </c>
      <c r="C14" s="62">
        <v>4186</v>
      </c>
      <c r="D14" s="62">
        <v>4193</v>
      </c>
      <c r="E14" s="62">
        <v>672</v>
      </c>
      <c r="F14" s="62">
        <v>369</v>
      </c>
      <c r="G14" s="62">
        <v>303</v>
      </c>
      <c r="H14" s="62">
        <v>114</v>
      </c>
      <c r="I14" s="62">
        <v>62</v>
      </c>
      <c r="J14" s="62">
        <v>52</v>
      </c>
      <c r="K14" s="62">
        <v>372</v>
      </c>
      <c r="L14" s="62">
        <v>90</v>
      </c>
      <c r="M14" s="62">
        <v>282</v>
      </c>
      <c r="N14" s="62">
        <v>1252</v>
      </c>
      <c r="O14" s="62">
        <v>785</v>
      </c>
      <c r="P14" s="62">
        <v>467</v>
      </c>
      <c r="Q14" s="62">
        <v>83</v>
      </c>
      <c r="R14" s="62">
        <v>33</v>
      </c>
      <c r="S14" s="62">
        <v>50</v>
      </c>
      <c r="T14" s="62">
        <v>446</v>
      </c>
      <c r="U14" s="62">
        <v>163</v>
      </c>
      <c r="V14" s="62">
        <v>283</v>
      </c>
      <c r="W14" s="62">
        <v>1238</v>
      </c>
      <c r="X14" s="62">
        <v>639</v>
      </c>
      <c r="Y14" s="62">
        <v>599</v>
      </c>
      <c r="Z14" s="62">
        <v>56</v>
      </c>
      <c r="AA14" s="62">
        <v>35</v>
      </c>
      <c r="AB14" s="62">
        <v>21</v>
      </c>
      <c r="AC14" s="62">
        <v>150</v>
      </c>
      <c r="AD14" s="62">
        <v>53</v>
      </c>
      <c r="AE14" s="62">
        <v>97</v>
      </c>
      <c r="AF14" s="62">
        <v>9</v>
      </c>
      <c r="AG14" s="62">
        <v>4</v>
      </c>
      <c r="AH14" s="62">
        <v>5</v>
      </c>
      <c r="AI14" s="62">
        <v>5882</v>
      </c>
      <c r="AJ14" s="62">
        <v>3129</v>
      </c>
      <c r="AK14" s="62">
        <v>2753</v>
      </c>
      <c r="AL14" s="62">
        <v>607</v>
      </c>
      <c r="AM14" s="62">
        <v>344</v>
      </c>
      <c r="AN14" s="62">
        <v>263</v>
      </c>
      <c r="AO14" s="62">
        <v>106</v>
      </c>
      <c r="AP14" s="62">
        <v>44</v>
      </c>
      <c r="AQ14" s="62">
        <v>62</v>
      </c>
      <c r="AR14" s="62">
        <v>268</v>
      </c>
      <c r="AS14" s="62">
        <v>65</v>
      </c>
      <c r="AT14" s="62">
        <v>203</v>
      </c>
      <c r="AU14" s="62">
        <v>829</v>
      </c>
      <c r="AV14" s="62">
        <v>533</v>
      </c>
      <c r="AW14" s="62">
        <v>296</v>
      </c>
      <c r="AX14" s="62">
        <v>37</v>
      </c>
      <c r="AY14" s="62">
        <v>18</v>
      </c>
      <c r="AZ14" s="62">
        <v>19</v>
      </c>
      <c r="BA14" s="62">
        <v>30</v>
      </c>
      <c r="BB14" s="62">
        <v>14</v>
      </c>
      <c r="BC14" s="62">
        <v>16</v>
      </c>
      <c r="BD14" s="62">
        <v>22</v>
      </c>
      <c r="BE14" s="62">
        <v>14</v>
      </c>
      <c r="BF14" s="62">
        <v>8</v>
      </c>
      <c r="BG14" s="62">
        <v>11</v>
      </c>
      <c r="BH14" s="62">
        <v>4</v>
      </c>
      <c r="BI14" s="62">
        <v>7</v>
      </c>
      <c r="BJ14" s="253">
        <v>23</v>
      </c>
      <c r="BK14" s="253">
        <v>8</v>
      </c>
      <c r="BL14" s="253">
        <v>15</v>
      </c>
      <c r="BM14" s="253">
        <v>12</v>
      </c>
      <c r="BN14" s="253">
        <v>9</v>
      </c>
      <c r="BO14" s="253">
        <v>3</v>
      </c>
      <c r="BP14" s="253">
        <v>6</v>
      </c>
      <c r="BQ14" s="253">
        <v>5</v>
      </c>
      <c r="BR14" s="253">
        <v>1</v>
      </c>
      <c r="BS14" s="253">
        <v>8</v>
      </c>
      <c r="BT14" s="253">
        <v>8</v>
      </c>
      <c r="BU14" s="253">
        <v>0</v>
      </c>
      <c r="BV14" s="253">
        <v>34</v>
      </c>
      <c r="BW14" s="253">
        <v>23</v>
      </c>
      <c r="BX14" s="253">
        <v>11</v>
      </c>
      <c r="BY14" s="253">
        <v>237</v>
      </c>
      <c r="BZ14" s="253">
        <v>116</v>
      </c>
      <c r="CA14" s="253">
        <v>121</v>
      </c>
      <c r="CB14" s="253">
        <v>147</v>
      </c>
      <c r="CC14" s="253">
        <v>73</v>
      </c>
      <c r="CD14" s="253">
        <v>74</v>
      </c>
      <c r="CE14" s="253">
        <v>95</v>
      </c>
      <c r="CF14" s="253">
        <v>64</v>
      </c>
      <c r="CG14" s="253">
        <v>31</v>
      </c>
      <c r="CH14" s="253">
        <v>274</v>
      </c>
      <c r="CI14" s="253">
        <v>138</v>
      </c>
      <c r="CJ14" s="253">
        <v>136</v>
      </c>
      <c r="CK14" s="253">
        <v>4</v>
      </c>
      <c r="CL14" s="253">
        <v>1</v>
      </c>
      <c r="CM14" s="253">
        <v>3</v>
      </c>
      <c r="CN14" s="253">
        <v>12</v>
      </c>
      <c r="CO14" s="253">
        <v>4</v>
      </c>
      <c r="CP14" s="253">
        <v>8</v>
      </c>
      <c r="CQ14" s="253">
        <v>18</v>
      </c>
      <c r="CR14" s="253">
        <v>8</v>
      </c>
      <c r="CS14" s="253">
        <v>10</v>
      </c>
      <c r="CT14" s="253">
        <v>14</v>
      </c>
      <c r="CU14" s="253">
        <v>8</v>
      </c>
      <c r="CV14" s="253">
        <v>6</v>
      </c>
      <c r="CW14" s="253">
        <v>27</v>
      </c>
      <c r="CX14" s="253">
        <v>11</v>
      </c>
      <c r="CY14" s="253">
        <v>16</v>
      </c>
      <c r="CZ14" s="253">
        <v>1248</v>
      </c>
      <c r="DA14" s="253">
        <v>644</v>
      </c>
      <c r="DB14" s="253">
        <v>604</v>
      </c>
      <c r="DC14" s="253">
        <v>13</v>
      </c>
      <c r="DD14" s="253">
        <v>5</v>
      </c>
      <c r="DE14" s="253">
        <v>8</v>
      </c>
      <c r="DF14" s="253">
        <v>291</v>
      </c>
      <c r="DG14" s="253">
        <v>168</v>
      </c>
      <c r="DH14" s="253">
        <v>123</v>
      </c>
      <c r="DI14" s="253">
        <v>1496</v>
      </c>
      <c r="DJ14" s="253">
        <v>845</v>
      </c>
      <c r="DK14" s="253">
        <v>651</v>
      </c>
      <c r="DL14" s="253">
        <v>79</v>
      </c>
      <c r="DM14" s="253">
        <v>46</v>
      </c>
      <c r="DN14" s="253">
        <v>33</v>
      </c>
      <c r="DO14" s="253">
        <v>2</v>
      </c>
      <c r="DP14" s="253">
        <v>2</v>
      </c>
      <c r="DQ14" s="253">
        <v>0</v>
      </c>
      <c r="DR14" s="253"/>
      <c r="DS14" s="253"/>
      <c r="DT14" s="253"/>
      <c r="DU14" s="253">
        <v>70</v>
      </c>
      <c r="DV14" s="253">
        <v>47</v>
      </c>
      <c r="DW14" s="253">
        <v>23</v>
      </c>
      <c r="DX14" s="253">
        <v>3</v>
      </c>
      <c r="DY14" s="253">
        <v>2</v>
      </c>
      <c r="DZ14" s="253">
        <v>1</v>
      </c>
      <c r="EA14" s="253"/>
      <c r="EB14" s="253"/>
      <c r="EC14" s="253"/>
      <c r="ED14" s="253"/>
      <c r="EE14" s="253"/>
      <c r="EF14" s="253"/>
      <c r="EG14" s="253">
        <v>8</v>
      </c>
      <c r="EH14" s="253">
        <v>6</v>
      </c>
      <c r="EI14" s="253">
        <v>2</v>
      </c>
      <c r="EJ14" s="253">
        <v>21</v>
      </c>
      <c r="EK14" s="253">
        <v>16</v>
      </c>
      <c r="EL14" s="253">
        <v>5</v>
      </c>
      <c r="EM14" s="253">
        <v>6</v>
      </c>
      <c r="EN14" s="253">
        <v>5</v>
      </c>
      <c r="EO14" s="253">
        <v>1</v>
      </c>
      <c r="EP14" s="253"/>
      <c r="EQ14" s="253"/>
      <c r="ER14" s="253"/>
      <c r="ES14" s="253">
        <v>3</v>
      </c>
      <c r="ET14" s="253">
        <v>3</v>
      </c>
      <c r="EU14" s="253">
        <v>0</v>
      </c>
      <c r="EV14" s="253">
        <v>3</v>
      </c>
      <c r="EW14" s="253">
        <v>1</v>
      </c>
      <c r="EX14" s="253">
        <v>2</v>
      </c>
      <c r="EY14" s="253">
        <v>16</v>
      </c>
      <c r="EZ14" s="253">
        <v>11</v>
      </c>
      <c r="FA14" s="253">
        <v>5</v>
      </c>
      <c r="FB14" s="253">
        <v>19</v>
      </c>
      <c r="FC14" s="253">
        <v>7</v>
      </c>
      <c r="FD14" s="253">
        <v>12</v>
      </c>
      <c r="FE14" s="63">
        <f t="shared" si="0"/>
        <v>24752</v>
      </c>
      <c r="FF14" s="253" t="b">
        <f t="shared" si="1"/>
        <v>1</v>
      </c>
    </row>
    <row r="15" spans="1:162">
      <c r="A15" s="881" t="s">
        <v>97</v>
      </c>
      <c r="B15" s="62">
        <v>15296</v>
      </c>
      <c r="C15" s="62">
        <v>7184</v>
      </c>
      <c r="D15" s="62">
        <v>8112</v>
      </c>
      <c r="E15" s="62">
        <v>7523</v>
      </c>
      <c r="F15" s="62">
        <v>4092</v>
      </c>
      <c r="G15" s="62">
        <v>3431</v>
      </c>
      <c r="H15" s="62">
        <v>146</v>
      </c>
      <c r="I15" s="62">
        <v>41</v>
      </c>
      <c r="J15" s="62">
        <v>105</v>
      </c>
      <c r="K15" s="62">
        <v>612</v>
      </c>
      <c r="L15" s="62">
        <v>144</v>
      </c>
      <c r="M15" s="62">
        <v>468</v>
      </c>
      <c r="N15" s="62">
        <v>8544</v>
      </c>
      <c r="O15" s="62">
        <v>4543</v>
      </c>
      <c r="P15" s="62">
        <v>4001</v>
      </c>
      <c r="Q15" s="62">
        <v>147</v>
      </c>
      <c r="R15" s="62">
        <v>70</v>
      </c>
      <c r="S15" s="62">
        <v>77</v>
      </c>
      <c r="T15" s="62">
        <v>1364</v>
      </c>
      <c r="U15" s="62">
        <v>534</v>
      </c>
      <c r="V15" s="62">
        <v>830</v>
      </c>
      <c r="W15" s="62">
        <v>1569</v>
      </c>
      <c r="X15" s="62">
        <v>732</v>
      </c>
      <c r="Y15" s="62">
        <v>837</v>
      </c>
      <c r="Z15" s="62">
        <v>230</v>
      </c>
      <c r="AA15" s="62">
        <v>156</v>
      </c>
      <c r="AB15" s="62">
        <v>74</v>
      </c>
      <c r="AC15" s="62">
        <v>471</v>
      </c>
      <c r="AD15" s="62">
        <v>213</v>
      </c>
      <c r="AE15" s="62">
        <v>258</v>
      </c>
      <c r="AF15" s="62">
        <v>6</v>
      </c>
      <c r="AG15" s="62">
        <v>2</v>
      </c>
      <c r="AH15" s="62">
        <v>4</v>
      </c>
      <c r="AI15" s="62">
        <v>10630</v>
      </c>
      <c r="AJ15" s="62">
        <v>5577</v>
      </c>
      <c r="AK15" s="62">
        <v>5053</v>
      </c>
      <c r="AL15" s="62">
        <v>5042</v>
      </c>
      <c r="AM15" s="62">
        <v>2789</v>
      </c>
      <c r="AN15" s="62">
        <v>2253</v>
      </c>
      <c r="AO15" s="62">
        <v>76</v>
      </c>
      <c r="AP15" s="62">
        <v>31</v>
      </c>
      <c r="AQ15" s="62">
        <v>45</v>
      </c>
      <c r="AR15" s="62">
        <v>233</v>
      </c>
      <c r="AS15" s="62">
        <v>66</v>
      </c>
      <c r="AT15" s="62">
        <v>167</v>
      </c>
      <c r="AU15" s="62">
        <v>5349</v>
      </c>
      <c r="AV15" s="62">
        <v>2964</v>
      </c>
      <c r="AW15" s="62">
        <v>2385</v>
      </c>
      <c r="AX15" s="62">
        <v>37</v>
      </c>
      <c r="AY15" s="62">
        <v>20</v>
      </c>
      <c r="AZ15" s="62">
        <v>17</v>
      </c>
      <c r="BA15" s="62">
        <v>71</v>
      </c>
      <c r="BB15" s="62">
        <v>47</v>
      </c>
      <c r="BC15" s="62">
        <v>24</v>
      </c>
      <c r="BD15" s="62">
        <v>348</v>
      </c>
      <c r="BE15" s="62">
        <v>264</v>
      </c>
      <c r="BF15" s="62">
        <v>84</v>
      </c>
      <c r="BG15" s="62">
        <v>8</v>
      </c>
      <c r="BH15" s="62">
        <v>5</v>
      </c>
      <c r="BI15" s="62">
        <v>3</v>
      </c>
      <c r="BJ15" s="253">
        <v>26</v>
      </c>
      <c r="BK15" s="253">
        <v>10</v>
      </c>
      <c r="BL15" s="253">
        <v>16</v>
      </c>
      <c r="BM15" s="253">
        <v>17</v>
      </c>
      <c r="BN15" s="253">
        <v>8</v>
      </c>
      <c r="BO15" s="253">
        <v>9</v>
      </c>
      <c r="BP15" s="253">
        <v>6</v>
      </c>
      <c r="BQ15" s="253">
        <v>4</v>
      </c>
      <c r="BR15" s="253">
        <v>2</v>
      </c>
      <c r="BS15" s="253">
        <v>20</v>
      </c>
      <c r="BT15" s="253">
        <v>10</v>
      </c>
      <c r="BU15" s="253">
        <v>10</v>
      </c>
      <c r="BV15" s="253">
        <v>24</v>
      </c>
      <c r="BW15" s="253">
        <v>4</v>
      </c>
      <c r="BX15" s="253">
        <v>20</v>
      </c>
      <c r="BY15" s="253">
        <v>197</v>
      </c>
      <c r="BZ15" s="253">
        <v>98</v>
      </c>
      <c r="CA15" s="253">
        <v>99</v>
      </c>
      <c r="CB15" s="253">
        <v>167</v>
      </c>
      <c r="CC15" s="253">
        <v>68</v>
      </c>
      <c r="CD15" s="253">
        <v>99</v>
      </c>
      <c r="CE15" s="253">
        <v>47</v>
      </c>
      <c r="CF15" s="253">
        <v>27</v>
      </c>
      <c r="CG15" s="253">
        <v>20</v>
      </c>
      <c r="CH15" s="253">
        <v>358</v>
      </c>
      <c r="CI15" s="253">
        <v>219</v>
      </c>
      <c r="CJ15" s="253">
        <v>139</v>
      </c>
      <c r="CK15" s="253">
        <v>6</v>
      </c>
      <c r="CL15" s="253">
        <v>0</v>
      </c>
      <c r="CM15" s="253">
        <v>6</v>
      </c>
      <c r="CN15" s="253">
        <v>9</v>
      </c>
      <c r="CO15" s="253">
        <v>5</v>
      </c>
      <c r="CP15" s="253">
        <v>4</v>
      </c>
      <c r="CQ15" s="253">
        <v>9</v>
      </c>
      <c r="CR15" s="253">
        <v>4</v>
      </c>
      <c r="CS15" s="253">
        <v>5</v>
      </c>
      <c r="CT15" s="253">
        <v>20</v>
      </c>
      <c r="CU15" s="253">
        <v>11</v>
      </c>
      <c r="CV15" s="253">
        <v>9</v>
      </c>
      <c r="CW15" s="253">
        <v>19</v>
      </c>
      <c r="CX15" s="253">
        <v>10</v>
      </c>
      <c r="CY15" s="253">
        <v>9</v>
      </c>
      <c r="CZ15" s="253">
        <v>1035</v>
      </c>
      <c r="DA15" s="253">
        <v>482</v>
      </c>
      <c r="DB15" s="253">
        <v>553</v>
      </c>
      <c r="DC15" s="253">
        <v>8</v>
      </c>
      <c r="DD15" s="253">
        <v>4</v>
      </c>
      <c r="DE15" s="253">
        <v>4</v>
      </c>
      <c r="DF15" s="253">
        <v>189</v>
      </c>
      <c r="DG15" s="253">
        <v>49</v>
      </c>
      <c r="DH15" s="253">
        <v>140</v>
      </c>
      <c r="DI15" s="253">
        <v>1531</v>
      </c>
      <c r="DJ15" s="253">
        <v>756</v>
      </c>
      <c r="DK15" s="253">
        <v>775</v>
      </c>
      <c r="DL15" s="253">
        <v>36</v>
      </c>
      <c r="DM15" s="253">
        <v>14</v>
      </c>
      <c r="DN15" s="253">
        <v>22</v>
      </c>
      <c r="DO15" s="253">
        <v>22</v>
      </c>
      <c r="DP15" s="253">
        <v>1</v>
      </c>
      <c r="DQ15" s="253">
        <v>21</v>
      </c>
      <c r="DR15" s="253">
        <v>1</v>
      </c>
      <c r="DS15" s="253">
        <v>1</v>
      </c>
      <c r="DT15" s="253">
        <v>0</v>
      </c>
      <c r="DU15" s="253">
        <v>26</v>
      </c>
      <c r="DV15" s="253">
        <v>16</v>
      </c>
      <c r="DW15" s="253">
        <v>10</v>
      </c>
      <c r="DX15" s="253">
        <v>5</v>
      </c>
      <c r="DY15" s="253">
        <v>2</v>
      </c>
      <c r="DZ15" s="253">
        <v>3</v>
      </c>
      <c r="EA15" s="253"/>
      <c r="EB15" s="253"/>
      <c r="EC15" s="253"/>
      <c r="ED15" s="253">
        <v>1</v>
      </c>
      <c r="EE15" s="253">
        <v>0</v>
      </c>
      <c r="EF15" s="253">
        <v>1</v>
      </c>
      <c r="EG15" s="253">
        <v>9</v>
      </c>
      <c r="EH15" s="253">
        <v>4</v>
      </c>
      <c r="EI15" s="253">
        <v>5</v>
      </c>
      <c r="EJ15" s="253">
        <v>34</v>
      </c>
      <c r="EK15" s="253">
        <v>13</v>
      </c>
      <c r="EL15" s="253">
        <v>21</v>
      </c>
      <c r="EM15" s="253">
        <v>1</v>
      </c>
      <c r="EN15" s="253">
        <v>1</v>
      </c>
      <c r="EO15" s="253">
        <v>0</v>
      </c>
      <c r="EP15" s="253"/>
      <c r="EQ15" s="253"/>
      <c r="ER15" s="253"/>
      <c r="ES15" s="253">
        <v>2</v>
      </c>
      <c r="ET15" s="253">
        <v>0</v>
      </c>
      <c r="EU15" s="253">
        <v>2</v>
      </c>
      <c r="EV15" s="253"/>
      <c r="EW15" s="253"/>
      <c r="EX15" s="253"/>
      <c r="EY15" s="253">
        <v>9</v>
      </c>
      <c r="EZ15" s="253">
        <v>7</v>
      </c>
      <c r="FA15" s="253">
        <v>2</v>
      </c>
      <c r="FB15" s="253">
        <v>257</v>
      </c>
      <c r="FC15" s="253">
        <v>74</v>
      </c>
      <c r="FD15" s="253">
        <v>183</v>
      </c>
      <c r="FE15" s="63">
        <f t="shared" si="0"/>
        <v>61793</v>
      </c>
      <c r="FF15" s="253" t="b">
        <f t="shared" si="1"/>
        <v>1</v>
      </c>
    </row>
    <row r="16" spans="1:162">
      <c r="A16" s="881" t="s">
        <v>100</v>
      </c>
      <c r="B16" s="62">
        <v>3824</v>
      </c>
      <c r="C16" s="62">
        <v>1781</v>
      </c>
      <c r="D16" s="62">
        <v>2043</v>
      </c>
      <c r="E16" s="62">
        <v>915</v>
      </c>
      <c r="F16" s="62">
        <v>508</v>
      </c>
      <c r="G16" s="62">
        <v>407</v>
      </c>
      <c r="H16" s="62">
        <v>124</v>
      </c>
      <c r="I16" s="62">
        <v>73</v>
      </c>
      <c r="J16" s="62">
        <v>51</v>
      </c>
      <c r="K16" s="62">
        <v>651</v>
      </c>
      <c r="L16" s="62">
        <v>159</v>
      </c>
      <c r="M16" s="62">
        <v>492</v>
      </c>
      <c r="N16" s="62">
        <v>1516</v>
      </c>
      <c r="O16" s="62">
        <v>822</v>
      </c>
      <c r="P16" s="62">
        <v>694</v>
      </c>
      <c r="Q16" s="62">
        <v>69</v>
      </c>
      <c r="R16" s="62">
        <v>38</v>
      </c>
      <c r="S16" s="62">
        <v>31</v>
      </c>
      <c r="T16" s="62">
        <v>255</v>
      </c>
      <c r="U16" s="62">
        <v>130</v>
      </c>
      <c r="V16" s="62">
        <v>125</v>
      </c>
      <c r="W16" s="62">
        <v>372</v>
      </c>
      <c r="X16" s="62">
        <v>294</v>
      </c>
      <c r="Y16" s="62">
        <v>78</v>
      </c>
      <c r="Z16" s="62">
        <v>49</v>
      </c>
      <c r="AA16" s="62">
        <v>25</v>
      </c>
      <c r="AB16" s="62">
        <v>24</v>
      </c>
      <c r="AC16" s="62">
        <v>77</v>
      </c>
      <c r="AD16" s="62">
        <v>52</v>
      </c>
      <c r="AE16" s="62">
        <v>25</v>
      </c>
      <c r="AF16" s="62">
        <v>12</v>
      </c>
      <c r="AG16" s="62">
        <v>8</v>
      </c>
      <c r="AH16" s="62">
        <v>4</v>
      </c>
      <c r="AI16" s="62">
        <v>1787</v>
      </c>
      <c r="AJ16" s="62">
        <v>962</v>
      </c>
      <c r="AK16" s="62">
        <v>825</v>
      </c>
      <c r="AL16" s="62">
        <v>844</v>
      </c>
      <c r="AM16" s="62">
        <v>481</v>
      </c>
      <c r="AN16" s="62">
        <v>363</v>
      </c>
      <c r="AO16" s="62">
        <v>80</v>
      </c>
      <c r="AP16" s="62">
        <v>56</v>
      </c>
      <c r="AQ16" s="62">
        <v>24</v>
      </c>
      <c r="AR16" s="62">
        <v>434</v>
      </c>
      <c r="AS16" s="62">
        <v>135</v>
      </c>
      <c r="AT16" s="62">
        <v>299</v>
      </c>
      <c r="AU16" s="62">
        <v>977</v>
      </c>
      <c r="AV16" s="62">
        <v>548</v>
      </c>
      <c r="AW16" s="62">
        <v>429</v>
      </c>
      <c r="AX16" s="62">
        <v>14</v>
      </c>
      <c r="AY16" s="62">
        <v>12</v>
      </c>
      <c r="AZ16" s="62">
        <v>2</v>
      </c>
      <c r="BA16" s="62">
        <v>18</v>
      </c>
      <c r="BB16" s="62">
        <v>13</v>
      </c>
      <c r="BC16" s="62">
        <v>5</v>
      </c>
      <c r="BD16" s="62">
        <v>26</v>
      </c>
      <c r="BE16" s="62">
        <v>18</v>
      </c>
      <c r="BF16" s="62">
        <v>8</v>
      </c>
      <c r="BG16" s="62">
        <v>11</v>
      </c>
      <c r="BH16" s="62">
        <v>9</v>
      </c>
      <c r="BI16" s="62">
        <v>2</v>
      </c>
      <c r="BJ16" s="253">
        <v>36</v>
      </c>
      <c r="BK16" s="253">
        <v>22</v>
      </c>
      <c r="BL16" s="253">
        <v>14</v>
      </c>
      <c r="BM16" s="253">
        <v>4</v>
      </c>
      <c r="BN16" s="253">
        <v>0</v>
      </c>
      <c r="BO16" s="253">
        <v>4</v>
      </c>
      <c r="BP16" s="253">
        <v>2</v>
      </c>
      <c r="BQ16" s="253">
        <v>1</v>
      </c>
      <c r="BR16" s="253">
        <v>1</v>
      </c>
      <c r="BS16" s="253">
        <v>3</v>
      </c>
      <c r="BT16" s="253">
        <v>2</v>
      </c>
      <c r="BU16" s="253">
        <v>1</v>
      </c>
      <c r="BV16" s="253">
        <v>7</v>
      </c>
      <c r="BW16" s="253">
        <v>0</v>
      </c>
      <c r="BX16" s="253">
        <v>7</v>
      </c>
      <c r="BY16" s="253">
        <v>94</v>
      </c>
      <c r="BZ16" s="253">
        <v>68</v>
      </c>
      <c r="CA16" s="253">
        <v>26</v>
      </c>
      <c r="CB16" s="253">
        <v>107</v>
      </c>
      <c r="CC16" s="253">
        <v>64</v>
      </c>
      <c r="CD16" s="253">
        <v>43</v>
      </c>
      <c r="CE16" s="253">
        <v>113</v>
      </c>
      <c r="CF16" s="253">
        <v>72</v>
      </c>
      <c r="CG16" s="253">
        <v>41</v>
      </c>
      <c r="CH16" s="253">
        <v>66</v>
      </c>
      <c r="CI16" s="253">
        <v>22</v>
      </c>
      <c r="CJ16" s="253">
        <v>44</v>
      </c>
      <c r="CK16" s="253">
        <v>3</v>
      </c>
      <c r="CL16" s="253">
        <v>3</v>
      </c>
      <c r="CM16" s="253">
        <v>0</v>
      </c>
      <c r="CN16" s="253">
        <v>31</v>
      </c>
      <c r="CO16" s="253">
        <v>20</v>
      </c>
      <c r="CP16" s="253">
        <v>11</v>
      </c>
      <c r="CQ16" s="253">
        <v>8</v>
      </c>
      <c r="CR16" s="253">
        <v>2</v>
      </c>
      <c r="CS16" s="253">
        <v>6</v>
      </c>
      <c r="CT16" s="253">
        <v>11</v>
      </c>
      <c r="CU16" s="253">
        <v>3</v>
      </c>
      <c r="CV16" s="253">
        <v>8</v>
      </c>
      <c r="CW16" s="253">
        <v>14</v>
      </c>
      <c r="CX16" s="253">
        <v>10</v>
      </c>
      <c r="CY16" s="253">
        <v>4</v>
      </c>
      <c r="CZ16" s="253">
        <v>115</v>
      </c>
      <c r="DA16" s="253">
        <v>94</v>
      </c>
      <c r="DB16" s="253">
        <v>21</v>
      </c>
      <c r="DC16" s="253">
        <v>1</v>
      </c>
      <c r="DD16" s="253">
        <v>1</v>
      </c>
      <c r="DE16" s="253">
        <v>0</v>
      </c>
      <c r="DF16" s="253">
        <v>173</v>
      </c>
      <c r="DG16" s="253">
        <v>116</v>
      </c>
      <c r="DH16" s="253">
        <v>57</v>
      </c>
      <c r="DI16" s="253">
        <v>205</v>
      </c>
      <c r="DJ16" s="253">
        <v>144</v>
      </c>
      <c r="DK16" s="253">
        <v>61</v>
      </c>
      <c r="DL16" s="253">
        <v>26</v>
      </c>
      <c r="DM16" s="253">
        <v>20</v>
      </c>
      <c r="DN16" s="253">
        <v>6</v>
      </c>
      <c r="DO16" s="253"/>
      <c r="DP16" s="253"/>
      <c r="DQ16" s="253"/>
      <c r="DR16" s="253"/>
      <c r="DS16" s="253"/>
      <c r="DT16" s="253"/>
      <c r="DU16" s="253">
        <v>81</v>
      </c>
      <c r="DV16" s="253">
        <v>61</v>
      </c>
      <c r="DW16" s="253">
        <v>20</v>
      </c>
      <c r="DX16" s="253">
        <v>6</v>
      </c>
      <c r="DY16" s="253">
        <v>3</v>
      </c>
      <c r="DZ16" s="253">
        <v>3</v>
      </c>
      <c r="EA16" s="253">
        <v>2</v>
      </c>
      <c r="EB16" s="253">
        <v>0</v>
      </c>
      <c r="EC16" s="253">
        <v>2</v>
      </c>
      <c r="ED16" s="253"/>
      <c r="EE16" s="253"/>
      <c r="EF16" s="253"/>
      <c r="EG16" s="253">
        <v>58</v>
      </c>
      <c r="EH16" s="253">
        <v>5</v>
      </c>
      <c r="EI16" s="253">
        <v>53</v>
      </c>
      <c r="EJ16" s="253">
        <v>57</v>
      </c>
      <c r="EK16" s="253">
        <v>7</v>
      </c>
      <c r="EL16" s="253">
        <v>50</v>
      </c>
      <c r="EM16" s="253">
        <v>2</v>
      </c>
      <c r="EN16" s="253">
        <v>0</v>
      </c>
      <c r="EO16" s="253">
        <v>2</v>
      </c>
      <c r="EP16" s="253"/>
      <c r="EQ16" s="253"/>
      <c r="ER16" s="253"/>
      <c r="ES16" s="253"/>
      <c r="ET16" s="253"/>
      <c r="EU16" s="253"/>
      <c r="EV16" s="253">
        <v>13</v>
      </c>
      <c r="EW16" s="253">
        <v>1</v>
      </c>
      <c r="EX16" s="253">
        <v>12</v>
      </c>
      <c r="EY16" s="253">
        <v>13</v>
      </c>
      <c r="EZ16" s="253">
        <v>1</v>
      </c>
      <c r="FA16" s="253">
        <v>12</v>
      </c>
      <c r="FB16" s="253">
        <v>19</v>
      </c>
      <c r="FC16" s="253">
        <v>0</v>
      </c>
      <c r="FD16" s="253">
        <v>19</v>
      </c>
      <c r="FE16" s="63">
        <f t="shared" si="0"/>
        <v>13325</v>
      </c>
      <c r="FF16" s="253" t="b">
        <f t="shared" si="1"/>
        <v>1</v>
      </c>
    </row>
    <row r="17" spans="1:162">
      <c r="A17" s="881" t="s">
        <v>101</v>
      </c>
      <c r="B17" s="62">
        <v>4768</v>
      </c>
      <c r="C17" s="62">
        <v>2650</v>
      </c>
      <c r="D17" s="62">
        <v>2118</v>
      </c>
      <c r="E17" s="62">
        <v>1299</v>
      </c>
      <c r="F17" s="62">
        <v>917</v>
      </c>
      <c r="G17" s="62">
        <v>382</v>
      </c>
      <c r="H17" s="62">
        <v>88</v>
      </c>
      <c r="I17" s="62">
        <v>44</v>
      </c>
      <c r="J17" s="62">
        <v>44</v>
      </c>
      <c r="K17" s="62">
        <v>630</v>
      </c>
      <c r="L17" s="62">
        <v>154</v>
      </c>
      <c r="M17" s="62">
        <v>476</v>
      </c>
      <c r="N17" s="62">
        <v>1803</v>
      </c>
      <c r="O17" s="62">
        <v>1141</v>
      </c>
      <c r="P17" s="62">
        <v>662</v>
      </c>
      <c r="Q17" s="62">
        <v>53</v>
      </c>
      <c r="R17" s="62">
        <v>21</v>
      </c>
      <c r="S17" s="62">
        <v>32</v>
      </c>
      <c r="T17" s="62">
        <v>392</v>
      </c>
      <c r="U17" s="62">
        <v>210</v>
      </c>
      <c r="V17" s="62">
        <v>182</v>
      </c>
      <c r="W17" s="62">
        <v>538</v>
      </c>
      <c r="X17" s="62">
        <v>382</v>
      </c>
      <c r="Y17" s="62">
        <v>156</v>
      </c>
      <c r="Z17" s="62">
        <v>87</v>
      </c>
      <c r="AA17" s="62">
        <v>76</v>
      </c>
      <c r="AB17" s="62">
        <v>11</v>
      </c>
      <c r="AC17" s="62">
        <v>87</v>
      </c>
      <c r="AD17" s="62">
        <v>39</v>
      </c>
      <c r="AE17" s="62">
        <v>48</v>
      </c>
      <c r="AF17" s="62">
        <v>7</v>
      </c>
      <c r="AG17" s="62">
        <v>4</v>
      </c>
      <c r="AH17" s="62">
        <v>3</v>
      </c>
      <c r="AI17" s="62">
        <v>2252</v>
      </c>
      <c r="AJ17" s="62">
        <v>1391</v>
      </c>
      <c r="AK17" s="62">
        <v>861</v>
      </c>
      <c r="AL17" s="62">
        <v>1359</v>
      </c>
      <c r="AM17" s="62">
        <v>945</v>
      </c>
      <c r="AN17" s="62">
        <v>414</v>
      </c>
      <c r="AO17" s="62">
        <v>25</v>
      </c>
      <c r="AP17" s="62">
        <v>15</v>
      </c>
      <c r="AQ17" s="62">
        <v>10</v>
      </c>
      <c r="AR17" s="62">
        <v>83</v>
      </c>
      <c r="AS17" s="62">
        <v>29</v>
      </c>
      <c r="AT17" s="62">
        <v>54</v>
      </c>
      <c r="AU17" s="62">
        <v>1411</v>
      </c>
      <c r="AV17" s="62">
        <v>950</v>
      </c>
      <c r="AW17" s="62">
        <v>461</v>
      </c>
      <c r="AX17" s="62">
        <v>4</v>
      </c>
      <c r="AY17" s="62">
        <v>2</v>
      </c>
      <c r="AZ17" s="62">
        <v>2</v>
      </c>
      <c r="BA17" s="62">
        <v>9</v>
      </c>
      <c r="BB17" s="62">
        <v>4</v>
      </c>
      <c r="BC17" s="62">
        <v>5</v>
      </c>
      <c r="BD17" s="62">
        <v>65</v>
      </c>
      <c r="BE17" s="62">
        <v>61</v>
      </c>
      <c r="BF17" s="62">
        <v>4</v>
      </c>
      <c r="BG17" s="62">
        <v>2</v>
      </c>
      <c r="BH17" s="62">
        <v>2</v>
      </c>
      <c r="BI17" s="62">
        <v>0</v>
      </c>
      <c r="BJ17" s="253">
        <v>12</v>
      </c>
      <c r="BK17" s="253">
        <v>6</v>
      </c>
      <c r="BL17" s="253">
        <v>6</v>
      </c>
      <c r="BM17" s="253">
        <v>8</v>
      </c>
      <c r="BN17" s="253">
        <v>3</v>
      </c>
      <c r="BO17" s="253">
        <v>5</v>
      </c>
      <c r="BP17" s="253">
        <v>3</v>
      </c>
      <c r="BQ17" s="253">
        <v>1</v>
      </c>
      <c r="BR17" s="253">
        <v>2</v>
      </c>
      <c r="BS17" s="253">
        <v>12</v>
      </c>
      <c r="BT17" s="253">
        <v>3</v>
      </c>
      <c r="BU17" s="253">
        <v>9</v>
      </c>
      <c r="BV17" s="253">
        <v>8</v>
      </c>
      <c r="BW17" s="253">
        <v>5</v>
      </c>
      <c r="BX17" s="253">
        <v>3</v>
      </c>
      <c r="BY17" s="253">
        <v>38</v>
      </c>
      <c r="BZ17" s="253">
        <v>18</v>
      </c>
      <c r="CA17" s="253">
        <v>20</v>
      </c>
      <c r="CB17" s="253">
        <v>97</v>
      </c>
      <c r="CC17" s="253">
        <v>37</v>
      </c>
      <c r="CD17" s="253">
        <v>60</v>
      </c>
      <c r="CE17" s="253">
        <v>52</v>
      </c>
      <c r="CF17" s="253">
        <v>41</v>
      </c>
      <c r="CG17" s="253">
        <v>11</v>
      </c>
      <c r="CH17" s="253">
        <v>39</v>
      </c>
      <c r="CI17" s="253">
        <v>35</v>
      </c>
      <c r="CJ17" s="253">
        <v>4</v>
      </c>
      <c r="CK17" s="253"/>
      <c r="CL17" s="253"/>
      <c r="CM17" s="253"/>
      <c r="CN17" s="253">
        <v>8</v>
      </c>
      <c r="CO17" s="253">
        <v>5</v>
      </c>
      <c r="CP17" s="253">
        <v>3</v>
      </c>
      <c r="CQ17" s="253">
        <v>17</v>
      </c>
      <c r="CR17" s="253">
        <v>15</v>
      </c>
      <c r="CS17" s="253">
        <v>2</v>
      </c>
      <c r="CT17" s="253">
        <v>22</v>
      </c>
      <c r="CU17" s="253">
        <v>3</v>
      </c>
      <c r="CV17" s="253">
        <v>19</v>
      </c>
      <c r="CW17" s="253">
        <v>4</v>
      </c>
      <c r="CX17" s="253">
        <v>2</v>
      </c>
      <c r="CY17" s="253">
        <v>2</v>
      </c>
      <c r="CZ17" s="253">
        <v>66</v>
      </c>
      <c r="DA17" s="253">
        <v>36</v>
      </c>
      <c r="DB17" s="253">
        <v>30</v>
      </c>
      <c r="DC17" s="253">
        <v>2</v>
      </c>
      <c r="DD17" s="253">
        <v>2</v>
      </c>
      <c r="DE17" s="253">
        <v>0</v>
      </c>
      <c r="DF17" s="253">
        <v>141</v>
      </c>
      <c r="DG17" s="253">
        <v>52</v>
      </c>
      <c r="DH17" s="253">
        <v>89</v>
      </c>
      <c r="DI17" s="253">
        <v>76</v>
      </c>
      <c r="DJ17" s="253">
        <v>32</v>
      </c>
      <c r="DK17" s="253">
        <v>44</v>
      </c>
      <c r="DL17" s="253">
        <v>31</v>
      </c>
      <c r="DM17" s="253">
        <v>25</v>
      </c>
      <c r="DN17" s="253">
        <v>6</v>
      </c>
      <c r="DO17" s="253">
        <v>1</v>
      </c>
      <c r="DP17" s="253">
        <v>1</v>
      </c>
      <c r="DQ17" s="253">
        <v>0</v>
      </c>
      <c r="DR17" s="253"/>
      <c r="DS17" s="253"/>
      <c r="DT17" s="253"/>
      <c r="DU17" s="253">
        <v>45</v>
      </c>
      <c r="DV17" s="253">
        <v>38</v>
      </c>
      <c r="DW17" s="253">
        <v>7</v>
      </c>
      <c r="DX17" s="253">
        <v>1</v>
      </c>
      <c r="DY17" s="253">
        <v>0</v>
      </c>
      <c r="DZ17" s="253">
        <v>1</v>
      </c>
      <c r="EA17" s="253"/>
      <c r="EB17" s="253"/>
      <c r="EC17" s="253"/>
      <c r="ED17" s="253"/>
      <c r="EE17" s="253"/>
      <c r="EF17" s="253"/>
      <c r="EG17" s="253">
        <v>2</v>
      </c>
      <c r="EH17" s="253">
        <v>1</v>
      </c>
      <c r="EI17" s="253">
        <v>1</v>
      </c>
      <c r="EJ17" s="253">
        <v>73</v>
      </c>
      <c r="EK17" s="253">
        <v>52</v>
      </c>
      <c r="EL17" s="253">
        <v>21</v>
      </c>
      <c r="EM17" s="253"/>
      <c r="EN17" s="253"/>
      <c r="EO17" s="253"/>
      <c r="EP17" s="253"/>
      <c r="EQ17" s="253"/>
      <c r="ER17" s="253"/>
      <c r="ES17" s="253"/>
      <c r="ET17" s="253"/>
      <c r="EU17" s="253"/>
      <c r="EV17" s="253"/>
      <c r="EW17" s="253"/>
      <c r="EX17" s="253"/>
      <c r="EY17" s="253">
        <v>5</v>
      </c>
      <c r="EZ17" s="253">
        <v>5</v>
      </c>
      <c r="FA17" s="253">
        <v>0</v>
      </c>
      <c r="FB17" s="253">
        <v>11</v>
      </c>
      <c r="FC17" s="253">
        <v>4</v>
      </c>
      <c r="FD17" s="253">
        <v>7</v>
      </c>
      <c r="FE17" s="63">
        <f t="shared" si="0"/>
        <v>15736</v>
      </c>
      <c r="FF17" s="253" t="b">
        <f t="shared" si="1"/>
        <v>1</v>
      </c>
    </row>
    <row r="18" spans="1:162">
      <c r="A18" s="881" t="s">
        <v>103</v>
      </c>
      <c r="B18" s="62">
        <v>7079</v>
      </c>
      <c r="C18" s="62">
        <v>3716</v>
      </c>
      <c r="D18" s="62">
        <v>3363</v>
      </c>
      <c r="E18" s="62">
        <v>955</v>
      </c>
      <c r="F18" s="62">
        <v>705</v>
      </c>
      <c r="G18" s="62">
        <v>250</v>
      </c>
      <c r="H18" s="62">
        <v>278</v>
      </c>
      <c r="I18" s="62">
        <v>99</v>
      </c>
      <c r="J18" s="62">
        <v>179</v>
      </c>
      <c r="K18" s="62">
        <v>1072</v>
      </c>
      <c r="L18" s="62">
        <v>279</v>
      </c>
      <c r="M18" s="62">
        <v>793</v>
      </c>
      <c r="N18" s="62">
        <v>2559</v>
      </c>
      <c r="O18" s="62">
        <v>1662</v>
      </c>
      <c r="P18" s="62">
        <v>897</v>
      </c>
      <c r="Q18" s="62">
        <v>152</v>
      </c>
      <c r="R18" s="62">
        <v>66</v>
      </c>
      <c r="S18" s="62">
        <v>86</v>
      </c>
      <c r="T18" s="62">
        <v>622</v>
      </c>
      <c r="U18" s="62">
        <v>291</v>
      </c>
      <c r="V18" s="62">
        <v>331</v>
      </c>
      <c r="W18" s="62">
        <v>892</v>
      </c>
      <c r="X18" s="62">
        <v>521</v>
      </c>
      <c r="Y18" s="62">
        <v>371</v>
      </c>
      <c r="Z18" s="62">
        <v>79</v>
      </c>
      <c r="AA18" s="62">
        <v>46</v>
      </c>
      <c r="AB18" s="62">
        <v>33</v>
      </c>
      <c r="AC18" s="62">
        <v>197</v>
      </c>
      <c r="AD18" s="62">
        <v>114</v>
      </c>
      <c r="AE18" s="62">
        <v>83</v>
      </c>
      <c r="AF18" s="62">
        <v>30</v>
      </c>
      <c r="AG18" s="62">
        <v>18</v>
      </c>
      <c r="AH18" s="62">
        <v>12</v>
      </c>
      <c r="AI18" s="62">
        <v>1969</v>
      </c>
      <c r="AJ18" s="62">
        <v>1256</v>
      </c>
      <c r="AK18" s="62">
        <v>713</v>
      </c>
      <c r="AL18" s="62">
        <v>504</v>
      </c>
      <c r="AM18" s="62">
        <v>362</v>
      </c>
      <c r="AN18" s="62">
        <v>142</v>
      </c>
      <c r="AO18" s="62">
        <v>108</v>
      </c>
      <c r="AP18" s="62">
        <v>78</v>
      </c>
      <c r="AQ18" s="62">
        <v>30</v>
      </c>
      <c r="AR18" s="62">
        <v>255</v>
      </c>
      <c r="AS18" s="62">
        <v>110</v>
      </c>
      <c r="AT18" s="62">
        <v>145</v>
      </c>
      <c r="AU18" s="62">
        <v>982</v>
      </c>
      <c r="AV18" s="62">
        <v>731</v>
      </c>
      <c r="AW18" s="62">
        <v>251</v>
      </c>
      <c r="AX18" s="62">
        <v>14</v>
      </c>
      <c r="AY18" s="62">
        <v>11</v>
      </c>
      <c r="AZ18" s="62">
        <v>3</v>
      </c>
      <c r="BA18" s="62">
        <v>20</v>
      </c>
      <c r="BB18" s="62">
        <v>17</v>
      </c>
      <c r="BC18" s="62">
        <v>3</v>
      </c>
      <c r="BD18" s="62">
        <v>31</v>
      </c>
      <c r="BE18" s="62">
        <v>15</v>
      </c>
      <c r="BF18" s="62">
        <v>16</v>
      </c>
      <c r="BG18" s="62">
        <v>11</v>
      </c>
      <c r="BH18" s="62">
        <v>6</v>
      </c>
      <c r="BI18" s="62">
        <v>5</v>
      </c>
      <c r="BJ18" s="253">
        <v>61</v>
      </c>
      <c r="BK18" s="253">
        <v>33</v>
      </c>
      <c r="BL18" s="253">
        <v>28</v>
      </c>
      <c r="BM18" s="253">
        <v>23</v>
      </c>
      <c r="BN18" s="253">
        <v>17</v>
      </c>
      <c r="BO18" s="253">
        <v>6</v>
      </c>
      <c r="BP18" s="253">
        <v>8</v>
      </c>
      <c r="BQ18" s="253">
        <v>5</v>
      </c>
      <c r="BR18" s="253">
        <v>3</v>
      </c>
      <c r="BS18" s="253">
        <v>44</v>
      </c>
      <c r="BT18" s="253">
        <v>30</v>
      </c>
      <c r="BU18" s="253">
        <v>14</v>
      </c>
      <c r="BV18" s="253">
        <v>24</v>
      </c>
      <c r="BW18" s="253">
        <v>10</v>
      </c>
      <c r="BX18" s="253">
        <v>14</v>
      </c>
      <c r="BY18" s="253">
        <v>35</v>
      </c>
      <c r="BZ18" s="253">
        <v>25</v>
      </c>
      <c r="CA18" s="253">
        <v>10</v>
      </c>
      <c r="CB18" s="253">
        <v>101</v>
      </c>
      <c r="CC18" s="253">
        <v>42</v>
      </c>
      <c r="CD18" s="253">
        <v>59</v>
      </c>
      <c r="CE18" s="253">
        <v>183</v>
      </c>
      <c r="CF18" s="253">
        <v>108</v>
      </c>
      <c r="CG18" s="253">
        <v>75</v>
      </c>
      <c r="CH18" s="253">
        <v>140</v>
      </c>
      <c r="CI18" s="253">
        <v>89</v>
      </c>
      <c r="CJ18" s="253">
        <v>51</v>
      </c>
      <c r="CK18" s="253"/>
      <c r="CL18" s="253"/>
      <c r="CM18" s="253"/>
      <c r="CN18" s="253">
        <v>19</v>
      </c>
      <c r="CO18" s="253">
        <v>6</v>
      </c>
      <c r="CP18" s="253">
        <v>13</v>
      </c>
      <c r="CQ18" s="253">
        <v>68</v>
      </c>
      <c r="CR18" s="253">
        <v>20</v>
      </c>
      <c r="CS18" s="253">
        <v>48</v>
      </c>
      <c r="CT18" s="253">
        <v>72</v>
      </c>
      <c r="CU18" s="253">
        <v>32</v>
      </c>
      <c r="CV18" s="253">
        <v>40</v>
      </c>
      <c r="CW18" s="253">
        <v>35</v>
      </c>
      <c r="CX18" s="253">
        <v>18</v>
      </c>
      <c r="CY18" s="253">
        <v>17</v>
      </c>
      <c r="CZ18" s="253">
        <v>224</v>
      </c>
      <c r="DA18" s="253">
        <v>113</v>
      </c>
      <c r="DB18" s="253">
        <v>111</v>
      </c>
      <c r="DC18" s="253">
        <v>4</v>
      </c>
      <c r="DD18" s="253">
        <v>4</v>
      </c>
      <c r="DE18" s="253">
        <v>0</v>
      </c>
      <c r="DF18" s="253">
        <v>136</v>
      </c>
      <c r="DG18" s="253">
        <v>76</v>
      </c>
      <c r="DH18" s="253">
        <v>60</v>
      </c>
      <c r="DI18" s="253">
        <v>1260</v>
      </c>
      <c r="DJ18" s="253">
        <v>546</v>
      </c>
      <c r="DK18" s="253">
        <v>714</v>
      </c>
      <c r="DL18" s="253">
        <v>130</v>
      </c>
      <c r="DM18" s="253">
        <v>61</v>
      </c>
      <c r="DN18" s="253">
        <v>69</v>
      </c>
      <c r="DO18" s="253"/>
      <c r="DP18" s="253"/>
      <c r="DQ18" s="253"/>
      <c r="DR18" s="253"/>
      <c r="DS18" s="253"/>
      <c r="DT18" s="253"/>
      <c r="DU18" s="253">
        <v>40</v>
      </c>
      <c r="DV18" s="253">
        <v>22</v>
      </c>
      <c r="DW18" s="253">
        <v>18</v>
      </c>
      <c r="DX18" s="253">
        <v>10</v>
      </c>
      <c r="DY18" s="253">
        <v>2</v>
      </c>
      <c r="DZ18" s="253">
        <v>8</v>
      </c>
      <c r="EA18" s="253">
        <v>6</v>
      </c>
      <c r="EB18" s="253">
        <v>1</v>
      </c>
      <c r="EC18" s="253">
        <v>5</v>
      </c>
      <c r="ED18" s="253">
        <v>11</v>
      </c>
      <c r="EE18" s="253">
        <v>10</v>
      </c>
      <c r="EF18" s="253">
        <v>1</v>
      </c>
      <c r="EG18" s="253">
        <v>5</v>
      </c>
      <c r="EH18" s="253">
        <v>0</v>
      </c>
      <c r="EI18" s="253">
        <v>5</v>
      </c>
      <c r="EJ18" s="253">
        <v>37</v>
      </c>
      <c r="EK18" s="253">
        <v>20</v>
      </c>
      <c r="EL18" s="253">
        <v>17</v>
      </c>
      <c r="EM18" s="253">
        <v>7</v>
      </c>
      <c r="EN18" s="253">
        <v>7</v>
      </c>
      <c r="EO18" s="253">
        <v>0</v>
      </c>
      <c r="EP18" s="253"/>
      <c r="EQ18" s="253"/>
      <c r="ER18" s="253"/>
      <c r="ES18" s="253">
        <v>6</v>
      </c>
      <c r="ET18" s="253">
        <v>4</v>
      </c>
      <c r="EU18" s="253">
        <v>2</v>
      </c>
      <c r="EV18" s="253">
        <v>1</v>
      </c>
      <c r="EW18" s="253">
        <v>0</v>
      </c>
      <c r="EX18" s="253">
        <v>1</v>
      </c>
      <c r="EY18" s="253">
        <v>15</v>
      </c>
      <c r="EZ18" s="253">
        <v>12</v>
      </c>
      <c r="FA18" s="253">
        <v>3</v>
      </c>
      <c r="FB18" s="253">
        <v>37</v>
      </c>
      <c r="FC18" s="253">
        <v>25</v>
      </c>
      <c r="FD18" s="253">
        <v>12</v>
      </c>
      <c r="FE18" s="63">
        <f t="shared" si="0"/>
        <v>20551</v>
      </c>
      <c r="FF18" s="253" t="b">
        <f t="shared" si="1"/>
        <v>1</v>
      </c>
    </row>
    <row r="19" spans="1:162">
      <c r="A19" s="881" t="s">
        <v>104</v>
      </c>
      <c r="B19" s="62">
        <v>2110</v>
      </c>
      <c r="C19" s="62">
        <v>1243</v>
      </c>
      <c r="D19" s="62">
        <v>867</v>
      </c>
      <c r="E19" s="62">
        <v>297</v>
      </c>
      <c r="F19" s="62">
        <v>224</v>
      </c>
      <c r="G19" s="62">
        <v>73</v>
      </c>
      <c r="H19" s="62">
        <v>43</v>
      </c>
      <c r="I19" s="62">
        <v>31</v>
      </c>
      <c r="J19" s="62">
        <v>12</v>
      </c>
      <c r="K19" s="62">
        <v>263</v>
      </c>
      <c r="L19" s="62">
        <v>75</v>
      </c>
      <c r="M19" s="62">
        <v>188</v>
      </c>
      <c r="N19" s="62">
        <v>467</v>
      </c>
      <c r="O19" s="62">
        <v>321</v>
      </c>
      <c r="P19" s="62">
        <v>146</v>
      </c>
      <c r="Q19" s="62">
        <v>49</v>
      </c>
      <c r="R19" s="62">
        <v>30</v>
      </c>
      <c r="S19" s="62">
        <v>19</v>
      </c>
      <c r="T19" s="62">
        <v>115</v>
      </c>
      <c r="U19" s="62">
        <v>80</v>
      </c>
      <c r="V19" s="62">
        <v>35</v>
      </c>
      <c r="W19" s="62">
        <v>142</v>
      </c>
      <c r="X19" s="62">
        <v>108</v>
      </c>
      <c r="Y19" s="62">
        <v>34</v>
      </c>
      <c r="Z19" s="62">
        <v>16</v>
      </c>
      <c r="AA19" s="62">
        <v>13</v>
      </c>
      <c r="AB19" s="62">
        <v>3</v>
      </c>
      <c r="AC19" s="62">
        <v>27</v>
      </c>
      <c r="AD19" s="62">
        <v>20</v>
      </c>
      <c r="AE19" s="62">
        <v>7</v>
      </c>
      <c r="AF19" s="62">
        <v>2</v>
      </c>
      <c r="AG19" s="62">
        <v>1</v>
      </c>
      <c r="AH19" s="62">
        <v>1</v>
      </c>
      <c r="AI19" s="62">
        <v>843</v>
      </c>
      <c r="AJ19" s="62">
        <v>582</v>
      </c>
      <c r="AK19" s="62">
        <v>261</v>
      </c>
      <c r="AL19" s="62">
        <v>291</v>
      </c>
      <c r="AM19" s="62">
        <v>204</v>
      </c>
      <c r="AN19" s="62">
        <v>87</v>
      </c>
      <c r="AO19" s="62">
        <v>9</v>
      </c>
      <c r="AP19" s="62">
        <v>8</v>
      </c>
      <c r="AQ19" s="62">
        <v>1</v>
      </c>
      <c r="AR19" s="62">
        <v>36</v>
      </c>
      <c r="AS19" s="62">
        <v>19</v>
      </c>
      <c r="AT19" s="62">
        <v>17</v>
      </c>
      <c r="AU19" s="62">
        <v>451</v>
      </c>
      <c r="AV19" s="62">
        <v>253</v>
      </c>
      <c r="AW19" s="62">
        <v>198</v>
      </c>
      <c r="AX19" s="62">
        <v>2</v>
      </c>
      <c r="AY19" s="62">
        <v>2</v>
      </c>
      <c r="AZ19" s="62">
        <v>0</v>
      </c>
      <c r="BA19" s="62">
        <v>26</v>
      </c>
      <c r="BB19" s="62">
        <v>12</v>
      </c>
      <c r="BC19" s="62">
        <v>14</v>
      </c>
      <c r="BD19" s="62">
        <v>26</v>
      </c>
      <c r="BE19" s="62">
        <v>26</v>
      </c>
      <c r="BF19" s="62">
        <v>0</v>
      </c>
      <c r="BG19" s="62"/>
      <c r="BH19" s="62"/>
      <c r="BI19" s="62"/>
      <c r="BJ19" s="253">
        <v>11</v>
      </c>
      <c r="BK19" s="253">
        <v>4</v>
      </c>
      <c r="BL19" s="253">
        <v>7</v>
      </c>
      <c r="BM19" s="253">
        <v>3</v>
      </c>
      <c r="BN19" s="253">
        <v>3</v>
      </c>
      <c r="BO19" s="253">
        <v>0</v>
      </c>
      <c r="BP19" s="253">
        <v>1</v>
      </c>
      <c r="BQ19" s="253">
        <v>0</v>
      </c>
      <c r="BR19" s="253">
        <v>1</v>
      </c>
      <c r="BS19" s="253">
        <v>8</v>
      </c>
      <c r="BT19" s="253">
        <v>4</v>
      </c>
      <c r="BU19" s="253">
        <v>4</v>
      </c>
      <c r="BV19" s="253">
        <v>2</v>
      </c>
      <c r="BW19" s="253">
        <v>1</v>
      </c>
      <c r="BX19" s="253">
        <v>1</v>
      </c>
      <c r="BY19" s="253">
        <v>23</v>
      </c>
      <c r="BZ19" s="253">
        <v>11</v>
      </c>
      <c r="CA19" s="253">
        <v>12</v>
      </c>
      <c r="CB19" s="253">
        <v>70</v>
      </c>
      <c r="CC19" s="253">
        <v>22</v>
      </c>
      <c r="CD19" s="253">
        <v>48</v>
      </c>
      <c r="CE19" s="253">
        <v>147</v>
      </c>
      <c r="CF19" s="253">
        <v>111</v>
      </c>
      <c r="CG19" s="253">
        <v>36</v>
      </c>
      <c r="CH19" s="253">
        <v>18</v>
      </c>
      <c r="CI19" s="253">
        <v>11</v>
      </c>
      <c r="CJ19" s="253">
        <v>7</v>
      </c>
      <c r="CK19" s="253">
        <v>25</v>
      </c>
      <c r="CL19" s="253">
        <v>0</v>
      </c>
      <c r="CM19" s="253">
        <v>25</v>
      </c>
      <c r="CN19" s="253">
        <v>58</v>
      </c>
      <c r="CO19" s="253">
        <v>0</v>
      </c>
      <c r="CP19" s="253">
        <v>58</v>
      </c>
      <c r="CQ19" s="253">
        <v>4</v>
      </c>
      <c r="CR19" s="253">
        <v>2</v>
      </c>
      <c r="CS19" s="253">
        <v>2</v>
      </c>
      <c r="CT19" s="253">
        <v>19</v>
      </c>
      <c r="CU19" s="253">
        <v>13</v>
      </c>
      <c r="CV19" s="253">
        <v>6</v>
      </c>
      <c r="CW19" s="253">
        <v>4</v>
      </c>
      <c r="CX19" s="253">
        <v>4</v>
      </c>
      <c r="CY19" s="253">
        <v>0</v>
      </c>
      <c r="CZ19" s="253">
        <v>77</v>
      </c>
      <c r="DA19" s="253">
        <v>52</v>
      </c>
      <c r="DB19" s="253">
        <v>25</v>
      </c>
      <c r="DC19" s="253"/>
      <c r="DD19" s="253"/>
      <c r="DE19" s="253"/>
      <c r="DF19" s="253">
        <v>149</v>
      </c>
      <c r="DG19" s="253">
        <v>67</v>
      </c>
      <c r="DH19" s="253">
        <v>82</v>
      </c>
      <c r="DI19" s="253">
        <v>98</v>
      </c>
      <c r="DJ19" s="253">
        <v>51</v>
      </c>
      <c r="DK19" s="253">
        <v>47</v>
      </c>
      <c r="DL19" s="253">
        <v>4</v>
      </c>
      <c r="DM19" s="253">
        <v>3</v>
      </c>
      <c r="DN19" s="253">
        <v>1</v>
      </c>
      <c r="DO19" s="253"/>
      <c r="DP19" s="253"/>
      <c r="DQ19" s="253"/>
      <c r="DR19" s="253"/>
      <c r="DS19" s="253"/>
      <c r="DT19" s="253"/>
      <c r="DU19" s="253">
        <v>43</v>
      </c>
      <c r="DV19" s="253">
        <v>40</v>
      </c>
      <c r="DW19" s="253">
        <v>3</v>
      </c>
      <c r="DX19" s="253">
        <v>6</v>
      </c>
      <c r="DY19" s="253">
        <v>1</v>
      </c>
      <c r="DZ19" s="253">
        <v>5</v>
      </c>
      <c r="EA19" s="253"/>
      <c r="EB19" s="253"/>
      <c r="EC19" s="253"/>
      <c r="ED19" s="253"/>
      <c r="EE19" s="253"/>
      <c r="EF19" s="253"/>
      <c r="EG19" s="253">
        <v>5</v>
      </c>
      <c r="EH19" s="253">
        <v>4</v>
      </c>
      <c r="EI19" s="253">
        <v>1</v>
      </c>
      <c r="EJ19" s="253">
        <v>7</v>
      </c>
      <c r="EK19" s="253">
        <v>6</v>
      </c>
      <c r="EL19" s="253">
        <v>1</v>
      </c>
      <c r="EM19" s="253">
        <v>3</v>
      </c>
      <c r="EN19" s="253">
        <v>3</v>
      </c>
      <c r="EO19" s="253">
        <v>0</v>
      </c>
      <c r="EP19" s="253">
        <v>4</v>
      </c>
      <c r="EQ19" s="253">
        <v>4</v>
      </c>
      <c r="ER19" s="253">
        <v>0</v>
      </c>
      <c r="ES19" s="253">
        <v>2</v>
      </c>
      <c r="ET19" s="253">
        <v>2</v>
      </c>
      <c r="EU19" s="253">
        <v>0</v>
      </c>
      <c r="EV19" s="253">
        <v>3</v>
      </c>
      <c r="EW19" s="253">
        <v>3</v>
      </c>
      <c r="EX19" s="253">
        <v>0</v>
      </c>
      <c r="EY19" s="253">
        <v>4</v>
      </c>
      <c r="EZ19" s="253">
        <v>3</v>
      </c>
      <c r="FA19" s="253">
        <v>1</v>
      </c>
      <c r="FB19" s="253">
        <v>8</v>
      </c>
      <c r="FC19" s="253">
        <v>3</v>
      </c>
      <c r="FD19" s="253">
        <v>5</v>
      </c>
      <c r="FE19" s="63">
        <f t="shared" si="0"/>
        <v>6021</v>
      </c>
      <c r="FF19" s="253" t="b">
        <f t="shared" si="1"/>
        <v>1</v>
      </c>
    </row>
    <row r="20" spans="1:162">
      <c r="A20" s="881" t="s">
        <v>102</v>
      </c>
      <c r="B20" s="62">
        <v>30768</v>
      </c>
      <c r="C20" s="62">
        <v>15699</v>
      </c>
      <c r="D20" s="62">
        <v>15069</v>
      </c>
      <c r="E20" s="62">
        <v>8401</v>
      </c>
      <c r="F20" s="62">
        <v>5193</v>
      </c>
      <c r="G20" s="62">
        <v>3208</v>
      </c>
      <c r="H20" s="62">
        <v>582</v>
      </c>
      <c r="I20" s="62">
        <v>280</v>
      </c>
      <c r="J20" s="62">
        <v>302</v>
      </c>
      <c r="K20" s="62">
        <v>2614</v>
      </c>
      <c r="L20" s="62">
        <v>681</v>
      </c>
      <c r="M20" s="62">
        <v>1933</v>
      </c>
      <c r="N20" s="62">
        <v>10856</v>
      </c>
      <c r="O20" s="62">
        <v>6522</v>
      </c>
      <c r="P20" s="62">
        <v>4334</v>
      </c>
      <c r="Q20" s="62">
        <v>524</v>
      </c>
      <c r="R20" s="62">
        <v>252</v>
      </c>
      <c r="S20" s="62">
        <v>272</v>
      </c>
      <c r="T20" s="62">
        <v>1867</v>
      </c>
      <c r="U20" s="62">
        <v>847</v>
      </c>
      <c r="V20" s="62">
        <v>1020</v>
      </c>
      <c r="W20" s="62">
        <v>4383</v>
      </c>
      <c r="X20" s="62">
        <v>2510</v>
      </c>
      <c r="Y20" s="62">
        <v>1873</v>
      </c>
      <c r="Z20" s="62">
        <v>1220</v>
      </c>
      <c r="AA20" s="62">
        <v>835</v>
      </c>
      <c r="AB20" s="62">
        <v>385</v>
      </c>
      <c r="AC20" s="62">
        <v>907</v>
      </c>
      <c r="AD20" s="62">
        <v>436</v>
      </c>
      <c r="AE20" s="62">
        <v>471</v>
      </c>
      <c r="AF20" s="62">
        <v>58</v>
      </c>
      <c r="AG20" s="62">
        <v>34</v>
      </c>
      <c r="AH20" s="62">
        <v>24</v>
      </c>
      <c r="AI20" s="62">
        <v>22547</v>
      </c>
      <c r="AJ20" s="62">
        <v>12178</v>
      </c>
      <c r="AK20" s="62">
        <v>10369</v>
      </c>
      <c r="AL20" s="62">
        <v>3440</v>
      </c>
      <c r="AM20" s="62">
        <v>1821</v>
      </c>
      <c r="AN20" s="62">
        <v>1619</v>
      </c>
      <c r="AO20" s="62">
        <v>326</v>
      </c>
      <c r="AP20" s="62">
        <v>198</v>
      </c>
      <c r="AQ20" s="62">
        <v>128</v>
      </c>
      <c r="AR20" s="62">
        <v>1501</v>
      </c>
      <c r="AS20" s="62">
        <v>432</v>
      </c>
      <c r="AT20" s="62">
        <v>1069</v>
      </c>
      <c r="AU20" s="62">
        <v>3338</v>
      </c>
      <c r="AV20" s="62">
        <v>1768</v>
      </c>
      <c r="AW20" s="62">
        <v>1570</v>
      </c>
      <c r="AX20" s="62">
        <v>73</v>
      </c>
      <c r="AY20" s="62">
        <v>33</v>
      </c>
      <c r="AZ20" s="62">
        <v>40</v>
      </c>
      <c r="BA20" s="62">
        <v>459</v>
      </c>
      <c r="BB20" s="62">
        <v>237</v>
      </c>
      <c r="BC20" s="62">
        <v>222</v>
      </c>
      <c r="BD20" s="62">
        <v>446</v>
      </c>
      <c r="BE20" s="62">
        <v>250</v>
      </c>
      <c r="BF20" s="62">
        <v>196</v>
      </c>
      <c r="BG20" s="62">
        <v>25</v>
      </c>
      <c r="BH20" s="62">
        <v>10</v>
      </c>
      <c r="BI20" s="62">
        <v>15</v>
      </c>
      <c r="BJ20" s="253">
        <v>195</v>
      </c>
      <c r="BK20" s="253">
        <v>91</v>
      </c>
      <c r="BL20" s="253">
        <v>104</v>
      </c>
      <c r="BM20" s="253">
        <v>40</v>
      </c>
      <c r="BN20" s="253">
        <v>27</v>
      </c>
      <c r="BO20" s="253">
        <v>13</v>
      </c>
      <c r="BP20" s="253">
        <v>50</v>
      </c>
      <c r="BQ20" s="253">
        <v>21</v>
      </c>
      <c r="BR20" s="253">
        <v>29</v>
      </c>
      <c r="BS20" s="253">
        <v>95</v>
      </c>
      <c r="BT20" s="253">
        <v>59</v>
      </c>
      <c r="BU20" s="253">
        <v>36</v>
      </c>
      <c r="BV20" s="253">
        <v>87</v>
      </c>
      <c r="BW20" s="253">
        <v>43</v>
      </c>
      <c r="BX20" s="253">
        <v>44</v>
      </c>
      <c r="BY20" s="253">
        <v>519</v>
      </c>
      <c r="BZ20" s="253">
        <v>355</v>
      </c>
      <c r="CA20" s="253">
        <v>164</v>
      </c>
      <c r="CB20" s="253">
        <v>556</v>
      </c>
      <c r="CC20" s="253">
        <v>273</v>
      </c>
      <c r="CD20" s="253">
        <v>283</v>
      </c>
      <c r="CE20" s="253">
        <v>1613</v>
      </c>
      <c r="CF20" s="253">
        <v>945</v>
      </c>
      <c r="CG20" s="253">
        <v>668</v>
      </c>
      <c r="CH20" s="253">
        <v>1836</v>
      </c>
      <c r="CI20" s="253">
        <v>1053</v>
      </c>
      <c r="CJ20" s="253">
        <v>783</v>
      </c>
      <c r="CK20" s="253">
        <v>11</v>
      </c>
      <c r="CL20" s="253">
        <v>4</v>
      </c>
      <c r="CM20" s="253">
        <v>7</v>
      </c>
      <c r="CN20" s="253">
        <v>114</v>
      </c>
      <c r="CO20" s="253">
        <v>35</v>
      </c>
      <c r="CP20" s="253">
        <v>79</v>
      </c>
      <c r="CQ20" s="253">
        <v>53</v>
      </c>
      <c r="CR20" s="253">
        <v>17</v>
      </c>
      <c r="CS20" s="253">
        <v>36</v>
      </c>
      <c r="CT20" s="253">
        <v>48</v>
      </c>
      <c r="CU20" s="253">
        <v>21</v>
      </c>
      <c r="CV20" s="253">
        <v>27</v>
      </c>
      <c r="CW20" s="253">
        <v>50</v>
      </c>
      <c r="CX20" s="253">
        <v>21</v>
      </c>
      <c r="CY20" s="253">
        <v>29</v>
      </c>
      <c r="CZ20" s="253">
        <v>916</v>
      </c>
      <c r="DA20" s="253">
        <v>443</v>
      </c>
      <c r="DB20" s="253">
        <v>473</v>
      </c>
      <c r="DC20" s="253">
        <v>54</v>
      </c>
      <c r="DD20" s="253">
        <v>33</v>
      </c>
      <c r="DE20" s="253">
        <v>21</v>
      </c>
      <c r="DF20" s="253">
        <v>538</v>
      </c>
      <c r="DG20" s="253">
        <v>190</v>
      </c>
      <c r="DH20" s="253">
        <v>348</v>
      </c>
      <c r="DI20" s="253">
        <v>2033</v>
      </c>
      <c r="DJ20" s="253">
        <v>1016</v>
      </c>
      <c r="DK20" s="253">
        <v>1017</v>
      </c>
      <c r="DL20" s="253">
        <v>234</v>
      </c>
      <c r="DM20" s="253">
        <v>128</v>
      </c>
      <c r="DN20" s="253">
        <v>106</v>
      </c>
      <c r="DO20" s="253"/>
      <c r="DP20" s="253"/>
      <c r="DQ20" s="253"/>
      <c r="DR20" s="253">
        <v>3</v>
      </c>
      <c r="DS20" s="253">
        <v>2</v>
      </c>
      <c r="DT20" s="253">
        <v>1</v>
      </c>
      <c r="DU20" s="253">
        <v>81</v>
      </c>
      <c r="DV20" s="253">
        <v>47</v>
      </c>
      <c r="DW20" s="253">
        <v>34</v>
      </c>
      <c r="DX20" s="253">
        <v>4</v>
      </c>
      <c r="DY20" s="253">
        <v>3</v>
      </c>
      <c r="DZ20" s="253">
        <v>1</v>
      </c>
      <c r="EA20" s="253"/>
      <c r="EB20" s="253"/>
      <c r="EC20" s="253"/>
      <c r="ED20" s="253">
        <v>44</v>
      </c>
      <c r="EE20" s="253">
        <v>31</v>
      </c>
      <c r="EF20" s="253">
        <v>13</v>
      </c>
      <c r="EG20" s="253">
        <v>9</v>
      </c>
      <c r="EH20" s="253">
        <v>7</v>
      </c>
      <c r="EI20" s="253">
        <v>2</v>
      </c>
      <c r="EJ20" s="253">
        <v>93</v>
      </c>
      <c r="EK20" s="253">
        <v>16</v>
      </c>
      <c r="EL20" s="253">
        <v>77</v>
      </c>
      <c r="EM20" s="253">
        <v>33</v>
      </c>
      <c r="EN20" s="253">
        <v>9</v>
      </c>
      <c r="EO20" s="253">
        <v>24</v>
      </c>
      <c r="EP20" s="253">
        <v>3</v>
      </c>
      <c r="EQ20" s="253">
        <v>2</v>
      </c>
      <c r="ER20" s="253">
        <v>1</v>
      </c>
      <c r="ES20" s="253">
        <v>7</v>
      </c>
      <c r="ET20" s="253">
        <v>4</v>
      </c>
      <c r="EU20" s="253">
        <v>3</v>
      </c>
      <c r="EV20" s="253">
        <v>53</v>
      </c>
      <c r="EW20" s="253">
        <v>47</v>
      </c>
      <c r="EX20" s="253">
        <v>6</v>
      </c>
      <c r="EY20" s="253">
        <v>397</v>
      </c>
      <c r="EZ20" s="253">
        <v>73</v>
      </c>
      <c r="FA20" s="253">
        <v>324</v>
      </c>
      <c r="FB20" s="253">
        <v>55</v>
      </c>
      <c r="FC20" s="253">
        <v>10</v>
      </c>
      <c r="FD20" s="253">
        <v>45</v>
      </c>
      <c r="FE20" s="63">
        <f t="shared" si="0"/>
        <v>104159</v>
      </c>
      <c r="FF20" s="253" t="b">
        <f t="shared" si="1"/>
        <v>1</v>
      </c>
    </row>
    <row r="21" spans="1:162">
      <c r="A21" s="881" t="s">
        <v>105</v>
      </c>
      <c r="B21" s="62">
        <v>16786</v>
      </c>
      <c r="C21" s="62">
        <v>9145</v>
      </c>
      <c r="D21" s="62">
        <v>7641</v>
      </c>
      <c r="E21" s="62">
        <v>602</v>
      </c>
      <c r="F21" s="62">
        <v>365</v>
      </c>
      <c r="G21" s="62">
        <v>237</v>
      </c>
      <c r="H21" s="62">
        <v>477</v>
      </c>
      <c r="I21" s="62">
        <v>285</v>
      </c>
      <c r="J21" s="62">
        <v>192</v>
      </c>
      <c r="K21" s="62">
        <v>3103</v>
      </c>
      <c r="L21" s="62">
        <v>943</v>
      </c>
      <c r="M21" s="62">
        <v>2160</v>
      </c>
      <c r="N21" s="62">
        <v>4420</v>
      </c>
      <c r="O21" s="62">
        <v>2464</v>
      </c>
      <c r="P21" s="62">
        <v>1956</v>
      </c>
      <c r="Q21" s="62">
        <v>173</v>
      </c>
      <c r="R21" s="62">
        <v>88</v>
      </c>
      <c r="S21" s="62">
        <v>85</v>
      </c>
      <c r="T21" s="62">
        <v>856</v>
      </c>
      <c r="U21" s="62">
        <v>414</v>
      </c>
      <c r="V21" s="62">
        <v>442</v>
      </c>
      <c r="W21" s="62">
        <v>1667</v>
      </c>
      <c r="X21" s="62">
        <v>1169</v>
      </c>
      <c r="Y21" s="62">
        <v>498</v>
      </c>
      <c r="Z21" s="62">
        <v>227</v>
      </c>
      <c r="AA21" s="62">
        <v>157</v>
      </c>
      <c r="AB21" s="62">
        <v>70</v>
      </c>
      <c r="AC21" s="62">
        <v>253</v>
      </c>
      <c r="AD21" s="62">
        <v>142</v>
      </c>
      <c r="AE21" s="62">
        <v>111</v>
      </c>
      <c r="AF21" s="62">
        <v>64</v>
      </c>
      <c r="AG21" s="62">
        <v>26</v>
      </c>
      <c r="AH21" s="62">
        <v>38</v>
      </c>
      <c r="AI21" s="62">
        <v>11756</v>
      </c>
      <c r="AJ21" s="62">
        <v>7431</v>
      </c>
      <c r="AK21" s="62">
        <v>4325</v>
      </c>
      <c r="AL21" s="62">
        <v>1085</v>
      </c>
      <c r="AM21" s="62">
        <v>787</v>
      </c>
      <c r="AN21" s="62">
        <v>298</v>
      </c>
      <c r="AO21" s="62">
        <v>516</v>
      </c>
      <c r="AP21" s="62">
        <v>390</v>
      </c>
      <c r="AQ21" s="62">
        <v>126</v>
      </c>
      <c r="AR21" s="62">
        <v>3502</v>
      </c>
      <c r="AS21" s="62">
        <v>1485</v>
      </c>
      <c r="AT21" s="62">
        <v>2017</v>
      </c>
      <c r="AU21" s="62">
        <v>2762</v>
      </c>
      <c r="AV21" s="62">
        <v>1558</v>
      </c>
      <c r="AW21" s="62">
        <v>1204</v>
      </c>
      <c r="AX21" s="62">
        <v>52</v>
      </c>
      <c r="AY21" s="62">
        <v>36</v>
      </c>
      <c r="AZ21" s="62">
        <v>16</v>
      </c>
      <c r="BA21" s="62">
        <v>86</v>
      </c>
      <c r="BB21" s="62">
        <v>62</v>
      </c>
      <c r="BC21" s="62">
        <v>24</v>
      </c>
      <c r="BD21" s="62">
        <v>141</v>
      </c>
      <c r="BE21" s="62">
        <v>114</v>
      </c>
      <c r="BF21" s="62">
        <v>27</v>
      </c>
      <c r="BG21" s="62">
        <v>54</v>
      </c>
      <c r="BH21" s="62">
        <v>32</v>
      </c>
      <c r="BI21" s="62">
        <v>22</v>
      </c>
      <c r="BJ21" s="253">
        <v>180</v>
      </c>
      <c r="BK21" s="253">
        <v>73</v>
      </c>
      <c r="BL21" s="253">
        <v>107</v>
      </c>
      <c r="BM21" s="253">
        <v>209</v>
      </c>
      <c r="BN21" s="253">
        <v>113</v>
      </c>
      <c r="BO21" s="253">
        <v>96</v>
      </c>
      <c r="BP21" s="253">
        <v>33</v>
      </c>
      <c r="BQ21" s="253">
        <v>24</v>
      </c>
      <c r="BR21" s="253">
        <v>9</v>
      </c>
      <c r="BS21" s="253">
        <v>181</v>
      </c>
      <c r="BT21" s="253">
        <v>98</v>
      </c>
      <c r="BU21" s="253">
        <v>83</v>
      </c>
      <c r="BV21" s="253">
        <v>237</v>
      </c>
      <c r="BW21" s="253">
        <v>92</v>
      </c>
      <c r="BX21" s="253">
        <v>145</v>
      </c>
      <c r="BY21" s="253">
        <v>177</v>
      </c>
      <c r="BZ21" s="253">
        <v>101</v>
      </c>
      <c r="CA21" s="253">
        <v>76</v>
      </c>
      <c r="CB21" s="253">
        <v>384</v>
      </c>
      <c r="CC21" s="253">
        <v>224</v>
      </c>
      <c r="CD21" s="253">
        <v>160</v>
      </c>
      <c r="CE21" s="253">
        <v>217</v>
      </c>
      <c r="CF21" s="253">
        <v>158</v>
      </c>
      <c r="CG21" s="253">
        <v>59</v>
      </c>
      <c r="CH21" s="253">
        <v>123</v>
      </c>
      <c r="CI21" s="253">
        <v>59</v>
      </c>
      <c r="CJ21" s="253">
        <v>64</v>
      </c>
      <c r="CK21" s="253">
        <v>3</v>
      </c>
      <c r="CL21" s="253">
        <v>2</v>
      </c>
      <c r="CM21" s="253">
        <v>1</v>
      </c>
      <c r="CN21" s="253">
        <v>39</v>
      </c>
      <c r="CO21" s="253">
        <v>20</v>
      </c>
      <c r="CP21" s="253">
        <v>19</v>
      </c>
      <c r="CQ21" s="253">
        <v>119</v>
      </c>
      <c r="CR21" s="253">
        <v>57</v>
      </c>
      <c r="CS21" s="253">
        <v>62</v>
      </c>
      <c r="CT21" s="253">
        <v>156</v>
      </c>
      <c r="CU21" s="253">
        <v>82</v>
      </c>
      <c r="CV21" s="253">
        <v>74</v>
      </c>
      <c r="CW21" s="253">
        <v>129</v>
      </c>
      <c r="CX21" s="253">
        <v>73</v>
      </c>
      <c r="CY21" s="253">
        <v>56</v>
      </c>
      <c r="CZ21" s="253">
        <v>1240</v>
      </c>
      <c r="DA21" s="253">
        <v>742</v>
      </c>
      <c r="DB21" s="253">
        <v>498</v>
      </c>
      <c r="DC21" s="253">
        <v>67</v>
      </c>
      <c r="DD21" s="253">
        <v>51</v>
      </c>
      <c r="DE21" s="253">
        <v>16</v>
      </c>
      <c r="DF21" s="253">
        <v>975</v>
      </c>
      <c r="DG21" s="253">
        <v>558</v>
      </c>
      <c r="DH21" s="253">
        <v>417</v>
      </c>
      <c r="DI21" s="253">
        <v>1886</v>
      </c>
      <c r="DJ21" s="253">
        <v>1249</v>
      </c>
      <c r="DK21" s="253">
        <v>637</v>
      </c>
      <c r="DL21" s="253">
        <v>362</v>
      </c>
      <c r="DM21" s="253">
        <v>232</v>
      </c>
      <c r="DN21" s="253">
        <v>130</v>
      </c>
      <c r="DO21" s="253">
        <v>2</v>
      </c>
      <c r="DP21" s="253">
        <v>0</v>
      </c>
      <c r="DQ21" s="253">
        <v>2</v>
      </c>
      <c r="DR21" s="253">
        <v>1</v>
      </c>
      <c r="DS21" s="253">
        <v>1</v>
      </c>
      <c r="DT21" s="253">
        <v>0</v>
      </c>
      <c r="DU21" s="253">
        <v>142</v>
      </c>
      <c r="DV21" s="253">
        <v>80</v>
      </c>
      <c r="DW21" s="253">
        <v>62</v>
      </c>
      <c r="DX21" s="253">
        <v>4</v>
      </c>
      <c r="DY21" s="253">
        <v>2</v>
      </c>
      <c r="DZ21" s="253">
        <v>2</v>
      </c>
      <c r="EA21" s="253">
        <v>1</v>
      </c>
      <c r="EB21" s="253">
        <v>0</v>
      </c>
      <c r="EC21" s="253">
        <v>1</v>
      </c>
      <c r="ED21" s="253">
        <v>2</v>
      </c>
      <c r="EE21" s="253">
        <v>2</v>
      </c>
      <c r="EF21" s="253">
        <v>0</v>
      </c>
      <c r="EG21" s="253">
        <v>37</v>
      </c>
      <c r="EH21" s="253">
        <v>25</v>
      </c>
      <c r="EI21" s="253">
        <v>12</v>
      </c>
      <c r="EJ21" s="253">
        <v>70</v>
      </c>
      <c r="EK21" s="253">
        <v>45</v>
      </c>
      <c r="EL21" s="253">
        <v>25</v>
      </c>
      <c r="EM21" s="253">
        <v>16</v>
      </c>
      <c r="EN21" s="253">
        <v>9</v>
      </c>
      <c r="EO21" s="253">
        <v>7</v>
      </c>
      <c r="EP21" s="253">
        <v>12</v>
      </c>
      <c r="EQ21" s="253">
        <v>12</v>
      </c>
      <c r="ER21" s="253">
        <v>0</v>
      </c>
      <c r="ES21" s="253">
        <v>10</v>
      </c>
      <c r="ET21" s="253">
        <v>8</v>
      </c>
      <c r="EU21" s="253">
        <v>2</v>
      </c>
      <c r="EV21" s="253">
        <v>7</v>
      </c>
      <c r="EW21" s="253">
        <v>3</v>
      </c>
      <c r="EX21" s="253">
        <v>4</v>
      </c>
      <c r="EY21" s="253">
        <v>22</v>
      </c>
      <c r="EZ21" s="253">
        <v>12</v>
      </c>
      <c r="FA21" s="253">
        <v>10</v>
      </c>
      <c r="FB21" s="253">
        <v>365</v>
      </c>
      <c r="FC21" s="253">
        <v>283</v>
      </c>
      <c r="FD21" s="253">
        <v>82</v>
      </c>
      <c r="FE21" s="63">
        <f t="shared" si="0"/>
        <v>55990</v>
      </c>
      <c r="FF21" s="253" t="b">
        <f t="shared" si="1"/>
        <v>1</v>
      </c>
    </row>
    <row r="22" spans="1:162">
      <c r="A22" s="881" t="s">
        <v>106</v>
      </c>
      <c r="B22" s="62">
        <v>4389</v>
      </c>
      <c r="C22" s="62">
        <v>1652</v>
      </c>
      <c r="D22" s="62">
        <v>2736</v>
      </c>
      <c r="E22" s="62">
        <v>455</v>
      </c>
      <c r="F22" s="62">
        <v>239</v>
      </c>
      <c r="G22" s="62">
        <v>216</v>
      </c>
      <c r="H22" s="62">
        <v>49</v>
      </c>
      <c r="I22" s="62">
        <v>23</v>
      </c>
      <c r="J22" s="62">
        <v>26</v>
      </c>
      <c r="K22" s="62">
        <v>756</v>
      </c>
      <c r="L22" s="62">
        <v>134</v>
      </c>
      <c r="M22" s="62">
        <v>622</v>
      </c>
      <c r="N22" s="62">
        <v>1011</v>
      </c>
      <c r="O22" s="62">
        <v>535</v>
      </c>
      <c r="P22" s="62">
        <v>476</v>
      </c>
      <c r="Q22" s="62">
        <v>62</v>
      </c>
      <c r="R22" s="62">
        <v>32</v>
      </c>
      <c r="S22" s="62">
        <v>30</v>
      </c>
      <c r="T22" s="62">
        <v>277</v>
      </c>
      <c r="U22" s="62">
        <v>133</v>
      </c>
      <c r="V22" s="62">
        <v>144</v>
      </c>
      <c r="W22" s="62">
        <v>384</v>
      </c>
      <c r="X22" s="62">
        <v>207</v>
      </c>
      <c r="Y22" s="62">
        <v>177</v>
      </c>
      <c r="Z22" s="62">
        <v>61</v>
      </c>
      <c r="AA22" s="62">
        <v>44</v>
      </c>
      <c r="AB22" s="62">
        <v>17</v>
      </c>
      <c r="AC22" s="62">
        <v>127</v>
      </c>
      <c r="AD22" s="62">
        <v>57</v>
      </c>
      <c r="AE22" s="62">
        <v>70</v>
      </c>
      <c r="AF22" s="62">
        <v>4</v>
      </c>
      <c r="AG22" s="62">
        <v>2</v>
      </c>
      <c r="AH22" s="62">
        <v>2</v>
      </c>
      <c r="AI22" s="62">
        <v>1296</v>
      </c>
      <c r="AJ22" s="62">
        <v>578</v>
      </c>
      <c r="AK22" s="62">
        <v>717</v>
      </c>
      <c r="AL22" s="62">
        <v>504</v>
      </c>
      <c r="AM22" s="62">
        <v>227</v>
      </c>
      <c r="AN22" s="62">
        <v>277</v>
      </c>
      <c r="AO22" s="62">
        <v>46</v>
      </c>
      <c r="AP22" s="62">
        <v>13</v>
      </c>
      <c r="AQ22" s="62">
        <v>33</v>
      </c>
      <c r="AR22" s="62">
        <v>118</v>
      </c>
      <c r="AS22" s="62">
        <v>35</v>
      </c>
      <c r="AT22" s="62">
        <v>83</v>
      </c>
      <c r="AU22" s="62">
        <v>972</v>
      </c>
      <c r="AV22" s="62">
        <v>501</v>
      </c>
      <c r="AW22" s="62">
        <v>471</v>
      </c>
      <c r="AX22" s="62">
        <v>7</v>
      </c>
      <c r="AY22" s="62">
        <v>2</v>
      </c>
      <c r="AZ22" s="62">
        <v>5</v>
      </c>
      <c r="BA22" s="62">
        <v>11</v>
      </c>
      <c r="BB22" s="62">
        <v>4</v>
      </c>
      <c r="BC22" s="62">
        <v>7</v>
      </c>
      <c r="BD22" s="62">
        <v>10</v>
      </c>
      <c r="BE22" s="62">
        <v>0</v>
      </c>
      <c r="BF22" s="62">
        <v>10</v>
      </c>
      <c r="BG22" s="62"/>
      <c r="BH22" s="62"/>
      <c r="BI22" s="62"/>
      <c r="BJ22" s="253">
        <v>18</v>
      </c>
      <c r="BK22" s="253">
        <v>10</v>
      </c>
      <c r="BL22" s="253">
        <v>8</v>
      </c>
      <c r="BM22" s="253">
        <v>18</v>
      </c>
      <c r="BN22" s="253">
        <v>18</v>
      </c>
      <c r="BO22" s="253">
        <v>0</v>
      </c>
      <c r="BP22" s="253"/>
      <c r="BQ22" s="253"/>
      <c r="BR22" s="253"/>
      <c r="BS22" s="253">
        <v>10</v>
      </c>
      <c r="BT22" s="253">
        <v>2</v>
      </c>
      <c r="BU22" s="253">
        <v>8</v>
      </c>
      <c r="BV22" s="253">
        <v>7</v>
      </c>
      <c r="BW22" s="253">
        <v>2</v>
      </c>
      <c r="BX22" s="253">
        <v>5</v>
      </c>
      <c r="BY22" s="253">
        <v>22</v>
      </c>
      <c r="BZ22" s="253">
        <v>15</v>
      </c>
      <c r="CA22" s="253">
        <v>7</v>
      </c>
      <c r="CB22" s="253">
        <v>98</v>
      </c>
      <c r="CC22" s="253">
        <v>34</v>
      </c>
      <c r="CD22" s="253">
        <v>64</v>
      </c>
      <c r="CE22" s="253">
        <v>69</v>
      </c>
      <c r="CF22" s="253">
        <v>30</v>
      </c>
      <c r="CG22" s="253">
        <v>39</v>
      </c>
      <c r="CH22" s="253">
        <v>149</v>
      </c>
      <c r="CI22" s="253">
        <v>62</v>
      </c>
      <c r="CJ22" s="253">
        <v>87</v>
      </c>
      <c r="CK22" s="253">
        <v>2</v>
      </c>
      <c r="CL22" s="253">
        <v>0</v>
      </c>
      <c r="CM22" s="253">
        <v>2</v>
      </c>
      <c r="CN22" s="253">
        <v>12</v>
      </c>
      <c r="CO22" s="253">
        <v>3</v>
      </c>
      <c r="CP22" s="253">
        <v>9</v>
      </c>
      <c r="CQ22" s="253">
        <v>24</v>
      </c>
      <c r="CR22" s="253">
        <v>3</v>
      </c>
      <c r="CS22" s="253">
        <v>21</v>
      </c>
      <c r="CT22" s="253">
        <v>14</v>
      </c>
      <c r="CU22" s="253">
        <v>3</v>
      </c>
      <c r="CV22" s="253">
        <v>11</v>
      </c>
      <c r="CW22" s="253">
        <v>27</v>
      </c>
      <c r="CX22" s="253">
        <v>14</v>
      </c>
      <c r="CY22" s="253">
        <v>13</v>
      </c>
      <c r="CZ22" s="253">
        <v>256</v>
      </c>
      <c r="DA22" s="253">
        <v>104</v>
      </c>
      <c r="DB22" s="253">
        <v>151</v>
      </c>
      <c r="DC22" s="253">
        <v>1</v>
      </c>
      <c r="DD22" s="253">
        <v>0</v>
      </c>
      <c r="DE22" s="253">
        <v>1</v>
      </c>
      <c r="DF22" s="253">
        <v>164</v>
      </c>
      <c r="DG22" s="253">
        <v>56</v>
      </c>
      <c r="DH22" s="253">
        <v>108</v>
      </c>
      <c r="DI22" s="253">
        <v>242</v>
      </c>
      <c r="DJ22" s="253">
        <v>84</v>
      </c>
      <c r="DK22" s="253">
        <v>158</v>
      </c>
      <c r="DL22" s="253">
        <v>26</v>
      </c>
      <c r="DM22" s="253">
        <v>12</v>
      </c>
      <c r="DN22" s="253">
        <v>14</v>
      </c>
      <c r="DO22" s="253"/>
      <c r="DP22" s="253"/>
      <c r="DQ22" s="253"/>
      <c r="DR22" s="253"/>
      <c r="DS22" s="253"/>
      <c r="DT22" s="253"/>
      <c r="DU22" s="253">
        <v>18</v>
      </c>
      <c r="DV22" s="253">
        <v>7</v>
      </c>
      <c r="DW22" s="253">
        <v>11</v>
      </c>
      <c r="DX22" s="253">
        <v>1</v>
      </c>
      <c r="DY22" s="253">
        <v>0</v>
      </c>
      <c r="DZ22" s="253">
        <v>1</v>
      </c>
      <c r="EA22" s="253"/>
      <c r="EB22" s="253"/>
      <c r="EC22" s="253"/>
      <c r="ED22" s="253"/>
      <c r="EE22" s="253"/>
      <c r="EF22" s="253"/>
      <c r="EG22" s="253"/>
      <c r="EH22" s="253"/>
      <c r="EI22" s="253"/>
      <c r="EJ22" s="253">
        <v>1</v>
      </c>
      <c r="EK22" s="253">
        <v>1</v>
      </c>
      <c r="EL22" s="253">
        <v>0</v>
      </c>
      <c r="EM22" s="253"/>
      <c r="EN22" s="253"/>
      <c r="EO22" s="253"/>
      <c r="EP22" s="253"/>
      <c r="EQ22" s="253"/>
      <c r="ER22" s="253"/>
      <c r="ES22" s="253"/>
      <c r="ET22" s="253"/>
      <c r="EU22" s="253"/>
      <c r="EV22" s="253"/>
      <c r="EW22" s="253"/>
      <c r="EX22" s="253"/>
      <c r="EY22" s="253">
        <v>2</v>
      </c>
      <c r="EZ22" s="253">
        <v>1</v>
      </c>
      <c r="FA22" s="253">
        <v>1</v>
      </c>
      <c r="FB22" s="253">
        <v>6</v>
      </c>
      <c r="FC22" s="253">
        <v>1</v>
      </c>
      <c r="FD22" s="253">
        <v>5</v>
      </c>
      <c r="FE22" s="63">
        <f t="shared" si="0"/>
        <v>11726</v>
      </c>
      <c r="FF22" s="253" t="b">
        <f t="shared" si="1"/>
        <v>1</v>
      </c>
    </row>
    <row r="23" spans="1:162">
      <c r="A23" s="881" t="s">
        <v>108</v>
      </c>
      <c r="B23" s="62">
        <v>4395</v>
      </c>
      <c r="C23" s="62">
        <v>2597</v>
      </c>
      <c r="D23" s="62">
        <v>1798</v>
      </c>
      <c r="E23" s="62">
        <v>1863</v>
      </c>
      <c r="F23" s="62">
        <v>1142</v>
      </c>
      <c r="G23" s="62">
        <v>721</v>
      </c>
      <c r="H23" s="62">
        <v>84</v>
      </c>
      <c r="I23" s="62">
        <v>48</v>
      </c>
      <c r="J23" s="62">
        <v>36</v>
      </c>
      <c r="K23" s="62">
        <v>308</v>
      </c>
      <c r="L23" s="62">
        <v>87</v>
      </c>
      <c r="M23" s="62">
        <v>221</v>
      </c>
      <c r="N23" s="62">
        <v>2657</v>
      </c>
      <c r="O23" s="62">
        <v>1728</v>
      </c>
      <c r="P23" s="62">
        <v>929</v>
      </c>
      <c r="Q23" s="62">
        <v>56</v>
      </c>
      <c r="R23" s="62">
        <v>34</v>
      </c>
      <c r="S23" s="62">
        <v>22</v>
      </c>
      <c r="T23" s="62">
        <v>565</v>
      </c>
      <c r="U23" s="62">
        <v>375</v>
      </c>
      <c r="V23" s="62">
        <v>190</v>
      </c>
      <c r="W23" s="62">
        <v>1076</v>
      </c>
      <c r="X23" s="62">
        <v>614</v>
      </c>
      <c r="Y23" s="62">
        <v>462</v>
      </c>
      <c r="Z23" s="62">
        <v>13</v>
      </c>
      <c r="AA23" s="62">
        <v>12</v>
      </c>
      <c r="AB23" s="62">
        <v>1</v>
      </c>
      <c r="AC23" s="62">
        <v>165</v>
      </c>
      <c r="AD23" s="62">
        <v>100</v>
      </c>
      <c r="AE23" s="62">
        <v>65</v>
      </c>
      <c r="AF23" s="62"/>
      <c r="AG23" s="62"/>
      <c r="AH23" s="62"/>
      <c r="AI23" s="62">
        <v>2698</v>
      </c>
      <c r="AJ23" s="62">
        <v>1719</v>
      </c>
      <c r="AK23" s="62">
        <v>979</v>
      </c>
      <c r="AL23" s="62">
        <v>1271</v>
      </c>
      <c r="AM23" s="62">
        <v>675</v>
      </c>
      <c r="AN23" s="62">
        <v>596</v>
      </c>
      <c r="AO23" s="62">
        <v>40</v>
      </c>
      <c r="AP23" s="62">
        <v>27</v>
      </c>
      <c r="AQ23" s="62">
        <v>13</v>
      </c>
      <c r="AR23" s="62">
        <v>52</v>
      </c>
      <c r="AS23" s="62">
        <v>19</v>
      </c>
      <c r="AT23" s="62">
        <v>33</v>
      </c>
      <c r="AU23" s="62">
        <v>1606</v>
      </c>
      <c r="AV23" s="62">
        <v>978</v>
      </c>
      <c r="AW23" s="62">
        <v>628</v>
      </c>
      <c r="AX23" s="62">
        <v>22</v>
      </c>
      <c r="AY23" s="62">
        <v>12</v>
      </c>
      <c r="AZ23" s="62">
        <v>10</v>
      </c>
      <c r="BA23" s="62">
        <v>23</v>
      </c>
      <c r="BB23" s="62">
        <v>18</v>
      </c>
      <c r="BC23" s="62">
        <v>5</v>
      </c>
      <c r="BD23" s="62">
        <v>10</v>
      </c>
      <c r="BE23" s="62">
        <v>5</v>
      </c>
      <c r="BF23" s="62">
        <v>5</v>
      </c>
      <c r="BG23" s="62"/>
      <c r="BH23" s="62"/>
      <c r="BI23" s="62"/>
      <c r="BJ23" s="253">
        <v>9</v>
      </c>
      <c r="BK23" s="253">
        <v>5</v>
      </c>
      <c r="BL23" s="253">
        <v>4</v>
      </c>
      <c r="BM23" s="253">
        <v>5</v>
      </c>
      <c r="BN23" s="253">
        <v>4</v>
      </c>
      <c r="BO23" s="253">
        <v>1</v>
      </c>
      <c r="BP23" s="253"/>
      <c r="BQ23" s="253"/>
      <c r="BR23" s="253"/>
      <c r="BS23" s="253">
        <v>3</v>
      </c>
      <c r="BT23" s="253">
        <v>2</v>
      </c>
      <c r="BU23" s="253">
        <v>1</v>
      </c>
      <c r="BV23" s="253">
        <v>6</v>
      </c>
      <c r="BW23" s="253">
        <v>4</v>
      </c>
      <c r="BX23" s="253">
        <v>2</v>
      </c>
      <c r="BY23" s="253">
        <v>78</v>
      </c>
      <c r="BZ23" s="253">
        <v>46</v>
      </c>
      <c r="CA23" s="253">
        <v>32</v>
      </c>
      <c r="CB23" s="253">
        <v>78</v>
      </c>
      <c r="CC23" s="253">
        <v>50</v>
      </c>
      <c r="CD23" s="253">
        <v>28</v>
      </c>
      <c r="CE23" s="253">
        <v>17</v>
      </c>
      <c r="CF23" s="253">
        <v>10</v>
      </c>
      <c r="CG23" s="253">
        <v>7</v>
      </c>
      <c r="CH23" s="253">
        <v>68</v>
      </c>
      <c r="CI23" s="253">
        <v>38</v>
      </c>
      <c r="CJ23" s="253">
        <v>30</v>
      </c>
      <c r="CK23" s="253">
        <v>1</v>
      </c>
      <c r="CL23" s="253">
        <v>1</v>
      </c>
      <c r="CM23" s="253">
        <v>0</v>
      </c>
      <c r="CN23" s="253">
        <v>6</v>
      </c>
      <c r="CO23" s="253">
        <v>1</v>
      </c>
      <c r="CP23" s="253">
        <v>5</v>
      </c>
      <c r="CQ23" s="253">
        <v>10</v>
      </c>
      <c r="CR23" s="253">
        <v>5</v>
      </c>
      <c r="CS23" s="253">
        <v>5</v>
      </c>
      <c r="CT23" s="253">
        <v>5</v>
      </c>
      <c r="CU23" s="253">
        <v>3</v>
      </c>
      <c r="CV23" s="253">
        <v>2</v>
      </c>
      <c r="CW23" s="253">
        <v>7</v>
      </c>
      <c r="CX23" s="253">
        <v>4</v>
      </c>
      <c r="CY23" s="253">
        <v>3</v>
      </c>
      <c r="CZ23" s="253">
        <v>119</v>
      </c>
      <c r="DA23" s="253">
        <v>77</v>
      </c>
      <c r="DB23" s="253">
        <v>42</v>
      </c>
      <c r="DC23" s="253"/>
      <c r="DD23" s="253"/>
      <c r="DE23" s="253"/>
      <c r="DF23" s="253">
        <v>59</v>
      </c>
      <c r="DG23" s="253">
        <v>39</v>
      </c>
      <c r="DH23" s="253">
        <v>20</v>
      </c>
      <c r="DI23" s="253">
        <v>841</v>
      </c>
      <c r="DJ23" s="253">
        <v>570</v>
      </c>
      <c r="DK23" s="253">
        <v>271</v>
      </c>
      <c r="DL23" s="253">
        <v>78</v>
      </c>
      <c r="DM23" s="253">
        <v>67</v>
      </c>
      <c r="DN23" s="253">
        <v>11</v>
      </c>
      <c r="DO23" s="253"/>
      <c r="DP23" s="253"/>
      <c r="DQ23" s="253"/>
      <c r="DR23" s="253"/>
      <c r="DS23" s="253"/>
      <c r="DT23" s="253"/>
      <c r="DU23" s="253">
        <v>7</v>
      </c>
      <c r="DV23" s="253">
        <v>5</v>
      </c>
      <c r="DW23" s="253">
        <v>2</v>
      </c>
      <c r="DX23" s="253">
        <v>3</v>
      </c>
      <c r="DY23" s="253">
        <v>3</v>
      </c>
      <c r="DZ23" s="253">
        <v>0</v>
      </c>
      <c r="EA23" s="253"/>
      <c r="EB23" s="253"/>
      <c r="EC23" s="253"/>
      <c r="ED23" s="253">
        <v>2</v>
      </c>
      <c r="EE23" s="253">
        <v>1</v>
      </c>
      <c r="EF23" s="253">
        <v>1</v>
      </c>
      <c r="EG23" s="253">
        <v>4</v>
      </c>
      <c r="EH23" s="253">
        <v>4</v>
      </c>
      <c r="EI23" s="253">
        <v>0</v>
      </c>
      <c r="EJ23" s="253">
        <v>18</v>
      </c>
      <c r="EK23" s="253">
        <v>14</v>
      </c>
      <c r="EL23" s="253">
        <v>4</v>
      </c>
      <c r="EM23" s="253">
        <v>1</v>
      </c>
      <c r="EN23" s="253">
        <v>1</v>
      </c>
      <c r="EO23" s="253">
        <v>0</v>
      </c>
      <c r="EP23" s="253"/>
      <c r="EQ23" s="253"/>
      <c r="ER23" s="253"/>
      <c r="ES23" s="253"/>
      <c r="ET23" s="253"/>
      <c r="EU23" s="253"/>
      <c r="EV23" s="253">
        <v>1</v>
      </c>
      <c r="EW23" s="253">
        <v>1</v>
      </c>
      <c r="EX23" s="253">
        <v>0</v>
      </c>
      <c r="EY23" s="253">
        <v>2</v>
      </c>
      <c r="EZ23" s="253">
        <v>1</v>
      </c>
      <c r="FA23" s="253">
        <v>1</v>
      </c>
      <c r="FB23" s="253">
        <v>11</v>
      </c>
      <c r="FC23" s="253">
        <v>3</v>
      </c>
      <c r="FD23" s="253">
        <v>8</v>
      </c>
      <c r="FE23" s="63">
        <f t="shared" si="0"/>
        <v>18343</v>
      </c>
      <c r="FF23" s="253" t="b">
        <f t="shared" si="1"/>
        <v>1</v>
      </c>
    </row>
    <row r="24" spans="1:162">
      <c r="A24" s="881" t="s">
        <v>109</v>
      </c>
      <c r="B24" s="62">
        <v>747</v>
      </c>
      <c r="C24" s="62">
        <v>417</v>
      </c>
      <c r="D24" s="62">
        <v>330</v>
      </c>
      <c r="E24" s="62">
        <v>58</v>
      </c>
      <c r="F24" s="62">
        <v>40</v>
      </c>
      <c r="G24" s="62">
        <v>18</v>
      </c>
      <c r="H24" s="62">
        <v>18</v>
      </c>
      <c r="I24" s="62">
        <v>9</v>
      </c>
      <c r="J24" s="62">
        <v>9</v>
      </c>
      <c r="K24" s="62">
        <v>36</v>
      </c>
      <c r="L24" s="62">
        <v>15</v>
      </c>
      <c r="M24" s="62">
        <v>21</v>
      </c>
      <c r="N24" s="62">
        <v>441</v>
      </c>
      <c r="O24" s="62">
        <v>255</v>
      </c>
      <c r="P24" s="62">
        <v>186</v>
      </c>
      <c r="Q24" s="62">
        <v>3</v>
      </c>
      <c r="R24" s="62">
        <v>2</v>
      </c>
      <c r="S24" s="62">
        <v>1</v>
      </c>
      <c r="T24" s="62">
        <v>126</v>
      </c>
      <c r="U24" s="62">
        <v>84</v>
      </c>
      <c r="V24" s="62">
        <v>42</v>
      </c>
      <c r="W24" s="62">
        <v>50</v>
      </c>
      <c r="X24" s="62">
        <v>32</v>
      </c>
      <c r="Y24" s="62">
        <v>18</v>
      </c>
      <c r="Z24" s="62">
        <v>10</v>
      </c>
      <c r="AA24" s="62">
        <v>9</v>
      </c>
      <c r="AB24" s="62">
        <v>1</v>
      </c>
      <c r="AC24" s="62">
        <v>25</v>
      </c>
      <c r="AD24" s="62">
        <v>14</v>
      </c>
      <c r="AE24" s="62">
        <v>11</v>
      </c>
      <c r="AF24" s="62">
        <v>1</v>
      </c>
      <c r="AG24" s="62">
        <v>0</v>
      </c>
      <c r="AH24" s="62">
        <v>1</v>
      </c>
      <c r="AI24" s="62">
        <v>339</v>
      </c>
      <c r="AJ24" s="62">
        <v>196</v>
      </c>
      <c r="AK24" s="62">
        <v>143</v>
      </c>
      <c r="AL24" s="62">
        <v>58</v>
      </c>
      <c r="AM24" s="62">
        <v>45</v>
      </c>
      <c r="AN24" s="62">
        <v>13</v>
      </c>
      <c r="AO24" s="62">
        <v>6</v>
      </c>
      <c r="AP24" s="62">
        <v>2</v>
      </c>
      <c r="AQ24" s="62">
        <v>4</v>
      </c>
      <c r="AR24" s="62">
        <v>4</v>
      </c>
      <c r="AS24" s="62">
        <v>2</v>
      </c>
      <c r="AT24" s="62">
        <v>2</v>
      </c>
      <c r="AU24" s="62">
        <v>276</v>
      </c>
      <c r="AV24" s="62">
        <v>158</v>
      </c>
      <c r="AW24" s="62">
        <v>118</v>
      </c>
      <c r="AX24" s="62"/>
      <c r="AY24" s="62"/>
      <c r="AZ24" s="62"/>
      <c r="BA24" s="62">
        <v>1</v>
      </c>
      <c r="BB24" s="62">
        <v>1</v>
      </c>
      <c r="BC24" s="62">
        <v>0</v>
      </c>
      <c r="BD24" s="62">
        <v>4</v>
      </c>
      <c r="BE24" s="62">
        <v>4</v>
      </c>
      <c r="BF24" s="62">
        <v>0</v>
      </c>
      <c r="BG24" s="62"/>
      <c r="BH24" s="62"/>
      <c r="BI24" s="62"/>
      <c r="BJ24" s="253">
        <v>4</v>
      </c>
      <c r="BK24" s="253">
        <v>2</v>
      </c>
      <c r="BL24" s="253">
        <v>2</v>
      </c>
      <c r="BM24" s="253">
        <v>21</v>
      </c>
      <c r="BN24" s="253">
        <v>11</v>
      </c>
      <c r="BO24" s="253">
        <v>10</v>
      </c>
      <c r="BP24" s="253"/>
      <c r="BQ24" s="253"/>
      <c r="BR24" s="253"/>
      <c r="BS24" s="253">
        <v>4</v>
      </c>
      <c r="BT24" s="253">
        <v>3</v>
      </c>
      <c r="BU24" s="253">
        <v>1</v>
      </c>
      <c r="BV24" s="253">
        <v>3</v>
      </c>
      <c r="BW24" s="253">
        <v>1</v>
      </c>
      <c r="BX24" s="253">
        <v>2</v>
      </c>
      <c r="BY24" s="253">
        <v>22</v>
      </c>
      <c r="BZ24" s="253">
        <v>7</v>
      </c>
      <c r="CA24" s="253">
        <v>15</v>
      </c>
      <c r="CB24" s="253">
        <v>13</v>
      </c>
      <c r="CC24" s="253">
        <v>6</v>
      </c>
      <c r="CD24" s="253">
        <v>7</v>
      </c>
      <c r="CE24" s="253">
        <v>11</v>
      </c>
      <c r="CF24" s="253">
        <v>10</v>
      </c>
      <c r="CG24" s="253">
        <v>1</v>
      </c>
      <c r="CH24" s="253">
        <v>3</v>
      </c>
      <c r="CI24" s="253">
        <v>3</v>
      </c>
      <c r="CJ24" s="253">
        <v>0</v>
      </c>
      <c r="CK24" s="253">
        <v>1</v>
      </c>
      <c r="CL24" s="253">
        <v>1</v>
      </c>
      <c r="CM24" s="253">
        <v>0</v>
      </c>
      <c r="CN24" s="253">
        <v>2</v>
      </c>
      <c r="CO24" s="253">
        <v>1</v>
      </c>
      <c r="CP24" s="253">
        <v>1</v>
      </c>
      <c r="CQ24" s="253"/>
      <c r="CR24" s="253"/>
      <c r="CS24" s="253"/>
      <c r="CT24" s="253">
        <v>1</v>
      </c>
      <c r="CU24" s="253">
        <v>1</v>
      </c>
      <c r="CV24" s="253">
        <v>0</v>
      </c>
      <c r="CW24" s="253">
        <v>7</v>
      </c>
      <c r="CX24" s="253">
        <v>6</v>
      </c>
      <c r="CY24" s="253">
        <v>1</v>
      </c>
      <c r="CZ24" s="253">
        <v>24</v>
      </c>
      <c r="DA24" s="253">
        <v>2</v>
      </c>
      <c r="DB24" s="253">
        <v>22</v>
      </c>
      <c r="DC24" s="253">
        <v>2</v>
      </c>
      <c r="DD24" s="253">
        <v>2</v>
      </c>
      <c r="DE24" s="253">
        <v>0</v>
      </c>
      <c r="DF24" s="253">
        <v>35</v>
      </c>
      <c r="DG24" s="253">
        <v>10</v>
      </c>
      <c r="DH24" s="253">
        <v>25</v>
      </c>
      <c r="DI24" s="253">
        <v>8</v>
      </c>
      <c r="DJ24" s="253">
        <v>7</v>
      </c>
      <c r="DK24" s="253">
        <v>1</v>
      </c>
      <c r="DL24" s="253">
        <v>4</v>
      </c>
      <c r="DM24" s="253">
        <v>2</v>
      </c>
      <c r="DN24" s="253">
        <v>2</v>
      </c>
      <c r="DO24" s="253"/>
      <c r="DP24" s="253"/>
      <c r="DQ24" s="253"/>
      <c r="DR24" s="253"/>
      <c r="DS24" s="253"/>
      <c r="DT24" s="253"/>
      <c r="DU24" s="253">
        <v>6</v>
      </c>
      <c r="DV24" s="253">
        <v>2</v>
      </c>
      <c r="DW24" s="253">
        <v>4</v>
      </c>
      <c r="DX24" s="253">
        <v>1</v>
      </c>
      <c r="DY24" s="253">
        <v>1</v>
      </c>
      <c r="DZ24" s="253">
        <v>0</v>
      </c>
      <c r="EA24" s="253"/>
      <c r="EB24" s="253"/>
      <c r="EC24" s="253"/>
      <c r="ED24" s="253">
        <v>1</v>
      </c>
      <c r="EE24" s="253">
        <v>1</v>
      </c>
      <c r="EF24" s="253">
        <v>0</v>
      </c>
      <c r="EG24" s="253">
        <v>1</v>
      </c>
      <c r="EH24" s="253">
        <v>0</v>
      </c>
      <c r="EI24" s="253">
        <v>1</v>
      </c>
      <c r="EJ24" s="253">
        <v>2</v>
      </c>
      <c r="EK24" s="253">
        <v>0</v>
      </c>
      <c r="EL24" s="253">
        <v>2</v>
      </c>
      <c r="EM24" s="253"/>
      <c r="EN24" s="253"/>
      <c r="EO24" s="253"/>
      <c r="EP24" s="253"/>
      <c r="EQ24" s="253"/>
      <c r="ER24" s="253"/>
      <c r="ES24" s="253"/>
      <c r="ET24" s="253"/>
      <c r="EU24" s="253"/>
      <c r="EV24" s="253"/>
      <c r="EW24" s="253"/>
      <c r="EX24" s="253"/>
      <c r="EY24" s="253">
        <v>13</v>
      </c>
      <c r="EZ24" s="253">
        <v>0</v>
      </c>
      <c r="FA24" s="253">
        <v>13</v>
      </c>
      <c r="FB24" s="253">
        <v>2</v>
      </c>
      <c r="FC24" s="253">
        <v>0</v>
      </c>
      <c r="FD24" s="253">
        <v>2</v>
      </c>
      <c r="FE24" s="63">
        <f t="shared" si="0"/>
        <v>2394</v>
      </c>
      <c r="FF24" s="253" t="b">
        <f t="shared" si="1"/>
        <v>1</v>
      </c>
    </row>
    <row r="25" spans="1:162">
      <c r="A25" s="881" t="s">
        <v>107</v>
      </c>
      <c r="B25" s="62">
        <v>27708</v>
      </c>
      <c r="C25" s="62">
        <v>12619</v>
      </c>
      <c r="D25" s="62">
        <v>15089</v>
      </c>
      <c r="E25" s="62">
        <v>16101</v>
      </c>
      <c r="F25" s="62">
        <v>7879</v>
      </c>
      <c r="G25" s="62">
        <v>8222</v>
      </c>
      <c r="H25" s="62">
        <v>550</v>
      </c>
      <c r="I25" s="62">
        <v>256</v>
      </c>
      <c r="J25" s="62">
        <v>294</v>
      </c>
      <c r="K25" s="62">
        <v>2711</v>
      </c>
      <c r="L25" s="62">
        <v>656</v>
      </c>
      <c r="M25" s="62">
        <v>2055</v>
      </c>
      <c r="N25" s="62">
        <v>25115</v>
      </c>
      <c r="O25" s="62">
        <v>11444</v>
      </c>
      <c r="P25" s="62">
        <v>13671</v>
      </c>
      <c r="Q25" s="62">
        <v>490</v>
      </c>
      <c r="R25" s="62">
        <v>218</v>
      </c>
      <c r="S25" s="62">
        <v>272</v>
      </c>
      <c r="T25" s="62">
        <v>4340</v>
      </c>
      <c r="U25" s="62">
        <v>1881</v>
      </c>
      <c r="V25" s="62">
        <v>2459</v>
      </c>
      <c r="W25" s="62">
        <v>4051</v>
      </c>
      <c r="X25" s="62">
        <v>1981</v>
      </c>
      <c r="Y25" s="62">
        <v>2070</v>
      </c>
      <c r="Z25" s="62">
        <v>737</v>
      </c>
      <c r="AA25" s="62">
        <v>362</v>
      </c>
      <c r="AB25" s="62">
        <v>375</v>
      </c>
      <c r="AC25" s="62">
        <v>1648</v>
      </c>
      <c r="AD25" s="62">
        <v>667</v>
      </c>
      <c r="AE25" s="62">
        <v>981</v>
      </c>
      <c r="AF25" s="62">
        <v>87</v>
      </c>
      <c r="AG25" s="62">
        <v>32</v>
      </c>
      <c r="AH25" s="62">
        <v>55</v>
      </c>
      <c r="AI25" s="62">
        <v>22151</v>
      </c>
      <c r="AJ25" s="62">
        <v>10774</v>
      </c>
      <c r="AK25" s="62">
        <v>11377</v>
      </c>
      <c r="AL25" s="62">
        <v>16506</v>
      </c>
      <c r="AM25" s="62">
        <v>8192</v>
      </c>
      <c r="AN25" s="62">
        <v>8314</v>
      </c>
      <c r="AO25" s="62">
        <v>734</v>
      </c>
      <c r="AP25" s="62">
        <v>346</v>
      </c>
      <c r="AQ25" s="62">
        <v>388</v>
      </c>
      <c r="AR25" s="62">
        <v>2343</v>
      </c>
      <c r="AS25" s="62">
        <v>748</v>
      </c>
      <c r="AT25" s="62">
        <v>1595</v>
      </c>
      <c r="AU25" s="62">
        <v>22911</v>
      </c>
      <c r="AV25" s="62">
        <v>10656</v>
      </c>
      <c r="AW25" s="62">
        <v>12255</v>
      </c>
      <c r="AX25" s="62">
        <v>139</v>
      </c>
      <c r="AY25" s="62">
        <v>64</v>
      </c>
      <c r="AZ25" s="62">
        <v>75</v>
      </c>
      <c r="BA25" s="62">
        <v>382</v>
      </c>
      <c r="BB25" s="62">
        <v>230</v>
      </c>
      <c r="BC25" s="62">
        <v>152</v>
      </c>
      <c r="BD25" s="62">
        <v>547</v>
      </c>
      <c r="BE25" s="62">
        <v>305</v>
      </c>
      <c r="BF25" s="62">
        <v>242</v>
      </c>
      <c r="BG25" s="62">
        <v>41</v>
      </c>
      <c r="BH25" s="62">
        <v>25</v>
      </c>
      <c r="BI25" s="62">
        <v>16</v>
      </c>
      <c r="BJ25" s="253">
        <v>159</v>
      </c>
      <c r="BK25" s="253">
        <v>76</v>
      </c>
      <c r="BL25" s="253">
        <v>83</v>
      </c>
      <c r="BM25" s="253">
        <v>65</v>
      </c>
      <c r="BN25" s="253">
        <v>28</v>
      </c>
      <c r="BO25" s="253">
        <v>37</v>
      </c>
      <c r="BP25" s="253">
        <v>14</v>
      </c>
      <c r="BQ25" s="253">
        <v>4</v>
      </c>
      <c r="BR25" s="253">
        <v>10</v>
      </c>
      <c r="BS25" s="253">
        <v>103</v>
      </c>
      <c r="BT25" s="253">
        <v>55</v>
      </c>
      <c r="BU25" s="253">
        <v>48</v>
      </c>
      <c r="BV25" s="253">
        <v>96</v>
      </c>
      <c r="BW25" s="253">
        <v>38</v>
      </c>
      <c r="BX25" s="253">
        <v>58</v>
      </c>
      <c r="BY25" s="253">
        <v>608</v>
      </c>
      <c r="BZ25" s="253">
        <v>202</v>
      </c>
      <c r="CA25" s="253">
        <v>406</v>
      </c>
      <c r="CB25" s="253">
        <v>461</v>
      </c>
      <c r="CC25" s="253">
        <v>189</v>
      </c>
      <c r="CD25" s="253">
        <v>272</v>
      </c>
      <c r="CE25" s="253">
        <v>1138</v>
      </c>
      <c r="CF25" s="253">
        <v>717</v>
      </c>
      <c r="CG25" s="253">
        <v>421</v>
      </c>
      <c r="CH25" s="253">
        <v>886</v>
      </c>
      <c r="CI25" s="253">
        <v>367</v>
      </c>
      <c r="CJ25" s="253">
        <v>519</v>
      </c>
      <c r="CK25" s="253">
        <v>12</v>
      </c>
      <c r="CL25" s="253">
        <v>6</v>
      </c>
      <c r="CM25" s="253">
        <v>6</v>
      </c>
      <c r="CN25" s="253">
        <v>87</v>
      </c>
      <c r="CO25" s="253">
        <v>41</v>
      </c>
      <c r="CP25" s="253">
        <v>46</v>
      </c>
      <c r="CQ25" s="253">
        <v>141</v>
      </c>
      <c r="CR25" s="253">
        <v>82</v>
      </c>
      <c r="CS25" s="253">
        <v>59</v>
      </c>
      <c r="CT25" s="253">
        <v>97</v>
      </c>
      <c r="CU25" s="253">
        <v>53</v>
      </c>
      <c r="CV25" s="253">
        <v>44</v>
      </c>
      <c r="CW25" s="253">
        <v>181</v>
      </c>
      <c r="CX25" s="253">
        <v>100</v>
      </c>
      <c r="CY25" s="253">
        <v>81</v>
      </c>
      <c r="CZ25" s="253">
        <v>3151</v>
      </c>
      <c r="DA25" s="253">
        <v>1505</v>
      </c>
      <c r="DB25" s="253">
        <v>1646</v>
      </c>
      <c r="DC25" s="253">
        <v>56</v>
      </c>
      <c r="DD25" s="253">
        <v>36</v>
      </c>
      <c r="DE25" s="253">
        <v>20</v>
      </c>
      <c r="DF25" s="253">
        <v>922</v>
      </c>
      <c r="DG25" s="253">
        <v>521</v>
      </c>
      <c r="DH25" s="253">
        <v>401</v>
      </c>
      <c r="DI25" s="253">
        <v>12329</v>
      </c>
      <c r="DJ25" s="253">
        <v>5861</v>
      </c>
      <c r="DK25" s="253">
        <v>6468</v>
      </c>
      <c r="DL25" s="253">
        <v>515</v>
      </c>
      <c r="DM25" s="253">
        <v>321</v>
      </c>
      <c r="DN25" s="253">
        <v>194</v>
      </c>
      <c r="DO25" s="253">
        <v>5</v>
      </c>
      <c r="DP25" s="253">
        <v>3</v>
      </c>
      <c r="DQ25" s="253">
        <v>2</v>
      </c>
      <c r="DR25" s="253">
        <v>5</v>
      </c>
      <c r="DS25" s="253">
        <v>1</v>
      </c>
      <c r="DT25" s="253">
        <v>4</v>
      </c>
      <c r="DU25" s="253">
        <v>1013</v>
      </c>
      <c r="DV25" s="253">
        <v>695</v>
      </c>
      <c r="DW25" s="253">
        <v>318</v>
      </c>
      <c r="DX25" s="253">
        <v>20</v>
      </c>
      <c r="DY25" s="253">
        <v>6</v>
      </c>
      <c r="DZ25" s="253">
        <v>14</v>
      </c>
      <c r="EA25" s="253"/>
      <c r="EB25" s="253"/>
      <c r="EC25" s="253"/>
      <c r="ED25" s="253">
        <v>3</v>
      </c>
      <c r="EE25" s="253">
        <v>3</v>
      </c>
      <c r="EF25" s="253">
        <v>0</v>
      </c>
      <c r="EG25" s="253">
        <v>21</v>
      </c>
      <c r="EH25" s="253">
        <v>10</v>
      </c>
      <c r="EI25" s="253">
        <v>11</v>
      </c>
      <c r="EJ25" s="253">
        <v>182</v>
      </c>
      <c r="EK25" s="253">
        <v>71</v>
      </c>
      <c r="EL25" s="253">
        <v>111</v>
      </c>
      <c r="EM25" s="253">
        <v>40</v>
      </c>
      <c r="EN25" s="253">
        <v>7</v>
      </c>
      <c r="EO25" s="253">
        <v>33</v>
      </c>
      <c r="EP25" s="253"/>
      <c r="EQ25" s="253"/>
      <c r="ER25" s="253"/>
      <c r="ES25" s="253">
        <v>8</v>
      </c>
      <c r="ET25" s="253">
        <v>4</v>
      </c>
      <c r="EU25" s="253">
        <v>4</v>
      </c>
      <c r="EV25" s="253">
        <v>64</v>
      </c>
      <c r="EW25" s="253">
        <v>3</v>
      </c>
      <c r="EX25" s="253">
        <v>61</v>
      </c>
      <c r="EY25" s="253">
        <v>98</v>
      </c>
      <c r="EZ25" s="253">
        <v>28</v>
      </c>
      <c r="FA25" s="253">
        <v>70</v>
      </c>
      <c r="FB25" s="253">
        <v>91</v>
      </c>
      <c r="FC25" s="253">
        <v>16</v>
      </c>
      <c r="FD25" s="253">
        <v>75</v>
      </c>
      <c r="FE25" s="63">
        <f t="shared" si="0"/>
        <v>171863</v>
      </c>
      <c r="FF25" s="253" t="b">
        <f t="shared" si="1"/>
        <v>1</v>
      </c>
    </row>
    <row r="26" spans="1:162">
      <c r="A26" s="881" t="s">
        <v>110</v>
      </c>
      <c r="B26" s="62">
        <v>21462</v>
      </c>
      <c r="C26" s="62">
        <v>10313</v>
      </c>
      <c r="D26" s="62">
        <v>11149</v>
      </c>
      <c r="E26" s="62">
        <v>9925</v>
      </c>
      <c r="F26" s="62">
        <v>5088</v>
      </c>
      <c r="G26" s="62">
        <v>4837</v>
      </c>
      <c r="H26" s="62">
        <v>400</v>
      </c>
      <c r="I26" s="62">
        <v>147</v>
      </c>
      <c r="J26" s="62">
        <v>253</v>
      </c>
      <c r="K26" s="62">
        <v>1994</v>
      </c>
      <c r="L26" s="62">
        <v>501</v>
      </c>
      <c r="M26" s="62">
        <v>1493</v>
      </c>
      <c r="N26" s="62">
        <v>15377</v>
      </c>
      <c r="O26" s="62">
        <v>7735</v>
      </c>
      <c r="P26" s="62">
        <v>7642</v>
      </c>
      <c r="Q26" s="62">
        <v>274</v>
      </c>
      <c r="R26" s="62">
        <v>93</v>
      </c>
      <c r="S26" s="62">
        <v>181</v>
      </c>
      <c r="T26" s="62">
        <v>1862</v>
      </c>
      <c r="U26" s="62">
        <v>856</v>
      </c>
      <c r="V26" s="62">
        <v>1006</v>
      </c>
      <c r="W26" s="62">
        <v>1792</v>
      </c>
      <c r="X26" s="62">
        <v>919</v>
      </c>
      <c r="Y26" s="62">
        <v>873</v>
      </c>
      <c r="Z26" s="62">
        <v>726</v>
      </c>
      <c r="AA26" s="62">
        <v>357</v>
      </c>
      <c r="AB26" s="62">
        <v>369</v>
      </c>
      <c r="AC26" s="62">
        <v>594</v>
      </c>
      <c r="AD26" s="62">
        <v>263</v>
      </c>
      <c r="AE26" s="62">
        <v>331</v>
      </c>
      <c r="AF26" s="62">
        <v>51</v>
      </c>
      <c r="AG26" s="62">
        <v>22</v>
      </c>
      <c r="AH26" s="62">
        <v>29</v>
      </c>
      <c r="AI26" s="62">
        <v>15323</v>
      </c>
      <c r="AJ26" s="62">
        <v>7858</v>
      </c>
      <c r="AK26" s="62">
        <v>7465</v>
      </c>
      <c r="AL26" s="62">
        <v>10339</v>
      </c>
      <c r="AM26" s="62">
        <v>5378</v>
      </c>
      <c r="AN26" s="62">
        <v>4961</v>
      </c>
      <c r="AO26" s="62">
        <v>450</v>
      </c>
      <c r="AP26" s="62">
        <v>174</v>
      </c>
      <c r="AQ26" s="62">
        <v>276</v>
      </c>
      <c r="AR26" s="62">
        <v>1339</v>
      </c>
      <c r="AS26" s="62">
        <v>453</v>
      </c>
      <c r="AT26" s="62">
        <v>886</v>
      </c>
      <c r="AU26" s="62">
        <v>12782</v>
      </c>
      <c r="AV26" s="62">
        <v>6555</v>
      </c>
      <c r="AW26" s="62">
        <v>6227</v>
      </c>
      <c r="AX26" s="62">
        <v>76</v>
      </c>
      <c r="AY26" s="62">
        <v>35</v>
      </c>
      <c r="AZ26" s="62">
        <v>41</v>
      </c>
      <c r="BA26" s="62">
        <v>389</v>
      </c>
      <c r="BB26" s="62">
        <v>157</v>
      </c>
      <c r="BC26" s="62">
        <v>232</v>
      </c>
      <c r="BD26" s="62">
        <v>702</v>
      </c>
      <c r="BE26" s="62">
        <v>291</v>
      </c>
      <c r="BF26" s="62">
        <v>411</v>
      </c>
      <c r="BG26" s="62">
        <v>23</v>
      </c>
      <c r="BH26" s="62">
        <v>16</v>
      </c>
      <c r="BI26" s="62">
        <v>7</v>
      </c>
      <c r="BJ26" s="253">
        <v>103</v>
      </c>
      <c r="BK26" s="253">
        <v>39</v>
      </c>
      <c r="BL26" s="253">
        <v>64</v>
      </c>
      <c r="BM26" s="253">
        <v>40</v>
      </c>
      <c r="BN26" s="253">
        <v>24</v>
      </c>
      <c r="BO26" s="253">
        <v>16</v>
      </c>
      <c r="BP26" s="253">
        <v>14</v>
      </c>
      <c r="BQ26" s="253">
        <v>5</v>
      </c>
      <c r="BR26" s="253">
        <v>9</v>
      </c>
      <c r="BS26" s="253">
        <v>31</v>
      </c>
      <c r="BT26" s="253">
        <v>3</v>
      </c>
      <c r="BU26" s="253">
        <v>28</v>
      </c>
      <c r="BV26" s="253">
        <v>79</v>
      </c>
      <c r="BW26" s="253">
        <v>45</v>
      </c>
      <c r="BX26" s="253">
        <v>34</v>
      </c>
      <c r="BY26" s="253">
        <v>359</v>
      </c>
      <c r="BZ26" s="253">
        <v>154</v>
      </c>
      <c r="CA26" s="253">
        <v>205</v>
      </c>
      <c r="CB26" s="253">
        <v>313</v>
      </c>
      <c r="CC26" s="253">
        <v>135</v>
      </c>
      <c r="CD26" s="253">
        <v>178</v>
      </c>
      <c r="CE26" s="253">
        <v>1237</v>
      </c>
      <c r="CF26" s="253">
        <v>810</v>
      </c>
      <c r="CG26" s="253">
        <v>427</v>
      </c>
      <c r="CH26" s="253">
        <v>1200</v>
      </c>
      <c r="CI26" s="253">
        <v>665</v>
      </c>
      <c r="CJ26" s="253">
        <v>535</v>
      </c>
      <c r="CK26" s="253">
        <v>136</v>
      </c>
      <c r="CL26" s="253">
        <v>61</v>
      </c>
      <c r="CM26" s="253">
        <v>75</v>
      </c>
      <c r="CN26" s="253">
        <v>250</v>
      </c>
      <c r="CO26" s="253">
        <v>141</v>
      </c>
      <c r="CP26" s="253">
        <v>109</v>
      </c>
      <c r="CQ26" s="253">
        <v>178</v>
      </c>
      <c r="CR26" s="253">
        <v>52</v>
      </c>
      <c r="CS26" s="253">
        <v>126</v>
      </c>
      <c r="CT26" s="253">
        <v>100</v>
      </c>
      <c r="CU26" s="253">
        <v>25</v>
      </c>
      <c r="CV26" s="253">
        <v>75</v>
      </c>
      <c r="CW26" s="253">
        <v>88</v>
      </c>
      <c r="CX26" s="253">
        <v>62</v>
      </c>
      <c r="CY26" s="253">
        <v>26</v>
      </c>
      <c r="CZ26" s="253">
        <v>2770</v>
      </c>
      <c r="DA26" s="253">
        <v>1472</v>
      </c>
      <c r="DB26" s="253">
        <v>1298</v>
      </c>
      <c r="DC26" s="253">
        <v>33</v>
      </c>
      <c r="DD26" s="253">
        <v>26</v>
      </c>
      <c r="DE26" s="253">
        <v>7</v>
      </c>
      <c r="DF26" s="253">
        <v>1171</v>
      </c>
      <c r="DG26" s="253">
        <v>559</v>
      </c>
      <c r="DH26" s="253">
        <v>612</v>
      </c>
      <c r="DI26" s="253">
        <v>4374</v>
      </c>
      <c r="DJ26" s="253">
        <v>2298</v>
      </c>
      <c r="DK26" s="253">
        <v>2076</v>
      </c>
      <c r="DL26" s="253">
        <v>257</v>
      </c>
      <c r="DM26" s="253">
        <v>148</v>
      </c>
      <c r="DN26" s="253">
        <v>109</v>
      </c>
      <c r="DO26" s="253">
        <v>2</v>
      </c>
      <c r="DP26" s="253">
        <v>0</v>
      </c>
      <c r="DQ26" s="253">
        <v>2</v>
      </c>
      <c r="DR26" s="253">
        <v>4</v>
      </c>
      <c r="DS26" s="253">
        <v>0</v>
      </c>
      <c r="DT26" s="253">
        <v>4</v>
      </c>
      <c r="DU26" s="253">
        <v>578</v>
      </c>
      <c r="DV26" s="253">
        <v>387</v>
      </c>
      <c r="DW26" s="253">
        <v>191</v>
      </c>
      <c r="DX26" s="253"/>
      <c r="DY26" s="253"/>
      <c r="DZ26" s="253"/>
      <c r="EA26" s="253">
        <v>2</v>
      </c>
      <c r="EB26" s="253">
        <v>0</v>
      </c>
      <c r="EC26" s="253">
        <v>2</v>
      </c>
      <c r="ED26" s="253">
        <v>75</v>
      </c>
      <c r="EE26" s="253">
        <v>22</v>
      </c>
      <c r="EF26" s="253">
        <v>53</v>
      </c>
      <c r="EG26" s="253">
        <v>36</v>
      </c>
      <c r="EH26" s="253">
        <v>32</v>
      </c>
      <c r="EI26" s="253">
        <v>4</v>
      </c>
      <c r="EJ26" s="253">
        <v>335</v>
      </c>
      <c r="EK26" s="253">
        <v>59</v>
      </c>
      <c r="EL26" s="253">
        <v>276</v>
      </c>
      <c r="EM26" s="253">
        <v>247</v>
      </c>
      <c r="EN26" s="253">
        <v>7</v>
      </c>
      <c r="EO26" s="253">
        <v>240</v>
      </c>
      <c r="EP26" s="253">
        <v>1</v>
      </c>
      <c r="EQ26" s="253">
        <v>1</v>
      </c>
      <c r="ER26" s="253">
        <v>0</v>
      </c>
      <c r="ES26" s="253">
        <v>5</v>
      </c>
      <c r="ET26" s="253">
        <v>5</v>
      </c>
      <c r="EU26" s="253">
        <v>0</v>
      </c>
      <c r="EV26" s="253">
        <v>254</v>
      </c>
      <c r="EW26" s="253">
        <v>13</v>
      </c>
      <c r="EX26" s="253">
        <v>241</v>
      </c>
      <c r="EY26" s="253">
        <v>322</v>
      </c>
      <c r="EZ26" s="253">
        <v>60</v>
      </c>
      <c r="FA26" s="253">
        <v>262</v>
      </c>
      <c r="FB26" s="253">
        <v>273</v>
      </c>
      <c r="FC26" s="253">
        <v>13</v>
      </c>
      <c r="FD26" s="253">
        <v>260</v>
      </c>
      <c r="FE26" s="63">
        <f t="shared" si="0"/>
        <v>110747</v>
      </c>
      <c r="FF26" s="253" t="b">
        <f t="shared" si="1"/>
        <v>1</v>
      </c>
    </row>
    <row r="27" spans="1:162">
      <c r="A27" s="881" t="s">
        <v>112</v>
      </c>
      <c r="B27" s="62">
        <v>3573</v>
      </c>
      <c r="C27" s="62">
        <v>1561</v>
      </c>
      <c r="D27" s="62">
        <v>2012</v>
      </c>
      <c r="E27" s="62">
        <v>525</v>
      </c>
      <c r="F27" s="62">
        <v>222</v>
      </c>
      <c r="G27" s="62">
        <v>303</v>
      </c>
      <c r="H27" s="62">
        <v>74</v>
      </c>
      <c r="I27" s="62">
        <v>34</v>
      </c>
      <c r="J27" s="62">
        <v>40</v>
      </c>
      <c r="K27" s="62">
        <v>541</v>
      </c>
      <c r="L27" s="62">
        <v>156</v>
      </c>
      <c r="M27" s="62">
        <v>385</v>
      </c>
      <c r="N27" s="62">
        <v>748</v>
      </c>
      <c r="O27" s="62">
        <v>346</v>
      </c>
      <c r="P27" s="62">
        <v>402</v>
      </c>
      <c r="Q27" s="62">
        <v>59</v>
      </c>
      <c r="R27" s="62">
        <v>38</v>
      </c>
      <c r="S27" s="62">
        <v>21</v>
      </c>
      <c r="T27" s="62">
        <v>244</v>
      </c>
      <c r="U27" s="62">
        <v>130</v>
      </c>
      <c r="V27" s="62">
        <v>114</v>
      </c>
      <c r="W27" s="62">
        <v>535</v>
      </c>
      <c r="X27" s="62">
        <v>318</v>
      </c>
      <c r="Y27" s="62">
        <v>217</v>
      </c>
      <c r="Z27" s="62">
        <v>34</v>
      </c>
      <c r="AA27" s="62">
        <v>25</v>
      </c>
      <c r="AB27" s="62">
        <v>9</v>
      </c>
      <c r="AC27" s="62">
        <v>108</v>
      </c>
      <c r="AD27" s="62">
        <v>82</v>
      </c>
      <c r="AE27" s="62">
        <v>26</v>
      </c>
      <c r="AF27" s="62">
        <v>17</v>
      </c>
      <c r="AG27" s="62">
        <v>9</v>
      </c>
      <c r="AH27" s="62">
        <v>8</v>
      </c>
      <c r="AI27" s="62">
        <v>1646</v>
      </c>
      <c r="AJ27" s="62">
        <v>744</v>
      </c>
      <c r="AK27" s="62">
        <v>902</v>
      </c>
      <c r="AL27" s="62">
        <v>478</v>
      </c>
      <c r="AM27" s="62">
        <v>218</v>
      </c>
      <c r="AN27" s="62">
        <v>260</v>
      </c>
      <c r="AO27" s="62">
        <v>23</v>
      </c>
      <c r="AP27" s="62">
        <v>18</v>
      </c>
      <c r="AQ27" s="62">
        <v>5</v>
      </c>
      <c r="AR27" s="62">
        <v>115</v>
      </c>
      <c r="AS27" s="62">
        <v>52</v>
      </c>
      <c r="AT27" s="62">
        <v>63</v>
      </c>
      <c r="AU27" s="62">
        <v>531</v>
      </c>
      <c r="AV27" s="62">
        <v>262</v>
      </c>
      <c r="AW27" s="62">
        <v>269</v>
      </c>
      <c r="AX27" s="62">
        <v>8</v>
      </c>
      <c r="AY27" s="62">
        <v>7</v>
      </c>
      <c r="AZ27" s="62">
        <v>1</v>
      </c>
      <c r="BA27" s="62">
        <v>15</v>
      </c>
      <c r="BB27" s="62">
        <v>13</v>
      </c>
      <c r="BC27" s="62">
        <v>2</v>
      </c>
      <c r="BD27" s="62">
        <v>27</v>
      </c>
      <c r="BE27" s="62">
        <v>26</v>
      </c>
      <c r="BF27" s="62">
        <v>1</v>
      </c>
      <c r="BG27" s="62">
        <v>5</v>
      </c>
      <c r="BH27" s="62">
        <v>4</v>
      </c>
      <c r="BI27" s="62">
        <v>1</v>
      </c>
      <c r="BJ27" s="253">
        <v>28</v>
      </c>
      <c r="BK27" s="253">
        <v>13</v>
      </c>
      <c r="BL27" s="253">
        <v>15</v>
      </c>
      <c r="BM27" s="253">
        <v>2</v>
      </c>
      <c r="BN27" s="253">
        <v>1</v>
      </c>
      <c r="BO27" s="253">
        <v>1</v>
      </c>
      <c r="BP27" s="253">
        <v>1</v>
      </c>
      <c r="BQ27" s="253">
        <v>0</v>
      </c>
      <c r="BR27" s="253">
        <v>1</v>
      </c>
      <c r="BS27" s="253">
        <v>9</v>
      </c>
      <c r="BT27" s="253">
        <v>4</v>
      </c>
      <c r="BU27" s="253">
        <v>5</v>
      </c>
      <c r="BV27" s="253">
        <v>3</v>
      </c>
      <c r="BW27" s="253">
        <v>1</v>
      </c>
      <c r="BX27" s="253">
        <v>2</v>
      </c>
      <c r="BY27" s="253">
        <v>42</v>
      </c>
      <c r="BZ27" s="253">
        <v>23</v>
      </c>
      <c r="CA27" s="253">
        <v>19</v>
      </c>
      <c r="CB27" s="253">
        <v>33</v>
      </c>
      <c r="CC27" s="253">
        <v>18</v>
      </c>
      <c r="CD27" s="253">
        <v>15</v>
      </c>
      <c r="CE27" s="253">
        <v>97</v>
      </c>
      <c r="CF27" s="253">
        <v>44</v>
      </c>
      <c r="CG27" s="253">
        <v>53</v>
      </c>
      <c r="CH27" s="253">
        <v>50</v>
      </c>
      <c r="CI27" s="253">
        <v>27</v>
      </c>
      <c r="CJ27" s="253">
        <v>23</v>
      </c>
      <c r="CK27" s="253"/>
      <c r="CL27" s="253"/>
      <c r="CM27" s="253"/>
      <c r="CN27" s="253">
        <v>4</v>
      </c>
      <c r="CO27" s="253">
        <v>2</v>
      </c>
      <c r="CP27" s="253">
        <v>2</v>
      </c>
      <c r="CQ27" s="253">
        <v>10</v>
      </c>
      <c r="CR27" s="253">
        <v>3</v>
      </c>
      <c r="CS27" s="253">
        <v>7</v>
      </c>
      <c r="CT27" s="253">
        <v>11</v>
      </c>
      <c r="CU27" s="253">
        <v>2</v>
      </c>
      <c r="CV27" s="253">
        <v>9</v>
      </c>
      <c r="CW27" s="253">
        <v>28</v>
      </c>
      <c r="CX27" s="253">
        <v>7</v>
      </c>
      <c r="CY27" s="253">
        <v>21</v>
      </c>
      <c r="CZ27" s="253">
        <v>115</v>
      </c>
      <c r="DA27" s="253">
        <v>62</v>
      </c>
      <c r="DB27" s="253">
        <v>53</v>
      </c>
      <c r="DC27" s="253">
        <v>1</v>
      </c>
      <c r="DD27" s="253">
        <v>1</v>
      </c>
      <c r="DE27" s="253">
        <v>0</v>
      </c>
      <c r="DF27" s="253">
        <v>138</v>
      </c>
      <c r="DG27" s="253">
        <v>35</v>
      </c>
      <c r="DH27" s="253">
        <v>103</v>
      </c>
      <c r="DI27" s="253">
        <v>220</v>
      </c>
      <c r="DJ27" s="253">
        <v>110</v>
      </c>
      <c r="DK27" s="253">
        <v>110</v>
      </c>
      <c r="DL27" s="253">
        <v>16</v>
      </c>
      <c r="DM27" s="253">
        <v>9</v>
      </c>
      <c r="DN27" s="253">
        <v>7</v>
      </c>
      <c r="DO27" s="253"/>
      <c r="DP27" s="253"/>
      <c r="DQ27" s="253"/>
      <c r="DR27" s="253"/>
      <c r="DS27" s="253"/>
      <c r="DT27" s="253"/>
      <c r="DU27" s="253">
        <v>20</v>
      </c>
      <c r="DV27" s="253">
        <v>13</v>
      </c>
      <c r="DW27" s="253">
        <v>7</v>
      </c>
      <c r="DX27" s="253"/>
      <c r="DY27" s="253"/>
      <c r="DZ27" s="253"/>
      <c r="EA27" s="253"/>
      <c r="EB27" s="253"/>
      <c r="EC27" s="253"/>
      <c r="ED27" s="253"/>
      <c r="EE27" s="253"/>
      <c r="EF27" s="253"/>
      <c r="EG27" s="253"/>
      <c r="EH27" s="253"/>
      <c r="EI27" s="253"/>
      <c r="EJ27" s="253">
        <v>9</v>
      </c>
      <c r="EK27" s="253">
        <v>9</v>
      </c>
      <c r="EL27" s="253">
        <v>0</v>
      </c>
      <c r="EM27" s="253">
        <v>2</v>
      </c>
      <c r="EN27" s="253">
        <v>2</v>
      </c>
      <c r="EO27" s="253">
        <v>0</v>
      </c>
      <c r="EP27" s="253"/>
      <c r="EQ27" s="253"/>
      <c r="ER27" s="253"/>
      <c r="ES27" s="253"/>
      <c r="ET27" s="253"/>
      <c r="EU27" s="253"/>
      <c r="EV27" s="253"/>
      <c r="EW27" s="253"/>
      <c r="EX27" s="253"/>
      <c r="EY27" s="253"/>
      <c r="EZ27" s="253"/>
      <c r="FA27" s="253"/>
      <c r="FB27" s="253">
        <v>3</v>
      </c>
      <c r="FC27" s="253">
        <v>1</v>
      </c>
      <c r="FD27" s="253">
        <v>2</v>
      </c>
      <c r="FE27" s="63">
        <f t="shared" si="0"/>
        <v>10148</v>
      </c>
      <c r="FF27" s="253" t="b">
        <f t="shared" si="1"/>
        <v>1</v>
      </c>
    </row>
    <row r="28" spans="1:162">
      <c r="A28" s="881" t="s">
        <v>111</v>
      </c>
      <c r="B28" s="62">
        <v>95093</v>
      </c>
      <c r="C28" s="62">
        <v>48691</v>
      </c>
      <c r="D28" s="62">
        <v>46402</v>
      </c>
      <c r="E28" s="62">
        <v>6844</v>
      </c>
      <c r="F28" s="62">
        <v>3987</v>
      </c>
      <c r="G28" s="62">
        <v>2857</v>
      </c>
      <c r="H28" s="62">
        <v>1613</v>
      </c>
      <c r="I28" s="62">
        <v>972</v>
      </c>
      <c r="J28" s="62">
        <v>641</v>
      </c>
      <c r="K28" s="62">
        <v>12603</v>
      </c>
      <c r="L28" s="62">
        <v>3556</v>
      </c>
      <c r="M28" s="62">
        <v>9047</v>
      </c>
      <c r="N28" s="62">
        <v>16058</v>
      </c>
      <c r="O28" s="62">
        <v>9634</v>
      </c>
      <c r="P28" s="62">
        <v>6424</v>
      </c>
      <c r="Q28" s="62">
        <v>965</v>
      </c>
      <c r="R28" s="62">
        <v>526</v>
      </c>
      <c r="S28" s="62">
        <v>439</v>
      </c>
      <c r="T28" s="62">
        <v>3419</v>
      </c>
      <c r="U28" s="62">
        <v>1719</v>
      </c>
      <c r="V28" s="62">
        <v>1700</v>
      </c>
      <c r="W28" s="62">
        <v>9401</v>
      </c>
      <c r="X28" s="62">
        <v>5320</v>
      </c>
      <c r="Y28" s="62">
        <v>4081</v>
      </c>
      <c r="Z28" s="62">
        <v>1309</v>
      </c>
      <c r="AA28" s="62">
        <v>851</v>
      </c>
      <c r="AB28" s="62">
        <v>458</v>
      </c>
      <c r="AC28" s="62">
        <v>1223</v>
      </c>
      <c r="AD28" s="62">
        <v>651</v>
      </c>
      <c r="AE28" s="62">
        <v>572</v>
      </c>
      <c r="AF28" s="62">
        <v>160</v>
      </c>
      <c r="AG28" s="62">
        <v>86</v>
      </c>
      <c r="AH28" s="62">
        <v>74</v>
      </c>
      <c r="AI28" s="62">
        <v>61483</v>
      </c>
      <c r="AJ28" s="62">
        <v>32565</v>
      </c>
      <c r="AK28" s="62">
        <v>28918</v>
      </c>
      <c r="AL28" s="62">
        <v>6979</v>
      </c>
      <c r="AM28" s="62">
        <v>3653</v>
      </c>
      <c r="AN28" s="62">
        <v>3326</v>
      </c>
      <c r="AO28" s="62">
        <v>2029</v>
      </c>
      <c r="AP28" s="62">
        <v>1022</v>
      </c>
      <c r="AQ28" s="62">
        <v>1007</v>
      </c>
      <c r="AR28" s="62">
        <v>25064</v>
      </c>
      <c r="AS28" s="62">
        <v>9957</v>
      </c>
      <c r="AT28" s="62">
        <v>15107</v>
      </c>
      <c r="AU28" s="62">
        <v>22721</v>
      </c>
      <c r="AV28" s="62">
        <v>13215</v>
      </c>
      <c r="AW28" s="62">
        <v>9506</v>
      </c>
      <c r="AX28" s="62">
        <v>142</v>
      </c>
      <c r="AY28" s="62">
        <v>57</v>
      </c>
      <c r="AZ28" s="62">
        <v>85</v>
      </c>
      <c r="BA28" s="62">
        <v>375</v>
      </c>
      <c r="BB28" s="62">
        <v>222</v>
      </c>
      <c r="BC28" s="62">
        <v>153</v>
      </c>
      <c r="BD28" s="62">
        <v>654</v>
      </c>
      <c r="BE28" s="62">
        <v>429</v>
      </c>
      <c r="BF28" s="62">
        <v>225</v>
      </c>
      <c r="BG28" s="62">
        <v>76</v>
      </c>
      <c r="BH28" s="62">
        <v>53</v>
      </c>
      <c r="BI28" s="62">
        <v>23</v>
      </c>
      <c r="BJ28" s="253">
        <v>1308</v>
      </c>
      <c r="BK28" s="253">
        <v>718</v>
      </c>
      <c r="BL28" s="253">
        <v>590</v>
      </c>
      <c r="BM28" s="253">
        <v>2016</v>
      </c>
      <c r="BN28" s="253">
        <v>1288</v>
      </c>
      <c r="BO28" s="253">
        <v>728</v>
      </c>
      <c r="BP28" s="253">
        <v>8759</v>
      </c>
      <c r="BQ28" s="253">
        <v>5181</v>
      </c>
      <c r="BR28" s="253">
        <v>3578</v>
      </c>
      <c r="BS28" s="253">
        <v>898</v>
      </c>
      <c r="BT28" s="253">
        <v>408</v>
      </c>
      <c r="BU28" s="253">
        <v>490</v>
      </c>
      <c r="BV28" s="253">
        <v>1866</v>
      </c>
      <c r="BW28" s="253">
        <v>790</v>
      </c>
      <c r="BX28" s="253">
        <v>1076</v>
      </c>
      <c r="BY28" s="253">
        <v>2854</v>
      </c>
      <c r="BZ28" s="253">
        <v>1108</v>
      </c>
      <c r="CA28" s="253">
        <v>1746</v>
      </c>
      <c r="CB28" s="253">
        <v>1745</v>
      </c>
      <c r="CC28" s="253">
        <v>794</v>
      </c>
      <c r="CD28" s="253">
        <v>951</v>
      </c>
      <c r="CE28" s="253">
        <v>2557</v>
      </c>
      <c r="CF28" s="253">
        <v>1770</v>
      </c>
      <c r="CG28" s="253">
        <v>787</v>
      </c>
      <c r="CH28" s="253">
        <v>1012</v>
      </c>
      <c r="CI28" s="253">
        <v>528</v>
      </c>
      <c r="CJ28" s="253">
        <v>484</v>
      </c>
      <c r="CK28" s="253">
        <v>14</v>
      </c>
      <c r="CL28" s="253">
        <v>8</v>
      </c>
      <c r="CM28" s="253">
        <v>6</v>
      </c>
      <c r="CN28" s="253">
        <v>180</v>
      </c>
      <c r="CO28" s="253">
        <v>100</v>
      </c>
      <c r="CP28" s="253">
        <v>80</v>
      </c>
      <c r="CQ28" s="253">
        <v>1916</v>
      </c>
      <c r="CR28" s="253">
        <v>1070</v>
      </c>
      <c r="CS28" s="253">
        <v>846</v>
      </c>
      <c r="CT28" s="253">
        <v>765</v>
      </c>
      <c r="CU28" s="253">
        <v>319</v>
      </c>
      <c r="CV28" s="253">
        <v>446</v>
      </c>
      <c r="CW28" s="253">
        <v>737</v>
      </c>
      <c r="CX28" s="253">
        <v>404</v>
      </c>
      <c r="CY28" s="253">
        <v>333</v>
      </c>
      <c r="CZ28" s="253">
        <v>9746</v>
      </c>
      <c r="DA28" s="253">
        <v>4830</v>
      </c>
      <c r="DB28" s="253">
        <v>4916</v>
      </c>
      <c r="DC28" s="253">
        <v>354</v>
      </c>
      <c r="DD28" s="253">
        <v>199</v>
      </c>
      <c r="DE28" s="253">
        <v>155</v>
      </c>
      <c r="DF28" s="253">
        <v>3413</v>
      </c>
      <c r="DG28" s="253">
        <v>1366</v>
      </c>
      <c r="DH28" s="253">
        <v>2047</v>
      </c>
      <c r="DI28" s="253">
        <v>20405</v>
      </c>
      <c r="DJ28" s="253">
        <v>10630</v>
      </c>
      <c r="DK28" s="253">
        <v>9775</v>
      </c>
      <c r="DL28" s="253">
        <v>2528</v>
      </c>
      <c r="DM28" s="253">
        <v>1218</v>
      </c>
      <c r="DN28" s="253">
        <v>1310</v>
      </c>
      <c r="DO28" s="253">
        <v>16</v>
      </c>
      <c r="DP28" s="253">
        <v>2</v>
      </c>
      <c r="DQ28" s="253">
        <v>14</v>
      </c>
      <c r="DR28" s="253">
        <v>4</v>
      </c>
      <c r="DS28" s="253">
        <v>2</v>
      </c>
      <c r="DT28" s="253">
        <v>2</v>
      </c>
      <c r="DU28" s="253">
        <v>1044</v>
      </c>
      <c r="DV28" s="253">
        <v>664</v>
      </c>
      <c r="DW28" s="253">
        <v>380</v>
      </c>
      <c r="DX28" s="253">
        <v>61</v>
      </c>
      <c r="DY28" s="253">
        <v>27</v>
      </c>
      <c r="DZ28" s="253">
        <v>34</v>
      </c>
      <c r="EA28" s="253">
        <v>5</v>
      </c>
      <c r="EB28" s="253">
        <v>4</v>
      </c>
      <c r="EC28" s="253">
        <v>1</v>
      </c>
      <c r="ED28" s="253">
        <v>5</v>
      </c>
      <c r="EE28" s="253">
        <v>4</v>
      </c>
      <c r="EF28" s="253">
        <v>1</v>
      </c>
      <c r="EG28" s="253">
        <v>93</v>
      </c>
      <c r="EH28" s="253">
        <v>78</v>
      </c>
      <c r="EI28" s="253">
        <v>15</v>
      </c>
      <c r="EJ28" s="253">
        <v>386</v>
      </c>
      <c r="EK28" s="253">
        <v>247</v>
      </c>
      <c r="EL28" s="253">
        <v>139</v>
      </c>
      <c r="EM28" s="253">
        <v>97</v>
      </c>
      <c r="EN28" s="253">
        <v>76</v>
      </c>
      <c r="EO28" s="253">
        <v>21</v>
      </c>
      <c r="EP28" s="253">
        <v>9</v>
      </c>
      <c r="EQ28" s="253">
        <v>2</v>
      </c>
      <c r="ER28" s="253">
        <v>7</v>
      </c>
      <c r="ES28" s="253">
        <v>58</v>
      </c>
      <c r="ET28" s="253">
        <v>30</v>
      </c>
      <c r="EU28" s="253">
        <v>28</v>
      </c>
      <c r="EV28" s="253">
        <v>37</v>
      </c>
      <c r="EW28" s="253">
        <v>22</v>
      </c>
      <c r="EX28" s="253">
        <v>15</v>
      </c>
      <c r="EY28" s="253">
        <v>195</v>
      </c>
      <c r="EZ28" s="253">
        <v>157</v>
      </c>
      <c r="FA28" s="253">
        <v>38</v>
      </c>
      <c r="FB28" s="253">
        <v>1689</v>
      </c>
      <c r="FC28" s="253">
        <v>1274</v>
      </c>
      <c r="FD28" s="253">
        <v>415</v>
      </c>
      <c r="FE28" s="63">
        <f t="shared" si="0"/>
        <v>334983</v>
      </c>
      <c r="FF28" s="253" t="b">
        <f t="shared" si="1"/>
        <v>1</v>
      </c>
    </row>
    <row r="29" spans="1:162">
      <c r="A29" s="881" t="s">
        <v>113</v>
      </c>
      <c r="B29" s="62">
        <v>2261</v>
      </c>
      <c r="C29" s="62">
        <v>1376</v>
      </c>
      <c r="D29" s="62">
        <v>885</v>
      </c>
      <c r="E29" s="62">
        <v>885</v>
      </c>
      <c r="F29" s="62">
        <v>677</v>
      </c>
      <c r="G29" s="62">
        <v>208</v>
      </c>
      <c r="H29" s="62">
        <v>62</v>
      </c>
      <c r="I29" s="62">
        <v>37</v>
      </c>
      <c r="J29" s="62">
        <v>25</v>
      </c>
      <c r="K29" s="62">
        <v>191</v>
      </c>
      <c r="L29" s="62">
        <v>62</v>
      </c>
      <c r="M29" s="62">
        <v>129</v>
      </c>
      <c r="N29" s="62">
        <v>1076</v>
      </c>
      <c r="O29" s="62">
        <v>802</v>
      </c>
      <c r="P29" s="62">
        <v>274</v>
      </c>
      <c r="Q29" s="62">
        <v>72</v>
      </c>
      <c r="R29" s="62">
        <v>45</v>
      </c>
      <c r="S29" s="62">
        <v>27</v>
      </c>
      <c r="T29" s="62">
        <v>345</v>
      </c>
      <c r="U29" s="62">
        <v>238</v>
      </c>
      <c r="V29" s="62">
        <v>107</v>
      </c>
      <c r="W29" s="62">
        <v>310</v>
      </c>
      <c r="X29" s="62">
        <v>220</v>
      </c>
      <c r="Y29" s="62">
        <v>90</v>
      </c>
      <c r="Z29" s="62">
        <v>33</v>
      </c>
      <c r="AA29" s="62">
        <v>30</v>
      </c>
      <c r="AB29" s="62">
        <v>3</v>
      </c>
      <c r="AC29" s="62">
        <v>97</v>
      </c>
      <c r="AD29" s="62">
        <v>70</v>
      </c>
      <c r="AE29" s="62">
        <v>27</v>
      </c>
      <c r="AF29" s="62">
        <v>3</v>
      </c>
      <c r="AG29" s="62">
        <v>1</v>
      </c>
      <c r="AH29" s="62">
        <v>2</v>
      </c>
      <c r="AI29" s="62">
        <v>1068</v>
      </c>
      <c r="AJ29" s="62">
        <v>769</v>
      </c>
      <c r="AK29" s="62">
        <v>299</v>
      </c>
      <c r="AL29" s="62">
        <v>785</v>
      </c>
      <c r="AM29" s="62">
        <v>613</v>
      </c>
      <c r="AN29" s="62">
        <v>172</v>
      </c>
      <c r="AO29" s="62">
        <v>34</v>
      </c>
      <c r="AP29" s="62">
        <v>26</v>
      </c>
      <c r="AQ29" s="62">
        <v>8</v>
      </c>
      <c r="AR29" s="62">
        <v>37</v>
      </c>
      <c r="AS29" s="62">
        <v>18</v>
      </c>
      <c r="AT29" s="62">
        <v>19</v>
      </c>
      <c r="AU29" s="62">
        <v>831</v>
      </c>
      <c r="AV29" s="62">
        <v>642</v>
      </c>
      <c r="AW29" s="62">
        <v>189</v>
      </c>
      <c r="AX29" s="62">
        <v>13</v>
      </c>
      <c r="AY29" s="62">
        <v>10</v>
      </c>
      <c r="AZ29" s="62">
        <v>3</v>
      </c>
      <c r="BA29" s="62">
        <v>23</v>
      </c>
      <c r="BB29" s="62">
        <v>5</v>
      </c>
      <c r="BC29" s="62">
        <v>18</v>
      </c>
      <c r="BD29" s="62">
        <v>6</v>
      </c>
      <c r="BE29" s="62">
        <v>5</v>
      </c>
      <c r="BF29" s="62">
        <v>1</v>
      </c>
      <c r="BG29" s="62">
        <v>1</v>
      </c>
      <c r="BH29" s="62">
        <v>1</v>
      </c>
      <c r="BI29" s="62">
        <v>0</v>
      </c>
      <c r="BJ29" s="253">
        <v>7</v>
      </c>
      <c r="BK29" s="253">
        <v>6</v>
      </c>
      <c r="BL29" s="253">
        <v>1</v>
      </c>
      <c r="BM29" s="253">
        <v>1</v>
      </c>
      <c r="BN29" s="253">
        <v>1</v>
      </c>
      <c r="BO29" s="253">
        <v>0</v>
      </c>
      <c r="BP29" s="253">
        <v>1</v>
      </c>
      <c r="BQ29" s="253">
        <v>0</v>
      </c>
      <c r="BR29" s="253">
        <v>1</v>
      </c>
      <c r="BS29" s="253">
        <v>3</v>
      </c>
      <c r="BT29" s="253">
        <v>2</v>
      </c>
      <c r="BU29" s="253">
        <v>1</v>
      </c>
      <c r="BV29" s="253">
        <v>2</v>
      </c>
      <c r="BW29" s="253">
        <v>1</v>
      </c>
      <c r="BX29" s="253">
        <v>1</v>
      </c>
      <c r="BY29" s="253">
        <v>46</v>
      </c>
      <c r="BZ29" s="253">
        <v>41</v>
      </c>
      <c r="CA29" s="253">
        <v>5</v>
      </c>
      <c r="CB29" s="253">
        <v>45</v>
      </c>
      <c r="CC29" s="253">
        <v>20</v>
      </c>
      <c r="CD29" s="253">
        <v>25</v>
      </c>
      <c r="CE29" s="253">
        <v>6</v>
      </c>
      <c r="CF29" s="253">
        <v>0</v>
      </c>
      <c r="CG29" s="253">
        <v>6</v>
      </c>
      <c r="CH29" s="253">
        <v>2</v>
      </c>
      <c r="CI29" s="253">
        <v>0</v>
      </c>
      <c r="CJ29" s="253">
        <v>2</v>
      </c>
      <c r="CK29" s="253"/>
      <c r="CL29" s="253"/>
      <c r="CM29" s="253"/>
      <c r="CN29" s="253">
        <v>3</v>
      </c>
      <c r="CO29" s="253">
        <v>1</v>
      </c>
      <c r="CP29" s="253">
        <v>2</v>
      </c>
      <c r="CQ29" s="253">
        <v>1</v>
      </c>
      <c r="CR29" s="253">
        <v>0</v>
      </c>
      <c r="CS29" s="253">
        <v>1</v>
      </c>
      <c r="CT29" s="253">
        <v>2</v>
      </c>
      <c r="CU29" s="253">
        <v>2</v>
      </c>
      <c r="CV29" s="253">
        <v>0</v>
      </c>
      <c r="CW29" s="253">
        <v>2</v>
      </c>
      <c r="CX29" s="253">
        <v>0</v>
      </c>
      <c r="CY29" s="253">
        <v>2</v>
      </c>
      <c r="CZ29" s="253">
        <v>212</v>
      </c>
      <c r="DA29" s="253">
        <v>116</v>
      </c>
      <c r="DB29" s="253">
        <v>96</v>
      </c>
      <c r="DC29" s="253">
        <v>5</v>
      </c>
      <c r="DD29" s="253">
        <v>5</v>
      </c>
      <c r="DE29" s="253">
        <v>0</v>
      </c>
      <c r="DF29" s="253">
        <v>102</v>
      </c>
      <c r="DG29" s="253">
        <v>49</v>
      </c>
      <c r="DH29" s="253">
        <v>53</v>
      </c>
      <c r="DI29" s="253">
        <v>201</v>
      </c>
      <c r="DJ29" s="253">
        <v>133</v>
      </c>
      <c r="DK29" s="253">
        <v>68</v>
      </c>
      <c r="DL29" s="253">
        <v>4</v>
      </c>
      <c r="DM29" s="253">
        <v>4</v>
      </c>
      <c r="DN29" s="253">
        <v>0</v>
      </c>
      <c r="DO29" s="253"/>
      <c r="DP29" s="253"/>
      <c r="DQ29" s="253"/>
      <c r="DR29" s="253"/>
      <c r="DS29" s="253"/>
      <c r="DT29" s="253"/>
      <c r="DU29" s="253">
        <v>3</v>
      </c>
      <c r="DV29" s="253">
        <v>2</v>
      </c>
      <c r="DW29" s="253">
        <v>1</v>
      </c>
      <c r="DX29" s="253"/>
      <c r="DY29" s="253"/>
      <c r="DZ29" s="253"/>
      <c r="EA29" s="253"/>
      <c r="EB29" s="253"/>
      <c r="EC29" s="253"/>
      <c r="ED29" s="253"/>
      <c r="EE29" s="253"/>
      <c r="EF29" s="253"/>
      <c r="EG29" s="253"/>
      <c r="EH29" s="253"/>
      <c r="EI29" s="253"/>
      <c r="EJ29" s="253">
        <v>2</v>
      </c>
      <c r="EK29" s="253">
        <v>1</v>
      </c>
      <c r="EL29" s="253">
        <v>1</v>
      </c>
      <c r="EM29" s="253">
        <v>1</v>
      </c>
      <c r="EN29" s="253">
        <v>1</v>
      </c>
      <c r="EO29" s="253">
        <v>0</v>
      </c>
      <c r="EP29" s="253"/>
      <c r="EQ29" s="253"/>
      <c r="ER29" s="253"/>
      <c r="ES29" s="253"/>
      <c r="ET29" s="253"/>
      <c r="EU29" s="253"/>
      <c r="EV29" s="253"/>
      <c r="EW29" s="253"/>
      <c r="EX29" s="253"/>
      <c r="EY29" s="253">
        <v>1</v>
      </c>
      <c r="EZ29" s="253">
        <v>1</v>
      </c>
      <c r="FA29" s="253">
        <v>0</v>
      </c>
      <c r="FB29" s="253">
        <v>7</v>
      </c>
      <c r="FC29" s="253">
        <v>1</v>
      </c>
      <c r="FD29" s="253">
        <v>6</v>
      </c>
      <c r="FE29" s="63">
        <f t="shared" si="0"/>
        <v>8792</v>
      </c>
      <c r="FF29" s="253" t="b">
        <f t="shared" si="1"/>
        <v>1</v>
      </c>
    </row>
    <row r="30" spans="1:162" s="23" customFormat="1">
      <c r="A30" s="882" t="s">
        <v>180</v>
      </c>
      <c r="B30" s="883">
        <f t="shared" ref="B30:BM30" si="2">SUM(B3:B29)</f>
        <v>328098</v>
      </c>
      <c r="C30" s="883">
        <f t="shared" si="2"/>
        <v>162063</v>
      </c>
      <c r="D30" s="883">
        <f t="shared" si="2"/>
        <v>166034</v>
      </c>
      <c r="E30" s="883">
        <f t="shared" si="2"/>
        <v>72058</v>
      </c>
      <c r="F30" s="883">
        <f t="shared" si="2"/>
        <v>40419</v>
      </c>
      <c r="G30" s="883">
        <f t="shared" si="2"/>
        <v>31639</v>
      </c>
      <c r="H30" s="883">
        <f t="shared" si="2"/>
        <v>6708</v>
      </c>
      <c r="I30" s="883">
        <f t="shared" si="2"/>
        <v>3403</v>
      </c>
      <c r="J30" s="883">
        <f t="shared" si="2"/>
        <v>3305</v>
      </c>
      <c r="K30" s="883">
        <f t="shared" si="2"/>
        <v>40539</v>
      </c>
      <c r="L30" s="883">
        <f t="shared" si="2"/>
        <v>10813</v>
      </c>
      <c r="M30" s="883">
        <f t="shared" si="2"/>
        <v>29726</v>
      </c>
      <c r="N30" s="883">
        <f t="shared" si="2"/>
        <v>121198</v>
      </c>
      <c r="O30" s="883">
        <f t="shared" si="2"/>
        <v>66884</v>
      </c>
      <c r="P30" s="883">
        <f t="shared" si="2"/>
        <v>54314</v>
      </c>
      <c r="Q30" s="883">
        <f t="shared" si="2"/>
        <v>4750</v>
      </c>
      <c r="R30" s="883">
        <f t="shared" si="2"/>
        <v>2293</v>
      </c>
      <c r="S30" s="883">
        <f t="shared" si="2"/>
        <v>2457</v>
      </c>
      <c r="T30" s="883">
        <f t="shared" si="2"/>
        <v>22878</v>
      </c>
      <c r="U30" s="883">
        <f t="shared" si="2"/>
        <v>11228</v>
      </c>
      <c r="V30" s="883">
        <f t="shared" si="2"/>
        <v>11650</v>
      </c>
      <c r="W30" s="883">
        <f t="shared" si="2"/>
        <v>36690</v>
      </c>
      <c r="X30" s="883">
        <f t="shared" si="2"/>
        <v>20438</v>
      </c>
      <c r="Y30" s="883">
        <f t="shared" si="2"/>
        <v>16252</v>
      </c>
      <c r="Z30" s="883">
        <f t="shared" si="2"/>
        <v>6710</v>
      </c>
      <c r="AA30" s="883">
        <f t="shared" si="2"/>
        <v>4176</v>
      </c>
      <c r="AB30" s="883">
        <f t="shared" si="2"/>
        <v>2534</v>
      </c>
      <c r="AC30" s="883">
        <f t="shared" si="2"/>
        <v>8138</v>
      </c>
      <c r="AD30" s="883">
        <f t="shared" si="2"/>
        <v>4047</v>
      </c>
      <c r="AE30" s="883">
        <f t="shared" si="2"/>
        <v>4091</v>
      </c>
      <c r="AF30" s="883">
        <f t="shared" si="2"/>
        <v>786</v>
      </c>
      <c r="AG30" s="883">
        <f t="shared" si="2"/>
        <v>406</v>
      </c>
      <c r="AH30" s="883">
        <f t="shared" si="2"/>
        <v>380</v>
      </c>
      <c r="AI30" s="883">
        <f t="shared" si="2"/>
        <v>195422</v>
      </c>
      <c r="AJ30" s="883">
        <f t="shared" si="2"/>
        <v>105461</v>
      </c>
      <c r="AK30" s="883">
        <f t="shared" si="2"/>
        <v>89960</v>
      </c>
      <c r="AL30" s="883">
        <f t="shared" si="2"/>
        <v>61050</v>
      </c>
      <c r="AM30" s="883">
        <f t="shared" si="2"/>
        <v>33074</v>
      </c>
      <c r="AN30" s="883">
        <f t="shared" si="2"/>
        <v>27976</v>
      </c>
      <c r="AO30" s="883">
        <f t="shared" si="2"/>
        <v>5661</v>
      </c>
      <c r="AP30" s="883">
        <f t="shared" si="2"/>
        <v>3078</v>
      </c>
      <c r="AQ30" s="883">
        <f t="shared" si="2"/>
        <v>2583</v>
      </c>
      <c r="AR30" s="883">
        <f t="shared" si="2"/>
        <v>39865</v>
      </c>
      <c r="AS30" s="883">
        <f t="shared" si="2"/>
        <v>15177</v>
      </c>
      <c r="AT30" s="883">
        <f t="shared" si="2"/>
        <v>24688</v>
      </c>
      <c r="AU30" s="883">
        <f t="shared" si="2"/>
        <v>93677</v>
      </c>
      <c r="AV30" s="883">
        <f t="shared" si="2"/>
        <v>51120</v>
      </c>
      <c r="AW30" s="883">
        <f t="shared" si="2"/>
        <v>42557</v>
      </c>
      <c r="AX30" s="883">
        <f t="shared" si="2"/>
        <v>810</v>
      </c>
      <c r="AY30" s="883">
        <f t="shared" si="2"/>
        <v>437</v>
      </c>
      <c r="AZ30" s="883">
        <f t="shared" si="2"/>
        <v>373</v>
      </c>
      <c r="BA30" s="883">
        <f t="shared" si="2"/>
        <v>2270</v>
      </c>
      <c r="BB30" s="883">
        <f t="shared" si="2"/>
        <v>1235</v>
      </c>
      <c r="BC30" s="883">
        <f t="shared" si="2"/>
        <v>1035</v>
      </c>
      <c r="BD30" s="883">
        <f t="shared" si="2"/>
        <v>3824</v>
      </c>
      <c r="BE30" s="883">
        <f t="shared" si="2"/>
        <v>2372</v>
      </c>
      <c r="BF30" s="883">
        <f t="shared" si="2"/>
        <v>1452</v>
      </c>
      <c r="BG30" s="883">
        <f t="shared" si="2"/>
        <v>354</v>
      </c>
      <c r="BH30" s="883">
        <f t="shared" si="2"/>
        <v>213</v>
      </c>
      <c r="BI30" s="883">
        <f t="shared" si="2"/>
        <v>141</v>
      </c>
      <c r="BJ30" s="882">
        <f t="shared" si="2"/>
        <v>2911</v>
      </c>
      <c r="BK30" s="882">
        <f t="shared" si="2"/>
        <v>1526</v>
      </c>
      <c r="BL30" s="882">
        <f t="shared" si="2"/>
        <v>1385</v>
      </c>
      <c r="BM30" s="882">
        <f t="shared" si="2"/>
        <v>2654</v>
      </c>
      <c r="BN30" s="882">
        <f t="shared" ref="BN30:DY30" si="3">SUM(BN3:BN29)</f>
        <v>1638</v>
      </c>
      <c r="BO30" s="882">
        <f t="shared" si="3"/>
        <v>1016</v>
      </c>
      <c r="BP30" s="882">
        <f t="shared" si="3"/>
        <v>8973</v>
      </c>
      <c r="BQ30" s="882">
        <f t="shared" si="3"/>
        <v>5297</v>
      </c>
      <c r="BR30" s="882">
        <f t="shared" si="3"/>
        <v>3676</v>
      </c>
      <c r="BS30" s="882">
        <f>SUM(BS3:BS29)</f>
        <v>1671</v>
      </c>
      <c r="BT30" s="882">
        <f t="shared" si="3"/>
        <v>798</v>
      </c>
      <c r="BU30" s="882">
        <f t="shared" si="3"/>
        <v>873</v>
      </c>
      <c r="BV30" s="882">
        <f t="shared" si="3"/>
        <v>2756</v>
      </c>
      <c r="BW30" s="882">
        <f t="shared" si="3"/>
        <v>1221</v>
      </c>
      <c r="BX30" s="882">
        <f t="shared" si="3"/>
        <v>1535</v>
      </c>
      <c r="BY30" s="882">
        <f t="shared" si="3"/>
        <v>6343</v>
      </c>
      <c r="BZ30" s="882">
        <f t="shared" si="3"/>
        <v>2887</v>
      </c>
      <c r="CA30" s="882">
        <f t="shared" si="3"/>
        <v>3456</v>
      </c>
      <c r="CB30" s="882">
        <f t="shared" si="3"/>
        <v>5862</v>
      </c>
      <c r="CC30" s="882">
        <f t="shared" si="3"/>
        <v>2724</v>
      </c>
      <c r="CD30" s="882">
        <f t="shared" si="3"/>
        <v>3138</v>
      </c>
      <c r="CE30" s="882">
        <f t="shared" si="3"/>
        <v>9997</v>
      </c>
      <c r="CF30" s="882">
        <f t="shared" si="3"/>
        <v>6624</v>
      </c>
      <c r="CG30" s="882">
        <f t="shared" si="3"/>
        <v>3373</v>
      </c>
      <c r="CH30" s="882">
        <f t="shared" si="3"/>
        <v>7608</v>
      </c>
      <c r="CI30" s="882">
        <f t="shared" si="3"/>
        <v>4072</v>
      </c>
      <c r="CJ30" s="882">
        <f t="shared" si="3"/>
        <v>3536</v>
      </c>
      <c r="CK30" s="882">
        <f t="shared" si="3"/>
        <v>260</v>
      </c>
      <c r="CL30" s="882">
        <f t="shared" si="3"/>
        <v>108</v>
      </c>
      <c r="CM30" s="882">
        <f t="shared" si="3"/>
        <v>152</v>
      </c>
      <c r="CN30" s="882">
        <f t="shared" si="3"/>
        <v>1147</v>
      </c>
      <c r="CO30" s="882">
        <f t="shared" si="3"/>
        <v>531</v>
      </c>
      <c r="CP30" s="882">
        <f t="shared" si="3"/>
        <v>616</v>
      </c>
      <c r="CQ30" s="882">
        <f t="shared" si="3"/>
        <v>2905</v>
      </c>
      <c r="CR30" s="882">
        <f t="shared" si="3"/>
        <v>1556</v>
      </c>
      <c r="CS30" s="882">
        <f t="shared" si="3"/>
        <v>1349</v>
      </c>
      <c r="CT30" s="882">
        <f t="shared" si="3"/>
        <v>1835</v>
      </c>
      <c r="CU30" s="882">
        <f t="shared" si="3"/>
        <v>762</v>
      </c>
      <c r="CV30" s="882">
        <f t="shared" si="3"/>
        <v>1073</v>
      </c>
      <c r="CW30" s="882">
        <f t="shared" si="3"/>
        <v>1649</v>
      </c>
      <c r="CX30" s="882">
        <f t="shared" si="3"/>
        <v>884</v>
      </c>
      <c r="CY30" s="882">
        <f t="shared" si="3"/>
        <v>765</v>
      </c>
      <c r="CZ30" s="882">
        <f t="shared" si="3"/>
        <v>23304</v>
      </c>
      <c r="DA30" s="882">
        <f t="shared" si="3"/>
        <v>11715</v>
      </c>
      <c r="DB30" s="882">
        <f t="shared" si="3"/>
        <v>11588</v>
      </c>
      <c r="DC30" s="882">
        <f t="shared" si="3"/>
        <v>701</v>
      </c>
      <c r="DD30" s="882">
        <f t="shared" si="3"/>
        <v>417</v>
      </c>
      <c r="DE30" s="882">
        <f t="shared" si="3"/>
        <v>284</v>
      </c>
      <c r="DF30" s="882">
        <f t="shared" si="3"/>
        <v>10568</v>
      </c>
      <c r="DG30" s="882">
        <f t="shared" si="3"/>
        <v>4784</v>
      </c>
      <c r="DH30" s="882">
        <f t="shared" si="3"/>
        <v>5784</v>
      </c>
      <c r="DI30" s="882">
        <f t="shared" si="3"/>
        <v>53095</v>
      </c>
      <c r="DJ30" s="882">
        <f t="shared" si="3"/>
        <v>27033</v>
      </c>
      <c r="DK30" s="882">
        <f t="shared" si="3"/>
        <v>26062</v>
      </c>
      <c r="DL30" s="882">
        <f t="shared" si="3"/>
        <v>4882</v>
      </c>
      <c r="DM30" s="882">
        <f t="shared" si="3"/>
        <v>2623</v>
      </c>
      <c r="DN30" s="882">
        <f t="shared" si="3"/>
        <v>2259</v>
      </c>
      <c r="DO30" s="882">
        <f t="shared" si="3"/>
        <v>63</v>
      </c>
      <c r="DP30" s="882">
        <f t="shared" si="3"/>
        <v>20</v>
      </c>
      <c r="DQ30" s="882">
        <f t="shared" si="3"/>
        <v>43</v>
      </c>
      <c r="DR30" s="882">
        <f t="shared" si="3"/>
        <v>23</v>
      </c>
      <c r="DS30" s="882">
        <f t="shared" si="3"/>
        <v>11</v>
      </c>
      <c r="DT30" s="882">
        <f t="shared" si="3"/>
        <v>12</v>
      </c>
      <c r="DU30" s="882">
        <f t="shared" si="3"/>
        <v>4118</v>
      </c>
      <c r="DV30" s="882">
        <f t="shared" si="3"/>
        <v>2584</v>
      </c>
      <c r="DW30" s="882">
        <f t="shared" si="3"/>
        <v>1534</v>
      </c>
      <c r="DX30" s="882">
        <f t="shared" si="3"/>
        <v>159</v>
      </c>
      <c r="DY30" s="882">
        <f t="shared" si="3"/>
        <v>72</v>
      </c>
      <c r="DZ30" s="882">
        <f t="shared" ref="DZ30:FD30" si="4">SUM(DZ3:DZ29)</f>
        <v>87</v>
      </c>
      <c r="EA30" s="882">
        <f t="shared" si="4"/>
        <v>22</v>
      </c>
      <c r="EB30" s="882">
        <f t="shared" si="4"/>
        <v>8</v>
      </c>
      <c r="EC30" s="882">
        <f t="shared" si="4"/>
        <v>14</v>
      </c>
      <c r="ED30" s="882">
        <f t="shared" si="4"/>
        <v>163</v>
      </c>
      <c r="EE30" s="882">
        <f t="shared" si="4"/>
        <v>82</v>
      </c>
      <c r="EF30" s="882">
        <f t="shared" si="4"/>
        <v>81</v>
      </c>
      <c r="EG30" s="882">
        <f t="shared" si="4"/>
        <v>394</v>
      </c>
      <c r="EH30" s="882">
        <f t="shared" si="4"/>
        <v>227</v>
      </c>
      <c r="EI30" s="882">
        <f t="shared" si="4"/>
        <v>167</v>
      </c>
      <c r="EJ30" s="882">
        <f t="shared" si="4"/>
        <v>1678</v>
      </c>
      <c r="EK30" s="882">
        <f t="shared" si="4"/>
        <v>681</v>
      </c>
      <c r="EL30" s="882">
        <f t="shared" si="4"/>
        <v>997</v>
      </c>
      <c r="EM30" s="882">
        <f t="shared" si="4"/>
        <v>515</v>
      </c>
      <c r="EN30" s="882">
        <f t="shared" si="4"/>
        <v>178</v>
      </c>
      <c r="EO30" s="882">
        <f t="shared" si="4"/>
        <v>337</v>
      </c>
      <c r="EP30" s="882">
        <f t="shared" si="4"/>
        <v>38</v>
      </c>
      <c r="EQ30" s="882">
        <f t="shared" si="4"/>
        <v>26</v>
      </c>
      <c r="ER30" s="882">
        <f t="shared" si="4"/>
        <v>12</v>
      </c>
      <c r="ES30" s="882">
        <f t="shared" si="4"/>
        <v>126</v>
      </c>
      <c r="ET30" s="882">
        <f t="shared" si="4"/>
        <v>79</v>
      </c>
      <c r="EU30" s="882">
        <f t="shared" si="4"/>
        <v>47</v>
      </c>
      <c r="EV30" s="882">
        <f t="shared" si="4"/>
        <v>462</v>
      </c>
      <c r="EW30" s="882">
        <f t="shared" si="4"/>
        <v>106</v>
      </c>
      <c r="EX30" s="882">
        <f t="shared" si="4"/>
        <v>356</v>
      </c>
      <c r="EY30" s="882">
        <f t="shared" si="4"/>
        <v>1213</v>
      </c>
      <c r="EZ30" s="882">
        <f t="shared" si="4"/>
        <v>441</v>
      </c>
      <c r="FA30" s="882">
        <f t="shared" si="4"/>
        <v>772</v>
      </c>
      <c r="FB30" s="882">
        <f t="shared" si="4"/>
        <v>3037</v>
      </c>
      <c r="FC30" s="882">
        <f t="shared" si="4"/>
        <v>1782</v>
      </c>
      <c r="FD30" s="882">
        <f t="shared" si="4"/>
        <v>1255</v>
      </c>
      <c r="FE30" s="63">
        <f t="shared" si="0"/>
        <v>1212618</v>
      </c>
      <c r="FF30" s="253" t="b">
        <f t="shared" si="1"/>
        <v>1</v>
      </c>
    </row>
    <row r="32" spans="1:162">
      <c r="A32" s="884" t="s">
        <v>685</v>
      </c>
      <c r="B32" s="884">
        <v>1</v>
      </c>
      <c r="C32" s="884"/>
      <c r="D32" s="884"/>
      <c r="E32" s="884">
        <v>2</v>
      </c>
      <c r="F32" s="884"/>
      <c r="G32" s="884"/>
      <c r="H32" s="884">
        <v>3</v>
      </c>
      <c r="I32" s="884"/>
      <c r="J32" s="884"/>
      <c r="K32" s="884">
        <v>4</v>
      </c>
      <c r="L32" s="884"/>
      <c r="M32" s="884"/>
      <c r="N32" s="884">
        <v>5</v>
      </c>
      <c r="O32" s="884"/>
      <c r="P32" s="884"/>
      <c r="Q32" s="884">
        <v>6</v>
      </c>
      <c r="R32" s="884"/>
      <c r="S32" s="884"/>
      <c r="T32" s="884">
        <v>7</v>
      </c>
      <c r="U32" s="884"/>
      <c r="V32" s="884"/>
      <c r="W32" s="884" t="s">
        <v>845</v>
      </c>
    </row>
    <row r="33" spans="1:23">
      <c r="A33" s="881" t="s">
        <v>87</v>
      </c>
      <c r="B33" s="210">
        <f>SUM(B3,E3,H3,K3,N3,Q3,T3,W3,Z3,AC3,AF3)</f>
        <v>2576</v>
      </c>
      <c r="E33" s="210">
        <f>SUM(AI3,AL3,AO3,AR3,AU3,AX3,BA3,BD3,BG3)</f>
        <v>1058</v>
      </c>
      <c r="H33" s="210">
        <f>SUM(BJ3,BM3,BP3,BS3,BV3,BY3,CB3)</f>
        <v>89</v>
      </c>
      <c r="K33" s="210">
        <f>SUM(CE3,CH3,CK3,CN3)</f>
        <v>22</v>
      </c>
      <c r="N33" s="210">
        <f>SUM(CQ3,CT3,CW3,CZ3,DC3,DF3,DI3,DL3,DO3,DR3,DU3)</f>
        <v>73</v>
      </c>
      <c r="Q33" s="210">
        <f>SUM(DX3,EA3,ED3)</f>
        <v>6</v>
      </c>
      <c r="T33" s="210">
        <f>SUM(EG3,EJ3,EM3,EP3,ES3,EV3,EY3,FB3)</f>
        <v>19</v>
      </c>
      <c r="W33" s="210">
        <f>SUM(B33:T33)</f>
        <v>3843</v>
      </c>
    </row>
    <row r="34" spans="1:23">
      <c r="A34" s="881" t="s">
        <v>88</v>
      </c>
      <c r="B34" s="210">
        <f t="shared" ref="B34:B59" si="5">SUM(B4,E4,H4,K4,N4,Q4,T4,W4,Z4,AC4,AF4)</f>
        <v>6850</v>
      </c>
      <c r="E34" s="210">
        <f t="shared" ref="E34:E59" si="6">SUM(AI4,AL4,AO4,AR4,AU4,AX4,BA4,BD4,BG4)</f>
        <v>2904</v>
      </c>
      <c r="H34" s="210">
        <f t="shared" ref="H34:H59" si="7">SUM(BJ4,BM4,BP4,BS4,BV4,BY4,CB4)</f>
        <v>96</v>
      </c>
      <c r="K34" s="210">
        <f t="shared" ref="K34:K59" si="8">SUM(CE4,CH4,CK4,CN4)</f>
        <v>277</v>
      </c>
      <c r="N34" s="210">
        <f t="shared" ref="N34:N59" si="9">SUM(CQ4,CT4,CW4,CZ4,DC4,DF4,DI4,DL4,DO4,DR4,DU4)</f>
        <v>424</v>
      </c>
      <c r="Q34" s="210">
        <f t="shared" ref="Q34:Q59" si="10">SUM(DX4,EA4,ED4)</f>
        <v>0</v>
      </c>
      <c r="T34" s="210">
        <f t="shared" ref="T34:T59" si="11">SUM(EG4,EJ4,EM4,EP4,ES4,EV4,EY4,FB4)</f>
        <v>38</v>
      </c>
      <c r="W34" s="210">
        <f t="shared" ref="W34:W59" si="12">SUM(B34:T34)</f>
        <v>10589</v>
      </c>
    </row>
    <row r="35" spans="1:23">
      <c r="A35" s="881" t="s">
        <v>90</v>
      </c>
      <c r="B35" s="210">
        <f t="shared" si="5"/>
        <v>6242</v>
      </c>
      <c r="E35" s="210">
        <f t="shared" si="6"/>
        <v>2291</v>
      </c>
      <c r="H35" s="210">
        <f t="shared" si="7"/>
        <v>177</v>
      </c>
      <c r="K35" s="210">
        <f t="shared" si="8"/>
        <v>86</v>
      </c>
      <c r="N35" s="210">
        <f t="shared" si="9"/>
        <v>363</v>
      </c>
      <c r="Q35" s="210">
        <f t="shared" si="10"/>
        <v>1</v>
      </c>
      <c r="T35" s="210">
        <f t="shared" si="11"/>
        <v>112</v>
      </c>
      <c r="W35" s="210">
        <f t="shared" si="12"/>
        <v>9272</v>
      </c>
    </row>
    <row r="36" spans="1:23">
      <c r="A36" s="881" t="s">
        <v>89</v>
      </c>
      <c r="B36" s="210">
        <f t="shared" si="5"/>
        <v>3947</v>
      </c>
      <c r="E36" s="210">
        <f t="shared" si="6"/>
        <v>2303</v>
      </c>
      <c r="H36" s="210">
        <f t="shared" si="7"/>
        <v>205</v>
      </c>
      <c r="K36" s="210">
        <f t="shared" si="8"/>
        <v>73</v>
      </c>
      <c r="N36" s="210">
        <f t="shared" si="9"/>
        <v>47</v>
      </c>
      <c r="Q36" s="210">
        <f t="shared" si="10"/>
        <v>0</v>
      </c>
      <c r="T36" s="210">
        <f t="shared" si="11"/>
        <v>19</v>
      </c>
      <c r="W36" s="210">
        <f t="shared" si="12"/>
        <v>6594</v>
      </c>
    </row>
    <row r="37" spans="1:23">
      <c r="A37" s="881" t="s">
        <v>91</v>
      </c>
      <c r="B37" s="210">
        <f t="shared" si="5"/>
        <v>16003</v>
      </c>
      <c r="E37" s="210">
        <f t="shared" si="6"/>
        <v>6259</v>
      </c>
      <c r="H37" s="210">
        <f t="shared" si="7"/>
        <v>560</v>
      </c>
      <c r="K37" s="210">
        <f t="shared" si="8"/>
        <v>316</v>
      </c>
      <c r="N37" s="210">
        <f t="shared" si="9"/>
        <v>1363</v>
      </c>
      <c r="Q37" s="210">
        <f t="shared" si="10"/>
        <v>20</v>
      </c>
      <c r="T37" s="210">
        <f t="shared" si="11"/>
        <v>193</v>
      </c>
      <c r="W37" s="210">
        <f t="shared" si="12"/>
        <v>24714</v>
      </c>
    </row>
    <row r="38" spans="1:23">
      <c r="A38" s="881" t="s">
        <v>92</v>
      </c>
      <c r="B38" s="210">
        <f t="shared" si="5"/>
        <v>11706</v>
      </c>
      <c r="E38" s="210">
        <f t="shared" si="6"/>
        <v>4733</v>
      </c>
      <c r="H38" s="210">
        <f t="shared" si="7"/>
        <v>383</v>
      </c>
      <c r="K38" s="210">
        <f t="shared" si="8"/>
        <v>873</v>
      </c>
      <c r="N38" s="210">
        <f t="shared" si="9"/>
        <v>607</v>
      </c>
      <c r="Q38" s="210">
        <f t="shared" si="10"/>
        <v>3</v>
      </c>
      <c r="T38" s="210">
        <f t="shared" si="11"/>
        <v>28</v>
      </c>
      <c r="W38" s="210">
        <f t="shared" si="12"/>
        <v>18333</v>
      </c>
    </row>
    <row r="39" spans="1:23">
      <c r="A39" s="881" t="s">
        <v>93</v>
      </c>
      <c r="B39" s="210">
        <f t="shared" si="5"/>
        <v>13277</v>
      </c>
      <c r="E39" s="210">
        <f t="shared" si="6"/>
        <v>6831</v>
      </c>
      <c r="H39" s="210">
        <f t="shared" si="7"/>
        <v>370</v>
      </c>
      <c r="K39" s="210">
        <f t="shared" si="8"/>
        <v>208</v>
      </c>
      <c r="N39" s="210">
        <f t="shared" si="9"/>
        <v>1081</v>
      </c>
      <c r="Q39" s="210">
        <f t="shared" si="10"/>
        <v>5</v>
      </c>
      <c r="T39" s="210">
        <f t="shared" si="11"/>
        <v>15</v>
      </c>
      <c r="W39" s="210">
        <f t="shared" si="12"/>
        <v>21787</v>
      </c>
    </row>
    <row r="40" spans="1:23">
      <c r="A40" s="881" t="s">
        <v>94</v>
      </c>
      <c r="B40" s="210">
        <f t="shared" si="5"/>
        <v>10564</v>
      </c>
      <c r="E40" s="210">
        <f t="shared" si="6"/>
        <v>5076</v>
      </c>
      <c r="H40" s="210">
        <f t="shared" si="7"/>
        <v>362</v>
      </c>
      <c r="K40" s="210">
        <f t="shared" si="8"/>
        <v>420</v>
      </c>
      <c r="N40" s="210">
        <f t="shared" si="9"/>
        <v>1787</v>
      </c>
      <c r="Q40" s="210">
        <f t="shared" si="10"/>
        <v>3</v>
      </c>
      <c r="T40" s="210">
        <f t="shared" si="11"/>
        <v>84</v>
      </c>
      <c r="W40" s="210">
        <f t="shared" si="12"/>
        <v>18296</v>
      </c>
    </row>
    <row r="41" spans="1:23">
      <c r="A41" s="881" t="s">
        <v>95</v>
      </c>
      <c r="B41" s="210">
        <f t="shared" si="5"/>
        <v>33231</v>
      </c>
      <c r="E41" s="210">
        <f t="shared" si="6"/>
        <v>19406</v>
      </c>
      <c r="H41" s="210">
        <f t="shared" si="7"/>
        <v>369</v>
      </c>
      <c r="K41" s="210">
        <f t="shared" si="8"/>
        <v>233</v>
      </c>
      <c r="N41" s="210">
        <f t="shared" si="9"/>
        <v>1239</v>
      </c>
      <c r="Q41" s="210">
        <f t="shared" si="10"/>
        <v>3</v>
      </c>
      <c r="T41" s="210">
        <f t="shared" si="11"/>
        <v>60</v>
      </c>
      <c r="W41" s="210">
        <f t="shared" si="12"/>
        <v>54541</v>
      </c>
    </row>
    <row r="42" spans="1:23">
      <c r="A42" s="881" t="s">
        <v>96</v>
      </c>
      <c r="B42" s="210">
        <f t="shared" si="5"/>
        <v>4687</v>
      </c>
      <c r="E42" s="210">
        <f t="shared" si="6"/>
        <v>1731</v>
      </c>
      <c r="H42" s="210">
        <f t="shared" si="7"/>
        <v>140</v>
      </c>
      <c r="K42" s="210">
        <f t="shared" si="8"/>
        <v>307</v>
      </c>
      <c r="N42" s="210">
        <f t="shared" si="9"/>
        <v>437</v>
      </c>
      <c r="Q42" s="210">
        <f t="shared" si="10"/>
        <v>5</v>
      </c>
      <c r="T42" s="210">
        <f t="shared" si="11"/>
        <v>62</v>
      </c>
      <c r="W42" s="210">
        <f t="shared" si="12"/>
        <v>7369</v>
      </c>
    </row>
    <row r="43" spans="1:23">
      <c r="A43" s="881" t="s">
        <v>99</v>
      </c>
      <c r="B43" s="210">
        <f t="shared" si="5"/>
        <v>46173</v>
      </c>
      <c r="E43" s="210">
        <f t="shared" si="6"/>
        <v>11947</v>
      </c>
      <c r="H43" s="210">
        <f t="shared" si="7"/>
        <v>1174</v>
      </c>
      <c r="K43" s="210">
        <f t="shared" si="8"/>
        <v>1322</v>
      </c>
      <c r="N43" s="210">
        <f t="shared" si="9"/>
        <v>5099</v>
      </c>
      <c r="Q43" s="210">
        <f t="shared" si="10"/>
        <v>13</v>
      </c>
      <c r="T43" s="210">
        <f t="shared" si="11"/>
        <v>229</v>
      </c>
      <c r="W43" s="210">
        <f t="shared" si="12"/>
        <v>65957</v>
      </c>
    </row>
    <row r="44" spans="1:23">
      <c r="A44" s="881" t="s">
        <v>98</v>
      </c>
      <c r="B44" s="210">
        <f t="shared" si="5"/>
        <v>12771</v>
      </c>
      <c r="E44" s="210">
        <f t="shared" si="6"/>
        <v>7792</v>
      </c>
      <c r="H44" s="210">
        <f t="shared" si="7"/>
        <v>467</v>
      </c>
      <c r="K44" s="210">
        <f t="shared" si="8"/>
        <v>385</v>
      </c>
      <c r="N44" s="210">
        <f t="shared" si="9"/>
        <v>3258</v>
      </c>
      <c r="Q44" s="210">
        <f t="shared" si="10"/>
        <v>3</v>
      </c>
      <c r="T44" s="210">
        <f t="shared" si="11"/>
        <v>76</v>
      </c>
      <c r="W44" s="210">
        <f t="shared" si="12"/>
        <v>24752</v>
      </c>
    </row>
    <row r="45" spans="1:23">
      <c r="A45" s="881" t="s">
        <v>97</v>
      </c>
      <c r="B45" s="210">
        <f t="shared" si="5"/>
        <v>35908</v>
      </c>
      <c r="E45" s="210">
        <f t="shared" si="6"/>
        <v>21794</v>
      </c>
      <c r="H45" s="210">
        <f t="shared" si="7"/>
        <v>457</v>
      </c>
      <c r="K45" s="210">
        <f t="shared" si="8"/>
        <v>420</v>
      </c>
      <c r="N45" s="210">
        <f t="shared" si="9"/>
        <v>2896</v>
      </c>
      <c r="Q45" s="210">
        <f t="shared" si="10"/>
        <v>6</v>
      </c>
      <c r="T45" s="210">
        <f t="shared" si="11"/>
        <v>312</v>
      </c>
      <c r="W45" s="210">
        <f t="shared" si="12"/>
        <v>61793</v>
      </c>
    </row>
    <row r="46" spans="1:23">
      <c r="A46" s="881" t="s">
        <v>100</v>
      </c>
      <c r="B46" s="210">
        <f t="shared" si="5"/>
        <v>7864</v>
      </c>
      <c r="E46" s="210">
        <f t="shared" si="6"/>
        <v>4191</v>
      </c>
      <c r="H46" s="210">
        <f t="shared" si="7"/>
        <v>253</v>
      </c>
      <c r="K46" s="210">
        <f t="shared" si="8"/>
        <v>213</v>
      </c>
      <c r="N46" s="210">
        <f t="shared" si="9"/>
        <v>634</v>
      </c>
      <c r="Q46" s="210">
        <f t="shared" si="10"/>
        <v>8</v>
      </c>
      <c r="T46" s="210">
        <f t="shared" si="11"/>
        <v>162</v>
      </c>
      <c r="W46" s="210">
        <f t="shared" si="12"/>
        <v>13325</v>
      </c>
    </row>
    <row r="47" spans="1:23">
      <c r="A47" s="881" t="s">
        <v>101</v>
      </c>
      <c r="B47" s="210">
        <f t="shared" si="5"/>
        <v>9752</v>
      </c>
      <c r="E47" s="210">
        <f t="shared" si="6"/>
        <v>5210</v>
      </c>
      <c r="H47" s="210">
        <f t="shared" si="7"/>
        <v>178</v>
      </c>
      <c r="K47" s="210">
        <f t="shared" si="8"/>
        <v>99</v>
      </c>
      <c r="N47" s="210">
        <f t="shared" si="9"/>
        <v>405</v>
      </c>
      <c r="Q47" s="210">
        <f t="shared" si="10"/>
        <v>1</v>
      </c>
      <c r="T47" s="210">
        <f t="shared" si="11"/>
        <v>91</v>
      </c>
      <c r="W47" s="210">
        <f t="shared" si="12"/>
        <v>15736</v>
      </c>
    </row>
    <row r="48" spans="1:23">
      <c r="A48" s="881" t="s">
        <v>103</v>
      </c>
      <c r="B48" s="210">
        <f t="shared" si="5"/>
        <v>13915</v>
      </c>
      <c r="E48" s="210">
        <f t="shared" si="6"/>
        <v>3894</v>
      </c>
      <c r="H48" s="210">
        <f t="shared" si="7"/>
        <v>296</v>
      </c>
      <c r="K48" s="210">
        <f t="shared" si="8"/>
        <v>342</v>
      </c>
      <c r="N48" s="210">
        <f t="shared" si="9"/>
        <v>1969</v>
      </c>
      <c r="Q48" s="210">
        <f t="shared" si="10"/>
        <v>27</v>
      </c>
      <c r="T48" s="210">
        <f t="shared" si="11"/>
        <v>108</v>
      </c>
      <c r="W48" s="210">
        <f t="shared" si="12"/>
        <v>20551</v>
      </c>
    </row>
    <row r="49" spans="1:23">
      <c r="A49" s="881" t="s">
        <v>104</v>
      </c>
      <c r="B49" s="210">
        <f t="shared" si="5"/>
        <v>3531</v>
      </c>
      <c r="E49" s="210">
        <f t="shared" si="6"/>
        <v>1684</v>
      </c>
      <c r="H49" s="210">
        <f t="shared" si="7"/>
        <v>118</v>
      </c>
      <c r="K49" s="210">
        <f t="shared" si="8"/>
        <v>248</v>
      </c>
      <c r="N49" s="210">
        <f t="shared" si="9"/>
        <v>398</v>
      </c>
      <c r="Q49" s="210">
        <f t="shared" si="10"/>
        <v>6</v>
      </c>
      <c r="T49" s="210">
        <f t="shared" si="11"/>
        <v>36</v>
      </c>
      <c r="W49" s="210">
        <f t="shared" si="12"/>
        <v>6021</v>
      </c>
    </row>
    <row r="50" spans="1:23">
      <c r="A50" s="881" t="s">
        <v>102</v>
      </c>
      <c r="B50" s="210">
        <f t="shared" si="5"/>
        <v>62180</v>
      </c>
      <c r="E50" s="210">
        <f t="shared" si="6"/>
        <v>32155</v>
      </c>
      <c r="H50" s="210">
        <f t="shared" si="7"/>
        <v>1542</v>
      </c>
      <c r="K50" s="210">
        <f t="shared" si="8"/>
        <v>3574</v>
      </c>
      <c r="N50" s="210">
        <f t="shared" si="9"/>
        <v>4010</v>
      </c>
      <c r="Q50" s="210">
        <f t="shared" si="10"/>
        <v>48</v>
      </c>
      <c r="T50" s="210">
        <f t="shared" si="11"/>
        <v>650</v>
      </c>
      <c r="W50" s="210">
        <f t="shared" si="12"/>
        <v>104159</v>
      </c>
    </row>
    <row r="51" spans="1:23">
      <c r="A51" s="881" t="s">
        <v>105</v>
      </c>
      <c r="B51" s="210">
        <f t="shared" si="5"/>
        <v>28628</v>
      </c>
      <c r="E51" s="210">
        <f t="shared" si="6"/>
        <v>19954</v>
      </c>
      <c r="H51" s="210">
        <f t="shared" si="7"/>
        <v>1401</v>
      </c>
      <c r="K51" s="210">
        <f t="shared" si="8"/>
        <v>382</v>
      </c>
      <c r="N51" s="210">
        <f t="shared" si="9"/>
        <v>5079</v>
      </c>
      <c r="Q51" s="210">
        <f t="shared" si="10"/>
        <v>7</v>
      </c>
      <c r="T51" s="210">
        <f t="shared" si="11"/>
        <v>539</v>
      </c>
      <c r="W51" s="210">
        <f t="shared" si="12"/>
        <v>55990</v>
      </c>
    </row>
    <row r="52" spans="1:23">
      <c r="A52" s="881" t="s">
        <v>106</v>
      </c>
      <c r="B52" s="210">
        <f t="shared" si="5"/>
        <v>7575</v>
      </c>
      <c r="E52" s="210">
        <f t="shared" si="6"/>
        <v>2964</v>
      </c>
      <c r="H52" s="210">
        <f t="shared" si="7"/>
        <v>173</v>
      </c>
      <c r="K52" s="210">
        <f t="shared" si="8"/>
        <v>232</v>
      </c>
      <c r="N52" s="210">
        <f t="shared" si="9"/>
        <v>772</v>
      </c>
      <c r="Q52" s="210">
        <f t="shared" si="10"/>
        <v>1</v>
      </c>
      <c r="T52" s="210">
        <f t="shared" si="11"/>
        <v>9</v>
      </c>
      <c r="W52" s="210">
        <f t="shared" si="12"/>
        <v>11726</v>
      </c>
    </row>
    <row r="53" spans="1:23">
      <c r="A53" s="881" t="s">
        <v>108</v>
      </c>
      <c r="B53" s="210">
        <f t="shared" si="5"/>
        <v>11182</v>
      </c>
      <c r="E53" s="210">
        <f t="shared" si="6"/>
        <v>5722</v>
      </c>
      <c r="H53" s="210">
        <f t="shared" si="7"/>
        <v>179</v>
      </c>
      <c r="K53" s="210">
        <f t="shared" si="8"/>
        <v>92</v>
      </c>
      <c r="N53" s="210">
        <f t="shared" si="9"/>
        <v>1126</v>
      </c>
      <c r="Q53" s="210">
        <f t="shared" si="10"/>
        <v>5</v>
      </c>
      <c r="T53" s="210">
        <f t="shared" si="11"/>
        <v>37</v>
      </c>
      <c r="W53" s="210">
        <f t="shared" si="12"/>
        <v>18343</v>
      </c>
    </row>
    <row r="54" spans="1:23">
      <c r="A54" s="881" t="s">
        <v>109</v>
      </c>
      <c r="B54" s="210">
        <f t="shared" si="5"/>
        <v>1515</v>
      </c>
      <c r="E54" s="210">
        <f t="shared" si="6"/>
        <v>688</v>
      </c>
      <c r="H54" s="210">
        <f t="shared" si="7"/>
        <v>67</v>
      </c>
      <c r="K54" s="210">
        <f t="shared" si="8"/>
        <v>17</v>
      </c>
      <c r="N54" s="210">
        <f t="shared" si="9"/>
        <v>87</v>
      </c>
      <c r="Q54" s="210">
        <f t="shared" si="10"/>
        <v>2</v>
      </c>
      <c r="T54" s="210">
        <f t="shared" si="11"/>
        <v>18</v>
      </c>
      <c r="W54" s="210">
        <f t="shared" si="12"/>
        <v>2394</v>
      </c>
    </row>
    <row r="55" spans="1:23">
      <c r="A55" s="881" t="s">
        <v>107</v>
      </c>
      <c r="B55" s="210">
        <f t="shared" si="5"/>
        <v>83538</v>
      </c>
      <c r="E55" s="210">
        <f t="shared" si="6"/>
        <v>65754</v>
      </c>
      <c r="H55" s="210">
        <f t="shared" si="7"/>
        <v>1506</v>
      </c>
      <c r="K55" s="210">
        <f t="shared" si="8"/>
        <v>2123</v>
      </c>
      <c r="N55" s="210">
        <f t="shared" si="9"/>
        <v>18415</v>
      </c>
      <c r="Q55" s="210">
        <f t="shared" si="10"/>
        <v>23</v>
      </c>
      <c r="T55" s="210">
        <f t="shared" si="11"/>
        <v>504</v>
      </c>
      <c r="W55" s="210">
        <f t="shared" si="12"/>
        <v>171863</v>
      </c>
    </row>
    <row r="56" spans="1:23">
      <c r="A56" s="881" t="s">
        <v>110</v>
      </c>
      <c r="B56" s="210">
        <f t="shared" si="5"/>
        <v>54457</v>
      </c>
      <c r="E56" s="210">
        <f t="shared" si="6"/>
        <v>41423</v>
      </c>
      <c r="H56" s="210">
        <f t="shared" si="7"/>
        <v>939</v>
      </c>
      <c r="K56" s="210">
        <f t="shared" si="8"/>
        <v>2823</v>
      </c>
      <c r="N56" s="210">
        <f t="shared" si="9"/>
        <v>9555</v>
      </c>
      <c r="Q56" s="210">
        <f t="shared" si="10"/>
        <v>77</v>
      </c>
      <c r="T56" s="210">
        <f t="shared" si="11"/>
        <v>1473</v>
      </c>
      <c r="W56" s="210">
        <f t="shared" si="12"/>
        <v>110747</v>
      </c>
    </row>
    <row r="57" spans="1:23">
      <c r="A57" s="881" t="s">
        <v>112</v>
      </c>
      <c r="B57" s="210">
        <f t="shared" si="5"/>
        <v>6458</v>
      </c>
      <c r="E57" s="210">
        <f t="shared" si="6"/>
        <v>2848</v>
      </c>
      <c r="H57" s="210">
        <f t="shared" si="7"/>
        <v>118</v>
      </c>
      <c r="K57" s="210">
        <f t="shared" si="8"/>
        <v>151</v>
      </c>
      <c r="N57" s="210">
        <f t="shared" si="9"/>
        <v>559</v>
      </c>
      <c r="Q57" s="210">
        <f t="shared" si="10"/>
        <v>0</v>
      </c>
      <c r="T57" s="210">
        <f t="shared" si="11"/>
        <v>14</v>
      </c>
      <c r="W57" s="210">
        <f t="shared" si="12"/>
        <v>10148</v>
      </c>
    </row>
    <row r="58" spans="1:23">
      <c r="A58" s="881" t="s">
        <v>111</v>
      </c>
      <c r="B58" s="210">
        <f t="shared" si="5"/>
        <v>148688</v>
      </c>
      <c r="E58" s="210">
        <f t="shared" si="6"/>
        <v>119523</v>
      </c>
      <c r="H58" s="210">
        <f t="shared" si="7"/>
        <v>19446</v>
      </c>
      <c r="K58" s="210">
        <f t="shared" si="8"/>
        <v>3763</v>
      </c>
      <c r="N58" s="210">
        <f t="shared" si="9"/>
        <v>40928</v>
      </c>
      <c r="Q58" s="210">
        <f t="shared" si="10"/>
        <v>71</v>
      </c>
      <c r="T58" s="210">
        <f t="shared" si="11"/>
        <v>2564</v>
      </c>
      <c r="W58" s="210">
        <f t="shared" si="12"/>
        <v>334983</v>
      </c>
    </row>
    <row r="59" spans="1:23">
      <c r="A59" s="881" t="s">
        <v>113</v>
      </c>
      <c r="B59" s="210">
        <f t="shared" si="5"/>
        <v>5335</v>
      </c>
      <c r="E59" s="210">
        <f t="shared" si="6"/>
        <v>2798</v>
      </c>
      <c r="H59" s="210">
        <f t="shared" si="7"/>
        <v>105</v>
      </c>
      <c r="K59" s="210">
        <f t="shared" si="8"/>
        <v>11</v>
      </c>
      <c r="N59" s="210">
        <f t="shared" si="9"/>
        <v>532</v>
      </c>
      <c r="Q59" s="210">
        <f t="shared" si="10"/>
        <v>0</v>
      </c>
      <c r="T59" s="210">
        <f t="shared" si="11"/>
        <v>11</v>
      </c>
      <c r="W59" s="210">
        <f t="shared" si="12"/>
        <v>8792</v>
      </c>
    </row>
    <row r="60" spans="1:23">
      <c r="A60" s="881" t="s">
        <v>180</v>
      </c>
      <c r="B60" s="210">
        <f>SUM(B33:B59)</f>
        <v>648553</v>
      </c>
      <c r="E60" s="210">
        <f>SUM(E33:E59)</f>
        <v>402933</v>
      </c>
      <c r="H60" s="210">
        <f>SUM(H33:H59)</f>
        <v>31170</v>
      </c>
      <c r="K60" s="210">
        <f>SUM(K33:K59)</f>
        <v>19012</v>
      </c>
      <c r="N60" s="210">
        <f>SUM(N33:N59)</f>
        <v>103143</v>
      </c>
      <c r="Q60" s="210">
        <f>SUM(Q33:Q59)</f>
        <v>344</v>
      </c>
      <c r="T60" s="210">
        <f>SUM(T33:T59)</f>
        <v>7463</v>
      </c>
      <c r="W60" s="210">
        <f>SUM(B60:T60)</f>
        <v>1212618</v>
      </c>
    </row>
    <row r="62" spans="1:23">
      <c r="A62" s="1429" t="s">
        <v>1076</v>
      </c>
      <c r="B62" s="1429"/>
      <c r="C62" s="1429"/>
      <c r="D62" s="1429"/>
      <c r="E62" s="1429"/>
      <c r="F62" s="1429"/>
      <c r="G62" s="1429"/>
      <c r="H62" s="1429"/>
      <c r="I62" s="1429"/>
      <c r="J62" s="1429"/>
      <c r="K62" s="1429"/>
      <c r="L62" s="1429"/>
      <c r="M62" s="1429"/>
      <c r="N62" s="1429"/>
      <c r="O62" s="1429"/>
      <c r="P62" s="1429"/>
      <c r="Q62" s="1429"/>
      <c r="R62" s="1429"/>
      <c r="S62" s="1429"/>
      <c r="T62" s="1429"/>
      <c r="U62" s="1429"/>
      <c r="V62" s="1429"/>
      <c r="W62" s="1429"/>
    </row>
    <row r="63" spans="1:23">
      <c r="A63" s="1429"/>
      <c r="B63" s="1429"/>
      <c r="C63" s="1429"/>
      <c r="D63" s="1429"/>
      <c r="E63" s="1429"/>
      <c r="F63" s="1429"/>
      <c r="G63" s="1429"/>
      <c r="H63" s="1429"/>
      <c r="I63" s="1429"/>
      <c r="J63" s="1429"/>
      <c r="K63" s="1429"/>
      <c r="L63" s="1429"/>
      <c r="M63" s="1429"/>
      <c r="N63" s="1429"/>
      <c r="O63" s="1429"/>
      <c r="P63" s="1429"/>
      <c r="Q63" s="1429"/>
      <c r="R63" s="1429"/>
      <c r="S63" s="1429"/>
      <c r="T63" s="1429"/>
      <c r="U63" s="1429"/>
      <c r="V63" s="1429"/>
      <c r="W63" s="1429"/>
    </row>
    <row r="64" spans="1:23">
      <c r="A64" s="1429"/>
      <c r="B64" s="1429"/>
      <c r="C64" s="1429"/>
      <c r="D64" s="1429"/>
      <c r="E64" s="1429"/>
      <c r="F64" s="1429"/>
      <c r="G64" s="1429"/>
      <c r="H64" s="1429"/>
      <c r="I64" s="1429"/>
      <c r="J64" s="1429"/>
      <c r="K64" s="1429"/>
      <c r="L64" s="1429"/>
      <c r="M64" s="1429"/>
      <c r="N64" s="1429"/>
      <c r="O64" s="1429"/>
      <c r="P64" s="1429"/>
      <c r="Q64" s="1429"/>
      <c r="R64" s="1429"/>
      <c r="S64" s="1429"/>
      <c r="T64" s="1429"/>
      <c r="U64" s="1429"/>
      <c r="V64" s="1429"/>
      <c r="W64" s="1429"/>
    </row>
    <row r="65" spans="1:23">
      <c r="A65" s="1429"/>
      <c r="B65" s="1429"/>
      <c r="C65" s="1429"/>
      <c r="D65" s="1429"/>
      <c r="E65" s="1429"/>
      <c r="F65" s="1429"/>
      <c r="G65" s="1429"/>
      <c r="H65" s="1429"/>
      <c r="I65" s="1429"/>
      <c r="J65" s="1429"/>
      <c r="K65" s="1429"/>
      <c r="L65" s="1429"/>
      <c r="M65" s="1429"/>
      <c r="N65" s="1429"/>
      <c r="O65" s="1429"/>
      <c r="P65" s="1429"/>
      <c r="Q65" s="1429"/>
      <c r="R65" s="1429"/>
      <c r="S65" s="1429"/>
      <c r="T65" s="1429"/>
      <c r="U65" s="1429"/>
      <c r="V65" s="1429"/>
      <c r="W65" s="1429"/>
    </row>
    <row r="66" spans="1:23">
      <c r="A66" s="1429"/>
      <c r="B66" s="1429"/>
      <c r="C66" s="1429"/>
      <c r="D66" s="1429"/>
      <c r="E66" s="1429"/>
      <c r="F66" s="1429"/>
      <c r="G66" s="1429"/>
      <c r="H66" s="1429"/>
      <c r="I66" s="1429"/>
      <c r="J66" s="1429"/>
      <c r="K66" s="1429"/>
      <c r="L66" s="1429"/>
      <c r="M66" s="1429"/>
      <c r="N66" s="1429"/>
      <c r="O66" s="1429"/>
      <c r="P66" s="1429"/>
      <c r="Q66" s="1429"/>
      <c r="R66" s="1429"/>
      <c r="S66" s="1429"/>
      <c r="T66" s="1429"/>
      <c r="U66" s="1429"/>
      <c r="V66" s="1429"/>
      <c r="W66" s="1429"/>
    </row>
  </sheetData>
  <mergeCells count="2">
    <mergeCell ref="A1:FD1"/>
    <mergeCell ref="A62:W66"/>
  </mergeCells>
  <pageMargins left="0.511811024" right="0.511811024" top="0.78740157499999996" bottom="0.78740157499999996" header="0.31496062000000002" footer="0.31496062000000002"/>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theme="6" tint="-0.249977111117893"/>
  </sheetPr>
  <dimension ref="A1:HF713"/>
  <sheetViews>
    <sheetView zoomScale="60" zoomScaleNormal="60" workbookViewId="0">
      <pane xSplit="1" topLeftCell="B1" activePane="topRight" state="frozen"/>
      <selection sqref="A1:AC1"/>
      <selection pane="topRight" sqref="A1:AC1"/>
    </sheetView>
  </sheetViews>
  <sheetFormatPr defaultRowHeight="15"/>
  <cols>
    <col min="1" max="1" width="31.85546875" style="97" customWidth="1"/>
    <col min="2" max="2" width="11.140625" style="876" customWidth="1"/>
    <col min="3" max="5" width="11.140625" style="253" customWidth="1"/>
    <col min="6" max="6" width="11.140625" style="175" customWidth="1"/>
    <col min="7" max="7" width="12.7109375" style="253" customWidth="1"/>
    <col min="8" max="84" width="11.140625" style="253" customWidth="1"/>
    <col min="85" max="85" width="11.140625" style="876" customWidth="1"/>
    <col min="86" max="86" width="11.140625" style="983" customWidth="1"/>
    <col min="87" max="87" width="11.140625" style="253" customWidth="1"/>
    <col min="88" max="109" width="11.140625" style="983" customWidth="1"/>
    <col min="110" max="213" width="11.140625" style="253" customWidth="1"/>
    <col min="214" max="16384" width="9.140625" style="253"/>
  </cols>
  <sheetData>
    <row r="1" spans="1:214">
      <c r="B1" s="1431" t="s">
        <v>622</v>
      </c>
      <c r="C1" s="1431"/>
      <c r="D1" s="1431"/>
      <c r="E1" s="1431"/>
      <c r="F1" s="1431"/>
      <c r="G1" s="1431"/>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c r="AL1" s="1431"/>
      <c r="AM1" s="1431"/>
      <c r="AN1" s="1431"/>
      <c r="AO1" s="1431"/>
      <c r="AP1" s="1431"/>
      <c r="AQ1" s="1431"/>
      <c r="AR1" s="1431"/>
      <c r="AS1" s="1431"/>
      <c r="AT1" s="1432" t="s">
        <v>594</v>
      </c>
      <c r="AU1" s="1432"/>
      <c r="AV1" s="1432"/>
      <c r="AW1" s="1432"/>
      <c r="AX1" s="1432"/>
      <c r="AY1" s="1432"/>
      <c r="AZ1" s="1432"/>
      <c r="BA1" s="1432"/>
      <c r="BB1" s="1432"/>
      <c r="BC1" s="1432"/>
      <c r="BD1" s="1432"/>
      <c r="BE1" s="1432"/>
      <c r="BF1" s="1432"/>
      <c r="BG1" s="1432"/>
      <c r="BH1" s="1432"/>
      <c r="BI1" s="1432"/>
      <c r="BJ1" s="1432"/>
      <c r="BK1" s="1432"/>
      <c r="BL1" s="1432"/>
      <c r="BM1" s="1432"/>
      <c r="BN1" s="1432"/>
      <c r="BO1" s="1432"/>
      <c r="BP1" s="1432"/>
      <c r="BQ1" s="1432"/>
      <c r="BR1" s="1432"/>
      <c r="BS1" s="1432"/>
      <c r="BT1" s="1432"/>
      <c r="BU1" s="1432"/>
      <c r="BV1" s="1432"/>
      <c r="BW1" s="1432"/>
      <c r="BX1" s="1432"/>
      <c r="BY1" s="1432"/>
      <c r="BZ1" s="1432"/>
      <c r="CA1" s="1432"/>
      <c r="CB1" s="1432"/>
      <c r="CC1" s="1432"/>
      <c r="CD1" s="1433" t="s">
        <v>605</v>
      </c>
      <c r="CE1" s="1433"/>
      <c r="CF1" s="1433"/>
      <c r="CG1" s="1433"/>
      <c r="CH1" s="1433"/>
      <c r="CI1" s="1433"/>
      <c r="CJ1" s="1433"/>
      <c r="CK1" s="1433"/>
      <c r="CL1" s="1433"/>
      <c r="CM1" s="1433"/>
      <c r="CN1" s="1433"/>
      <c r="CO1" s="1433"/>
      <c r="CP1" s="1433"/>
      <c r="CQ1" s="1433"/>
      <c r="CR1" s="1433"/>
      <c r="CS1" s="1433"/>
      <c r="CT1" s="1433"/>
      <c r="CU1" s="1433"/>
      <c r="CV1" s="1433"/>
      <c r="CW1" s="1433"/>
      <c r="CX1" s="1433"/>
      <c r="CY1" s="1433"/>
      <c r="CZ1" s="1433"/>
      <c r="DA1" s="1433"/>
      <c r="DB1" s="1433"/>
      <c r="DC1" s="1433"/>
      <c r="DD1" s="1433"/>
      <c r="DE1" s="1433"/>
      <c r="DF1" s="1434" t="s">
        <v>846</v>
      </c>
      <c r="DG1" s="1434"/>
      <c r="DH1" s="1434"/>
      <c r="DI1" s="1434"/>
      <c r="DJ1" s="1434"/>
      <c r="DK1" s="1434"/>
      <c r="DL1" s="1434"/>
      <c r="DM1" s="1434"/>
      <c r="DN1" s="1434"/>
      <c r="DO1" s="1434"/>
      <c r="DP1" s="1434"/>
      <c r="DQ1" s="1434"/>
      <c r="DR1" s="1434"/>
      <c r="DS1" s="1434"/>
      <c r="DT1" s="1434"/>
      <c r="DU1" s="1434"/>
      <c r="DV1" s="1435" t="s">
        <v>847</v>
      </c>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6" t="s">
        <v>672</v>
      </c>
      <c r="FO1" s="1436"/>
      <c r="FP1" s="1436"/>
      <c r="FQ1" s="1436"/>
      <c r="FR1" s="1436"/>
      <c r="FS1" s="1436"/>
      <c r="FT1" s="1436"/>
      <c r="FU1" s="1436"/>
      <c r="FV1" s="1436"/>
      <c r="FW1" s="1436"/>
      <c r="FX1" s="1436"/>
      <c r="FY1" s="1436"/>
      <c r="FZ1" s="1430" t="s">
        <v>848</v>
      </c>
      <c r="GA1" s="1430"/>
      <c r="GB1" s="1430"/>
      <c r="GC1" s="1430"/>
      <c r="GD1" s="1430"/>
      <c r="GE1" s="1430"/>
      <c r="GF1" s="1430"/>
      <c r="GG1" s="1430"/>
      <c r="GH1" s="1430"/>
      <c r="GI1" s="1430"/>
      <c r="GJ1" s="1430"/>
      <c r="GK1" s="1430"/>
      <c r="GL1" s="1430"/>
      <c r="GM1" s="1430"/>
      <c r="GN1" s="1430"/>
      <c r="GO1" s="1430"/>
      <c r="GP1" s="1430"/>
      <c r="GQ1" s="1430"/>
      <c r="GR1" s="1430"/>
      <c r="GS1" s="1430"/>
      <c r="GT1" s="1430"/>
      <c r="GU1" s="1430"/>
      <c r="GV1" s="1430"/>
      <c r="GW1" s="1430"/>
      <c r="GX1" s="1430"/>
      <c r="GY1" s="1430"/>
      <c r="GZ1" s="1430"/>
      <c r="HA1" s="1430"/>
      <c r="HB1" s="1430"/>
      <c r="HC1" s="1430"/>
      <c r="HD1" s="1430"/>
      <c r="HE1" s="1430"/>
    </row>
    <row r="2" spans="1:214" s="890" customFormat="1" ht="89.25" customHeight="1">
      <c r="A2" s="885" t="s">
        <v>179</v>
      </c>
      <c r="B2" s="886" t="s">
        <v>849</v>
      </c>
      <c r="C2" s="886" t="s">
        <v>850</v>
      </c>
      <c r="D2" s="887" t="s">
        <v>851</v>
      </c>
      <c r="E2" s="887" t="s">
        <v>852</v>
      </c>
      <c r="F2" s="886" t="s">
        <v>853</v>
      </c>
      <c r="G2" s="886" t="s">
        <v>854</v>
      </c>
      <c r="H2" s="887" t="s">
        <v>855</v>
      </c>
      <c r="I2" s="887" t="s">
        <v>856</v>
      </c>
      <c r="J2" s="886" t="s">
        <v>857</v>
      </c>
      <c r="K2" s="886" t="s">
        <v>858</v>
      </c>
      <c r="L2" s="887" t="s">
        <v>859</v>
      </c>
      <c r="M2" s="887" t="s">
        <v>860</v>
      </c>
      <c r="N2" s="886" t="s">
        <v>861</v>
      </c>
      <c r="O2" s="886" t="s">
        <v>862</v>
      </c>
      <c r="P2" s="887" t="s">
        <v>863</v>
      </c>
      <c r="Q2" s="887" t="s">
        <v>864</v>
      </c>
      <c r="R2" s="886" t="s">
        <v>865</v>
      </c>
      <c r="S2" s="886" t="s">
        <v>866</v>
      </c>
      <c r="T2" s="887" t="s">
        <v>867</v>
      </c>
      <c r="U2" s="887" t="s">
        <v>868</v>
      </c>
      <c r="V2" s="886" t="s">
        <v>869</v>
      </c>
      <c r="W2" s="886" t="s">
        <v>870</v>
      </c>
      <c r="X2" s="887" t="s">
        <v>871</v>
      </c>
      <c r="Y2" s="887" t="s">
        <v>872</v>
      </c>
      <c r="Z2" s="886" t="s">
        <v>873</v>
      </c>
      <c r="AA2" s="886" t="s">
        <v>874</v>
      </c>
      <c r="AB2" s="887" t="s">
        <v>875</v>
      </c>
      <c r="AC2" s="887" t="s">
        <v>876</v>
      </c>
      <c r="AD2" s="886" t="s">
        <v>877</v>
      </c>
      <c r="AE2" s="886" t="s">
        <v>878</v>
      </c>
      <c r="AF2" s="887" t="s">
        <v>879</v>
      </c>
      <c r="AG2" s="887" t="s">
        <v>880</v>
      </c>
      <c r="AH2" s="886" t="s">
        <v>881</v>
      </c>
      <c r="AI2" s="886" t="s">
        <v>882</v>
      </c>
      <c r="AJ2" s="887" t="s">
        <v>883</v>
      </c>
      <c r="AK2" s="887" t="s">
        <v>884</v>
      </c>
      <c r="AL2" s="886" t="s">
        <v>885</v>
      </c>
      <c r="AM2" s="886" t="s">
        <v>886</v>
      </c>
      <c r="AN2" s="887" t="s">
        <v>887</v>
      </c>
      <c r="AO2" s="887" t="s">
        <v>888</v>
      </c>
      <c r="AP2" s="886" t="s">
        <v>889</v>
      </c>
      <c r="AQ2" s="886" t="s">
        <v>890</v>
      </c>
      <c r="AR2" s="887" t="s">
        <v>891</v>
      </c>
      <c r="AS2" s="887" t="s">
        <v>892</v>
      </c>
      <c r="AT2" s="886" t="s">
        <v>893</v>
      </c>
      <c r="AU2" s="886" t="s">
        <v>894</v>
      </c>
      <c r="AV2" s="887" t="s">
        <v>895</v>
      </c>
      <c r="AW2" s="887" t="s">
        <v>852</v>
      </c>
      <c r="AX2" s="886" t="s">
        <v>896</v>
      </c>
      <c r="AY2" s="886" t="s">
        <v>897</v>
      </c>
      <c r="AZ2" s="887" t="s">
        <v>898</v>
      </c>
      <c r="BA2" s="887" t="s">
        <v>856</v>
      </c>
      <c r="BB2" s="886" t="s">
        <v>899</v>
      </c>
      <c r="BC2" s="886" t="s">
        <v>858</v>
      </c>
      <c r="BD2" s="887" t="s">
        <v>900</v>
      </c>
      <c r="BE2" s="887" t="s">
        <v>860</v>
      </c>
      <c r="BF2" s="886" t="s">
        <v>901</v>
      </c>
      <c r="BG2" s="886" t="s">
        <v>902</v>
      </c>
      <c r="BH2" s="887" t="s">
        <v>903</v>
      </c>
      <c r="BI2" s="887" t="s">
        <v>864</v>
      </c>
      <c r="BJ2" s="886" t="s">
        <v>904</v>
      </c>
      <c r="BK2" s="886" t="s">
        <v>905</v>
      </c>
      <c r="BL2" s="887" t="s">
        <v>906</v>
      </c>
      <c r="BM2" s="887" t="s">
        <v>868</v>
      </c>
      <c r="BN2" s="886" t="s">
        <v>907</v>
      </c>
      <c r="BO2" s="886" t="s">
        <v>908</v>
      </c>
      <c r="BP2" s="887" t="s">
        <v>909</v>
      </c>
      <c r="BQ2" s="887" t="s">
        <v>910</v>
      </c>
      <c r="BR2" s="886" t="s">
        <v>911</v>
      </c>
      <c r="BS2" s="886" t="s">
        <v>878</v>
      </c>
      <c r="BT2" s="887" t="s">
        <v>912</v>
      </c>
      <c r="BU2" s="887" t="s">
        <v>880</v>
      </c>
      <c r="BV2" s="886" t="s">
        <v>913</v>
      </c>
      <c r="BW2" s="886" t="s">
        <v>914</v>
      </c>
      <c r="BX2" s="887" t="s">
        <v>915</v>
      </c>
      <c r="BY2" s="887" t="s">
        <v>884</v>
      </c>
      <c r="BZ2" s="886" t="s">
        <v>916</v>
      </c>
      <c r="CA2" s="886" t="s">
        <v>917</v>
      </c>
      <c r="CB2" s="887" t="s">
        <v>918</v>
      </c>
      <c r="CC2" s="887" t="s">
        <v>892</v>
      </c>
      <c r="CD2" s="888" t="s">
        <v>919</v>
      </c>
      <c r="CE2" s="888" t="s">
        <v>920</v>
      </c>
      <c r="CF2" s="887" t="s">
        <v>921</v>
      </c>
      <c r="CG2" s="887" t="s">
        <v>922</v>
      </c>
      <c r="CH2" s="888" t="s">
        <v>923</v>
      </c>
      <c r="CI2" s="888" t="s">
        <v>924</v>
      </c>
      <c r="CJ2" s="887" t="s">
        <v>925</v>
      </c>
      <c r="CK2" s="887" t="s">
        <v>926</v>
      </c>
      <c r="CL2" s="888" t="s">
        <v>927</v>
      </c>
      <c r="CM2" s="888" t="s">
        <v>928</v>
      </c>
      <c r="CN2" s="887" t="s">
        <v>929</v>
      </c>
      <c r="CO2" s="887" t="s">
        <v>930</v>
      </c>
      <c r="CP2" s="888" t="s">
        <v>931</v>
      </c>
      <c r="CQ2" s="888" t="s">
        <v>932</v>
      </c>
      <c r="CR2" s="887" t="s">
        <v>933</v>
      </c>
      <c r="CS2" s="887" t="s">
        <v>934</v>
      </c>
      <c r="CT2" s="888" t="s">
        <v>935</v>
      </c>
      <c r="CU2" s="888" t="s">
        <v>936</v>
      </c>
      <c r="CV2" s="887" t="s">
        <v>937</v>
      </c>
      <c r="CW2" s="887" t="s">
        <v>938</v>
      </c>
      <c r="CX2" s="888" t="s">
        <v>939</v>
      </c>
      <c r="CY2" s="888" t="s">
        <v>940</v>
      </c>
      <c r="CZ2" s="887" t="s">
        <v>941</v>
      </c>
      <c r="DA2" s="887" t="s">
        <v>942</v>
      </c>
      <c r="DB2" s="888" t="s">
        <v>943</v>
      </c>
      <c r="DC2" s="888" t="s">
        <v>944</v>
      </c>
      <c r="DD2" s="887" t="s">
        <v>945</v>
      </c>
      <c r="DE2" s="887" t="s">
        <v>946</v>
      </c>
      <c r="DF2" s="886" t="s">
        <v>947</v>
      </c>
      <c r="DG2" s="886" t="s">
        <v>948</v>
      </c>
      <c r="DH2" s="887" t="s">
        <v>949</v>
      </c>
      <c r="DI2" s="887" t="s">
        <v>950</v>
      </c>
      <c r="DJ2" s="886" t="s">
        <v>951</v>
      </c>
      <c r="DK2" s="886" t="s">
        <v>952</v>
      </c>
      <c r="DL2" s="887" t="s">
        <v>953</v>
      </c>
      <c r="DM2" s="887" t="s">
        <v>954</v>
      </c>
      <c r="DN2" s="886" t="s">
        <v>955</v>
      </c>
      <c r="DO2" s="886" t="s">
        <v>956</v>
      </c>
      <c r="DP2" s="887" t="s">
        <v>957</v>
      </c>
      <c r="DQ2" s="887" t="s">
        <v>958</v>
      </c>
      <c r="DR2" s="886" t="s">
        <v>959</v>
      </c>
      <c r="DS2" s="886" t="s">
        <v>960</v>
      </c>
      <c r="DT2" s="887" t="s">
        <v>961</v>
      </c>
      <c r="DU2" s="887" t="s">
        <v>962</v>
      </c>
      <c r="DV2" s="888" t="s">
        <v>963</v>
      </c>
      <c r="DW2" s="888" t="s">
        <v>964</v>
      </c>
      <c r="DX2" s="887" t="s">
        <v>965</v>
      </c>
      <c r="DY2" s="887" t="s">
        <v>966</v>
      </c>
      <c r="DZ2" s="888" t="s">
        <v>967</v>
      </c>
      <c r="EA2" s="888" t="s">
        <v>968</v>
      </c>
      <c r="EB2" s="887" t="s">
        <v>969</v>
      </c>
      <c r="EC2" s="887" t="s">
        <v>970</v>
      </c>
      <c r="ED2" s="888" t="s">
        <v>971</v>
      </c>
      <c r="EE2" s="888" t="s">
        <v>972</v>
      </c>
      <c r="EF2" s="887" t="s">
        <v>973</v>
      </c>
      <c r="EG2" s="887" t="s">
        <v>974</v>
      </c>
      <c r="EH2" s="888" t="s">
        <v>975</v>
      </c>
      <c r="EI2" s="888" t="s">
        <v>976</v>
      </c>
      <c r="EJ2" s="887" t="s">
        <v>977</v>
      </c>
      <c r="EK2" s="887" t="s">
        <v>978</v>
      </c>
      <c r="EL2" s="888" t="s">
        <v>979</v>
      </c>
      <c r="EM2" s="888" t="s">
        <v>980</v>
      </c>
      <c r="EN2" s="887" t="s">
        <v>981</v>
      </c>
      <c r="EO2" s="887" t="s">
        <v>982</v>
      </c>
      <c r="EP2" s="888" t="s">
        <v>983</v>
      </c>
      <c r="EQ2" s="888" t="s">
        <v>984</v>
      </c>
      <c r="ER2" s="887" t="s">
        <v>985</v>
      </c>
      <c r="ES2" s="887" t="s">
        <v>986</v>
      </c>
      <c r="ET2" s="888" t="s">
        <v>987</v>
      </c>
      <c r="EU2" s="888" t="s">
        <v>988</v>
      </c>
      <c r="EV2" s="887" t="s">
        <v>989</v>
      </c>
      <c r="EW2" s="887" t="s">
        <v>990</v>
      </c>
      <c r="EX2" s="888" t="s">
        <v>991</v>
      </c>
      <c r="EY2" s="888" t="s">
        <v>992</v>
      </c>
      <c r="EZ2" s="887" t="s">
        <v>993</v>
      </c>
      <c r="FA2" s="887" t="s">
        <v>994</v>
      </c>
      <c r="FB2" s="888" t="s">
        <v>995</v>
      </c>
      <c r="FC2" s="888" t="s">
        <v>996</v>
      </c>
      <c r="FD2" s="887" t="s">
        <v>997</v>
      </c>
      <c r="FE2" s="887" t="s">
        <v>998</v>
      </c>
      <c r="FF2" s="888" t="s">
        <v>999</v>
      </c>
      <c r="FG2" s="888" t="s">
        <v>1000</v>
      </c>
      <c r="FH2" s="887" t="s">
        <v>1001</v>
      </c>
      <c r="FI2" s="887" t="s">
        <v>1002</v>
      </c>
      <c r="FJ2" s="888" t="s">
        <v>1003</v>
      </c>
      <c r="FK2" s="888" t="s">
        <v>1004</v>
      </c>
      <c r="FL2" s="887" t="s">
        <v>1005</v>
      </c>
      <c r="FM2" s="887" t="s">
        <v>1006</v>
      </c>
      <c r="FN2" s="886" t="s">
        <v>1007</v>
      </c>
      <c r="FO2" s="886" t="s">
        <v>1008</v>
      </c>
      <c r="FP2" s="887" t="s">
        <v>1009</v>
      </c>
      <c r="FQ2" s="887" t="s">
        <v>1010</v>
      </c>
      <c r="FR2" s="886" t="s">
        <v>1011</v>
      </c>
      <c r="FS2" s="886" t="s">
        <v>1012</v>
      </c>
      <c r="FT2" s="887" t="s">
        <v>1013</v>
      </c>
      <c r="FU2" s="887" t="s">
        <v>1014</v>
      </c>
      <c r="FV2" s="886" t="s">
        <v>1015</v>
      </c>
      <c r="FW2" s="886" t="s">
        <v>1016</v>
      </c>
      <c r="FX2" s="887" t="s">
        <v>1017</v>
      </c>
      <c r="FY2" s="887" t="s">
        <v>1018</v>
      </c>
      <c r="FZ2" s="886" t="s">
        <v>1019</v>
      </c>
      <c r="GA2" s="886" t="s">
        <v>1020</v>
      </c>
      <c r="GB2" s="887" t="s">
        <v>1021</v>
      </c>
      <c r="GC2" s="887" t="s">
        <v>1022</v>
      </c>
      <c r="GD2" s="886" t="s">
        <v>1023</v>
      </c>
      <c r="GE2" s="886" t="s">
        <v>1024</v>
      </c>
      <c r="GF2" s="887" t="s">
        <v>1025</v>
      </c>
      <c r="GG2" s="887" t="s">
        <v>1026</v>
      </c>
      <c r="GH2" s="886" t="s">
        <v>1027</v>
      </c>
      <c r="GI2" s="886" t="s">
        <v>1028</v>
      </c>
      <c r="GJ2" s="887" t="s">
        <v>1029</v>
      </c>
      <c r="GK2" s="887" t="s">
        <v>1030</v>
      </c>
      <c r="GL2" s="886" t="s">
        <v>1031</v>
      </c>
      <c r="GM2" s="886" t="s">
        <v>1032</v>
      </c>
      <c r="GN2" s="887" t="s">
        <v>1033</v>
      </c>
      <c r="GO2" s="887" t="s">
        <v>1034</v>
      </c>
      <c r="GP2" s="886" t="s">
        <v>1035</v>
      </c>
      <c r="GQ2" s="886" t="s">
        <v>1036</v>
      </c>
      <c r="GR2" s="887" t="s">
        <v>1037</v>
      </c>
      <c r="GS2" s="887" t="s">
        <v>1038</v>
      </c>
      <c r="GT2" s="886" t="s">
        <v>1039</v>
      </c>
      <c r="GU2" s="886" t="s">
        <v>1040</v>
      </c>
      <c r="GV2" s="887" t="s">
        <v>1041</v>
      </c>
      <c r="GW2" s="887" t="s">
        <v>1042</v>
      </c>
      <c r="GX2" s="886" t="s">
        <v>1043</v>
      </c>
      <c r="GY2" s="886" t="s">
        <v>1044</v>
      </c>
      <c r="GZ2" s="887" t="s">
        <v>1045</v>
      </c>
      <c r="HA2" s="887" t="s">
        <v>1046</v>
      </c>
      <c r="HB2" s="886" t="s">
        <v>1047</v>
      </c>
      <c r="HC2" s="886" t="s">
        <v>1048</v>
      </c>
      <c r="HD2" s="887" t="s">
        <v>1049</v>
      </c>
      <c r="HE2" s="887" t="s">
        <v>1050</v>
      </c>
      <c r="HF2" s="889"/>
    </row>
    <row r="3" spans="1:214" s="876" customFormat="1" ht="18.75">
      <c r="A3" s="891" t="s">
        <v>87</v>
      </c>
      <c r="B3" s="892">
        <f>'RRT - Subgrupo - IGEO'!C3</f>
        <v>924</v>
      </c>
      <c r="C3" s="893">
        <f t="shared" ref="C3:C27" si="0">IFERROR(B3/(B3+D3),0)</f>
        <v>0.69788519637462232</v>
      </c>
      <c r="D3" s="892">
        <f>'RRT - Subgrupo - IGEO'!D3</f>
        <v>400</v>
      </c>
      <c r="E3" s="893">
        <f t="shared" ref="E3:E27" si="1">IFERROR(D3/(D3+B3),0)</f>
        <v>0.30211480362537763</v>
      </c>
      <c r="F3" s="894">
        <f>'RRT - Subgrupo - IGEO'!F3</f>
        <v>113</v>
      </c>
      <c r="G3" s="893">
        <f t="shared" ref="G3:G27" si="2">IFERROR(F3/(F3+H3),0)</f>
        <v>0.89682539682539686</v>
      </c>
      <c r="H3" s="892">
        <f>'RRT - Subgrupo - IGEO'!G3</f>
        <v>13</v>
      </c>
      <c r="I3" s="893">
        <f t="shared" ref="I3:I27" si="3">IFERROR(H3/(H3+F3),0)</f>
        <v>0.10317460317460317</v>
      </c>
      <c r="J3" s="892">
        <f>'RRT - Subgrupo - IGEO'!I3</f>
        <v>33</v>
      </c>
      <c r="K3" s="895">
        <f t="shared" ref="K3:K27" si="4">IFERROR(J3/(J3+L3),0)</f>
        <v>0.515625</v>
      </c>
      <c r="L3" s="892">
        <f>'RRT - Subgrupo - IGEO'!J3</f>
        <v>31</v>
      </c>
      <c r="M3" s="893">
        <f t="shared" ref="M3:M27" si="5">IFERROR(L3/(L3+J3),0)</f>
        <v>0.484375</v>
      </c>
      <c r="N3" s="896">
        <f>'RRT - Subgrupo - IGEO'!L3</f>
        <v>79</v>
      </c>
      <c r="O3" s="895">
        <f t="shared" ref="O3:O27" si="6">IFERROR(N3/(N3+P3),0)</f>
        <v>0.56834532374100721</v>
      </c>
      <c r="P3" s="892">
        <f>'RRT - Subgrupo - IGEO'!P3</f>
        <v>60</v>
      </c>
      <c r="Q3" s="893">
        <f t="shared" ref="Q3:Q27" si="7">IFERROR(P3/(P3+N3),0)</f>
        <v>0.43165467625899279</v>
      </c>
      <c r="R3" s="892">
        <f>'RRT - Subgrupo - IGEO'!O3</f>
        <v>402</v>
      </c>
      <c r="S3" s="895">
        <f t="shared" ref="S3:S27" si="8">IFERROR(R3/(R3+T3),0)</f>
        <v>0.87012987012987009</v>
      </c>
      <c r="T3" s="892">
        <f>'RRT - Subgrupo - IGEO'!P3</f>
        <v>60</v>
      </c>
      <c r="U3" s="893">
        <f t="shared" ref="U3:U27" si="9">IFERROR(T3/(T3+R3),0)</f>
        <v>0.12987012987012986</v>
      </c>
      <c r="V3" s="892">
        <f>'RRT - Subgrupo - IGEO'!R3</f>
        <v>15</v>
      </c>
      <c r="W3" s="895">
        <f t="shared" ref="W3:W27" si="10">IFERROR(V3/(V3+X3),0)</f>
        <v>0.65217391304347827</v>
      </c>
      <c r="X3" s="896">
        <f>'RRT - Subgrupo - IGEO'!S3</f>
        <v>8</v>
      </c>
      <c r="Y3" s="893">
        <f t="shared" ref="Y3:Y27" si="11">IFERROR(X3/(X3+V3),0)</f>
        <v>0.34782608695652173</v>
      </c>
      <c r="Z3" s="892">
        <f>'RRT - Subgrupo - IGEO'!U3</f>
        <v>136</v>
      </c>
      <c r="AA3" s="895">
        <f t="shared" ref="AA3:AA27" si="12">IFERROR(Z3/(Z3+AB3),0)</f>
        <v>0.87179487179487181</v>
      </c>
      <c r="AB3" s="892">
        <f>'RRT - Subgrupo - IGEO'!V3</f>
        <v>20</v>
      </c>
      <c r="AC3" s="893">
        <f t="shared" ref="AC3:AC27" si="13">IFERROR(AB3/(AB3+Z3),0)</f>
        <v>0.12820512820512819</v>
      </c>
      <c r="AD3" s="892">
        <f>'RRT - Subgrupo - IGEO'!X3</f>
        <v>161</v>
      </c>
      <c r="AE3" s="895">
        <f t="shared" ref="AE3:AE27" si="14">IFERROR(AD3/(AD3+AF3),0)</f>
        <v>0.8797814207650273</v>
      </c>
      <c r="AF3" s="892">
        <f>'RRT - Subgrupo - IGEO'!Y3</f>
        <v>22</v>
      </c>
      <c r="AG3" s="893">
        <f t="shared" ref="AG3:AG27" si="15">IFERROR(AF3/(AF3+AD3),0)</f>
        <v>0.12021857923497267</v>
      </c>
      <c r="AH3" s="892">
        <f>'RRT - Subgrupo - IGEO'!AA3</f>
        <v>29</v>
      </c>
      <c r="AI3" s="895">
        <f t="shared" ref="AI3:AI27" si="16">IFERROR(AH3/(AH3+AJ3),0)</f>
        <v>0.87878787878787878</v>
      </c>
      <c r="AJ3" s="892">
        <f>'RRT - Subgrupo - IGEO'!AB3</f>
        <v>4</v>
      </c>
      <c r="AK3" s="893">
        <f t="shared" ref="AK3:AK27" si="17">IFERROR(AJ3/(AJ3+AH3),0)</f>
        <v>0.12121212121212122</v>
      </c>
      <c r="AL3" s="892">
        <f>'RRT - Subgrupo - IGEO'!AD3</f>
        <v>59</v>
      </c>
      <c r="AM3" s="895">
        <f t="shared" ref="AM3:AM27" si="18">IFERROR(AL3/(AL3+AN3),0)</f>
        <v>0.84285714285714286</v>
      </c>
      <c r="AN3" s="892">
        <f>'RRT - Subgrupo - IGEO'!AE3</f>
        <v>11</v>
      </c>
      <c r="AO3" s="893">
        <f t="shared" ref="AO3:AO27" si="19">IFERROR(AN3/(AN3+AL3),0)</f>
        <v>0.15714285714285714</v>
      </c>
      <c r="AP3" s="896">
        <f>'RRT - Subgrupo - IGEO'!AG3</f>
        <v>1</v>
      </c>
      <c r="AQ3" s="895">
        <f t="shared" ref="AQ3:AQ27" si="20">IFERROR(AP3/(AP3+AR3),0)</f>
        <v>0.5</v>
      </c>
      <c r="AR3" s="892">
        <f>'RRT - Subgrupo - IGEO'!AH3</f>
        <v>1</v>
      </c>
      <c r="AS3" s="893">
        <f t="shared" ref="AS3:AS27" si="21">IFERROR(AR3/(AR3+AP3),0)</f>
        <v>0.5</v>
      </c>
      <c r="AT3" s="892">
        <f>'RRT - Subgrupo - IGEO'!AJ3</f>
        <v>566</v>
      </c>
      <c r="AU3" s="895">
        <f t="shared" ref="AU3:AU27" si="22">IFERROR(AT3/(AT3+AV3),0)</f>
        <v>0.78830083565459608</v>
      </c>
      <c r="AV3" s="892">
        <f>'RRT - Subgrupo - IGEO'!AK3</f>
        <v>152</v>
      </c>
      <c r="AW3" s="893">
        <f t="shared" ref="AW3:AW27" si="23">IFERROR(AV3/(AV3+AT3),0)</f>
        <v>0.2116991643454039</v>
      </c>
      <c r="AX3" s="892">
        <f>'RRT - Subgrupo - IGEO'!AM3</f>
        <v>108</v>
      </c>
      <c r="AY3" s="895">
        <f t="shared" ref="AY3:AY27" si="24">IFERROR(AX3/(AX3+AZ3),0)</f>
        <v>0.9642857142857143</v>
      </c>
      <c r="AZ3" s="892">
        <f>'RRT - Subgrupo - IGEO'!AN3</f>
        <v>4</v>
      </c>
      <c r="BA3" s="893">
        <f t="shared" ref="BA3:BA27" si="25">IFERROR(AZ3/(AZ3+AX3),0)</f>
        <v>3.5714285714285712E-2</v>
      </c>
      <c r="BB3" s="892">
        <f>'RRT - Subgrupo - IGEO'!AP3</f>
        <v>9</v>
      </c>
      <c r="BC3" s="895">
        <f t="shared" ref="BC3:BC27" si="26">IFERROR(BB3/(BB3+BD3),0)</f>
        <v>0.69230769230769229</v>
      </c>
      <c r="BD3" s="892">
        <f>'RRT - Subgrupo - IGEO'!AQ3</f>
        <v>4</v>
      </c>
      <c r="BE3" s="893">
        <f t="shared" ref="BE3:BE27" si="27">IFERROR(BD3/(BD3+BB3),0)</f>
        <v>0.30769230769230771</v>
      </c>
      <c r="BF3" s="892">
        <f>'RRT - Subgrupo - IGEO'!AS3</f>
        <v>24</v>
      </c>
      <c r="BG3" s="895">
        <f t="shared" ref="BG3:BG27" si="28">IFERROR(BF3/(BF3+BH3),0)</f>
        <v>0.70588235294117652</v>
      </c>
      <c r="BH3" s="892">
        <f>'RRT - Subgrupo - IGEO'!AT3</f>
        <v>10</v>
      </c>
      <c r="BI3" s="893">
        <f t="shared" ref="BI3:BI27" si="29">IFERROR(BH3/(BH3+BF3),0)</f>
        <v>0.29411764705882354</v>
      </c>
      <c r="BJ3" s="892">
        <f>'RRT - Subgrupo - IGEO'!AV3</f>
        <v>148</v>
      </c>
      <c r="BK3" s="895">
        <f t="shared" ref="BK3:BK27" si="30">IFERROR(BJ3/(BJ3+BL3),0)</f>
        <v>0.9308176100628931</v>
      </c>
      <c r="BL3" s="892">
        <f>'RRT - Subgrupo - IGEO'!AW3</f>
        <v>11</v>
      </c>
      <c r="BM3" s="893">
        <f t="shared" ref="BM3:BM27" si="31">IFERROR(BL3/(BL3+BJ3),0)</f>
        <v>6.9182389937106917E-2</v>
      </c>
      <c r="BN3" s="892">
        <f>'RRT - Subgrupo - IGEO'!AY3</f>
        <v>2</v>
      </c>
      <c r="BO3" s="895">
        <f t="shared" ref="BO3:BO27" si="32">IFERROR(BN3/(BN3+BP3),0)</f>
        <v>0.66666666666666663</v>
      </c>
      <c r="BP3" s="892">
        <f>'RRT - Subgrupo - IGEO'!AZ3</f>
        <v>1</v>
      </c>
      <c r="BQ3" s="893">
        <f t="shared" ref="BQ3:BQ27" si="33">IFERROR(BP3/(BP3+BN3),0)</f>
        <v>0.33333333333333331</v>
      </c>
      <c r="BR3" s="892">
        <f>'RRT - Subgrupo - IGEO'!BB3</f>
        <v>6</v>
      </c>
      <c r="BS3" s="895">
        <f t="shared" ref="BS3:BS27" si="34">IFERROR(BR3/(BR3+BT3),0)</f>
        <v>1</v>
      </c>
      <c r="BT3" s="892">
        <f>'RRT - Subgrupo - IGEO'!BC3</f>
        <v>0</v>
      </c>
      <c r="BU3" s="893">
        <f t="shared" ref="BU3:BU27" si="35">IFERROR(BT3/(BT3+BR3),0)</f>
        <v>0</v>
      </c>
      <c r="BV3" s="892">
        <f>'RRT - Subgrupo - IGEO'!BE3</f>
        <v>6</v>
      </c>
      <c r="BW3" s="895">
        <f t="shared" ref="BW3:BW27" si="36">IFERROR(BV3/(BV3+BX3),0)</f>
        <v>0.5</v>
      </c>
      <c r="BX3" s="892">
        <f>'RRT - Subgrupo - IGEO'!BF3</f>
        <v>6</v>
      </c>
      <c r="BY3" s="893">
        <f t="shared" ref="BY3:BY27" si="37">IFERROR(BX3/(BX3+BV3),0)</f>
        <v>0.5</v>
      </c>
      <c r="BZ3" s="892">
        <f>'RRT - Subgrupo - IGEO'!BH3</f>
        <v>1</v>
      </c>
      <c r="CA3" s="895">
        <f t="shared" ref="CA3:CA27" si="38">IFERROR(BZ3/(BZ3+CB3),0)</f>
        <v>1</v>
      </c>
      <c r="CB3" s="892">
        <f>'RRT - Subgrupo - IGEO'!BI3</f>
        <v>0</v>
      </c>
      <c r="CC3" s="893">
        <f t="shared" ref="CC3:CC27" si="39">IFERROR(CB3/(CB3+BZ3),0)</f>
        <v>0</v>
      </c>
      <c r="CD3" s="892">
        <f>'RRT - Subgrupo - IGEO'!BK3</f>
        <v>3</v>
      </c>
      <c r="CE3" s="895">
        <f t="shared" ref="CE3:CE27" si="40">IFERROR(CD3/(CD3+CF3),0)</f>
        <v>0.75</v>
      </c>
      <c r="CF3" s="892">
        <f>'RRT - Subgrupo - IGEO'!BL3</f>
        <v>1</v>
      </c>
      <c r="CG3" s="893">
        <f t="shared" ref="CG3:CG27" si="41">IFERROR(CF3/(CF3+CD3),0)</f>
        <v>0.25</v>
      </c>
      <c r="CH3" s="896">
        <f>'RRT - Subgrupo - IGEO'!BN3</f>
        <v>2</v>
      </c>
      <c r="CI3" s="895">
        <f t="shared" ref="CI3:CI27" si="42">IFERROR(CH3/(CH3+CJ3),0)</f>
        <v>1</v>
      </c>
      <c r="CJ3" s="896">
        <f>'RRT - Subgrupo - IGEO'!BO3</f>
        <v>0</v>
      </c>
      <c r="CK3" s="893">
        <f t="shared" ref="CK3:CK27" si="43">IFERROR(CJ3/(CJ3+CH3),0)</f>
        <v>0</v>
      </c>
      <c r="CL3" s="896">
        <f>'RRT - Subgrupo - IGEO'!BQ3</f>
        <v>5</v>
      </c>
      <c r="CM3" s="895">
        <f t="shared" ref="CM3:CM27" si="44">IFERROR(CL3/(CL3+CN3),0)</f>
        <v>1</v>
      </c>
      <c r="CN3" s="896">
        <f>'RRT - Subgrupo - IGEO'!BR3</f>
        <v>0</v>
      </c>
      <c r="CO3" s="893">
        <f t="shared" ref="CO3:CO27" si="45">IFERROR(CN3/(CN3+CL3),0)</f>
        <v>0</v>
      </c>
      <c r="CP3" s="896"/>
      <c r="CQ3" s="895"/>
      <c r="CR3" s="896"/>
      <c r="CS3" s="893"/>
      <c r="CT3" s="896">
        <f>'RRT - Subgrupo - IGEO'!BW3</f>
        <v>13</v>
      </c>
      <c r="CU3" s="895">
        <f t="shared" ref="CU3:CU27" si="46">IFERROR(CT3/(CT3+CV3),0)</f>
        <v>0.9285714285714286</v>
      </c>
      <c r="CV3" s="896">
        <f>'RRT - Subgrupo - IGEO'!BX3</f>
        <v>1</v>
      </c>
      <c r="CW3" s="893">
        <f t="shared" ref="CW3:CW27" si="47">IFERROR(CV3/(CV3+CT3),0)</f>
        <v>7.1428571428571425E-2</v>
      </c>
      <c r="CX3" s="896">
        <f>'RRT - Subgrupo - IGEO'!BZ3</f>
        <v>23</v>
      </c>
      <c r="CY3" s="895">
        <f t="shared" ref="CY3:CY27" si="48">IFERROR(CX3/(CX3+CZ3),0)</f>
        <v>0.92</v>
      </c>
      <c r="CZ3" s="896">
        <f>'RRT - Subgrupo - IGEO'!CA3</f>
        <v>2</v>
      </c>
      <c r="DA3" s="893">
        <f t="shared" ref="DA3:DA27" si="49">IFERROR(CZ3/(CZ3+CX3),0)</f>
        <v>0.08</v>
      </c>
      <c r="DB3" s="896">
        <f>'RRT - Subgrupo - IGEO'!CC3</f>
        <v>28</v>
      </c>
      <c r="DC3" s="895">
        <f t="shared" ref="DC3:DC27" si="50">IFERROR(DB3/(DB3+DD3),0)</f>
        <v>0.71794871794871795</v>
      </c>
      <c r="DD3" s="896">
        <f>'RRT - Subgrupo - IGEO'!CD3</f>
        <v>11</v>
      </c>
      <c r="DE3" s="893">
        <f t="shared" ref="DE3:DE27" si="51">IFERROR(DD3/(DD3+DB3),0)</f>
        <v>0.28205128205128205</v>
      </c>
      <c r="DF3" s="892">
        <f>'RRT - Subgrupo - IGEO'!CF3</f>
        <v>9</v>
      </c>
      <c r="DG3" s="895">
        <f t="shared" ref="DG3:DG27" si="52">IFERROR(DF3/(DF3+DH3),0)</f>
        <v>0.5625</v>
      </c>
      <c r="DH3" s="892">
        <f>'RRT - Subgrupo - IGEO'!CG3</f>
        <v>7</v>
      </c>
      <c r="DI3" s="893">
        <f t="shared" ref="DI3:DI27" si="53">IFERROR(DH3/(DH3+DF3),0)</f>
        <v>0.4375</v>
      </c>
      <c r="DJ3" s="892">
        <f>'RRT - Subgrupo - IGEO'!CI3</f>
        <v>0</v>
      </c>
      <c r="DK3" s="895">
        <f t="shared" ref="DK3:DK27" si="54">IFERROR(DJ3/(DJ3+DL3),0)</f>
        <v>0</v>
      </c>
      <c r="DL3" s="892">
        <f>'RRT - Subgrupo - IGEO'!CJ3</f>
        <v>2</v>
      </c>
      <c r="DM3" s="893">
        <f t="shared" ref="DM3:DM27" si="55">IFERROR(DL3/(DL3+DJ3),0)</f>
        <v>1</v>
      </c>
      <c r="DN3" s="892"/>
      <c r="DO3" s="895"/>
      <c r="DP3" s="892"/>
      <c r="DQ3" s="893"/>
      <c r="DR3" s="892">
        <f>'RRT - Subgrupo - IGEO'!CO3</f>
        <v>4</v>
      </c>
      <c r="DS3" s="895">
        <f t="shared" ref="DS3:DS27" si="56">IFERROR(DR3/(DR3+DT3),0)</f>
        <v>1</v>
      </c>
      <c r="DT3" s="892">
        <f>'RRT - Subgrupo - IGEO'!CP3</f>
        <v>0</v>
      </c>
      <c r="DU3" s="893">
        <f t="shared" ref="DU3:DU27" si="57">IFERROR(DT3/(DT3+DR3),0)</f>
        <v>0</v>
      </c>
      <c r="DV3" s="892">
        <f>'RRT - Subgrupo - IGEO'!CR3</f>
        <v>5</v>
      </c>
      <c r="DW3" s="895">
        <f t="shared" ref="DW3:DW27" si="58">IFERROR(DV3/(DV3+DX3),0)</f>
        <v>1</v>
      </c>
      <c r="DX3" s="892">
        <f>'RRT - Subgrupo - IGEO'!CS3</f>
        <v>0</v>
      </c>
      <c r="DY3" s="893">
        <f t="shared" ref="DY3:DY27" si="59">IFERROR(DX3/(DX3+DV3),0)</f>
        <v>0</v>
      </c>
      <c r="DZ3" s="892">
        <f>'RRT - Subgrupo - IGEO'!CU3</f>
        <v>8</v>
      </c>
      <c r="EA3" s="895">
        <f t="shared" ref="EA3:EA27" si="60">IFERROR(DZ3/(DZ3+EB3),0)</f>
        <v>0.88888888888888884</v>
      </c>
      <c r="EB3" s="892">
        <f>'RRT - Subgrupo - IGEO'!CV3</f>
        <v>1</v>
      </c>
      <c r="EC3" s="893">
        <f t="shared" ref="EC3:EC27" si="61">IFERROR(EB3/(EB3+DZ3),0)</f>
        <v>0.1111111111111111</v>
      </c>
      <c r="ED3" s="892">
        <f>'RRT - Subgrupo - IGEO'!CX3</f>
        <v>9</v>
      </c>
      <c r="EE3" s="895">
        <f t="shared" ref="EE3:EE27" si="62">IFERROR(ED3/(ED3+EF3),0)</f>
        <v>0.9</v>
      </c>
      <c r="EF3" s="892">
        <f>'RRT - Subgrupo - IGEO'!CY3</f>
        <v>1</v>
      </c>
      <c r="EG3" s="893">
        <f t="shared" ref="EG3:EG27" si="63">IFERROR(EF3/(EF3+ED3),0)</f>
        <v>0.1</v>
      </c>
      <c r="EH3" s="892">
        <f>'RRT - Subgrupo - IGEO'!DA3</f>
        <v>9</v>
      </c>
      <c r="EI3" s="895">
        <f t="shared" ref="EI3:EI27" si="64">IFERROR(EH3/(EH3+EJ3),0)</f>
        <v>0.5625</v>
      </c>
      <c r="EJ3" s="892">
        <f>'RRT - Subgrupo - IGEO'!DB3</f>
        <v>7</v>
      </c>
      <c r="EK3" s="893">
        <f t="shared" ref="EK3:EK27" si="65">IFERROR(EJ3/(EJ3+EH3),0)</f>
        <v>0.4375</v>
      </c>
      <c r="EL3" s="897">
        <f>'RRT - Subgrupo - IGEO'!DD3</f>
        <v>1</v>
      </c>
      <c r="EM3" s="895">
        <f t="shared" ref="EM3:EM27" si="66">IFERROR(EL3/(EL3+EN3),0)</f>
        <v>1</v>
      </c>
      <c r="EN3" s="897">
        <f>'RRT - Subgrupo - IGEO'!DE3</f>
        <v>0</v>
      </c>
      <c r="EO3" s="893">
        <f t="shared" ref="EO3:EO27" si="67">IFERROR(EN3/(EN3+EL3),0)</f>
        <v>0</v>
      </c>
      <c r="EP3" s="897">
        <f>'RRT - Subgrupo - IGEO'!DG3</f>
        <v>8</v>
      </c>
      <c r="EQ3" s="895">
        <f t="shared" ref="EQ3:EQ27" si="68">IFERROR(EP3/(EP3+ER3),0)</f>
        <v>0.88888888888888884</v>
      </c>
      <c r="ER3" s="897">
        <f>'RRT - Subgrupo - IGEO'!DH3</f>
        <v>1</v>
      </c>
      <c r="ES3" s="893">
        <f t="shared" ref="ES3:ES27" si="69">IFERROR(ER3/(ER3+EP3),0)</f>
        <v>0.1111111111111111</v>
      </c>
      <c r="ET3" s="897">
        <f>'RRT - Subgrupo - IGEO'!DJ3</f>
        <v>11</v>
      </c>
      <c r="EU3" s="895">
        <f t="shared" ref="EU3:EU27" si="70">IFERROR(ET3/(ET3+EV3),0)</f>
        <v>0.6470588235294118</v>
      </c>
      <c r="EV3" s="897">
        <f>'RRT - Subgrupo - IGEO'!DK3</f>
        <v>6</v>
      </c>
      <c r="EW3" s="893">
        <f t="shared" ref="EW3:EW27" si="71">IFERROR(EV3/(EV3+ET3),0)</f>
        <v>0.35294117647058826</v>
      </c>
      <c r="EX3" s="897">
        <f>'RRT - Subgrupo - IGEO'!DM3</f>
        <v>2</v>
      </c>
      <c r="EY3" s="895">
        <f t="shared" ref="EY3:EY27" si="72">IFERROR(EX3/(EX3+EZ3),0)</f>
        <v>0.5</v>
      </c>
      <c r="EZ3" s="897">
        <f>'RRT - Subgrupo - IGEO'!DN3</f>
        <v>2</v>
      </c>
      <c r="FA3" s="893">
        <f t="shared" ref="FA3:FA27" si="73">IFERROR(EZ3/(EZ3+EX3),0)</f>
        <v>0.5</v>
      </c>
      <c r="FB3" s="897"/>
      <c r="FC3" s="895"/>
      <c r="FD3" s="897"/>
      <c r="FE3" s="893"/>
      <c r="FF3" s="897"/>
      <c r="FG3" s="895"/>
      <c r="FH3" s="897"/>
      <c r="FI3" s="893"/>
      <c r="FJ3" s="897">
        <f>'RRT - Subgrupo - IGEO'!DV3</f>
        <v>2</v>
      </c>
      <c r="FK3" s="895">
        <f t="shared" ref="FK3:FK27" si="74">IFERROR(FJ3/(FJ3+FL3),0)</f>
        <v>1</v>
      </c>
      <c r="FL3" s="897">
        <f>'RRT - Subgrupo - IGEO'!DW3</f>
        <v>0</v>
      </c>
      <c r="FM3" s="893">
        <f t="shared" ref="FM3:FM27" si="75">IFERROR(FL3/(FL3+FJ3),0)</f>
        <v>0</v>
      </c>
      <c r="FN3" s="897">
        <f>'RRT - Subgrupo - IGEO'!DY3</f>
        <v>5</v>
      </c>
      <c r="FO3" s="895">
        <f t="shared" ref="FO3:FO25" si="76">IFERROR(FN3/(FN3+FP3),0)</f>
        <v>0.83333333333333337</v>
      </c>
      <c r="FP3" s="897">
        <f>'RRT - Subgrupo - IGEO'!DZ3</f>
        <v>1</v>
      </c>
      <c r="FQ3" s="893">
        <f t="shared" ref="FQ3:FQ25" si="77">IFERROR(FP3/(FP3+FN3),0)</f>
        <v>0.16666666666666666</v>
      </c>
      <c r="FR3" s="892">
        <f>'RRT - Subgrupo - IGEO'!EB3</f>
        <v>0</v>
      </c>
      <c r="FS3" s="895">
        <f t="shared" ref="FS3:FS25" si="78">IFERROR(FR3/(FR3+FT3),0)</f>
        <v>0</v>
      </c>
      <c r="FT3" s="892">
        <f>'RRT - Subgrupo - IGEO'!DZ3</f>
        <v>1</v>
      </c>
      <c r="FU3" s="893">
        <f t="shared" ref="FU3:FU25" si="79">IFERROR(FT3/(FT3+FR3),0)</f>
        <v>1</v>
      </c>
      <c r="FV3" s="892"/>
      <c r="FW3" s="895"/>
      <c r="FX3" s="892"/>
      <c r="FY3" s="893"/>
      <c r="FZ3" s="892">
        <f>'RRT - Subgrupo - IGEO'!EH3</f>
        <v>1</v>
      </c>
      <c r="GA3" s="895">
        <f t="shared" ref="GA3:GA26" si="80">IFERROR(FZ3/(FZ3+GB3),0)</f>
        <v>1</v>
      </c>
      <c r="GB3" s="892">
        <f>'RRT - Subgrupo - IGEO'!EI3</f>
        <v>0</v>
      </c>
      <c r="GC3" s="893">
        <f t="shared" ref="GC3:GC26" si="81">IFERROR(GB3/(GB3+FZ3),0)</f>
        <v>0</v>
      </c>
      <c r="GD3" s="892">
        <f>'RRT - Subgrupo - IGEO'!EK3</f>
        <v>7</v>
      </c>
      <c r="GE3" s="895">
        <f t="shared" ref="GE3:GE27" si="82">IFERROR(GD3/(GD3+GF3),0)</f>
        <v>0.875</v>
      </c>
      <c r="GF3" s="892">
        <f>'RRT - Subgrupo - IGEO'!EL3</f>
        <v>1</v>
      </c>
      <c r="GG3" s="893">
        <f t="shared" ref="GG3:GG27" si="83">IFERROR(GF3/(GF3+GD3),0)</f>
        <v>0.125</v>
      </c>
      <c r="GH3" s="892"/>
      <c r="GI3" s="895"/>
      <c r="GJ3" s="892"/>
      <c r="GK3" s="893"/>
      <c r="GL3" s="892"/>
      <c r="GM3" s="895"/>
      <c r="GN3" s="892"/>
      <c r="GO3" s="893"/>
      <c r="GP3" s="892"/>
      <c r="GQ3" s="895"/>
      <c r="GR3" s="892"/>
      <c r="GS3" s="893"/>
      <c r="GT3" s="892"/>
      <c r="GU3" s="895"/>
      <c r="GV3" s="892"/>
      <c r="GW3" s="893"/>
      <c r="GX3" s="892">
        <f>'RRT - Subgrupo - IGEO'!EZ3</f>
        <v>5</v>
      </c>
      <c r="GY3" s="895">
        <f t="shared" ref="GY3:GY26" si="84">IFERROR(GX3/(GX3+GZ3),0)</f>
        <v>0.625</v>
      </c>
      <c r="GZ3" s="892">
        <f>'RRT - Subgrupo - IGEO'!FA3</f>
        <v>3</v>
      </c>
      <c r="HA3" s="893">
        <f t="shared" ref="HA3:HA26" si="85">IFERROR(GZ3/(GZ3+GX3),0)</f>
        <v>0.375</v>
      </c>
      <c r="HB3" s="892">
        <f>'RRT - Subgrupo - IGEO'!FC3</f>
        <v>0</v>
      </c>
      <c r="HC3" s="895">
        <f t="shared" ref="HC3:HC27" si="86">IFERROR(HB3/(HB3+HD3),0)</f>
        <v>0</v>
      </c>
      <c r="HD3" s="892">
        <f>'RRT - Subgrupo - IGEO'!FD3</f>
        <v>2</v>
      </c>
      <c r="HE3" s="893">
        <f t="shared" ref="HE3:HE27" si="87">IFERROR(HD3/(HD3+HB3),0)</f>
        <v>1</v>
      </c>
      <c r="HF3" s="898"/>
    </row>
    <row r="4" spans="1:214" s="876" customFormat="1" ht="18.75">
      <c r="A4" s="891" t="s">
        <v>88</v>
      </c>
      <c r="B4" s="892">
        <f>'RRT - Subgrupo - IGEO'!C4</f>
        <v>1662</v>
      </c>
      <c r="C4" s="893">
        <f t="shared" si="0"/>
        <v>0.47417974322396578</v>
      </c>
      <c r="D4" s="892">
        <f>'RRT - Subgrupo - IGEO'!D4</f>
        <v>1843</v>
      </c>
      <c r="E4" s="893">
        <f t="shared" si="1"/>
        <v>0.52582025677603428</v>
      </c>
      <c r="F4" s="894">
        <f>'RRT - Subgrupo - IGEO'!F4</f>
        <v>362</v>
      </c>
      <c r="G4" s="893">
        <f t="shared" si="2"/>
        <v>0.54765506807866871</v>
      </c>
      <c r="H4" s="892">
        <f>'RRT - Subgrupo - IGEO'!G4</f>
        <v>299</v>
      </c>
      <c r="I4" s="893">
        <f t="shared" si="3"/>
        <v>0.45234493192133129</v>
      </c>
      <c r="J4" s="892">
        <f>'RRT - Subgrupo - IGEO'!I4</f>
        <v>44</v>
      </c>
      <c r="K4" s="895">
        <f t="shared" si="4"/>
        <v>0.51764705882352946</v>
      </c>
      <c r="L4" s="892">
        <f>'RRT - Subgrupo - IGEO'!J4</f>
        <v>41</v>
      </c>
      <c r="M4" s="893">
        <f t="shared" si="5"/>
        <v>0.4823529411764706</v>
      </c>
      <c r="N4" s="896">
        <f>'RRT - Subgrupo - IGEO'!L4</f>
        <v>129</v>
      </c>
      <c r="O4" s="895">
        <f t="shared" si="6"/>
        <v>0.2179054054054054</v>
      </c>
      <c r="P4" s="892">
        <f>'RRT - Subgrupo - IGEO'!P4</f>
        <v>463</v>
      </c>
      <c r="Q4" s="893">
        <f t="shared" si="7"/>
        <v>0.78209459459459463</v>
      </c>
      <c r="R4" s="892">
        <f>'RRT - Subgrupo - IGEO'!O4</f>
        <v>748</v>
      </c>
      <c r="S4" s="895">
        <f t="shared" si="8"/>
        <v>0.61767134599504536</v>
      </c>
      <c r="T4" s="892">
        <f>'RRT - Subgrupo - IGEO'!P4</f>
        <v>463</v>
      </c>
      <c r="U4" s="893">
        <f t="shared" si="9"/>
        <v>0.38232865400495458</v>
      </c>
      <c r="V4" s="892">
        <f>'RRT - Subgrupo - IGEO'!R4</f>
        <v>26</v>
      </c>
      <c r="W4" s="895">
        <f t="shared" si="10"/>
        <v>0.48148148148148145</v>
      </c>
      <c r="X4" s="896">
        <f>'RRT - Subgrupo - IGEO'!S4</f>
        <v>28</v>
      </c>
      <c r="Y4" s="893">
        <f t="shared" si="11"/>
        <v>0.51851851851851849</v>
      </c>
      <c r="Z4" s="892">
        <f>'RRT - Subgrupo - IGEO'!U4</f>
        <v>155</v>
      </c>
      <c r="AA4" s="895">
        <f t="shared" si="12"/>
        <v>0.57835820895522383</v>
      </c>
      <c r="AB4" s="892">
        <f>'RRT - Subgrupo - IGEO'!V4</f>
        <v>113</v>
      </c>
      <c r="AC4" s="893">
        <f t="shared" si="13"/>
        <v>0.42164179104477612</v>
      </c>
      <c r="AD4" s="892">
        <f>'RRT - Subgrupo - IGEO'!X4</f>
        <v>204</v>
      </c>
      <c r="AE4" s="895">
        <f t="shared" si="14"/>
        <v>0.55434782608695654</v>
      </c>
      <c r="AF4" s="892">
        <f>'RRT - Subgrupo - IGEO'!Y4</f>
        <v>164</v>
      </c>
      <c r="AG4" s="893">
        <f t="shared" si="15"/>
        <v>0.44565217391304346</v>
      </c>
      <c r="AH4" s="892">
        <f>'RRT - Subgrupo - IGEO'!AA4</f>
        <v>18</v>
      </c>
      <c r="AI4" s="895">
        <f t="shared" si="16"/>
        <v>0.51428571428571423</v>
      </c>
      <c r="AJ4" s="892">
        <f>'RRT - Subgrupo - IGEO'!AB4</f>
        <v>17</v>
      </c>
      <c r="AK4" s="893">
        <f t="shared" si="17"/>
        <v>0.48571428571428571</v>
      </c>
      <c r="AL4" s="892">
        <f>'RRT - Subgrupo - IGEO'!AD4</f>
        <v>54</v>
      </c>
      <c r="AM4" s="895">
        <f t="shared" si="18"/>
        <v>0.73972602739726023</v>
      </c>
      <c r="AN4" s="892">
        <f>'RRT - Subgrupo - IGEO'!AE4</f>
        <v>19</v>
      </c>
      <c r="AO4" s="893">
        <f t="shared" si="19"/>
        <v>0.26027397260273971</v>
      </c>
      <c r="AP4" s="896">
        <f>'RRT - Subgrupo - IGEO'!AG4</f>
        <v>1</v>
      </c>
      <c r="AQ4" s="895">
        <f t="shared" si="20"/>
        <v>1</v>
      </c>
      <c r="AR4" s="892">
        <f>'RRT - Subgrupo - IGEO'!AH4</f>
        <v>0</v>
      </c>
      <c r="AS4" s="893">
        <f t="shared" si="21"/>
        <v>0</v>
      </c>
      <c r="AT4" s="892">
        <f>'RRT - Subgrupo - IGEO'!AJ4</f>
        <v>855</v>
      </c>
      <c r="AU4" s="895">
        <f t="shared" si="22"/>
        <v>0.59873949579831931</v>
      </c>
      <c r="AV4" s="892">
        <f>'RRT - Subgrupo - IGEO'!AK4</f>
        <v>573</v>
      </c>
      <c r="AW4" s="893">
        <f t="shared" si="23"/>
        <v>0.40126050420168069</v>
      </c>
      <c r="AX4" s="892">
        <f>'RRT - Subgrupo - IGEO'!AM4</f>
        <v>361</v>
      </c>
      <c r="AY4" s="895">
        <f t="shared" si="24"/>
        <v>0.62134251290877796</v>
      </c>
      <c r="AZ4" s="892">
        <f>'RRT - Subgrupo - IGEO'!AN4</f>
        <v>220</v>
      </c>
      <c r="BA4" s="893">
        <f t="shared" si="25"/>
        <v>0.37865748709122204</v>
      </c>
      <c r="BB4" s="892">
        <f>'RRT - Subgrupo - IGEO'!AP4</f>
        <v>22</v>
      </c>
      <c r="BC4" s="895">
        <f t="shared" si="26"/>
        <v>0.84615384615384615</v>
      </c>
      <c r="BD4" s="892">
        <f>'RRT - Subgrupo - IGEO'!AQ4</f>
        <v>4</v>
      </c>
      <c r="BE4" s="893">
        <f t="shared" si="27"/>
        <v>0.15384615384615385</v>
      </c>
      <c r="BF4" s="892">
        <f>'RRT - Subgrupo - IGEO'!AS4</f>
        <v>24</v>
      </c>
      <c r="BG4" s="895">
        <f t="shared" si="28"/>
        <v>0.38095238095238093</v>
      </c>
      <c r="BH4" s="892">
        <f>'RRT - Subgrupo - IGEO'!AT4</f>
        <v>39</v>
      </c>
      <c r="BI4" s="893">
        <f t="shared" si="29"/>
        <v>0.61904761904761907</v>
      </c>
      <c r="BJ4" s="892">
        <f>'RRT - Subgrupo - IGEO'!AV4</f>
        <v>536</v>
      </c>
      <c r="BK4" s="895">
        <f t="shared" si="30"/>
        <v>0.68806161745827987</v>
      </c>
      <c r="BL4" s="892">
        <f>'RRT - Subgrupo - IGEO'!AW4</f>
        <v>243</v>
      </c>
      <c r="BM4" s="893">
        <f t="shared" si="31"/>
        <v>0.31193838254172013</v>
      </c>
      <c r="BN4" s="892">
        <f>'RRT - Subgrupo - IGEO'!AY4</f>
        <v>6</v>
      </c>
      <c r="BO4" s="895">
        <f t="shared" si="32"/>
        <v>1</v>
      </c>
      <c r="BP4" s="892">
        <f>'RRT - Subgrupo - IGEO'!AZ4</f>
        <v>0</v>
      </c>
      <c r="BQ4" s="893">
        <f t="shared" si="33"/>
        <v>0</v>
      </c>
      <c r="BR4" s="892">
        <f>'RRT - Subgrupo - IGEO'!BB4</f>
        <v>6</v>
      </c>
      <c r="BS4" s="895">
        <f t="shared" si="34"/>
        <v>0.46153846153846156</v>
      </c>
      <c r="BT4" s="892">
        <f>'RRT - Subgrupo - IGEO'!BC4</f>
        <v>7</v>
      </c>
      <c r="BU4" s="893">
        <f t="shared" si="35"/>
        <v>0.53846153846153844</v>
      </c>
      <c r="BV4" s="892">
        <f>'RRT - Subgrupo - IGEO'!BE4</f>
        <v>3</v>
      </c>
      <c r="BW4" s="895">
        <f t="shared" si="36"/>
        <v>0.375</v>
      </c>
      <c r="BX4" s="892">
        <f>'RRT - Subgrupo - IGEO'!BF4</f>
        <v>5</v>
      </c>
      <c r="BY4" s="893">
        <f t="shared" si="37"/>
        <v>0.625</v>
      </c>
      <c r="BZ4" s="892"/>
      <c r="CA4" s="895"/>
      <c r="CB4" s="892"/>
      <c r="CC4" s="893"/>
      <c r="CD4" s="892">
        <f>'RRT - Subgrupo - IGEO'!BK4</f>
        <v>3</v>
      </c>
      <c r="CE4" s="895">
        <f t="shared" si="40"/>
        <v>0.25</v>
      </c>
      <c r="CF4" s="892">
        <f>'RRT - Subgrupo - IGEO'!BL4</f>
        <v>9</v>
      </c>
      <c r="CG4" s="893">
        <f t="shared" si="41"/>
        <v>0.75</v>
      </c>
      <c r="CH4" s="896">
        <f>'RRT - Subgrupo - IGEO'!BN4</f>
        <v>2</v>
      </c>
      <c r="CI4" s="895">
        <f t="shared" si="42"/>
        <v>0.33333333333333331</v>
      </c>
      <c r="CJ4" s="896">
        <f>'RRT - Subgrupo - IGEO'!BO4</f>
        <v>4</v>
      </c>
      <c r="CK4" s="893">
        <f t="shared" si="43"/>
        <v>0.66666666666666663</v>
      </c>
      <c r="CL4" s="896">
        <f>'RRT - Subgrupo - IGEO'!BQ4</f>
        <v>0</v>
      </c>
      <c r="CM4" s="895">
        <f t="shared" si="44"/>
        <v>0</v>
      </c>
      <c r="CN4" s="896">
        <f>'RRT - Subgrupo - IGEO'!BR4</f>
        <v>3</v>
      </c>
      <c r="CO4" s="893">
        <f t="shared" si="45"/>
        <v>1</v>
      </c>
      <c r="CP4" s="896">
        <f>'RRT - Subgrupo - IGEO'!BT4</f>
        <v>2</v>
      </c>
      <c r="CQ4" s="895">
        <f t="shared" ref="CQ4:CQ27" si="88">IFERROR(CP4/(CP4+CR4),0)</f>
        <v>0.22222222222222221</v>
      </c>
      <c r="CR4" s="896">
        <f>'RRT - Subgrupo - IGEO'!BU4</f>
        <v>7</v>
      </c>
      <c r="CS4" s="893">
        <f t="shared" ref="CS4:CS27" si="89">IFERROR(CR4/(CR4+CP4),0)</f>
        <v>0.77777777777777779</v>
      </c>
      <c r="CT4" s="896">
        <f>'RRT - Subgrupo - IGEO'!BW4</f>
        <v>3</v>
      </c>
      <c r="CU4" s="895">
        <f t="shared" si="46"/>
        <v>0.42857142857142855</v>
      </c>
      <c r="CV4" s="896">
        <f>'RRT - Subgrupo - IGEO'!BX4</f>
        <v>4</v>
      </c>
      <c r="CW4" s="893">
        <f t="shared" si="47"/>
        <v>0.5714285714285714</v>
      </c>
      <c r="CX4" s="896">
        <f>'RRT - Subgrupo - IGEO'!BZ4</f>
        <v>14</v>
      </c>
      <c r="CY4" s="895">
        <f t="shared" si="48"/>
        <v>0.53846153846153844</v>
      </c>
      <c r="CZ4" s="896">
        <f>'RRT - Subgrupo - IGEO'!CA4</f>
        <v>12</v>
      </c>
      <c r="DA4" s="893">
        <f t="shared" si="49"/>
        <v>0.46153846153846156</v>
      </c>
      <c r="DB4" s="896">
        <f>'RRT - Subgrupo - IGEO'!CC4</f>
        <v>15</v>
      </c>
      <c r="DC4" s="895">
        <f t="shared" si="50"/>
        <v>0.45454545454545453</v>
      </c>
      <c r="DD4" s="896">
        <f>'RRT - Subgrupo - IGEO'!CD4</f>
        <v>18</v>
      </c>
      <c r="DE4" s="893">
        <f t="shared" si="51"/>
        <v>0.54545454545454541</v>
      </c>
      <c r="DF4" s="892">
        <f>'RRT - Subgrupo - IGEO'!CF4</f>
        <v>170</v>
      </c>
      <c r="DG4" s="895">
        <f t="shared" si="52"/>
        <v>0.71729957805907174</v>
      </c>
      <c r="DH4" s="892">
        <f>'RRT - Subgrupo - IGEO'!CG4</f>
        <v>67</v>
      </c>
      <c r="DI4" s="893">
        <f t="shared" si="53"/>
        <v>0.28270042194092826</v>
      </c>
      <c r="DJ4" s="892">
        <f>'RRT - Subgrupo - IGEO'!CI4</f>
        <v>15</v>
      </c>
      <c r="DK4" s="895">
        <f t="shared" si="54"/>
        <v>0.5357142857142857</v>
      </c>
      <c r="DL4" s="892">
        <f>'RRT - Subgrupo - IGEO'!CJ4</f>
        <v>13</v>
      </c>
      <c r="DM4" s="893">
        <f t="shared" si="55"/>
        <v>0.4642857142857143</v>
      </c>
      <c r="DN4" s="892">
        <f>'RRT - Subgrupo - IGEO'!CL4</f>
        <v>1</v>
      </c>
      <c r="DO4" s="895">
        <f t="shared" ref="DO4:DO26" si="90">IFERROR(DN4/(DN4+DP4),0)</f>
        <v>0.33333333333333331</v>
      </c>
      <c r="DP4" s="892">
        <f>'RRT - Subgrupo - IGEO'!CM4</f>
        <v>2</v>
      </c>
      <c r="DQ4" s="893">
        <f t="shared" ref="DQ4:DQ26" si="91">IFERROR(DP4/(DP4+DN4),0)</f>
        <v>0.66666666666666663</v>
      </c>
      <c r="DR4" s="892">
        <f>'RRT - Subgrupo - IGEO'!CO4</f>
        <v>0</v>
      </c>
      <c r="DS4" s="895">
        <f t="shared" si="56"/>
        <v>0</v>
      </c>
      <c r="DT4" s="892">
        <f>'RRT - Subgrupo - IGEO'!CP4</f>
        <v>9</v>
      </c>
      <c r="DU4" s="893">
        <f t="shared" si="57"/>
        <v>1</v>
      </c>
      <c r="DV4" s="892">
        <f>'RRT - Subgrupo - IGEO'!CR4</f>
        <v>1</v>
      </c>
      <c r="DW4" s="895">
        <f t="shared" si="58"/>
        <v>0.2</v>
      </c>
      <c r="DX4" s="892">
        <f>'RRT - Subgrupo - IGEO'!CS4</f>
        <v>4</v>
      </c>
      <c r="DY4" s="893">
        <f t="shared" si="59"/>
        <v>0.8</v>
      </c>
      <c r="DZ4" s="892">
        <f>'RRT - Subgrupo - IGEO'!CU4</f>
        <v>7</v>
      </c>
      <c r="EA4" s="895">
        <f t="shared" si="60"/>
        <v>0.25925925925925924</v>
      </c>
      <c r="EB4" s="892">
        <f>'RRT - Subgrupo - IGEO'!CV4</f>
        <v>20</v>
      </c>
      <c r="EC4" s="893">
        <f t="shared" si="61"/>
        <v>0.7407407407407407</v>
      </c>
      <c r="ED4" s="892">
        <f>'RRT - Subgrupo - IGEO'!CX4</f>
        <v>3</v>
      </c>
      <c r="EE4" s="895">
        <f t="shared" si="62"/>
        <v>0.75</v>
      </c>
      <c r="EF4" s="892">
        <f>'RRT - Subgrupo - IGEO'!CY4</f>
        <v>1</v>
      </c>
      <c r="EG4" s="893">
        <f t="shared" si="63"/>
        <v>0.25</v>
      </c>
      <c r="EH4" s="892">
        <f>'RRT - Subgrupo - IGEO'!DA4</f>
        <v>25</v>
      </c>
      <c r="EI4" s="895">
        <f t="shared" si="64"/>
        <v>0.43103448275862066</v>
      </c>
      <c r="EJ4" s="892">
        <f>'RRT - Subgrupo - IGEO'!DB4</f>
        <v>33</v>
      </c>
      <c r="EK4" s="893">
        <f t="shared" si="65"/>
        <v>0.56896551724137934</v>
      </c>
      <c r="EL4" s="897"/>
      <c r="EM4" s="895"/>
      <c r="EN4" s="897"/>
      <c r="EO4" s="893"/>
      <c r="EP4" s="897">
        <f>'RRT - Subgrupo - IGEO'!DG4</f>
        <v>31</v>
      </c>
      <c r="EQ4" s="895">
        <f t="shared" si="68"/>
        <v>0.27192982456140352</v>
      </c>
      <c r="ER4" s="897">
        <f>'RRT - Subgrupo - IGEO'!DH4</f>
        <v>83</v>
      </c>
      <c r="ES4" s="893">
        <f t="shared" si="69"/>
        <v>0.72807017543859653</v>
      </c>
      <c r="ET4" s="897">
        <f>'RRT - Subgrupo - IGEO'!DJ4</f>
        <v>35</v>
      </c>
      <c r="EU4" s="895">
        <f t="shared" si="70"/>
        <v>0.23333333333333334</v>
      </c>
      <c r="EV4" s="897">
        <f>'RRT - Subgrupo - IGEO'!DK4</f>
        <v>115</v>
      </c>
      <c r="EW4" s="893">
        <f t="shared" si="71"/>
        <v>0.76666666666666672</v>
      </c>
      <c r="EX4" s="897">
        <f>'RRT - Subgrupo - IGEO'!DM4</f>
        <v>4</v>
      </c>
      <c r="EY4" s="895">
        <f t="shared" si="72"/>
        <v>0.30769230769230771</v>
      </c>
      <c r="EZ4" s="897">
        <f>'RRT - Subgrupo - IGEO'!DN4</f>
        <v>9</v>
      </c>
      <c r="FA4" s="893">
        <f t="shared" si="73"/>
        <v>0.69230769230769229</v>
      </c>
      <c r="FB4" s="897"/>
      <c r="FC4" s="895"/>
      <c r="FD4" s="897"/>
      <c r="FE4" s="893"/>
      <c r="FF4" s="897"/>
      <c r="FG4" s="895"/>
      <c r="FH4" s="897"/>
      <c r="FI4" s="893"/>
      <c r="FJ4" s="897">
        <f>'RRT - Subgrupo - IGEO'!DV4</f>
        <v>26</v>
      </c>
      <c r="FK4" s="895">
        <f t="shared" si="74"/>
        <v>0.49056603773584906</v>
      </c>
      <c r="FL4" s="897">
        <f>'RRT - Subgrupo - IGEO'!DW4</f>
        <v>27</v>
      </c>
      <c r="FM4" s="893">
        <f t="shared" si="75"/>
        <v>0.50943396226415094</v>
      </c>
      <c r="FN4" s="897"/>
      <c r="FO4" s="895"/>
      <c r="FP4" s="897"/>
      <c r="FQ4" s="893"/>
      <c r="FR4" s="892"/>
      <c r="FS4" s="895"/>
      <c r="FT4" s="892"/>
      <c r="FU4" s="893"/>
      <c r="FV4" s="892"/>
      <c r="FW4" s="895"/>
      <c r="FX4" s="892"/>
      <c r="FY4" s="893"/>
      <c r="FZ4" s="892">
        <f>'RRT - Subgrupo - IGEO'!EH4</f>
        <v>0</v>
      </c>
      <c r="GA4" s="895">
        <f t="shared" si="80"/>
        <v>0</v>
      </c>
      <c r="GB4" s="892">
        <f>'RRT - Subgrupo - IGEO'!EI4</f>
        <v>4</v>
      </c>
      <c r="GC4" s="893">
        <f t="shared" si="81"/>
        <v>1</v>
      </c>
      <c r="GD4" s="892">
        <f>'RRT - Subgrupo - IGEO'!EK4</f>
        <v>1</v>
      </c>
      <c r="GE4" s="895">
        <f t="shared" si="82"/>
        <v>0.05</v>
      </c>
      <c r="GF4" s="892">
        <f>'RRT - Subgrupo - IGEO'!EL4</f>
        <v>19</v>
      </c>
      <c r="GG4" s="893">
        <f t="shared" si="83"/>
        <v>0.95</v>
      </c>
      <c r="GH4" s="892">
        <f>'RRT - Subgrupo - IGEO'!EN4</f>
        <v>1</v>
      </c>
      <c r="GI4" s="895">
        <f t="shared" ref="GI4:GI27" si="92">IFERROR(GH4/(GH4+GJ4),0)</f>
        <v>1</v>
      </c>
      <c r="GJ4" s="892">
        <f>'RRT - Subgrupo - IGEO'!EO4</f>
        <v>0</v>
      </c>
      <c r="GK4" s="893">
        <f t="shared" ref="GK4:GK27" si="93">IFERROR(GJ4/(GJ4+GH4),0)</f>
        <v>0</v>
      </c>
      <c r="GL4" s="892"/>
      <c r="GM4" s="895"/>
      <c r="GN4" s="892"/>
      <c r="GO4" s="893"/>
      <c r="GP4" s="892"/>
      <c r="GQ4" s="895"/>
      <c r="GR4" s="892"/>
      <c r="GS4" s="893"/>
      <c r="GT4" s="892">
        <f>'RRT - Subgrupo - IGEO'!EW4</f>
        <v>1</v>
      </c>
      <c r="GU4" s="895">
        <f t="shared" ref="GU4:GU26" si="94">IFERROR(GT4/(GT4+GV4),0)</f>
        <v>0.5</v>
      </c>
      <c r="GV4" s="892">
        <f>'RRT - Subgrupo - IGEO'!EX4</f>
        <v>1</v>
      </c>
      <c r="GW4" s="893">
        <f t="shared" ref="GW4:GW26" si="95">IFERROR(GV4/(GV4+GT4),0)</f>
        <v>0.5</v>
      </c>
      <c r="GX4" s="892">
        <f>'RRT - Subgrupo - IGEO'!EZ4</f>
        <v>1</v>
      </c>
      <c r="GY4" s="895">
        <f t="shared" si="84"/>
        <v>0.33333333333333331</v>
      </c>
      <c r="GZ4" s="892">
        <f>'RRT - Subgrupo - IGEO'!FA4</f>
        <v>2</v>
      </c>
      <c r="HA4" s="893">
        <f t="shared" si="85"/>
        <v>0.66666666666666663</v>
      </c>
      <c r="HB4" s="892">
        <f>'RRT - Subgrupo - IGEO'!FC4</f>
        <v>0</v>
      </c>
      <c r="HC4" s="895">
        <f t="shared" si="86"/>
        <v>0</v>
      </c>
      <c r="HD4" s="892">
        <f>'RRT - Subgrupo - IGEO'!FD4</f>
        <v>8</v>
      </c>
      <c r="HE4" s="893">
        <f t="shared" si="87"/>
        <v>1</v>
      </c>
      <c r="HF4" s="898"/>
    </row>
    <row r="5" spans="1:214" s="876" customFormat="1" ht="18.75">
      <c r="A5" s="891" t="s">
        <v>90</v>
      </c>
      <c r="B5" s="892">
        <f>'RRT - Subgrupo - IGEO'!C5</f>
        <v>1417</v>
      </c>
      <c r="C5" s="893">
        <f t="shared" si="0"/>
        <v>0.5077033321390183</v>
      </c>
      <c r="D5" s="892">
        <f>'RRT - Subgrupo - IGEO'!D5</f>
        <v>1374</v>
      </c>
      <c r="E5" s="893">
        <f t="shared" si="1"/>
        <v>0.49229666786098175</v>
      </c>
      <c r="F5" s="894">
        <f>'RRT - Subgrupo - IGEO'!F5</f>
        <v>141</v>
      </c>
      <c r="G5" s="893">
        <f t="shared" si="2"/>
        <v>0.74210526315789471</v>
      </c>
      <c r="H5" s="892">
        <f>'RRT - Subgrupo - IGEO'!G5</f>
        <v>49</v>
      </c>
      <c r="I5" s="893">
        <f t="shared" si="3"/>
        <v>0.25789473684210529</v>
      </c>
      <c r="J5" s="892">
        <f>'RRT - Subgrupo - IGEO'!I5</f>
        <v>107</v>
      </c>
      <c r="K5" s="895">
        <f t="shared" si="4"/>
        <v>0.64071856287425155</v>
      </c>
      <c r="L5" s="892">
        <f>'RRT - Subgrupo - IGEO'!J5</f>
        <v>60</v>
      </c>
      <c r="M5" s="893">
        <f t="shared" si="5"/>
        <v>0.3592814371257485</v>
      </c>
      <c r="N5" s="896">
        <f>'RRT - Subgrupo - IGEO'!L5</f>
        <v>198</v>
      </c>
      <c r="O5" s="895">
        <f t="shared" si="6"/>
        <v>0.31730769230769229</v>
      </c>
      <c r="P5" s="892">
        <f>'RRT - Subgrupo - IGEO'!P5</f>
        <v>426</v>
      </c>
      <c r="Q5" s="893">
        <f t="shared" si="7"/>
        <v>0.68269230769230771</v>
      </c>
      <c r="R5" s="892">
        <f>'RRT - Subgrupo - IGEO'!O5</f>
        <v>871</v>
      </c>
      <c r="S5" s="895">
        <f t="shared" si="8"/>
        <v>0.67154973014649189</v>
      </c>
      <c r="T5" s="892">
        <f>'RRT - Subgrupo - IGEO'!P5</f>
        <v>426</v>
      </c>
      <c r="U5" s="893">
        <f t="shared" si="9"/>
        <v>0.32845026985350811</v>
      </c>
      <c r="V5" s="892">
        <f>'RRT - Subgrupo - IGEO'!R5</f>
        <v>37</v>
      </c>
      <c r="W5" s="895">
        <f t="shared" si="10"/>
        <v>0.6271186440677966</v>
      </c>
      <c r="X5" s="896">
        <f>'RRT - Subgrupo - IGEO'!S5</f>
        <v>22</v>
      </c>
      <c r="Y5" s="893">
        <f t="shared" si="11"/>
        <v>0.3728813559322034</v>
      </c>
      <c r="Z5" s="892">
        <f>'RRT - Subgrupo - IGEO'!U5</f>
        <v>219</v>
      </c>
      <c r="AA5" s="895">
        <f t="shared" si="12"/>
        <v>0.46008403361344535</v>
      </c>
      <c r="AB5" s="892">
        <f>'RRT - Subgrupo - IGEO'!V5</f>
        <v>257</v>
      </c>
      <c r="AC5" s="893">
        <f t="shared" si="13"/>
        <v>0.53991596638655459</v>
      </c>
      <c r="AD5" s="892">
        <f>'RRT - Subgrupo - IGEO'!X5</f>
        <v>191</v>
      </c>
      <c r="AE5" s="895">
        <f t="shared" si="14"/>
        <v>0.59501557632398749</v>
      </c>
      <c r="AF5" s="892">
        <f>'RRT - Subgrupo - IGEO'!Y5</f>
        <v>130</v>
      </c>
      <c r="AG5" s="893">
        <f t="shared" si="15"/>
        <v>0.40498442367601245</v>
      </c>
      <c r="AH5" s="892">
        <f>'RRT - Subgrupo - IGEO'!AA5</f>
        <v>45</v>
      </c>
      <c r="AI5" s="895">
        <f t="shared" si="16"/>
        <v>0.6428571428571429</v>
      </c>
      <c r="AJ5" s="892">
        <f>'RRT - Subgrupo - IGEO'!AB5</f>
        <v>25</v>
      </c>
      <c r="AK5" s="893">
        <f t="shared" si="17"/>
        <v>0.35714285714285715</v>
      </c>
      <c r="AL5" s="892">
        <f>'RRT - Subgrupo - IGEO'!AD5</f>
        <v>61</v>
      </c>
      <c r="AM5" s="895">
        <f t="shared" si="18"/>
        <v>0.48031496062992124</v>
      </c>
      <c r="AN5" s="892">
        <f>'RRT - Subgrupo - IGEO'!AE5</f>
        <v>66</v>
      </c>
      <c r="AO5" s="893">
        <f t="shared" si="19"/>
        <v>0.51968503937007871</v>
      </c>
      <c r="AP5" s="896">
        <f>'RRT - Subgrupo - IGEO'!AG5</f>
        <v>7</v>
      </c>
      <c r="AQ5" s="895">
        <f t="shared" si="20"/>
        <v>0.58333333333333337</v>
      </c>
      <c r="AR5" s="892">
        <f>'RRT - Subgrupo - IGEO'!AH5</f>
        <v>5</v>
      </c>
      <c r="AS5" s="893">
        <f t="shared" si="21"/>
        <v>0.41666666666666669</v>
      </c>
      <c r="AT5" s="892">
        <f>'RRT - Subgrupo - IGEO'!AJ5</f>
        <v>696</v>
      </c>
      <c r="AU5" s="895">
        <f t="shared" si="22"/>
        <v>0.58193979933110362</v>
      </c>
      <c r="AV5" s="892">
        <f>'RRT - Subgrupo - IGEO'!AK5</f>
        <v>500</v>
      </c>
      <c r="AW5" s="893">
        <f t="shared" si="23"/>
        <v>0.41806020066889632</v>
      </c>
      <c r="AX5" s="892">
        <f>'RRT - Subgrupo - IGEO'!AM5</f>
        <v>124</v>
      </c>
      <c r="AY5" s="895">
        <f t="shared" si="24"/>
        <v>0.72514619883040932</v>
      </c>
      <c r="AZ5" s="892">
        <f>'RRT - Subgrupo - IGEO'!AN5</f>
        <v>47</v>
      </c>
      <c r="BA5" s="893">
        <f t="shared" si="25"/>
        <v>0.27485380116959063</v>
      </c>
      <c r="BB5" s="892">
        <f>'RRT - Subgrupo - IGEO'!AP5</f>
        <v>31</v>
      </c>
      <c r="BC5" s="895">
        <f t="shared" si="26"/>
        <v>0.60784313725490191</v>
      </c>
      <c r="BD5" s="892">
        <f>'RRT - Subgrupo - IGEO'!AQ5</f>
        <v>20</v>
      </c>
      <c r="BE5" s="893">
        <f t="shared" si="27"/>
        <v>0.39215686274509803</v>
      </c>
      <c r="BF5" s="892">
        <f>'RRT - Subgrupo - IGEO'!AS5</f>
        <v>83</v>
      </c>
      <c r="BG5" s="895">
        <f t="shared" si="28"/>
        <v>0.36725663716814161</v>
      </c>
      <c r="BH5" s="892">
        <f>'RRT - Subgrupo - IGEO'!AT5</f>
        <v>143</v>
      </c>
      <c r="BI5" s="893">
        <f t="shared" si="29"/>
        <v>0.63274336283185839</v>
      </c>
      <c r="BJ5" s="892">
        <f>'RRT - Subgrupo - IGEO'!AV5</f>
        <v>357</v>
      </c>
      <c r="BK5" s="895">
        <f t="shared" si="30"/>
        <v>0.62303664921465973</v>
      </c>
      <c r="BL5" s="892">
        <f>'RRT - Subgrupo - IGEO'!AW5</f>
        <v>216</v>
      </c>
      <c r="BM5" s="893">
        <f t="shared" si="31"/>
        <v>0.37696335078534032</v>
      </c>
      <c r="BN5" s="892">
        <f>'RRT - Subgrupo - IGEO'!AY5</f>
        <v>9</v>
      </c>
      <c r="BO5" s="895">
        <f t="shared" si="32"/>
        <v>0.69230769230769229</v>
      </c>
      <c r="BP5" s="892">
        <f>'RRT - Subgrupo - IGEO'!AZ5</f>
        <v>4</v>
      </c>
      <c r="BQ5" s="893">
        <f t="shared" si="33"/>
        <v>0.30769230769230771</v>
      </c>
      <c r="BR5" s="892">
        <f>'RRT - Subgrupo - IGEO'!BB5</f>
        <v>14</v>
      </c>
      <c r="BS5" s="895">
        <f t="shared" si="34"/>
        <v>0.60869565217391308</v>
      </c>
      <c r="BT5" s="892">
        <f>'RRT - Subgrupo - IGEO'!BC5</f>
        <v>9</v>
      </c>
      <c r="BU5" s="893">
        <f t="shared" si="35"/>
        <v>0.39130434782608697</v>
      </c>
      <c r="BV5" s="892">
        <f>'RRT - Subgrupo - IGEO'!BE5</f>
        <v>19</v>
      </c>
      <c r="BW5" s="895">
        <f t="shared" si="36"/>
        <v>0.61290322580645162</v>
      </c>
      <c r="BX5" s="892">
        <f>'RRT - Subgrupo - IGEO'!BF5</f>
        <v>12</v>
      </c>
      <c r="BY5" s="893">
        <f t="shared" si="37"/>
        <v>0.38709677419354838</v>
      </c>
      <c r="BZ5" s="892">
        <f>'RRT - Subgrupo - IGEO'!BH5</f>
        <v>5</v>
      </c>
      <c r="CA5" s="895">
        <f t="shared" si="38"/>
        <v>0.7142857142857143</v>
      </c>
      <c r="CB5" s="892">
        <f>'RRT - Subgrupo - IGEO'!BI5</f>
        <v>2</v>
      </c>
      <c r="CC5" s="893">
        <f t="shared" si="39"/>
        <v>0.2857142857142857</v>
      </c>
      <c r="CD5" s="892">
        <f>'RRT - Subgrupo - IGEO'!BK5</f>
        <v>18</v>
      </c>
      <c r="CE5" s="895">
        <f t="shared" si="40"/>
        <v>0.48648648648648651</v>
      </c>
      <c r="CF5" s="892">
        <f>'RRT - Subgrupo - IGEO'!BL5</f>
        <v>19</v>
      </c>
      <c r="CG5" s="893">
        <f t="shared" si="41"/>
        <v>0.51351351351351349</v>
      </c>
      <c r="CH5" s="896">
        <f>'RRT - Subgrupo - IGEO'!BN5</f>
        <v>9</v>
      </c>
      <c r="CI5" s="895">
        <f t="shared" si="42"/>
        <v>0.81818181818181823</v>
      </c>
      <c r="CJ5" s="896">
        <f>'RRT - Subgrupo - IGEO'!BO5</f>
        <v>2</v>
      </c>
      <c r="CK5" s="893">
        <f t="shared" si="43"/>
        <v>0.18181818181818182</v>
      </c>
      <c r="CL5" s="896"/>
      <c r="CM5" s="895"/>
      <c r="CN5" s="896"/>
      <c r="CO5" s="893"/>
      <c r="CP5" s="896">
        <f>'RRT - Subgrupo - IGEO'!BT5</f>
        <v>6</v>
      </c>
      <c r="CQ5" s="895">
        <f t="shared" si="88"/>
        <v>0.66666666666666663</v>
      </c>
      <c r="CR5" s="896">
        <f>'RRT - Subgrupo - IGEO'!BU5</f>
        <v>3</v>
      </c>
      <c r="CS5" s="893">
        <f t="shared" si="89"/>
        <v>0.33333333333333331</v>
      </c>
      <c r="CT5" s="896">
        <f>'RRT - Subgrupo - IGEO'!BW5</f>
        <v>4</v>
      </c>
      <c r="CU5" s="895">
        <f t="shared" si="46"/>
        <v>0.33333333333333331</v>
      </c>
      <c r="CV5" s="896">
        <f>'RRT - Subgrupo - IGEO'!BX5</f>
        <v>8</v>
      </c>
      <c r="CW5" s="893">
        <f t="shared" si="47"/>
        <v>0.66666666666666663</v>
      </c>
      <c r="CX5" s="896">
        <f>'RRT - Subgrupo - IGEO'!BZ5</f>
        <v>10</v>
      </c>
      <c r="CY5" s="895">
        <f t="shared" si="48"/>
        <v>0.22222222222222221</v>
      </c>
      <c r="CZ5" s="896">
        <f>'RRT - Subgrupo - IGEO'!CA5</f>
        <v>35</v>
      </c>
      <c r="DA5" s="893">
        <f t="shared" si="49"/>
        <v>0.77777777777777779</v>
      </c>
      <c r="DB5" s="896">
        <f>'RRT - Subgrupo - IGEO'!CC5</f>
        <v>32</v>
      </c>
      <c r="DC5" s="895">
        <f t="shared" si="50"/>
        <v>0.50793650793650791</v>
      </c>
      <c r="DD5" s="896">
        <f>'RRT - Subgrupo - IGEO'!CD5</f>
        <v>31</v>
      </c>
      <c r="DE5" s="893">
        <f t="shared" si="51"/>
        <v>0.49206349206349204</v>
      </c>
      <c r="DF5" s="892">
        <f>'RRT - Subgrupo - IGEO'!CF5</f>
        <v>25</v>
      </c>
      <c r="DG5" s="895">
        <f t="shared" si="52"/>
        <v>0.7142857142857143</v>
      </c>
      <c r="DH5" s="892">
        <f>'RRT - Subgrupo - IGEO'!CG5</f>
        <v>10</v>
      </c>
      <c r="DI5" s="893">
        <f t="shared" si="53"/>
        <v>0.2857142857142857</v>
      </c>
      <c r="DJ5" s="892">
        <f>'RRT - Subgrupo - IGEO'!CI5</f>
        <v>27</v>
      </c>
      <c r="DK5" s="895">
        <f t="shared" si="54"/>
        <v>0.55102040816326525</v>
      </c>
      <c r="DL5" s="892">
        <f>'RRT - Subgrupo - IGEO'!CJ5</f>
        <v>22</v>
      </c>
      <c r="DM5" s="893">
        <f t="shared" si="55"/>
        <v>0.44897959183673469</v>
      </c>
      <c r="DN5" s="892"/>
      <c r="DO5" s="895"/>
      <c r="DP5" s="892"/>
      <c r="DQ5" s="893"/>
      <c r="DR5" s="892">
        <f>'RRT - Subgrupo - IGEO'!CO5</f>
        <v>1</v>
      </c>
      <c r="DS5" s="895">
        <f t="shared" si="56"/>
        <v>0.5</v>
      </c>
      <c r="DT5" s="892">
        <f>'RRT - Subgrupo - IGEO'!CP5</f>
        <v>1</v>
      </c>
      <c r="DU5" s="893">
        <f t="shared" si="57"/>
        <v>0.5</v>
      </c>
      <c r="DV5" s="892">
        <f>'RRT - Subgrupo - IGEO'!CR5</f>
        <v>3</v>
      </c>
      <c r="DW5" s="895">
        <f t="shared" si="58"/>
        <v>0.27272727272727271</v>
      </c>
      <c r="DX5" s="892">
        <f>'RRT - Subgrupo - IGEO'!CS5</f>
        <v>8</v>
      </c>
      <c r="DY5" s="893">
        <f t="shared" si="59"/>
        <v>0.72727272727272729</v>
      </c>
      <c r="DZ5" s="892">
        <f>'RRT - Subgrupo - IGEO'!CU5</f>
        <v>3</v>
      </c>
      <c r="EA5" s="895">
        <f t="shared" si="60"/>
        <v>0.23076923076923078</v>
      </c>
      <c r="EB5" s="892">
        <f>'RRT - Subgrupo - IGEO'!CV5</f>
        <v>10</v>
      </c>
      <c r="EC5" s="893">
        <f t="shared" si="61"/>
        <v>0.76923076923076927</v>
      </c>
      <c r="ED5" s="892">
        <f>'RRT - Subgrupo - IGEO'!CX5</f>
        <v>4</v>
      </c>
      <c r="EE5" s="895">
        <f t="shared" si="62"/>
        <v>0.66666666666666663</v>
      </c>
      <c r="EF5" s="892">
        <f>'RRT - Subgrupo - IGEO'!CY5</f>
        <v>2</v>
      </c>
      <c r="EG5" s="893">
        <f t="shared" si="63"/>
        <v>0.33333333333333331</v>
      </c>
      <c r="EH5" s="892">
        <f>'RRT - Subgrupo - IGEO'!DA5</f>
        <v>13</v>
      </c>
      <c r="EI5" s="895">
        <f t="shared" si="64"/>
        <v>0.40625</v>
      </c>
      <c r="EJ5" s="892">
        <f>'RRT - Subgrupo - IGEO'!DB5</f>
        <v>19</v>
      </c>
      <c r="EK5" s="893">
        <f t="shared" si="65"/>
        <v>0.59375</v>
      </c>
      <c r="EL5" s="897">
        <f>'RRT - Subgrupo - IGEO'!DD5</f>
        <v>1</v>
      </c>
      <c r="EM5" s="895">
        <f t="shared" si="66"/>
        <v>0.25</v>
      </c>
      <c r="EN5" s="897">
        <f>'RRT - Subgrupo - IGEO'!DE5</f>
        <v>3</v>
      </c>
      <c r="EO5" s="893">
        <f t="shared" si="67"/>
        <v>0.75</v>
      </c>
      <c r="EP5" s="897">
        <f>'RRT - Subgrupo - IGEO'!DG5</f>
        <v>15</v>
      </c>
      <c r="EQ5" s="895">
        <f t="shared" si="68"/>
        <v>0.25423728813559321</v>
      </c>
      <c r="ER5" s="897">
        <f>'RRT - Subgrupo - IGEO'!DH5</f>
        <v>44</v>
      </c>
      <c r="ES5" s="893">
        <f t="shared" si="69"/>
        <v>0.74576271186440679</v>
      </c>
      <c r="ET5" s="897">
        <f>'RRT - Subgrupo - IGEO'!DJ5</f>
        <v>116</v>
      </c>
      <c r="EU5" s="895">
        <f t="shared" si="70"/>
        <v>0.5714285714285714</v>
      </c>
      <c r="EV5" s="897">
        <f>'RRT - Subgrupo - IGEO'!DK5</f>
        <v>87</v>
      </c>
      <c r="EW5" s="893">
        <f t="shared" si="71"/>
        <v>0.42857142857142855</v>
      </c>
      <c r="EX5" s="897">
        <f>'RRT - Subgrupo - IGEO'!DM5</f>
        <v>9</v>
      </c>
      <c r="EY5" s="895">
        <f t="shared" si="72"/>
        <v>0.5625</v>
      </c>
      <c r="EZ5" s="897">
        <f>'RRT - Subgrupo - IGEO'!DN5</f>
        <v>7</v>
      </c>
      <c r="FA5" s="893">
        <f t="shared" si="73"/>
        <v>0.4375</v>
      </c>
      <c r="FB5" s="897"/>
      <c r="FC5" s="895"/>
      <c r="FD5" s="897"/>
      <c r="FE5" s="893"/>
      <c r="FF5" s="897"/>
      <c r="FG5" s="895"/>
      <c r="FH5" s="897"/>
      <c r="FI5" s="893"/>
      <c r="FJ5" s="897">
        <f>'RRT - Subgrupo - IGEO'!DV5</f>
        <v>7</v>
      </c>
      <c r="FK5" s="895">
        <f t="shared" si="74"/>
        <v>0.36842105263157893</v>
      </c>
      <c r="FL5" s="897">
        <f>'RRT - Subgrupo - IGEO'!DW5</f>
        <v>12</v>
      </c>
      <c r="FM5" s="893">
        <f t="shared" si="75"/>
        <v>0.63157894736842102</v>
      </c>
      <c r="FN5" s="897">
        <f>'RRT - Subgrupo - IGEO'!DY5</f>
        <v>1</v>
      </c>
      <c r="FO5" s="895">
        <f t="shared" si="76"/>
        <v>1</v>
      </c>
      <c r="FP5" s="897">
        <f>'RRT - Subgrupo - IGEO'!DZ5</f>
        <v>0</v>
      </c>
      <c r="FQ5" s="893">
        <f t="shared" si="77"/>
        <v>0</v>
      </c>
      <c r="FR5" s="892"/>
      <c r="FS5" s="895"/>
      <c r="FT5" s="892"/>
      <c r="FU5" s="893"/>
      <c r="FV5" s="892"/>
      <c r="FW5" s="895"/>
      <c r="FX5" s="892"/>
      <c r="FY5" s="893"/>
      <c r="FZ5" s="892">
        <f>'RRT - Subgrupo - IGEO'!EH5</f>
        <v>3</v>
      </c>
      <c r="GA5" s="895">
        <f t="shared" si="80"/>
        <v>0.42857142857142855</v>
      </c>
      <c r="GB5" s="892">
        <f>'RRT - Subgrupo - IGEO'!EI5</f>
        <v>4</v>
      </c>
      <c r="GC5" s="893">
        <f t="shared" si="81"/>
        <v>0.5714285714285714</v>
      </c>
      <c r="GD5" s="892">
        <f>'RRT - Subgrupo - IGEO'!EK5</f>
        <v>2</v>
      </c>
      <c r="GE5" s="895">
        <f t="shared" si="82"/>
        <v>3.7037037037037035E-2</v>
      </c>
      <c r="GF5" s="892">
        <f>'RRT - Subgrupo - IGEO'!EL5</f>
        <v>52</v>
      </c>
      <c r="GG5" s="893">
        <f t="shared" si="83"/>
        <v>0.96296296296296291</v>
      </c>
      <c r="GH5" s="892">
        <f>'RRT - Subgrupo - IGEO'!EN5</f>
        <v>14</v>
      </c>
      <c r="GI5" s="895">
        <f t="shared" si="92"/>
        <v>0.875</v>
      </c>
      <c r="GJ5" s="892">
        <f>'RRT - Subgrupo - IGEO'!EO5</f>
        <v>2</v>
      </c>
      <c r="GK5" s="893">
        <f t="shared" si="93"/>
        <v>0.125</v>
      </c>
      <c r="GL5" s="892">
        <f>'RRT - Subgrupo - IGEO'!EO5</f>
        <v>2</v>
      </c>
      <c r="GM5" s="895">
        <f t="shared" ref="GM5:GM26" si="96">IFERROR(GL5/(GL5+GN5),0)</f>
        <v>0.66666666666666663</v>
      </c>
      <c r="GN5" s="892">
        <f>'RRT - Subgrupo - IGEO'!EP5</f>
        <v>1</v>
      </c>
      <c r="GO5" s="893">
        <f t="shared" ref="GO5:GO26" si="97">IFERROR(GN5/(GN5+GL5),0)</f>
        <v>0.33333333333333331</v>
      </c>
      <c r="GP5" s="892">
        <f>'RRT - Subgrupo - IGEO'!EQ5</f>
        <v>0</v>
      </c>
      <c r="GQ5" s="895">
        <f t="shared" ref="GQ5:GQ26" si="98">IFERROR(GP5/(GP5+GR5),0)</f>
        <v>0</v>
      </c>
      <c r="GR5" s="892">
        <f>'RRT - Subgrupo - IGEO'!ER5</f>
        <v>1</v>
      </c>
      <c r="GS5" s="893">
        <f t="shared" ref="GS5:GS26" si="99">IFERROR(GR5/(GR5+GP5),0)</f>
        <v>1</v>
      </c>
      <c r="GT5" s="892">
        <f>'RRT - Subgrupo - IGEO'!EW5</f>
        <v>1</v>
      </c>
      <c r="GU5" s="895">
        <f t="shared" si="94"/>
        <v>0.33333333333333331</v>
      </c>
      <c r="GV5" s="892">
        <f>'RRT - Subgrupo - IGEO'!EX5</f>
        <v>2</v>
      </c>
      <c r="GW5" s="893">
        <f t="shared" si="95"/>
        <v>0.66666666666666663</v>
      </c>
      <c r="GX5" s="892">
        <f>'RRT - Subgrupo - IGEO'!EZ5</f>
        <v>0</v>
      </c>
      <c r="GY5" s="895">
        <f t="shared" si="84"/>
        <v>0</v>
      </c>
      <c r="GZ5" s="892">
        <f>'RRT - Subgrupo - IGEO'!FA5</f>
        <v>4</v>
      </c>
      <c r="HA5" s="893">
        <f t="shared" si="85"/>
        <v>1</v>
      </c>
      <c r="HB5" s="892">
        <f>'RRT - Subgrupo - IGEO'!FC5</f>
        <v>21</v>
      </c>
      <c r="HC5" s="895">
        <f t="shared" si="86"/>
        <v>0.80769230769230771</v>
      </c>
      <c r="HD5" s="892">
        <f>'RRT - Subgrupo - IGEO'!FD5</f>
        <v>5</v>
      </c>
      <c r="HE5" s="893">
        <f t="shared" si="87"/>
        <v>0.19230769230769232</v>
      </c>
      <c r="HF5" s="898"/>
    </row>
    <row r="6" spans="1:214" s="876" customFormat="1" ht="18.75">
      <c r="A6" s="891" t="s">
        <v>89</v>
      </c>
      <c r="B6" s="892">
        <f>'RRT - Subgrupo - IGEO'!C6</f>
        <v>1169</v>
      </c>
      <c r="C6" s="893">
        <f t="shared" si="0"/>
        <v>0.68282710280373837</v>
      </c>
      <c r="D6" s="892">
        <f>'RRT - Subgrupo - IGEO'!D6</f>
        <v>543</v>
      </c>
      <c r="E6" s="893">
        <f t="shared" si="1"/>
        <v>0.31717289719626168</v>
      </c>
      <c r="F6" s="894">
        <f>'RRT - Subgrupo - IGEO'!F6</f>
        <v>312</v>
      </c>
      <c r="G6" s="893">
        <f t="shared" si="2"/>
        <v>0.83870967741935487</v>
      </c>
      <c r="H6" s="892">
        <f>'RRT - Subgrupo - IGEO'!G6</f>
        <v>60</v>
      </c>
      <c r="I6" s="893">
        <f t="shared" si="3"/>
        <v>0.16129032258064516</v>
      </c>
      <c r="J6" s="892">
        <f>'RRT - Subgrupo - IGEO'!I6</f>
        <v>20</v>
      </c>
      <c r="K6" s="895">
        <f t="shared" si="4"/>
        <v>0.83333333333333337</v>
      </c>
      <c r="L6" s="892">
        <f>'RRT - Subgrupo - IGEO'!J6</f>
        <v>4</v>
      </c>
      <c r="M6" s="893">
        <f t="shared" si="5"/>
        <v>0.16666666666666666</v>
      </c>
      <c r="N6" s="896">
        <f>'RRT - Subgrupo - IGEO'!L6</f>
        <v>24</v>
      </c>
      <c r="O6" s="895">
        <f t="shared" si="6"/>
        <v>6.0759493670886074E-2</v>
      </c>
      <c r="P6" s="892">
        <f>'RRT - Subgrupo - IGEO'!P6</f>
        <v>371</v>
      </c>
      <c r="Q6" s="893">
        <f t="shared" si="7"/>
        <v>0.93924050632911393</v>
      </c>
      <c r="R6" s="892">
        <f>'RRT - Subgrupo - IGEO'!O6</f>
        <v>1000</v>
      </c>
      <c r="S6" s="895">
        <f t="shared" si="8"/>
        <v>0.7293946024799417</v>
      </c>
      <c r="T6" s="892">
        <f>'RRT - Subgrupo - IGEO'!P6</f>
        <v>371</v>
      </c>
      <c r="U6" s="893">
        <f t="shared" si="9"/>
        <v>0.27060539752005836</v>
      </c>
      <c r="V6" s="892">
        <f>'RRT - Subgrupo - IGEO'!R6</f>
        <v>27</v>
      </c>
      <c r="W6" s="895">
        <f t="shared" si="10"/>
        <v>0.67500000000000004</v>
      </c>
      <c r="X6" s="896">
        <f>'RRT - Subgrupo - IGEO'!S6</f>
        <v>13</v>
      </c>
      <c r="Y6" s="893">
        <f t="shared" si="11"/>
        <v>0.32500000000000001</v>
      </c>
      <c r="Z6" s="892">
        <f>'RRT - Subgrupo - IGEO'!U6</f>
        <v>169</v>
      </c>
      <c r="AA6" s="895">
        <f t="shared" si="12"/>
        <v>0.77168949771689499</v>
      </c>
      <c r="AB6" s="892">
        <f>'RRT - Subgrupo - IGEO'!V6</f>
        <v>50</v>
      </c>
      <c r="AC6" s="893">
        <f t="shared" si="13"/>
        <v>0.22831050228310501</v>
      </c>
      <c r="AD6" s="892">
        <f>'RRT - Subgrupo - IGEO'!X6</f>
        <v>33</v>
      </c>
      <c r="AE6" s="895">
        <f t="shared" si="14"/>
        <v>0.76744186046511631</v>
      </c>
      <c r="AF6" s="892">
        <f>'RRT - Subgrupo - IGEO'!Y6</f>
        <v>10</v>
      </c>
      <c r="AG6" s="893">
        <f t="shared" si="15"/>
        <v>0.23255813953488372</v>
      </c>
      <c r="AH6" s="892">
        <f>'RRT - Subgrupo - IGEO'!AA6</f>
        <v>20</v>
      </c>
      <c r="AI6" s="895">
        <f t="shared" si="16"/>
        <v>0.5714285714285714</v>
      </c>
      <c r="AJ6" s="892">
        <f>'RRT - Subgrupo - IGEO'!AB6</f>
        <v>15</v>
      </c>
      <c r="AK6" s="893">
        <f t="shared" si="17"/>
        <v>0.42857142857142855</v>
      </c>
      <c r="AL6" s="892">
        <f>'RRT - Subgrupo - IGEO'!AD6</f>
        <v>49</v>
      </c>
      <c r="AM6" s="895">
        <f t="shared" si="18"/>
        <v>0.79032258064516125</v>
      </c>
      <c r="AN6" s="892">
        <f>'RRT - Subgrupo - IGEO'!AE6</f>
        <v>13</v>
      </c>
      <c r="AO6" s="893">
        <f t="shared" si="19"/>
        <v>0.20967741935483872</v>
      </c>
      <c r="AP6" s="896">
        <f>'RRT - Subgrupo - IGEO'!AG6</f>
        <v>4</v>
      </c>
      <c r="AQ6" s="895">
        <f t="shared" si="20"/>
        <v>1</v>
      </c>
      <c r="AR6" s="892">
        <f>'RRT - Subgrupo - IGEO'!AH6</f>
        <v>0</v>
      </c>
      <c r="AS6" s="893">
        <f t="shared" si="21"/>
        <v>0</v>
      </c>
      <c r="AT6" s="892">
        <f>'RRT - Subgrupo - IGEO'!AJ6</f>
        <v>789</v>
      </c>
      <c r="AU6" s="895">
        <f t="shared" si="22"/>
        <v>0.76975609756097563</v>
      </c>
      <c r="AV6" s="892">
        <f>'RRT - Subgrupo - IGEO'!AK6</f>
        <v>236</v>
      </c>
      <c r="AW6" s="893">
        <f t="shared" si="23"/>
        <v>0.2302439024390244</v>
      </c>
      <c r="AX6" s="892">
        <f>'RRT - Subgrupo - IGEO'!AM6</f>
        <v>359</v>
      </c>
      <c r="AY6" s="895">
        <f t="shared" si="24"/>
        <v>0.87990196078431371</v>
      </c>
      <c r="AZ6" s="892">
        <f>'RRT - Subgrupo - IGEO'!AN6</f>
        <v>49</v>
      </c>
      <c r="BA6" s="893">
        <f t="shared" si="25"/>
        <v>0.12009803921568628</v>
      </c>
      <c r="BB6" s="892">
        <f>'RRT - Subgrupo - IGEO'!AP6</f>
        <v>22</v>
      </c>
      <c r="BC6" s="895">
        <f t="shared" si="26"/>
        <v>0.91666666666666663</v>
      </c>
      <c r="BD6" s="892">
        <f>'RRT - Subgrupo - IGEO'!AQ6</f>
        <v>2</v>
      </c>
      <c r="BE6" s="893">
        <f t="shared" si="27"/>
        <v>8.3333333333333329E-2</v>
      </c>
      <c r="BF6" s="892">
        <f>'RRT - Subgrupo - IGEO'!AS6</f>
        <v>12</v>
      </c>
      <c r="BG6" s="895">
        <f t="shared" si="28"/>
        <v>0.75</v>
      </c>
      <c r="BH6" s="892">
        <f>'RRT - Subgrupo - IGEO'!AT6</f>
        <v>4</v>
      </c>
      <c r="BI6" s="893">
        <f t="shared" si="29"/>
        <v>0.25</v>
      </c>
      <c r="BJ6" s="892">
        <f>'RRT - Subgrupo - IGEO'!AV6</f>
        <v>632</v>
      </c>
      <c r="BK6" s="895">
        <f t="shared" si="30"/>
        <v>0.81548387096774189</v>
      </c>
      <c r="BL6" s="892">
        <f>'RRT - Subgrupo - IGEO'!AW6</f>
        <v>143</v>
      </c>
      <c r="BM6" s="893">
        <f t="shared" si="31"/>
        <v>0.18451612903225806</v>
      </c>
      <c r="BN6" s="892">
        <f>'RRT - Subgrupo - IGEO'!AY6</f>
        <v>13</v>
      </c>
      <c r="BO6" s="895">
        <f t="shared" si="32"/>
        <v>0.9285714285714286</v>
      </c>
      <c r="BP6" s="892">
        <f>'RRT - Subgrupo - IGEO'!AZ6</f>
        <v>1</v>
      </c>
      <c r="BQ6" s="893">
        <f t="shared" si="33"/>
        <v>7.1428571428571425E-2</v>
      </c>
      <c r="BR6" s="892">
        <f>'RRT - Subgrupo - IGEO'!BB6</f>
        <v>8</v>
      </c>
      <c r="BS6" s="895">
        <f t="shared" si="34"/>
        <v>0.66666666666666663</v>
      </c>
      <c r="BT6" s="892">
        <f>'RRT - Subgrupo - IGEO'!BC6</f>
        <v>4</v>
      </c>
      <c r="BU6" s="893">
        <f t="shared" si="35"/>
        <v>0.33333333333333331</v>
      </c>
      <c r="BV6" s="892">
        <f>'RRT - Subgrupo - IGEO'!BE6</f>
        <v>26</v>
      </c>
      <c r="BW6" s="895">
        <f t="shared" si="36"/>
        <v>0.9285714285714286</v>
      </c>
      <c r="BX6" s="892">
        <f>'RRT - Subgrupo - IGEO'!BF6</f>
        <v>2</v>
      </c>
      <c r="BY6" s="893">
        <f t="shared" si="37"/>
        <v>7.1428571428571425E-2</v>
      </c>
      <c r="BZ6" s="892">
        <f>'RRT - Subgrupo - IGEO'!BH6</f>
        <v>1</v>
      </c>
      <c r="CA6" s="895">
        <f t="shared" si="38"/>
        <v>1</v>
      </c>
      <c r="CB6" s="892">
        <f>'RRT - Subgrupo - IGEO'!BI6</f>
        <v>0</v>
      </c>
      <c r="CC6" s="893">
        <f t="shared" si="39"/>
        <v>0</v>
      </c>
      <c r="CD6" s="892">
        <f>'RRT - Subgrupo - IGEO'!BK6</f>
        <v>2</v>
      </c>
      <c r="CE6" s="895">
        <f t="shared" si="40"/>
        <v>0.4</v>
      </c>
      <c r="CF6" s="892">
        <f>'RRT - Subgrupo - IGEO'!BL6</f>
        <v>3</v>
      </c>
      <c r="CG6" s="893">
        <f t="shared" si="41"/>
        <v>0.6</v>
      </c>
      <c r="CH6" s="896">
        <f>'RRT - Subgrupo - IGEO'!BN6</f>
        <v>1</v>
      </c>
      <c r="CI6" s="895">
        <f t="shared" si="42"/>
        <v>0.5</v>
      </c>
      <c r="CJ6" s="896">
        <f>'RRT - Subgrupo - IGEO'!BO6</f>
        <v>1</v>
      </c>
      <c r="CK6" s="893">
        <f t="shared" si="43"/>
        <v>0.5</v>
      </c>
      <c r="CL6" s="896">
        <f>'RRT - Subgrupo - IGEO'!BQ6</f>
        <v>2</v>
      </c>
      <c r="CM6" s="895">
        <f t="shared" si="44"/>
        <v>0.33333333333333331</v>
      </c>
      <c r="CN6" s="896">
        <f>'RRT - Subgrupo - IGEO'!BR6</f>
        <v>4</v>
      </c>
      <c r="CO6" s="893">
        <f t="shared" si="45"/>
        <v>0.66666666666666663</v>
      </c>
      <c r="CP6" s="896">
        <f>'RRT - Subgrupo - IGEO'!BT6</f>
        <v>1</v>
      </c>
      <c r="CQ6" s="895">
        <f t="shared" si="88"/>
        <v>0.5</v>
      </c>
      <c r="CR6" s="896">
        <f>'RRT - Subgrupo - IGEO'!BU6</f>
        <v>1</v>
      </c>
      <c r="CS6" s="893">
        <f t="shared" si="89"/>
        <v>0.5</v>
      </c>
      <c r="CT6" s="896">
        <f>'RRT - Subgrupo - IGEO'!BW6</f>
        <v>2</v>
      </c>
      <c r="CU6" s="895">
        <f t="shared" si="46"/>
        <v>1</v>
      </c>
      <c r="CV6" s="896">
        <f>'RRT - Subgrupo - IGEO'!BX6</f>
        <v>0</v>
      </c>
      <c r="CW6" s="893">
        <f t="shared" si="47"/>
        <v>0</v>
      </c>
      <c r="CX6" s="896">
        <f>'RRT - Subgrupo - IGEO'!BZ6</f>
        <v>94</v>
      </c>
      <c r="CY6" s="895">
        <f t="shared" si="48"/>
        <v>0.81739130434782614</v>
      </c>
      <c r="CZ6" s="896">
        <f>'RRT - Subgrupo - IGEO'!CA6</f>
        <v>21</v>
      </c>
      <c r="DA6" s="893">
        <f t="shared" si="49"/>
        <v>0.18260869565217391</v>
      </c>
      <c r="DB6" s="896">
        <f>'RRT - Subgrupo - IGEO'!CC6</f>
        <v>54</v>
      </c>
      <c r="DC6" s="895">
        <f t="shared" si="50"/>
        <v>0.73972602739726023</v>
      </c>
      <c r="DD6" s="896">
        <f>'RRT - Subgrupo - IGEO'!CD6</f>
        <v>19</v>
      </c>
      <c r="DE6" s="893">
        <f t="shared" si="51"/>
        <v>0.26027397260273971</v>
      </c>
      <c r="DF6" s="892">
        <f>'RRT - Subgrupo - IGEO'!CF6</f>
        <v>9</v>
      </c>
      <c r="DG6" s="895">
        <f t="shared" si="52"/>
        <v>0.81818181818181823</v>
      </c>
      <c r="DH6" s="892">
        <f>'RRT - Subgrupo - IGEO'!CG6</f>
        <v>2</v>
      </c>
      <c r="DI6" s="893">
        <f t="shared" si="53"/>
        <v>0.18181818181818182</v>
      </c>
      <c r="DJ6" s="892">
        <f>'RRT - Subgrupo - IGEO'!CI6</f>
        <v>41</v>
      </c>
      <c r="DK6" s="895">
        <f t="shared" si="54"/>
        <v>0.66129032258064513</v>
      </c>
      <c r="DL6" s="892">
        <f>'RRT - Subgrupo - IGEO'!CJ6</f>
        <v>21</v>
      </c>
      <c r="DM6" s="893">
        <f t="shared" si="55"/>
        <v>0.33870967741935482</v>
      </c>
      <c r="DN6" s="892"/>
      <c r="DO6" s="895"/>
      <c r="DP6" s="892"/>
      <c r="DQ6" s="893"/>
      <c r="DR6" s="892"/>
      <c r="DS6" s="895"/>
      <c r="DT6" s="892"/>
      <c r="DU6" s="893"/>
      <c r="DV6" s="892"/>
      <c r="DW6" s="895"/>
      <c r="DX6" s="892"/>
      <c r="DY6" s="893"/>
      <c r="DZ6" s="892">
        <f>'RRT - Subgrupo - IGEO'!CU6</f>
        <v>1</v>
      </c>
      <c r="EA6" s="895">
        <f t="shared" si="60"/>
        <v>0.5</v>
      </c>
      <c r="EB6" s="892">
        <f>'RRT - Subgrupo - IGEO'!CV6</f>
        <v>1</v>
      </c>
      <c r="EC6" s="893">
        <f t="shared" si="61"/>
        <v>0.5</v>
      </c>
      <c r="ED6" s="892">
        <f>'RRT - Subgrupo - IGEO'!CX6</f>
        <v>1</v>
      </c>
      <c r="EE6" s="895">
        <f t="shared" si="62"/>
        <v>0.33333333333333331</v>
      </c>
      <c r="EF6" s="892">
        <f>'RRT - Subgrupo - IGEO'!CY6</f>
        <v>2</v>
      </c>
      <c r="EG6" s="893">
        <f t="shared" si="63"/>
        <v>0.66666666666666663</v>
      </c>
      <c r="EH6" s="892">
        <f>'RRT - Subgrupo - IGEO'!DA6</f>
        <v>7</v>
      </c>
      <c r="EI6" s="895">
        <f t="shared" si="64"/>
        <v>0.7</v>
      </c>
      <c r="EJ6" s="892">
        <f>'RRT - Subgrupo - IGEO'!DB6</f>
        <v>3</v>
      </c>
      <c r="EK6" s="893">
        <f t="shared" si="65"/>
        <v>0.3</v>
      </c>
      <c r="EL6" s="897"/>
      <c r="EM6" s="895"/>
      <c r="EN6" s="897"/>
      <c r="EO6" s="893"/>
      <c r="EP6" s="897">
        <f>'RRT - Subgrupo - IGEO'!DG6</f>
        <v>6</v>
      </c>
      <c r="EQ6" s="895">
        <f t="shared" si="68"/>
        <v>0.46153846153846156</v>
      </c>
      <c r="ER6" s="897">
        <f>'RRT - Subgrupo - IGEO'!DH6</f>
        <v>7</v>
      </c>
      <c r="ES6" s="893">
        <f t="shared" si="69"/>
        <v>0.53846153846153844</v>
      </c>
      <c r="ET6" s="897">
        <f>'RRT - Subgrupo - IGEO'!DJ6</f>
        <v>7</v>
      </c>
      <c r="EU6" s="895">
        <f t="shared" si="70"/>
        <v>0.77777777777777779</v>
      </c>
      <c r="EV6" s="897">
        <f>'RRT - Subgrupo - IGEO'!DK6</f>
        <v>2</v>
      </c>
      <c r="EW6" s="893">
        <f t="shared" si="71"/>
        <v>0.22222222222222221</v>
      </c>
      <c r="EX6" s="897">
        <f>'RRT - Subgrupo - IGEO'!DM6</f>
        <v>3</v>
      </c>
      <c r="EY6" s="895">
        <f t="shared" si="72"/>
        <v>0.6</v>
      </c>
      <c r="EZ6" s="897">
        <f>'RRT - Subgrupo - IGEO'!DN6</f>
        <v>2</v>
      </c>
      <c r="FA6" s="893">
        <f t="shared" si="73"/>
        <v>0.4</v>
      </c>
      <c r="FB6" s="897"/>
      <c r="FC6" s="895"/>
      <c r="FD6" s="897"/>
      <c r="FE6" s="893"/>
      <c r="FF6" s="897"/>
      <c r="FG6" s="895"/>
      <c r="FH6" s="897"/>
      <c r="FI6" s="893"/>
      <c r="FJ6" s="897">
        <f>'RRT - Subgrupo - IGEO'!DV6</f>
        <v>0</v>
      </c>
      <c r="FK6" s="895">
        <f t="shared" si="74"/>
        <v>0</v>
      </c>
      <c r="FL6" s="897">
        <f>'RRT - Subgrupo - IGEO'!DW6</f>
        <v>5</v>
      </c>
      <c r="FM6" s="893">
        <f t="shared" si="75"/>
        <v>1</v>
      </c>
      <c r="FN6" s="897"/>
      <c r="FO6" s="895"/>
      <c r="FP6" s="897"/>
      <c r="FQ6" s="893"/>
      <c r="FR6" s="892"/>
      <c r="FS6" s="895"/>
      <c r="FT6" s="892"/>
      <c r="FU6" s="893"/>
      <c r="FV6" s="892"/>
      <c r="FW6" s="895"/>
      <c r="FX6" s="892"/>
      <c r="FY6" s="893"/>
      <c r="FZ6" s="892">
        <f>'RRT - Subgrupo - IGEO'!EH6</f>
        <v>2</v>
      </c>
      <c r="GA6" s="895">
        <f t="shared" si="80"/>
        <v>1</v>
      </c>
      <c r="GB6" s="892">
        <f>'RRT - Subgrupo - IGEO'!EI6</f>
        <v>0</v>
      </c>
      <c r="GC6" s="893">
        <f t="shared" si="81"/>
        <v>0</v>
      </c>
      <c r="GD6" s="892">
        <f>'RRT - Subgrupo - IGEO'!EK6</f>
        <v>5</v>
      </c>
      <c r="GE6" s="895">
        <f t="shared" si="82"/>
        <v>1</v>
      </c>
      <c r="GF6" s="892">
        <f>'RRT - Subgrupo - IGEO'!EL6</f>
        <v>0</v>
      </c>
      <c r="GG6" s="893">
        <f t="shared" si="83"/>
        <v>0</v>
      </c>
      <c r="GH6" s="892"/>
      <c r="GI6" s="895"/>
      <c r="GJ6" s="892"/>
      <c r="GK6" s="893"/>
      <c r="GL6" s="892"/>
      <c r="GM6" s="895"/>
      <c r="GN6" s="892"/>
      <c r="GO6" s="893"/>
      <c r="GP6" s="892"/>
      <c r="GQ6" s="895"/>
      <c r="GR6" s="892"/>
      <c r="GS6" s="893"/>
      <c r="GT6" s="892">
        <f>'RRT - Subgrupo - IGEO'!EW6</f>
        <v>1</v>
      </c>
      <c r="GU6" s="895">
        <f t="shared" si="94"/>
        <v>1</v>
      </c>
      <c r="GV6" s="892">
        <f>'RRT - Subgrupo - IGEO'!EX6</f>
        <v>0</v>
      </c>
      <c r="GW6" s="893">
        <f t="shared" si="95"/>
        <v>0</v>
      </c>
      <c r="GX6" s="892">
        <f>'RRT - Subgrupo - IGEO'!EZ6</f>
        <v>7</v>
      </c>
      <c r="GY6" s="895">
        <f t="shared" si="84"/>
        <v>1</v>
      </c>
      <c r="GZ6" s="892">
        <f>'RRT - Subgrupo - IGEO'!FA6</f>
        <v>0</v>
      </c>
      <c r="HA6" s="893">
        <f t="shared" si="85"/>
        <v>0</v>
      </c>
      <c r="HB6" s="892">
        <f>'RRT - Subgrupo - IGEO'!FC6</f>
        <v>2</v>
      </c>
      <c r="HC6" s="895">
        <f t="shared" si="86"/>
        <v>0.5</v>
      </c>
      <c r="HD6" s="892">
        <f>'RRT - Subgrupo - IGEO'!FD6</f>
        <v>2</v>
      </c>
      <c r="HE6" s="893">
        <f t="shared" si="87"/>
        <v>0.5</v>
      </c>
      <c r="HF6" s="898"/>
    </row>
    <row r="7" spans="1:214" s="876" customFormat="1" ht="18.75">
      <c r="A7" s="891" t="s">
        <v>91</v>
      </c>
      <c r="B7" s="892">
        <f>'RRT - Subgrupo - IGEO'!C7</f>
        <v>4735</v>
      </c>
      <c r="C7" s="893">
        <f t="shared" si="0"/>
        <v>0.53023516237402013</v>
      </c>
      <c r="D7" s="892">
        <f>'RRT - Subgrupo - IGEO'!D7</f>
        <v>4195</v>
      </c>
      <c r="E7" s="893">
        <f t="shared" si="1"/>
        <v>0.46976483762597987</v>
      </c>
      <c r="F7" s="894">
        <f>'RRT - Subgrupo - IGEO'!F7</f>
        <v>653</v>
      </c>
      <c r="G7" s="893">
        <f t="shared" si="2"/>
        <v>0.64461994076999007</v>
      </c>
      <c r="H7" s="892">
        <f>'RRT - Subgrupo - IGEO'!G7</f>
        <v>360</v>
      </c>
      <c r="I7" s="893">
        <f t="shared" si="3"/>
        <v>0.35538005923000987</v>
      </c>
      <c r="J7" s="892">
        <f>'RRT - Subgrupo - IGEO'!I7</f>
        <v>108</v>
      </c>
      <c r="K7" s="895">
        <f t="shared" si="4"/>
        <v>0.43548387096774194</v>
      </c>
      <c r="L7" s="892">
        <f>'RRT - Subgrupo - IGEO'!J7</f>
        <v>140</v>
      </c>
      <c r="M7" s="893">
        <f t="shared" si="5"/>
        <v>0.56451612903225812</v>
      </c>
      <c r="N7" s="896">
        <f>'RRT - Subgrupo - IGEO'!L7</f>
        <v>344</v>
      </c>
      <c r="O7" s="895">
        <f t="shared" si="6"/>
        <v>0.31215970961887479</v>
      </c>
      <c r="P7" s="892">
        <f>'RRT - Subgrupo - IGEO'!P7</f>
        <v>758</v>
      </c>
      <c r="Q7" s="893">
        <f t="shared" si="7"/>
        <v>0.68784029038112526</v>
      </c>
      <c r="R7" s="892">
        <f>'RRT - Subgrupo - IGEO'!O7</f>
        <v>1192</v>
      </c>
      <c r="S7" s="895">
        <f t="shared" si="8"/>
        <v>0.61128205128205126</v>
      </c>
      <c r="T7" s="892">
        <f>'RRT - Subgrupo - IGEO'!P7</f>
        <v>758</v>
      </c>
      <c r="U7" s="893">
        <f t="shared" si="9"/>
        <v>0.38871794871794874</v>
      </c>
      <c r="V7" s="892">
        <f>'RRT - Subgrupo - IGEO'!R7</f>
        <v>113</v>
      </c>
      <c r="W7" s="895">
        <f t="shared" si="10"/>
        <v>0.62430939226519333</v>
      </c>
      <c r="X7" s="896">
        <f>'RRT - Subgrupo - IGEO'!S7</f>
        <v>68</v>
      </c>
      <c r="Y7" s="893">
        <f t="shared" si="11"/>
        <v>0.37569060773480661</v>
      </c>
      <c r="Z7" s="892">
        <f>'RRT - Subgrupo - IGEO'!U7</f>
        <v>465</v>
      </c>
      <c r="AA7" s="895">
        <f t="shared" si="12"/>
        <v>0.57478368355995058</v>
      </c>
      <c r="AB7" s="892">
        <f>'RRT - Subgrupo - IGEO'!V7</f>
        <v>344</v>
      </c>
      <c r="AC7" s="893">
        <f t="shared" si="13"/>
        <v>0.42521631644004942</v>
      </c>
      <c r="AD7" s="892">
        <f>'RRT - Subgrupo - IGEO'!X7</f>
        <v>699</v>
      </c>
      <c r="AE7" s="895">
        <f t="shared" si="14"/>
        <v>0.61803713527851456</v>
      </c>
      <c r="AF7" s="892">
        <f>'RRT - Subgrupo - IGEO'!Y7</f>
        <v>432</v>
      </c>
      <c r="AG7" s="893">
        <f t="shared" si="15"/>
        <v>0.38196286472148538</v>
      </c>
      <c r="AH7" s="892">
        <f>'RRT - Subgrupo - IGEO'!AA7</f>
        <v>99</v>
      </c>
      <c r="AI7" s="895">
        <f t="shared" si="16"/>
        <v>0.62658227848101267</v>
      </c>
      <c r="AJ7" s="892">
        <f>'RRT - Subgrupo - IGEO'!AB7</f>
        <v>59</v>
      </c>
      <c r="AK7" s="893">
        <f t="shared" si="17"/>
        <v>0.37341772151898733</v>
      </c>
      <c r="AL7" s="892">
        <f>'RRT - Subgrupo - IGEO'!AD7</f>
        <v>194</v>
      </c>
      <c r="AM7" s="895">
        <f t="shared" si="18"/>
        <v>0.68070175438596492</v>
      </c>
      <c r="AN7" s="892">
        <f>'RRT - Subgrupo - IGEO'!AE7</f>
        <v>91</v>
      </c>
      <c r="AO7" s="893">
        <f t="shared" si="19"/>
        <v>0.31929824561403508</v>
      </c>
      <c r="AP7" s="896">
        <f>'RRT - Subgrupo - IGEO'!AG7</f>
        <v>24</v>
      </c>
      <c r="AQ7" s="895">
        <f t="shared" si="20"/>
        <v>0.75</v>
      </c>
      <c r="AR7" s="892">
        <f>'RRT - Subgrupo - IGEO'!AH7</f>
        <v>8</v>
      </c>
      <c r="AS7" s="893">
        <f t="shared" si="21"/>
        <v>0.25</v>
      </c>
      <c r="AT7" s="892">
        <f>'RRT - Subgrupo - IGEO'!AJ7</f>
        <v>1990</v>
      </c>
      <c r="AU7" s="895">
        <f t="shared" si="22"/>
        <v>0.57916181606519213</v>
      </c>
      <c r="AV7" s="892">
        <f>'RRT - Subgrupo - IGEO'!AK7</f>
        <v>1446</v>
      </c>
      <c r="AW7" s="893">
        <f t="shared" si="23"/>
        <v>0.42083818393480793</v>
      </c>
      <c r="AX7" s="892">
        <f>'RRT - Subgrupo - IGEO'!AM7</f>
        <v>597</v>
      </c>
      <c r="AY7" s="895">
        <f t="shared" si="24"/>
        <v>0.63782051282051277</v>
      </c>
      <c r="AZ7" s="892">
        <f>'RRT - Subgrupo - IGEO'!AN7</f>
        <v>339</v>
      </c>
      <c r="BA7" s="893">
        <f t="shared" si="25"/>
        <v>0.36217948717948717</v>
      </c>
      <c r="BB7" s="892">
        <f>'RRT - Subgrupo - IGEO'!AP7</f>
        <v>73</v>
      </c>
      <c r="BC7" s="895">
        <f t="shared" si="26"/>
        <v>0.70192307692307687</v>
      </c>
      <c r="BD7" s="892">
        <f>'RRT - Subgrupo - IGEO'!AQ7</f>
        <v>31</v>
      </c>
      <c r="BE7" s="893">
        <f t="shared" si="27"/>
        <v>0.29807692307692307</v>
      </c>
      <c r="BF7" s="892">
        <f>'RRT - Subgrupo - IGEO'!AS7</f>
        <v>139</v>
      </c>
      <c r="BG7" s="895">
        <f t="shared" si="28"/>
        <v>0.40057636887608067</v>
      </c>
      <c r="BH7" s="892">
        <f>'RRT - Subgrupo - IGEO'!AT7</f>
        <v>208</v>
      </c>
      <c r="BI7" s="893">
        <f t="shared" si="29"/>
        <v>0.59942363112391928</v>
      </c>
      <c r="BJ7" s="892">
        <f>'RRT - Subgrupo - IGEO'!AV7</f>
        <v>777</v>
      </c>
      <c r="BK7" s="895">
        <f t="shared" si="30"/>
        <v>0.59585889570552142</v>
      </c>
      <c r="BL7" s="892">
        <f>'RRT - Subgrupo - IGEO'!AW7</f>
        <v>527</v>
      </c>
      <c r="BM7" s="893">
        <f t="shared" si="31"/>
        <v>0.40414110429447853</v>
      </c>
      <c r="BN7" s="892">
        <f>'RRT - Subgrupo - IGEO'!AY7</f>
        <v>17</v>
      </c>
      <c r="BO7" s="895">
        <f t="shared" si="32"/>
        <v>0.73913043478260865</v>
      </c>
      <c r="BP7" s="892">
        <f>'RRT - Subgrupo - IGEO'!AZ7</f>
        <v>6</v>
      </c>
      <c r="BQ7" s="893">
        <f t="shared" si="33"/>
        <v>0.2608695652173913</v>
      </c>
      <c r="BR7" s="892">
        <f>'RRT - Subgrupo - IGEO'!BB7</f>
        <v>33</v>
      </c>
      <c r="BS7" s="895">
        <f t="shared" si="34"/>
        <v>0.73333333333333328</v>
      </c>
      <c r="BT7" s="892">
        <f>'RRT - Subgrupo - IGEO'!BC7</f>
        <v>12</v>
      </c>
      <c r="BU7" s="893">
        <f t="shared" si="35"/>
        <v>0.26666666666666666</v>
      </c>
      <c r="BV7" s="892">
        <f>'RRT - Subgrupo - IGEO'!BE7</f>
        <v>35</v>
      </c>
      <c r="BW7" s="895">
        <f t="shared" si="36"/>
        <v>0.7142857142857143</v>
      </c>
      <c r="BX7" s="892">
        <f>'RRT - Subgrupo - IGEO'!BF7</f>
        <v>14</v>
      </c>
      <c r="BY7" s="893">
        <f t="shared" si="37"/>
        <v>0.2857142857142857</v>
      </c>
      <c r="BZ7" s="892">
        <f>'RRT - Subgrupo - IGEO'!BH7</f>
        <v>8</v>
      </c>
      <c r="CA7" s="895">
        <f t="shared" si="38"/>
        <v>0.53333333333333333</v>
      </c>
      <c r="CB7" s="892">
        <f>'RRT - Subgrupo - IGEO'!BI7</f>
        <v>7</v>
      </c>
      <c r="CC7" s="893">
        <f t="shared" si="39"/>
        <v>0.46666666666666667</v>
      </c>
      <c r="CD7" s="892">
        <f>'RRT - Subgrupo - IGEO'!BK7</f>
        <v>87</v>
      </c>
      <c r="CE7" s="895">
        <f t="shared" si="40"/>
        <v>0.67441860465116277</v>
      </c>
      <c r="CF7" s="892">
        <f>'RRT - Subgrupo - IGEO'!BL7</f>
        <v>42</v>
      </c>
      <c r="CG7" s="893">
        <f t="shared" si="41"/>
        <v>0.32558139534883723</v>
      </c>
      <c r="CH7" s="896">
        <f>'RRT - Subgrupo - IGEO'!BN7</f>
        <v>15</v>
      </c>
      <c r="CI7" s="895">
        <f t="shared" si="42"/>
        <v>0.51724137931034486</v>
      </c>
      <c r="CJ7" s="896">
        <f>'RRT - Subgrupo - IGEO'!BO7</f>
        <v>14</v>
      </c>
      <c r="CK7" s="893">
        <f t="shared" si="43"/>
        <v>0.48275862068965519</v>
      </c>
      <c r="CL7" s="896">
        <f>'RRT - Subgrupo - IGEO'!BQ7</f>
        <v>5</v>
      </c>
      <c r="CM7" s="895">
        <f t="shared" si="44"/>
        <v>0.83333333333333337</v>
      </c>
      <c r="CN7" s="896">
        <f>'RRT - Subgrupo - IGEO'!BR7</f>
        <v>1</v>
      </c>
      <c r="CO7" s="893">
        <f t="shared" si="45"/>
        <v>0.16666666666666666</v>
      </c>
      <c r="CP7" s="896">
        <f>'RRT - Subgrupo - IGEO'!BT7</f>
        <v>16</v>
      </c>
      <c r="CQ7" s="895">
        <f t="shared" si="88"/>
        <v>0.43243243243243246</v>
      </c>
      <c r="CR7" s="896">
        <f>'RRT - Subgrupo - IGEO'!BU7</f>
        <v>21</v>
      </c>
      <c r="CS7" s="893">
        <f t="shared" si="89"/>
        <v>0.56756756756756754</v>
      </c>
      <c r="CT7" s="896">
        <f>'RRT - Subgrupo - IGEO'!BW7</f>
        <v>62</v>
      </c>
      <c r="CU7" s="895">
        <f t="shared" si="46"/>
        <v>0.79487179487179482</v>
      </c>
      <c r="CV7" s="896">
        <f>'RRT - Subgrupo - IGEO'!BX7</f>
        <v>16</v>
      </c>
      <c r="CW7" s="893">
        <f t="shared" si="47"/>
        <v>0.20512820512820512</v>
      </c>
      <c r="CX7" s="896">
        <f>'RRT - Subgrupo - IGEO'!BZ7</f>
        <v>89</v>
      </c>
      <c r="CY7" s="895">
        <f t="shared" si="48"/>
        <v>0.61379310344827587</v>
      </c>
      <c r="CZ7" s="896">
        <f>'RRT - Subgrupo - IGEO'!CA7</f>
        <v>56</v>
      </c>
      <c r="DA7" s="893">
        <f t="shared" si="49"/>
        <v>0.38620689655172413</v>
      </c>
      <c r="DB7" s="896">
        <f>'RRT - Subgrupo - IGEO'!CC7</f>
        <v>60</v>
      </c>
      <c r="DC7" s="895">
        <f t="shared" si="50"/>
        <v>0.44117647058823528</v>
      </c>
      <c r="DD7" s="896">
        <f>'RRT - Subgrupo - IGEO'!CD7</f>
        <v>76</v>
      </c>
      <c r="DE7" s="893">
        <f t="shared" si="51"/>
        <v>0.55882352941176472</v>
      </c>
      <c r="DF7" s="892">
        <f>'RRT - Subgrupo - IGEO'!CF7</f>
        <v>105</v>
      </c>
      <c r="DG7" s="895">
        <f t="shared" si="52"/>
        <v>0.66878980891719741</v>
      </c>
      <c r="DH7" s="892">
        <f>'RRT - Subgrupo - IGEO'!CG7</f>
        <v>52</v>
      </c>
      <c r="DI7" s="893">
        <f t="shared" si="53"/>
        <v>0.33121019108280253</v>
      </c>
      <c r="DJ7" s="892">
        <f>'RRT - Subgrupo - IGEO'!CI7</f>
        <v>84</v>
      </c>
      <c r="DK7" s="895">
        <f t="shared" si="54"/>
        <v>0.61764705882352944</v>
      </c>
      <c r="DL7" s="892">
        <f>'RRT - Subgrupo - IGEO'!CJ7</f>
        <v>52</v>
      </c>
      <c r="DM7" s="893">
        <f t="shared" si="55"/>
        <v>0.38235294117647056</v>
      </c>
      <c r="DN7" s="892">
        <f>'RRT - Subgrupo - IGEO'!CL7</f>
        <v>6</v>
      </c>
      <c r="DO7" s="895">
        <f t="shared" si="90"/>
        <v>0.6</v>
      </c>
      <c r="DP7" s="892">
        <f>'RRT - Subgrupo - IGEO'!CM7</f>
        <v>4</v>
      </c>
      <c r="DQ7" s="893">
        <f t="shared" si="91"/>
        <v>0.4</v>
      </c>
      <c r="DR7" s="892">
        <f>'RRT - Subgrupo - IGEO'!CO7</f>
        <v>3</v>
      </c>
      <c r="DS7" s="895">
        <f t="shared" si="56"/>
        <v>0.23076923076923078</v>
      </c>
      <c r="DT7" s="892">
        <f>'RRT - Subgrupo - IGEO'!CP7</f>
        <v>10</v>
      </c>
      <c r="DU7" s="893">
        <f t="shared" si="57"/>
        <v>0.76923076923076927</v>
      </c>
      <c r="DV7" s="892">
        <f>'RRT - Subgrupo - IGEO'!CR7</f>
        <v>17</v>
      </c>
      <c r="DW7" s="895">
        <f t="shared" si="58"/>
        <v>0.62962962962962965</v>
      </c>
      <c r="DX7" s="892">
        <f>'RRT - Subgrupo - IGEO'!CS7</f>
        <v>10</v>
      </c>
      <c r="DY7" s="893">
        <f t="shared" si="59"/>
        <v>0.37037037037037035</v>
      </c>
      <c r="DZ7" s="892">
        <f>'RRT - Subgrupo - IGEO'!CU7</f>
        <v>43</v>
      </c>
      <c r="EA7" s="895">
        <f t="shared" si="60"/>
        <v>0.46236559139784944</v>
      </c>
      <c r="EB7" s="892">
        <f>'RRT - Subgrupo - IGEO'!CV7</f>
        <v>50</v>
      </c>
      <c r="EC7" s="893">
        <f t="shared" si="61"/>
        <v>0.5376344086021505</v>
      </c>
      <c r="ED7" s="892">
        <f>'RRT - Subgrupo - IGEO'!CX7</f>
        <v>24</v>
      </c>
      <c r="EE7" s="895">
        <f t="shared" si="62"/>
        <v>0.47058823529411764</v>
      </c>
      <c r="EF7" s="892">
        <f>'RRT - Subgrupo - IGEO'!CY7</f>
        <v>27</v>
      </c>
      <c r="EG7" s="893">
        <f t="shared" si="63"/>
        <v>0.52941176470588236</v>
      </c>
      <c r="EH7" s="892">
        <f>'RRT - Subgrupo - IGEO'!DA7</f>
        <v>147</v>
      </c>
      <c r="EI7" s="895">
        <f t="shared" si="64"/>
        <v>0.550561797752809</v>
      </c>
      <c r="EJ7" s="892">
        <f>'RRT - Subgrupo - IGEO'!DB7</f>
        <v>120</v>
      </c>
      <c r="EK7" s="893">
        <f t="shared" si="65"/>
        <v>0.449438202247191</v>
      </c>
      <c r="EL7" s="897">
        <f>'RRT - Subgrupo - IGEO'!DD7</f>
        <v>7</v>
      </c>
      <c r="EM7" s="895">
        <f t="shared" si="66"/>
        <v>0.46666666666666667</v>
      </c>
      <c r="EN7" s="897">
        <f>'RRT - Subgrupo - IGEO'!DE7</f>
        <v>8</v>
      </c>
      <c r="EO7" s="893">
        <f t="shared" si="67"/>
        <v>0.53333333333333333</v>
      </c>
      <c r="EP7" s="897">
        <f>'RRT - Subgrupo - IGEO'!DG7</f>
        <v>79</v>
      </c>
      <c r="EQ7" s="895">
        <f t="shared" si="68"/>
        <v>0.34347826086956523</v>
      </c>
      <c r="ER7" s="897">
        <f>'RRT - Subgrupo - IGEO'!DH7</f>
        <v>151</v>
      </c>
      <c r="ES7" s="893">
        <f t="shared" si="69"/>
        <v>0.65652173913043477</v>
      </c>
      <c r="ET7" s="897">
        <f>'RRT - Subgrupo - IGEO'!DJ7</f>
        <v>270</v>
      </c>
      <c r="EU7" s="895">
        <f t="shared" si="70"/>
        <v>0.53359683794466406</v>
      </c>
      <c r="EV7" s="897">
        <f>'RRT - Subgrupo - IGEO'!DK7</f>
        <v>236</v>
      </c>
      <c r="EW7" s="893">
        <f t="shared" si="71"/>
        <v>0.466403162055336</v>
      </c>
      <c r="EX7" s="897">
        <f>'RRT - Subgrupo - IGEO'!DM7</f>
        <v>24</v>
      </c>
      <c r="EY7" s="895">
        <f t="shared" si="72"/>
        <v>0.42105263157894735</v>
      </c>
      <c r="EZ7" s="897">
        <f>'RRT - Subgrupo - IGEO'!DN7</f>
        <v>33</v>
      </c>
      <c r="FA7" s="893">
        <f t="shared" si="73"/>
        <v>0.57894736842105265</v>
      </c>
      <c r="FB7" s="897"/>
      <c r="FC7" s="895"/>
      <c r="FD7" s="897"/>
      <c r="FE7" s="893"/>
      <c r="FF7" s="897">
        <f>'RRT - Subgrupo - IGEO'!DS7</f>
        <v>2</v>
      </c>
      <c r="FG7" s="895">
        <f t="shared" ref="FG7:FG26" si="100">IFERROR(FF7/(FF7+FH7),0)</f>
        <v>1</v>
      </c>
      <c r="FH7" s="897">
        <f>'RRT - Subgrupo - IGEO'!DT7</f>
        <v>0</v>
      </c>
      <c r="FI7" s="893">
        <f t="shared" ref="FI7:FI26" si="101">IFERROR(FH7/(FH7+FF7),0)</f>
        <v>0</v>
      </c>
      <c r="FJ7" s="897">
        <f>'RRT - Subgrupo - IGEO'!DV7</f>
        <v>73</v>
      </c>
      <c r="FK7" s="895">
        <f t="shared" si="74"/>
        <v>0.63478260869565217</v>
      </c>
      <c r="FL7" s="897">
        <f>'RRT - Subgrupo - IGEO'!DW7</f>
        <v>42</v>
      </c>
      <c r="FM7" s="893">
        <f t="shared" si="75"/>
        <v>0.36521739130434783</v>
      </c>
      <c r="FN7" s="897">
        <f>'RRT - Subgrupo - IGEO'!DY7</f>
        <v>7</v>
      </c>
      <c r="FO7" s="895">
        <f t="shared" si="76"/>
        <v>0.875</v>
      </c>
      <c r="FP7" s="897">
        <f>'RRT - Subgrupo - IGEO'!DZ7</f>
        <v>1</v>
      </c>
      <c r="FQ7" s="893">
        <f t="shared" si="77"/>
        <v>0.125</v>
      </c>
      <c r="FR7" s="892">
        <f>'RRT - Subgrupo - IGEO'!EB7</f>
        <v>2</v>
      </c>
      <c r="FS7" s="895">
        <f t="shared" si="78"/>
        <v>0.66666666666666663</v>
      </c>
      <c r="FT7" s="892">
        <f>'RRT - Subgrupo - IGEO'!DZ7</f>
        <v>1</v>
      </c>
      <c r="FU7" s="893">
        <f t="shared" si="79"/>
        <v>0.33333333333333331</v>
      </c>
      <c r="FV7" s="892">
        <f>'RRT - Subgrupo - IGEO'!EE7</f>
        <v>0</v>
      </c>
      <c r="FW7" s="895">
        <f t="shared" ref="FW7:FW26" si="102">IFERROR(FV7/(FV7+FX7),0)</f>
        <v>0</v>
      </c>
      <c r="FX7" s="892">
        <f>'RRT - Subgrupo - IGEO'!EF7</f>
        <v>10</v>
      </c>
      <c r="FY7" s="893">
        <f t="shared" ref="FY7:FY26" si="103">IFERROR(FX7/(FX7+FV7),0)</f>
        <v>1</v>
      </c>
      <c r="FZ7" s="892">
        <f>'RRT - Subgrupo - IGEO'!EH7</f>
        <v>12</v>
      </c>
      <c r="GA7" s="895">
        <f t="shared" si="80"/>
        <v>0.54545454545454541</v>
      </c>
      <c r="GB7" s="892">
        <f>'RRT - Subgrupo - IGEO'!EI7</f>
        <v>10</v>
      </c>
      <c r="GC7" s="893">
        <f t="shared" si="81"/>
        <v>0.45454545454545453</v>
      </c>
      <c r="GD7" s="892">
        <f>'RRT - Subgrupo - IGEO'!EK7</f>
        <v>32</v>
      </c>
      <c r="GE7" s="895">
        <f t="shared" si="82"/>
        <v>0.36363636363636365</v>
      </c>
      <c r="GF7" s="892">
        <f>'RRT - Subgrupo - IGEO'!EL7</f>
        <v>56</v>
      </c>
      <c r="GG7" s="893">
        <f t="shared" si="83"/>
        <v>0.63636363636363635</v>
      </c>
      <c r="GH7" s="892">
        <f>'RRT - Subgrupo - IGEO'!EN7</f>
        <v>9</v>
      </c>
      <c r="GI7" s="895">
        <f t="shared" si="92"/>
        <v>1</v>
      </c>
      <c r="GJ7" s="892">
        <f>'RRT - Subgrupo - IGEO'!EO7</f>
        <v>0</v>
      </c>
      <c r="GK7" s="893">
        <f t="shared" si="93"/>
        <v>0</v>
      </c>
      <c r="GL7" s="892">
        <f>'RRT - Subgrupo - IGEO'!EO7</f>
        <v>0</v>
      </c>
      <c r="GM7" s="895">
        <f t="shared" si="96"/>
        <v>0</v>
      </c>
      <c r="GN7" s="892">
        <f>'RRT - Subgrupo - IGEO'!EP7</f>
        <v>1</v>
      </c>
      <c r="GO7" s="893">
        <f t="shared" si="97"/>
        <v>1</v>
      </c>
      <c r="GP7" s="892">
        <f>'RRT - Subgrupo - IGEO'!EQ7</f>
        <v>1</v>
      </c>
      <c r="GQ7" s="895">
        <f t="shared" si="98"/>
        <v>1</v>
      </c>
      <c r="GR7" s="892">
        <f>'RRT - Subgrupo - IGEO'!ER7</f>
        <v>0</v>
      </c>
      <c r="GS7" s="893">
        <f t="shared" si="99"/>
        <v>0</v>
      </c>
      <c r="GT7" s="892">
        <f>'RRT - Subgrupo - IGEO'!EW7</f>
        <v>2</v>
      </c>
      <c r="GU7" s="895">
        <f t="shared" si="94"/>
        <v>0.33333333333333331</v>
      </c>
      <c r="GV7" s="892">
        <f>'RRT - Subgrupo - IGEO'!EX7</f>
        <v>4</v>
      </c>
      <c r="GW7" s="893">
        <f t="shared" si="95"/>
        <v>0.66666666666666663</v>
      </c>
      <c r="GX7" s="892">
        <f>'RRT - Subgrupo - IGEO'!EZ7</f>
        <v>14</v>
      </c>
      <c r="GY7" s="895">
        <f t="shared" si="84"/>
        <v>0.63636363636363635</v>
      </c>
      <c r="GZ7" s="892">
        <f>'RRT - Subgrupo - IGEO'!FA7</f>
        <v>8</v>
      </c>
      <c r="HA7" s="893">
        <f t="shared" si="85"/>
        <v>0.36363636363636365</v>
      </c>
      <c r="HB7" s="892">
        <f>'RRT - Subgrupo - IGEO'!FC7</f>
        <v>10</v>
      </c>
      <c r="HC7" s="895">
        <f t="shared" si="86"/>
        <v>0.23809523809523808</v>
      </c>
      <c r="HD7" s="892">
        <f>'RRT - Subgrupo - IGEO'!FD7</f>
        <v>32</v>
      </c>
      <c r="HE7" s="893">
        <f t="shared" si="87"/>
        <v>0.76190476190476186</v>
      </c>
      <c r="HF7" s="898"/>
    </row>
    <row r="8" spans="1:214" s="876" customFormat="1" ht="18.75">
      <c r="A8" s="891" t="s">
        <v>92</v>
      </c>
      <c r="B8" s="892">
        <f>'RRT - Subgrupo - IGEO'!C8</f>
        <v>2954</v>
      </c>
      <c r="C8" s="893">
        <f t="shared" si="0"/>
        <v>0.59056377449020392</v>
      </c>
      <c r="D8" s="892">
        <f>'RRT - Subgrupo - IGEO'!D8</f>
        <v>2048</v>
      </c>
      <c r="E8" s="893">
        <f t="shared" si="1"/>
        <v>0.40943622550979608</v>
      </c>
      <c r="F8" s="894">
        <f>'RRT - Subgrupo - IGEO'!F8</f>
        <v>865</v>
      </c>
      <c r="G8" s="893">
        <f t="shared" si="2"/>
        <v>0.73742540494458653</v>
      </c>
      <c r="H8" s="892">
        <f>'RRT - Subgrupo - IGEO'!G8</f>
        <v>308</v>
      </c>
      <c r="I8" s="893">
        <f t="shared" si="3"/>
        <v>0.26257459505541347</v>
      </c>
      <c r="J8" s="892">
        <f>'RRT - Subgrupo - IGEO'!I8</f>
        <v>117</v>
      </c>
      <c r="K8" s="895">
        <f t="shared" si="4"/>
        <v>0.51769911504424782</v>
      </c>
      <c r="L8" s="892">
        <f>'RRT - Subgrupo - IGEO'!J8</f>
        <v>109</v>
      </c>
      <c r="M8" s="893">
        <f t="shared" si="5"/>
        <v>0.48230088495575218</v>
      </c>
      <c r="N8" s="896">
        <f>'RRT - Subgrupo - IGEO'!L8</f>
        <v>355</v>
      </c>
      <c r="O8" s="895">
        <f t="shared" si="6"/>
        <v>0.31611754229741762</v>
      </c>
      <c r="P8" s="892">
        <f>'RRT - Subgrupo - IGEO'!P8</f>
        <v>768</v>
      </c>
      <c r="Q8" s="893">
        <f t="shared" si="7"/>
        <v>0.68388245770258238</v>
      </c>
      <c r="R8" s="892">
        <f>'RRT - Subgrupo - IGEO'!O8</f>
        <v>1639</v>
      </c>
      <c r="S8" s="895">
        <f t="shared" si="8"/>
        <v>0.68093061902783547</v>
      </c>
      <c r="T8" s="892">
        <f>'RRT - Subgrupo - IGEO'!P8</f>
        <v>768</v>
      </c>
      <c r="U8" s="893">
        <f t="shared" si="9"/>
        <v>0.31906938097216453</v>
      </c>
      <c r="V8" s="892">
        <f>'RRT - Subgrupo - IGEO'!R8</f>
        <v>121</v>
      </c>
      <c r="W8" s="895">
        <f t="shared" si="10"/>
        <v>0.6797752808988764</v>
      </c>
      <c r="X8" s="896">
        <f>'RRT - Subgrupo - IGEO'!S8</f>
        <v>57</v>
      </c>
      <c r="Y8" s="893">
        <f t="shared" si="11"/>
        <v>0.3202247191011236</v>
      </c>
      <c r="Z8" s="892">
        <f>'RRT - Subgrupo - IGEO'!U8</f>
        <v>359</v>
      </c>
      <c r="AA8" s="895">
        <f t="shared" si="12"/>
        <v>0.69708737864077674</v>
      </c>
      <c r="AB8" s="892">
        <f>'RRT - Subgrupo - IGEO'!V8</f>
        <v>156</v>
      </c>
      <c r="AC8" s="893">
        <f t="shared" si="13"/>
        <v>0.30291262135922331</v>
      </c>
      <c r="AD8" s="892">
        <f>'RRT - Subgrupo - IGEO'!X8</f>
        <v>390</v>
      </c>
      <c r="AE8" s="895">
        <f t="shared" si="14"/>
        <v>0.63934426229508201</v>
      </c>
      <c r="AF8" s="892">
        <f>'RRT - Subgrupo - IGEO'!Y8</f>
        <v>220</v>
      </c>
      <c r="AG8" s="893">
        <f t="shared" si="15"/>
        <v>0.36065573770491804</v>
      </c>
      <c r="AH8" s="892">
        <f>'RRT - Subgrupo - IGEO'!AA8</f>
        <v>128</v>
      </c>
      <c r="AI8" s="895">
        <f t="shared" si="16"/>
        <v>0.84210526315789469</v>
      </c>
      <c r="AJ8" s="892">
        <f>'RRT - Subgrupo - IGEO'!AB8</f>
        <v>24</v>
      </c>
      <c r="AK8" s="893">
        <f t="shared" si="17"/>
        <v>0.15789473684210525</v>
      </c>
      <c r="AL8" s="892">
        <f>'RRT - Subgrupo - IGEO'!AD8</f>
        <v>139</v>
      </c>
      <c r="AM8" s="895">
        <f t="shared" si="18"/>
        <v>0.68472906403940892</v>
      </c>
      <c r="AN8" s="892">
        <f>'RRT - Subgrupo - IGEO'!AE8</f>
        <v>64</v>
      </c>
      <c r="AO8" s="893">
        <f t="shared" si="19"/>
        <v>0.31527093596059114</v>
      </c>
      <c r="AP8" s="896">
        <f>'RRT - Subgrupo - IGEO'!AG8</f>
        <v>16</v>
      </c>
      <c r="AQ8" s="895">
        <f t="shared" si="20"/>
        <v>0.94117647058823528</v>
      </c>
      <c r="AR8" s="892">
        <f>'RRT - Subgrupo - IGEO'!AH8</f>
        <v>1</v>
      </c>
      <c r="AS8" s="893">
        <f t="shared" si="21"/>
        <v>5.8823529411764705E-2</v>
      </c>
      <c r="AT8" s="892">
        <f>'RRT - Subgrupo - IGEO'!AJ8</f>
        <v>1440</v>
      </c>
      <c r="AU8" s="895">
        <f t="shared" si="22"/>
        <v>0.66759388038942979</v>
      </c>
      <c r="AV8" s="892">
        <f>'RRT - Subgrupo - IGEO'!AK8</f>
        <v>717</v>
      </c>
      <c r="AW8" s="893">
        <f t="shared" si="23"/>
        <v>0.33240611961057026</v>
      </c>
      <c r="AX8" s="892">
        <f>'RRT - Subgrupo - IGEO'!AM8</f>
        <v>681</v>
      </c>
      <c r="AY8" s="895">
        <f t="shared" si="24"/>
        <v>0.73861171366594358</v>
      </c>
      <c r="AZ8" s="892">
        <f>'RRT - Subgrupo - IGEO'!AN8</f>
        <v>241</v>
      </c>
      <c r="BA8" s="893">
        <f t="shared" si="25"/>
        <v>0.26138828633405642</v>
      </c>
      <c r="BB8" s="892">
        <f>'RRT - Subgrupo - IGEO'!AP8</f>
        <v>79</v>
      </c>
      <c r="BC8" s="895">
        <f t="shared" si="26"/>
        <v>0.63200000000000001</v>
      </c>
      <c r="BD8" s="892">
        <f>'RRT - Subgrupo - IGEO'!AQ8</f>
        <v>46</v>
      </c>
      <c r="BE8" s="893">
        <f t="shared" si="27"/>
        <v>0.36799999999999999</v>
      </c>
      <c r="BF8" s="892">
        <f>'RRT - Subgrupo - IGEO'!AS8</f>
        <v>97</v>
      </c>
      <c r="BG8" s="895">
        <f t="shared" si="28"/>
        <v>0.35925925925925928</v>
      </c>
      <c r="BH8" s="892">
        <f>'RRT - Subgrupo - IGEO'!AT8</f>
        <v>173</v>
      </c>
      <c r="BI8" s="893">
        <f t="shared" si="29"/>
        <v>0.64074074074074072</v>
      </c>
      <c r="BJ8" s="892">
        <f>'RRT - Subgrupo - IGEO'!AV8</f>
        <v>831</v>
      </c>
      <c r="BK8" s="895">
        <f t="shared" si="30"/>
        <v>0.6884838442419221</v>
      </c>
      <c r="BL8" s="892">
        <f>'RRT - Subgrupo - IGEO'!AW8</f>
        <v>376</v>
      </c>
      <c r="BM8" s="893">
        <f t="shared" si="31"/>
        <v>0.3115161557580779</v>
      </c>
      <c r="BN8" s="892">
        <f>'RRT - Subgrupo - IGEO'!AY8</f>
        <v>9</v>
      </c>
      <c r="BO8" s="895">
        <f t="shared" si="32"/>
        <v>0.75</v>
      </c>
      <c r="BP8" s="892">
        <f>'RRT - Subgrupo - IGEO'!AZ8</f>
        <v>3</v>
      </c>
      <c r="BQ8" s="893">
        <f t="shared" si="33"/>
        <v>0.25</v>
      </c>
      <c r="BR8" s="892">
        <f>'RRT - Subgrupo - IGEO'!BB8</f>
        <v>7</v>
      </c>
      <c r="BS8" s="895">
        <f t="shared" si="34"/>
        <v>0.77777777777777779</v>
      </c>
      <c r="BT8" s="892">
        <f>'RRT - Subgrupo - IGEO'!BC8</f>
        <v>2</v>
      </c>
      <c r="BU8" s="893">
        <f t="shared" si="35"/>
        <v>0.22222222222222221</v>
      </c>
      <c r="BV8" s="892">
        <f>'RRT - Subgrupo - IGEO'!BE8</f>
        <v>21</v>
      </c>
      <c r="BW8" s="895">
        <f t="shared" si="36"/>
        <v>0.75</v>
      </c>
      <c r="BX8" s="892">
        <f>'RRT - Subgrupo - IGEO'!BF8</f>
        <v>7</v>
      </c>
      <c r="BY8" s="893">
        <f t="shared" si="37"/>
        <v>0.25</v>
      </c>
      <c r="BZ8" s="892">
        <f>'RRT - Subgrupo - IGEO'!BH8</f>
        <v>3</v>
      </c>
      <c r="CA8" s="895">
        <f t="shared" si="38"/>
        <v>1</v>
      </c>
      <c r="CB8" s="892">
        <f>'RRT - Subgrupo - IGEO'!BI8</f>
        <v>0</v>
      </c>
      <c r="CC8" s="893">
        <f t="shared" si="39"/>
        <v>0</v>
      </c>
      <c r="CD8" s="892">
        <f>'RRT - Subgrupo - IGEO'!BK8</f>
        <v>64</v>
      </c>
      <c r="CE8" s="895">
        <f t="shared" si="40"/>
        <v>0.63366336633663367</v>
      </c>
      <c r="CF8" s="892">
        <f>'RRT - Subgrupo - IGEO'!BL8</f>
        <v>37</v>
      </c>
      <c r="CG8" s="893">
        <f t="shared" si="41"/>
        <v>0.36633663366336633</v>
      </c>
      <c r="CH8" s="896">
        <f>'RRT - Subgrupo - IGEO'!BN8</f>
        <v>15</v>
      </c>
      <c r="CI8" s="895">
        <f t="shared" si="42"/>
        <v>0.7142857142857143</v>
      </c>
      <c r="CJ8" s="896">
        <f>'RRT - Subgrupo - IGEO'!BO8</f>
        <v>6</v>
      </c>
      <c r="CK8" s="893">
        <f t="shared" si="43"/>
        <v>0.2857142857142857</v>
      </c>
      <c r="CL8" s="896">
        <f>'RRT - Subgrupo - IGEO'!BQ8</f>
        <v>7</v>
      </c>
      <c r="CM8" s="895">
        <f t="shared" si="44"/>
        <v>0.7</v>
      </c>
      <c r="CN8" s="896">
        <f>'RRT - Subgrupo - IGEO'!BR8</f>
        <v>3</v>
      </c>
      <c r="CO8" s="893">
        <f t="shared" si="45"/>
        <v>0.3</v>
      </c>
      <c r="CP8" s="896">
        <f>'RRT - Subgrupo - IGEO'!BT8</f>
        <v>10</v>
      </c>
      <c r="CQ8" s="895">
        <f t="shared" si="88"/>
        <v>0.43478260869565216</v>
      </c>
      <c r="CR8" s="896">
        <f>'RRT - Subgrupo - IGEO'!BU8</f>
        <v>13</v>
      </c>
      <c r="CS8" s="893">
        <f t="shared" si="89"/>
        <v>0.56521739130434778</v>
      </c>
      <c r="CT8" s="896">
        <f>'RRT - Subgrupo - IGEO'!BW8</f>
        <v>15</v>
      </c>
      <c r="CU8" s="895">
        <f t="shared" si="46"/>
        <v>0.65217391304347827</v>
      </c>
      <c r="CV8" s="896">
        <f>'RRT - Subgrupo - IGEO'!BX8</f>
        <v>8</v>
      </c>
      <c r="CW8" s="893">
        <f t="shared" si="47"/>
        <v>0.34782608695652173</v>
      </c>
      <c r="CX8" s="896">
        <f>'RRT - Subgrupo - IGEO'!BZ8</f>
        <v>47</v>
      </c>
      <c r="CY8" s="895">
        <f t="shared" si="48"/>
        <v>0.75806451612903225</v>
      </c>
      <c r="CZ8" s="896">
        <f>'RRT - Subgrupo - IGEO'!CA8</f>
        <v>15</v>
      </c>
      <c r="DA8" s="893">
        <f t="shared" si="49"/>
        <v>0.24193548387096775</v>
      </c>
      <c r="DB8" s="896">
        <f>'RRT - Subgrupo - IGEO'!CC8</f>
        <v>76</v>
      </c>
      <c r="DC8" s="895">
        <f t="shared" si="50"/>
        <v>0.53146853146853146</v>
      </c>
      <c r="DD8" s="896">
        <f>'RRT - Subgrupo - IGEO'!CD8</f>
        <v>67</v>
      </c>
      <c r="DE8" s="893">
        <f t="shared" si="51"/>
        <v>0.46853146853146854</v>
      </c>
      <c r="DF8" s="892">
        <f>'RRT - Subgrupo - IGEO'!CF8</f>
        <v>365</v>
      </c>
      <c r="DG8" s="895">
        <f t="shared" si="52"/>
        <v>0.80931263858093128</v>
      </c>
      <c r="DH8" s="892">
        <f>'RRT - Subgrupo - IGEO'!CG8</f>
        <v>86</v>
      </c>
      <c r="DI8" s="893">
        <f t="shared" si="53"/>
        <v>0.19068736141906872</v>
      </c>
      <c r="DJ8" s="892">
        <f>'RRT - Subgrupo - IGEO'!CI8</f>
        <v>224</v>
      </c>
      <c r="DK8" s="895">
        <f t="shared" si="54"/>
        <v>0.66865671641791047</v>
      </c>
      <c r="DL8" s="892">
        <f>'RRT - Subgrupo - IGEO'!CJ8</f>
        <v>111</v>
      </c>
      <c r="DM8" s="893">
        <f t="shared" si="55"/>
        <v>0.33134328358208953</v>
      </c>
      <c r="DN8" s="892">
        <f>'RRT - Subgrupo - IGEO'!CL8</f>
        <v>1</v>
      </c>
      <c r="DO8" s="895">
        <f t="shared" si="90"/>
        <v>0.25</v>
      </c>
      <c r="DP8" s="892">
        <f>'RRT - Subgrupo - IGEO'!CM8</f>
        <v>3</v>
      </c>
      <c r="DQ8" s="893">
        <f t="shared" si="91"/>
        <v>0.75</v>
      </c>
      <c r="DR8" s="892">
        <f>'RRT - Subgrupo - IGEO'!CO8</f>
        <v>23</v>
      </c>
      <c r="DS8" s="895">
        <f t="shared" si="56"/>
        <v>0.27710843373493976</v>
      </c>
      <c r="DT8" s="892">
        <f>'RRT - Subgrupo - IGEO'!CP8</f>
        <v>60</v>
      </c>
      <c r="DU8" s="893">
        <f t="shared" si="57"/>
        <v>0.72289156626506024</v>
      </c>
      <c r="DV8" s="892">
        <f>'RRT - Subgrupo - IGEO'!CR8</f>
        <v>10</v>
      </c>
      <c r="DW8" s="895">
        <f t="shared" si="58"/>
        <v>0.47619047619047616</v>
      </c>
      <c r="DX8" s="892">
        <f>'RRT - Subgrupo - IGEO'!CS8</f>
        <v>11</v>
      </c>
      <c r="DY8" s="893">
        <f t="shared" si="59"/>
        <v>0.52380952380952384</v>
      </c>
      <c r="DZ8" s="892">
        <f>'RRT - Subgrupo - IGEO'!CU8</f>
        <v>10</v>
      </c>
      <c r="EA8" s="895">
        <f t="shared" si="60"/>
        <v>0.45454545454545453</v>
      </c>
      <c r="EB8" s="892">
        <f>'RRT - Subgrupo - IGEO'!CV8</f>
        <v>12</v>
      </c>
      <c r="EC8" s="893">
        <f t="shared" si="61"/>
        <v>0.54545454545454541</v>
      </c>
      <c r="ED8" s="892">
        <f>'RRT - Subgrupo - IGEO'!CX8</f>
        <v>19</v>
      </c>
      <c r="EE8" s="895">
        <f t="shared" si="62"/>
        <v>0.45238095238095238</v>
      </c>
      <c r="EF8" s="892">
        <f>'RRT - Subgrupo - IGEO'!CY8</f>
        <v>23</v>
      </c>
      <c r="EG8" s="893">
        <f t="shared" si="63"/>
        <v>0.54761904761904767</v>
      </c>
      <c r="EH8" s="892">
        <f>'RRT - Subgrupo - IGEO'!DA8</f>
        <v>31</v>
      </c>
      <c r="EI8" s="895">
        <f t="shared" si="64"/>
        <v>0.70454545454545459</v>
      </c>
      <c r="EJ8" s="892">
        <f>'RRT - Subgrupo - IGEO'!DB8</f>
        <v>13</v>
      </c>
      <c r="EK8" s="893">
        <f t="shared" si="65"/>
        <v>0.29545454545454547</v>
      </c>
      <c r="EL8" s="897">
        <f>'RRT - Subgrupo - IGEO'!DD8</f>
        <v>2</v>
      </c>
      <c r="EM8" s="895">
        <f t="shared" si="66"/>
        <v>0.66666666666666663</v>
      </c>
      <c r="EN8" s="897">
        <f>'RRT - Subgrupo - IGEO'!DE8</f>
        <v>1</v>
      </c>
      <c r="EO8" s="893">
        <f t="shared" si="67"/>
        <v>0.33333333333333331</v>
      </c>
      <c r="EP8" s="897">
        <f>'RRT - Subgrupo - IGEO'!DG8</f>
        <v>63</v>
      </c>
      <c r="EQ8" s="895">
        <f t="shared" si="68"/>
        <v>0.3559322033898305</v>
      </c>
      <c r="ER8" s="897">
        <f>'RRT - Subgrupo - IGEO'!DH8</f>
        <v>114</v>
      </c>
      <c r="ES8" s="893">
        <f t="shared" si="69"/>
        <v>0.64406779661016944</v>
      </c>
      <c r="ET8" s="897">
        <f>'RRT - Subgrupo - IGEO'!DJ8</f>
        <v>94</v>
      </c>
      <c r="EU8" s="895">
        <f t="shared" si="70"/>
        <v>0.48704663212435234</v>
      </c>
      <c r="EV8" s="897">
        <f>'RRT - Subgrupo - IGEO'!DK8</f>
        <v>99</v>
      </c>
      <c r="EW8" s="893">
        <f t="shared" si="71"/>
        <v>0.51295336787564771</v>
      </c>
      <c r="EX8" s="897">
        <f>'RRT - Subgrupo - IGEO'!DM8</f>
        <v>49</v>
      </c>
      <c r="EY8" s="895">
        <f t="shared" si="72"/>
        <v>0.89090909090909087</v>
      </c>
      <c r="EZ8" s="897">
        <f>'RRT - Subgrupo - IGEO'!DN8</f>
        <v>6</v>
      </c>
      <c r="FA8" s="893">
        <f t="shared" si="73"/>
        <v>0.10909090909090909</v>
      </c>
      <c r="FB8" s="897">
        <f>'RRT - Subgrupo - IGEO'!DP8</f>
        <v>1</v>
      </c>
      <c r="FC8" s="895">
        <f t="shared" ref="FC8:FC26" si="104">IFERROR(FB8/(FB8+FD8),0)</f>
        <v>1</v>
      </c>
      <c r="FD8" s="897">
        <f>'RRT - Subgrupo - IGEO'!DQ8</f>
        <v>0</v>
      </c>
      <c r="FE8" s="893">
        <f t="shared" ref="FE8:FE26" si="105">IFERROR(FD8/(FD8+FB8),0)</f>
        <v>0</v>
      </c>
      <c r="FF8" s="897"/>
      <c r="FG8" s="895"/>
      <c r="FH8" s="897"/>
      <c r="FI8" s="893"/>
      <c r="FJ8" s="897">
        <f>'RRT - Subgrupo - IGEO'!DV8</f>
        <v>35</v>
      </c>
      <c r="FK8" s="895">
        <f t="shared" si="74"/>
        <v>0.7142857142857143</v>
      </c>
      <c r="FL8" s="897">
        <f>'RRT - Subgrupo - IGEO'!DW8</f>
        <v>14</v>
      </c>
      <c r="FM8" s="893">
        <f t="shared" si="75"/>
        <v>0.2857142857142857</v>
      </c>
      <c r="FN8" s="897"/>
      <c r="FO8" s="895"/>
      <c r="FP8" s="897"/>
      <c r="FQ8" s="893"/>
      <c r="FR8" s="892">
        <f>'RRT - Subgrupo - IGEO'!EB8</f>
        <v>1</v>
      </c>
      <c r="FS8" s="895">
        <f t="shared" si="78"/>
        <v>1</v>
      </c>
      <c r="FT8" s="892">
        <f>'RRT - Subgrupo - IGEO'!DZ8</f>
        <v>0</v>
      </c>
      <c r="FU8" s="893">
        <f t="shared" si="79"/>
        <v>0</v>
      </c>
      <c r="FV8" s="892">
        <f>'RRT - Subgrupo - IGEO'!EE8</f>
        <v>1</v>
      </c>
      <c r="FW8" s="895">
        <f t="shared" si="102"/>
        <v>1</v>
      </c>
      <c r="FX8" s="892">
        <f>'RRT - Subgrupo - IGEO'!EF8</f>
        <v>0</v>
      </c>
      <c r="FY8" s="893">
        <f t="shared" si="103"/>
        <v>0</v>
      </c>
      <c r="FZ8" s="892">
        <f>'RRT - Subgrupo - IGEO'!EH8</f>
        <v>1</v>
      </c>
      <c r="GA8" s="895">
        <f t="shared" si="80"/>
        <v>0.5</v>
      </c>
      <c r="GB8" s="892">
        <f>'RRT - Subgrupo - IGEO'!EI8</f>
        <v>1</v>
      </c>
      <c r="GC8" s="893">
        <f t="shared" si="81"/>
        <v>0.5</v>
      </c>
      <c r="GD8" s="892">
        <f>'RRT - Subgrupo - IGEO'!EK8</f>
        <v>6</v>
      </c>
      <c r="GE8" s="895">
        <f t="shared" si="82"/>
        <v>0.8571428571428571</v>
      </c>
      <c r="GF8" s="892">
        <f>'RRT - Subgrupo - IGEO'!EL8</f>
        <v>1</v>
      </c>
      <c r="GG8" s="893">
        <f t="shared" si="83"/>
        <v>0.14285714285714285</v>
      </c>
      <c r="GH8" s="892">
        <f>'RRT - Subgrupo - IGEO'!EN8</f>
        <v>0</v>
      </c>
      <c r="GI8" s="895">
        <f t="shared" si="92"/>
        <v>0</v>
      </c>
      <c r="GJ8" s="892">
        <f>'RRT - Subgrupo - IGEO'!EO8</f>
        <v>2</v>
      </c>
      <c r="GK8" s="893">
        <f t="shared" si="93"/>
        <v>1</v>
      </c>
      <c r="GL8" s="892">
        <f>'RRT - Subgrupo - IGEO'!EO8</f>
        <v>2</v>
      </c>
      <c r="GM8" s="895">
        <f t="shared" si="96"/>
        <v>1</v>
      </c>
      <c r="GN8" s="892">
        <f>'RRT - Subgrupo - IGEO'!EP8</f>
        <v>0</v>
      </c>
      <c r="GO8" s="893">
        <f t="shared" si="97"/>
        <v>0</v>
      </c>
      <c r="GP8" s="892"/>
      <c r="GQ8" s="895"/>
      <c r="GR8" s="892"/>
      <c r="GS8" s="893"/>
      <c r="GT8" s="892"/>
      <c r="GU8" s="895"/>
      <c r="GV8" s="892"/>
      <c r="GW8" s="893"/>
      <c r="GX8" s="892">
        <f>'RRT - Subgrupo - IGEO'!EZ8</f>
        <v>4</v>
      </c>
      <c r="GY8" s="895">
        <f t="shared" si="84"/>
        <v>1</v>
      </c>
      <c r="GZ8" s="892">
        <f>'RRT - Subgrupo - IGEO'!FA8</f>
        <v>0</v>
      </c>
      <c r="HA8" s="893">
        <f t="shared" si="85"/>
        <v>0</v>
      </c>
      <c r="HB8" s="892">
        <f>'RRT - Subgrupo - IGEO'!FC8</f>
        <v>1</v>
      </c>
      <c r="HC8" s="895">
        <f t="shared" si="86"/>
        <v>8.3333333333333329E-2</v>
      </c>
      <c r="HD8" s="892">
        <f>'RRT - Subgrupo - IGEO'!FD8</f>
        <v>11</v>
      </c>
      <c r="HE8" s="893">
        <f t="shared" si="87"/>
        <v>0.91666666666666663</v>
      </c>
      <c r="HF8" s="898"/>
    </row>
    <row r="9" spans="1:214" s="876" customFormat="1" ht="18.75">
      <c r="A9" s="891" t="s">
        <v>93</v>
      </c>
      <c r="B9" s="892">
        <f>'RRT - Subgrupo - IGEO'!C9</f>
        <v>2656</v>
      </c>
      <c r="C9" s="893">
        <f t="shared" si="0"/>
        <v>0.47615632843313016</v>
      </c>
      <c r="D9" s="892">
        <f>'RRT - Subgrupo - IGEO'!D9</f>
        <v>2922</v>
      </c>
      <c r="E9" s="893">
        <f t="shared" si="1"/>
        <v>0.52384367156686984</v>
      </c>
      <c r="F9" s="894">
        <f>'RRT - Subgrupo - IGEO'!F9</f>
        <v>803</v>
      </c>
      <c r="G9" s="893">
        <f t="shared" si="2"/>
        <v>0.64035087719298245</v>
      </c>
      <c r="H9" s="892">
        <f>'RRT - Subgrupo - IGEO'!G9</f>
        <v>451</v>
      </c>
      <c r="I9" s="893">
        <f t="shared" si="3"/>
        <v>0.35964912280701755</v>
      </c>
      <c r="J9" s="892">
        <f>'RRT - Subgrupo - IGEO'!I9</f>
        <v>118</v>
      </c>
      <c r="K9" s="895">
        <f t="shared" si="4"/>
        <v>0.39333333333333331</v>
      </c>
      <c r="L9" s="892">
        <f>'RRT - Subgrupo - IGEO'!J9</f>
        <v>182</v>
      </c>
      <c r="M9" s="893">
        <f t="shared" si="5"/>
        <v>0.60666666666666669</v>
      </c>
      <c r="N9" s="896">
        <f>'RRT - Subgrupo - IGEO'!L9</f>
        <v>661</v>
      </c>
      <c r="O9" s="895">
        <f t="shared" si="6"/>
        <v>0.39043118724158299</v>
      </c>
      <c r="P9" s="892">
        <f>'RRT - Subgrupo - IGEO'!P9</f>
        <v>1032</v>
      </c>
      <c r="Q9" s="893">
        <f t="shared" si="7"/>
        <v>0.60956881275841701</v>
      </c>
      <c r="R9" s="892">
        <f>'RRT - Subgrupo - IGEO'!O9</f>
        <v>1471</v>
      </c>
      <c r="S9" s="895">
        <f t="shared" si="8"/>
        <v>0.58769476628046347</v>
      </c>
      <c r="T9" s="892">
        <f>'RRT - Subgrupo - IGEO'!P9</f>
        <v>1032</v>
      </c>
      <c r="U9" s="893">
        <f t="shared" si="9"/>
        <v>0.41230523371953653</v>
      </c>
      <c r="V9" s="892">
        <f>'RRT - Subgrupo - IGEO'!R9</f>
        <v>44</v>
      </c>
      <c r="W9" s="895">
        <f t="shared" si="10"/>
        <v>0.3235294117647059</v>
      </c>
      <c r="X9" s="896">
        <f>'RRT - Subgrupo - IGEO'!S9</f>
        <v>92</v>
      </c>
      <c r="Y9" s="893">
        <f t="shared" si="11"/>
        <v>0.67647058823529416</v>
      </c>
      <c r="Z9" s="892">
        <f>'RRT - Subgrupo - IGEO'!U9</f>
        <v>180</v>
      </c>
      <c r="AA9" s="895">
        <f t="shared" si="12"/>
        <v>0.47120418848167539</v>
      </c>
      <c r="AB9" s="892">
        <f>'RRT - Subgrupo - IGEO'!V9</f>
        <v>202</v>
      </c>
      <c r="AC9" s="893">
        <f t="shared" si="13"/>
        <v>0.52879581151832455</v>
      </c>
      <c r="AD9" s="892">
        <f>'RRT - Subgrupo - IGEO'!X9</f>
        <v>155</v>
      </c>
      <c r="AE9" s="895">
        <f t="shared" si="14"/>
        <v>0.48589341692789967</v>
      </c>
      <c r="AF9" s="892">
        <f>'RRT - Subgrupo - IGEO'!Y9</f>
        <v>164</v>
      </c>
      <c r="AG9" s="893">
        <f t="shared" si="15"/>
        <v>0.51410658307210033</v>
      </c>
      <c r="AH9" s="892">
        <f>'RRT - Subgrupo - IGEO'!AA9</f>
        <v>27</v>
      </c>
      <c r="AI9" s="895">
        <f t="shared" si="16"/>
        <v>0.55102040816326525</v>
      </c>
      <c r="AJ9" s="892">
        <f>'RRT - Subgrupo - IGEO'!AB9</f>
        <v>22</v>
      </c>
      <c r="AK9" s="893">
        <f t="shared" si="17"/>
        <v>0.44897959183673469</v>
      </c>
      <c r="AL9" s="892">
        <f>'RRT - Subgrupo - IGEO'!AD9</f>
        <v>64</v>
      </c>
      <c r="AM9" s="895">
        <f t="shared" si="18"/>
        <v>0.54700854700854706</v>
      </c>
      <c r="AN9" s="892">
        <f>'RRT - Subgrupo - IGEO'!AE9</f>
        <v>53</v>
      </c>
      <c r="AO9" s="893">
        <f t="shared" si="19"/>
        <v>0.45299145299145299</v>
      </c>
      <c r="AP9" s="896">
        <f>'RRT - Subgrupo - IGEO'!AG9</f>
        <v>11</v>
      </c>
      <c r="AQ9" s="895">
        <f t="shared" si="20"/>
        <v>0.6875</v>
      </c>
      <c r="AR9" s="892">
        <f>'RRT - Subgrupo - IGEO'!AH9</f>
        <v>5</v>
      </c>
      <c r="AS9" s="893">
        <f t="shared" si="21"/>
        <v>0.3125</v>
      </c>
      <c r="AT9" s="892">
        <f>'RRT - Subgrupo - IGEO'!AJ9</f>
        <v>1570</v>
      </c>
      <c r="AU9" s="895">
        <f t="shared" si="22"/>
        <v>0.54400554400554402</v>
      </c>
      <c r="AV9" s="892">
        <f>'RRT - Subgrupo - IGEO'!AK9</f>
        <v>1316</v>
      </c>
      <c r="AW9" s="893">
        <f t="shared" si="23"/>
        <v>0.45599445599445598</v>
      </c>
      <c r="AX9" s="892">
        <f>'RRT - Subgrupo - IGEO'!AM9</f>
        <v>463</v>
      </c>
      <c r="AY9" s="895">
        <f t="shared" si="24"/>
        <v>0.54215456674473073</v>
      </c>
      <c r="AZ9" s="892">
        <f>'RRT - Subgrupo - IGEO'!AN9</f>
        <v>391</v>
      </c>
      <c r="BA9" s="893">
        <f t="shared" si="25"/>
        <v>0.45784543325526933</v>
      </c>
      <c r="BB9" s="892">
        <f>'RRT - Subgrupo - IGEO'!AP9</f>
        <v>141</v>
      </c>
      <c r="BC9" s="895">
        <f t="shared" si="26"/>
        <v>0.57786885245901642</v>
      </c>
      <c r="BD9" s="892">
        <f>'RRT - Subgrupo - IGEO'!AQ9</f>
        <v>103</v>
      </c>
      <c r="BE9" s="893">
        <f t="shared" si="27"/>
        <v>0.42213114754098363</v>
      </c>
      <c r="BF9" s="892">
        <f>'RRT - Subgrupo - IGEO'!AS9</f>
        <v>533</v>
      </c>
      <c r="BG9" s="895">
        <f t="shared" si="28"/>
        <v>0.33585381222432265</v>
      </c>
      <c r="BH9" s="892">
        <f>'RRT - Subgrupo - IGEO'!AT9</f>
        <v>1054</v>
      </c>
      <c r="BI9" s="893">
        <f t="shared" si="29"/>
        <v>0.66414618777567735</v>
      </c>
      <c r="BJ9" s="892">
        <f>'RRT - Subgrupo - IGEO'!AV9</f>
        <v>731</v>
      </c>
      <c r="BK9" s="895">
        <f t="shared" si="30"/>
        <v>0.60363336085879438</v>
      </c>
      <c r="BL9" s="892">
        <f>'RRT - Subgrupo - IGEO'!AW9</f>
        <v>480</v>
      </c>
      <c r="BM9" s="893">
        <f t="shared" si="31"/>
        <v>0.39636663914120562</v>
      </c>
      <c r="BN9" s="892">
        <f>'RRT - Subgrupo - IGEO'!AY9</f>
        <v>5</v>
      </c>
      <c r="BO9" s="895">
        <f t="shared" si="32"/>
        <v>0.35714285714285715</v>
      </c>
      <c r="BP9" s="892">
        <f>'RRT - Subgrupo - IGEO'!AZ9</f>
        <v>9</v>
      </c>
      <c r="BQ9" s="893">
        <f t="shared" si="33"/>
        <v>0.6428571428571429</v>
      </c>
      <c r="BR9" s="892">
        <f>'RRT - Subgrupo - IGEO'!BB9</f>
        <v>1</v>
      </c>
      <c r="BS9" s="895">
        <f t="shared" si="34"/>
        <v>0.16666666666666666</v>
      </c>
      <c r="BT9" s="892">
        <f>'RRT - Subgrupo - IGEO'!BC9</f>
        <v>5</v>
      </c>
      <c r="BU9" s="893">
        <f t="shared" si="35"/>
        <v>0.83333333333333337</v>
      </c>
      <c r="BV9" s="892">
        <f>'RRT - Subgrupo - IGEO'!BE9</f>
        <v>18</v>
      </c>
      <c r="BW9" s="895">
        <f t="shared" si="36"/>
        <v>0.69230769230769229</v>
      </c>
      <c r="BX9" s="892">
        <f>'RRT - Subgrupo - IGEO'!BF9</f>
        <v>8</v>
      </c>
      <c r="BY9" s="893">
        <f t="shared" si="37"/>
        <v>0.30769230769230771</v>
      </c>
      <c r="BZ9" s="892">
        <f>'RRT - Subgrupo - IGEO'!BH9</f>
        <v>2</v>
      </c>
      <c r="CA9" s="895">
        <f t="shared" si="38"/>
        <v>0.66666666666666663</v>
      </c>
      <c r="CB9" s="892">
        <f>'RRT - Subgrupo - IGEO'!BI9</f>
        <v>1</v>
      </c>
      <c r="CC9" s="893">
        <f t="shared" si="39"/>
        <v>0.33333333333333331</v>
      </c>
      <c r="CD9" s="892">
        <f>'RRT - Subgrupo - IGEO'!BK9</f>
        <v>35</v>
      </c>
      <c r="CE9" s="895">
        <f t="shared" si="40"/>
        <v>0.53030303030303028</v>
      </c>
      <c r="CF9" s="892">
        <f>'RRT - Subgrupo - IGEO'!BL9</f>
        <v>31</v>
      </c>
      <c r="CG9" s="893">
        <f t="shared" si="41"/>
        <v>0.46969696969696972</v>
      </c>
      <c r="CH9" s="896">
        <f>'RRT - Subgrupo - IGEO'!BN9</f>
        <v>12</v>
      </c>
      <c r="CI9" s="895">
        <f t="shared" si="42"/>
        <v>0.46153846153846156</v>
      </c>
      <c r="CJ9" s="896">
        <f>'RRT - Subgrupo - IGEO'!BO9</f>
        <v>14</v>
      </c>
      <c r="CK9" s="893">
        <f t="shared" si="43"/>
        <v>0.53846153846153844</v>
      </c>
      <c r="CL9" s="896">
        <f>'RRT - Subgrupo - IGEO'!BQ9</f>
        <v>3</v>
      </c>
      <c r="CM9" s="895">
        <f t="shared" si="44"/>
        <v>0.6</v>
      </c>
      <c r="CN9" s="896">
        <f>'RRT - Subgrupo - IGEO'!BR9</f>
        <v>2</v>
      </c>
      <c r="CO9" s="893">
        <f t="shared" si="45"/>
        <v>0.4</v>
      </c>
      <c r="CP9" s="896">
        <f>'RRT - Subgrupo - IGEO'!BT9</f>
        <v>18</v>
      </c>
      <c r="CQ9" s="895">
        <f t="shared" si="88"/>
        <v>0.52941176470588236</v>
      </c>
      <c r="CR9" s="896">
        <f>'RRT - Subgrupo - IGEO'!BU9</f>
        <v>16</v>
      </c>
      <c r="CS9" s="893">
        <f t="shared" si="89"/>
        <v>0.47058823529411764</v>
      </c>
      <c r="CT9" s="896">
        <f>'RRT - Subgrupo - IGEO'!BW9</f>
        <v>14</v>
      </c>
      <c r="CU9" s="895">
        <f t="shared" si="46"/>
        <v>0.35897435897435898</v>
      </c>
      <c r="CV9" s="896">
        <f>'RRT - Subgrupo - IGEO'!BX9</f>
        <v>25</v>
      </c>
      <c r="CW9" s="893">
        <f t="shared" si="47"/>
        <v>0.64102564102564108</v>
      </c>
      <c r="CX9" s="896">
        <f>'RRT - Subgrupo - IGEO'!BZ9</f>
        <v>13</v>
      </c>
      <c r="CY9" s="895">
        <f t="shared" si="48"/>
        <v>0.35135135135135137</v>
      </c>
      <c r="CZ9" s="896">
        <f>'RRT - Subgrupo - IGEO'!CA9</f>
        <v>24</v>
      </c>
      <c r="DA9" s="893">
        <f t="shared" si="49"/>
        <v>0.64864864864864868</v>
      </c>
      <c r="DB9" s="896">
        <f>'RRT - Subgrupo - IGEO'!CC9</f>
        <v>75</v>
      </c>
      <c r="DC9" s="895">
        <f t="shared" si="50"/>
        <v>0.46012269938650308</v>
      </c>
      <c r="DD9" s="896">
        <f>'RRT - Subgrupo - IGEO'!CD9</f>
        <v>88</v>
      </c>
      <c r="DE9" s="893">
        <f t="shared" si="51"/>
        <v>0.53987730061349692</v>
      </c>
      <c r="DF9" s="892">
        <f>'RRT - Subgrupo - IGEO'!CF9</f>
        <v>137</v>
      </c>
      <c r="DG9" s="895">
        <f t="shared" si="52"/>
        <v>0.77840909090909094</v>
      </c>
      <c r="DH9" s="892">
        <f>'RRT - Subgrupo - IGEO'!CG9</f>
        <v>39</v>
      </c>
      <c r="DI9" s="893">
        <f t="shared" si="53"/>
        <v>0.22159090909090909</v>
      </c>
      <c r="DJ9" s="892">
        <f>'RRT - Subgrupo - IGEO'!CI9</f>
        <v>9</v>
      </c>
      <c r="DK9" s="895">
        <f t="shared" si="54"/>
        <v>0.6</v>
      </c>
      <c r="DL9" s="892">
        <f>'RRT - Subgrupo - IGEO'!CJ9</f>
        <v>6</v>
      </c>
      <c r="DM9" s="893">
        <f t="shared" si="55"/>
        <v>0.4</v>
      </c>
      <c r="DN9" s="892"/>
      <c r="DO9" s="895"/>
      <c r="DP9" s="892"/>
      <c r="DQ9" s="893"/>
      <c r="DR9" s="892">
        <f>'RRT - Subgrupo - IGEO'!CO9</f>
        <v>9</v>
      </c>
      <c r="DS9" s="895">
        <f t="shared" si="56"/>
        <v>0.52941176470588236</v>
      </c>
      <c r="DT9" s="892">
        <f>'RRT - Subgrupo - IGEO'!CP9</f>
        <v>8</v>
      </c>
      <c r="DU9" s="893">
        <f t="shared" si="57"/>
        <v>0.47058823529411764</v>
      </c>
      <c r="DV9" s="892">
        <f>'RRT - Subgrupo - IGEO'!CR9</f>
        <v>12</v>
      </c>
      <c r="DW9" s="895">
        <f t="shared" si="58"/>
        <v>0.5</v>
      </c>
      <c r="DX9" s="892">
        <f>'RRT - Subgrupo - IGEO'!CS9</f>
        <v>12</v>
      </c>
      <c r="DY9" s="893">
        <f t="shared" si="59"/>
        <v>0.5</v>
      </c>
      <c r="DZ9" s="892">
        <f>'RRT - Subgrupo - IGEO'!CU9</f>
        <v>11</v>
      </c>
      <c r="EA9" s="895">
        <f t="shared" si="60"/>
        <v>0.171875</v>
      </c>
      <c r="EB9" s="892">
        <f>'RRT - Subgrupo - IGEO'!CV9</f>
        <v>53</v>
      </c>
      <c r="EC9" s="893">
        <f t="shared" si="61"/>
        <v>0.828125</v>
      </c>
      <c r="ED9" s="892">
        <f>'RRT - Subgrupo - IGEO'!CX9</f>
        <v>5</v>
      </c>
      <c r="EE9" s="895">
        <f t="shared" si="62"/>
        <v>0.27777777777777779</v>
      </c>
      <c r="EF9" s="892">
        <f>'RRT - Subgrupo - IGEO'!CY9</f>
        <v>13</v>
      </c>
      <c r="EG9" s="893">
        <f t="shared" si="63"/>
        <v>0.72222222222222221</v>
      </c>
      <c r="EH9" s="892">
        <f>'RRT - Subgrupo - IGEO'!DA9</f>
        <v>31</v>
      </c>
      <c r="EI9" s="895">
        <f t="shared" si="64"/>
        <v>0.67391304347826086</v>
      </c>
      <c r="EJ9" s="892">
        <f>'RRT - Subgrupo - IGEO'!DB9</f>
        <v>15</v>
      </c>
      <c r="EK9" s="893">
        <f t="shared" si="65"/>
        <v>0.32608695652173914</v>
      </c>
      <c r="EL9" s="897">
        <f>'RRT - Subgrupo - IGEO'!DD9</f>
        <v>6</v>
      </c>
      <c r="EM9" s="895">
        <f t="shared" si="66"/>
        <v>0.5</v>
      </c>
      <c r="EN9" s="897">
        <f>'RRT - Subgrupo - IGEO'!DE9</f>
        <v>6</v>
      </c>
      <c r="EO9" s="893">
        <f t="shared" si="67"/>
        <v>0.5</v>
      </c>
      <c r="EP9" s="897">
        <f>'RRT - Subgrupo - IGEO'!DG9</f>
        <v>129</v>
      </c>
      <c r="EQ9" s="895">
        <f t="shared" si="68"/>
        <v>0.56578947368421051</v>
      </c>
      <c r="ER9" s="897">
        <f>'RRT - Subgrupo - IGEO'!DH9</f>
        <v>99</v>
      </c>
      <c r="ES9" s="893">
        <f t="shared" si="69"/>
        <v>0.43421052631578949</v>
      </c>
      <c r="ET9" s="897">
        <f>'RRT - Subgrupo - IGEO'!DJ9</f>
        <v>271</v>
      </c>
      <c r="EU9" s="895">
        <f t="shared" si="70"/>
        <v>0.44426229508196724</v>
      </c>
      <c r="EV9" s="897">
        <f>'RRT - Subgrupo - IGEO'!DK9</f>
        <v>339</v>
      </c>
      <c r="EW9" s="893">
        <f t="shared" si="71"/>
        <v>0.55573770491803276</v>
      </c>
      <c r="EX9" s="897">
        <f>'RRT - Subgrupo - IGEO'!DM9</f>
        <v>25</v>
      </c>
      <c r="EY9" s="895">
        <f t="shared" si="72"/>
        <v>0.59523809523809523</v>
      </c>
      <c r="EZ9" s="897">
        <f>'RRT - Subgrupo - IGEO'!DN9</f>
        <v>17</v>
      </c>
      <c r="FA9" s="893">
        <f t="shared" si="73"/>
        <v>0.40476190476190477</v>
      </c>
      <c r="FB9" s="897"/>
      <c r="FC9" s="895"/>
      <c r="FD9" s="897"/>
      <c r="FE9" s="893"/>
      <c r="FF9" s="897"/>
      <c r="FG9" s="895"/>
      <c r="FH9" s="897"/>
      <c r="FI9" s="893"/>
      <c r="FJ9" s="897">
        <f>'RRT - Subgrupo - IGEO'!DV9</f>
        <v>3</v>
      </c>
      <c r="FK9" s="895">
        <f t="shared" si="74"/>
        <v>8.1081081081081086E-2</v>
      </c>
      <c r="FL9" s="897">
        <f>'RRT - Subgrupo - IGEO'!DW9</f>
        <v>34</v>
      </c>
      <c r="FM9" s="893">
        <f t="shared" si="75"/>
        <v>0.91891891891891897</v>
      </c>
      <c r="FN9" s="897">
        <f>'RRT - Subgrupo - IGEO'!DY9</f>
        <v>0</v>
      </c>
      <c r="FO9" s="895">
        <f t="shared" si="76"/>
        <v>0</v>
      </c>
      <c r="FP9" s="897">
        <f>'RRT - Subgrupo - IGEO'!DZ9</f>
        <v>4</v>
      </c>
      <c r="FQ9" s="893">
        <f t="shared" si="77"/>
        <v>1</v>
      </c>
      <c r="FR9" s="892">
        <f>'RRT - Subgrupo - IGEO'!EB9</f>
        <v>0</v>
      </c>
      <c r="FS9" s="895">
        <f t="shared" si="78"/>
        <v>0</v>
      </c>
      <c r="FT9" s="892">
        <f>'RRT - Subgrupo - IGEO'!DZ9</f>
        <v>4</v>
      </c>
      <c r="FU9" s="893">
        <f t="shared" si="79"/>
        <v>1</v>
      </c>
      <c r="FV9" s="892">
        <f>'RRT - Subgrupo - IGEO'!EE9</f>
        <v>0</v>
      </c>
      <c r="FW9" s="895">
        <f t="shared" si="102"/>
        <v>0</v>
      </c>
      <c r="FX9" s="892">
        <f>'RRT - Subgrupo - IGEO'!EF9</f>
        <v>1</v>
      </c>
      <c r="FY9" s="893">
        <f t="shared" si="103"/>
        <v>1</v>
      </c>
      <c r="FZ9" s="892"/>
      <c r="GA9" s="895"/>
      <c r="GB9" s="892"/>
      <c r="GC9" s="893"/>
      <c r="GD9" s="892">
        <f>'RRT - Subgrupo - IGEO'!EK9</f>
        <v>2</v>
      </c>
      <c r="GE9" s="895">
        <f t="shared" si="82"/>
        <v>1</v>
      </c>
      <c r="GF9" s="892">
        <f>'RRT - Subgrupo - IGEO'!EL9</f>
        <v>0</v>
      </c>
      <c r="GG9" s="893">
        <f t="shared" si="83"/>
        <v>0</v>
      </c>
      <c r="GH9" s="892"/>
      <c r="GI9" s="895"/>
      <c r="GJ9" s="892"/>
      <c r="GK9" s="893"/>
      <c r="GL9" s="892"/>
      <c r="GM9" s="895"/>
      <c r="GN9" s="892"/>
      <c r="GO9" s="893"/>
      <c r="GP9" s="892"/>
      <c r="GQ9" s="895"/>
      <c r="GR9" s="892"/>
      <c r="GS9" s="893"/>
      <c r="GT9" s="892"/>
      <c r="GU9" s="895"/>
      <c r="GV9" s="892"/>
      <c r="GW9" s="893"/>
      <c r="GX9" s="892">
        <f>'RRT - Subgrupo - IGEO'!EZ9</f>
        <v>2</v>
      </c>
      <c r="GY9" s="895">
        <f t="shared" si="84"/>
        <v>0.66666666666666663</v>
      </c>
      <c r="GZ9" s="892">
        <f>'RRT - Subgrupo - IGEO'!FA9</f>
        <v>1</v>
      </c>
      <c r="HA9" s="893">
        <f t="shared" si="85"/>
        <v>0.33333333333333331</v>
      </c>
      <c r="HB9" s="892">
        <f>'RRT - Subgrupo - IGEO'!FC9</f>
        <v>1</v>
      </c>
      <c r="HC9" s="895">
        <f t="shared" si="86"/>
        <v>0.1</v>
      </c>
      <c r="HD9" s="892">
        <f>'RRT - Subgrupo - IGEO'!FD9</f>
        <v>9</v>
      </c>
      <c r="HE9" s="893">
        <f t="shared" si="87"/>
        <v>0.9</v>
      </c>
    </row>
    <row r="10" spans="1:214" s="876" customFormat="1" ht="18.75">
      <c r="A10" s="891" t="s">
        <v>94</v>
      </c>
      <c r="B10" s="892">
        <f>'RRT - Subgrupo - IGEO'!C10</f>
        <v>2133</v>
      </c>
      <c r="C10" s="893">
        <f t="shared" si="0"/>
        <v>0.41506129597197899</v>
      </c>
      <c r="D10" s="892">
        <f>'RRT - Subgrupo - IGEO'!D10</f>
        <v>3006</v>
      </c>
      <c r="E10" s="893">
        <f t="shared" si="1"/>
        <v>0.58493870402802106</v>
      </c>
      <c r="F10" s="894">
        <f>'RRT - Subgrupo - IGEO'!F10</f>
        <v>393</v>
      </c>
      <c r="G10" s="893">
        <f t="shared" si="2"/>
        <v>0.5670995670995671</v>
      </c>
      <c r="H10" s="892">
        <f>'RRT - Subgrupo - IGEO'!G10</f>
        <v>300</v>
      </c>
      <c r="I10" s="893">
        <f t="shared" si="3"/>
        <v>0.4329004329004329</v>
      </c>
      <c r="J10" s="892">
        <f>'RRT - Subgrupo - IGEO'!I10</f>
        <v>62</v>
      </c>
      <c r="K10" s="895">
        <f t="shared" si="4"/>
        <v>0.42176870748299322</v>
      </c>
      <c r="L10" s="892">
        <f>'RRT - Subgrupo - IGEO'!J10</f>
        <v>85</v>
      </c>
      <c r="M10" s="893">
        <f t="shared" si="5"/>
        <v>0.57823129251700678</v>
      </c>
      <c r="N10" s="896">
        <f>'RRT - Subgrupo - IGEO'!L10</f>
        <v>268</v>
      </c>
      <c r="O10" s="895">
        <f t="shared" si="6"/>
        <v>0.19676945668135096</v>
      </c>
      <c r="P10" s="892">
        <f>'RRT - Subgrupo - IGEO'!P10</f>
        <v>1094</v>
      </c>
      <c r="Q10" s="893">
        <f t="shared" si="7"/>
        <v>0.80323054331864907</v>
      </c>
      <c r="R10" s="892">
        <f>'RRT - Subgrupo - IGEO'!O10</f>
        <v>1088</v>
      </c>
      <c r="S10" s="895">
        <f t="shared" si="8"/>
        <v>0.4986251145737855</v>
      </c>
      <c r="T10" s="892">
        <f>'RRT - Subgrupo - IGEO'!P10</f>
        <v>1094</v>
      </c>
      <c r="U10" s="893">
        <f t="shared" si="9"/>
        <v>0.50137488542621444</v>
      </c>
      <c r="V10" s="892">
        <f>'RRT - Subgrupo - IGEO'!R10</f>
        <v>36</v>
      </c>
      <c r="W10" s="895">
        <f t="shared" si="10"/>
        <v>0.36363636363636365</v>
      </c>
      <c r="X10" s="896">
        <f>'RRT - Subgrupo - IGEO'!S10</f>
        <v>63</v>
      </c>
      <c r="Y10" s="893">
        <f t="shared" si="11"/>
        <v>0.63636363636363635</v>
      </c>
      <c r="Z10" s="892">
        <f>'RRT - Subgrupo - IGEO'!U10</f>
        <v>115</v>
      </c>
      <c r="AA10" s="895">
        <f t="shared" si="12"/>
        <v>0.36507936507936506</v>
      </c>
      <c r="AB10" s="892">
        <f>'RRT - Subgrupo - IGEO'!V10</f>
        <v>200</v>
      </c>
      <c r="AC10" s="893">
        <f t="shared" si="13"/>
        <v>0.63492063492063489</v>
      </c>
      <c r="AD10" s="892">
        <f>'RRT - Subgrupo - IGEO'!X10</f>
        <v>231</v>
      </c>
      <c r="AE10" s="895">
        <f t="shared" si="14"/>
        <v>0.51447661469933181</v>
      </c>
      <c r="AF10" s="892">
        <f>'RRT - Subgrupo - IGEO'!Y10</f>
        <v>218</v>
      </c>
      <c r="AG10" s="893">
        <f t="shared" si="15"/>
        <v>0.48552338530066813</v>
      </c>
      <c r="AH10" s="892">
        <f>'RRT - Subgrupo - IGEO'!AA10</f>
        <v>53</v>
      </c>
      <c r="AI10" s="895">
        <f t="shared" si="16"/>
        <v>0.54639175257731953</v>
      </c>
      <c r="AJ10" s="892">
        <f>'RRT - Subgrupo - IGEO'!AB10</f>
        <v>44</v>
      </c>
      <c r="AK10" s="893">
        <f t="shared" si="17"/>
        <v>0.45360824742268041</v>
      </c>
      <c r="AL10" s="892">
        <f>'RRT - Subgrupo - IGEO'!AD10</f>
        <v>46</v>
      </c>
      <c r="AM10" s="895">
        <f t="shared" si="18"/>
        <v>0.5</v>
      </c>
      <c r="AN10" s="892">
        <f>'RRT - Subgrupo - IGEO'!AE10</f>
        <v>46</v>
      </c>
      <c r="AO10" s="893">
        <f t="shared" si="19"/>
        <v>0.5</v>
      </c>
      <c r="AP10" s="896">
        <f>'RRT - Subgrupo - IGEO'!AG10</f>
        <v>8</v>
      </c>
      <c r="AQ10" s="895">
        <f t="shared" si="20"/>
        <v>0.47058823529411764</v>
      </c>
      <c r="AR10" s="892">
        <f>'RRT - Subgrupo - IGEO'!AH10</f>
        <v>9</v>
      </c>
      <c r="AS10" s="893">
        <f t="shared" si="21"/>
        <v>0.52941176470588236</v>
      </c>
      <c r="AT10" s="892">
        <f>'RRT - Subgrupo - IGEO'!AJ10</f>
        <v>1377</v>
      </c>
      <c r="AU10" s="895">
        <f t="shared" si="22"/>
        <v>0.47401032702237522</v>
      </c>
      <c r="AV10" s="892">
        <f>'RRT - Subgrupo - IGEO'!AK10</f>
        <v>1528</v>
      </c>
      <c r="AW10" s="893">
        <f t="shared" si="23"/>
        <v>0.52598967297762478</v>
      </c>
      <c r="AX10" s="892">
        <f>'RRT - Subgrupo - IGEO'!AM10</f>
        <v>177</v>
      </c>
      <c r="AY10" s="895">
        <f t="shared" si="24"/>
        <v>0.45038167938931295</v>
      </c>
      <c r="AZ10" s="892">
        <f>'RRT - Subgrupo - IGEO'!AN10</f>
        <v>216</v>
      </c>
      <c r="BA10" s="893">
        <f t="shared" si="25"/>
        <v>0.54961832061068705</v>
      </c>
      <c r="BB10" s="892">
        <f>'RRT - Subgrupo - IGEO'!AP10</f>
        <v>28</v>
      </c>
      <c r="BC10" s="895">
        <f t="shared" si="26"/>
        <v>0.28282828282828282</v>
      </c>
      <c r="BD10" s="892">
        <f>'RRT - Subgrupo - IGEO'!AQ10</f>
        <v>71</v>
      </c>
      <c r="BE10" s="893">
        <f t="shared" si="27"/>
        <v>0.71717171717171713</v>
      </c>
      <c r="BF10" s="892">
        <f>'RRT - Subgrupo - IGEO'!AS10</f>
        <v>200</v>
      </c>
      <c r="BG10" s="895">
        <f t="shared" si="28"/>
        <v>0.26143790849673204</v>
      </c>
      <c r="BH10" s="892">
        <f>'RRT - Subgrupo - IGEO'!AT10</f>
        <v>565</v>
      </c>
      <c r="BI10" s="893">
        <f t="shared" si="29"/>
        <v>0.73856209150326801</v>
      </c>
      <c r="BJ10" s="892">
        <f>'RRT - Subgrupo - IGEO'!AV10</f>
        <v>432</v>
      </c>
      <c r="BK10" s="895">
        <f t="shared" si="30"/>
        <v>0.49942196531791905</v>
      </c>
      <c r="BL10" s="892">
        <f>'RRT - Subgrupo - IGEO'!AW10</f>
        <v>433</v>
      </c>
      <c r="BM10" s="893">
        <f t="shared" si="31"/>
        <v>0.50057803468208095</v>
      </c>
      <c r="BN10" s="892">
        <f>'RRT - Subgrupo - IGEO'!AY10</f>
        <v>8</v>
      </c>
      <c r="BO10" s="895">
        <f t="shared" si="32"/>
        <v>0.88888888888888884</v>
      </c>
      <c r="BP10" s="892">
        <f>'RRT - Subgrupo - IGEO'!AZ10</f>
        <v>1</v>
      </c>
      <c r="BQ10" s="893">
        <f t="shared" si="33"/>
        <v>0.1111111111111111</v>
      </c>
      <c r="BR10" s="892">
        <f>'RRT - Subgrupo - IGEO'!BB10</f>
        <v>8</v>
      </c>
      <c r="BS10" s="895">
        <f t="shared" si="34"/>
        <v>0.61538461538461542</v>
      </c>
      <c r="BT10" s="892">
        <f>'RRT - Subgrupo - IGEO'!BC10</f>
        <v>5</v>
      </c>
      <c r="BU10" s="893">
        <f t="shared" si="35"/>
        <v>0.38461538461538464</v>
      </c>
      <c r="BV10" s="892">
        <f>'RRT - Subgrupo - IGEO'!BE10</f>
        <v>18</v>
      </c>
      <c r="BW10" s="895">
        <f t="shared" si="36"/>
        <v>0.9</v>
      </c>
      <c r="BX10" s="892">
        <f>'RRT - Subgrupo - IGEO'!BF10</f>
        <v>2</v>
      </c>
      <c r="BY10" s="893">
        <f t="shared" si="37"/>
        <v>0.1</v>
      </c>
      <c r="BZ10" s="892">
        <f>'RRT - Subgrupo - IGEO'!BH10</f>
        <v>4</v>
      </c>
      <c r="CA10" s="895">
        <f t="shared" si="38"/>
        <v>0.5714285714285714</v>
      </c>
      <c r="CB10" s="892">
        <f>'RRT - Subgrupo - IGEO'!BI10</f>
        <v>3</v>
      </c>
      <c r="CC10" s="893">
        <f t="shared" si="39"/>
        <v>0.42857142857142855</v>
      </c>
      <c r="CD10" s="892">
        <f>'RRT - Subgrupo - IGEO'!BK10</f>
        <v>11</v>
      </c>
      <c r="CE10" s="895">
        <f t="shared" si="40"/>
        <v>0.30555555555555558</v>
      </c>
      <c r="CF10" s="892">
        <f>'RRT - Subgrupo - IGEO'!BL10</f>
        <v>25</v>
      </c>
      <c r="CG10" s="893">
        <f t="shared" si="41"/>
        <v>0.69444444444444442</v>
      </c>
      <c r="CH10" s="896">
        <f>'RRT - Subgrupo - IGEO'!BN10</f>
        <v>1</v>
      </c>
      <c r="CI10" s="895">
        <f t="shared" si="42"/>
        <v>0.1111111111111111</v>
      </c>
      <c r="CJ10" s="896">
        <f>'RRT - Subgrupo - IGEO'!BO10</f>
        <v>8</v>
      </c>
      <c r="CK10" s="893">
        <f t="shared" si="43"/>
        <v>0.88888888888888884</v>
      </c>
      <c r="CL10" s="896">
        <f>'RRT - Subgrupo - IGEO'!BQ10</f>
        <v>2</v>
      </c>
      <c r="CM10" s="895">
        <f t="shared" si="44"/>
        <v>0.4</v>
      </c>
      <c r="CN10" s="896">
        <f>'RRT - Subgrupo - IGEO'!BR10</f>
        <v>3</v>
      </c>
      <c r="CO10" s="893">
        <f t="shared" si="45"/>
        <v>0.6</v>
      </c>
      <c r="CP10" s="896">
        <f>'RRT - Subgrupo - IGEO'!BT10</f>
        <v>22</v>
      </c>
      <c r="CQ10" s="895">
        <f t="shared" si="88"/>
        <v>0.62857142857142856</v>
      </c>
      <c r="CR10" s="896">
        <f>'RRT - Subgrupo - IGEO'!BU10</f>
        <v>13</v>
      </c>
      <c r="CS10" s="893">
        <f t="shared" si="89"/>
        <v>0.37142857142857144</v>
      </c>
      <c r="CT10" s="896">
        <f>'RRT - Subgrupo - IGEO'!BW10</f>
        <v>6</v>
      </c>
      <c r="CU10" s="895">
        <f t="shared" si="46"/>
        <v>0.375</v>
      </c>
      <c r="CV10" s="896">
        <f>'RRT - Subgrupo - IGEO'!BX10</f>
        <v>10</v>
      </c>
      <c r="CW10" s="893">
        <f t="shared" si="47"/>
        <v>0.625</v>
      </c>
      <c r="CX10" s="896">
        <f>'RRT - Subgrupo - IGEO'!BZ10</f>
        <v>38</v>
      </c>
      <c r="CY10" s="895">
        <f t="shared" si="48"/>
        <v>0.296875</v>
      </c>
      <c r="CZ10" s="896">
        <f>'RRT - Subgrupo - IGEO'!CA10</f>
        <v>90</v>
      </c>
      <c r="DA10" s="893">
        <f t="shared" si="49"/>
        <v>0.703125</v>
      </c>
      <c r="DB10" s="896">
        <f>'RRT - Subgrupo - IGEO'!CC10</f>
        <v>53</v>
      </c>
      <c r="DC10" s="895">
        <f t="shared" si="50"/>
        <v>0.39849624060150374</v>
      </c>
      <c r="DD10" s="896">
        <f>'RRT - Subgrupo - IGEO'!CD10</f>
        <v>80</v>
      </c>
      <c r="DE10" s="893">
        <f t="shared" si="51"/>
        <v>0.60150375939849621</v>
      </c>
      <c r="DF10" s="892">
        <f>'RRT - Subgrupo - IGEO'!CF10</f>
        <v>104</v>
      </c>
      <c r="DG10" s="895">
        <f t="shared" si="52"/>
        <v>0.56830601092896171</v>
      </c>
      <c r="DH10" s="892">
        <f>'RRT - Subgrupo - IGEO'!CG10</f>
        <v>79</v>
      </c>
      <c r="DI10" s="893">
        <f t="shared" si="53"/>
        <v>0.43169398907103823</v>
      </c>
      <c r="DJ10" s="892">
        <f>'RRT - Subgrupo - IGEO'!CI10</f>
        <v>64</v>
      </c>
      <c r="DK10" s="895">
        <f t="shared" si="54"/>
        <v>0.38554216867469882</v>
      </c>
      <c r="DL10" s="892">
        <f>'RRT - Subgrupo - IGEO'!CJ10</f>
        <v>102</v>
      </c>
      <c r="DM10" s="893">
        <f t="shared" si="55"/>
        <v>0.61445783132530118</v>
      </c>
      <c r="DN10" s="892">
        <f>'RRT - Subgrupo - IGEO'!CL10</f>
        <v>2</v>
      </c>
      <c r="DO10" s="895">
        <f t="shared" si="90"/>
        <v>0.66666666666666663</v>
      </c>
      <c r="DP10" s="892">
        <f>'RRT - Subgrupo - IGEO'!CM10</f>
        <v>1</v>
      </c>
      <c r="DQ10" s="893">
        <f t="shared" si="91"/>
        <v>0.33333333333333331</v>
      </c>
      <c r="DR10" s="892">
        <f>'RRT - Subgrupo - IGEO'!CO10</f>
        <v>63</v>
      </c>
      <c r="DS10" s="895">
        <f t="shared" si="56"/>
        <v>0.92647058823529416</v>
      </c>
      <c r="DT10" s="892">
        <f>'RRT - Subgrupo - IGEO'!CP10</f>
        <v>5</v>
      </c>
      <c r="DU10" s="893">
        <f t="shared" si="57"/>
        <v>7.3529411764705885E-2</v>
      </c>
      <c r="DV10" s="892">
        <f>'RRT - Subgrupo - IGEO'!CR10</f>
        <v>7</v>
      </c>
      <c r="DW10" s="895">
        <f t="shared" si="58"/>
        <v>0.53846153846153844</v>
      </c>
      <c r="DX10" s="892">
        <f>'RRT - Subgrupo - IGEO'!CS10</f>
        <v>6</v>
      </c>
      <c r="DY10" s="893">
        <f t="shared" si="59"/>
        <v>0.46153846153846156</v>
      </c>
      <c r="DZ10" s="892">
        <f>'RRT - Subgrupo - IGEO'!CU10</f>
        <v>12</v>
      </c>
      <c r="EA10" s="895">
        <f t="shared" si="60"/>
        <v>0.42857142857142855</v>
      </c>
      <c r="EB10" s="892">
        <f>'RRT - Subgrupo - IGEO'!CV10</f>
        <v>16</v>
      </c>
      <c r="EC10" s="893">
        <f t="shared" si="61"/>
        <v>0.5714285714285714</v>
      </c>
      <c r="ED10" s="892">
        <f>'RRT - Subgrupo - IGEO'!CX10</f>
        <v>9</v>
      </c>
      <c r="EE10" s="895">
        <f t="shared" si="62"/>
        <v>0.45</v>
      </c>
      <c r="EF10" s="892">
        <f>'RRT - Subgrupo - IGEO'!CY10</f>
        <v>11</v>
      </c>
      <c r="EG10" s="893">
        <f t="shared" si="63"/>
        <v>0.55000000000000004</v>
      </c>
      <c r="EH10" s="892">
        <f>'RRT - Subgrupo - IGEO'!DA10</f>
        <v>190</v>
      </c>
      <c r="EI10" s="895">
        <f t="shared" si="64"/>
        <v>0.32871972318339099</v>
      </c>
      <c r="EJ10" s="892">
        <f>'RRT - Subgrupo - IGEO'!DB10</f>
        <v>388</v>
      </c>
      <c r="EK10" s="893">
        <f t="shared" si="65"/>
        <v>0.67128027681660896</v>
      </c>
      <c r="EL10" s="897">
        <f>'RRT - Subgrupo - IGEO'!DD10</f>
        <v>3</v>
      </c>
      <c r="EM10" s="895">
        <f t="shared" si="66"/>
        <v>0.375</v>
      </c>
      <c r="EN10" s="897">
        <f>'RRT - Subgrupo - IGEO'!DE10</f>
        <v>5</v>
      </c>
      <c r="EO10" s="893">
        <f t="shared" si="67"/>
        <v>0.625</v>
      </c>
      <c r="EP10" s="897">
        <f>'RRT - Subgrupo - IGEO'!DG10</f>
        <v>141</v>
      </c>
      <c r="EQ10" s="895">
        <f t="shared" si="68"/>
        <v>0.49128919860627179</v>
      </c>
      <c r="ER10" s="897">
        <f>'RRT - Subgrupo - IGEO'!DH10</f>
        <v>146</v>
      </c>
      <c r="ES10" s="893">
        <f t="shared" si="69"/>
        <v>0.50871080139372826</v>
      </c>
      <c r="ET10" s="897">
        <f>'RRT - Subgrupo - IGEO'!DJ10</f>
        <v>309</v>
      </c>
      <c r="EU10" s="895">
        <f t="shared" si="70"/>
        <v>0.39922480620155038</v>
      </c>
      <c r="EV10" s="897">
        <f>'RRT - Subgrupo - IGEO'!DK10</f>
        <v>465</v>
      </c>
      <c r="EW10" s="893">
        <f t="shared" si="71"/>
        <v>0.60077519379844957</v>
      </c>
      <c r="EX10" s="897">
        <f>'RRT - Subgrupo - IGEO'!DM10</f>
        <v>14</v>
      </c>
      <c r="EY10" s="895">
        <f t="shared" si="72"/>
        <v>0.36842105263157893</v>
      </c>
      <c r="EZ10" s="897">
        <f>'RRT - Subgrupo - IGEO'!DN10</f>
        <v>24</v>
      </c>
      <c r="FA10" s="893">
        <f t="shared" si="73"/>
        <v>0.63157894736842102</v>
      </c>
      <c r="FB10" s="897">
        <f>'RRT - Subgrupo - IGEO'!DP10</f>
        <v>0</v>
      </c>
      <c r="FC10" s="895">
        <f t="shared" si="104"/>
        <v>0</v>
      </c>
      <c r="FD10" s="897">
        <f>'RRT - Subgrupo - IGEO'!DQ10</f>
        <v>1</v>
      </c>
      <c r="FE10" s="893">
        <f t="shared" si="105"/>
        <v>1</v>
      </c>
      <c r="FF10" s="897"/>
      <c r="FG10" s="895"/>
      <c r="FH10" s="897"/>
      <c r="FI10" s="893"/>
      <c r="FJ10" s="897">
        <f>'RRT - Subgrupo - IGEO'!DV10</f>
        <v>16</v>
      </c>
      <c r="FK10" s="895">
        <f t="shared" si="74"/>
        <v>0.4</v>
      </c>
      <c r="FL10" s="897">
        <f>'RRT - Subgrupo - IGEO'!DW10</f>
        <v>24</v>
      </c>
      <c r="FM10" s="893">
        <f t="shared" si="75"/>
        <v>0.6</v>
      </c>
      <c r="FN10" s="897">
        <f>'RRT - Subgrupo - IGEO'!DY10</f>
        <v>2</v>
      </c>
      <c r="FO10" s="895">
        <f t="shared" si="76"/>
        <v>1</v>
      </c>
      <c r="FP10" s="897">
        <f>'RRT - Subgrupo - IGEO'!DZ10</f>
        <v>0</v>
      </c>
      <c r="FQ10" s="893">
        <f t="shared" si="77"/>
        <v>0</v>
      </c>
      <c r="FR10" s="892"/>
      <c r="FS10" s="895"/>
      <c r="FT10" s="892"/>
      <c r="FU10" s="893"/>
      <c r="FV10" s="892">
        <f>'RRT - Subgrupo - IGEO'!EE10</f>
        <v>1</v>
      </c>
      <c r="FW10" s="895">
        <f t="shared" si="102"/>
        <v>1</v>
      </c>
      <c r="FX10" s="892">
        <f>'RRT - Subgrupo - IGEO'!EF10</f>
        <v>0</v>
      </c>
      <c r="FY10" s="893">
        <f t="shared" si="103"/>
        <v>0</v>
      </c>
      <c r="FZ10" s="892">
        <f>'RRT - Subgrupo - IGEO'!EH10</f>
        <v>7</v>
      </c>
      <c r="GA10" s="895">
        <f t="shared" si="80"/>
        <v>0.875</v>
      </c>
      <c r="GB10" s="892">
        <f>'RRT - Subgrupo - IGEO'!EI10</f>
        <v>1</v>
      </c>
      <c r="GC10" s="893">
        <f t="shared" si="81"/>
        <v>0.125</v>
      </c>
      <c r="GD10" s="892">
        <f>'RRT - Subgrupo - IGEO'!EK10</f>
        <v>18</v>
      </c>
      <c r="GE10" s="895">
        <f t="shared" si="82"/>
        <v>0.6</v>
      </c>
      <c r="GF10" s="892">
        <f>'RRT - Subgrupo - IGEO'!EL10</f>
        <v>12</v>
      </c>
      <c r="GG10" s="893">
        <f t="shared" si="83"/>
        <v>0.4</v>
      </c>
      <c r="GH10" s="892">
        <f>'RRT - Subgrupo - IGEO'!EN10</f>
        <v>12</v>
      </c>
      <c r="GI10" s="895">
        <f t="shared" si="92"/>
        <v>0.92307692307692313</v>
      </c>
      <c r="GJ10" s="892">
        <f>'RRT - Subgrupo - IGEO'!EO10</f>
        <v>1</v>
      </c>
      <c r="GK10" s="893">
        <f t="shared" si="93"/>
        <v>7.6923076923076927E-2</v>
      </c>
      <c r="GL10" s="892">
        <f>'RRT - Subgrupo - IGEO'!EO10</f>
        <v>1</v>
      </c>
      <c r="GM10" s="895">
        <f t="shared" si="96"/>
        <v>1</v>
      </c>
      <c r="GN10" s="892">
        <f>'RRT - Subgrupo - IGEO'!EP10</f>
        <v>0</v>
      </c>
      <c r="GO10" s="893">
        <f t="shared" si="97"/>
        <v>0</v>
      </c>
      <c r="GP10" s="892"/>
      <c r="GQ10" s="895"/>
      <c r="GR10" s="892"/>
      <c r="GS10" s="893"/>
      <c r="GT10" s="892">
        <f>'RRT - Subgrupo - IGEO'!EW10</f>
        <v>2</v>
      </c>
      <c r="GU10" s="895">
        <f t="shared" si="94"/>
        <v>1</v>
      </c>
      <c r="GV10" s="892">
        <f>'RRT - Subgrupo - IGEO'!EX10</f>
        <v>0</v>
      </c>
      <c r="GW10" s="893">
        <f t="shared" si="95"/>
        <v>0</v>
      </c>
      <c r="GX10" s="892">
        <f>'RRT - Subgrupo - IGEO'!EZ10</f>
        <v>12</v>
      </c>
      <c r="GY10" s="895">
        <f t="shared" si="84"/>
        <v>0.92307692307692313</v>
      </c>
      <c r="GZ10" s="892">
        <f>'RRT - Subgrupo - IGEO'!FA10</f>
        <v>1</v>
      </c>
      <c r="HA10" s="893">
        <f t="shared" si="85"/>
        <v>7.6923076923076927E-2</v>
      </c>
      <c r="HB10" s="892">
        <f>'RRT - Subgrupo - IGEO'!FC10</f>
        <v>7</v>
      </c>
      <c r="HC10" s="895">
        <f t="shared" si="86"/>
        <v>0.5</v>
      </c>
      <c r="HD10" s="892">
        <f>'RRT - Subgrupo - IGEO'!FD10</f>
        <v>7</v>
      </c>
      <c r="HE10" s="893">
        <f t="shared" si="87"/>
        <v>0.5</v>
      </c>
    </row>
    <row r="11" spans="1:214" s="876" customFormat="1" ht="18.75">
      <c r="A11" s="891" t="s">
        <v>95</v>
      </c>
      <c r="B11" s="892">
        <f>'RRT - Subgrupo - IGEO'!C11</f>
        <v>6436</v>
      </c>
      <c r="C11" s="893">
        <f t="shared" si="0"/>
        <v>0.43410225279913667</v>
      </c>
      <c r="D11" s="892">
        <f>'RRT - Subgrupo - IGEO'!D11</f>
        <v>8390</v>
      </c>
      <c r="E11" s="893">
        <f t="shared" si="1"/>
        <v>0.56589774720086339</v>
      </c>
      <c r="F11" s="894">
        <f>'RRT - Subgrupo - IGEO'!F11</f>
        <v>2765</v>
      </c>
      <c r="G11" s="893">
        <f t="shared" si="2"/>
        <v>0.5011781765452239</v>
      </c>
      <c r="H11" s="892">
        <f>'RRT - Subgrupo - IGEO'!G11</f>
        <v>2752</v>
      </c>
      <c r="I11" s="893">
        <f t="shared" si="3"/>
        <v>0.49882182345477616</v>
      </c>
      <c r="J11" s="892">
        <f>'RRT - Subgrupo - IGEO'!I11</f>
        <v>118</v>
      </c>
      <c r="K11" s="895">
        <f t="shared" si="4"/>
        <v>0.42293906810035842</v>
      </c>
      <c r="L11" s="892">
        <f>'RRT - Subgrupo - IGEO'!J11</f>
        <v>161</v>
      </c>
      <c r="M11" s="893">
        <f t="shared" si="5"/>
        <v>0.57706093189964158</v>
      </c>
      <c r="N11" s="896">
        <f>'RRT - Subgrupo - IGEO'!L11</f>
        <v>405</v>
      </c>
      <c r="O11" s="895">
        <f t="shared" si="6"/>
        <v>9.9901332017760233E-2</v>
      </c>
      <c r="P11" s="892">
        <f>'RRT - Subgrupo - IGEO'!P11</f>
        <v>3649</v>
      </c>
      <c r="Q11" s="893">
        <f t="shared" si="7"/>
        <v>0.90009866798223981</v>
      </c>
      <c r="R11" s="892">
        <f>'RRT - Subgrupo - IGEO'!O11</f>
        <v>3998</v>
      </c>
      <c r="S11" s="895">
        <f t="shared" si="8"/>
        <v>0.5228194063031254</v>
      </c>
      <c r="T11" s="892">
        <f>'RRT - Subgrupo - IGEO'!P11</f>
        <v>3649</v>
      </c>
      <c r="U11" s="893">
        <f t="shared" si="9"/>
        <v>0.4771805936968746</v>
      </c>
      <c r="V11" s="892">
        <f>'RRT - Subgrupo - IGEO'!R11</f>
        <v>110</v>
      </c>
      <c r="W11" s="895">
        <f t="shared" si="10"/>
        <v>0.54455445544554459</v>
      </c>
      <c r="X11" s="896">
        <f>'RRT - Subgrupo - IGEO'!S11</f>
        <v>92</v>
      </c>
      <c r="Y11" s="893">
        <f t="shared" si="11"/>
        <v>0.45544554455445546</v>
      </c>
      <c r="Z11" s="892">
        <f>'RRT - Subgrupo - IGEO'!U11</f>
        <v>389</v>
      </c>
      <c r="AA11" s="895">
        <f t="shared" si="12"/>
        <v>0.55255681818181823</v>
      </c>
      <c r="AB11" s="892">
        <f>'RRT - Subgrupo - IGEO'!V11</f>
        <v>315</v>
      </c>
      <c r="AC11" s="893">
        <f t="shared" si="13"/>
        <v>0.44744318181818182</v>
      </c>
      <c r="AD11" s="892">
        <f>'RRT - Subgrupo - IGEO'!X11</f>
        <v>892</v>
      </c>
      <c r="AE11" s="895">
        <f t="shared" si="14"/>
        <v>0.51650260567458017</v>
      </c>
      <c r="AF11" s="892">
        <f>'RRT - Subgrupo - IGEO'!Y11</f>
        <v>835</v>
      </c>
      <c r="AG11" s="893">
        <f t="shared" si="15"/>
        <v>0.48349739432541983</v>
      </c>
      <c r="AH11" s="892">
        <f>'RRT - Subgrupo - IGEO'!AA11</f>
        <v>403</v>
      </c>
      <c r="AI11" s="895">
        <f t="shared" si="16"/>
        <v>0.79960317460317465</v>
      </c>
      <c r="AJ11" s="892">
        <f>'RRT - Subgrupo - IGEO'!AB11</f>
        <v>101</v>
      </c>
      <c r="AK11" s="893">
        <f t="shared" si="17"/>
        <v>0.20039682539682541</v>
      </c>
      <c r="AL11" s="892">
        <f>'RRT - Subgrupo - IGEO'!AD11</f>
        <v>106</v>
      </c>
      <c r="AM11" s="895">
        <f t="shared" si="18"/>
        <v>0.4732142857142857</v>
      </c>
      <c r="AN11" s="892">
        <f>'RRT - Subgrupo - IGEO'!AE11</f>
        <v>118</v>
      </c>
      <c r="AO11" s="893">
        <f t="shared" si="19"/>
        <v>0.5267857142857143</v>
      </c>
      <c r="AP11" s="896">
        <f>'RRT - Subgrupo - IGEO'!AG11</f>
        <v>15</v>
      </c>
      <c r="AQ11" s="895">
        <f t="shared" si="20"/>
        <v>0.625</v>
      </c>
      <c r="AR11" s="892">
        <f>'RRT - Subgrupo - IGEO'!AH11</f>
        <v>9</v>
      </c>
      <c r="AS11" s="893">
        <f t="shared" si="21"/>
        <v>0.375</v>
      </c>
      <c r="AT11" s="892">
        <f>'RRT - Subgrupo - IGEO'!AJ11</f>
        <v>3753</v>
      </c>
      <c r="AU11" s="895">
        <f t="shared" si="22"/>
        <v>0.48689673066943434</v>
      </c>
      <c r="AV11" s="892">
        <f>'RRT - Subgrupo - IGEO'!AK11</f>
        <v>3955</v>
      </c>
      <c r="AW11" s="893">
        <f t="shared" si="23"/>
        <v>0.5131032693305656</v>
      </c>
      <c r="AX11" s="892">
        <f>'RRT - Subgrupo - IGEO'!AM11</f>
        <v>2389</v>
      </c>
      <c r="AY11" s="895">
        <f t="shared" si="24"/>
        <v>0.49626090569173242</v>
      </c>
      <c r="AZ11" s="892">
        <f>'RRT - Subgrupo - IGEO'!AN11</f>
        <v>2425</v>
      </c>
      <c r="BA11" s="893">
        <f t="shared" si="25"/>
        <v>0.50373909430826758</v>
      </c>
      <c r="BB11" s="892">
        <f>'RRT - Subgrupo - IGEO'!AP11</f>
        <v>111</v>
      </c>
      <c r="BC11" s="895">
        <f t="shared" si="26"/>
        <v>0.60989010989010994</v>
      </c>
      <c r="BD11" s="892">
        <f>'RRT - Subgrupo - IGEO'!AQ11</f>
        <v>71</v>
      </c>
      <c r="BE11" s="893">
        <f t="shared" si="27"/>
        <v>0.39010989010989011</v>
      </c>
      <c r="BF11" s="892">
        <f>'RRT - Subgrupo - IGEO'!AS11</f>
        <v>217</v>
      </c>
      <c r="BG11" s="895">
        <f t="shared" si="28"/>
        <v>0.43055555555555558</v>
      </c>
      <c r="BH11" s="892">
        <f>'RRT - Subgrupo - IGEO'!AT11</f>
        <v>287</v>
      </c>
      <c r="BI11" s="893">
        <f t="shared" si="29"/>
        <v>0.56944444444444442</v>
      </c>
      <c r="BJ11" s="892">
        <f>'RRT - Subgrupo - IGEO'!AV11</f>
        <v>2960</v>
      </c>
      <c r="BK11" s="895">
        <f t="shared" si="30"/>
        <v>0.51847959362410234</v>
      </c>
      <c r="BL11" s="892">
        <f>'RRT - Subgrupo - IGEO'!AW11</f>
        <v>2749</v>
      </c>
      <c r="BM11" s="893">
        <f t="shared" si="31"/>
        <v>0.48152040637589771</v>
      </c>
      <c r="BN11" s="892">
        <f>'RRT - Subgrupo - IGEO'!AY11</f>
        <v>28</v>
      </c>
      <c r="BO11" s="895">
        <f t="shared" si="32"/>
        <v>0.7</v>
      </c>
      <c r="BP11" s="892">
        <f>'RRT - Subgrupo - IGEO'!AZ11</f>
        <v>12</v>
      </c>
      <c r="BQ11" s="893">
        <f t="shared" si="33"/>
        <v>0.3</v>
      </c>
      <c r="BR11" s="892">
        <f>'RRT - Subgrupo - IGEO'!BB11</f>
        <v>38</v>
      </c>
      <c r="BS11" s="895">
        <f t="shared" si="34"/>
        <v>0.4175824175824176</v>
      </c>
      <c r="BT11" s="892">
        <f>'RRT - Subgrupo - IGEO'!BC11</f>
        <v>53</v>
      </c>
      <c r="BU11" s="893">
        <f t="shared" si="35"/>
        <v>0.58241758241758246</v>
      </c>
      <c r="BV11" s="892">
        <f>'RRT - Subgrupo - IGEO'!BE11</f>
        <v>262</v>
      </c>
      <c r="BW11" s="895">
        <f t="shared" si="36"/>
        <v>0.75287356321839083</v>
      </c>
      <c r="BX11" s="892">
        <f>'RRT - Subgrupo - IGEO'!BF11</f>
        <v>86</v>
      </c>
      <c r="BY11" s="893">
        <f t="shared" si="37"/>
        <v>0.2471264367816092</v>
      </c>
      <c r="BZ11" s="892">
        <f>'RRT - Subgrupo - IGEO'!BH11</f>
        <v>5</v>
      </c>
      <c r="CA11" s="895">
        <f t="shared" si="38"/>
        <v>0.5</v>
      </c>
      <c r="CB11" s="892">
        <f>'RRT - Subgrupo - IGEO'!BI11</f>
        <v>5</v>
      </c>
      <c r="CC11" s="893">
        <f t="shared" si="39"/>
        <v>0.5</v>
      </c>
      <c r="CD11" s="892">
        <f>'RRT - Subgrupo - IGEO'!BK11</f>
        <v>23</v>
      </c>
      <c r="CE11" s="895">
        <f t="shared" si="40"/>
        <v>0.43396226415094341</v>
      </c>
      <c r="CF11" s="892">
        <f>'RRT - Subgrupo - IGEO'!BL11</f>
        <v>30</v>
      </c>
      <c r="CG11" s="893">
        <f t="shared" si="41"/>
        <v>0.56603773584905659</v>
      </c>
      <c r="CH11" s="896">
        <f>'RRT - Subgrupo - IGEO'!BN11</f>
        <v>4</v>
      </c>
      <c r="CI11" s="895">
        <f t="shared" si="42"/>
        <v>0.36363636363636365</v>
      </c>
      <c r="CJ11" s="896">
        <f>'RRT - Subgrupo - IGEO'!BO11</f>
        <v>7</v>
      </c>
      <c r="CK11" s="893">
        <f t="shared" si="43"/>
        <v>0.63636363636363635</v>
      </c>
      <c r="CL11" s="896">
        <f>'RRT - Subgrupo - IGEO'!BQ11</f>
        <v>4</v>
      </c>
      <c r="CM11" s="895">
        <f t="shared" si="44"/>
        <v>0.66666666666666663</v>
      </c>
      <c r="CN11" s="896">
        <f>'RRT - Subgrupo - IGEO'!BR11</f>
        <v>2</v>
      </c>
      <c r="CO11" s="893">
        <f t="shared" si="45"/>
        <v>0.33333333333333331</v>
      </c>
      <c r="CP11" s="896">
        <f>'RRT - Subgrupo - IGEO'!BT11</f>
        <v>7</v>
      </c>
      <c r="CQ11" s="895">
        <f t="shared" si="88"/>
        <v>0.4375</v>
      </c>
      <c r="CR11" s="896">
        <f>'RRT - Subgrupo - IGEO'!BU11</f>
        <v>9</v>
      </c>
      <c r="CS11" s="893">
        <f t="shared" si="89"/>
        <v>0.5625</v>
      </c>
      <c r="CT11" s="896">
        <f>'RRT - Subgrupo - IGEO'!BW11</f>
        <v>5</v>
      </c>
      <c r="CU11" s="895">
        <f t="shared" si="46"/>
        <v>0.83333333333333337</v>
      </c>
      <c r="CV11" s="896">
        <f>'RRT - Subgrupo - IGEO'!BX11</f>
        <v>1</v>
      </c>
      <c r="CW11" s="893">
        <f t="shared" si="47"/>
        <v>0.16666666666666666</v>
      </c>
      <c r="CX11" s="896">
        <f>'RRT - Subgrupo - IGEO'!BZ11</f>
        <v>30</v>
      </c>
      <c r="CY11" s="895">
        <f t="shared" si="48"/>
        <v>0.35714285714285715</v>
      </c>
      <c r="CZ11" s="896">
        <f>'RRT - Subgrupo - IGEO'!CA11</f>
        <v>54</v>
      </c>
      <c r="DA11" s="893">
        <f t="shared" si="49"/>
        <v>0.6428571428571429</v>
      </c>
      <c r="DB11" s="896">
        <f>'RRT - Subgrupo - IGEO'!CC11</f>
        <v>78</v>
      </c>
      <c r="DC11" s="895">
        <f t="shared" si="50"/>
        <v>0.40414507772020725</v>
      </c>
      <c r="DD11" s="896">
        <f>'RRT - Subgrupo - IGEO'!CD11</f>
        <v>115</v>
      </c>
      <c r="DE11" s="893">
        <f t="shared" si="51"/>
        <v>0.59585492227979275</v>
      </c>
      <c r="DF11" s="892">
        <f>'RRT - Subgrupo - IGEO'!CF11</f>
        <v>78</v>
      </c>
      <c r="DG11" s="895">
        <f t="shared" si="52"/>
        <v>0.66101694915254239</v>
      </c>
      <c r="DH11" s="892">
        <f>'RRT - Subgrupo - IGEO'!CG11</f>
        <v>40</v>
      </c>
      <c r="DI11" s="893">
        <f t="shared" si="53"/>
        <v>0.33898305084745761</v>
      </c>
      <c r="DJ11" s="892">
        <f>'RRT - Subgrupo - IGEO'!CI11</f>
        <v>52</v>
      </c>
      <c r="DK11" s="895">
        <f t="shared" si="54"/>
        <v>0.55319148936170215</v>
      </c>
      <c r="DL11" s="892">
        <f>'RRT - Subgrupo - IGEO'!CJ11</f>
        <v>42</v>
      </c>
      <c r="DM11" s="893">
        <f t="shared" si="55"/>
        <v>0.44680851063829785</v>
      </c>
      <c r="DN11" s="892">
        <f>'RRT - Subgrupo - IGEO'!CL11</f>
        <v>0</v>
      </c>
      <c r="DO11" s="895">
        <f t="shared" si="90"/>
        <v>0</v>
      </c>
      <c r="DP11" s="892">
        <f>'RRT - Subgrupo - IGEO'!CM11</f>
        <v>1</v>
      </c>
      <c r="DQ11" s="893">
        <f t="shared" si="91"/>
        <v>1</v>
      </c>
      <c r="DR11" s="892">
        <f>'RRT - Subgrupo - IGEO'!CO11</f>
        <v>2</v>
      </c>
      <c r="DS11" s="895">
        <f t="shared" si="56"/>
        <v>0.1</v>
      </c>
      <c r="DT11" s="892">
        <f>'RRT - Subgrupo - IGEO'!CP11</f>
        <v>18</v>
      </c>
      <c r="DU11" s="893">
        <f t="shared" si="57"/>
        <v>0.9</v>
      </c>
      <c r="DV11" s="892">
        <f>'RRT - Subgrupo - IGEO'!CR11</f>
        <v>7</v>
      </c>
      <c r="DW11" s="895">
        <f t="shared" si="58"/>
        <v>0.3888888888888889</v>
      </c>
      <c r="DX11" s="892">
        <f>'RRT - Subgrupo - IGEO'!CS11</f>
        <v>11</v>
      </c>
      <c r="DY11" s="893">
        <f t="shared" si="59"/>
        <v>0.61111111111111116</v>
      </c>
      <c r="DZ11" s="892">
        <f>'RRT - Subgrupo - IGEO'!CU11</f>
        <v>6</v>
      </c>
      <c r="EA11" s="895">
        <f t="shared" si="60"/>
        <v>0.3</v>
      </c>
      <c r="EB11" s="892">
        <f>'RRT - Subgrupo - IGEO'!CV11</f>
        <v>14</v>
      </c>
      <c r="EC11" s="893">
        <f t="shared" si="61"/>
        <v>0.7</v>
      </c>
      <c r="ED11" s="892">
        <f>'RRT - Subgrupo - IGEO'!CX11</f>
        <v>15</v>
      </c>
      <c r="EE11" s="895">
        <f t="shared" si="62"/>
        <v>0.5357142857142857</v>
      </c>
      <c r="EF11" s="892">
        <f>'RRT - Subgrupo - IGEO'!CY11</f>
        <v>13</v>
      </c>
      <c r="EG11" s="893">
        <f t="shared" si="63"/>
        <v>0.4642857142857143</v>
      </c>
      <c r="EH11" s="892">
        <f>'RRT - Subgrupo - IGEO'!DA11</f>
        <v>82</v>
      </c>
      <c r="EI11" s="895">
        <f t="shared" si="64"/>
        <v>0.55033557046979864</v>
      </c>
      <c r="EJ11" s="892">
        <f>'RRT - Subgrupo - IGEO'!DB11</f>
        <v>67</v>
      </c>
      <c r="EK11" s="893">
        <f t="shared" si="65"/>
        <v>0.44966442953020136</v>
      </c>
      <c r="EL11" s="897">
        <f>'RRT - Subgrupo - IGEO'!DD11</f>
        <v>6</v>
      </c>
      <c r="EM11" s="895">
        <f t="shared" si="66"/>
        <v>1</v>
      </c>
      <c r="EN11" s="897">
        <f>'RRT - Subgrupo - IGEO'!DE11</f>
        <v>0</v>
      </c>
      <c r="EO11" s="893">
        <f t="shared" si="67"/>
        <v>0</v>
      </c>
      <c r="EP11" s="897">
        <f>'RRT - Subgrupo - IGEO'!DG11</f>
        <v>113</v>
      </c>
      <c r="EQ11" s="895">
        <f t="shared" si="68"/>
        <v>0.41391941391941389</v>
      </c>
      <c r="ER11" s="897">
        <f>'RRT - Subgrupo - IGEO'!DH11</f>
        <v>160</v>
      </c>
      <c r="ES11" s="893">
        <f t="shared" si="69"/>
        <v>0.58608058608058611</v>
      </c>
      <c r="ET11" s="897">
        <f>'RRT - Subgrupo - IGEO'!DJ11</f>
        <v>257</v>
      </c>
      <c r="EU11" s="895">
        <f t="shared" si="70"/>
        <v>0.42062193126022912</v>
      </c>
      <c r="EV11" s="897">
        <f>'RRT - Subgrupo - IGEO'!DK11</f>
        <v>354</v>
      </c>
      <c r="EW11" s="893">
        <f t="shared" si="71"/>
        <v>0.57937806873977082</v>
      </c>
      <c r="EX11" s="897">
        <f>'RRT - Subgrupo - IGEO'!DM11</f>
        <v>47</v>
      </c>
      <c r="EY11" s="895">
        <f t="shared" si="72"/>
        <v>0.60256410256410253</v>
      </c>
      <c r="EZ11" s="897">
        <f>'RRT - Subgrupo - IGEO'!DN11</f>
        <v>31</v>
      </c>
      <c r="FA11" s="893">
        <f t="shared" si="73"/>
        <v>0.39743589743589741</v>
      </c>
      <c r="FB11" s="897"/>
      <c r="FC11" s="895"/>
      <c r="FD11" s="897"/>
      <c r="FE11" s="893"/>
      <c r="FF11" s="897"/>
      <c r="FG11" s="895"/>
      <c r="FH11" s="897"/>
      <c r="FI11" s="893"/>
      <c r="FJ11" s="897">
        <f>'RRT - Subgrupo - IGEO'!DV11</f>
        <v>23</v>
      </c>
      <c r="FK11" s="895">
        <f t="shared" si="74"/>
        <v>0.4107142857142857</v>
      </c>
      <c r="FL11" s="897">
        <f>'RRT - Subgrupo - IGEO'!DW11</f>
        <v>33</v>
      </c>
      <c r="FM11" s="893">
        <f t="shared" si="75"/>
        <v>0.5892857142857143</v>
      </c>
      <c r="FN11" s="897"/>
      <c r="FO11" s="895"/>
      <c r="FP11" s="897"/>
      <c r="FQ11" s="893"/>
      <c r="FR11" s="892"/>
      <c r="FS11" s="895"/>
      <c r="FT11" s="892"/>
      <c r="FU11" s="893"/>
      <c r="FV11" s="892">
        <f>'RRT - Subgrupo - IGEO'!EE11</f>
        <v>3</v>
      </c>
      <c r="FW11" s="895">
        <f t="shared" si="102"/>
        <v>1</v>
      </c>
      <c r="FX11" s="892">
        <f>'RRT - Subgrupo - IGEO'!EF11</f>
        <v>0</v>
      </c>
      <c r="FY11" s="893">
        <f t="shared" si="103"/>
        <v>0</v>
      </c>
      <c r="FZ11" s="892">
        <f>'RRT - Subgrupo - IGEO'!EH11</f>
        <v>6</v>
      </c>
      <c r="GA11" s="895">
        <f t="shared" si="80"/>
        <v>0.66666666666666663</v>
      </c>
      <c r="GB11" s="892">
        <f>'RRT - Subgrupo - IGEO'!EI11</f>
        <v>3</v>
      </c>
      <c r="GC11" s="893">
        <f t="shared" si="81"/>
        <v>0.33333333333333331</v>
      </c>
      <c r="GD11" s="892">
        <f>'RRT - Subgrupo - IGEO'!EK11</f>
        <v>8</v>
      </c>
      <c r="GE11" s="895">
        <f t="shared" si="82"/>
        <v>0.47058823529411764</v>
      </c>
      <c r="GF11" s="892">
        <f>'RRT - Subgrupo - IGEO'!EL11</f>
        <v>9</v>
      </c>
      <c r="GG11" s="893">
        <f t="shared" si="83"/>
        <v>0.52941176470588236</v>
      </c>
      <c r="GH11" s="892">
        <f>'RRT - Subgrupo - IGEO'!EN11</f>
        <v>4</v>
      </c>
      <c r="GI11" s="895">
        <f t="shared" si="92"/>
        <v>0.8</v>
      </c>
      <c r="GJ11" s="892">
        <f>'RRT - Subgrupo - IGEO'!EO11</f>
        <v>1</v>
      </c>
      <c r="GK11" s="893">
        <f t="shared" si="93"/>
        <v>0.2</v>
      </c>
      <c r="GL11" s="892">
        <f>'RRT - Subgrupo - IGEO'!EO11</f>
        <v>1</v>
      </c>
      <c r="GM11" s="895">
        <f t="shared" si="96"/>
        <v>0.2</v>
      </c>
      <c r="GN11" s="892">
        <f>'RRT - Subgrupo - IGEO'!EP11</f>
        <v>4</v>
      </c>
      <c r="GO11" s="893">
        <f t="shared" si="97"/>
        <v>0.8</v>
      </c>
      <c r="GP11" s="892">
        <f>'RRT - Subgrupo - IGEO'!EQ11</f>
        <v>3</v>
      </c>
      <c r="GQ11" s="895">
        <f t="shared" si="98"/>
        <v>0.75</v>
      </c>
      <c r="GR11" s="892">
        <f>'RRT - Subgrupo - IGEO'!ER11</f>
        <v>1</v>
      </c>
      <c r="GS11" s="893">
        <f t="shared" si="99"/>
        <v>0.25</v>
      </c>
      <c r="GT11" s="892">
        <f>'RRT - Subgrupo - IGEO'!EW11</f>
        <v>1</v>
      </c>
      <c r="GU11" s="895">
        <f t="shared" si="94"/>
        <v>0.16666666666666666</v>
      </c>
      <c r="GV11" s="892">
        <f>'RRT - Subgrupo - IGEO'!EX11</f>
        <v>5</v>
      </c>
      <c r="GW11" s="893">
        <f t="shared" si="95"/>
        <v>0.83333333333333337</v>
      </c>
      <c r="GX11" s="892">
        <f>'RRT - Subgrupo - IGEO'!EZ11</f>
        <v>4</v>
      </c>
      <c r="GY11" s="895">
        <f t="shared" si="84"/>
        <v>0.8</v>
      </c>
      <c r="GZ11" s="892">
        <f>'RRT - Subgrupo - IGEO'!FA11</f>
        <v>1</v>
      </c>
      <c r="HA11" s="893">
        <f t="shared" si="85"/>
        <v>0.2</v>
      </c>
      <c r="HB11" s="892">
        <f>'RRT - Subgrupo - IGEO'!FC11</f>
        <v>3</v>
      </c>
      <c r="HC11" s="895">
        <f t="shared" si="86"/>
        <v>0.375</v>
      </c>
      <c r="HD11" s="892">
        <f>'RRT - Subgrupo - IGEO'!FD11</f>
        <v>5</v>
      </c>
      <c r="HE11" s="893">
        <f t="shared" si="87"/>
        <v>0.625</v>
      </c>
    </row>
    <row r="12" spans="1:214" s="876" customFormat="1" ht="18.75">
      <c r="A12" s="891" t="s">
        <v>96</v>
      </c>
      <c r="B12" s="892">
        <f>'RRT - Subgrupo - IGEO'!C12</f>
        <v>1222</v>
      </c>
      <c r="C12" s="893">
        <f t="shared" si="0"/>
        <v>0.53596491228070176</v>
      </c>
      <c r="D12" s="892">
        <f>'RRT - Subgrupo - IGEO'!D12</f>
        <v>1058</v>
      </c>
      <c r="E12" s="893">
        <f t="shared" si="1"/>
        <v>0.46403508771929824</v>
      </c>
      <c r="F12" s="894">
        <f>'RRT - Subgrupo - IGEO'!F12</f>
        <v>145</v>
      </c>
      <c r="G12" s="893">
        <f t="shared" si="2"/>
        <v>0.74358974358974361</v>
      </c>
      <c r="H12" s="892">
        <f>'RRT - Subgrupo - IGEO'!G12</f>
        <v>50</v>
      </c>
      <c r="I12" s="893">
        <f t="shared" si="3"/>
        <v>0.25641025641025639</v>
      </c>
      <c r="J12" s="892">
        <f>'RRT - Subgrupo - IGEO'!I12</f>
        <v>31</v>
      </c>
      <c r="K12" s="895">
        <f t="shared" si="4"/>
        <v>0.46268656716417911</v>
      </c>
      <c r="L12" s="892">
        <f>'RRT - Subgrupo - IGEO'!J12</f>
        <v>36</v>
      </c>
      <c r="M12" s="893">
        <f t="shared" si="5"/>
        <v>0.53731343283582089</v>
      </c>
      <c r="N12" s="896">
        <f>'RRT - Subgrupo - IGEO'!L12</f>
        <v>114</v>
      </c>
      <c r="O12" s="895">
        <f t="shared" si="6"/>
        <v>0.35403726708074534</v>
      </c>
      <c r="P12" s="892">
        <f>'RRT - Subgrupo - IGEO'!P12</f>
        <v>208</v>
      </c>
      <c r="Q12" s="893">
        <f t="shared" si="7"/>
        <v>0.64596273291925466</v>
      </c>
      <c r="R12" s="892">
        <f>'RRT - Subgrupo - IGEO'!O12</f>
        <v>420</v>
      </c>
      <c r="S12" s="895">
        <f t="shared" si="8"/>
        <v>0.66878980891719741</v>
      </c>
      <c r="T12" s="892">
        <f>'RRT - Subgrupo - IGEO'!P12</f>
        <v>208</v>
      </c>
      <c r="U12" s="893">
        <f t="shared" si="9"/>
        <v>0.33121019108280253</v>
      </c>
      <c r="V12" s="892">
        <f>'RRT - Subgrupo - IGEO'!R12</f>
        <v>14</v>
      </c>
      <c r="W12" s="895">
        <f t="shared" si="10"/>
        <v>0.14141414141414141</v>
      </c>
      <c r="X12" s="896">
        <f>'RRT - Subgrupo - IGEO'!S12</f>
        <v>85</v>
      </c>
      <c r="Y12" s="893">
        <f t="shared" si="11"/>
        <v>0.85858585858585856</v>
      </c>
      <c r="Z12" s="892">
        <f>'RRT - Subgrupo - IGEO'!U12</f>
        <v>160</v>
      </c>
      <c r="AA12" s="895">
        <f t="shared" si="12"/>
        <v>0.58823529411764708</v>
      </c>
      <c r="AB12" s="892">
        <f>'RRT - Subgrupo - IGEO'!V12</f>
        <v>112</v>
      </c>
      <c r="AC12" s="893">
        <f t="shared" si="13"/>
        <v>0.41176470588235292</v>
      </c>
      <c r="AD12" s="892">
        <f>'RRT - Subgrupo - IGEO'!X12</f>
        <v>184</v>
      </c>
      <c r="AE12" s="895">
        <f t="shared" si="14"/>
        <v>0.454320987654321</v>
      </c>
      <c r="AF12" s="892">
        <f>'RRT - Subgrupo - IGEO'!Y12</f>
        <v>221</v>
      </c>
      <c r="AG12" s="893">
        <f t="shared" si="15"/>
        <v>0.54567901234567906</v>
      </c>
      <c r="AH12" s="892">
        <f>'RRT - Subgrupo - IGEO'!AA12</f>
        <v>14</v>
      </c>
      <c r="AI12" s="895">
        <f t="shared" si="16"/>
        <v>0.15555555555555556</v>
      </c>
      <c r="AJ12" s="892">
        <f>'RRT - Subgrupo - IGEO'!AB12</f>
        <v>76</v>
      </c>
      <c r="AK12" s="893">
        <f t="shared" si="17"/>
        <v>0.84444444444444444</v>
      </c>
      <c r="AL12" s="892">
        <f>'RRT - Subgrupo - IGEO'!AD12</f>
        <v>68</v>
      </c>
      <c r="AM12" s="895">
        <f t="shared" si="18"/>
        <v>0.41717791411042943</v>
      </c>
      <c r="AN12" s="892">
        <f>'RRT - Subgrupo - IGEO'!AE12</f>
        <v>95</v>
      </c>
      <c r="AO12" s="893">
        <f t="shared" si="19"/>
        <v>0.58282208588957052</v>
      </c>
      <c r="AP12" s="896">
        <f>'RRT - Subgrupo - IGEO'!AG12</f>
        <v>7</v>
      </c>
      <c r="AQ12" s="895">
        <f t="shared" si="20"/>
        <v>0.5</v>
      </c>
      <c r="AR12" s="892">
        <f>'RRT - Subgrupo - IGEO'!AH12</f>
        <v>7</v>
      </c>
      <c r="AS12" s="893">
        <f t="shared" si="21"/>
        <v>0.5</v>
      </c>
      <c r="AT12" s="892">
        <f>'RRT - Subgrupo - IGEO'!AJ12</f>
        <v>545</v>
      </c>
      <c r="AU12" s="895">
        <f t="shared" si="22"/>
        <v>0.625</v>
      </c>
      <c r="AV12" s="892">
        <f>'RRT - Subgrupo - IGEO'!AK12</f>
        <v>327</v>
      </c>
      <c r="AW12" s="893">
        <f t="shared" si="23"/>
        <v>0.375</v>
      </c>
      <c r="AX12" s="892">
        <f>'RRT - Subgrupo - IGEO'!AM12</f>
        <v>114</v>
      </c>
      <c r="AY12" s="895">
        <f t="shared" si="24"/>
        <v>0.69512195121951215</v>
      </c>
      <c r="AZ12" s="892">
        <f>'RRT - Subgrupo - IGEO'!AN12</f>
        <v>50</v>
      </c>
      <c r="BA12" s="893">
        <f t="shared" si="25"/>
        <v>0.3048780487804878</v>
      </c>
      <c r="BB12" s="892">
        <f>'RRT - Subgrupo - IGEO'!AP12</f>
        <v>32</v>
      </c>
      <c r="BC12" s="895">
        <f t="shared" si="26"/>
        <v>0.62745098039215685</v>
      </c>
      <c r="BD12" s="892">
        <f>'RRT - Subgrupo - IGEO'!AQ12</f>
        <v>19</v>
      </c>
      <c r="BE12" s="893">
        <f t="shared" si="27"/>
        <v>0.37254901960784315</v>
      </c>
      <c r="BF12" s="892">
        <f>'RRT - Subgrupo - IGEO'!AS12</f>
        <v>77</v>
      </c>
      <c r="BG12" s="895">
        <f t="shared" si="28"/>
        <v>0.33189655172413796</v>
      </c>
      <c r="BH12" s="892">
        <f>'RRT - Subgrupo - IGEO'!AT12</f>
        <v>155</v>
      </c>
      <c r="BI12" s="893">
        <f t="shared" si="29"/>
        <v>0.6681034482758621</v>
      </c>
      <c r="BJ12" s="892">
        <f>'RRT - Subgrupo - IGEO'!AV12</f>
        <v>254</v>
      </c>
      <c r="BK12" s="895">
        <f t="shared" si="30"/>
        <v>0.72988505747126442</v>
      </c>
      <c r="BL12" s="892">
        <f>'RRT - Subgrupo - IGEO'!AW12</f>
        <v>94</v>
      </c>
      <c r="BM12" s="893">
        <f t="shared" si="31"/>
        <v>0.27011494252873564</v>
      </c>
      <c r="BN12" s="892">
        <f>'RRT - Subgrupo - IGEO'!AY12</f>
        <v>4</v>
      </c>
      <c r="BO12" s="895">
        <f t="shared" si="32"/>
        <v>0.5714285714285714</v>
      </c>
      <c r="BP12" s="892">
        <f>'RRT - Subgrupo - IGEO'!AZ12</f>
        <v>3</v>
      </c>
      <c r="BQ12" s="893">
        <f t="shared" si="33"/>
        <v>0.42857142857142855</v>
      </c>
      <c r="BR12" s="892">
        <f>'RRT - Subgrupo - IGEO'!BB12</f>
        <v>21</v>
      </c>
      <c r="BS12" s="895">
        <f t="shared" si="34"/>
        <v>0.65625</v>
      </c>
      <c r="BT12" s="892">
        <f>'RRT - Subgrupo - IGEO'!BC12</f>
        <v>11</v>
      </c>
      <c r="BU12" s="893">
        <f t="shared" si="35"/>
        <v>0.34375</v>
      </c>
      <c r="BV12" s="892">
        <f>'RRT - Subgrupo - IGEO'!BE12</f>
        <v>8</v>
      </c>
      <c r="BW12" s="895">
        <f t="shared" si="36"/>
        <v>0.42105263157894735</v>
      </c>
      <c r="BX12" s="892">
        <f>'RRT - Subgrupo - IGEO'!BF12</f>
        <v>11</v>
      </c>
      <c r="BY12" s="893">
        <f t="shared" si="37"/>
        <v>0.57894736842105265</v>
      </c>
      <c r="BZ12" s="892">
        <f>'RRT - Subgrupo - IGEO'!BH12</f>
        <v>5</v>
      </c>
      <c r="CA12" s="895">
        <f t="shared" si="38"/>
        <v>0.83333333333333337</v>
      </c>
      <c r="CB12" s="892">
        <f>'RRT - Subgrupo - IGEO'!BI12</f>
        <v>1</v>
      </c>
      <c r="CC12" s="893">
        <f t="shared" si="39"/>
        <v>0.16666666666666666</v>
      </c>
      <c r="CD12" s="892">
        <f>'RRT - Subgrupo - IGEO'!BK12</f>
        <v>6</v>
      </c>
      <c r="CE12" s="895">
        <f t="shared" si="40"/>
        <v>0.2608695652173913</v>
      </c>
      <c r="CF12" s="892">
        <f>'RRT - Subgrupo - IGEO'!BL12</f>
        <v>17</v>
      </c>
      <c r="CG12" s="893">
        <f t="shared" si="41"/>
        <v>0.73913043478260865</v>
      </c>
      <c r="CH12" s="896">
        <f>'RRT - Subgrupo - IGEO'!BN12</f>
        <v>0</v>
      </c>
      <c r="CI12" s="895">
        <f t="shared" si="42"/>
        <v>0</v>
      </c>
      <c r="CJ12" s="896">
        <f>'RRT - Subgrupo - IGEO'!BO12</f>
        <v>5</v>
      </c>
      <c r="CK12" s="893">
        <f t="shared" si="43"/>
        <v>1</v>
      </c>
      <c r="CL12" s="896">
        <f>'RRT - Subgrupo - IGEO'!BQ12</f>
        <v>2</v>
      </c>
      <c r="CM12" s="895">
        <f t="shared" si="44"/>
        <v>0.5</v>
      </c>
      <c r="CN12" s="896">
        <f>'RRT - Subgrupo - IGEO'!BR12</f>
        <v>2</v>
      </c>
      <c r="CO12" s="893">
        <f t="shared" si="45"/>
        <v>0.5</v>
      </c>
      <c r="CP12" s="896">
        <f>'RRT - Subgrupo - IGEO'!BT12</f>
        <v>4</v>
      </c>
      <c r="CQ12" s="895">
        <f t="shared" si="88"/>
        <v>0.30769230769230771</v>
      </c>
      <c r="CR12" s="896">
        <f>'RRT - Subgrupo - IGEO'!BU12</f>
        <v>9</v>
      </c>
      <c r="CS12" s="893">
        <f t="shared" si="89"/>
        <v>0.69230769230769229</v>
      </c>
      <c r="CT12" s="896">
        <f>'RRT - Subgrupo - IGEO'!BW12</f>
        <v>3</v>
      </c>
      <c r="CU12" s="895">
        <f t="shared" si="46"/>
        <v>0.42857142857142855</v>
      </c>
      <c r="CV12" s="896">
        <f>'RRT - Subgrupo - IGEO'!BX12</f>
        <v>4</v>
      </c>
      <c r="CW12" s="893">
        <f t="shared" si="47"/>
        <v>0.5714285714285714</v>
      </c>
      <c r="CX12" s="896">
        <f>'RRT - Subgrupo - IGEO'!BZ12</f>
        <v>23</v>
      </c>
      <c r="CY12" s="895">
        <f t="shared" si="48"/>
        <v>0.57499999999999996</v>
      </c>
      <c r="CZ12" s="896">
        <f>'RRT - Subgrupo - IGEO'!CA12</f>
        <v>17</v>
      </c>
      <c r="DA12" s="893">
        <f t="shared" si="49"/>
        <v>0.42499999999999999</v>
      </c>
      <c r="DB12" s="896">
        <f>'RRT - Subgrupo - IGEO'!CC12</f>
        <v>24</v>
      </c>
      <c r="DC12" s="895">
        <f t="shared" si="50"/>
        <v>0.5</v>
      </c>
      <c r="DD12" s="896">
        <f>'RRT - Subgrupo - IGEO'!CD12</f>
        <v>24</v>
      </c>
      <c r="DE12" s="893">
        <f t="shared" si="51"/>
        <v>0.5</v>
      </c>
      <c r="DF12" s="892">
        <f>'RRT - Subgrupo - IGEO'!CF12</f>
        <v>179</v>
      </c>
      <c r="DG12" s="895">
        <f t="shared" si="52"/>
        <v>0.8689320388349514</v>
      </c>
      <c r="DH12" s="892">
        <f>'RRT - Subgrupo - IGEO'!CG12</f>
        <v>27</v>
      </c>
      <c r="DI12" s="893">
        <f t="shared" si="53"/>
        <v>0.13106796116504854</v>
      </c>
      <c r="DJ12" s="892">
        <f>'RRT - Subgrupo - IGEO'!CI12</f>
        <v>70</v>
      </c>
      <c r="DK12" s="895">
        <f t="shared" si="54"/>
        <v>0.75268817204301075</v>
      </c>
      <c r="DL12" s="892">
        <f>'RRT - Subgrupo - IGEO'!CJ12</f>
        <v>23</v>
      </c>
      <c r="DM12" s="893">
        <f t="shared" si="55"/>
        <v>0.24731182795698925</v>
      </c>
      <c r="DN12" s="892"/>
      <c r="DO12" s="895"/>
      <c r="DP12" s="892"/>
      <c r="DQ12" s="893"/>
      <c r="DR12" s="892">
        <f>'RRT - Subgrupo - IGEO'!CO12</f>
        <v>5</v>
      </c>
      <c r="DS12" s="895">
        <f t="shared" si="56"/>
        <v>0.625</v>
      </c>
      <c r="DT12" s="892">
        <f>'RRT - Subgrupo - IGEO'!CP12</f>
        <v>3</v>
      </c>
      <c r="DU12" s="893">
        <f t="shared" si="57"/>
        <v>0.375</v>
      </c>
      <c r="DV12" s="892">
        <f>'RRT - Subgrupo - IGEO'!CR12</f>
        <v>4</v>
      </c>
      <c r="DW12" s="895">
        <f t="shared" si="58"/>
        <v>0.22222222222222221</v>
      </c>
      <c r="DX12" s="892">
        <f>'RRT - Subgrupo - IGEO'!CS12</f>
        <v>14</v>
      </c>
      <c r="DY12" s="893">
        <f t="shared" si="59"/>
        <v>0.77777777777777779</v>
      </c>
      <c r="DZ12" s="892">
        <f>'RRT - Subgrupo - IGEO'!CU12</f>
        <v>8</v>
      </c>
      <c r="EA12" s="895">
        <f t="shared" si="60"/>
        <v>0.44444444444444442</v>
      </c>
      <c r="EB12" s="892">
        <f>'RRT - Subgrupo - IGEO'!CV12</f>
        <v>10</v>
      </c>
      <c r="EC12" s="893">
        <f t="shared" si="61"/>
        <v>0.55555555555555558</v>
      </c>
      <c r="ED12" s="892">
        <f>'RRT - Subgrupo - IGEO'!CX12</f>
        <v>7</v>
      </c>
      <c r="EE12" s="895">
        <f t="shared" si="62"/>
        <v>0.4375</v>
      </c>
      <c r="EF12" s="892">
        <f>'RRT - Subgrupo - IGEO'!CY12</f>
        <v>9</v>
      </c>
      <c r="EG12" s="893">
        <f t="shared" si="63"/>
        <v>0.5625</v>
      </c>
      <c r="EH12" s="892">
        <f>'RRT - Subgrupo - IGEO'!DA12</f>
        <v>53</v>
      </c>
      <c r="EI12" s="895">
        <f t="shared" si="64"/>
        <v>0.67088607594936711</v>
      </c>
      <c r="EJ12" s="892">
        <f>'RRT - Subgrupo - IGEO'!DB12</f>
        <v>26</v>
      </c>
      <c r="EK12" s="893">
        <f t="shared" si="65"/>
        <v>0.32911392405063289</v>
      </c>
      <c r="EL12" s="897">
        <f>'RRT - Subgrupo - IGEO'!DD12</f>
        <v>2</v>
      </c>
      <c r="EM12" s="895">
        <f t="shared" si="66"/>
        <v>0.66666666666666663</v>
      </c>
      <c r="EN12" s="897">
        <f>'RRT - Subgrupo - IGEO'!DE12</f>
        <v>1</v>
      </c>
      <c r="EO12" s="893">
        <f t="shared" si="67"/>
        <v>0.33333333333333331</v>
      </c>
      <c r="EP12" s="897">
        <f>'RRT - Subgrupo - IGEO'!DG12</f>
        <v>64</v>
      </c>
      <c r="EQ12" s="895">
        <f t="shared" si="68"/>
        <v>0.46715328467153283</v>
      </c>
      <c r="ER12" s="897">
        <f>'RRT - Subgrupo - IGEO'!DH12</f>
        <v>73</v>
      </c>
      <c r="ES12" s="893">
        <f t="shared" si="69"/>
        <v>0.53284671532846717</v>
      </c>
      <c r="ET12" s="897">
        <f>'RRT - Subgrupo - IGEO'!DJ12</f>
        <v>48</v>
      </c>
      <c r="EU12" s="895">
        <f t="shared" si="70"/>
        <v>0.46601941747572817</v>
      </c>
      <c r="EV12" s="897">
        <f>'RRT - Subgrupo - IGEO'!DK12</f>
        <v>55</v>
      </c>
      <c r="EW12" s="893">
        <f t="shared" si="71"/>
        <v>0.53398058252427183</v>
      </c>
      <c r="EX12" s="897">
        <f>'RRT - Subgrupo - IGEO'!DM12</f>
        <v>39</v>
      </c>
      <c r="EY12" s="895">
        <f t="shared" si="72"/>
        <v>0.82978723404255317</v>
      </c>
      <c r="EZ12" s="897">
        <f>'RRT - Subgrupo - IGEO'!DN12</f>
        <v>8</v>
      </c>
      <c r="FA12" s="893">
        <f t="shared" si="73"/>
        <v>0.1702127659574468</v>
      </c>
      <c r="FB12" s="897"/>
      <c r="FC12" s="895"/>
      <c r="FD12" s="897"/>
      <c r="FE12" s="893"/>
      <c r="FF12" s="897"/>
      <c r="FG12" s="895"/>
      <c r="FH12" s="897"/>
      <c r="FI12" s="893"/>
      <c r="FJ12" s="897">
        <f>'RRT - Subgrupo - IGEO'!DV12</f>
        <v>7</v>
      </c>
      <c r="FK12" s="895">
        <f t="shared" si="74"/>
        <v>0.4375</v>
      </c>
      <c r="FL12" s="897">
        <f>'RRT - Subgrupo - IGEO'!DW12</f>
        <v>9</v>
      </c>
      <c r="FM12" s="893">
        <f t="shared" si="75"/>
        <v>0.5625</v>
      </c>
      <c r="FN12" s="897">
        <f>'RRT - Subgrupo - IGEO'!DY12</f>
        <v>1</v>
      </c>
      <c r="FO12" s="895">
        <f t="shared" si="76"/>
        <v>0.2</v>
      </c>
      <c r="FP12" s="897">
        <f>'RRT - Subgrupo - IGEO'!DZ12</f>
        <v>4</v>
      </c>
      <c r="FQ12" s="893">
        <f t="shared" si="77"/>
        <v>0.8</v>
      </c>
      <c r="FR12" s="892">
        <f>'RRT - Subgrupo - IGEO'!EB12</f>
        <v>0</v>
      </c>
      <c r="FS12" s="895">
        <f t="shared" si="78"/>
        <v>0</v>
      </c>
      <c r="FT12" s="892">
        <f>'RRT - Subgrupo - IGEO'!DZ12</f>
        <v>4</v>
      </c>
      <c r="FU12" s="893">
        <f t="shared" si="79"/>
        <v>1</v>
      </c>
      <c r="FV12" s="892"/>
      <c r="FW12" s="895"/>
      <c r="FX12" s="892"/>
      <c r="FY12" s="893"/>
      <c r="FZ12" s="892">
        <f>'RRT - Subgrupo - IGEO'!EH12</f>
        <v>15</v>
      </c>
      <c r="GA12" s="895">
        <f t="shared" si="80"/>
        <v>0.75</v>
      </c>
      <c r="GB12" s="892">
        <f>'RRT - Subgrupo - IGEO'!EI12</f>
        <v>5</v>
      </c>
      <c r="GC12" s="893">
        <f t="shared" si="81"/>
        <v>0.25</v>
      </c>
      <c r="GD12" s="892">
        <f>'RRT - Subgrupo - IGEO'!EK12</f>
        <v>3</v>
      </c>
      <c r="GE12" s="895">
        <f t="shared" si="82"/>
        <v>0.2</v>
      </c>
      <c r="GF12" s="892">
        <f>'RRT - Subgrupo - IGEO'!EL12</f>
        <v>12</v>
      </c>
      <c r="GG12" s="893">
        <f t="shared" si="83"/>
        <v>0.8</v>
      </c>
      <c r="GH12" s="892">
        <f>'RRT - Subgrupo - IGEO'!EN12</f>
        <v>2</v>
      </c>
      <c r="GI12" s="895">
        <f t="shared" si="92"/>
        <v>1</v>
      </c>
      <c r="GJ12" s="892">
        <f>'RRT - Subgrupo - IGEO'!EO12</f>
        <v>0</v>
      </c>
      <c r="GK12" s="893">
        <f t="shared" si="93"/>
        <v>0</v>
      </c>
      <c r="GL12" s="892">
        <f>'RRT - Subgrupo - IGEO'!EO12</f>
        <v>0</v>
      </c>
      <c r="GM12" s="895">
        <f t="shared" si="96"/>
        <v>0</v>
      </c>
      <c r="GN12" s="892">
        <f>'RRT - Subgrupo - IGEO'!EP12</f>
        <v>1</v>
      </c>
      <c r="GO12" s="893">
        <f t="shared" si="97"/>
        <v>1</v>
      </c>
      <c r="GP12" s="892">
        <f>'RRT - Subgrupo - IGEO'!EQ12</f>
        <v>1</v>
      </c>
      <c r="GQ12" s="895">
        <f t="shared" si="98"/>
        <v>1</v>
      </c>
      <c r="GR12" s="892">
        <f>'RRT - Subgrupo - IGEO'!ER12</f>
        <v>0</v>
      </c>
      <c r="GS12" s="893">
        <f t="shared" si="99"/>
        <v>0</v>
      </c>
      <c r="GT12" s="892">
        <f>'RRT - Subgrupo - IGEO'!EW12</f>
        <v>2</v>
      </c>
      <c r="GU12" s="895">
        <f t="shared" si="94"/>
        <v>0.66666666666666663</v>
      </c>
      <c r="GV12" s="892">
        <f>'RRT - Subgrupo - IGEO'!EX12</f>
        <v>1</v>
      </c>
      <c r="GW12" s="893">
        <f t="shared" si="95"/>
        <v>0.33333333333333331</v>
      </c>
      <c r="GX12" s="892">
        <f>'RRT - Subgrupo - IGEO'!EZ12</f>
        <v>2</v>
      </c>
      <c r="GY12" s="895">
        <f t="shared" si="84"/>
        <v>0.33333333333333331</v>
      </c>
      <c r="GZ12" s="892">
        <f>'RRT - Subgrupo - IGEO'!FA12</f>
        <v>4</v>
      </c>
      <c r="HA12" s="893">
        <f t="shared" si="85"/>
        <v>0.66666666666666663</v>
      </c>
      <c r="HB12" s="892">
        <f>'RRT - Subgrupo - IGEO'!FC12</f>
        <v>8</v>
      </c>
      <c r="HC12" s="895">
        <f t="shared" si="86"/>
        <v>0.5714285714285714</v>
      </c>
      <c r="HD12" s="892">
        <f>'RRT - Subgrupo - IGEO'!FD12</f>
        <v>6</v>
      </c>
      <c r="HE12" s="893">
        <f t="shared" si="87"/>
        <v>0.42857142857142855</v>
      </c>
    </row>
    <row r="13" spans="1:214" s="876" customFormat="1" ht="18.75">
      <c r="A13" s="891" t="s">
        <v>99</v>
      </c>
      <c r="B13" s="892">
        <f>'RRT - Subgrupo - IGEO'!C13</f>
        <v>11925</v>
      </c>
      <c r="C13" s="893">
        <f t="shared" si="0"/>
        <v>0.42029394142318399</v>
      </c>
      <c r="D13" s="892">
        <f>'RRT - Subgrupo - IGEO'!D13</f>
        <v>16448</v>
      </c>
      <c r="E13" s="893">
        <f t="shared" si="1"/>
        <v>0.57970605857681601</v>
      </c>
      <c r="F13" s="894">
        <f>'RRT - Subgrupo - IGEO'!F13</f>
        <v>2220</v>
      </c>
      <c r="G13" s="893">
        <f t="shared" si="2"/>
        <v>0.62641083521444696</v>
      </c>
      <c r="H13" s="892">
        <f>'RRT - Subgrupo - IGEO'!G13</f>
        <v>1324</v>
      </c>
      <c r="I13" s="893">
        <f t="shared" si="3"/>
        <v>0.37358916478555304</v>
      </c>
      <c r="J13" s="892">
        <f>'RRT - Subgrupo - IGEO'!I13</f>
        <v>204</v>
      </c>
      <c r="K13" s="895">
        <f t="shared" si="4"/>
        <v>0.51127819548872178</v>
      </c>
      <c r="L13" s="892">
        <f>'RRT - Subgrupo - IGEO'!J13</f>
        <v>195</v>
      </c>
      <c r="M13" s="893">
        <f t="shared" si="5"/>
        <v>0.48872180451127817</v>
      </c>
      <c r="N13" s="896">
        <f>'RRT - Subgrupo - IGEO'!L13</f>
        <v>544</v>
      </c>
      <c r="O13" s="895">
        <f t="shared" si="6"/>
        <v>0.18967921896792189</v>
      </c>
      <c r="P13" s="892">
        <f>'RRT - Subgrupo - IGEO'!P13</f>
        <v>2324</v>
      </c>
      <c r="Q13" s="893">
        <f t="shared" si="7"/>
        <v>0.81032078103207805</v>
      </c>
      <c r="R13" s="892">
        <f>'RRT - Subgrupo - IGEO'!O13</f>
        <v>3316</v>
      </c>
      <c r="S13" s="895">
        <f t="shared" si="8"/>
        <v>0.58794326241134753</v>
      </c>
      <c r="T13" s="892">
        <f>'RRT - Subgrupo - IGEO'!P13</f>
        <v>2324</v>
      </c>
      <c r="U13" s="893">
        <f t="shared" si="9"/>
        <v>0.41205673758865247</v>
      </c>
      <c r="V13" s="892">
        <f>'RRT - Subgrupo - IGEO'!R13</f>
        <v>164</v>
      </c>
      <c r="W13" s="895">
        <f t="shared" si="10"/>
        <v>0.36607142857142855</v>
      </c>
      <c r="X13" s="896">
        <f>'RRT - Subgrupo - IGEO'!S13</f>
        <v>284</v>
      </c>
      <c r="Y13" s="893">
        <f t="shared" si="11"/>
        <v>0.6339285714285714</v>
      </c>
      <c r="Z13" s="892">
        <f>'RRT - Subgrupo - IGEO'!U13</f>
        <v>796</v>
      </c>
      <c r="AA13" s="895">
        <f t="shared" si="12"/>
        <v>0.47750449910017995</v>
      </c>
      <c r="AB13" s="892">
        <f>'RRT - Subgrupo - IGEO'!V13</f>
        <v>871</v>
      </c>
      <c r="AC13" s="893">
        <f t="shared" si="13"/>
        <v>0.52249550089982</v>
      </c>
      <c r="AD13" s="892">
        <f>'RRT - Subgrupo - IGEO'!X13</f>
        <v>1332</v>
      </c>
      <c r="AE13" s="895">
        <f t="shared" si="14"/>
        <v>0.48719824433065106</v>
      </c>
      <c r="AF13" s="892">
        <f>'RRT - Subgrupo - IGEO'!Y13</f>
        <v>1402</v>
      </c>
      <c r="AG13" s="893">
        <f t="shared" si="15"/>
        <v>0.51280175566934894</v>
      </c>
      <c r="AH13" s="892">
        <f>'RRT - Subgrupo - IGEO'!AA13</f>
        <v>307</v>
      </c>
      <c r="AI13" s="895">
        <f t="shared" si="16"/>
        <v>0.51166666666666671</v>
      </c>
      <c r="AJ13" s="892">
        <f>'RRT - Subgrupo - IGEO'!AB13</f>
        <v>293</v>
      </c>
      <c r="AK13" s="893">
        <f t="shared" si="17"/>
        <v>0.48833333333333334</v>
      </c>
      <c r="AL13" s="892">
        <f>'RRT - Subgrupo - IGEO'!AD13</f>
        <v>234</v>
      </c>
      <c r="AM13" s="895">
        <f t="shared" si="18"/>
        <v>0.41342756183745583</v>
      </c>
      <c r="AN13" s="892">
        <f>'RRT - Subgrupo - IGEO'!AE13</f>
        <v>332</v>
      </c>
      <c r="AO13" s="893">
        <f t="shared" si="19"/>
        <v>0.58657243816254412</v>
      </c>
      <c r="AP13" s="896">
        <f>'RRT - Subgrupo - IGEO'!AG13</f>
        <v>63</v>
      </c>
      <c r="AQ13" s="895">
        <f t="shared" si="20"/>
        <v>0.46323529411764708</v>
      </c>
      <c r="AR13" s="892">
        <f>'RRT - Subgrupo - IGEO'!AH13</f>
        <v>73</v>
      </c>
      <c r="AS13" s="893">
        <f t="shared" si="21"/>
        <v>0.53676470588235292</v>
      </c>
      <c r="AT13" s="892">
        <f>'RRT - Subgrupo - IGEO'!AJ13</f>
        <v>4171</v>
      </c>
      <c r="AU13" s="895">
        <f t="shared" si="22"/>
        <v>0.5620536315860396</v>
      </c>
      <c r="AV13" s="892">
        <f>'RRT - Subgrupo - IGEO'!AK13</f>
        <v>3250</v>
      </c>
      <c r="AW13" s="893">
        <f t="shared" si="23"/>
        <v>0.4379463684139604</v>
      </c>
      <c r="AX13" s="892">
        <f>'RRT - Subgrupo - IGEO'!AM13</f>
        <v>967</v>
      </c>
      <c r="AY13" s="895">
        <f t="shared" si="24"/>
        <v>0.603243917654398</v>
      </c>
      <c r="AZ13" s="892">
        <f>'RRT - Subgrupo - IGEO'!AN13</f>
        <v>636</v>
      </c>
      <c r="BA13" s="893">
        <f t="shared" si="25"/>
        <v>0.396756082345602</v>
      </c>
      <c r="BB13" s="892">
        <f>'RRT - Subgrupo - IGEO'!AP13</f>
        <v>82</v>
      </c>
      <c r="BC13" s="895">
        <f t="shared" si="26"/>
        <v>0.61194029850746268</v>
      </c>
      <c r="BD13" s="892">
        <f>'RRT - Subgrupo - IGEO'!AQ13</f>
        <v>52</v>
      </c>
      <c r="BE13" s="893">
        <f t="shared" si="27"/>
        <v>0.38805970149253732</v>
      </c>
      <c r="BF13" s="892">
        <f>'RRT - Subgrupo - IGEO'!AS13</f>
        <v>146</v>
      </c>
      <c r="BG13" s="895">
        <f t="shared" si="28"/>
        <v>0.33409610983981691</v>
      </c>
      <c r="BH13" s="892">
        <f>'RRT - Subgrupo - IGEO'!AT13</f>
        <v>291</v>
      </c>
      <c r="BI13" s="893">
        <f t="shared" si="29"/>
        <v>0.66590389016018303</v>
      </c>
      <c r="BJ13" s="892">
        <f>'RRT - Subgrupo - IGEO'!AV13</f>
        <v>1190</v>
      </c>
      <c r="BK13" s="895">
        <f t="shared" si="30"/>
        <v>0.58969276511397428</v>
      </c>
      <c r="BL13" s="892">
        <f>'RRT - Subgrupo - IGEO'!AW13</f>
        <v>828</v>
      </c>
      <c r="BM13" s="893">
        <f t="shared" si="31"/>
        <v>0.41030723488602577</v>
      </c>
      <c r="BN13" s="892">
        <f>'RRT - Subgrupo - IGEO'!AY13</f>
        <v>15</v>
      </c>
      <c r="BO13" s="895">
        <f t="shared" si="32"/>
        <v>0.51724137931034486</v>
      </c>
      <c r="BP13" s="892">
        <f>'RRT - Subgrupo - IGEO'!AZ13</f>
        <v>14</v>
      </c>
      <c r="BQ13" s="893">
        <f t="shared" si="33"/>
        <v>0.48275862068965519</v>
      </c>
      <c r="BR13" s="892">
        <f>'RRT - Subgrupo - IGEO'!BB13</f>
        <v>37</v>
      </c>
      <c r="BS13" s="895">
        <f t="shared" si="34"/>
        <v>0.45121951219512196</v>
      </c>
      <c r="BT13" s="892">
        <f>'RRT - Subgrupo - IGEO'!BC13</f>
        <v>45</v>
      </c>
      <c r="BU13" s="893">
        <f t="shared" si="35"/>
        <v>0.54878048780487809</v>
      </c>
      <c r="BV13" s="892">
        <f>'RRT - Subgrupo - IGEO'!BE13</f>
        <v>129</v>
      </c>
      <c r="BW13" s="895">
        <f t="shared" si="36"/>
        <v>0.67894736842105263</v>
      </c>
      <c r="BX13" s="892">
        <f>'RRT - Subgrupo - IGEO'!BF13</f>
        <v>61</v>
      </c>
      <c r="BY13" s="893">
        <f t="shared" si="37"/>
        <v>0.32105263157894737</v>
      </c>
      <c r="BZ13" s="892">
        <f>'RRT - Subgrupo - IGEO'!BH13</f>
        <v>12</v>
      </c>
      <c r="CA13" s="895">
        <f t="shared" si="38"/>
        <v>0.36363636363636365</v>
      </c>
      <c r="CB13" s="892">
        <f>'RRT - Subgrupo - IGEO'!BI13</f>
        <v>21</v>
      </c>
      <c r="CC13" s="893">
        <f t="shared" si="39"/>
        <v>0.63636363636363635</v>
      </c>
      <c r="CD13" s="892">
        <f>'RRT - Subgrupo - IGEO'!BK13</f>
        <v>158</v>
      </c>
      <c r="CE13" s="895">
        <f t="shared" si="40"/>
        <v>0.5962264150943396</v>
      </c>
      <c r="CF13" s="892">
        <f>'RRT - Subgrupo - IGEO'!BL13</f>
        <v>107</v>
      </c>
      <c r="CG13" s="893">
        <f t="shared" si="41"/>
        <v>0.4037735849056604</v>
      </c>
      <c r="CH13" s="896">
        <f>'RRT - Subgrupo - IGEO'!BN13</f>
        <v>22</v>
      </c>
      <c r="CI13" s="895">
        <f t="shared" si="42"/>
        <v>0.45833333333333331</v>
      </c>
      <c r="CJ13" s="896">
        <f>'RRT - Subgrupo - IGEO'!BO13</f>
        <v>26</v>
      </c>
      <c r="CK13" s="893">
        <f t="shared" si="43"/>
        <v>0.54166666666666663</v>
      </c>
      <c r="CL13" s="896">
        <f>'RRT - Subgrupo - IGEO'!BQ13</f>
        <v>16</v>
      </c>
      <c r="CM13" s="895">
        <f t="shared" si="44"/>
        <v>0.64</v>
      </c>
      <c r="CN13" s="896">
        <f>'RRT - Subgrupo - IGEO'!BR13</f>
        <v>9</v>
      </c>
      <c r="CO13" s="893">
        <f t="shared" si="45"/>
        <v>0.36</v>
      </c>
      <c r="CP13" s="896">
        <f>'RRT - Subgrupo - IGEO'!BT13</f>
        <v>19</v>
      </c>
      <c r="CQ13" s="895">
        <f t="shared" si="88"/>
        <v>0.31147540983606559</v>
      </c>
      <c r="CR13" s="896">
        <f>'RRT - Subgrupo - IGEO'!BU13</f>
        <v>42</v>
      </c>
      <c r="CS13" s="893">
        <f t="shared" si="89"/>
        <v>0.68852459016393441</v>
      </c>
      <c r="CT13" s="896">
        <f>'RRT - Subgrupo - IGEO'!BW13</f>
        <v>34</v>
      </c>
      <c r="CU13" s="895">
        <f t="shared" si="46"/>
        <v>0.5074626865671642</v>
      </c>
      <c r="CV13" s="896">
        <f>'RRT - Subgrupo - IGEO'!BX13</f>
        <v>33</v>
      </c>
      <c r="CW13" s="893">
        <f t="shared" si="47"/>
        <v>0.4925373134328358</v>
      </c>
      <c r="CX13" s="896">
        <f>'RRT - Subgrupo - IGEO'!BZ13</f>
        <v>118</v>
      </c>
      <c r="CY13" s="895">
        <f t="shared" si="48"/>
        <v>0.41403508771929826</v>
      </c>
      <c r="CZ13" s="896">
        <f>'RRT - Subgrupo - IGEO'!CA13</f>
        <v>167</v>
      </c>
      <c r="DA13" s="893">
        <f t="shared" si="49"/>
        <v>0.5859649122807018</v>
      </c>
      <c r="DB13" s="896">
        <f>'RRT - Subgrupo - IGEO'!CC13</f>
        <v>180</v>
      </c>
      <c r="DC13" s="895">
        <f t="shared" si="50"/>
        <v>0.42553191489361702</v>
      </c>
      <c r="DD13" s="896">
        <f>'RRT - Subgrupo - IGEO'!CD13</f>
        <v>243</v>
      </c>
      <c r="DE13" s="893">
        <f t="shared" si="51"/>
        <v>0.57446808510638303</v>
      </c>
      <c r="DF13" s="892">
        <f>'RRT - Subgrupo - IGEO'!CF13</f>
        <v>526</v>
      </c>
      <c r="DG13" s="895">
        <f t="shared" si="52"/>
        <v>0.65099009900990101</v>
      </c>
      <c r="DH13" s="892">
        <f>'RRT - Subgrupo - IGEO'!CG13</f>
        <v>282</v>
      </c>
      <c r="DI13" s="893">
        <f t="shared" si="53"/>
        <v>0.34900990099009899</v>
      </c>
      <c r="DJ13" s="892">
        <f>'RRT - Subgrupo - IGEO'!CI13</f>
        <v>170</v>
      </c>
      <c r="DK13" s="895">
        <f t="shared" si="54"/>
        <v>0.42079207920792078</v>
      </c>
      <c r="DL13" s="892">
        <f>'RRT - Subgrupo - IGEO'!CJ13</f>
        <v>234</v>
      </c>
      <c r="DM13" s="893">
        <f t="shared" si="55"/>
        <v>0.57920792079207917</v>
      </c>
      <c r="DN13" s="892">
        <f>'RRT - Subgrupo - IGEO'!CL13</f>
        <v>11</v>
      </c>
      <c r="DO13" s="895">
        <f t="shared" si="90"/>
        <v>0.52380952380952384</v>
      </c>
      <c r="DP13" s="892">
        <f>'RRT - Subgrupo - IGEO'!CM13</f>
        <v>10</v>
      </c>
      <c r="DQ13" s="893">
        <f t="shared" si="91"/>
        <v>0.47619047619047616</v>
      </c>
      <c r="DR13" s="892">
        <f>'RRT - Subgrupo - IGEO'!CO13</f>
        <v>36</v>
      </c>
      <c r="DS13" s="895">
        <f t="shared" si="56"/>
        <v>0.4044943820224719</v>
      </c>
      <c r="DT13" s="892">
        <f>'RRT - Subgrupo - IGEO'!CP13</f>
        <v>53</v>
      </c>
      <c r="DU13" s="893">
        <f t="shared" si="57"/>
        <v>0.5955056179775281</v>
      </c>
      <c r="DV13" s="892">
        <f>'RRT - Subgrupo - IGEO'!CR13</f>
        <v>150</v>
      </c>
      <c r="DW13" s="895">
        <f t="shared" si="58"/>
        <v>0.80213903743315507</v>
      </c>
      <c r="DX13" s="892">
        <f>'RRT - Subgrupo - IGEO'!CS13</f>
        <v>37</v>
      </c>
      <c r="DY13" s="893">
        <f t="shared" si="59"/>
        <v>0.19786096256684493</v>
      </c>
      <c r="DZ13" s="892">
        <f>'RRT - Subgrupo - IGEO'!CU13</f>
        <v>72</v>
      </c>
      <c r="EA13" s="895">
        <f t="shared" si="60"/>
        <v>0.39560439560439559</v>
      </c>
      <c r="EB13" s="892">
        <f>'RRT - Subgrupo - IGEO'!CV13</f>
        <v>110</v>
      </c>
      <c r="EC13" s="893">
        <f t="shared" si="61"/>
        <v>0.60439560439560436</v>
      </c>
      <c r="ED13" s="892">
        <f>'RRT - Subgrupo - IGEO'!CX13</f>
        <v>42</v>
      </c>
      <c r="EE13" s="895">
        <f t="shared" si="62"/>
        <v>0.45652173913043476</v>
      </c>
      <c r="EF13" s="892">
        <f>'RRT - Subgrupo - IGEO'!CY13</f>
        <v>50</v>
      </c>
      <c r="EG13" s="893">
        <f t="shared" si="63"/>
        <v>0.54347826086956519</v>
      </c>
      <c r="EH13" s="892">
        <f>'RRT - Subgrupo - IGEO'!DA13</f>
        <v>353</v>
      </c>
      <c r="EI13" s="895">
        <f t="shared" si="64"/>
        <v>0.49648382559774967</v>
      </c>
      <c r="EJ13" s="892">
        <f>'RRT - Subgrupo - IGEO'!DB13</f>
        <v>358</v>
      </c>
      <c r="EK13" s="893">
        <f t="shared" si="65"/>
        <v>0.50351617440225038</v>
      </c>
      <c r="EL13" s="897">
        <f>'RRT - Subgrupo - IGEO'!DD13</f>
        <v>20</v>
      </c>
      <c r="EM13" s="895">
        <f t="shared" si="66"/>
        <v>0.41666666666666669</v>
      </c>
      <c r="EN13" s="897">
        <f>'RRT - Subgrupo - IGEO'!DE13</f>
        <v>28</v>
      </c>
      <c r="EO13" s="893">
        <f t="shared" si="67"/>
        <v>0.58333333333333337</v>
      </c>
      <c r="EP13" s="897">
        <f>'RRT - Subgrupo - IGEO'!DG13</f>
        <v>224</v>
      </c>
      <c r="EQ13" s="895">
        <f t="shared" si="68"/>
        <v>0.50337078651685396</v>
      </c>
      <c r="ER13" s="897">
        <f>'RRT - Subgrupo - IGEO'!DH13</f>
        <v>221</v>
      </c>
      <c r="ES13" s="893">
        <f t="shared" si="69"/>
        <v>0.49662921348314609</v>
      </c>
      <c r="ET13" s="897">
        <f>'RRT - Subgrupo - IGEO'!DJ13</f>
        <v>1283</v>
      </c>
      <c r="EU13" s="895">
        <f t="shared" si="70"/>
        <v>0.4727339719970523</v>
      </c>
      <c r="EV13" s="897">
        <f>'RRT - Subgrupo - IGEO'!DK13</f>
        <v>1431</v>
      </c>
      <c r="EW13" s="893">
        <f t="shared" si="71"/>
        <v>0.52726602800294764</v>
      </c>
      <c r="EX13" s="897">
        <f>'RRT - Subgrupo - IGEO'!DM13</f>
        <v>97</v>
      </c>
      <c r="EY13" s="895">
        <f t="shared" si="72"/>
        <v>0.49238578680203043</v>
      </c>
      <c r="EZ13" s="897">
        <f>'RRT - Subgrupo - IGEO'!DN13</f>
        <v>100</v>
      </c>
      <c r="FA13" s="893">
        <f t="shared" si="73"/>
        <v>0.50761421319796951</v>
      </c>
      <c r="FB13" s="897">
        <f>'RRT - Subgrupo - IGEO'!DP13</f>
        <v>10</v>
      </c>
      <c r="FC13" s="895">
        <f t="shared" si="104"/>
        <v>0.90909090909090906</v>
      </c>
      <c r="FD13" s="897">
        <f>'RRT - Subgrupo - IGEO'!DQ13</f>
        <v>1</v>
      </c>
      <c r="FE13" s="893">
        <f t="shared" si="105"/>
        <v>9.0909090909090912E-2</v>
      </c>
      <c r="FF13" s="897">
        <f>'RRT - Subgrupo - IGEO'!DS13</f>
        <v>2</v>
      </c>
      <c r="FG13" s="895">
        <f t="shared" si="100"/>
        <v>0.66666666666666663</v>
      </c>
      <c r="FH13" s="897">
        <f>'RRT - Subgrupo - IGEO'!DT13</f>
        <v>1</v>
      </c>
      <c r="FI13" s="893">
        <f t="shared" si="101"/>
        <v>0.33333333333333331</v>
      </c>
      <c r="FJ13" s="897">
        <f>'RRT - Subgrupo - IGEO'!DV13</f>
        <v>266</v>
      </c>
      <c r="FK13" s="895">
        <f t="shared" si="74"/>
        <v>0.52259332023575633</v>
      </c>
      <c r="FL13" s="897">
        <f>'RRT - Subgrupo - IGEO'!DW13</f>
        <v>243</v>
      </c>
      <c r="FM13" s="893">
        <f t="shared" si="75"/>
        <v>0.47740667976424361</v>
      </c>
      <c r="FN13" s="897">
        <f>'RRT - Subgrupo - IGEO'!DY13</f>
        <v>4</v>
      </c>
      <c r="FO13" s="895">
        <f t="shared" si="76"/>
        <v>0.5</v>
      </c>
      <c r="FP13" s="897">
        <f>'RRT - Subgrupo - IGEO'!DZ13</f>
        <v>4</v>
      </c>
      <c r="FQ13" s="893">
        <f t="shared" si="77"/>
        <v>0.5</v>
      </c>
      <c r="FR13" s="892">
        <f>'RRT - Subgrupo - IGEO'!EB13</f>
        <v>0</v>
      </c>
      <c r="FS13" s="895">
        <f t="shared" si="78"/>
        <v>0</v>
      </c>
      <c r="FT13" s="892">
        <f>'RRT - Subgrupo - IGEO'!DZ13</f>
        <v>4</v>
      </c>
      <c r="FU13" s="893">
        <f t="shared" si="79"/>
        <v>1</v>
      </c>
      <c r="FV13" s="892">
        <f>'RRT - Subgrupo - IGEO'!EE13</f>
        <v>3</v>
      </c>
      <c r="FW13" s="895">
        <f t="shared" si="102"/>
        <v>1</v>
      </c>
      <c r="FX13" s="892">
        <f>'RRT - Subgrupo - IGEO'!EF13</f>
        <v>0</v>
      </c>
      <c r="FY13" s="893">
        <f t="shared" si="103"/>
        <v>0</v>
      </c>
      <c r="FZ13" s="892">
        <f>'RRT - Subgrupo - IGEO'!EH13</f>
        <v>4</v>
      </c>
      <c r="GA13" s="895">
        <f t="shared" si="80"/>
        <v>0.12903225806451613</v>
      </c>
      <c r="GB13" s="892">
        <f>'RRT - Subgrupo - IGEO'!EI13</f>
        <v>27</v>
      </c>
      <c r="GC13" s="893">
        <f t="shared" si="81"/>
        <v>0.87096774193548387</v>
      </c>
      <c r="GD13" s="892">
        <f>'RRT - Subgrupo - IGEO'!EK13</f>
        <v>20</v>
      </c>
      <c r="GE13" s="895">
        <f t="shared" si="82"/>
        <v>0.19047619047619047</v>
      </c>
      <c r="GF13" s="892">
        <f>'RRT - Subgrupo - IGEO'!EL13</f>
        <v>85</v>
      </c>
      <c r="GG13" s="893">
        <f t="shared" si="83"/>
        <v>0.80952380952380953</v>
      </c>
      <c r="GH13" s="892">
        <f>'RRT - Subgrupo - IGEO'!EN13</f>
        <v>8</v>
      </c>
      <c r="GI13" s="895">
        <f t="shared" si="92"/>
        <v>0.72727272727272729</v>
      </c>
      <c r="GJ13" s="892">
        <f>'RRT - Subgrupo - IGEO'!EO13</f>
        <v>3</v>
      </c>
      <c r="GK13" s="893">
        <f t="shared" si="93"/>
        <v>0.27272727272727271</v>
      </c>
      <c r="GL13" s="892">
        <f>'RRT - Subgrupo - IGEO'!EO13</f>
        <v>3</v>
      </c>
      <c r="GM13" s="895">
        <f t="shared" si="96"/>
        <v>0.6</v>
      </c>
      <c r="GN13" s="892">
        <f>'RRT - Subgrupo - IGEO'!EP13</f>
        <v>2</v>
      </c>
      <c r="GO13" s="893">
        <f t="shared" si="97"/>
        <v>0.4</v>
      </c>
      <c r="GP13" s="892">
        <f>'RRT - Subgrupo - IGEO'!EQ13</f>
        <v>0</v>
      </c>
      <c r="GQ13" s="895">
        <f t="shared" si="98"/>
        <v>0</v>
      </c>
      <c r="GR13" s="892">
        <f>'RRT - Subgrupo - IGEO'!ER13</f>
        <v>2</v>
      </c>
      <c r="GS13" s="893">
        <f t="shared" si="99"/>
        <v>1</v>
      </c>
      <c r="GT13" s="892">
        <f>'RRT - Subgrupo - IGEO'!EW13</f>
        <v>2</v>
      </c>
      <c r="GU13" s="895">
        <f t="shared" si="94"/>
        <v>0.66666666666666663</v>
      </c>
      <c r="GV13" s="892">
        <f>'RRT - Subgrupo - IGEO'!EX13</f>
        <v>1</v>
      </c>
      <c r="GW13" s="893">
        <f t="shared" si="95"/>
        <v>0.33333333333333331</v>
      </c>
      <c r="GX13" s="892">
        <f>'RRT - Subgrupo - IGEO'!EZ13</f>
        <v>18</v>
      </c>
      <c r="GY13" s="895">
        <f t="shared" si="84"/>
        <v>0.75</v>
      </c>
      <c r="GZ13" s="892">
        <f>'RRT - Subgrupo - IGEO'!FA13</f>
        <v>6</v>
      </c>
      <c r="HA13" s="893">
        <f t="shared" si="85"/>
        <v>0.25</v>
      </c>
      <c r="HB13" s="892">
        <f>'RRT - Subgrupo - IGEO'!FC13</f>
        <v>14</v>
      </c>
      <c r="HC13" s="895">
        <f t="shared" si="86"/>
        <v>0.31818181818181818</v>
      </c>
      <c r="HD13" s="892">
        <f>'RRT - Subgrupo - IGEO'!FD13</f>
        <v>30</v>
      </c>
      <c r="HE13" s="893">
        <f t="shared" si="87"/>
        <v>0.68181818181818177</v>
      </c>
    </row>
    <row r="14" spans="1:214" s="876" customFormat="1" ht="18.75">
      <c r="A14" s="891" t="s">
        <v>98</v>
      </c>
      <c r="B14" s="892">
        <f>'RRT - Subgrupo - IGEO'!C14</f>
        <v>4186</v>
      </c>
      <c r="C14" s="893">
        <f t="shared" si="0"/>
        <v>0.49958228905597324</v>
      </c>
      <c r="D14" s="892">
        <f>'RRT - Subgrupo - IGEO'!D14</f>
        <v>4193</v>
      </c>
      <c r="E14" s="893">
        <f t="shared" si="1"/>
        <v>0.50041771094402676</v>
      </c>
      <c r="F14" s="894">
        <f>'RRT - Subgrupo - IGEO'!F14</f>
        <v>369</v>
      </c>
      <c r="G14" s="893">
        <f t="shared" si="2"/>
        <v>0.5491071428571429</v>
      </c>
      <c r="H14" s="892">
        <f>'RRT - Subgrupo - IGEO'!G14</f>
        <v>303</v>
      </c>
      <c r="I14" s="893">
        <f t="shared" si="3"/>
        <v>0.45089285714285715</v>
      </c>
      <c r="J14" s="892">
        <f>'RRT - Subgrupo - IGEO'!I14</f>
        <v>62</v>
      </c>
      <c r="K14" s="895">
        <f t="shared" si="4"/>
        <v>0.54385964912280704</v>
      </c>
      <c r="L14" s="892">
        <f>'RRT - Subgrupo - IGEO'!J14</f>
        <v>52</v>
      </c>
      <c r="M14" s="893">
        <f t="shared" si="5"/>
        <v>0.45614035087719296</v>
      </c>
      <c r="N14" s="896">
        <f>'RRT - Subgrupo - IGEO'!L14</f>
        <v>90</v>
      </c>
      <c r="O14" s="895">
        <f t="shared" si="6"/>
        <v>0.1615798922800718</v>
      </c>
      <c r="P14" s="892">
        <f>'RRT - Subgrupo - IGEO'!P14</f>
        <v>467</v>
      </c>
      <c r="Q14" s="893">
        <f t="shared" si="7"/>
        <v>0.83842010771992814</v>
      </c>
      <c r="R14" s="892">
        <f>'RRT - Subgrupo - IGEO'!O14</f>
        <v>785</v>
      </c>
      <c r="S14" s="895">
        <f t="shared" si="8"/>
        <v>0.6269968051118211</v>
      </c>
      <c r="T14" s="892">
        <f>'RRT - Subgrupo - IGEO'!P14</f>
        <v>467</v>
      </c>
      <c r="U14" s="893">
        <f t="shared" si="9"/>
        <v>0.3730031948881789</v>
      </c>
      <c r="V14" s="892">
        <f>'RRT - Subgrupo - IGEO'!R14</f>
        <v>33</v>
      </c>
      <c r="W14" s="895">
        <f t="shared" si="10"/>
        <v>0.39759036144578314</v>
      </c>
      <c r="X14" s="896">
        <f>'RRT - Subgrupo - IGEO'!S14</f>
        <v>50</v>
      </c>
      <c r="Y14" s="893">
        <f t="shared" si="11"/>
        <v>0.60240963855421692</v>
      </c>
      <c r="Z14" s="892">
        <f>'RRT - Subgrupo - IGEO'!U14</f>
        <v>163</v>
      </c>
      <c r="AA14" s="895">
        <f t="shared" si="12"/>
        <v>0.36547085201793722</v>
      </c>
      <c r="AB14" s="892">
        <f>'RRT - Subgrupo - IGEO'!V14</f>
        <v>283</v>
      </c>
      <c r="AC14" s="893">
        <f t="shared" si="13"/>
        <v>0.63452914798206284</v>
      </c>
      <c r="AD14" s="892">
        <f>'RRT - Subgrupo - IGEO'!X14</f>
        <v>639</v>
      </c>
      <c r="AE14" s="895">
        <f t="shared" si="14"/>
        <v>0.51615508885298866</v>
      </c>
      <c r="AF14" s="892">
        <f>'RRT - Subgrupo - IGEO'!Y14</f>
        <v>599</v>
      </c>
      <c r="AG14" s="893">
        <f t="shared" si="15"/>
        <v>0.48384491114701134</v>
      </c>
      <c r="AH14" s="892">
        <f>'RRT - Subgrupo - IGEO'!AA14</f>
        <v>35</v>
      </c>
      <c r="AI14" s="895">
        <f t="shared" si="16"/>
        <v>0.625</v>
      </c>
      <c r="AJ14" s="892">
        <f>'RRT - Subgrupo - IGEO'!AB14</f>
        <v>21</v>
      </c>
      <c r="AK14" s="893">
        <f t="shared" si="17"/>
        <v>0.375</v>
      </c>
      <c r="AL14" s="892">
        <f>'RRT - Subgrupo - IGEO'!AD14</f>
        <v>53</v>
      </c>
      <c r="AM14" s="895">
        <f t="shared" si="18"/>
        <v>0.35333333333333333</v>
      </c>
      <c r="AN14" s="892">
        <f>'RRT - Subgrupo - IGEO'!AE14</f>
        <v>97</v>
      </c>
      <c r="AO14" s="893">
        <f t="shared" si="19"/>
        <v>0.64666666666666661</v>
      </c>
      <c r="AP14" s="896">
        <f>'RRT - Subgrupo - IGEO'!AG14</f>
        <v>4</v>
      </c>
      <c r="AQ14" s="895">
        <f t="shared" si="20"/>
        <v>0.44444444444444442</v>
      </c>
      <c r="AR14" s="892">
        <f>'RRT - Subgrupo - IGEO'!AH14</f>
        <v>5</v>
      </c>
      <c r="AS14" s="893">
        <f t="shared" si="21"/>
        <v>0.55555555555555558</v>
      </c>
      <c r="AT14" s="892">
        <f>'RRT - Subgrupo - IGEO'!AJ14</f>
        <v>3129</v>
      </c>
      <c r="AU14" s="895">
        <f t="shared" si="22"/>
        <v>0.53196191771506285</v>
      </c>
      <c r="AV14" s="892">
        <f>'RRT - Subgrupo - IGEO'!AK14</f>
        <v>2753</v>
      </c>
      <c r="AW14" s="893">
        <f t="shared" si="23"/>
        <v>0.4680380822849371</v>
      </c>
      <c r="AX14" s="892">
        <f>'RRT - Subgrupo - IGEO'!AM14</f>
        <v>344</v>
      </c>
      <c r="AY14" s="895">
        <f t="shared" si="24"/>
        <v>0.56672158154859964</v>
      </c>
      <c r="AZ14" s="892">
        <f>'RRT - Subgrupo - IGEO'!AN14</f>
        <v>263</v>
      </c>
      <c r="BA14" s="893">
        <f t="shared" si="25"/>
        <v>0.4332784184514003</v>
      </c>
      <c r="BB14" s="892">
        <f>'RRT - Subgrupo - IGEO'!AP14</f>
        <v>44</v>
      </c>
      <c r="BC14" s="895">
        <f t="shared" si="26"/>
        <v>0.41509433962264153</v>
      </c>
      <c r="BD14" s="892">
        <f>'RRT - Subgrupo - IGEO'!AQ14</f>
        <v>62</v>
      </c>
      <c r="BE14" s="893">
        <f t="shared" si="27"/>
        <v>0.58490566037735847</v>
      </c>
      <c r="BF14" s="892">
        <f>'RRT - Subgrupo - IGEO'!AS14</f>
        <v>65</v>
      </c>
      <c r="BG14" s="895">
        <f t="shared" si="28"/>
        <v>0.24253731343283583</v>
      </c>
      <c r="BH14" s="892">
        <f>'RRT - Subgrupo - IGEO'!AT14</f>
        <v>203</v>
      </c>
      <c r="BI14" s="893">
        <f t="shared" si="29"/>
        <v>0.7574626865671642</v>
      </c>
      <c r="BJ14" s="892">
        <f>'RRT - Subgrupo - IGEO'!AV14</f>
        <v>533</v>
      </c>
      <c r="BK14" s="895">
        <f t="shared" si="30"/>
        <v>0.64294330518697229</v>
      </c>
      <c r="BL14" s="892">
        <f>'RRT - Subgrupo - IGEO'!AW14</f>
        <v>296</v>
      </c>
      <c r="BM14" s="893">
        <f t="shared" si="31"/>
        <v>0.35705669481302776</v>
      </c>
      <c r="BN14" s="892">
        <f>'RRT - Subgrupo - IGEO'!AY14</f>
        <v>18</v>
      </c>
      <c r="BO14" s="895">
        <f t="shared" si="32"/>
        <v>0.48648648648648651</v>
      </c>
      <c r="BP14" s="892">
        <f>'RRT - Subgrupo - IGEO'!AZ14</f>
        <v>19</v>
      </c>
      <c r="BQ14" s="893">
        <f t="shared" si="33"/>
        <v>0.51351351351351349</v>
      </c>
      <c r="BR14" s="892">
        <f>'RRT - Subgrupo - IGEO'!BB14</f>
        <v>14</v>
      </c>
      <c r="BS14" s="895">
        <f t="shared" si="34"/>
        <v>0.46666666666666667</v>
      </c>
      <c r="BT14" s="892">
        <f>'RRT - Subgrupo - IGEO'!BC14</f>
        <v>16</v>
      </c>
      <c r="BU14" s="893">
        <f t="shared" si="35"/>
        <v>0.53333333333333333</v>
      </c>
      <c r="BV14" s="892">
        <f>'RRT - Subgrupo - IGEO'!BE14</f>
        <v>14</v>
      </c>
      <c r="BW14" s="895">
        <f t="shared" si="36"/>
        <v>0.63636363636363635</v>
      </c>
      <c r="BX14" s="892">
        <f>'RRT - Subgrupo - IGEO'!BF14</f>
        <v>8</v>
      </c>
      <c r="BY14" s="893">
        <f t="shared" si="37"/>
        <v>0.36363636363636365</v>
      </c>
      <c r="BZ14" s="892">
        <f>'RRT - Subgrupo - IGEO'!BH14</f>
        <v>4</v>
      </c>
      <c r="CA14" s="895">
        <f t="shared" si="38"/>
        <v>0.36363636363636365</v>
      </c>
      <c r="CB14" s="892">
        <f>'RRT - Subgrupo - IGEO'!BI14</f>
        <v>7</v>
      </c>
      <c r="CC14" s="893">
        <f t="shared" si="39"/>
        <v>0.63636363636363635</v>
      </c>
      <c r="CD14" s="892">
        <f>'RRT - Subgrupo - IGEO'!BK14</f>
        <v>8</v>
      </c>
      <c r="CE14" s="895">
        <f t="shared" si="40"/>
        <v>0.34782608695652173</v>
      </c>
      <c r="CF14" s="892">
        <f>'RRT - Subgrupo - IGEO'!BL14</f>
        <v>15</v>
      </c>
      <c r="CG14" s="893">
        <f t="shared" si="41"/>
        <v>0.65217391304347827</v>
      </c>
      <c r="CH14" s="896">
        <f>'RRT - Subgrupo - IGEO'!BN14</f>
        <v>9</v>
      </c>
      <c r="CI14" s="895">
        <f t="shared" si="42"/>
        <v>0.75</v>
      </c>
      <c r="CJ14" s="896">
        <f>'RRT - Subgrupo - IGEO'!BO14</f>
        <v>3</v>
      </c>
      <c r="CK14" s="893">
        <f t="shared" si="43"/>
        <v>0.25</v>
      </c>
      <c r="CL14" s="896">
        <f>'RRT - Subgrupo - IGEO'!BQ14</f>
        <v>5</v>
      </c>
      <c r="CM14" s="895">
        <f t="shared" si="44"/>
        <v>0.83333333333333337</v>
      </c>
      <c r="CN14" s="896">
        <f>'RRT - Subgrupo - IGEO'!BR14</f>
        <v>1</v>
      </c>
      <c r="CO14" s="893">
        <f t="shared" si="45"/>
        <v>0.16666666666666666</v>
      </c>
      <c r="CP14" s="896">
        <f>'RRT - Subgrupo - IGEO'!BT14</f>
        <v>8</v>
      </c>
      <c r="CQ14" s="895">
        <f t="shared" si="88"/>
        <v>1</v>
      </c>
      <c r="CR14" s="896">
        <f>'RRT - Subgrupo - IGEO'!BU14</f>
        <v>0</v>
      </c>
      <c r="CS14" s="893">
        <f t="shared" si="89"/>
        <v>0</v>
      </c>
      <c r="CT14" s="896">
        <f>'RRT - Subgrupo - IGEO'!BW14</f>
        <v>23</v>
      </c>
      <c r="CU14" s="895">
        <f t="shared" si="46"/>
        <v>0.67647058823529416</v>
      </c>
      <c r="CV14" s="896">
        <f>'RRT - Subgrupo - IGEO'!BX14</f>
        <v>11</v>
      </c>
      <c r="CW14" s="893">
        <f t="shared" si="47"/>
        <v>0.3235294117647059</v>
      </c>
      <c r="CX14" s="896">
        <f>'RRT - Subgrupo - IGEO'!BZ14</f>
        <v>116</v>
      </c>
      <c r="CY14" s="895">
        <f t="shared" si="48"/>
        <v>0.48945147679324896</v>
      </c>
      <c r="CZ14" s="896">
        <f>'RRT - Subgrupo - IGEO'!CA14</f>
        <v>121</v>
      </c>
      <c r="DA14" s="893">
        <f t="shared" si="49"/>
        <v>0.51054852320675104</v>
      </c>
      <c r="DB14" s="896">
        <f>'RRT - Subgrupo - IGEO'!CC14</f>
        <v>73</v>
      </c>
      <c r="DC14" s="895">
        <f t="shared" si="50"/>
        <v>0.49659863945578231</v>
      </c>
      <c r="DD14" s="896">
        <f>'RRT - Subgrupo - IGEO'!CD14</f>
        <v>74</v>
      </c>
      <c r="DE14" s="893">
        <f t="shared" si="51"/>
        <v>0.50340136054421769</v>
      </c>
      <c r="DF14" s="892">
        <f>'RRT - Subgrupo - IGEO'!CF14</f>
        <v>64</v>
      </c>
      <c r="DG14" s="895">
        <f t="shared" si="52"/>
        <v>0.67368421052631577</v>
      </c>
      <c r="DH14" s="892">
        <f>'RRT - Subgrupo - IGEO'!CG14</f>
        <v>31</v>
      </c>
      <c r="DI14" s="893">
        <f t="shared" si="53"/>
        <v>0.32631578947368423</v>
      </c>
      <c r="DJ14" s="892">
        <f>'RRT - Subgrupo - IGEO'!CI14</f>
        <v>138</v>
      </c>
      <c r="DK14" s="895">
        <f t="shared" si="54"/>
        <v>0.5036496350364964</v>
      </c>
      <c r="DL14" s="892">
        <f>'RRT - Subgrupo - IGEO'!CJ14</f>
        <v>136</v>
      </c>
      <c r="DM14" s="893">
        <f t="shared" si="55"/>
        <v>0.49635036496350365</v>
      </c>
      <c r="DN14" s="892">
        <f>'RRT - Subgrupo - IGEO'!CL14</f>
        <v>1</v>
      </c>
      <c r="DO14" s="895">
        <f t="shared" si="90"/>
        <v>0.25</v>
      </c>
      <c r="DP14" s="892">
        <f>'RRT - Subgrupo - IGEO'!CM14</f>
        <v>3</v>
      </c>
      <c r="DQ14" s="893">
        <f t="shared" si="91"/>
        <v>0.75</v>
      </c>
      <c r="DR14" s="892">
        <f>'RRT - Subgrupo - IGEO'!CO14</f>
        <v>4</v>
      </c>
      <c r="DS14" s="895">
        <f t="shared" si="56"/>
        <v>0.33333333333333331</v>
      </c>
      <c r="DT14" s="892">
        <f>'RRT - Subgrupo - IGEO'!CP14</f>
        <v>8</v>
      </c>
      <c r="DU14" s="893">
        <f t="shared" si="57"/>
        <v>0.66666666666666663</v>
      </c>
      <c r="DV14" s="892">
        <f>'RRT - Subgrupo - IGEO'!CR14</f>
        <v>8</v>
      </c>
      <c r="DW14" s="895">
        <f t="shared" si="58"/>
        <v>0.44444444444444442</v>
      </c>
      <c r="DX14" s="892">
        <f>'RRT - Subgrupo - IGEO'!CS14</f>
        <v>10</v>
      </c>
      <c r="DY14" s="893">
        <f t="shared" si="59"/>
        <v>0.55555555555555558</v>
      </c>
      <c r="DZ14" s="892">
        <f>'RRT - Subgrupo - IGEO'!CU14</f>
        <v>8</v>
      </c>
      <c r="EA14" s="895">
        <f t="shared" si="60"/>
        <v>0.5714285714285714</v>
      </c>
      <c r="EB14" s="892">
        <f>'RRT - Subgrupo - IGEO'!CV14</f>
        <v>6</v>
      </c>
      <c r="EC14" s="893">
        <f t="shared" si="61"/>
        <v>0.42857142857142855</v>
      </c>
      <c r="ED14" s="892">
        <f>'RRT - Subgrupo - IGEO'!CX14</f>
        <v>11</v>
      </c>
      <c r="EE14" s="895">
        <f t="shared" si="62"/>
        <v>0.40740740740740738</v>
      </c>
      <c r="EF14" s="892">
        <f>'RRT - Subgrupo - IGEO'!CY14</f>
        <v>16</v>
      </c>
      <c r="EG14" s="893">
        <f t="shared" si="63"/>
        <v>0.59259259259259256</v>
      </c>
      <c r="EH14" s="892">
        <f>'RRT - Subgrupo - IGEO'!DA14</f>
        <v>644</v>
      </c>
      <c r="EI14" s="895">
        <f t="shared" si="64"/>
        <v>0.51602564102564108</v>
      </c>
      <c r="EJ14" s="892">
        <f>'RRT - Subgrupo - IGEO'!DB14</f>
        <v>604</v>
      </c>
      <c r="EK14" s="893">
        <f t="shared" si="65"/>
        <v>0.48397435897435898</v>
      </c>
      <c r="EL14" s="897">
        <f>'RRT - Subgrupo - IGEO'!DD14</f>
        <v>5</v>
      </c>
      <c r="EM14" s="895">
        <f t="shared" si="66"/>
        <v>0.38461538461538464</v>
      </c>
      <c r="EN14" s="897">
        <f>'RRT - Subgrupo - IGEO'!DE14</f>
        <v>8</v>
      </c>
      <c r="EO14" s="893">
        <f t="shared" si="67"/>
        <v>0.61538461538461542</v>
      </c>
      <c r="EP14" s="897">
        <f>'RRT - Subgrupo - IGEO'!DG14</f>
        <v>168</v>
      </c>
      <c r="EQ14" s="895">
        <f t="shared" si="68"/>
        <v>0.57731958762886593</v>
      </c>
      <c r="ER14" s="897">
        <f>'RRT - Subgrupo - IGEO'!DH14</f>
        <v>123</v>
      </c>
      <c r="ES14" s="893">
        <f t="shared" si="69"/>
        <v>0.42268041237113402</v>
      </c>
      <c r="ET14" s="897">
        <f>'RRT - Subgrupo - IGEO'!DJ14</f>
        <v>845</v>
      </c>
      <c r="EU14" s="895">
        <f t="shared" si="70"/>
        <v>0.56483957219251335</v>
      </c>
      <c r="EV14" s="897">
        <f>'RRT - Subgrupo - IGEO'!DK14</f>
        <v>651</v>
      </c>
      <c r="EW14" s="893">
        <f t="shared" si="71"/>
        <v>0.43516042780748665</v>
      </c>
      <c r="EX14" s="897">
        <f>'RRT - Subgrupo - IGEO'!DM14</f>
        <v>46</v>
      </c>
      <c r="EY14" s="895">
        <f t="shared" si="72"/>
        <v>0.58227848101265822</v>
      </c>
      <c r="EZ14" s="897">
        <f>'RRT - Subgrupo - IGEO'!DN14</f>
        <v>33</v>
      </c>
      <c r="FA14" s="893">
        <f t="shared" si="73"/>
        <v>0.41772151898734178</v>
      </c>
      <c r="FB14" s="897">
        <f>'RRT - Subgrupo - IGEO'!DP14</f>
        <v>2</v>
      </c>
      <c r="FC14" s="895">
        <f t="shared" si="104"/>
        <v>1</v>
      </c>
      <c r="FD14" s="897">
        <f>'RRT - Subgrupo - IGEO'!DQ14</f>
        <v>0</v>
      </c>
      <c r="FE14" s="893">
        <f t="shared" si="105"/>
        <v>0</v>
      </c>
      <c r="FF14" s="897"/>
      <c r="FG14" s="895"/>
      <c r="FH14" s="897"/>
      <c r="FI14" s="893"/>
      <c r="FJ14" s="897">
        <f>'RRT - Subgrupo - IGEO'!DV14</f>
        <v>47</v>
      </c>
      <c r="FK14" s="895">
        <f t="shared" si="74"/>
        <v>0.67142857142857137</v>
      </c>
      <c r="FL14" s="897">
        <f>'RRT - Subgrupo - IGEO'!DW14</f>
        <v>23</v>
      </c>
      <c r="FM14" s="893">
        <f t="shared" si="75"/>
        <v>0.32857142857142857</v>
      </c>
      <c r="FN14" s="897">
        <f>'RRT - Subgrupo - IGEO'!DY14</f>
        <v>2</v>
      </c>
      <c r="FO14" s="895">
        <f t="shared" si="76"/>
        <v>0.66666666666666663</v>
      </c>
      <c r="FP14" s="897">
        <f>'RRT - Subgrupo - IGEO'!DZ14</f>
        <v>1</v>
      </c>
      <c r="FQ14" s="893">
        <f t="shared" si="77"/>
        <v>0.33333333333333331</v>
      </c>
      <c r="FR14" s="892">
        <f>'RRT - Subgrupo - IGEO'!EB14</f>
        <v>0</v>
      </c>
      <c r="FS14" s="895">
        <f t="shared" si="78"/>
        <v>0</v>
      </c>
      <c r="FT14" s="892">
        <f>'RRT - Subgrupo - IGEO'!DZ14</f>
        <v>1</v>
      </c>
      <c r="FU14" s="893">
        <f t="shared" si="79"/>
        <v>1</v>
      </c>
      <c r="FV14" s="892"/>
      <c r="FW14" s="895"/>
      <c r="FX14" s="892"/>
      <c r="FY14" s="893"/>
      <c r="FZ14" s="892">
        <f>'RRT - Subgrupo - IGEO'!EH14</f>
        <v>6</v>
      </c>
      <c r="GA14" s="895">
        <f t="shared" si="80"/>
        <v>0.75</v>
      </c>
      <c r="GB14" s="892">
        <f>'RRT - Subgrupo - IGEO'!EI14</f>
        <v>2</v>
      </c>
      <c r="GC14" s="893">
        <f t="shared" si="81"/>
        <v>0.25</v>
      </c>
      <c r="GD14" s="892">
        <f>'RRT - Subgrupo - IGEO'!EK14</f>
        <v>16</v>
      </c>
      <c r="GE14" s="895">
        <f t="shared" si="82"/>
        <v>0.76190476190476186</v>
      </c>
      <c r="GF14" s="892">
        <f>'RRT - Subgrupo - IGEO'!EL14</f>
        <v>5</v>
      </c>
      <c r="GG14" s="893">
        <f t="shared" si="83"/>
        <v>0.23809523809523808</v>
      </c>
      <c r="GH14" s="892">
        <f>'RRT - Subgrupo - IGEO'!EN14</f>
        <v>5</v>
      </c>
      <c r="GI14" s="895">
        <f t="shared" si="92"/>
        <v>0.83333333333333337</v>
      </c>
      <c r="GJ14" s="892">
        <f>'RRT - Subgrupo - IGEO'!EO14</f>
        <v>1</v>
      </c>
      <c r="GK14" s="893">
        <f t="shared" si="93"/>
        <v>0.16666666666666666</v>
      </c>
      <c r="GL14" s="892">
        <f>'RRT - Subgrupo - IGEO'!EO14</f>
        <v>1</v>
      </c>
      <c r="GM14" s="895">
        <f t="shared" si="96"/>
        <v>1</v>
      </c>
      <c r="GN14" s="892">
        <f>'RRT - Subgrupo - IGEO'!EP14</f>
        <v>0</v>
      </c>
      <c r="GO14" s="893">
        <f t="shared" si="97"/>
        <v>0</v>
      </c>
      <c r="GP14" s="892"/>
      <c r="GQ14" s="895"/>
      <c r="GR14" s="892"/>
      <c r="GS14" s="893"/>
      <c r="GT14" s="892">
        <f>'RRT - Subgrupo - IGEO'!EW14</f>
        <v>1</v>
      </c>
      <c r="GU14" s="895">
        <f t="shared" si="94"/>
        <v>0.33333333333333331</v>
      </c>
      <c r="GV14" s="892">
        <f>'RRT - Subgrupo - IGEO'!EX14</f>
        <v>2</v>
      </c>
      <c r="GW14" s="893">
        <f t="shared" si="95"/>
        <v>0.66666666666666663</v>
      </c>
      <c r="GX14" s="892">
        <f>'RRT - Subgrupo - IGEO'!EZ14</f>
        <v>11</v>
      </c>
      <c r="GY14" s="895">
        <f t="shared" si="84"/>
        <v>0.6875</v>
      </c>
      <c r="GZ14" s="892">
        <f>'RRT - Subgrupo - IGEO'!FA14</f>
        <v>5</v>
      </c>
      <c r="HA14" s="893">
        <f t="shared" si="85"/>
        <v>0.3125</v>
      </c>
      <c r="HB14" s="892">
        <f>'RRT - Subgrupo - IGEO'!FC14</f>
        <v>7</v>
      </c>
      <c r="HC14" s="895">
        <f t="shared" si="86"/>
        <v>0.36842105263157893</v>
      </c>
      <c r="HD14" s="892">
        <f>'RRT - Subgrupo - IGEO'!FD14</f>
        <v>12</v>
      </c>
      <c r="HE14" s="893">
        <f t="shared" si="87"/>
        <v>0.63157894736842102</v>
      </c>
    </row>
    <row r="15" spans="1:214" s="876" customFormat="1" ht="18.75">
      <c r="A15" s="891" t="s">
        <v>97</v>
      </c>
      <c r="B15" s="892">
        <f>'RRT - Subgrupo - IGEO'!C15</f>
        <v>7184</v>
      </c>
      <c r="C15" s="893">
        <f t="shared" si="0"/>
        <v>0.46966527196652719</v>
      </c>
      <c r="D15" s="892">
        <f>'RRT - Subgrupo - IGEO'!D15</f>
        <v>8112</v>
      </c>
      <c r="E15" s="893">
        <f t="shared" si="1"/>
        <v>0.53033472803347281</v>
      </c>
      <c r="F15" s="894">
        <f>'RRT - Subgrupo - IGEO'!F15</f>
        <v>4092</v>
      </c>
      <c r="G15" s="893">
        <f t="shared" si="2"/>
        <v>0.54393194204439721</v>
      </c>
      <c r="H15" s="892">
        <f>'RRT - Subgrupo - IGEO'!G15</f>
        <v>3431</v>
      </c>
      <c r="I15" s="893">
        <f t="shared" si="3"/>
        <v>0.45606805795560279</v>
      </c>
      <c r="J15" s="892">
        <f>'RRT - Subgrupo - IGEO'!I15</f>
        <v>41</v>
      </c>
      <c r="K15" s="895">
        <f t="shared" si="4"/>
        <v>0.28082191780821919</v>
      </c>
      <c r="L15" s="892">
        <f>'RRT - Subgrupo - IGEO'!J15</f>
        <v>105</v>
      </c>
      <c r="M15" s="893">
        <f t="shared" si="5"/>
        <v>0.71917808219178081</v>
      </c>
      <c r="N15" s="896">
        <f>'RRT - Subgrupo - IGEO'!L15</f>
        <v>144</v>
      </c>
      <c r="O15" s="895">
        <f t="shared" si="6"/>
        <v>3.4740651387213509E-2</v>
      </c>
      <c r="P15" s="892">
        <f>'RRT - Subgrupo - IGEO'!P15</f>
        <v>4001</v>
      </c>
      <c r="Q15" s="893">
        <f t="shared" si="7"/>
        <v>0.96525934861278651</v>
      </c>
      <c r="R15" s="892">
        <f>'RRT - Subgrupo - IGEO'!O15</f>
        <v>4543</v>
      </c>
      <c r="S15" s="895">
        <f t="shared" si="8"/>
        <v>0.53171816479400746</v>
      </c>
      <c r="T15" s="892">
        <f>'RRT - Subgrupo - IGEO'!P15</f>
        <v>4001</v>
      </c>
      <c r="U15" s="893">
        <f t="shared" si="9"/>
        <v>0.46828183520599254</v>
      </c>
      <c r="V15" s="892">
        <f>'RRT - Subgrupo - IGEO'!R15</f>
        <v>70</v>
      </c>
      <c r="W15" s="895">
        <f t="shared" si="10"/>
        <v>0.47619047619047616</v>
      </c>
      <c r="X15" s="896">
        <f>'RRT - Subgrupo - IGEO'!S15</f>
        <v>77</v>
      </c>
      <c r="Y15" s="893">
        <f t="shared" si="11"/>
        <v>0.52380952380952384</v>
      </c>
      <c r="Z15" s="892">
        <f>'RRT - Subgrupo - IGEO'!U15</f>
        <v>534</v>
      </c>
      <c r="AA15" s="895">
        <f t="shared" si="12"/>
        <v>0.39149560117302051</v>
      </c>
      <c r="AB15" s="892">
        <f>'RRT - Subgrupo - IGEO'!V15</f>
        <v>830</v>
      </c>
      <c r="AC15" s="893">
        <f t="shared" si="13"/>
        <v>0.60850439882697949</v>
      </c>
      <c r="AD15" s="892">
        <f>'RRT - Subgrupo - IGEO'!X15</f>
        <v>732</v>
      </c>
      <c r="AE15" s="895">
        <f t="shared" si="14"/>
        <v>0.4665391969407266</v>
      </c>
      <c r="AF15" s="892">
        <f>'RRT - Subgrupo - IGEO'!Y15</f>
        <v>837</v>
      </c>
      <c r="AG15" s="893">
        <f t="shared" si="15"/>
        <v>0.53346080305927346</v>
      </c>
      <c r="AH15" s="892">
        <f>'RRT - Subgrupo - IGEO'!AA15</f>
        <v>156</v>
      </c>
      <c r="AI15" s="895">
        <f t="shared" si="16"/>
        <v>0.67826086956521736</v>
      </c>
      <c r="AJ15" s="892">
        <f>'RRT - Subgrupo - IGEO'!AB15</f>
        <v>74</v>
      </c>
      <c r="AK15" s="893">
        <f t="shared" si="17"/>
        <v>0.32173913043478258</v>
      </c>
      <c r="AL15" s="892">
        <f>'RRT - Subgrupo - IGEO'!AD15</f>
        <v>213</v>
      </c>
      <c r="AM15" s="895">
        <f t="shared" si="18"/>
        <v>0.45222929936305734</v>
      </c>
      <c r="AN15" s="892">
        <f>'RRT - Subgrupo - IGEO'!AE15</f>
        <v>258</v>
      </c>
      <c r="AO15" s="893">
        <f t="shared" si="19"/>
        <v>0.54777070063694266</v>
      </c>
      <c r="AP15" s="896">
        <f>'RRT - Subgrupo - IGEO'!AG15</f>
        <v>2</v>
      </c>
      <c r="AQ15" s="895">
        <f t="shared" si="20"/>
        <v>0.33333333333333331</v>
      </c>
      <c r="AR15" s="892">
        <f>'RRT - Subgrupo - IGEO'!AH15</f>
        <v>4</v>
      </c>
      <c r="AS15" s="893">
        <f t="shared" si="21"/>
        <v>0.66666666666666663</v>
      </c>
      <c r="AT15" s="892">
        <f>'RRT - Subgrupo - IGEO'!AJ15</f>
        <v>5577</v>
      </c>
      <c r="AU15" s="895">
        <f t="shared" si="22"/>
        <v>0.52464722483537163</v>
      </c>
      <c r="AV15" s="892">
        <f>'RRT - Subgrupo - IGEO'!AK15</f>
        <v>5053</v>
      </c>
      <c r="AW15" s="893">
        <f t="shared" si="23"/>
        <v>0.47535277516462843</v>
      </c>
      <c r="AX15" s="892">
        <f>'RRT - Subgrupo - IGEO'!AM15</f>
        <v>2789</v>
      </c>
      <c r="AY15" s="895">
        <f t="shared" si="24"/>
        <v>0.5531535105117017</v>
      </c>
      <c r="AZ15" s="892">
        <f>'RRT - Subgrupo - IGEO'!AN15</f>
        <v>2253</v>
      </c>
      <c r="BA15" s="893">
        <f t="shared" si="25"/>
        <v>0.4468464894882983</v>
      </c>
      <c r="BB15" s="892">
        <f>'RRT - Subgrupo - IGEO'!AP15</f>
        <v>31</v>
      </c>
      <c r="BC15" s="895">
        <f t="shared" si="26"/>
        <v>0.40789473684210525</v>
      </c>
      <c r="BD15" s="892">
        <f>'RRT - Subgrupo - IGEO'!AQ15</f>
        <v>45</v>
      </c>
      <c r="BE15" s="893">
        <f t="shared" si="27"/>
        <v>0.59210526315789469</v>
      </c>
      <c r="BF15" s="892">
        <f>'RRT - Subgrupo - IGEO'!AS15</f>
        <v>66</v>
      </c>
      <c r="BG15" s="895">
        <f t="shared" si="28"/>
        <v>0.2832618025751073</v>
      </c>
      <c r="BH15" s="892">
        <f>'RRT - Subgrupo - IGEO'!AT15</f>
        <v>167</v>
      </c>
      <c r="BI15" s="893">
        <f t="shared" si="29"/>
        <v>0.71673819742489275</v>
      </c>
      <c r="BJ15" s="892">
        <f>'RRT - Subgrupo - IGEO'!AV15</f>
        <v>2964</v>
      </c>
      <c r="BK15" s="895">
        <f t="shared" si="30"/>
        <v>0.55412226584408297</v>
      </c>
      <c r="BL15" s="892">
        <f>'RRT - Subgrupo - IGEO'!AW15</f>
        <v>2385</v>
      </c>
      <c r="BM15" s="893">
        <f t="shared" si="31"/>
        <v>0.44587773415591697</v>
      </c>
      <c r="BN15" s="892">
        <f>'RRT - Subgrupo - IGEO'!AY15</f>
        <v>20</v>
      </c>
      <c r="BO15" s="895">
        <f t="shared" si="32"/>
        <v>0.54054054054054057</v>
      </c>
      <c r="BP15" s="892">
        <f>'RRT - Subgrupo - IGEO'!AZ15</f>
        <v>17</v>
      </c>
      <c r="BQ15" s="893">
        <f t="shared" si="33"/>
        <v>0.45945945945945948</v>
      </c>
      <c r="BR15" s="892">
        <f>'RRT - Subgrupo - IGEO'!BB15</f>
        <v>47</v>
      </c>
      <c r="BS15" s="895">
        <f t="shared" si="34"/>
        <v>0.6619718309859155</v>
      </c>
      <c r="BT15" s="892">
        <f>'RRT - Subgrupo - IGEO'!BC15</f>
        <v>24</v>
      </c>
      <c r="BU15" s="893">
        <f t="shared" si="35"/>
        <v>0.3380281690140845</v>
      </c>
      <c r="BV15" s="892">
        <f>'RRT - Subgrupo - IGEO'!BE15</f>
        <v>264</v>
      </c>
      <c r="BW15" s="895">
        <f t="shared" si="36"/>
        <v>0.75862068965517238</v>
      </c>
      <c r="BX15" s="892">
        <f>'RRT - Subgrupo - IGEO'!BF15</f>
        <v>84</v>
      </c>
      <c r="BY15" s="893">
        <f t="shared" si="37"/>
        <v>0.2413793103448276</v>
      </c>
      <c r="BZ15" s="892">
        <f>'RRT - Subgrupo - IGEO'!BH15</f>
        <v>5</v>
      </c>
      <c r="CA15" s="895">
        <f t="shared" si="38"/>
        <v>0.625</v>
      </c>
      <c r="CB15" s="892">
        <f>'RRT - Subgrupo - IGEO'!BI15</f>
        <v>3</v>
      </c>
      <c r="CC15" s="893">
        <f t="shared" si="39"/>
        <v>0.375</v>
      </c>
      <c r="CD15" s="892">
        <f>'RRT - Subgrupo - IGEO'!BK15</f>
        <v>10</v>
      </c>
      <c r="CE15" s="895">
        <f t="shared" si="40"/>
        <v>0.38461538461538464</v>
      </c>
      <c r="CF15" s="892">
        <f>'RRT - Subgrupo - IGEO'!BL15</f>
        <v>16</v>
      </c>
      <c r="CG15" s="893">
        <f t="shared" si="41"/>
        <v>0.61538461538461542</v>
      </c>
      <c r="CH15" s="896">
        <f>'RRT - Subgrupo - IGEO'!BN15</f>
        <v>8</v>
      </c>
      <c r="CI15" s="895">
        <f t="shared" si="42"/>
        <v>0.47058823529411764</v>
      </c>
      <c r="CJ15" s="896">
        <f>'RRT - Subgrupo - IGEO'!BO15</f>
        <v>9</v>
      </c>
      <c r="CK15" s="893">
        <f t="shared" si="43"/>
        <v>0.52941176470588236</v>
      </c>
      <c r="CL15" s="896">
        <f>'RRT - Subgrupo - IGEO'!BQ15</f>
        <v>4</v>
      </c>
      <c r="CM15" s="895">
        <f t="shared" si="44"/>
        <v>0.66666666666666663</v>
      </c>
      <c r="CN15" s="896">
        <f>'RRT - Subgrupo - IGEO'!BR15</f>
        <v>2</v>
      </c>
      <c r="CO15" s="893">
        <f t="shared" si="45"/>
        <v>0.33333333333333331</v>
      </c>
      <c r="CP15" s="896">
        <f>'RRT - Subgrupo - IGEO'!BT15</f>
        <v>10</v>
      </c>
      <c r="CQ15" s="895">
        <f t="shared" si="88"/>
        <v>0.5</v>
      </c>
      <c r="CR15" s="896">
        <f>'RRT - Subgrupo - IGEO'!BU15</f>
        <v>10</v>
      </c>
      <c r="CS15" s="893">
        <f t="shared" si="89"/>
        <v>0.5</v>
      </c>
      <c r="CT15" s="896">
        <f>'RRT - Subgrupo - IGEO'!BW15</f>
        <v>4</v>
      </c>
      <c r="CU15" s="895">
        <f t="shared" si="46"/>
        <v>0.16666666666666666</v>
      </c>
      <c r="CV15" s="896">
        <f>'RRT - Subgrupo - IGEO'!BX15</f>
        <v>20</v>
      </c>
      <c r="CW15" s="893">
        <f t="shared" si="47"/>
        <v>0.83333333333333337</v>
      </c>
      <c r="CX15" s="896">
        <f>'RRT - Subgrupo - IGEO'!BZ15</f>
        <v>98</v>
      </c>
      <c r="CY15" s="895">
        <f t="shared" si="48"/>
        <v>0.49746192893401014</v>
      </c>
      <c r="CZ15" s="896">
        <f>'RRT - Subgrupo - IGEO'!CA15</f>
        <v>99</v>
      </c>
      <c r="DA15" s="893">
        <f t="shared" si="49"/>
        <v>0.5025380710659898</v>
      </c>
      <c r="DB15" s="896">
        <f>'RRT - Subgrupo - IGEO'!CC15</f>
        <v>68</v>
      </c>
      <c r="DC15" s="895">
        <f t="shared" si="50"/>
        <v>0.40718562874251496</v>
      </c>
      <c r="DD15" s="896">
        <f>'RRT - Subgrupo - IGEO'!CD15</f>
        <v>99</v>
      </c>
      <c r="DE15" s="893">
        <f t="shared" si="51"/>
        <v>0.59281437125748504</v>
      </c>
      <c r="DF15" s="892">
        <f>'RRT - Subgrupo - IGEO'!CF15</f>
        <v>27</v>
      </c>
      <c r="DG15" s="895">
        <f t="shared" si="52"/>
        <v>0.57446808510638303</v>
      </c>
      <c r="DH15" s="892">
        <f>'RRT - Subgrupo - IGEO'!CG15</f>
        <v>20</v>
      </c>
      <c r="DI15" s="893">
        <f t="shared" si="53"/>
        <v>0.42553191489361702</v>
      </c>
      <c r="DJ15" s="892">
        <f>'RRT - Subgrupo - IGEO'!CI15</f>
        <v>219</v>
      </c>
      <c r="DK15" s="895">
        <f t="shared" si="54"/>
        <v>0.61173184357541899</v>
      </c>
      <c r="DL15" s="892">
        <f>'RRT - Subgrupo - IGEO'!CJ15</f>
        <v>139</v>
      </c>
      <c r="DM15" s="893">
        <f t="shared" si="55"/>
        <v>0.38826815642458101</v>
      </c>
      <c r="DN15" s="892">
        <f>'RRT - Subgrupo - IGEO'!CL15</f>
        <v>0</v>
      </c>
      <c r="DO15" s="895">
        <f t="shared" si="90"/>
        <v>0</v>
      </c>
      <c r="DP15" s="892">
        <f>'RRT - Subgrupo - IGEO'!CM15</f>
        <v>6</v>
      </c>
      <c r="DQ15" s="893">
        <f t="shared" si="91"/>
        <v>1</v>
      </c>
      <c r="DR15" s="892">
        <f>'RRT - Subgrupo - IGEO'!CO15</f>
        <v>5</v>
      </c>
      <c r="DS15" s="895">
        <f t="shared" si="56"/>
        <v>0.55555555555555558</v>
      </c>
      <c r="DT15" s="892">
        <f>'RRT - Subgrupo - IGEO'!CP15</f>
        <v>4</v>
      </c>
      <c r="DU15" s="893">
        <f t="shared" si="57"/>
        <v>0.44444444444444442</v>
      </c>
      <c r="DV15" s="892">
        <f>'RRT - Subgrupo - IGEO'!CR15</f>
        <v>4</v>
      </c>
      <c r="DW15" s="895">
        <f t="shared" si="58"/>
        <v>0.44444444444444442</v>
      </c>
      <c r="DX15" s="892">
        <f>'RRT - Subgrupo - IGEO'!CS15</f>
        <v>5</v>
      </c>
      <c r="DY15" s="893">
        <f t="shared" si="59"/>
        <v>0.55555555555555558</v>
      </c>
      <c r="DZ15" s="892">
        <f>'RRT - Subgrupo - IGEO'!CU15</f>
        <v>11</v>
      </c>
      <c r="EA15" s="895">
        <f t="shared" si="60"/>
        <v>0.55000000000000004</v>
      </c>
      <c r="EB15" s="892">
        <f>'RRT - Subgrupo - IGEO'!CV15</f>
        <v>9</v>
      </c>
      <c r="EC15" s="893">
        <f t="shared" si="61"/>
        <v>0.45</v>
      </c>
      <c r="ED15" s="892">
        <f>'RRT - Subgrupo - IGEO'!CX15</f>
        <v>10</v>
      </c>
      <c r="EE15" s="895">
        <f t="shared" si="62"/>
        <v>0.52631578947368418</v>
      </c>
      <c r="EF15" s="892">
        <f>'RRT - Subgrupo - IGEO'!CY15</f>
        <v>9</v>
      </c>
      <c r="EG15" s="893">
        <f t="shared" si="63"/>
        <v>0.47368421052631576</v>
      </c>
      <c r="EH15" s="892">
        <f>'RRT - Subgrupo - IGEO'!DA15</f>
        <v>482</v>
      </c>
      <c r="EI15" s="895">
        <f t="shared" si="64"/>
        <v>0.46570048309178746</v>
      </c>
      <c r="EJ15" s="892">
        <f>'RRT - Subgrupo - IGEO'!DB15</f>
        <v>553</v>
      </c>
      <c r="EK15" s="893">
        <f t="shared" si="65"/>
        <v>0.53429951690821254</v>
      </c>
      <c r="EL15" s="897">
        <f>'RRT - Subgrupo - IGEO'!DD15</f>
        <v>4</v>
      </c>
      <c r="EM15" s="895">
        <f t="shared" si="66"/>
        <v>0.5</v>
      </c>
      <c r="EN15" s="897">
        <f>'RRT - Subgrupo - IGEO'!DE15</f>
        <v>4</v>
      </c>
      <c r="EO15" s="893">
        <f t="shared" si="67"/>
        <v>0.5</v>
      </c>
      <c r="EP15" s="897">
        <f>'RRT - Subgrupo - IGEO'!DG15</f>
        <v>49</v>
      </c>
      <c r="EQ15" s="895">
        <f t="shared" si="68"/>
        <v>0.25925925925925924</v>
      </c>
      <c r="ER15" s="897">
        <f>'RRT - Subgrupo - IGEO'!DH15</f>
        <v>140</v>
      </c>
      <c r="ES15" s="893">
        <f t="shared" si="69"/>
        <v>0.7407407407407407</v>
      </c>
      <c r="ET15" s="897">
        <f>'RRT - Subgrupo - IGEO'!DJ15</f>
        <v>756</v>
      </c>
      <c r="EU15" s="895">
        <f t="shared" si="70"/>
        <v>0.49379490529065972</v>
      </c>
      <c r="EV15" s="897">
        <f>'RRT - Subgrupo - IGEO'!DK15</f>
        <v>775</v>
      </c>
      <c r="EW15" s="893">
        <f t="shared" si="71"/>
        <v>0.50620509470934028</v>
      </c>
      <c r="EX15" s="897">
        <f>'RRT - Subgrupo - IGEO'!DM15</f>
        <v>14</v>
      </c>
      <c r="EY15" s="895">
        <f t="shared" si="72"/>
        <v>0.3888888888888889</v>
      </c>
      <c r="EZ15" s="897">
        <f>'RRT - Subgrupo - IGEO'!DN15</f>
        <v>22</v>
      </c>
      <c r="FA15" s="893">
        <f t="shared" si="73"/>
        <v>0.61111111111111116</v>
      </c>
      <c r="FB15" s="897">
        <f>'RRT - Subgrupo - IGEO'!DP15</f>
        <v>1</v>
      </c>
      <c r="FC15" s="895">
        <f t="shared" si="104"/>
        <v>4.5454545454545456E-2</v>
      </c>
      <c r="FD15" s="897">
        <f>'RRT - Subgrupo - IGEO'!DQ15</f>
        <v>21</v>
      </c>
      <c r="FE15" s="893">
        <f t="shared" si="105"/>
        <v>0.95454545454545459</v>
      </c>
      <c r="FF15" s="897">
        <f>'RRT - Subgrupo - IGEO'!DS15</f>
        <v>1</v>
      </c>
      <c r="FG15" s="895">
        <f t="shared" si="100"/>
        <v>1</v>
      </c>
      <c r="FH15" s="897">
        <f>'RRT - Subgrupo - IGEO'!DT15</f>
        <v>0</v>
      </c>
      <c r="FI15" s="893">
        <f t="shared" si="101"/>
        <v>0</v>
      </c>
      <c r="FJ15" s="897">
        <f>'RRT - Subgrupo - IGEO'!DV15</f>
        <v>16</v>
      </c>
      <c r="FK15" s="895">
        <f t="shared" si="74"/>
        <v>0.61538461538461542</v>
      </c>
      <c r="FL15" s="897">
        <f>'RRT - Subgrupo - IGEO'!DW15</f>
        <v>10</v>
      </c>
      <c r="FM15" s="893">
        <f t="shared" si="75"/>
        <v>0.38461538461538464</v>
      </c>
      <c r="FN15" s="897">
        <f>'RRT - Subgrupo - IGEO'!DY15</f>
        <v>2</v>
      </c>
      <c r="FO15" s="895">
        <f t="shared" si="76"/>
        <v>0.4</v>
      </c>
      <c r="FP15" s="897">
        <f>'RRT - Subgrupo - IGEO'!DZ15</f>
        <v>3</v>
      </c>
      <c r="FQ15" s="893">
        <f t="shared" si="77"/>
        <v>0.6</v>
      </c>
      <c r="FR15" s="892">
        <f>'RRT - Subgrupo - IGEO'!EB15</f>
        <v>0</v>
      </c>
      <c r="FS15" s="895">
        <f t="shared" si="78"/>
        <v>0</v>
      </c>
      <c r="FT15" s="892">
        <f>'RRT - Subgrupo - IGEO'!DZ15</f>
        <v>3</v>
      </c>
      <c r="FU15" s="893">
        <f t="shared" si="79"/>
        <v>1</v>
      </c>
      <c r="FV15" s="892">
        <f>'RRT - Subgrupo - IGEO'!EE15</f>
        <v>0</v>
      </c>
      <c r="FW15" s="895">
        <f t="shared" si="102"/>
        <v>0</v>
      </c>
      <c r="FX15" s="892">
        <f>'RRT - Subgrupo - IGEO'!EF15</f>
        <v>1</v>
      </c>
      <c r="FY15" s="893">
        <f t="shared" si="103"/>
        <v>1</v>
      </c>
      <c r="FZ15" s="892">
        <f>'RRT - Subgrupo - IGEO'!EH15</f>
        <v>4</v>
      </c>
      <c r="GA15" s="895">
        <f t="shared" si="80"/>
        <v>0.44444444444444442</v>
      </c>
      <c r="GB15" s="892">
        <f>'RRT - Subgrupo - IGEO'!EI15</f>
        <v>5</v>
      </c>
      <c r="GC15" s="893">
        <f t="shared" si="81"/>
        <v>0.55555555555555558</v>
      </c>
      <c r="GD15" s="892">
        <f>'RRT - Subgrupo - IGEO'!EK15</f>
        <v>13</v>
      </c>
      <c r="GE15" s="895">
        <f t="shared" si="82"/>
        <v>0.38235294117647056</v>
      </c>
      <c r="GF15" s="892">
        <f>'RRT - Subgrupo - IGEO'!EL15</f>
        <v>21</v>
      </c>
      <c r="GG15" s="893">
        <f t="shared" si="83"/>
        <v>0.61764705882352944</v>
      </c>
      <c r="GH15" s="892">
        <f>'RRT - Subgrupo - IGEO'!EN15</f>
        <v>1</v>
      </c>
      <c r="GI15" s="895">
        <f t="shared" si="92"/>
        <v>1</v>
      </c>
      <c r="GJ15" s="892">
        <f>'RRT - Subgrupo - IGEO'!EO15</f>
        <v>0</v>
      </c>
      <c r="GK15" s="893">
        <f t="shared" si="93"/>
        <v>0</v>
      </c>
      <c r="GL15" s="892"/>
      <c r="GM15" s="895"/>
      <c r="GN15" s="892"/>
      <c r="GO15" s="893"/>
      <c r="GP15" s="892"/>
      <c r="GQ15" s="895"/>
      <c r="GR15" s="892"/>
      <c r="GS15" s="893"/>
      <c r="GT15" s="892"/>
      <c r="GU15" s="895"/>
      <c r="GV15" s="892"/>
      <c r="GW15" s="893"/>
      <c r="GX15" s="892">
        <f>'RRT - Subgrupo - IGEO'!EZ15</f>
        <v>7</v>
      </c>
      <c r="GY15" s="895">
        <f t="shared" si="84"/>
        <v>0.77777777777777779</v>
      </c>
      <c r="GZ15" s="892">
        <f>'RRT - Subgrupo - IGEO'!FA15</f>
        <v>2</v>
      </c>
      <c r="HA15" s="893">
        <f t="shared" si="85"/>
        <v>0.22222222222222221</v>
      </c>
      <c r="HB15" s="892">
        <f>'RRT - Subgrupo - IGEO'!FC15</f>
        <v>74</v>
      </c>
      <c r="HC15" s="895">
        <f t="shared" si="86"/>
        <v>0.28793774319066145</v>
      </c>
      <c r="HD15" s="892">
        <f>'RRT - Subgrupo - IGEO'!FD15</f>
        <v>183</v>
      </c>
      <c r="HE15" s="893">
        <f t="shared" si="87"/>
        <v>0.71206225680933855</v>
      </c>
    </row>
    <row r="16" spans="1:214" s="876" customFormat="1" ht="18.75">
      <c r="A16" s="891" t="s">
        <v>100</v>
      </c>
      <c r="B16" s="892">
        <f>'RRT - Subgrupo - IGEO'!C16</f>
        <v>1781</v>
      </c>
      <c r="C16" s="893">
        <f t="shared" si="0"/>
        <v>0.46574267782426776</v>
      </c>
      <c r="D16" s="892">
        <f>'RRT - Subgrupo - IGEO'!D16</f>
        <v>2043</v>
      </c>
      <c r="E16" s="893">
        <f t="shared" si="1"/>
        <v>0.53425732217573219</v>
      </c>
      <c r="F16" s="894">
        <f>'RRT - Subgrupo - IGEO'!F16</f>
        <v>508</v>
      </c>
      <c r="G16" s="893">
        <f t="shared" si="2"/>
        <v>0.55519125683060111</v>
      </c>
      <c r="H16" s="892">
        <f>'RRT - Subgrupo - IGEO'!G16</f>
        <v>407</v>
      </c>
      <c r="I16" s="893">
        <f t="shared" si="3"/>
        <v>0.44480874316939889</v>
      </c>
      <c r="J16" s="892">
        <f>'RRT - Subgrupo - IGEO'!I16</f>
        <v>73</v>
      </c>
      <c r="K16" s="895">
        <f t="shared" si="4"/>
        <v>0.58870967741935487</v>
      </c>
      <c r="L16" s="892">
        <f>'RRT - Subgrupo - IGEO'!J16</f>
        <v>51</v>
      </c>
      <c r="M16" s="893">
        <f t="shared" si="5"/>
        <v>0.41129032258064518</v>
      </c>
      <c r="N16" s="896">
        <f>'RRT - Subgrupo - IGEO'!L16</f>
        <v>159</v>
      </c>
      <c r="O16" s="895">
        <f t="shared" si="6"/>
        <v>0.18640093786635403</v>
      </c>
      <c r="P16" s="892">
        <f>'RRT - Subgrupo - IGEO'!P16</f>
        <v>694</v>
      </c>
      <c r="Q16" s="893">
        <f t="shared" si="7"/>
        <v>0.81359906213364597</v>
      </c>
      <c r="R16" s="892">
        <f>'RRT - Subgrupo - IGEO'!O16</f>
        <v>822</v>
      </c>
      <c r="S16" s="895">
        <f t="shared" si="8"/>
        <v>0.54221635883905017</v>
      </c>
      <c r="T16" s="892">
        <f>'RRT - Subgrupo - IGEO'!P16</f>
        <v>694</v>
      </c>
      <c r="U16" s="893">
        <f t="shared" si="9"/>
        <v>0.45778364116094988</v>
      </c>
      <c r="V16" s="892">
        <f>'RRT - Subgrupo - IGEO'!R16</f>
        <v>38</v>
      </c>
      <c r="W16" s="895">
        <f t="shared" si="10"/>
        <v>0.55072463768115942</v>
      </c>
      <c r="X16" s="896">
        <f>'RRT - Subgrupo - IGEO'!S16</f>
        <v>31</v>
      </c>
      <c r="Y16" s="893">
        <f t="shared" si="11"/>
        <v>0.44927536231884058</v>
      </c>
      <c r="Z16" s="892">
        <f>'RRT - Subgrupo - IGEO'!U16</f>
        <v>130</v>
      </c>
      <c r="AA16" s="895">
        <f t="shared" si="12"/>
        <v>0.50980392156862742</v>
      </c>
      <c r="AB16" s="892">
        <f>'RRT - Subgrupo - IGEO'!V16</f>
        <v>125</v>
      </c>
      <c r="AC16" s="893">
        <f t="shared" si="13"/>
        <v>0.49019607843137253</v>
      </c>
      <c r="AD16" s="892">
        <f>'RRT - Subgrupo - IGEO'!X16</f>
        <v>294</v>
      </c>
      <c r="AE16" s="895">
        <f t="shared" si="14"/>
        <v>0.79032258064516125</v>
      </c>
      <c r="AF16" s="892">
        <f>'RRT - Subgrupo - IGEO'!Y16</f>
        <v>78</v>
      </c>
      <c r="AG16" s="893">
        <f t="shared" si="15"/>
        <v>0.20967741935483872</v>
      </c>
      <c r="AH16" s="892">
        <f>'RRT - Subgrupo - IGEO'!AA16</f>
        <v>25</v>
      </c>
      <c r="AI16" s="895">
        <f t="shared" si="16"/>
        <v>0.51020408163265307</v>
      </c>
      <c r="AJ16" s="892">
        <f>'RRT - Subgrupo - IGEO'!AB16</f>
        <v>24</v>
      </c>
      <c r="AK16" s="893">
        <f t="shared" si="17"/>
        <v>0.48979591836734693</v>
      </c>
      <c r="AL16" s="892">
        <f>'RRT - Subgrupo - IGEO'!AD16</f>
        <v>52</v>
      </c>
      <c r="AM16" s="895">
        <f t="shared" si="18"/>
        <v>0.67532467532467533</v>
      </c>
      <c r="AN16" s="892">
        <f>'RRT - Subgrupo - IGEO'!AE16</f>
        <v>25</v>
      </c>
      <c r="AO16" s="893">
        <f t="shared" si="19"/>
        <v>0.32467532467532467</v>
      </c>
      <c r="AP16" s="896">
        <f>'RRT - Subgrupo - IGEO'!AG16</f>
        <v>8</v>
      </c>
      <c r="AQ16" s="895">
        <f t="shared" si="20"/>
        <v>0.66666666666666663</v>
      </c>
      <c r="AR16" s="892">
        <f>'RRT - Subgrupo - IGEO'!AH16</f>
        <v>4</v>
      </c>
      <c r="AS16" s="893">
        <f t="shared" si="21"/>
        <v>0.33333333333333331</v>
      </c>
      <c r="AT16" s="892">
        <f>'RRT - Subgrupo - IGEO'!AJ16</f>
        <v>962</v>
      </c>
      <c r="AU16" s="895">
        <f t="shared" si="22"/>
        <v>0.53833240067151655</v>
      </c>
      <c r="AV16" s="892">
        <f>'RRT - Subgrupo - IGEO'!AK16</f>
        <v>825</v>
      </c>
      <c r="AW16" s="893">
        <f t="shared" si="23"/>
        <v>0.4616675993284835</v>
      </c>
      <c r="AX16" s="892">
        <f>'RRT - Subgrupo - IGEO'!AM16</f>
        <v>481</v>
      </c>
      <c r="AY16" s="895">
        <f t="shared" si="24"/>
        <v>0.56990521327014221</v>
      </c>
      <c r="AZ16" s="892">
        <f>'RRT - Subgrupo - IGEO'!AN16</f>
        <v>363</v>
      </c>
      <c r="BA16" s="893">
        <f t="shared" si="25"/>
        <v>0.43009478672985785</v>
      </c>
      <c r="BB16" s="892">
        <f>'RRT - Subgrupo - IGEO'!AP16</f>
        <v>56</v>
      </c>
      <c r="BC16" s="895">
        <f t="shared" si="26"/>
        <v>0.7</v>
      </c>
      <c r="BD16" s="892">
        <f>'RRT - Subgrupo - IGEO'!AQ16</f>
        <v>24</v>
      </c>
      <c r="BE16" s="893">
        <f t="shared" si="27"/>
        <v>0.3</v>
      </c>
      <c r="BF16" s="892">
        <f>'RRT - Subgrupo - IGEO'!AS16</f>
        <v>135</v>
      </c>
      <c r="BG16" s="895">
        <f t="shared" si="28"/>
        <v>0.31105990783410137</v>
      </c>
      <c r="BH16" s="892">
        <f>'RRT - Subgrupo - IGEO'!AT16</f>
        <v>299</v>
      </c>
      <c r="BI16" s="893">
        <f t="shared" si="29"/>
        <v>0.68894009216589858</v>
      </c>
      <c r="BJ16" s="892">
        <f>'RRT - Subgrupo - IGEO'!AV16</f>
        <v>548</v>
      </c>
      <c r="BK16" s="895">
        <f t="shared" si="30"/>
        <v>0.5609007164790174</v>
      </c>
      <c r="BL16" s="892">
        <f>'RRT - Subgrupo - IGEO'!AW16</f>
        <v>429</v>
      </c>
      <c r="BM16" s="893">
        <f t="shared" si="31"/>
        <v>0.4390992835209826</v>
      </c>
      <c r="BN16" s="892">
        <f>'RRT - Subgrupo - IGEO'!AY16</f>
        <v>12</v>
      </c>
      <c r="BO16" s="895">
        <f t="shared" si="32"/>
        <v>0.8571428571428571</v>
      </c>
      <c r="BP16" s="892">
        <f>'RRT - Subgrupo - IGEO'!AZ16</f>
        <v>2</v>
      </c>
      <c r="BQ16" s="893">
        <f t="shared" si="33"/>
        <v>0.14285714285714285</v>
      </c>
      <c r="BR16" s="892">
        <f>'RRT - Subgrupo - IGEO'!BB16</f>
        <v>13</v>
      </c>
      <c r="BS16" s="895">
        <f t="shared" si="34"/>
        <v>0.72222222222222221</v>
      </c>
      <c r="BT16" s="892">
        <f>'RRT - Subgrupo - IGEO'!BC16</f>
        <v>5</v>
      </c>
      <c r="BU16" s="893">
        <f t="shared" si="35"/>
        <v>0.27777777777777779</v>
      </c>
      <c r="BV16" s="892">
        <f>'RRT - Subgrupo - IGEO'!BE16</f>
        <v>18</v>
      </c>
      <c r="BW16" s="895">
        <f t="shared" si="36"/>
        <v>0.69230769230769229</v>
      </c>
      <c r="BX16" s="892">
        <f>'RRT - Subgrupo - IGEO'!BF16</f>
        <v>8</v>
      </c>
      <c r="BY16" s="893">
        <f t="shared" si="37"/>
        <v>0.30769230769230771</v>
      </c>
      <c r="BZ16" s="892">
        <f>'RRT - Subgrupo - IGEO'!BH16</f>
        <v>9</v>
      </c>
      <c r="CA16" s="895">
        <f t="shared" si="38"/>
        <v>0.81818181818181823</v>
      </c>
      <c r="CB16" s="892">
        <f>'RRT - Subgrupo - IGEO'!BI16</f>
        <v>2</v>
      </c>
      <c r="CC16" s="893">
        <f t="shared" si="39"/>
        <v>0.18181818181818182</v>
      </c>
      <c r="CD16" s="892">
        <f>'RRT - Subgrupo - IGEO'!BK16</f>
        <v>22</v>
      </c>
      <c r="CE16" s="895">
        <f t="shared" si="40"/>
        <v>0.61111111111111116</v>
      </c>
      <c r="CF16" s="892">
        <f>'RRT - Subgrupo - IGEO'!BL16</f>
        <v>14</v>
      </c>
      <c r="CG16" s="893">
        <f t="shared" si="41"/>
        <v>0.3888888888888889</v>
      </c>
      <c r="CH16" s="896">
        <f>'RRT - Subgrupo - IGEO'!BN16</f>
        <v>0</v>
      </c>
      <c r="CI16" s="895">
        <f t="shared" si="42"/>
        <v>0</v>
      </c>
      <c r="CJ16" s="896">
        <f>'RRT - Subgrupo - IGEO'!BO16</f>
        <v>4</v>
      </c>
      <c r="CK16" s="893">
        <f t="shared" si="43"/>
        <v>1</v>
      </c>
      <c r="CL16" s="896">
        <f>'RRT - Subgrupo - IGEO'!BQ16</f>
        <v>1</v>
      </c>
      <c r="CM16" s="895">
        <f t="shared" si="44"/>
        <v>0.5</v>
      </c>
      <c r="CN16" s="896">
        <f>'RRT - Subgrupo - IGEO'!BR16</f>
        <v>1</v>
      </c>
      <c r="CO16" s="893">
        <f t="shared" si="45"/>
        <v>0.5</v>
      </c>
      <c r="CP16" s="896">
        <f>'RRT - Subgrupo - IGEO'!BT16</f>
        <v>2</v>
      </c>
      <c r="CQ16" s="895">
        <f t="shared" si="88"/>
        <v>0.66666666666666663</v>
      </c>
      <c r="CR16" s="896">
        <f>'RRT - Subgrupo - IGEO'!BU16</f>
        <v>1</v>
      </c>
      <c r="CS16" s="893">
        <f t="shared" si="89"/>
        <v>0.33333333333333331</v>
      </c>
      <c r="CT16" s="896">
        <f>'RRT - Subgrupo - IGEO'!BW16</f>
        <v>0</v>
      </c>
      <c r="CU16" s="895">
        <f t="shared" si="46"/>
        <v>0</v>
      </c>
      <c r="CV16" s="896">
        <f>'RRT - Subgrupo - IGEO'!BX16</f>
        <v>7</v>
      </c>
      <c r="CW16" s="893">
        <f t="shared" si="47"/>
        <v>1</v>
      </c>
      <c r="CX16" s="896">
        <f>'RRT - Subgrupo - IGEO'!BZ16</f>
        <v>68</v>
      </c>
      <c r="CY16" s="895">
        <f t="shared" si="48"/>
        <v>0.72340425531914898</v>
      </c>
      <c r="CZ16" s="896">
        <f>'RRT - Subgrupo - IGEO'!CA16</f>
        <v>26</v>
      </c>
      <c r="DA16" s="893">
        <f t="shared" si="49"/>
        <v>0.27659574468085107</v>
      </c>
      <c r="DB16" s="896">
        <f>'RRT - Subgrupo - IGEO'!CC16</f>
        <v>64</v>
      </c>
      <c r="DC16" s="895">
        <f t="shared" si="50"/>
        <v>0.59813084112149528</v>
      </c>
      <c r="DD16" s="896">
        <f>'RRT - Subgrupo - IGEO'!CD16</f>
        <v>43</v>
      </c>
      <c r="DE16" s="893">
        <f t="shared" si="51"/>
        <v>0.40186915887850466</v>
      </c>
      <c r="DF16" s="892">
        <f>'RRT - Subgrupo - IGEO'!CF16</f>
        <v>72</v>
      </c>
      <c r="DG16" s="895">
        <f t="shared" si="52"/>
        <v>0.63716814159292035</v>
      </c>
      <c r="DH16" s="892">
        <f>'RRT - Subgrupo - IGEO'!CG16</f>
        <v>41</v>
      </c>
      <c r="DI16" s="893">
        <f t="shared" si="53"/>
        <v>0.36283185840707965</v>
      </c>
      <c r="DJ16" s="892">
        <f>'RRT - Subgrupo - IGEO'!CI16</f>
        <v>22</v>
      </c>
      <c r="DK16" s="895">
        <f t="shared" si="54"/>
        <v>0.33333333333333331</v>
      </c>
      <c r="DL16" s="892">
        <f>'RRT - Subgrupo - IGEO'!CJ16</f>
        <v>44</v>
      </c>
      <c r="DM16" s="893">
        <f t="shared" si="55"/>
        <v>0.66666666666666663</v>
      </c>
      <c r="DN16" s="892">
        <f>'RRT - Subgrupo - IGEO'!CL16</f>
        <v>3</v>
      </c>
      <c r="DO16" s="895">
        <f t="shared" si="90"/>
        <v>1</v>
      </c>
      <c r="DP16" s="892">
        <f>'RRT - Subgrupo - IGEO'!CM16</f>
        <v>0</v>
      </c>
      <c r="DQ16" s="893">
        <f t="shared" si="91"/>
        <v>0</v>
      </c>
      <c r="DR16" s="892">
        <f>'RRT - Subgrupo - IGEO'!CO16</f>
        <v>20</v>
      </c>
      <c r="DS16" s="895">
        <f t="shared" si="56"/>
        <v>0.64516129032258063</v>
      </c>
      <c r="DT16" s="892">
        <f>'RRT - Subgrupo - IGEO'!CP16</f>
        <v>11</v>
      </c>
      <c r="DU16" s="893">
        <f t="shared" si="57"/>
        <v>0.35483870967741937</v>
      </c>
      <c r="DV16" s="892">
        <f>'RRT - Subgrupo - IGEO'!CR16</f>
        <v>2</v>
      </c>
      <c r="DW16" s="895">
        <f t="shared" si="58"/>
        <v>0.25</v>
      </c>
      <c r="DX16" s="892">
        <f>'RRT - Subgrupo - IGEO'!CS16</f>
        <v>6</v>
      </c>
      <c r="DY16" s="893">
        <f t="shared" si="59"/>
        <v>0.75</v>
      </c>
      <c r="DZ16" s="892">
        <f>'RRT - Subgrupo - IGEO'!CU16</f>
        <v>3</v>
      </c>
      <c r="EA16" s="895">
        <f t="shared" si="60"/>
        <v>0.27272727272727271</v>
      </c>
      <c r="EB16" s="892">
        <f>'RRT - Subgrupo - IGEO'!CV16</f>
        <v>8</v>
      </c>
      <c r="EC16" s="893">
        <f t="shared" si="61"/>
        <v>0.72727272727272729</v>
      </c>
      <c r="ED16" s="892">
        <f>'RRT - Subgrupo - IGEO'!CX16</f>
        <v>10</v>
      </c>
      <c r="EE16" s="895">
        <f t="shared" si="62"/>
        <v>0.7142857142857143</v>
      </c>
      <c r="EF16" s="892">
        <f>'RRT - Subgrupo - IGEO'!CY16</f>
        <v>4</v>
      </c>
      <c r="EG16" s="893">
        <f t="shared" si="63"/>
        <v>0.2857142857142857</v>
      </c>
      <c r="EH16" s="892">
        <f>'RRT - Subgrupo - IGEO'!DA16</f>
        <v>94</v>
      </c>
      <c r="EI16" s="895">
        <f t="shared" si="64"/>
        <v>0.81739130434782614</v>
      </c>
      <c r="EJ16" s="892">
        <f>'RRT - Subgrupo - IGEO'!DB16</f>
        <v>21</v>
      </c>
      <c r="EK16" s="893">
        <f t="shared" si="65"/>
        <v>0.18260869565217391</v>
      </c>
      <c r="EL16" s="897">
        <f>'RRT - Subgrupo - IGEO'!DD16</f>
        <v>1</v>
      </c>
      <c r="EM16" s="895">
        <f t="shared" si="66"/>
        <v>1</v>
      </c>
      <c r="EN16" s="897">
        <f>'RRT - Subgrupo - IGEO'!DE16</f>
        <v>0</v>
      </c>
      <c r="EO16" s="893">
        <f t="shared" si="67"/>
        <v>0</v>
      </c>
      <c r="EP16" s="897">
        <f>'RRT - Subgrupo - IGEO'!DG16</f>
        <v>116</v>
      </c>
      <c r="EQ16" s="895">
        <f t="shared" si="68"/>
        <v>0.67052023121387283</v>
      </c>
      <c r="ER16" s="897">
        <f>'RRT - Subgrupo - IGEO'!DH16</f>
        <v>57</v>
      </c>
      <c r="ES16" s="893">
        <f t="shared" si="69"/>
        <v>0.32947976878612717</v>
      </c>
      <c r="ET16" s="897">
        <f>'RRT - Subgrupo - IGEO'!DJ16</f>
        <v>144</v>
      </c>
      <c r="EU16" s="895">
        <f t="shared" si="70"/>
        <v>0.70243902439024386</v>
      </c>
      <c r="EV16" s="897">
        <f>'RRT - Subgrupo - IGEO'!DK16</f>
        <v>61</v>
      </c>
      <c r="EW16" s="893">
        <f t="shared" si="71"/>
        <v>0.29756097560975608</v>
      </c>
      <c r="EX16" s="897">
        <f>'RRT - Subgrupo - IGEO'!DM16</f>
        <v>20</v>
      </c>
      <c r="EY16" s="895">
        <f t="shared" si="72"/>
        <v>0.76923076923076927</v>
      </c>
      <c r="EZ16" s="897">
        <f>'RRT - Subgrupo - IGEO'!DN16</f>
        <v>6</v>
      </c>
      <c r="FA16" s="893">
        <f t="shared" si="73"/>
        <v>0.23076923076923078</v>
      </c>
      <c r="FB16" s="897"/>
      <c r="FC16" s="895"/>
      <c r="FD16" s="897"/>
      <c r="FE16" s="893"/>
      <c r="FF16" s="897"/>
      <c r="FG16" s="895"/>
      <c r="FH16" s="897"/>
      <c r="FI16" s="893"/>
      <c r="FJ16" s="897">
        <f>'RRT - Subgrupo - IGEO'!DV16</f>
        <v>61</v>
      </c>
      <c r="FK16" s="895">
        <f t="shared" si="74"/>
        <v>0.75308641975308643</v>
      </c>
      <c r="FL16" s="897">
        <f>'RRT - Subgrupo - IGEO'!DW16</f>
        <v>20</v>
      </c>
      <c r="FM16" s="893">
        <f t="shared" si="75"/>
        <v>0.24691358024691357</v>
      </c>
      <c r="FN16" s="897">
        <f>'RRT - Subgrupo - IGEO'!DY16</f>
        <v>3</v>
      </c>
      <c r="FO16" s="895">
        <f t="shared" si="76"/>
        <v>0.5</v>
      </c>
      <c r="FP16" s="897">
        <f>'RRT - Subgrupo - IGEO'!DZ16</f>
        <v>3</v>
      </c>
      <c r="FQ16" s="893">
        <f t="shared" si="77"/>
        <v>0.5</v>
      </c>
      <c r="FR16" s="892">
        <f>'RRT - Subgrupo - IGEO'!EB16</f>
        <v>0</v>
      </c>
      <c r="FS16" s="895">
        <f t="shared" si="78"/>
        <v>0</v>
      </c>
      <c r="FT16" s="892">
        <f>'RRT - Subgrupo - IGEO'!DZ16</f>
        <v>3</v>
      </c>
      <c r="FU16" s="893">
        <f t="shared" si="79"/>
        <v>1</v>
      </c>
      <c r="FV16" s="892"/>
      <c r="FW16" s="895"/>
      <c r="FX16" s="892"/>
      <c r="FY16" s="893"/>
      <c r="FZ16" s="892">
        <f>'RRT - Subgrupo - IGEO'!EH16</f>
        <v>5</v>
      </c>
      <c r="GA16" s="895">
        <f t="shared" si="80"/>
        <v>8.6206896551724144E-2</v>
      </c>
      <c r="GB16" s="892">
        <f>'RRT - Subgrupo - IGEO'!EI16</f>
        <v>53</v>
      </c>
      <c r="GC16" s="893">
        <f t="shared" si="81"/>
        <v>0.91379310344827591</v>
      </c>
      <c r="GD16" s="892">
        <f>'RRT - Subgrupo - IGEO'!EK16</f>
        <v>7</v>
      </c>
      <c r="GE16" s="895">
        <f t="shared" si="82"/>
        <v>0.12280701754385964</v>
      </c>
      <c r="GF16" s="892">
        <f>'RRT - Subgrupo - IGEO'!EL16</f>
        <v>50</v>
      </c>
      <c r="GG16" s="893">
        <f t="shared" si="83"/>
        <v>0.8771929824561403</v>
      </c>
      <c r="GH16" s="892">
        <f>'RRT - Subgrupo - IGEO'!EN16</f>
        <v>0</v>
      </c>
      <c r="GI16" s="895">
        <f t="shared" si="92"/>
        <v>0</v>
      </c>
      <c r="GJ16" s="892">
        <f>'RRT - Subgrupo - IGEO'!EO16</f>
        <v>2</v>
      </c>
      <c r="GK16" s="893">
        <f t="shared" si="93"/>
        <v>1</v>
      </c>
      <c r="GL16" s="892">
        <f>'RRT - Subgrupo - IGEO'!EO16</f>
        <v>2</v>
      </c>
      <c r="GM16" s="895">
        <f t="shared" si="96"/>
        <v>1</v>
      </c>
      <c r="GN16" s="892">
        <f>'RRT - Subgrupo - IGEO'!EP16</f>
        <v>0</v>
      </c>
      <c r="GO16" s="893">
        <f t="shared" si="97"/>
        <v>0</v>
      </c>
      <c r="GP16" s="892"/>
      <c r="GQ16" s="895"/>
      <c r="GR16" s="892"/>
      <c r="GS16" s="893"/>
      <c r="GT16" s="892">
        <f>'RRT - Subgrupo - IGEO'!EW16</f>
        <v>1</v>
      </c>
      <c r="GU16" s="895">
        <f t="shared" si="94"/>
        <v>7.6923076923076927E-2</v>
      </c>
      <c r="GV16" s="892">
        <f>'RRT - Subgrupo - IGEO'!EX16</f>
        <v>12</v>
      </c>
      <c r="GW16" s="893">
        <f t="shared" si="95"/>
        <v>0.92307692307692313</v>
      </c>
      <c r="GX16" s="892">
        <f>'RRT - Subgrupo - IGEO'!EZ16</f>
        <v>1</v>
      </c>
      <c r="GY16" s="895">
        <f t="shared" si="84"/>
        <v>7.6923076923076927E-2</v>
      </c>
      <c r="GZ16" s="892">
        <f>'RRT - Subgrupo - IGEO'!FA16</f>
        <v>12</v>
      </c>
      <c r="HA16" s="893">
        <f t="shared" si="85"/>
        <v>0.92307692307692313</v>
      </c>
      <c r="HB16" s="892">
        <f>'RRT - Subgrupo - IGEO'!FC16</f>
        <v>0</v>
      </c>
      <c r="HC16" s="895">
        <f t="shared" si="86"/>
        <v>0</v>
      </c>
      <c r="HD16" s="892">
        <f>'RRT - Subgrupo - IGEO'!FD16</f>
        <v>19</v>
      </c>
      <c r="HE16" s="893">
        <f t="shared" si="87"/>
        <v>1</v>
      </c>
    </row>
    <row r="17" spans="1:213" s="876" customFormat="1" ht="18.75">
      <c r="A17" s="891" t="s">
        <v>101</v>
      </c>
      <c r="B17" s="892">
        <f>'RRT - Subgrupo - IGEO'!C17</f>
        <v>2650</v>
      </c>
      <c r="C17" s="893">
        <f t="shared" si="0"/>
        <v>0.55578859060402686</v>
      </c>
      <c r="D17" s="892">
        <f>'RRT - Subgrupo - IGEO'!D17</f>
        <v>2118</v>
      </c>
      <c r="E17" s="893">
        <f t="shared" si="1"/>
        <v>0.44421140939597314</v>
      </c>
      <c r="F17" s="894">
        <f>'RRT - Subgrupo - IGEO'!F17</f>
        <v>917</v>
      </c>
      <c r="G17" s="893">
        <f t="shared" si="2"/>
        <v>0.70592763664357194</v>
      </c>
      <c r="H17" s="892">
        <f>'RRT - Subgrupo - IGEO'!G17</f>
        <v>382</v>
      </c>
      <c r="I17" s="893">
        <f t="shared" si="3"/>
        <v>0.294072363356428</v>
      </c>
      <c r="J17" s="892">
        <f>'RRT - Subgrupo - IGEO'!I17</f>
        <v>44</v>
      </c>
      <c r="K17" s="895">
        <f t="shared" si="4"/>
        <v>0.5</v>
      </c>
      <c r="L17" s="892">
        <f>'RRT - Subgrupo - IGEO'!J17</f>
        <v>44</v>
      </c>
      <c r="M17" s="893">
        <f t="shared" si="5"/>
        <v>0.5</v>
      </c>
      <c r="N17" s="896">
        <f>'RRT - Subgrupo - IGEO'!L17</f>
        <v>154</v>
      </c>
      <c r="O17" s="895">
        <f t="shared" si="6"/>
        <v>0.18872549019607843</v>
      </c>
      <c r="P17" s="892">
        <f>'RRT - Subgrupo - IGEO'!P17</f>
        <v>662</v>
      </c>
      <c r="Q17" s="893">
        <f t="shared" si="7"/>
        <v>0.81127450980392157</v>
      </c>
      <c r="R17" s="892">
        <f>'RRT - Subgrupo - IGEO'!O17</f>
        <v>1141</v>
      </c>
      <c r="S17" s="895">
        <f t="shared" si="8"/>
        <v>0.63283416528008873</v>
      </c>
      <c r="T17" s="892">
        <f>'RRT - Subgrupo - IGEO'!P17</f>
        <v>662</v>
      </c>
      <c r="U17" s="893">
        <f t="shared" si="9"/>
        <v>0.36716583471991127</v>
      </c>
      <c r="V17" s="892">
        <f>'RRT - Subgrupo - IGEO'!R17</f>
        <v>21</v>
      </c>
      <c r="W17" s="895">
        <f t="shared" si="10"/>
        <v>0.39622641509433965</v>
      </c>
      <c r="X17" s="896">
        <f>'RRT - Subgrupo - IGEO'!S17</f>
        <v>32</v>
      </c>
      <c r="Y17" s="893">
        <f t="shared" si="11"/>
        <v>0.60377358490566035</v>
      </c>
      <c r="Z17" s="892">
        <f>'RRT - Subgrupo - IGEO'!U17</f>
        <v>210</v>
      </c>
      <c r="AA17" s="895">
        <f t="shared" si="12"/>
        <v>0.5357142857142857</v>
      </c>
      <c r="AB17" s="892">
        <f>'RRT - Subgrupo - IGEO'!V17</f>
        <v>182</v>
      </c>
      <c r="AC17" s="893">
        <f t="shared" si="13"/>
        <v>0.4642857142857143</v>
      </c>
      <c r="AD17" s="892">
        <f>'RRT - Subgrupo - IGEO'!X17</f>
        <v>382</v>
      </c>
      <c r="AE17" s="895">
        <f t="shared" si="14"/>
        <v>0.71003717472118955</v>
      </c>
      <c r="AF17" s="892">
        <f>'RRT - Subgrupo - IGEO'!Y17</f>
        <v>156</v>
      </c>
      <c r="AG17" s="893">
        <f t="shared" si="15"/>
        <v>0.2899628252788104</v>
      </c>
      <c r="AH17" s="892">
        <f>'RRT - Subgrupo - IGEO'!AA17</f>
        <v>76</v>
      </c>
      <c r="AI17" s="895">
        <f t="shared" si="16"/>
        <v>0.87356321839080464</v>
      </c>
      <c r="AJ17" s="892">
        <f>'RRT - Subgrupo - IGEO'!AB17</f>
        <v>11</v>
      </c>
      <c r="AK17" s="893">
        <f t="shared" si="17"/>
        <v>0.12643678160919541</v>
      </c>
      <c r="AL17" s="892">
        <f>'RRT - Subgrupo - IGEO'!AD17</f>
        <v>39</v>
      </c>
      <c r="AM17" s="895">
        <f t="shared" si="18"/>
        <v>0.44827586206896552</v>
      </c>
      <c r="AN17" s="892">
        <f>'RRT - Subgrupo - IGEO'!AE17</f>
        <v>48</v>
      </c>
      <c r="AO17" s="893">
        <f t="shared" si="19"/>
        <v>0.55172413793103448</v>
      </c>
      <c r="AP17" s="896">
        <f>'RRT - Subgrupo - IGEO'!AG17</f>
        <v>4</v>
      </c>
      <c r="AQ17" s="895">
        <f t="shared" si="20"/>
        <v>0.5714285714285714</v>
      </c>
      <c r="AR17" s="892">
        <f>'RRT - Subgrupo - IGEO'!AH17</f>
        <v>3</v>
      </c>
      <c r="AS17" s="893">
        <f t="shared" si="21"/>
        <v>0.42857142857142855</v>
      </c>
      <c r="AT17" s="892">
        <f>'RRT - Subgrupo - IGEO'!AJ17</f>
        <v>1391</v>
      </c>
      <c r="AU17" s="895">
        <f t="shared" si="22"/>
        <v>0.61767317939609234</v>
      </c>
      <c r="AV17" s="892">
        <f>'RRT - Subgrupo - IGEO'!AK17</f>
        <v>861</v>
      </c>
      <c r="AW17" s="893">
        <f t="shared" si="23"/>
        <v>0.38232682060390766</v>
      </c>
      <c r="AX17" s="892">
        <f>'RRT - Subgrupo - IGEO'!AM17</f>
        <v>945</v>
      </c>
      <c r="AY17" s="895">
        <f t="shared" si="24"/>
        <v>0.69536423841059603</v>
      </c>
      <c r="AZ17" s="892">
        <f>'RRT - Subgrupo - IGEO'!AN17</f>
        <v>414</v>
      </c>
      <c r="BA17" s="893">
        <f t="shared" si="25"/>
        <v>0.30463576158940397</v>
      </c>
      <c r="BB17" s="892">
        <f>'RRT - Subgrupo - IGEO'!AP17</f>
        <v>15</v>
      </c>
      <c r="BC17" s="895">
        <f t="shared" si="26"/>
        <v>0.6</v>
      </c>
      <c r="BD17" s="892">
        <f>'RRT - Subgrupo - IGEO'!AQ17</f>
        <v>10</v>
      </c>
      <c r="BE17" s="893">
        <f t="shared" si="27"/>
        <v>0.4</v>
      </c>
      <c r="BF17" s="892">
        <f>'RRT - Subgrupo - IGEO'!AS17</f>
        <v>29</v>
      </c>
      <c r="BG17" s="895">
        <f t="shared" si="28"/>
        <v>0.3493975903614458</v>
      </c>
      <c r="BH17" s="892">
        <f>'RRT - Subgrupo - IGEO'!AT17</f>
        <v>54</v>
      </c>
      <c r="BI17" s="893">
        <f t="shared" si="29"/>
        <v>0.6506024096385542</v>
      </c>
      <c r="BJ17" s="892">
        <f>'RRT - Subgrupo - IGEO'!AV17</f>
        <v>950</v>
      </c>
      <c r="BK17" s="895">
        <f t="shared" si="30"/>
        <v>0.6732813607370659</v>
      </c>
      <c r="BL17" s="892">
        <f>'RRT - Subgrupo - IGEO'!AW17</f>
        <v>461</v>
      </c>
      <c r="BM17" s="893">
        <f t="shared" si="31"/>
        <v>0.3267186392629341</v>
      </c>
      <c r="BN17" s="892">
        <f>'RRT - Subgrupo - IGEO'!AY17</f>
        <v>2</v>
      </c>
      <c r="BO17" s="895">
        <f t="shared" si="32"/>
        <v>0.5</v>
      </c>
      <c r="BP17" s="892">
        <f>'RRT - Subgrupo - IGEO'!AZ17</f>
        <v>2</v>
      </c>
      <c r="BQ17" s="893">
        <f t="shared" si="33"/>
        <v>0.5</v>
      </c>
      <c r="BR17" s="892">
        <f>'RRT - Subgrupo - IGEO'!BB17</f>
        <v>4</v>
      </c>
      <c r="BS17" s="895">
        <f t="shared" si="34"/>
        <v>0.44444444444444442</v>
      </c>
      <c r="BT17" s="892">
        <f>'RRT - Subgrupo - IGEO'!BC17</f>
        <v>5</v>
      </c>
      <c r="BU17" s="893">
        <f t="shared" si="35"/>
        <v>0.55555555555555558</v>
      </c>
      <c r="BV17" s="892">
        <f>'RRT - Subgrupo - IGEO'!BE17</f>
        <v>61</v>
      </c>
      <c r="BW17" s="895">
        <f t="shared" si="36"/>
        <v>0.93846153846153846</v>
      </c>
      <c r="BX17" s="892">
        <f>'RRT - Subgrupo - IGEO'!BF17</f>
        <v>4</v>
      </c>
      <c r="BY17" s="893">
        <f t="shared" si="37"/>
        <v>6.1538461538461542E-2</v>
      </c>
      <c r="BZ17" s="892">
        <f>'RRT - Subgrupo - IGEO'!BH17</f>
        <v>2</v>
      </c>
      <c r="CA17" s="895">
        <f t="shared" si="38"/>
        <v>1</v>
      </c>
      <c r="CB17" s="892">
        <f>'RRT - Subgrupo - IGEO'!BI17</f>
        <v>0</v>
      </c>
      <c r="CC17" s="893">
        <f t="shared" si="39"/>
        <v>0</v>
      </c>
      <c r="CD17" s="892">
        <f>'RRT - Subgrupo - IGEO'!BK17</f>
        <v>6</v>
      </c>
      <c r="CE17" s="895">
        <f t="shared" si="40"/>
        <v>0.5</v>
      </c>
      <c r="CF17" s="892">
        <f>'RRT - Subgrupo - IGEO'!BL17</f>
        <v>6</v>
      </c>
      <c r="CG17" s="893">
        <f t="shared" si="41"/>
        <v>0.5</v>
      </c>
      <c r="CH17" s="896">
        <f>'RRT - Subgrupo - IGEO'!BN17</f>
        <v>3</v>
      </c>
      <c r="CI17" s="895">
        <f t="shared" si="42"/>
        <v>0.375</v>
      </c>
      <c r="CJ17" s="896">
        <f>'RRT - Subgrupo - IGEO'!BO17</f>
        <v>5</v>
      </c>
      <c r="CK17" s="893">
        <f t="shared" si="43"/>
        <v>0.625</v>
      </c>
      <c r="CL17" s="896">
        <f>'RRT - Subgrupo - IGEO'!BQ17</f>
        <v>1</v>
      </c>
      <c r="CM17" s="895">
        <f t="shared" si="44"/>
        <v>0.33333333333333331</v>
      </c>
      <c r="CN17" s="896">
        <f>'RRT - Subgrupo - IGEO'!BR17</f>
        <v>2</v>
      </c>
      <c r="CO17" s="893">
        <f t="shared" si="45"/>
        <v>0.66666666666666663</v>
      </c>
      <c r="CP17" s="896">
        <f>'RRT - Subgrupo - IGEO'!BT17</f>
        <v>3</v>
      </c>
      <c r="CQ17" s="895">
        <f t="shared" si="88"/>
        <v>0.25</v>
      </c>
      <c r="CR17" s="896">
        <f>'RRT - Subgrupo - IGEO'!BU17</f>
        <v>9</v>
      </c>
      <c r="CS17" s="893">
        <f t="shared" si="89"/>
        <v>0.75</v>
      </c>
      <c r="CT17" s="896">
        <f>'RRT - Subgrupo - IGEO'!BW17</f>
        <v>5</v>
      </c>
      <c r="CU17" s="895">
        <f t="shared" si="46"/>
        <v>0.625</v>
      </c>
      <c r="CV17" s="896">
        <f>'RRT - Subgrupo - IGEO'!BX17</f>
        <v>3</v>
      </c>
      <c r="CW17" s="893">
        <f t="shared" si="47"/>
        <v>0.375</v>
      </c>
      <c r="CX17" s="896">
        <f>'RRT - Subgrupo - IGEO'!BZ17</f>
        <v>18</v>
      </c>
      <c r="CY17" s="895">
        <f t="shared" si="48"/>
        <v>0.47368421052631576</v>
      </c>
      <c r="CZ17" s="896">
        <f>'RRT - Subgrupo - IGEO'!CA17</f>
        <v>20</v>
      </c>
      <c r="DA17" s="893">
        <f t="shared" si="49"/>
        <v>0.52631578947368418</v>
      </c>
      <c r="DB17" s="896">
        <f>'RRT - Subgrupo - IGEO'!CC17</f>
        <v>37</v>
      </c>
      <c r="DC17" s="895">
        <f t="shared" si="50"/>
        <v>0.38144329896907214</v>
      </c>
      <c r="DD17" s="896">
        <f>'RRT - Subgrupo - IGEO'!CD17</f>
        <v>60</v>
      </c>
      <c r="DE17" s="893">
        <f t="shared" si="51"/>
        <v>0.61855670103092786</v>
      </c>
      <c r="DF17" s="892">
        <f>'RRT - Subgrupo - IGEO'!CF17</f>
        <v>41</v>
      </c>
      <c r="DG17" s="895">
        <f t="shared" si="52"/>
        <v>0.78846153846153844</v>
      </c>
      <c r="DH17" s="892">
        <f>'RRT - Subgrupo - IGEO'!CG17</f>
        <v>11</v>
      </c>
      <c r="DI17" s="893">
        <f t="shared" si="53"/>
        <v>0.21153846153846154</v>
      </c>
      <c r="DJ17" s="892">
        <f>'RRT - Subgrupo - IGEO'!CI17</f>
        <v>35</v>
      </c>
      <c r="DK17" s="895">
        <f t="shared" si="54"/>
        <v>0.89743589743589747</v>
      </c>
      <c r="DL17" s="892">
        <f>'RRT - Subgrupo - IGEO'!CJ17</f>
        <v>4</v>
      </c>
      <c r="DM17" s="893">
        <f t="shared" si="55"/>
        <v>0.10256410256410256</v>
      </c>
      <c r="DN17" s="892"/>
      <c r="DO17" s="895"/>
      <c r="DP17" s="892"/>
      <c r="DQ17" s="893"/>
      <c r="DR17" s="892">
        <f>'RRT - Subgrupo - IGEO'!CO17</f>
        <v>5</v>
      </c>
      <c r="DS17" s="895">
        <f t="shared" si="56"/>
        <v>0.625</v>
      </c>
      <c r="DT17" s="892">
        <f>'RRT - Subgrupo - IGEO'!CP17</f>
        <v>3</v>
      </c>
      <c r="DU17" s="893">
        <f t="shared" si="57"/>
        <v>0.375</v>
      </c>
      <c r="DV17" s="892">
        <f>'RRT - Subgrupo - IGEO'!CR17</f>
        <v>15</v>
      </c>
      <c r="DW17" s="895">
        <f t="shared" si="58"/>
        <v>0.88235294117647056</v>
      </c>
      <c r="DX17" s="892">
        <f>'RRT - Subgrupo - IGEO'!CS17</f>
        <v>2</v>
      </c>
      <c r="DY17" s="893">
        <f t="shared" si="59"/>
        <v>0.11764705882352941</v>
      </c>
      <c r="DZ17" s="892">
        <f>'RRT - Subgrupo - IGEO'!CU17</f>
        <v>3</v>
      </c>
      <c r="EA17" s="895">
        <f t="shared" si="60"/>
        <v>0.13636363636363635</v>
      </c>
      <c r="EB17" s="892">
        <f>'RRT - Subgrupo - IGEO'!CV17</f>
        <v>19</v>
      </c>
      <c r="EC17" s="893">
        <f t="shared" si="61"/>
        <v>0.86363636363636365</v>
      </c>
      <c r="ED17" s="892">
        <f>'RRT - Subgrupo - IGEO'!CX17</f>
        <v>2</v>
      </c>
      <c r="EE17" s="895">
        <f t="shared" si="62"/>
        <v>0.5</v>
      </c>
      <c r="EF17" s="892">
        <f>'RRT - Subgrupo - IGEO'!CY17</f>
        <v>2</v>
      </c>
      <c r="EG17" s="893">
        <f t="shared" si="63"/>
        <v>0.5</v>
      </c>
      <c r="EH17" s="892">
        <f>'RRT - Subgrupo - IGEO'!DA17</f>
        <v>36</v>
      </c>
      <c r="EI17" s="895">
        <f t="shared" si="64"/>
        <v>0.54545454545454541</v>
      </c>
      <c r="EJ17" s="892">
        <f>'RRT - Subgrupo - IGEO'!DB17</f>
        <v>30</v>
      </c>
      <c r="EK17" s="893">
        <f t="shared" si="65"/>
        <v>0.45454545454545453</v>
      </c>
      <c r="EL17" s="897">
        <f>'RRT - Subgrupo - IGEO'!DD17</f>
        <v>2</v>
      </c>
      <c r="EM17" s="895">
        <f t="shared" si="66"/>
        <v>1</v>
      </c>
      <c r="EN17" s="897">
        <f>'RRT - Subgrupo - IGEO'!DE17</f>
        <v>0</v>
      </c>
      <c r="EO17" s="893">
        <f t="shared" si="67"/>
        <v>0</v>
      </c>
      <c r="EP17" s="897">
        <f>'RRT - Subgrupo - IGEO'!DG17</f>
        <v>52</v>
      </c>
      <c r="EQ17" s="895">
        <f t="shared" si="68"/>
        <v>0.36879432624113473</v>
      </c>
      <c r="ER17" s="897">
        <f>'RRT - Subgrupo - IGEO'!DH17</f>
        <v>89</v>
      </c>
      <c r="ES17" s="893">
        <f t="shared" si="69"/>
        <v>0.63120567375886527</v>
      </c>
      <c r="ET17" s="897">
        <f>'RRT - Subgrupo - IGEO'!DJ17</f>
        <v>32</v>
      </c>
      <c r="EU17" s="895">
        <f t="shared" si="70"/>
        <v>0.42105263157894735</v>
      </c>
      <c r="EV17" s="897">
        <f>'RRT - Subgrupo - IGEO'!DK17</f>
        <v>44</v>
      </c>
      <c r="EW17" s="893">
        <f t="shared" si="71"/>
        <v>0.57894736842105265</v>
      </c>
      <c r="EX17" s="897">
        <f>'RRT - Subgrupo - IGEO'!DM17</f>
        <v>25</v>
      </c>
      <c r="EY17" s="895">
        <f t="shared" si="72"/>
        <v>0.80645161290322576</v>
      </c>
      <c r="EZ17" s="897">
        <f>'RRT - Subgrupo - IGEO'!DN17</f>
        <v>6</v>
      </c>
      <c r="FA17" s="893">
        <f t="shared" si="73"/>
        <v>0.19354838709677419</v>
      </c>
      <c r="FB17" s="897">
        <f>'RRT - Subgrupo - IGEO'!DP17</f>
        <v>1</v>
      </c>
      <c r="FC17" s="895">
        <f t="shared" si="104"/>
        <v>1</v>
      </c>
      <c r="FD17" s="897">
        <f>'RRT - Subgrupo - IGEO'!DQ17</f>
        <v>0</v>
      </c>
      <c r="FE17" s="893">
        <f t="shared" si="105"/>
        <v>0</v>
      </c>
      <c r="FF17" s="897"/>
      <c r="FG17" s="895"/>
      <c r="FH17" s="897"/>
      <c r="FI17" s="893"/>
      <c r="FJ17" s="897">
        <f>'RRT - Subgrupo - IGEO'!DV17</f>
        <v>38</v>
      </c>
      <c r="FK17" s="895">
        <f t="shared" si="74"/>
        <v>0.84444444444444444</v>
      </c>
      <c r="FL17" s="897">
        <f>'RRT - Subgrupo - IGEO'!DW17</f>
        <v>7</v>
      </c>
      <c r="FM17" s="893">
        <f t="shared" si="75"/>
        <v>0.15555555555555556</v>
      </c>
      <c r="FN17" s="897">
        <f>'RRT - Subgrupo - IGEO'!DY17</f>
        <v>0</v>
      </c>
      <c r="FO17" s="895">
        <f t="shared" si="76"/>
        <v>0</v>
      </c>
      <c r="FP17" s="897">
        <f>'RRT - Subgrupo - IGEO'!DZ17</f>
        <v>1</v>
      </c>
      <c r="FQ17" s="893">
        <f t="shared" si="77"/>
        <v>1</v>
      </c>
      <c r="FR17" s="892">
        <f>'RRT - Subgrupo - IGEO'!EB17</f>
        <v>0</v>
      </c>
      <c r="FS17" s="895">
        <f t="shared" si="78"/>
        <v>0</v>
      </c>
      <c r="FT17" s="892">
        <f>'RRT - Subgrupo - IGEO'!DZ17</f>
        <v>1</v>
      </c>
      <c r="FU17" s="893">
        <f t="shared" si="79"/>
        <v>1</v>
      </c>
      <c r="FV17" s="892"/>
      <c r="FW17" s="895"/>
      <c r="FX17" s="892"/>
      <c r="FY17" s="893"/>
      <c r="FZ17" s="892">
        <f>'RRT - Subgrupo - IGEO'!EH17</f>
        <v>1</v>
      </c>
      <c r="GA17" s="895">
        <f t="shared" si="80"/>
        <v>0.5</v>
      </c>
      <c r="GB17" s="892">
        <f>'RRT - Subgrupo - IGEO'!EI17</f>
        <v>1</v>
      </c>
      <c r="GC17" s="893">
        <f t="shared" si="81"/>
        <v>0.5</v>
      </c>
      <c r="GD17" s="892">
        <f>'RRT - Subgrupo - IGEO'!EK17</f>
        <v>52</v>
      </c>
      <c r="GE17" s="895">
        <f t="shared" si="82"/>
        <v>0.71232876712328763</v>
      </c>
      <c r="GF17" s="892">
        <f>'RRT - Subgrupo - IGEO'!EL17</f>
        <v>21</v>
      </c>
      <c r="GG17" s="893">
        <f t="shared" si="83"/>
        <v>0.28767123287671231</v>
      </c>
      <c r="GH17" s="892"/>
      <c r="GI17" s="895"/>
      <c r="GJ17" s="892"/>
      <c r="GK17" s="893"/>
      <c r="GL17" s="892"/>
      <c r="GM17" s="895"/>
      <c r="GN17" s="892"/>
      <c r="GO17" s="893"/>
      <c r="GP17" s="892"/>
      <c r="GQ17" s="895"/>
      <c r="GR17" s="892"/>
      <c r="GS17" s="893"/>
      <c r="GT17" s="892"/>
      <c r="GU17" s="895"/>
      <c r="GV17" s="892"/>
      <c r="GW17" s="893"/>
      <c r="GX17" s="892">
        <f>'RRT - Subgrupo - IGEO'!EZ17</f>
        <v>5</v>
      </c>
      <c r="GY17" s="895">
        <f t="shared" si="84"/>
        <v>1</v>
      </c>
      <c r="GZ17" s="892">
        <f>'RRT - Subgrupo - IGEO'!FA17</f>
        <v>0</v>
      </c>
      <c r="HA17" s="893">
        <f t="shared" si="85"/>
        <v>0</v>
      </c>
      <c r="HB17" s="892">
        <f>'RRT - Subgrupo - IGEO'!FC17</f>
        <v>4</v>
      </c>
      <c r="HC17" s="895">
        <f t="shared" si="86"/>
        <v>0.36363636363636365</v>
      </c>
      <c r="HD17" s="892">
        <f>'RRT - Subgrupo - IGEO'!FD17</f>
        <v>7</v>
      </c>
      <c r="HE17" s="893">
        <f t="shared" si="87"/>
        <v>0.63636363636363635</v>
      </c>
    </row>
    <row r="18" spans="1:213" s="876" customFormat="1" ht="18.75">
      <c r="A18" s="891" t="s">
        <v>103</v>
      </c>
      <c r="B18" s="892">
        <f>'RRT - Subgrupo - IGEO'!C18</f>
        <v>3716</v>
      </c>
      <c r="C18" s="893">
        <f t="shared" si="0"/>
        <v>0.52493290012713656</v>
      </c>
      <c r="D18" s="892">
        <f>'RRT - Subgrupo - IGEO'!D18</f>
        <v>3363</v>
      </c>
      <c r="E18" s="893">
        <f t="shared" si="1"/>
        <v>0.47506709987286339</v>
      </c>
      <c r="F18" s="894">
        <f>'RRT - Subgrupo - IGEO'!F18</f>
        <v>705</v>
      </c>
      <c r="G18" s="893">
        <f t="shared" si="2"/>
        <v>0.73821989528795806</v>
      </c>
      <c r="H18" s="892">
        <f>'RRT - Subgrupo - IGEO'!G18</f>
        <v>250</v>
      </c>
      <c r="I18" s="893">
        <f t="shared" si="3"/>
        <v>0.26178010471204188</v>
      </c>
      <c r="J18" s="892">
        <f>'RRT - Subgrupo - IGEO'!I18</f>
        <v>99</v>
      </c>
      <c r="K18" s="895">
        <f t="shared" si="4"/>
        <v>0.35611510791366907</v>
      </c>
      <c r="L18" s="892">
        <f>'RRT - Subgrupo - IGEO'!J18</f>
        <v>179</v>
      </c>
      <c r="M18" s="893">
        <f t="shared" si="5"/>
        <v>0.64388489208633093</v>
      </c>
      <c r="N18" s="896">
        <f>'RRT - Subgrupo - IGEO'!L18</f>
        <v>279</v>
      </c>
      <c r="O18" s="895">
        <f t="shared" si="6"/>
        <v>0.23724489795918369</v>
      </c>
      <c r="P18" s="892">
        <f>'RRT - Subgrupo - IGEO'!P18</f>
        <v>897</v>
      </c>
      <c r="Q18" s="893">
        <f t="shared" si="7"/>
        <v>0.76275510204081631</v>
      </c>
      <c r="R18" s="892">
        <f>'RRT - Subgrupo - IGEO'!O18</f>
        <v>1662</v>
      </c>
      <c r="S18" s="895">
        <f t="shared" si="8"/>
        <v>0.64947245017584998</v>
      </c>
      <c r="T18" s="892">
        <f>'RRT - Subgrupo - IGEO'!P18</f>
        <v>897</v>
      </c>
      <c r="U18" s="893">
        <f t="shared" si="9"/>
        <v>0.35052754982415008</v>
      </c>
      <c r="V18" s="892">
        <f>'RRT - Subgrupo - IGEO'!R18</f>
        <v>66</v>
      </c>
      <c r="W18" s="895">
        <f t="shared" si="10"/>
        <v>0.43421052631578949</v>
      </c>
      <c r="X18" s="896">
        <f>'RRT - Subgrupo - IGEO'!S18</f>
        <v>86</v>
      </c>
      <c r="Y18" s="893">
        <f t="shared" si="11"/>
        <v>0.56578947368421051</v>
      </c>
      <c r="Z18" s="892">
        <f>'RRT - Subgrupo - IGEO'!U18</f>
        <v>291</v>
      </c>
      <c r="AA18" s="895">
        <f t="shared" si="12"/>
        <v>0.46784565916398713</v>
      </c>
      <c r="AB18" s="892">
        <f>'RRT - Subgrupo - IGEO'!V18</f>
        <v>331</v>
      </c>
      <c r="AC18" s="893">
        <f t="shared" si="13"/>
        <v>0.53215434083601287</v>
      </c>
      <c r="AD18" s="892">
        <f>'RRT - Subgrupo - IGEO'!X18</f>
        <v>521</v>
      </c>
      <c r="AE18" s="895">
        <f t="shared" si="14"/>
        <v>0.5840807174887892</v>
      </c>
      <c r="AF18" s="892">
        <f>'RRT - Subgrupo - IGEO'!Y18</f>
        <v>371</v>
      </c>
      <c r="AG18" s="893">
        <f t="shared" si="15"/>
        <v>0.41591928251121074</v>
      </c>
      <c r="AH18" s="892">
        <f>'RRT - Subgrupo - IGEO'!AA18</f>
        <v>46</v>
      </c>
      <c r="AI18" s="895">
        <f t="shared" si="16"/>
        <v>0.58227848101265822</v>
      </c>
      <c r="AJ18" s="892">
        <f>'RRT - Subgrupo - IGEO'!AB18</f>
        <v>33</v>
      </c>
      <c r="AK18" s="893">
        <f t="shared" si="17"/>
        <v>0.41772151898734178</v>
      </c>
      <c r="AL18" s="892">
        <f>'RRT - Subgrupo - IGEO'!AD18</f>
        <v>114</v>
      </c>
      <c r="AM18" s="895">
        <f t="shared" si="18"/>
        <v>0.57868020304568524</v>
      </c>
      <c r="AN18" s="892">
        <f>'RRT - Subgrupo - IGEO'!AE18</f>
        <v>83</v>
      </c>
      <c r="AO18" s="893">
        <f t="shared" si="19"/>
        <v>0.42131979695431471</v>
      </c>
      <c r="AP18" s="896">
        <f>'RRT - Subgrupo - IGEO'!AG18</f>
        <v>18</v>
      </c>
      <c r="AQ18" s="895">
        <f t="shared" si="20"/>
        <v>0.6</v>
      </c>
      <c r="AR18" s="892">
        <f>'RRT - Subgrupo - IGEO'!AH18</f>
        <v>12</v>
      </c>
      <c r="AS18" s="893">
        <f t="shared" si="21"/>
        <v>0.4</v>
      </c>
      <c r="AT18" s="892">
        <f>'RRT - Subgrupo - IGEO'!AJ18</f>
        <v>1256</v>
      </c>
      <c r="AU18" s="895">
        <f t="shared" si="22"/>
        <v>0.63788725241239208</v>
      </c>
      <c r="AV18" s="892">
        <f>'RRT - Subgrupo - IGEO'!AK18</f>
        <v>713</v>
      </c>
      <c r="AW18" s="893">
        <f t="shared" si="23"/>
        <v>0.36211274758760792</v>
      </c>
      <c r="AX18" s="892">
        <f>'RRT - Subgrupo - IGEO'!AM18</f>
        <v>362</v>
      </c>
      <c r="AY18" s="895">
        <f t="shared" si="24"/>
        <v>0.71825396825396826</v>
      </c>
      <c r="AZ18" s="892">
        <f>'RRT - Subgrupo - IGEO'!AN18</f>
        <v>142</v>
      </c>
      <c r="BA18" s="893">
        <f t="shared" si="25"/>
        <v>0.28174603174603174</v>
      </c>
      <c r="BB18" s="892">
        <f>'RRT - Subgrupo - IGEO'!AP18</f>
        <v>78</v>
      </c>
      <c r="BC18" s="895">
        <f t="shared" si="26"/>
        <v>0.72222222222222221</v>
      </c>
      <c r="BD18" s="892">
        <f>'RRT - Subgrupo - IGEO'!AQ18</f>
        <v>30</v>
      </c>
      <c r="BE18" s="893">
        <f t="shared" si="27"/>
        <v>0.27777777777777779</v>
      </c>
      <c r="BF18" s="892">
        <f>'RRT - Subgrupo - IGEO'!AS18</f>
        <v>110</v>
      </c>
      <c r="BG18" s="895">
        <f t="shared" si="28"/>
        <v>0.43137254901960786</v>
      </c>
      <c r="BH18" s="892">
        <f>'RRT - Subgrupo - IGEO'!AT18</f>
        <v>145</v>
      </c>
      <c r="BI18" s="893">
        <f t="shared" si="29"/>
        <v>0.56862745098039214</v>
      </c>
      <c r="BJ18" s="892">
        <f>'RRT - Subgrupo - IGEO'!AV18</f>
        <v>731</v>
      </c>
      <c r="BK18" s="895">
        <f t="shared" si="30"/>
        <v>0.74439918533604887</v>
      </c>
      <c r="BL18" s="892">
        <f>'RRT - Subgrupo - IGEO'!AW18</f>
        <v>251</v>
      </c>
      <c r="BM18" s="893">
        <f t="shared" si="31"/>
        <v>0.25560081466395113</v>
      </c>
      <c r="BN18" s="892">
        <f>'RRT - Subgrupo - IGEO'!AY18</f>
        <v>11</v>
      </c>
      <c r="BO18" s="895">
        <f t="shared" si="32"/>
        <v>0.7857142857142857</v>
      </c>
      <c r="BP18" s="892">
        <f>'RRT - Subgrupo - IGEO'!AZ18</f>
        <v>3</v>
      </c>
      <c r="BQ18" s="893">
        <f t="shared" si="33"/>
        <v>0.21428571428571427</v>
      </c>
      <c r="BR18" s="892">
        <f>'RRT - Subgrupo - IGEO'!BB18</f>
        <v>17</v>
      </c>
      <c r="BS18" s="895">
        <f t="shared" si="34"/>
        <v>0.85</v>
      </c>
      <c r="BT18" s="892">
        <f>'RRT - Subgrupo - IGEO'!BC18</f>
        <v>3</v>
      </c>
      <c r="BU18" s="893">
        <f t="shared" si="35"/>
        <v>0.15</v>
      </c>
      <c r="BV18" s="892">
        <f>'RRT - Subgrupo - IGEO'!BE18</f>
        <v>15</v>
      </c>
      <c r="BW18" s="895">
        <f t="shared" si="36"/>
        <v>0.4838709677419355</v>
      </c>
      <c r="BX18" s="892">
        <f>'RRT - Subgrupo - IGEO'!BF18</f>
        <v>16</v>
      </c>
      <c r="BY18" s="893">
        <f t="shared" si="37"/>
        <v>0.5161290322580645</v>
      </c>
      <c r="BZ18" s="892">
        <f>'RRT - Subgrupo - IGEO'!BH18</f>
        <v>6</v>
      </c>
      <c r="CA18" s="895">
        <f t="shared" si="38"/>
        <v>0.54545454545454541</v>
      </c>
      <c r="CB18" s="892">
        <f>'RRT - Subgrupo - IGEO'!BI18</f>
        <v>5</v>
      </c>
      <c r="CC18" s="893">
        <f t="shared" si="39"/>
        <v>0.45454545454545453</v>
      </c>
      <c r="CD18" s="892">
        <f>'RRT - Subgrupo - IGEO'!BK18</f>
        <v>33</v>
      </c>
      <c r="CE18" s="895">
        <f t="shared" si="40"/>
        <v>0.54098360655737709</v>
      </c>
      <c r="CF18" s="892">
        <f>'RRT - Subgrupo - IGEO'!BL18</f>
        <v>28</v>
      </c>
      <c r="CG18" s="893">
        <f t="shared" si="41"/>
        <v>0.45901639344262296</v>
      </c>
      <c r="CH18" s="896">
        <f>'RRT - Subgrupo - IGEO'!BN18</f>
        <v>17</v>
      </c>
      <c r="CI18" s="895">
        <f t="shared" si="42"/>
        <v>0.73913043478260865</v>
      </c>
      <c r="CJ18" s="896">
        <f>'RRT - Subgrupo - IGEO'!BO18</f>
        <v>6</v>
      </c>
      <c r="CK18" s="893">
        <f t="shared" si="43"/>
        <v>0.2608695652173913</v>
      </c>
      <c r="CL18" s="896">
        <f>'RRT - Subgrupo - IGEO'!BQ18</f>
        <v>5</v>
      </c>
      <c r="CM18" s="895">
        <f t="shared" si="44"/>
        <v>0.625</v>
      </c>
      <c r="CN18" s="896">
        <f>'RRT - Subgrupo - IGEO'!BR18</f>
        <v>3</v>
      </c>
      <c r="CO18" s="893">
        <f t="shared" si="45"/>
        <v>0.375</v>
      </c>
      <c r="CP18" s="896">
        <f>'RRT - Subgrupo - IGEO'!BT18</f>
        <v>30</v>
      </c>
      <c r="CQ18" s="895">
        <f t="shared" si="88"/>
        <v>0.68181818181818177</v>
      </c>
      <c r="CR18" s="896">
        <f>'RRT - Subgrupo - IGEO'!BU18</f>
        <v>14</v>
      </c>
      <c r="CS18" s="893">
        <f t="shared" si="89"/>
        <v>0.31818181818181818</v>
      </c>
      <c r="CT18" s="896">
        <f>'RRT - Subgrupo - IGEO'!BW18</f>
        <v>10</v>
      </c>
      <c r="CU18" s="895">
        <f t="shared" si="46"/>
        <v>0.41666666666666669</v>
      </c>
      <c r="CV18" s="896">
        <f>'RRT - Subgrupo - IGEO'!BX18</f>
        <v>14</v>
      </c>
      <c r="CW18" s="893">
        <f t="shared" si="47"/>
        <v>0.58333333333333337</v>
      </c>
      <c r="CX18" s="896">
        <f>'RRT - Subgrupo - IGEO'!BZ18</f>
        <v>25</v>
      </c>
      <c r="CY18" s="895">
        <f t="shared" si="48"/>
        <v>0.7142857142857143</v>
      </c>
      <c r="CZ18" s="896">
        <f>'RRT - Subgrupo - IGEO'!CA18</f>
        <v>10</v>
      </c>
      <c r="DA18" s="893">
        <f t="shared" si="49"/>
        <v>0.2857142857142857</v>
      </c>
      <c r="DB18" s="896">
        <f>'RRT - Subgrupo - IGEO'!CC18</f>
        <v>42</v>
      </c>
      <c r="DC18" s="895">
        <f t="shared" si="50"/>
        <v>0.41584158415841582</v>
      </c>
      <c r="DD18" s="896">
        <f>'RRT - Subgrupo - IGEO'!CD18</f>
        <v>59</v>
      </c>
      <c r="DE18" s="893">
        <f t="shared" si="51"/>
        <v>0.58415841584158412</v>
      </c>
      <c r="DF18" s="892">
        <f>'RRT - Subgrupo - IGEO'!CF18</f>
        <v>108</v>
      </c>
      <c r="DG18" s="895">
        <f t="shared" si="52"/>
        <v>0.5901639344262295</v>
      </c>
      <c r="DH18" s="892">
        <f>'RRT - Subgrupo - IGEO'!CG18</f>
        <v>75</v>
      </c>
      <c r="DI18" s="893">
        <f t="shared" si="53"/>
        <v>0.4098360655737705</v>
      </c>
      <c r="DJ18" s="892">
        <f>'RRT - Subgrupo - IGEO'!CI18</f>
        <v>89</v>
      </c>
      <c r="DK18" s="895">
        <f t="shared" si="54"/>
        <v>0.63571428571428568</v>
      </c>
      <c r="DL18" s="892">
        <f>'RRT - Subgrupo - IGEO'!CJ18</f>
        <v>51</v>
      </c>
      <c r="DM18" s="893">
        <f t="shared" si="55"/>
        <v>0.36428571428571427</v>
      </c>
      <c r="DN18" s="892"/>
      <c r="DO18" s="895"/>
      <c r="DP18" s="892"/>
      <c r="DQ18" s="893"/>
      <c r="DR18" s="892">
        <f>'RRT - Subgrupo - IGEO'!CO18</f>
        <v>6</v>
      </c>
      <c r="DS18" s="895">
        <f t="shared" si="56"/>
        <v>0.31578947368421051</v>
      </c>
      <c r="DT18" s="892">
        <f>'RRT - Subgrupo - IGEO'!CP18</f>
        <v>13</v>
      </c>
      <c r="DU18" s="893">
        <f t="shared" si="57"/>
        <v>0.68421052631578949</v>
      </c>
      <c r="DV18" s="892">
        <f>'RRT - Subgrupo - IGEO'!CR18</f>
        <v>20</v>
      </c>
      <c r="DW18" s="895">
        <f t="shared" si="58"/>
        <v>0.29411764705882354</v>
      </c>
      <c r="DX18" s="892">
        <f>'RRT - Subgrupo - IGEO'!CS18</f>
        <v>48</v>
      </c>
      <c r="DY18" s="893">
        <f t="shared" si="59"/>
        <v>0.70588235294117652</v>
      </c>
      <c r="DZ18" s="892">
        <f>'RRT - Subgrupo - IGEO'!CU18</f>
        <v>32</v>
      </c>
      <c r="EA18" s="895">
        <f t="shared" si="60"/>
        <v>0.44444444444444442</v>
      </c>
      <c r="EB18" s="892">
        <f>'RRT - Subgrupo - IGEO'!CV18</f>
        <v>40</v>
      </c>
      <c r="EC18" s="893">
        <f t="shared" si="61"/>
        <v>0.55555555555555558</v>
      </c>
      <c r="ED18" s="892">
        <f>'RRT - Subgrupo - IGEO'!CX18</f>
        <v>18</v>
      </c>
      <c r="EE18" s="895">
        <f t="shared" si="62"/>
        <v>0.51428571428571423</v>
      </c>
      <c r="EF18" s="892">
        <f>'RRT - Subgrupo - IGEO'!CY18</f>
        <v>17</v>
      </c>
      <c r="EG18" s="893">
        <f t="shared" si="63"/>
        <v>0.48571428571428571</v>
      </c>
      <c r="EH18" s="892">
        <f>'RRT - Subgrupo - IGEO'!DA18</f>
        <v>113</v>
      </c>
      <c r="EI18" s="895">
        <f t="shared" si="64"/>
        <v>0.5044642857142857</v>
      </c>
      <c r="EJ18" s="892">
        <f>'RRT - Subgrupo - IGEO'!DB18</f>
        <v>111</v>
      </c>
      <c r="EK18" s="893">
        <f t="shared" si="65"/>
        <v>0.4955357142857143</v>
      </c>
      <c r="EL18" s="897">
        <f>'RRT - Subgrupo - IGEO'!DD18</f>
        <v>4</v>
      </c>
      <c r="EM18" s="895">
        <f t="shared" si="66"/>
        <v>1</v>
      </c>
      <c r="EN18" s="897">
        <f>'RRT - Subgrupo - IGEO'!DE18</f>
        <v>0</v>
      </c>
      <c r="EO18" s="893">
        <f t="shared" si="67"/>
        <v>0</v>
      </c>
      <c r="EP18" s="897">
        <f>'RRT - Subgrupo - IGEO'!DG18</f>
        <v>76</v>
      </c>
      <c r="EQ18" s="895">
        <f t="shared" si="68"/>
        <v>0.55882352941176472</v>
      </c>
      <c r="ER18" s="897">
        <f>'RRT - Subgrupo - IGEO'!DH18</f>
        <v>60</v>
      </c>
      <c r="ES18" s="893">
        <f t="shared" si="69"/>
        <v>0.44117647058823528</v>
      </c>
      <c r="ET18" s="897">
        <f>'RRT - Subgrupo - IGEO'!DJ18</f>
        <v>546</v>
      </c>
      <c r="EU18" s="895">
        <f t="shared" si="70"/>
        <v>0.43333333333333335</v>
      </c>
      <c r="EV18" s="897">
        <f>'RRT - Subgrupo - IGEO'!DK18</f>
        <v>714</v>
      </c>
      <c r="EW18" s="893">
        <f t="shared" si="71"/>
        <v>0.56666666666666665</v>
      </c>
      <c r="EX18" s="897">
        <f>'RRT - Subgrupo - IGEO'!DM18</f>
        <v>61</v>
      </c>
      <c r="EY18" s="895">
        <f t="shared" si="72"/>
        <v>0.46923076923076923</v>
      </c>
      <c r="EZ18" s="897">
        <f>'RRT - Subgrupo - IGEO'!DN18</f>
        <v>69</v>
      </c>
      <c r="FA18" s="893">
        <f t="shared" si="73"/>
        <v>0.53076923076923077</v>
      </c>
      <c r="FB18" s="897"/>
      <c r="FC18" s="895"/>
      <c r="FD18" s="897"/>
      <c r="FE18" s="893"/>
      <c r="FF18" s="897"/>
      <c r="FG18" s="895"/>
      <c r="FH18" s="897"/>
      <c r="FI18" s="893"/>
      <c r="FJ18" s="897">
        <f>'RRT - Subgrupo - IGEO'!DV18</f>
        <v>22</v>
      </c>
      <c r="FK18" s="895">
        <f t="shared" si="74"/>
        <v>0.55000000000000004</v>
      </c>
      <c r="FL18" s="897">
        <f>'RRT - Subgrupo - IGEO'!DW18</f>
        <v>18</v>
      </c>
      <c r="FM18" s="893">
        <f t="shared" si="75"/>
        <v>0.45</v>
      </c>
      <c r="FN18" s="897">
        <f>'RRT - Subgrupo - IGEO'!DY18</f>
        <v>2</v>
      </c>
      <c r="FO18" s="895">
        <f t="shared" si="76"/>
        <v>0.2</v>
      </c>
      <c r="FP18" s="897">
        <f>'RRT - Subgrupo - IGEO'!DZ18</f>
        <v>8</v>
      </c>
      <c r="FQ18" s="893">
        <f t="shared" si="77"/>
        <v>0.8</v>
      </c>
      <c r="FR18" s="892">
        <f>'RRT - Subgrupo - IGEO'!EB18</f>
        <v>1</v>
      </c>
      <c r="FS18" s="895">
        <f t="shared" si="78"/>
        <v>0.1111111111111111</v>
      </c>
      <c r="FT18" s="892">
        <f>'RRT - Subgrupo - IGEO'!DZ18</f>
        <v>8</v>
      </c>
      <c r="FU18" s="893">
        <f t="shared" si="79"/>
        <v>0.88888888888888884</v>
      </c>
      <c r="FV18" s="892">
        <f>'RRT - Subgrupo - IGEO'!EE18</f>
        <v>10</v>
      </c>
      <c r="FW18" s="895">
        <f t="shared" si="102"/>
        <v>0.90909090909090906</v>
      </c>
      <c r="FX18" s="892">
        <f>'RRT - Subgrupo - IGEO'!EF18</f>
        <v>1</v>
      </c>
      <c r="FY18" s="893">
        <f t="shared" si="103"/>
        <v>9.0909090909090912E-2</v>
      </c>
      <c r="FZ18" s="892">
        <f>'RRT - Subgrupo - IGEO'!EH18</f>
        <v>0</v>
      </c>
      <c r="GA18" s="895">
        <f t="shared" si="80"/>
        <v>0</v>
      </c>
      <c r="GB18" s="892">
        <f>'RRT - Subgrupo - IGEO'!EI18</f>
        <v>5</v>
      </c>
      <c r="GC18" s="893">
        <f t="shared" si="81"/>
        <v>1</v>
      </c>
      <c r="GD18" s="892">
        <f>'RRT - Subgrupo - IGEO'!EK18</f>
        <v>20</v>
      </c>
      <c r="GE18" s="895">
        <f t="shared" si="82"/>
        <v>0.54054054054054057</v>
      </c>
      <c r="GF18" s="892">
        <f>'RRT - Subgrupo - IGEO'!EL18</f>
        <v>17</v>
      </c>
      <c r="GG18" s="893">
        <f t="shared" si="83"/>
        <v>0.45945945945945948</v>
      </c>
      <c r="GH18" s="892">
        <f>'RRT - Subgrupo - IGEO'!EN18</f>
        <v>7</v>
      </c>
      <c r="GI18" s="895">
        <f t="shared" si="92"/>
        <v>1</v>
      </c>
      <c r="GJ18" s="892">
        <f>'RRT - Subgrupo - IGEO'!EO18</f>
        <v>0</v>
      </c>
      <c r="GK18" s="893">
        <f t="shared" si="93"/>
        <v>0</v>
      </c>
      <c r="GL18" s="892"/>
      <c r="GM18" s="895"/>
      <c r="GN18" s="892"/>
      <c r="GO18" s="893"/>
      <c r="GP18" s="892"/>
      <c r="GQ18" s="895"/>
      <c r="GR18" s="892"/>
      <c r="GS18" s="893"/>
      <c r="GT18" s="892">
        <f>'RRT - Subgrupo - IGEO'!EW18</f>
        <v>0</v>
      </c>
      <c r="GU18" s="895">
        <f t="shared" si="94"/>
        <v>0</v>
      </c>
      <c r="GV18" s="892">
        <f>'RRT - Subgrupo - IGEO'!EX18</f>
        <v>1</v>
      </c>
      <c r="GW18" s="893">
        <f t="shared" si="95"/>
        <v>1</v>
      </c>
      <c r="GX18" s="892">
        <f>'RRT - Subgrupo - IGEO'!EZ18</f>
        <v>12</v>
      </c>
      <c r="GY18" s="895">
        <f t="shared" si="84"/>
        <v>0.8</v>
      </c>
      <c r="GZ18" s="892">
        <f>'RRT - Subgrupo - IGEO'!FA18</f>
        <v>3</v>
      </c>
      <c r="HA18" s="893">
        <f t="shared" si="85"/>
        <v>0.2</v>
      </c>
      <c r="HB18" s="892">
        <f>'RRT - Subgrupo - IGEO'!FC18</f>
        <v>25</v>
      </c>
      <c r="HC18" s="895">
        <f t="shared" si="86"/>
        <v>0.67567567567567566</v>
      </c>
      <c r="HD18" s="892">
        <f>'RRT - Subgrupo - IGEO'!FD18</f>
        <v>12</v>
      </c>
      <c r="HE18" s="893">
        <f t="shared" si="87"/>
        <v>0.32432432432432434</v>
      </c>
    </row>
    <row r="19" spans="1:213" s="876" customFormat="1" ht="18.75">
      <c r="A19" s="891" t="s">
        <v>104</v>
      </c>
      <c r="B19" s="892">
        <f>'RRT - Subgrupo - IGEO'!C19</f>
        <v>1243</v>
      </c>
      <c r="C19" s="893">
        <f t="shared" si="0"/>
        <v>0.58909952606635074</v>
      </c>
      <c r="D19" s="892">
        <f>'RRT - Subgrupo - IGEO'!D19</f>
        <v>867</v>
      </c>
      <c r="E19" s="893">
        <f t="shared" si="1"/>
        <v>0.41090047393364931</v>
      </c>
      <c r="F19" s="894">
        <f>'RRT - Subgrupo - IGEO'!F19</f>
        <v>224</v>
      </c>
      <c r="G19" s="893">
        <f t="shared" si="2"/>
        <v>0.75420875420875422</v>
      </c>
      <c r="H19" s="892">
        <f>'RRT - Subgrupo - IGEO'!G19</f>
        <v>73</v>
      </c>
      <c r="I19" s="893">
        <f t="shared" si="3"/>
        <v>0.24579124579124578</v>
      </c>
      <c r="J19" s="892">
        <f>'RRT - Subgrupo - IGEO'!I19</f>
        <v>31</v>
      </c>
      <c r="K19" s="895">
        <f t="shared" si="4"/>
        <v>0.72093023255813948</v>
      </c>
      <c r="L19" s="892">
        <f>'RRT - Subgrupo - IGEO'!J19</f>
        <v>12</v>
      </c>
      <c r="M19" s="893">
        <f t="shared" si="5"/>
        <v>0.27906976744186046</v>
      </c>
      <c r="N19" s="896">
        <f>'RRT - Subgrupo - IGEO'!L19</f>
        <v>75</v>
      </c>
      <c r="O19" s="895">
        <f t="shared" si="6"/>
        <v>0.33936651583710409</v>
      </c>
      <c r="P19" s="892">
        <f>'RRT - Subgrupo - IGEO'!P19</f>
        <v>146</v>
      </c>
      <c r="Q19" s="893">
        <f t="shared" si="7"/>
        <v>0.66063348416289591</v>
      </c>
      <c r="R19" s="892">
        <f>'RRT - Subgrupo - IGEO'!O19</f>
        <v>321</v>
      </c>
      <c r="S19" s="895">
        <f t="shared" si="8"/>
        <v>0.68736616702355458</v>
      </c>
      <c r="T19" s="892">
        <f>'RRT - Subgrupo - IGEO'!P19</f>
        <v>146</v>
      </c>
      <c r="U19" s="893">
        <f t="shared" si="9"/>
        <v>0.31263383297644537</v>
      </c>
      <c r="V19" s="892">
        <f>'RRT - Subgrupo - IGEO'!R19</f>
        <v>30</v>
      </c>
      <c r="W19" s="895">
        <f t="shared" si="10"/>
        <v>0.61224489795918369</v>
      </c>
      <c r="X19" s="896">
        <f>'RRT - Subgrupo - IGEO'!S19</f>
        <v>19</v>
      </c>
      <c r="Y19" s="893">
        <f t="shared" si="11"/>
        <v>0.38775510204081631</v>
      </c>
      <c r="Z19" s="892">
        <f>'RRT - Subgrupo - IGEO'!U19</f>
        <v>80</v>
      </c>
      <c r="AA19" s="895">
        <f t="shared" si="12"/>
        <v>0.69565217391304346</v>
      </c>
      <c r="AB19" s="892">
        <f>'RRT - Subgrupo - IGEO'!V19</f>
        <v>35</v>
      </c>
      <c r="AC19" s="893">
        <f t="shared" si="13"/>
        <v>0.30434782608695654</v>
      </c>
      <c r="AD19" s="892">
        <f>'RRT - Subgrupo - IGEO'!X19</f>
        <v>108</v>
      </c>
      <c r="AE19" s="895">
        <f t="shared" si="14"/>
        <v>0.76056338028169013</v>
      </c>
      <c r="AF19" s="892">
        <f>'RRT - Subgrupo - IGEO'!Y19</f>
        <v>34</v>
      </c>
      <c r="AG19" s="893">
        <f t="shared" si="15"/>
        <v>0.23943661971830985</v>
      </c>
      <c r="AH19" s="892">
        <f>'RRT - Subgrupo - IGEO'!AA19</f>
        <v>13</v>
      </c>
      <c r="AI19" s="895">
        <f t="shared" si="16"/>
        <v>0.8125</v>
      </c>
      <c r="AJ19" s="892">
        <f>'RRT - Subgrupo - IGEO'!AB19</f>
        <v>3</v>
      </c>
      <c r="AK19" s="893">
        <f t="shared" si="17"/>
        <v>0.1875</v>
      </c>
      <c r="AL19" s="892">
        <f>'RRT - Subgrupo - IGEO'!AD19</f>
        <v>20</v>
      </c>
      <c r="AM19" s="895">
        <f t="shared" si="18"/>
        <v>0.7407407407407407</v>
      </c>
      <c r="AN19" s="892">
        <f>'RRT - Subgrupo - IGEO'!AE19</f>
        <v>7</v>
      </c>
      <c r="AO19" s="893">
        <f t="shared" si="19"/>
        <v>0.25925925925925924</v>
      </c>
      <c r="AP19" s="896">
        <f>'RRT - Subgrupo - IGEO'!AG19</f>
        <v>1</v>
      </c>
      <c r="AQ19" s="895">
        <f t="shared" si="20"/>
        <v>0.5</v>
      </c>
      <c r="AR19" s="892">
        <f>'RRT - Subgrupo - IGEO'!AH19</f>
        <v>1</v>
      </c>
      <c r="AS19" s="893">
        <f t="shared" si="21"/>
        <v>0.5</v>
      </c>
      <c r="AT19" s="892">
        <f>'RRT - Subgrupo - IGEO'!AJ19</f>
        <v>582</v>
      </c>
      <c r="AU19" s="895">
        <f t="shared" si="22"/>
        <v>0.69039145907473309</v>
      </c>
      <c r="AV19" s="892">
        <f>'RRT - Subgrupo - IGEO'!AK19</f>
        <v>261</v>
      </c>
      <c r="AW19" s="893">
        <f t="shared" si="23"/>
        <v>0.30960854092526691</v>
      </c>
      <c r="AX19" s="892">
        <f>'RRT - Subgrupo - IGEO'!AM19</f>
        <v>204</v>
      </c>
      <c r="AY19" s="895">
        <f t="shared" si="24"/>
        <v>0.7010309278350515</v>
      </c>
      <c r="AZ19" s="892">
        <f>'RRT - Subgrupo - IGEO'!AN19</f>
        <v>87</v>
      </c>
      <c r="BA19" s="893">
        <f t="shared" si="25"/>
        <v>0.29896907216494845</v>
      </c>
      <c r="BB19" s="892">
        <f>'RRT - Subgrupo - IGEO'!AP19</f>
        <v>8</v>
      </c>
      <c r="BC19" s="895">
        <f t="shared" si="26"/>
        <v>0.88888888888888884</v>
      </c>
      <c r="BD19" s="892">
        <f>'RRT - Subgrupo - IGEO'!AQ19</f>
        <v>1</v>
      </c>
      <c r="BE19" s="893">
        <f t="shared" si="27"/>
        <v>0.1111111111111111</v>
      </c>
      <c r="BF19" s="892">
        <f>'RRT - Subgrupo - IGEO'!AS19</f>
        <v>19</v>
      </c>
      <c r="BG19" s="895">
        <f t="shared" si="28"/>
        <v>0.52777777777777779</v>
      </c>
      <c r="BH19" s="892">
        <f>'RRT - Subgrupo - IGEO'!AT19</f>
        <v>17</v>
      </c>
      <c r="BI19" s="893">
        <f t="shared" si="29"/>
        <v>0.47222222222222221</v>
      </c>
      <c r="BJ19" s="892">
        <f>'RRT - Subgrupo - IGEO'!AV19</f>
        <v>253</v>
      </c>
      <c r="BK19" s="895">
        <f t="shared" si="30"/>
        <v>0.56097560975609762</v>
      </c>
      <c r="BL19" s="892">
        <f>'RRT - Subgrupo - IGEO'!AW19</f>
        <v>198</v>
      </c>
      <c r="BM19" s="893">
        <f t="shared" si="31"/>
        <v>0.43902439024390244</v>
      </c>
      <c r="BN19" s="892">
        <f>'RRT - Subgrupo - IGEO'!AY19</f>
        <v>2</v>
      </c>
      <c r="BO19" s="895">
        <f t="shared" si="32"/>
        <v>1</v>
      </c>
      <c r="BP19" s="892">
        <f>'RRT - Subgrupo - IGEO'!AZ19</f>
        <v>0</v>
      </c>
      <c r="BQ19" s="893">
        <f t="shared" si="33"/>
        <v>0</v>
      </c>
      <c r="BR19" s="892">
        <f>'RRT - Subgrupo - IGEO'!BB19</f>
        <v>12</v>
      </c>
      <c r="BS19" s="895">
        <f t="shared" si="34"/>
        <v>0.46153846153846156</v>
      </c>
      <c r="BT19" s="892">
        <f>'RRT - Subgrupo - IGEO'!BC19</f>
        <v>14</v>
      </c>
      <c r="BU19" s="893">
        <f t="shared" si="35"/>
        <v>0.53846153846153844</v>
      </c>
      <c r="BV19" s="892">
        <f>'RRT - Subgrupo - IGEO'!BE19</f>
        <v>26</v>
      </c>
      <c r="BW19" s="895">
        <f t="shared" si="36"/>
        <v>1</v>
      </c>
      <c r="BX19" s="892">
        <f>'RRT - Subgrupo - IGEO'!BF19</f>
        <v>0</v>
      </c>
      <c r="BY19" s="893">
        <f t="shared" si="37"/>
        <v>0</v>
      </c>
      <c r="BZ19" s="892"/>
      <c r="CA19" s="895"/>
      <c r="CB19" s="892"/>
      <c r="CC19" s="893"/>
      <c r="CD19" s="892">
        <f>'RRT - Subgrupo - IGEO'!BK19</f>
        <v>4</v>
      </c>
      <c r="CE19" s="895">
        <f t="shared" si="40"/>
        <v>0.36363636363636365</v>
      </c>
      <c r="CF19" s="892">
        <f>'RRT - Subgrupo - IGEO'!BL19</f>
        <v>7</v>
      </c>
      <c r="CG19" s="893">
        <f t="shared" si="41"/>
        <v>0.63636363636363635</v>
      </c>
      <c r="CH19" s="896">
        <f>'RRT - Subgrupo - IGEO'!BN19</f>
        <v>3</v>
      </c>
      <c r="CI19" s="895">
        <f t="shared" si="42"/>
        <v>1</v>
      </c>
      <c r="CJ19" s="896">
        <f>'RRT - Subgrupo - IGEO'!BO19</f>
        <v>0</v>
      </c>
      <c r="CK19" s="893">
        <f t="shared" si="43"/>
        <v>0</v>
      </c>
      <c r="CL19" s="896">
        <f>'RRT - Subgrupo - IGEO'!BQ19</f>
        <v>0</v>
      </c>
      <c r="CM19" s="895">
        <f t="shared" si="44"/>
        <v>0</v>
      </c>
      <c r="CN19" s="896">
        <f>'RRT - Subgrupo - IGEO'!BR19</f>
        <v>1</v>
      </c>
      <c r="CO19" s="893">
        <f t="shared" si="45"/>
        <v>1</v>
      </c>
      <c r="CP19" s="896">
        <f>'RRT - Subgrupo - IGEO'!BT19</f>
        <v>4</v>
      </c>
      <c r="CQ19" s="895">
        <f t="shared" si="88"/>
        <v>0.5</v>
      </c>
      <c r="CR19" s="896">
        <f>'RRT - Subgrupo - IGEO'!BU19</f>
        <v>4</v>
      </c>
      <c r="CS19" s="893">
        <f t="shared" si="89"/>
        <v>0.5</v>
      </c>
      <c r="CT19" s="896">
        <f>'RRT - Subgrupo - IGEO'!BW19</f>
        <v>1</v>
      </c>
      <c r="CU19" s="895">
        <f t="shared" si="46"/>
        <v>0.5</v>
      </c>
      <c r="CV19" s="896">
        <f>'RRT - Subgrupo - IGEO'!BX19</f>
        <v>1</v>
      </c>
      <c r="CW19" s="893">
        <f t="shared" si="47"/>
        <v>0.5</v>
      </c>
      <c r="CX19" s="896">
        <f>'RRT - Subgrupo - IGEO'!BZ19</f>
        <v>11</v>
      </c>
      <c r="CY19" s="895">
        <f t="shared" si="48"/>
        <v>0.47826086956521741</v>
      </c>
      <c r="CZ19" s="896">
        <f>'RRT - Subgrupo - IGEO'!CA19</f>
        <v>12</v>
      </c>
      <c r="DA19" s="893">
        <f t="shared" si="49"/>
        <v>0.52173913043478259</v>
      </c>
      <c r="DB19" s="896">
        <f>'RRT - Subgrupo - IGEO'!CC19</f>
        <v>22</v>
      </c>
      <c r="DC19" s="895">
        <f t="shared" si="50"/>
        <v>0.31428571428571428</v>
      </c>
      <c r="DD19" s="896">
        <f>'RRT - Subgrupo - IGEO'!CD19</f>
        <v>48</v>
      </c>
      <c r="DE19" s="893">
        <f t="shared" si="51"/>
        <v>0.68571428571428572</v>
      </c>
      <c r="DF19" s="892">
        <f>'RRT - Subgrupo - IGEO'!CF19</f>
        <v>111</v>
      </c>
      <c r="DG19" s="895">
        <f t="shared" si="52"/>
        <v>0.75510204081632648</v>
      </c>
      <c r="DH19" s="892">
        <f>'RRT - Subgrupo - IGEO'!CG19</f>
        <v>36</v>
      </c>
      <c r="DI19" s="893">
        <f t="shared" si="53"/>
        <v>0.24489795918367346</v>
      </c>
      <c r="DJ19" s="892">
        <f>'RRT - Subgrupo - IGEO'!CI19</f>
        <v>11</v>
      </c>
      <c r="DK19" s="895">
        <f t="shared" si="54"/>
        <v>0.61111111111111116</v>
      </c>
      <c r="DL19" s="892">
        <f>'RRT - Subgrupo - IGEO'!CJ19</f>
        <v>7</v>
      </c>
      <c r="DM19" s="893">
        <f t="shared" si="55"/>
        <v>0.3888888888888889</v>
      </c>
      <c r="DN19" s="892">
        <f>'RRT - Subgrupo - IGEO'!CL19</f>
        <v>0</v>
      </c>
      <c r="DO19" s="895">
        <f t="shared" si="90"/>
        <v>0</v>
      </c>
      <c r="DP19" s="892">
        <f>'RRT - Subgrupo - IGEO'!CM19</f>
        <v>25</v>
      </c>
      <c r="DQ19" s="893">
        <f t="shared" si="91"/>
        <v>1</v>
      </c>
      <c r="DR19" s="892">
        <f>'RRT - Subgrupo - IGEO'!CO19</f>
        <v>0</v>
      </c>
      <c r="DS19" s="895">
        <f t="shared" si="56"/>
        <v>0</v>
      </c>
      <c r="DT19" s="892">
        <f>'RRT - Subgrupo - IGEO'!CP19</f>
        <v>58</v>
      </c>
      <c r="DU19" s="893">
        <f t="shared" si="57"/>
        <v>1</v>
      </c>
      <c r="DV19" s="892">
        <f>'RRT - Subgrupo - IGEO'!CR19</f>
        <v>2</v>
      </c>
      <c r="DW19" s="895">
        <f t="shared" si="58"/>
        <v>0.5</v>
      </c>
      <c r="DX19" s="892">
        <f>'RRT - Subgrupo - IGEO'!CS19</f>
        <v>2</v>
      </c>
      <c r="DY19" s="893">
        <f t="shared" si="59"/>
        <v>0.5</v>
      </c>
      <c r="DZ19" s="892">
        <f>'RRT - Subgrupo - IGEO'!CU19</f>
        <v>13</v>
      </c>
      <c r="EA19" s="895">
        <f t="shared" si="60"/>
        <v>0.68421052631578949</v>
      </c>
      <c r="EB19" s="892">
        <f>'RRT - Subgrupo - IGEO'!CV19</f>
        <v>6</v>
      </c>
      <c r="EC19" s="893">
        <f t="shared" si="61"/>
        <v>0.31578947368421051</v>
      </c>
      <c r="ED19" s="892">
        <f>'RRT - Subgrupo - IGEO'!CX19</f>
        <v>4</v>
      </c>
      <c r="EE19" s="895">
        <f t="shared" si="62"/>
        <v>1</v>
      </c>
      <c r="EF19" s="892">
        <f>'RRT - Subgrupo - IGEO'!CY19</f>
        <v>0</v>
      </c>
      <c r="EG19" s="893">
        <f t="shared" si="63"/>
        <v>0</v>
      </c>
      <c r="EH19" s="892">
        <f>'RRT - Subgrupo - IGEO'!DA19</f>
        <v>52</v>
      </c>
      <c r="EI19" s="895">
        <f t="shared" si="64"/>
        <v>0.67532467532467533</v>
      </c>
      <c r="EJ19" s="892">
        <f>'RRT - Subgrupo - IGEO'!DB19</f>
        <v>25</v>
      </c>
      <c r="EK19" s="893">
        <f t="shared" si="65"/>
        <v>0.32467532467532467</v>
      </c>
      <c r="EL19" s="897"/>
      <c r="EM19" s="895"/>
      <c r="EN19" s="897"/>
      <c r="EO19" s="893"/>
      <c r="EP19" s="897">
        <f>'RRT - Subgrupo - IGEO'!DG19</f>
        <v>67</v>
      </c>
      <c r="EQ19" s="895">
        <f t="shared" si="68"/>
        <v>0.44966442953020136</v>
      </c>
      <c r="ER19" s="897">
        <f>'RRT - Subgrupo - IGEO'!DH19</f>
        <v>82</v>
      </c>
      <c r="ES19" s="893">
        <f t="shared" si="69"/>
        <v>0.55033557046979864</v>
      </c>
      <c r="ET19" s="897">
        <f>'RRT - Subgrupo - IGEO'!DJ19</f>
        <v>51</v>
      </c>
      <c r="EU19" s="895">
        <f t="shared" si="70"/>
        <v>0.52040816326530615</v>
      </c>
      <c r="EV19" s="897">
        <f>'RRT - Subgrupo - IGEO'!DK19</f>
        <v>47</v>
      </c>
      <c r="EW19" s="893">
        <f t="shared" si="71"/>
        <v>0.47959183673469385</v>
      </c>
      <c r="EX19" s="897">
        <f>'RRT - Subgrupo - IGEO'!DM19</f>
        <v>3</v>
      </c>
      <c r="EY19" s="895">
        <f t="shared" si="72"/>
        <v>0.75</v>
      </c>
      <c r="EZ19" s="897">
        <f>'RRT - Subgrupo - IGEO'!DN19</f>
        <v>1</v>
      </c>
      <c r="FA19" s="893">
        <f t="shared" si="73"/>
        <v>0.25</v>
      </c>
      <c r="FB19" s="897"/>
      <c r="FC19" s="895"/>
      <c r="FD19" s="897"/>
      <c r="FE19" s="893"/>
      <c r="FF19" s="897"/>
      <c r="FG19" s="895"/>
      <c r="FH19" s="897"/>
      <c r="FI19" s="893"/>
      <c r="FJ19" s="897">
        <f>'RRT - Subgrupo - IGEO'!DV19</f>
        <v>40</v>
      </c>
      <c r="FK19" s="895">
        <f t="shared" si="74"/>
        <v>0.93023255813953487</v>
      </c>
      <c r="FL19" s="897">
        <f>'RRT - Subgrupo - IGEO'!DW19</f>
        <v>3</v>
      </c>
      <c r="FM19" s="893">
        <f t="shared" si="75"/>
        <v>6.9767441860465115E-2</v>
      </c>
      <c r="FN19" s="897">
        <f>'RRT - Subgrupo - IGEO'!DY19</f>
        <v>1</v>
      </c>
      <c r="FO19" s="895">
        <f t="shared" si="76"/>
        <v>0.16666666666666666</v>
      </c>
      <c r="FP19" s="897">
        <f>'RRT - Subgrupo - IGEO'!DZ19</f>
        <v>5</v>
      </c>
      <c r="FQ19" s="893">
        <f t="shared" si="77"/>
        <v>0.83333333333333337</v>
      </c>
      <c r="FR19" s="892">
        <f>'RRT - Subgrupo - IGEO'!EB19</f>
        <v>0</v>
      </c>
      <c r="FS19" s="895">
        <f t="shared" si="78"/>
        <v>0</v>
      </c>
      <c r="FT19" s="892">
        <f>'RRT - Subgrupo - IGEO'!DZ19</f>
        <v>5</v>
      </c>
      <c r="FU19" s="893">
        <f t="shared" si="79"/>
        <v>1</v>
      </c>
      <c r="FV19" s="892"/>
      <c r="FW19" s="895"/>
      <c r="FX19" s="892"/>
      <c r="FY19" s="893"/>
      <c r="FZ19" s="892">
        <f>'RRT - Subgrupo - IGEO'!EH19</f>
        <v>4</v>
      </c>
      <c r="GA19" s="895">
        <f t="shared" si="80"/>
        <v>0.8</v>
      </c>
      <c r="GB19" s="892">
        <f>'RRT - Subgrupo - IGEO'!EI19</f>
        <v>1</v>
      </c>
      <c r="GC19" s="893">
        <f t="shared" si="81"/>
        <v>0.2</v>
      </c>
      <c r="GD19" s="892">
        <f>'RRT - Subgrupo - IGEO'!EK19</f>
        <v>6</v>
      </c>
      <c r="GE19" s="895">
        <f t="shared" si="82"/>
        <v>0.8571428571428571</v>
      </c>
      <c r="GF19" s="892">
        <f>'RRT - Subgrupo - IGEO'!EL19</f>
        <v>1</v>
      </c>
      <c r="GG19" s="893">
        <f t="shared" si="83"/>
        <v>0.14285714285714285</v>
      </c>
      <c r="GH19" s="892">
        <f>'RRT - Subgrupo - IGEO'!EN19</f>
        <v>3</v>
      </c>
      <c r="GI19" s="895">
        <f t="shared" si="92"/>
        <v>1</v>
      </c>
      <c r="GJ19" s="892">
        <f>'RRT - Subgrupo - IGEO'!EO19</f>
        <v>0</v>
      </c>
      <c r="GK19" s="893">
        <f t="shared" si="93"/>
        <v>0</v>
      </c>
      <c r="GL19" s="892">
        <f>'RRT - Subgrupo - IGEO'!EO19</f>
        <v>0</v>
      </c>
      <c r="GM19" s="895">
        <f t="shared" si="96"/>
        <v>0</v>
      </c>
      <c r="GN19" s="892">
        <f>'RRT - Subgrupo - IGEO'!EP19</f>
        <v>4</v>
      </c>
      <c r="GO19" s="893">
        <f t="shared" si="97"/>
        <v>1</v>
      </c>
      <c r="GP19" s="892">
        <f>'RRT - Subgrupo - IGEO'!EQ19</f>
        <v>4</v>
      </c>
      <c r="GQ19" s="895">
        <f t="shared" si="98"/>
        <v>1</v>
      </c>
      <c r="GR19" s="892">
        <f>'RRT - Subgrupo - IGEO'!ER19</f>
        <v>0</v>
      </c>
      <c r="GS19" s="893">
        <f t="shared" si="99"/>
        <v>0</v>
      </c>
      <c r="GT19" s="892">
        <f>'RRT - Subgrupo - IGEO'!EW19</f>
        <v>3</v>
      </c>
      <c r="GU19" s="895">
        <f t="shared" si="94"/>
        <v>1</v>
      </c>
      <c r="GV19" s="892">
        <f>'RRT - Subgrupo - IGEO'!EX19</f>
        <v>0</v>
      </c>
      <c r="GW19" s="893">
        <f t="shared" si="95"/>
        <v>0</v>
      </c>
      <c r="GX19" s="892">
        <f>'RRT - Subgrupo - IGEO'!EZ19</f>
        <v>3</v>
      </c>
      <c r="GY19" s="895">
        <f t="shared" si="84"/>
        <v>0.75</v>
      </c>
      <c r="GZ19" s="892">
        <f>'RRT - Subgrupo - IGEO'!FA19</f>
        <v>1</v>
      </c>
      <c r="HA19" s="893">
        <f t="shared" si="85"/>
        <v>0.25</v>
      </c>
      <c r="HB19" s="892">
        <f>'RRT - Subgrupo - IGEO'!FC19</f>
        <v>3</v>
      </c>
      <c r="HC19" s="895">
        <f t="shared" si="86"/>
        <v>0.375</v>
      </c>
      <c r="HD19" s="892">
        <f>'RRT - Subgrupo - IGEO'!FD19</f>
        <v>5</v>
      </c>
      <c r="HE19" s="893">
        <f t="shared" si="87"/>
        <v>0.625</v>
      </c>
    </row>
    <row r="20" spans="1:213" s="876" customFormat="1" ht="18.75">
      <c r="A20" s="891" t="s">
        <v>102</v>
      </c>
      <c r="B20" s="892">
        <f>'RRT - Subgrupo - IGEO'!C20</f>
        <v>15699</v>
      </c>
      <c r="C20" s="893">
        <f t="shared" si="0"/>
        <v>0.51023790951638071</v>
      </c>
      <c r="D20" s="892">
        <f>'RRT - Subgrupo - IGEO'!D20</f>
        <v>15069</v>
      </c>
      <c r="E20" s="893">
        <f t="shared" si="1"/>
        <v>0.48976209048361935</v>
      </c>
      <c r="F20" s="894">
        <f>'RRT - Subgrupo - IGEO'!F20</f>
        <v>5193</v>
      </c>
      <c r="G20" s="893">
        <f t="shared" si="2"/>
        <v>0.61814069753600764</v>
      </c>
      <c r="H20" s="892">
        <f>'RRT - Subgrupo - IGEO'!G20</f>
        <v>3208</v>
      </c>
      <c r="I20" s="893">
        <f t="shared" si="3"/>
        <v>0.38185930246399236</v>
      </c>
      <c r="J20" s="892">
        <f>'RRT - Subgrupo - IGEO'!I20</f>
        <v>280</v>
      </c>
      <c r="K20" s="895">
        <f t="shared" si="4"/>
        <v>0.48109965635738833</v>
      </c>
      <c r="L20" s="892">
        <f>'RRT - Subgrupo - IGEO'!J20</f>
        <v>302</v>
      </c>
      <c r="M20" s="893">
        <f t="shared" si="5"/>
        <v>0.51890034364261173</v>
      </c>
      <c r="N20" s="896">
        <f>'RRT - Subgrupo - IGEO'!L20</f>
        <v>681</v>
      </c>
      <c r="O20" s="895">
        <f t="shared" si="6"/>
        <v>0.13579262213359919</v>
      </c>
      <c r="P20" s="892">
        <f>'RRT - Subgrupo - IGEO'!P20</f>
        <v>4334</v>
      </c>
      <c r="Q20" s="893">
        <f t="shared" si="7"/>
        <v>0.86420737786640078</v>
      </c>
      <c r="R20" s="892">
        <f>'RRT - Subgrupo - IGEO'!O20</f>
        <v>6522</v>
      </c>
      <c r="S20" s="895">
        <f t="shared" si="8"/>
        <v>0.6007737656595431</v>
      </c>
      <c r="T20" s="892">
        <f>'RRT - Subgrupo - IGEO'!P20</f>
        <v>4334</v>
      </c>
      <c r="U20" s="893">
        <f t="shared" si="9"/>
        <v>0.3992262343404569</v>
      </c>
      <c r="V20" s="892">
        <f>'RRT - Subgrupo - IGEO'!R20</f>
        <v>252</v>
      </c>
      <c r="W20" s="895">
        <f t="shared" si="10"/>
        <v>0.48091603053435117</v>
      </c>
      <c r="X20" s="896">
        <f>'RRT - Subgrupo - IGEO'!S20</f>
        <v>272</v>
      </c>
      <c r="Y20" s="893">
        <f t="shared" si="11"/>
        <v>0.51908396946564883</v>
      </c>
      <c r="Z20" s="892">
        <f>'RRT - Subgrupo - IGEO'!U20</f>
        <v>847</v>
      </c>
      <c r="AA20" s="895">
        <f t="shared" si="12"/>
        <v>0.4536689876807713</v>
      </c>
      <c r="AB20" s="892">
        <f>'RRT - Subgrupo - IGEO'!V20</f>
        <v>1020</v>
      </c>
      <c r="AC20" s="893">
        <f t="shared" si="13"/>
        <v>0.54633101231922876</v>
      </c>
      <c r="AD20" s="892">
        <f>'RRT - Subgrupo - IGEO'!X20</f>
        <v>2510</v>
      </c>
      <c r="AE20" s="895">
        <f t="shared" si="14"/>
        <v>0.57266712297513123</v>
      </c>
      <c r="AF20" s="892">
        <f>'RRT - Subgrupo - IGEO'!Y20</f>
        <v>1873</v>
      </c>
      <c r="AG20" s="893">
        <f t="shared" si="15"/>
        <v>0.42733287702486883</v>
      </c>
      <c r="AH20" s="892">
        <f>'RRT - Subgrupo - IGEO'!AA20</f>
        <v>835</v>
      </c>
      <c r="AI20" s="895">
        <f t="shared" si="16"/>
        <v>0.68442622950819676</v>
      </c>
      <c r="AJ20" s="892">
        <f>'RRT - Subgrupo - IGEO'!AB20</f>
        <v>385</v>
      </c>
      <c r="AK20" s="893">
        <f t="shared" si="17"/>
        <v>0.3155737704918033</v>
      </c>
      <c r="AL20" s="892">
        <f>'RRT - Subgrupo - IGEO'!AD20</f>
        <v>436</v>
      </c>
      <c r="AM20" s="895">
        <f t="shared" si="18"/>
        <v>0.48070562293274532</v>
      </c>
      <c r="AN20" s="892">
        <f>'RRT - Subgrupo - IGEO'!AE20</f>
        <v>471</v>
      </c>
      <c r="AO20" s="893">
        <f t="shared" si="19"/>
        <v>0.51929437706725468</v>
      </c>
      <c r="AP20" s="896">
        <f>'RRT - Subgrupo - IGEO'!AG20</f>
        <v>34</v>
      </c>
      <c r="AQ20" s="895">
        <f t="shared" si="20"/>
        <v>0.58620689655172409</v>
      </c>
      <c r="AR20" s="892">
        <f>'RRT - Subgrupo - IGEO'!AH20</f>
        <v>24</v>
      </c>
      <c r="AS20" s="893">
        <f t="shared" si="21"/>
        <v>0.41379310344827586</v>
      </c>
      <c r="AT20" s="892">
        <f>'RRT - Subgrupo - IGEO'!AJ20</f>
        <v>12178</v>
      </c>
      <c r="AU20" s="895">
        <f t="shared" si="22"/>
        <v>0.54011620171197938</v>
      </c>
      <c r="AV20" s="892">
        <f>'RRT - Subgrupo - IGEO'!AK20</f>
        <v>10369</v>
      </c>
      <c r="AW20" s="893">
        <f t="shared" si="23"/>
        <v>0.45988379828802056</v>
      </c>
      <c r="AX20" s="892">
        <f>'RRT - Subgrupo - IGEO'!AM20</f>
        <v>1821</v>
      </c>
      <c r="AY20" s="895">
        <f t="shared" si="24"/>
        <v>0.5293604651162791</v>
      </c>
      <c r="AZ20" s="892">
        <f>'RRT - Subgrupo - IGEO'!AN20</f>
        <v>1619</v>
      </c>
      <c r="BA20" s="893">
        <f t="shared" si="25"/>
        <v>0.47063953488372096</v>
      </c>
      <c r="BB20" s="892">
        <f>'RRT - Subgrupo - IGEO'!AP20</f>
        <v>198</v>
      </c>
      <c r="BC20" s="895">
        <f t="shared" si="26"/>
        <v>0.6073619631901841</v>
      </c>
      <c r="BD20" s="892">
        <f>'RRT - Subgrupo - IGEO'!AQ20</f>
        <v>128</v>
      </c>
      <c r="BE20" s="893">
        <f t="shared" si="27"/>
        <v>0.39263803680981596</v>
      </c>
      <c r="BF20" s="892">
        <f>'RRT - Subgrupo - IGEO'!AS20</f>
        <v>432</v>
      </c>
      <c r="BG20" s="895">
        <f t="shared" si="28"/>
        <v>0.28780812791472354</v>
      </c>
      <c r="BH20" s="892">
        <f>'RRT - Subgrupo - IGEO'!AT20</f>
        <v>1069</v>
      </c>
      <c r="BI20" s="893">
        <f t="shared" si="29"/>
        <v>0.71219187208527646</v>
      </c>
      <c r="BJ20" s="892">
        <f>'RRT - Subgrupo - IGEO'!AV20</f>
        <v>1768</v>
      </c>
      <c r="BK20" s="895">
        <f t="shared" si="30"/>
        <v>0.52965847813061717</v>
      </c>
      <c r="BL20" s="892">
        <f>'RRT - Subgrupo - IGEO'!AW20</f>
        <v>1570</v>
      </c>
      <c r="BM20" s="893">
        <f t="shared" si="31"/>
        <v>0.47034152186938288</v>
      </c>
      <c r="BN20" s="892">
        <f>'RRT - Subgrupo - IGEO'!AY20</f>
        <v>33</v>
      </c>
      <c r="BO20" s="895">
        <f t="shared" si="32"/>
        <v>0.45205479452054792</v>
      </c>
      <c r="BP20" s="892">
        <f>'RRT - Subgrupo - IGEO'!AZ20</f>
        <v>40</v>
      </c>
      <c r="BQ20" s="893">
        <f t="shared" si="33"/>
        <v>0.54794520547945202</v>
      </c>
      <c r="BR20" s="892">
        <f>'RRT - Subgrupo - IGEO'!BB20</f>
        <v>237</v>
      </c>
      <c r="BS20" s="895">
        <f t="shared" si="34"/>
        <v>0.5163398692810458</v>
      </c>
      <c r="BT20" s="892">
        <f>'RRT - Subgrupo - IGEO'!BC20</f>
        <v>222</v>
      </c>
      <c r="BU20" s="893">
        <f t="shared" si="35"/>
        <v>0.48366013071895425</v>
      </c>
      <c r="BV20" s="892">
        <f>'RRT - Subgrupo - IGEO'!BE20</f>
        <v>250</v>
      </c>
      <c r="BW20" s="895">
        <f t="shared" si="36"/>
        <v>0.5605381165919282</v>
      </c>
      <c r="BX20" s="892">
        <f>'RRT - Subgrupo - IGEO'!BF20</f>
        <v>196</v>
      </c>
      <c r="BY20" s="893">
        <f t="shared" si="37"/>
        <v>0.43946188340807174</v>
      </c>
      <c r="BZ20" s="892">
        <f>'RRT - Subgrupo - IGEO'!BH20</f>
        <v>10</v>
      </c>
      <c r="CA20" s="895">
        <f t="shared" si="38"/>
        <v>0.4</v>
      </c>
      <c r="CB20" s="892">
        <f>'RRT - Subgrupo - IGEO'!BI20</f>
        <v>15</v>
      </c>
      <c r="CC20" s="893">
        <f t="shared" si="39"/>
        <v>0.6</v>
      </c>
      <c r="CD20" s="892">
        <f>'RRT - Subgrupo - IGEO'!BK20</f>
        <v>91</v>
      </c>
      <c r="CE20" s="895">
        <f t="shared" si="40"/>
        <v>0.46666666666666667</v>
      </c>
      <c r="CF20" s="892">
        <f>'RRT - Subgrupo - IGEO'!BL20</f>
        <v>104</v>
      </c>
      <c r="CG20" s="893">
        <f t="shared" si="41"/>
        <v>0.53333333333333333</v>
      </c>
      <c r="CH20" s="896">
        <f>'RRT - Subgrupo - IGEO'!BN20</f>
        <v>27</v>
      </c>
      <c r="CI20" s="895">
        <f t="shared" si="42"/>
        <v>0.67500000000000004</v>
      </c>
      <c r="CJ20" s="896">
        <f>'RRT - Subgrupo - IGEO'!BO20</f>
        <v>13</v>
      </c>
      <c r="CK20" s="893">
        <f t="shared" si="43"/>
        <v>0.32500000000000001</v>
      </c>
      <c r="CL20" s="896">
        <f>'RRT - Subgrupo - IGEO'!BQ20</f>
        <v>21</v>
      </c>
      <c r="CM20" s="895">
        <f t="shared" si="44"/>
        <v>0.42</v>
      </c>
      <c r="CN20" s="896">
        <f>'RRT - Subgrupo - IGEO'!BR20</f>
        <v>29</v>
      </c>
      <c r="CO20" s="893">
        <f t="shared" si="45"/>
        <v>0.57999999999999996</v>
      </c>
      <c r="CP20" s="896">
        <f>'RRT - Subgrupo - IGEO'!BT20</f>
        <v>59</v>
      </c>
      <c r="CQ20" s="895">
        <f t="shared" si="88"/>
        <v>0.62105263157894741</v>
      </c>
      <c r="CR20" s="896">
        <f>'RRT - Subgrupo - IGEO'!BU20</f>
        <v>36</v>
      </c>
      <c r="CS20" s="893">
        <f t="shared" si="89"/>
        <v>0.37894736842105264</v>
      </c>
      <c r="CT20" s="896">
        <f>'RRT - Subgrupo - IGEO'!BW20</f>
        <v>43</v>
      </c>
      <c r="CU20" s="895">
        <f t="shared" si="46"/>
        <v>0.4942528735632184</v>
      </c>
      <c r="CV20" s="896">
        <f>'RRT - Subgrupo - IGEO'!BX20</f>
        <v>44</v>
      </c>
      <c r="CW20" s="893">
        <f t="shared" si="47"/>
        <v>0.50574712643678166</v>
      </c>
      <c r="CX20" s="896">
        <f>'RRT - Subgrupo - IGEO'!BZ20</f>
        <v>355</v>
      </c>
      <c r="CY20" s="895">
        <f t="shared" si="48"/>
        <v>0.68400770712909442</v>
      </c>
      <c r="CZ20" s="896">
        <f>'RRT - Subgrupo - IGEO'!CA20</f>
        <v>164</v>
      </c>
      <c r="DA20" s="893">
        <f t="shared" si="49"/>
        <v>0.31599229287090558</v>
      </c>
      <c r="DB20" s="896">
        <f>'RRT - Subgrupo - IGEO'!CC20</f>
        <v>273</v>
      </c>
      <c r="DC20" s="895">
        <f t="shared" si="50"/>
        <v>0.49100719424460432</v>
      </c>
      <c r="DD20" s="896">
        <f>'RRT - Subgrupo - IGEO'!CD20</f>
        <v>283</v>
      </c>
      <c r="DE20" s="893">
        <f t="shared" si="51"/>
        <v>0.50899280575539574</v>
      </c>
      <c r="DF20" s="892">
        <f>'RRT - Subgrupo - IGEO'!CF20</f>
        <v>945</v>
      </c>
      <c r="DG20" s="895">
        <f t="shared" si="52"/>
        <v>0.58586484810911343</v>
      </c>
      <c r="DH20" s="892">
        <f>'RRT - Subgrupo - IGEO'!CG20</f>
        <v>668</v>
      </c>
      <c r="DI20" s="893">
        <f t="shared" si="53"/>
        <v>0.41413515189088657</v>
      </c>
      <c r="DJ20" s="892">
        <f>'RRT - Subgrupo - IGEO'!CI20</f>
        <v>1053</v>
      </c>
      <c r="DK20" s="895">
        <f t="shared" si="54"/>
        <v>0.57352941176470584</v>
      </c>
      <c r="DL20" s="892">
        <f>'RRT - Subgrupo - IGEO'!CJ20</f>
        <v>783</v>
      </c>
      <c r="DM20" s="893">
        <f t="shared" si="55"/>
        <v>0.4264705882352941</v>
      </c>
      <c r="DN20" s="892">
        <f>'RRT - Subgrupo - IGEO'!CL20</f>
        <v>4</v>
      </c>
      <c r="DO20" s="895">
        <f t="shared" si="90"/>
        <v>0.36363636363636365</v>
      </c>
      <c r="DP20" s="892">
        <f>'RRT - Subgrupo - IGEO'!CM20</f>
        <v>7</v>
      </c>
      <c r="DQ20" s="893">
        <f t="shared" si="91"/>
        <v>0.63636363636363635</v>
      </c>
      <c r="DR20" s="892">
        <f>'RRT - Subgrupo - IGEO'!CO20</f>
        <v>35</v>
      </c>
      <c r="DS20" s="895">
        <f t="shared" si="56"/>
        <v>0.30701754385964913</v>
      </c>
      <c r="DT20" s="892">
        <f>'RRT - Subgrupo - IGEO'!CP20</f>
        <v>79</v>
      </c>
      <c r="DU20" s="893">
        <f t="shared" si="57"/>
        <v>0.69298245614035092</v>
      </c>
      <c r="DV20" s="892">
        <f>'RRT - Subgrupo - IGEO'!CR20</f>
        <v>17</v>
      </c>
      <c r="DW20" s="895">
        <f t="shared" si="58"/>
        <v>0.32075471698113206</v>
      </c>
      <c r="DX20" s="892">
        <f>'RRT - Subgrupo - IGEO'!CS20</f>
        <v>36</v>
      </c>
      <c r="DY20" s="893">
        <f t="shared" si="59"/>
        <v>0.67924528301886788</v>
      </c>
      <c r="DZ20" s="892">
        <f>'RRT - Subgrupo - IGEO'!CU20</f>
        <v>21</v>
      </c>
      <c r="EA20" s="895">
        <f t="shared" si="60"/>
        <v>0.4375</v>
      </c>
      <c r="EB20" s="892">
        <f>'RRT - Subgrupo - IGEO'!CV20</f>
        <v>27</v>
      </c>
      <c r="EC20" s="893">
        <f t="shared" si="61"/>
        <v>0.5625</v>
      </c>
      <c r="ED20" s="892">
        <f>'RRT - Subgrupo - IGEO'!CX20</f>
        <v>21</v>
      </c>
      <c r="EE20" s="895">
        <f t="shared" si="62"/>
        <v>0.42</v>
      </c>
      <c r="EF20" s="892">
        <f>'RRT - Subgrupo - IGEO'!CY20</f>
        <v>29</v>
      </c>
      <c r="EG20" s="893">
        <f t="shared" si="63"/>
        <v>0.57999999999999996</v>
      </c>
      <c r="EH20" s="892">
        <f>'RRT - Subgrupo - IGEO'!DA20</f>
        <v>443</v>
      </c>
      <c r="EI20" s="895">
        <f t="shared" si="64"/>
        <v>0.48362445414847161</v>
      </c>
      <c r="EJ20" s="892">
        <f>'RRT - Subgrupo - IGEO'!DB20</f>
        <v>473</v>
      </c>
      <c r="EK20" s="893">
        <f t="shared" si="65"/>
        <v>0.51637554585152834</v>
      </c>
      <c r="EL20" s="897">
        <f>'RRT - Subgrupo - IGEO'!DD20</f>
        <v>33</v>
      </c>
      <c r="EM20" s="895">
        <f t="shared" si="66"/>
        <v>0.61111111111111116</v>
      </c>
      <c r="EN20" s="897">
        <f>'RRT - Subgrupo - IGEO'!DE20</f>
        <v>21</v>
      </c>
      <c r="EO20" s="893">
        <f t="shared" si="67"/>
        <v>0.3888888888888889</v>
      </c>
      <c r="EP20" s="897">
        <f>'RRT - Subgrupo - IGEO'!DG20</f>
        <v>190</v>
      </c>
      <c r="EQ20" s="895">
        <f t="shared" si="68"/>
        <v>0.35315985130111527</v>
      </c>
      <c r="ER20" s="897">
        <f>'RRT - Subgrupo - IGEO'!DH20</f>
        <v>348</v>
      </c>
      <c r="ES20" s="893">
        <f t="shared" si="69"/>
        <v>0.64684014869888473</v>
      </c>
      <c r="ET20" s="897">
        <f>'RRT - Subgrupo - IGEO'!DJ20</f>
        <v>1016</v>
      </c>
      <c r="EU20" s="895">
        <f t="shared" si="70"/>
        <v>0.499754058042302</v>
      </c>
      <c r="EV20" s="897">
        <f>'RRT - Subgrupo - IGEO'!DK20</f>
        <v>1017</v>
      </c>
      <c r="EW20" s="893">
        <f t="shared" si="71"/>
        <v>0.500245941957698</v>
      </c>
      <c r="EX20" s="897">
        <f>'RRT - Subgrupo - IGEO'!DM20</f>
        <v>128</v>
      </c>
      <c r="EY20" s="895">
        <f t="shared" si="72"/>
        <v>0.54700854700854706</v>
      </c>
      <c r="EZ20" s="897">
        <f>'RRT - Subgrupo - IGEO'!DN20</f>
        <v>106</v>
      </c>
      <c r="FA20" s="893">
        <f t="shared" si="73"/>
        <v>0.45299145299145299</v>
      </c>
      <c r="FB20" s="897"/>
      <c r="FC20" s="895"/>
      <c r="FD20" s="897"/>
      <c r="FE20" s="893"/>
      <c r="FF20" s="897">
        <f>'RRT - Subgrupo - IGEO'!DS20</f>
        <v>2</v>
      </c>
      <c r="FG20" s="895">
        <f t="shared" si="100"/>
        <v>0.66666666666666663</v>
      </c>
      <c r="FH20" s="897">
        <f>'RRT - Subgrupo - IGEO'!DT20</f>
        <v>1</v>
      </c>
      <c r="FI20" s="893">
        <f t="shared" si="101"/>
        <v>0.33333333333333331</v>
      </c>
      <c r="FJ20" s="897">
        <f>'RRT - Subgrupo - IGEO'!DV20</f>
        <v>47</v>
      </c>
      <c r="FK20" s="895">
        <f t="shared" si="74"/>
        <v>0.58024691358024694</v>
      </c>
      <c r="FL20" s="897">
        <f>'RRT - Subgrupo - IGEO'!DW20</f>
        <v>34</v>
      </c>
      <c r="FM20" s="893">
        <f t="shared" si="75"/>
        <v>0.41975308641975306</v>
      </c>
      <c r="FN20" s="897">
        <f>'RRT - Subgrupo - IGEO'!DY20</f>
        <v>3</v>
      </c>
      <c r="FO20" s="895">
        <f t="shared" si="76"/>
        <v>0.75</v>
      </c>
      <c r="FP20" s="897">
        <f>'RRT - Subgrupo - IGEO'!DZ20</f>
        <v>1</v>
      </c>
      <c r="FQ20" s="893">
        <f t="shared" si="77"/>
        <v>0.25</v>
      </c>
      <c r="FR20" s="892">
        <f>'RRT - Subgrupo - IGEO'!EB20</f>
        <v>0</v>
      </c>
      <c r="FS20" s="895">
        <f t="shared" si="78"/>
        <v>0</v>
      </c>
      <c r="FT20" s="892">
        <f>'RRT - Subgrupo - IGEO'!DZ20</f>
        <v>1</v>
      </c>
      <c r="FU20" s="893">
        <f t="shared" si="79"/>
        <v>1</v>
      </c>
      <c r="FV20" s="892">
        <f>'RRT - Subgrupo - IGEO'!EE20</f>
        <v>31</v>
      </c>
      <c r="FW20" s="895">
        <f t="shared" si="102"/>
        <v>0.70454545454545459</v>
      </c>
      <c r="FX20" s="892">
        <f>'RRT - Subgrupo - IGEO'!EF20</f>
        <v>13</v>
      </c>
      <c r="FY20" s="893">
        <f t="shared" si="103"/>
        <v>0.29545454545454547</v>
      </c>
      <c r="FZ20" s="892">
        <f>'RRT - Subgrupo - IGEO'!EH20</f>
        <v>7</v>
      </c>
      <c r="GA20" s="895">
        <f t="shared" si="80"/>
        <v>0.77777777777777779</v>
      </c>
      <c r="GB20" s="892">
        <f>'RRT - Subgrupo - IGEO'!EI20</f>
        <v>2</v>
      </c>
      <c r="GC20" s="893">
        <f t="shared" si="81"/>
        <v>0.22222222222222221</v>
      </c>
      <c r="GD20" s="892">
        <f>'RRT - Subgrupo - IGEO'!EK20</f>
        <v>16</v>
      </c>
      <c r="GE20" s="895">
        <f t="shared" si="82"/>
        <v>0.17204301075268819</v>
      </c>
      <c r="GF20" s="892">
        <f>'RRT - Subgrupo - IGEO'!EL20</f>
        <v>77</v>
      </c>
      <c r="GG20" s="893">
        <f t="shared" si="83"/>
        <v>0.82795698924731187</v>
      </c>
      <c r="GH20" s="892">
        <f>'RRT - Subgrupo - IGEO'!EN20</f>
        <v>9</v>
      </c>
      <c r="GI20" s="895">
        <f t="shared" si="92"/>
        <v>0.27272727272727271</v>
      </c>
      <c r="GJ20" s="892">
        <f>'RRT - Subgrupo - IGEO'!EO20</f>
        <v>24</v>
      </c>
      <c r="GK20" s="893">
        <f t="shared" si="93"/>
        <v>0.72727272727272729</v>
      </c>
      <c r="GL20" s="892">
        <f>'RRT - Subgrupo - IGEO'!EO20</f>
        <v>24</v>
      </c>
      <c r="GM20" s="895">
        <f t="shared" si="96"/>
        <v>0.88888888888888884</v>
      </c>
      <c r="GN20" s="892">
        <f>'RRT - Subgrupo - IGEO'!EP20</f>
        <v>3</v>
      </c>
      <c r="GO20" s="893">
        <f t="shared" si="97"/>
        <v>0.1111111111111111</v>
      </c>
      <c r="GP20" s="892">
        <f>'RRT - Subgrupo - IGEO'!EQ20</f>
        <v>2</v>
      </c>
      <c r="GQ20" s="895">
        <f t="shared" si="98"/>
        <v>0.66666666666666663</v>
      </c>
      <c r="GR20" s="892">
        <f>'RRT - Subgrupo - IGEO'!ER20</f>
        <v>1</v>
      </c>
      <c r="GS20" s="893">
        <f t="shared" si="99"/>
        <v>0.33333333333333331</v>
      </c>
      <c r="GT20" s="892">
        <f>'RRT - Subgrupo - IGEO'!EW20</f>
        <v>47</v>
      </c>
      <c r="GU20" s="895">
        <f t="shared" si="94"/>
        <v>0.8867924528301887</v>
      </c>
      <c r="GV20" s="892">
        <f>'RRT - Subgrupo - IGEO'!EX20</f>
        <v>6</v>
      </c>
      <c r="GW20" s="893">
        <f t="shared" si="95"/>
        <v>0.11320754716981132</v>
      </c>
      <c r="GX20" s="892">
        <f>'RRT - Subgrupo - IGEO'!EZ20</f>
        <v>73</v>
      </c>
      <c r="GY20" s="895">
        <f t="shared" si="84"/>
        <v>0.18387909319899245</v>
      </c>
      <c r="GZ20" s="892">
        <f>'RRT - Subgrupo - IGEO'!FA20</f>
        <v>324</v>
      </c>
      <c r="HA20" s="893">
        <f t="shared" si="85"/>
        <v>0.81612090680100757</v>
      </c>
      <c r="HB20" s="892">
        <f>'RRT - Subgrupo - IGEO'!FC20</f>
        <v>10</v>
      </c>
      <c r="HC20" s="895">
        <f t="shared" si="86"/>
        <v>0.18181818181818182</v>
      </c>
      <c r="HD20" s="892">
        <f>'RRT - Subgrupo - IGEO'!FD20</f>
        <v>45</v>
      </c>
      <c r="HE20" s="893">
        <f t="shared" si="87"/>
        <v>0.81818181818181823</v>
      </c>
    </row>
    <row r="21" spans="1:213" s="876" customFormat="1" ht="18.75">
      <c r="A21" s="891" t="s">
        <v>105</v>
      </c>
      <c r="B21" s="892">
        <f>'RRT - Subgrupo - IGEO'!C21</f>
        <v>9145</v>
      </c>
      <c r="C21" s="893">
        <f t="shared" si="0"/>
        <v>0.54479923745978787</v>
      </c>
      <c r="D21" s="892">
        <f>'RRT - Subgrupo - IGEO'!D21</f>
        <v>7641</v>
      </c>
      <c r="E21" s="893">
        <f t="shared" si="1"/>
        <v>0.45520076254021208</v>
      </c>
      <c r="F21" s="894">
        <f>'RRT - Subgrupo - IGEO'!F21</f>
        <v>365</v>
      </c>
      <c r="G21" s="893">
        <f t="shared" si="2"/>
        <v>0.60631229235880402</v>
      </c>
      <c r="H21" s="892">
        <f>'RRT - Subgrupo - IGEO'!G21</f>
        <v>237</v>
      </c>
      <c r="I21" s="893">
        <f t="shared" si="3"/>
        <v>0.39368770764119604</v>
      </c>
      <c r="J21" s="892">
        <f>'RRT - Subgrupo - IGEO'!I21</f>
        <v>285</v>
      </c>
      <c r="K21" s="895">
        <f t="shared" si="4"/>
        <v>0.59748427672955973</v>
      </c>
      <c r="L21" s="892">
        <f>'RRT - Subgrupo - IGEO'!J21</f>
        <v>192</v>
      </c>
      <c r="M21" s="893">
        <f t="shared" si="5"/>
        <v>0.40251572327044027</v>
      </c>
      <c r="N21" s="896">
        <f>'RRT - Subgrupo - IGEO'!L21</f>
        <v>943</v>
      </c>
      <c r="O21" s="895">
        <f t="shared" si="6"/>
        <v>0.32528458088996204</v>
      </c>
      <c r="P21" s="892">
        <f>'RRT - Subgrupo - IGEO'!P21</f>
        <v>1956</v>
      </c>
      <c r="Q21" s="893">
        <f t="shared" si="7"/>
        <v>0.67471541911003796</v>
      </c>
      <c r="R21" s="892">
        <f>'RRT - Subgrupo - IGEO'!O21</f>
        <v>2464</v>
      </c>
      <c r="S21" s="895">
        <f t="shared" si="8"/>
        <v>0.55746606334841631</v>
      </c>
      <c r="T21" s="892">
        <f>'RRT - Subgrupo - IGEO'!P21</f>
        <v>1956</v>
      </c>
      <c r="U21" s="893">
        <f t="shared" si="9"/>
        <v>0.44253393665158369</v>
      </c>
      <c r="V21" s="892">
        <f>'RRT - Subgrupo - IGEO'!R21</f>
        <v>88</v>
      </c>
      <c r="W21" s="895">
        <f t="shared" si="10"/>
        <v>0.50867052023121384</v>
      </c>
      <c r="X21" s="896">
        <f>'RRT - Subgrupo - IGEO'!S21</f>
        <v>85</v>
      </c>
      <c r="Y21" s="893">
        <f t="shared" si="11"/>
        <v>0.4913294797687861</v>
      </c>
      <c r="Z21" s="892">
        <f>'RRT - Subgrupo - IGEO'!U21</f>
        <v>414</v>
      </c>
      <c r="AA21" s="895">
        <f t="shared" si="12"/>
        <v>0.48364485981308414</v>
      </c>
      <c r="AB21" s="892">
        <f>'RRT - Subgrupo - IGEO'!V21</f>
        <v>442</v>
      </c>
      <c r="AC21" s="893">
        <f t="shared" si="13"/>
        <v>0.51635514018691586</v>
      </c>
      <c r="AD21" s="892">
        <f>'RRT - Subgrupo - IGEO'!X21</f>
        <v>1169</v>
      </c>
      <c r="AE21" s="895">
        <f t="shared" si="14"/>
        <v>0.70125974805038993</v>
      </c>
      <c r="AF21" s="892">
        <f>'RRT - Subgrupo - IGEO'!Y21</f>
        <v>498</v>
      </c>
      <c r="AG21" s="893">
        <f t="shared" si="15"/>
        <v>0.29874025194961007</v>
      </c>
      <c r="AH21" s="892">
        <f>'RRT - Subgrupo - IGEO'!AA21</f>
        <v>157</v>
      </c>
      <c r="AI21" s="895">
        <f t="shared" si="16"/>
        <v>0.69162995594713661</v>
      </c>
      <c r="AJ21" s="892">
        <f>'RRT - Subgrupo - IGEO'!AB21</f>
        <v>70</v>
      </c>
      <c r="AK21" s="893">
        <f t="shared" si="17"/>
        <v>0.30837004405286345</v>
      </c>
      <c r="AL21" s="892">
        <f>'RRT - Subgrupo - IGEO'!AD21</f>
        <v>142</v>
      </c>
      <c r="AM21" s="895">
        <f t="shared" si="18"/>
        <v>0.56126482213438733</v>
      </c>
      <c r="AN21" s="892">
        <f>'RRT - Subgrupo - IGEO'!AE21</f>
        <v>111</v>
      </c>
      <c r="AO21" s="893">
        <f t="shared" si="19"/>
        <v>0.43873517786561267</v>
      </c>
      <c r="AP21" s="896">
        <f>'RRT - Subgrupo - IGEO'!AG21</f>
        <v>26</v>
      </c>
      <c r="AQ21" s="895">
        <f t="shared" si="20"/>
        <v>0.40625</v>
      </c>
      <c r="AR21" s="892">
        <f>'RRT - Subgrupo - IGEO'!AH21</f>
        <v>38</v>
      </c>
      <c r="AS21" s="893">
        <f t="shared" si="21"/>
        <v>0.59375</v>
      </c>
      <c r="AT21" s="892">
        <f>'RRT - Subgrupo - IGEO'!AJ21</f>
        <v>7431</v>
      </c>
      <c r="AU21" s="895">
        <f t="shared" si="22"/>
        <v>0.63210275603946919</v>
      </c>
      <c r="AV21" s="892">
        <f>'RRT - Subgrupo - IGEO'!AK21</f>
        <v>4325</v>
      </c>
      <c r="AW21" s="893">
        <f t="shared" si="23"/>
        <v>0.36789724396053081</v>
      </c>
      <c r="AX21" s="892">
        <f>'RRT - Subgrupo - IGEO'!AM21</f>
        <v>787</v>
      </c>
      <c r="AY21" s="895">
        <f t="shared" si="24"/>
        <v>0.72534562211981568</v>
      </c>
      <c r="AZ21" s="892">
        <f>'RRT - Subgrupo - IGEO'!AN21</f>
        <v>298</v>
      </c>
      <c r="BA21" s="893">
        <f t="shared" si="25"/>
        <v>0.27465437788018432</v>
      </c>
      <c r="BB21" s="892">
        <f>'RRT - Subgrupo - IGEO'!AP21</f>
        <v>390</v>
      </c>
      <c r="BC21" s="895">
        <f t="shared" si="26"/>
        <v>0.7558139534883721</v>
      </c>
      <c r="BD21" s="892">
        <f>'RRT - Subgrupo - IGEO'!AQ21</f>
        <v>126</v>
      </c>
      <c r="BE21" s="893">
        <f t="shared" si="27"/>
        <v>0.2441860465116279</v>
      </c>
      <c r="BF21" s="892">
        <f>'RRT - Subgrupo - IGEO'!AS21</f>
        <v>1485</v>
      </c>
      <c r="BG21" s="895">
        <f t="shared" si="28"/>
        <v>0.42404340376927468</v>
      </c>
      <c r="BH21" s="892">
        <f>'RRT - Subgrupo - IGEO'!AT21</f>
        <v>2017</v>
      </c>
      <c r="BI21" s="893">
        <f t="shared" si="29"/>
        <v>0.57595659623072526</v>
      </c>
      <c r="BJ21" s="892">
        <f>'RRT - Subgrupo - IGEO'!AV21</f>
        <v>1558</v>
      </c>
      <c r="BK21" s="895">
        <f t="shared" si="30"/>
        <v>0.56408399710354817</v>
      </c>
      <c r="BL21" s="892">
        <f>'RRT - Subgrupo - IGEO'!AW21</f>
        <v>1204</v>
      </c>
      <c r="BM21" s="893">
        <f t="shared" si="31"/>
        <v>0.43591600289645183</v>
      </c>
      <c r="BN21" s="892">
        <f>'RRT - Subgrupo - IGEO'!AY21</f>
        <v>36</v>
      </c>
      <c r="BO21" s="895">
        <f t="shared" si="32"/>
        <v>0.69230769230769229</v>
      </c>
      <c r="BP21" s="892">
        <f>'RRT - Subgrupo - IGEO'!AZ21</f>
        <v>16</v>
      </c>
      <c r="BQ21" s="893">
        <f t="shared" si="33"/>
        <v>0.30769230769230771</v>
      </c>
      <c r="BR21" s="892">
        <f>'RRT - Subgrupo - IGEO'!BB21</f>
        <v>62</v>
      </c>
      <c r="BS21" s="895">
        <f t="shared" si="34"/>
        <v>0.72093023255813948</v>
      </c>
      <c r="BT21" s="892">
        <f>'RRT - Subgrupo - IGEO'!BC21</f>
        <v>24</v>
      </c>
      <c r="BU21" s="893">
        <f t="shared" si="35"/>
        <v>0.27906976744186046</v>
      </c>
      <c r="BV21" s="892">
        <f>'RRT - Subgrupo - IGEO'!BE21</f>
        <v>114</v>
      </c>
      <c r="BW21" s="895">
        <f t="shared" si="36"/>
        <v>0.80851063829787229</v>
      </c>
      <c r="BX21" s="892">
        <f>'RRT - Subgrupo - IGEO'!BF21</f>
        <v>27</v>
      </c>
      <c r="BY21" s="893">
        <f t="shared" si="37"/>
        <v>0.19148936170212766</v>
      </c>
      <c r="BZ21" s="892">
        <f>'RRT - Subgrupo - IGEO'!BH21</f>
        <v>32</v>
      </c>
      <c r="CA21" s="895">
        <f t="shared" si="38"/>
        <v>0.59259259259259256</v>
      </c>
      <c r="CB21" s="892">
        <f>'RRT - Subgrupo - IGEO'!BI21</f>
        <v>22</v>
      </c>
      <c r="CC21" s="893">
        <f t="shared" si="39"/>
        <v>0.40740740740740738</v>
      </c>
      <c r="CD21" s="892">
        <f>'RRT - Subgrupo - IGEO'!BK21</f>
        <v>73</v>
      </c>
      <c r="CE21" s="895">
        <f t="shared" si="40"/>
        <v>0.40555555555555556</v>
      </c>
      <c r="CF21" s="892">
        <f>'RRT - Subgrupo - IGEO'!BL21</f>
        <v>107</v>
      </c>
      <c r="CG21" s="893">
        <f t="shared" si="41"/>
        <v>0.59444444444444444</v>
      </c>
      <c r="CH21" s="896">
        <f>'RRT - Subgrupo - IGEO'!BN21</f>
        <v>113</v>
      </c>
      <c r="CI21" s="895">
        <f t="shared" si="42"/>
        <v>0.54066985645933019</v>
      </c>
      <c r="CJ21" s="896">
        <f>'RRT - Subgrupo - IGEO'!BO21</f>
        <v>96</v>
      </c>
      <c r="CK21" s="893">
        <f t="shared" si="43"/>
        <v>0.45933014354066987</v>
      </c>
      <c r="CL21" s="896">
        <f>'RRT - Subgrupo - IGEO'!BQ21</f>
        <v>24</v>
      </c>
      <c r="CM21" s="895">
        <f t="shared" si="44"/>
        <v>0.72727272727272729</v>
      </c>
      <c r="CN21" s="896">
        <f>'RRT - Subgrupo - IGEO'!BR21</f>
        <v>9</v>
      </c>
      <c r="CO21" s="893">
        <f t="shared" si="45"/>
        <v>0.27272727272727271</v>
      </c>
      <c r="CP21" s="896">
        <f>'RRT - Subgrupo - IGEO'!BT21</f>
        <v>98</v>
      </c>
      <c r="CQ21" s="895">
        <f t="shared" si="88"/>
        <v>0.54143646408839774</v>
      </c>
      <c r="CR21" s="896">
        <f>'RRT - Subgrupo - IGEO'!BU21</f>
        <v>83</v>
      </c>
      <c r="CS21" s="893">
        <f t="shared" si="89"/>
        <v>0.4585635359116022</v>
      </c>
      <c r="CT21" s="896">
        <f>'RRT - Subgrupo - IGEO'!BW21</f>
        <v>92</v>
      </c>
      <c r="CU21" s="895">
        <f t="shared" si="46"/>
        <v>0.3881856540084388</v>
      </c>
      <c r="CV21" s="896">
        <f>'RRT - Subgrupo - IGEO'!BX21</f>
        <v>145</v>
      </c>
      <c r="CW21" s="893">
        <f t="shared" si="47"/>
        <v>0.61181434599156115</v>
      </c>
      <c r="CX21" s="896">
        <f>'RRT - Subgrupo - IGEO'!BZ21</f>
        <v>101</v>
      </c>
      <c r="CY21" s="895">
        <f t="shared" si="48"/>
        <v>0.57062146892655363</v>
      </c>
      <c r="CZ21" s="896">
        <f>'RRT - Subgrupo - IGEO'!CA21</f>
        <v>76</v>
      </c>
      <c r="DA21" s="893">
        <f t="shared" si="49"/>
        <v>0.42937853107344631</v>
      </c>
      <c r="DB21" s="896">
        <f>'RRT - Subgrupo - IGEO'!CC21</f>
        <v>224</v>
      </c>
      <c r="DC21" s="895">
        <f t="shared" si="50"/>
        <v>0.58333333333333337</v>
      </c>
      <c r="DD21" s="896">
        <f>'RRT - Subgrupo - IGEO'!CD21</f>
        <v>160</v>
      </c>
      <c r="DE21" s="893">
        <f t="shared" si="51"/>
        <v>0.41666666666666669</v>
      </c>
      <c r="DF21" s="892">
        <f>'RRT - Subgrupo - IGEO'!CF21</f>
        <v>158</v>
      </c>
      <c r="DG21" s="895">
        <f t="shared" si="52"/>
        <v>0.72811059907834097</v>
      </c>
      <c r="DH21" s="892">
        <f>'RRT - Subgrupo - IGEO'!CG21</f>
        <v>59</v>
      </c>
      <c r="DI21" s="893">
        <f t="shared" si="53"/>
        <v>0.27188940092165897</v>
      </c>
      <c r="DJ21" s="892">
        <f>'RRT - Subgrupo - IGEO'!CI21</f>
        <v>59</v>
      </c>
      <c r="DK21" s="895">
        <f t="shared" si="54"/>
        <v>0.47967479674796748</v>
      </c>
      <c r="DL21" s="892">
        <f>'RRT - Subgrupo - IGEO'!CJ21</f>
        <v>64</v>
      </c>
      <c r="DM21" s="893">
        <f t="shared" si="55"/>
        <v>0.52032520325203258</v>
      </c>
      <c r="DN21" s="892">
        <f>'RRT - Subgrupo - IGEO'!CL21</f>
        <v>2</v>
      </c>
      <c r="DO21" s="895">
        <f t="shared" si="90"/>
        <v>0.66666666666666663</v>
      </c>
      <c r="DP21" s="892">
        <f>'RRT - Subgrupo - IGEO'!CM21</f>
        <v>1</v>
      </c>
      <c r="DQ21" s="893">
        <f t="shared" si="91"/>
        <v>0.33333333333333331</v>
      </c>
      <c r="DR21" s="892">
        <f>'RRT - Subgrupo - IGEO'!CO21</f>
        <v>20</v>
      </c>
      <c r="DS21" s="895">
        <f t="shared" si="56"/>
        <v>0.51282051282051277</v>
      </c>
      <c r="DT21" s="892">
        <f>'RRT - Subgrupo - IGEO'!CP21</f>
        <v>19</v>
      </c>
      <c r="DU21" s="893">
        <f t="shared" si="57"/>
        <v>0.48717948717948717</v>
      </c>
      <c r="DV21" s="892">
        <f>'RRT - Subgrupo - IGEO'!CR21</f>
        <v>57</v>
      </c>
      <c r="DW21" s="895">
        <f t="shared" si="58"/>
        <v>0.47899159663865548</v>
      </c>
      <c r="DX21" s="892">
        <f>'RRT - Subgrupo - IGEO'!CS21</f>
        <v>62</v>
      </c>
      <c r="DY21" s="893">
        <f t="shared" si="59"/>
        <v>0.52100840336134457</v>
      </c>
      <c r="DZ21" s="892">
        <f>'RRT - Subgrupo - IGEO'!CU21</f>
        <v>82</v>
      </c>
      <c r="EA21" s="895">
        <f t="shared" si="60"/>
        <v>0.52564102564102566</v>
      </c>
      <c r="EB21" s="892">
        <f>'RRT - Subgrupo - IGEO'!CV21</f>
        <v>74</v>
      </c>
      <c r="EC21" s="893">
        <f t="shared" si="61"/>
        <v>0.47435897435897434</v>
      </c>
      <c r="ED21" s="892">
        <f>'RRT - Subgrupo - IGEO'!CX21</f>
        <v>73</v>
      </c>
      <c r="EE21" s="895">
        <f t="shared" si="62"/>
        <v>0.56589147286821706</v>
      </c>
      <c r="EF21" s="892">
        <f>'RRT - Subgrupo - IGEO'!CY21</f>
        <v>56</v>
      </c>
      <c r="EG21" s="893">
        <f t="shared" si="63"/>
        <v>0.43410852713178294</v>
      </c>
      <c r="EH21" s="892">
        <f>'RRT - Subgrupo - IGEO'!DA21</f>
        <v>742</v>
      </c>
      <c r="EI21" s="895">
        <f t="shared" si="64"/>
        <v>0.59838709677419355</v>
      </c>
      <c r="EJ21" s="892">
        <f>'RRT - Subgrupo - IGEO'!DB21</f>
        <v>498</v>
      </c>
      <c r="EK21" s="893">
        <f t="shared" si="65"/>
        <v>0.40161290322580645</v>
      </c>
      <c r="EL21" s="897">
        <f>'RRT - Subgrupo - IGEO'!DD21</f>
        <v>51</v>
      </c>
      <c r="EM21" s="895">
        <f t="shared" si="66"/>
        <v>0.76119402985074625</v>
      </c>
      <c r="EN21" s="897">
        <f>'RRT - Subgrupo - IGEO'!DE21</f>
        <v>16</v>
      </c>
      <c r="EO21" s="893">
        <f t="shared" si="67"/>
        <v>0.23880597014925373</v>
      </c>
      <c r="EP21" s="897">
        <f>'RRT - Subgrupo - IGEO'!DG21</f>
        <v>558</v>
      </c>
      <c r="EQ21" s="895">
        <f t="shared" si="68"/>
        <v>0.5723076923076923</v>
      </c>
      <c r="ER21" s="897">
        <f>'RRT - Subgrupo - IGEO'!DH21</f>
        <v>417</v>
      </c>
      <c r="ES21" s="893">
        <f t="shared" si="69"/>
        <v>0.4276923076923077</v>
      </c>
      <c r="ET21" s="897">
        <f>'RRT - Subgrupo - IGEO'!DJ21</f>
        <v>1249</v>
      </c>
      <c r="EU21" s="895">
        <f t="shared" si="70"/>
        <v>0.66224814422057265</v>
      </c>
      <c r="EV21" s="897">
        <f>'RRT - Subgrupo - IGEO'!DK21</f>
        <v>637</v>
      </c>
      <c r="EW21" s="893">
        <f t="shared" si="71"/>
        <v>0.33775185577942735</v>
      </c>
      <c r="EX21" s="897">
        <f>'RRT - Subgrupo - IGEO'!DM21</f>
        <v>232</v>
      </c>
      <c r="EY21" s="895">
        <f t="shared" si="72"/>
        <v>0.64088397790055252</v>
      </c>
      <c r="EZ21" s="897">
        <f>'RRT - Subgrupo - IGEO'!DN21</f>
        <v>130</v>
      </c>
      <c r="FA21" s="893">
        <f t="shared" si="73"/>
        <v>0.35911602209944754</v>
      </c>
      <c r="FB21" s="897">
        <f>'RRT - Subgrupo - IGEO'!DP21</f>
        <v>0</v>
      </c>
      <c r="FC21" s="895">
        <f t="shared" si="104"/>
        <v>0</v>
      </c>
      <c r="FD21" s="897">
        <f>'RRT - Subgrupo - IGEO'!DQ21</f>
        <v>2</v>
      </c>
      <c r="FE21" s="893">
        <f t="shared" si="105"/>
        <v>1</v>
      </c>
      <c r="FF21" s="897">
        <f>'RRT - Subgrupo - IGEO'!DS21</f>
        <v>1</v>
      </c>
      <c r="FG21" s="895">
        <f t="shared" si="100"/>
        <v>1</v>
      </c>
      <c r="FH21" s="897">
        <f>'RRT - Subgrupo - IGEO'!DT21</f>
        <v>0</v>
      </c>
      <c r="FI21" s="893">
        <f t="shared" si="101"/>
        <v>0</v>
      </c>
      <c r="FJ21" s="897">
        <f>'RRT - Subgrupo - IGEO'!DV21</f>
        <v>80</v>
      </c>
      <c r="FK21" s="895">
        <f t="shared" si="74"/>
        <v>0.56338028169014087</v>
      </c>
      <c r="FL21" s="897">
        <f>'RRT - Subgrupo - IGEO'!DW21</f>
        <v>62</v>
      </c>
      <c r="FM21" s="893">
        <f t="shared" si="75"/>
        <v>0.43661971830985913</v>
      </c>
      <c r="FN21" s="897">
        <f>'RRT - Subgrupo - IGEO'!DY21</f>
        <v>2</v>
      </c>
      <c r="FO21" s="895">
        <f t="shared" si="76"/>
        <v>0.5</v>
      </c>
      <c r="FP21" s="897">
        <f>'RRT - Subgrupo - IGEO'!DZ21</f>
        <v>2</v>
      </c>
      <c r="FQ21" s="893">
        <f t="shared" si="77"/>
        <v>0.5</v>
      </c>
      <c r="FR21" s="892">
        <f>'RRT - Subgrupo - IGEO'!EB21</f>
        <v>0</v>
      </c>
      <c r="FS21" s="895">
        <f t="shared" si="78"/>
        <v>0</v>
      </c>
      <c r="FT21" s="892">
        <f>'RRT - Subgrupo - IGEO'!DZ21</f>
        <v>2</v>
      </c>
      <c r="FU21" s="893">
        <f t="shared" si="79"/>
        <v>1</v>
      </c>
      <c r="FV21" s="892">
        <f>'RRT - Subgrupo - IGEO'!EE21</f>
        <v>2</v>
      </c>
      <c r="FW21" s="895">
        <f t="shared" si="102"/>
        <v>1</v>
      </c>
      <c r="FX21" s="892">
        <f>'RRT - Subgrupo - IGEO'!EF21</f>
        <v>0</v>
      </c>
      <c r="FY21" s="893">
        <f t="shared" si="103"/>
        <v>0</v>
      </c>
      <c r="FZ21" s="892">
        <f>'RRT - Subgrupo - IGEO'!EH21</f>
        <v>25</v>
      </c>
      <c r="GA21" s="895">
        <f t="shared" si="80"/>
        <v>0.67567567567567566</v>
      </c>
      <c r="GB21" s="892">
        <f>'RRT - Subgrupo - IGEO'!EI21</f>
        <v>12</v>
      </c>
      <c r="GC21" s="893">
        <f t="shared" si="81"/>
        <v>0.32432432432432434</v>
      </c>
      <c r="GD21" s="892">
        <f>'RRT - Subgrupo - IGEO'!EK21</f>
        <v>45</v>
      </c>
      <c r="GE21" s="895">
        <f t="shared" si="82"/>
        <v>0.6428571428571429</v>
      </c>
      <c r="GF21" s="892">
        <f>'RRT - Subgrupo - IGEO'!EL21</f>
        <v>25</v>
      </c>
      <c r="GG21" s="893">
        <f t="shared" si="83"/>
        <v>0.35714285714285715</v>
      </c>
      <c r="GH21" s="892">
        <f>'RRT - Subgrupo - IGEO'!EN21</f>
        <v>9</v>
      </c>
      <c r="GI21" s="895">
        <f t="shared" si="92"/>
        <v>0.5625</v>
      </c>
      <c r="GJ21" s="892">
        <f>'RRT - Subgrupo - IGEO'!EO21</f>
        <v>7</v>
      </c>
      <c r="GK21" s="893">
        <f t="shared" si="93"/>
        <v>0.4375</v>
      </c>
      <c r="GL21" s="892">
        <f>'RRT - Subgrupo - IGEO'!EO21</f>
        <v>7</v>
      </c>
      <c r="GM21" s="895">
        <f t="shared" si="96"/>
        <v>0.36842105263157893</v>
      </c>
      <c r="GN21" s="892">
        <f>'RRT - Subgrupo - IGEO'!EP21</f>
        <v>12</v>
      </c>
      <c r="GO21" s="893">
        <f t="shared" si="97"/>
        <v>0.63157894736842102</v>
      </c>
      <c r="GP21" s="892">
        <f>'RRT - Subgrupo - IGEO'!EQ21</f>
        <v>12</v>
      </c>
      <c r="GQ21" s="895">
        <f t="shared" si="98"/>
        <v>1</v>
      </c>
      <c r="GR21" s="892">
        <f>'RRT - Subgrupo - IGEO'!ER21</f>
        <v>0</v>
      </c>
      <c r="GS21" s="893">
        <f t="shared" si="99"/>
        <v>0</v>
      </c>
      <c r="GT21" s="892">
        <f>'RRT - Subgrupo - IGEO'!EW21</f>
        <v>3</v>
      </c>
      <c r="GU21" s="895">
        <f t="shared" si="94"/>
        <v>0.42857142857142855</v>
      </c>
      <c r="GV21" s="892">
        <f>'RRT - Subgrupo - IGEO'!EX21</f>
        <v>4</v>
      </c>
      <c r="GW21" s="893">
        <f t="shared" si="95"/>
        <v>0.5714285714285714</v>
      </c>
      <c r="GX21" s="892">
        <f>'RRT - Subgrupo - IGEO'!EZ21</f>
        <v>12</v>
      </c>
      <c r="GY21" s="895">
        <f t="shared" si="84"/>
        <v>0.54545454545454541</v>
      </c>
      <c r="GZ21" s="892">
        <f>'RRT - Subgrupo - IGEO'!FA21</f>
        <v>10</v>
      </c>
      <c r="HA21" s="893">
        <f t="shared" si="85"/>
        <v>0.45454545454545453</v>
      </c>
      <c r="HB21" s="892">
        <f>'RRT - Subgrupo - IGEO'!FC21</f>
        <v>283</v>
      </c>
      <c r="HC21" s="895">
        <f t="shared" si="86"/>
        <v>0.77534246575342469</v>
      </c>
      <c r="HD21" s="892">
        <f>'RRT - Subgrupo - IGEO'!FD21</f>
        <v>82</v>
      </c>
      <c r="HE21" s="893">
        <f t="shared" si="87"/>
        <v>0.22465753424657534</v>
      </c>
    </row>
    <row r="22" spans="1:213" s="876" customFormat="1" ht="18.75">
      <c r="A22" s="891" t="s">
        <v>106</v>
      </c>
      <c r="B22" s="892">
        <f>'RRT - Subgrupo - IGEO'!C22</f>
        <v>1652</v>
      </c>
      <c r="C22" s="893">
        <f t="shared" si="0"/>
        <v>0.37648131267092072</v>
      </c>
      <c r="D22" s="892">
        <f>'RRT - Subgrupo - IGEO'!D22</f>
        <v>2736</v>
      </c>
      <c r="E22" s="893">
        <f t="shared" si="1"/>
        <v>0.62351868732907934</v>
      </c>
      <c r="F22" s="894">
        <f>'RRT - Subgrupo - IGEO'!F22</f>
        <v>239</v>
      </c>
      <c r="G22" s="893">
        <f t="shared" si="2"/>
        <v>0.5252747252747253</v>
      </c>
      <c r="H22" s="892">
        <f>'RRT - Subgrupo - IGEO'!G22</f>
        <v>216</v>
      </c>
      <c r="I22" s="893">
        <f t="shared" si="3"/>
        <v>0.4747252747252747</v>
      </c>
      <c r="J22" s="892">
        <f>'RRT - Subgrupo - IGEO'!I22</f>
        <v>23</v>
      </c>
      <c r="K22" s="895">
        <f t="shared" si="4"/>
        <v>0.46938775510204084</v>
      </c>
      <c r="L22" s="892">
        <f>'RRT - Subgrupo - IGEO'!J22</f>
        <v>26</v>
      </c>
      <c r="M22" s="893">
        <f t="shared" si="5"/>
        <v>0.53061224489795922</v>
      </c>
      <c r="N22" s="896">
        <f>'RRT - Subgrupo - IGEO'!L22</f>
        <v>134</v>
      </c>
      <c r="O22" s="895">
        <f t="shared" si="6"/>
        <v>0.21967213114754097</v>
      </c>
      <c r="P22" s="892">
        <f>'RRT - Subgrupo - IGEO'!P22</f>
        <v>476</v>
      </c>
      <c r="Q22" s="893">
        <f t="shared" si="7"/>
        <v>0.78032786885245897</v>
      </c>
      <c r="R22" s="892">
        <f>'RRT - Subgrupo - IGEO'!O22</f>
        <v>535</v>
      </c>
      <c r="S22" s="895">
        <f t="shared" si="8"/>
        <v>0.52917903066271021</v>
      </c>
      <c r="T22" s="892">
        <f>'RRT - Subgrupo - IGEO'!P22</f>
        <v>476</v>
      </c>
      <c r="U22" s="893">
        <f t="shared" si="9"/>
        <v>0.47082096933728979</v>
      </c>
      <c r="V22" s="892">
        <f>'RRT - Subgrupo - IGEO'!R22</f>
        <v>32</v>
      </c>
      <c r="W22" s="895">
        <f t="shared" si="10"/>
        <v>0.5161290322580645</v>
      </c>
      <c r="X22" s="896">
        <f>'RRT - Subgrupo - IGEO'!S22</f>
        <v>30</v>
      </c>
      <c r="Y22" s="893">
        <f t="shared" si="11"/>
        <v>0.4838709677419355</v>
      </c>
      <c r="Z22" s="892">
        <f>'RRT - Subgrupo - IGEO'!U22</f>
        <v>133</v>
      </c>
      <c r="AA22" s="895">
        <f t="shared" si="12"/>
        <v>0.48014440433212996</v>
      </c>
      <c r="AB22" s="892">
        <f>'RRT - Subgrupo - IGEO'!V22</f>
        <v>144</v>
      </c>
      <c r="AC22" s="893">
        <f t="shared" si="13"/>
        <v>0.51985559566786999</v>
      </c>
      <c r="AD22" s="892">
        <f>'RRT - Subgrupo - IGEO'!X22</f>
        <v>207</v>
      </c>
      <c r="AE22" s="895">
        <f t="shared" si="14"/>
        <v>0.5390625</v>
      </c>
      <c r="AF22" s="892">
        <f>'RRT - Subgrupo - IGEO'!Y22</f>
        <v>177</v>
      </c>
      <c r="AG22" s="893">
        <f t="shared" si="15"/>
        <v>0.4609375</v>
      </c>
      <c r="AH22" s="892">
        <f>'RRT - Subgrupo - IGEO'!AA22</f>
        <v>44</v>
      </c>
      <c r="AI22" s="895">
        <f t="shared" si="16"/>
        <v>0.72131147540983609</v>
      </c>
      <c r="AJ22" s="892">
        <f>'RRT - Subgrupo - IGEO'!AB22</f>
        <v>17</v>
      </c>
      <c r="AK22" s="893">
        <f t="shared" si="17"/>
        <v>0.27868852459016391</v>
      </c>
      <c r="AL22" s="892">
        <f>'RRT - Subgrupo - IGEO'!AD22</f>
        <v>57</v>
      </c>
      <c r="AM22" s="895">
        <f t="shared" si="18"/>
        <v>0.44881889763779526</v>
      </c>
      <c r="AN22" s="892">
        <f>'RRT - Subgrupo - IGEO'!AE22</f>
        <v>70</v>
      </c>
      <c r="AO22" s="893">
        <f t="shared" si="19"/>
        <v>0.55118110236220474</v>
      </c>
      <c r="AP22" s="896">
        <f>'RRT - Subgrupo - IGEO'!AG22</f>
        <v>2</v>
      </c>
      <c r="AQ22" s="895">
        <f t="shared" si="20"/>
        <v>0.5</v>
      </c>
      <c r="AR22" s="892">
        <f>'RRT - Subgrupo - IGEO'!AH22</f>
        <v>2</v>
      </c>
      <c r="AS22" s="893">
        <f t="shared" si="21"/>
        <v>0.5</v>
      </c>
      <c r="AT22" s="892">
        <f>'RRT - Subgrupo - IGEO'!AJ22</f>
        <v>578</v>
      </c>
      <c r="AU22" s="895">
        <f t="shared" si="22"/>
        <v>0.44633204633204632</v>
      </c>
      <c r="AV22" s="892">
        <f>'RRT - Subgrupo - IGEO'!AK22</f>
        <v>717</v>
      </c>
      <c r="AW22" s="893">
        <f t="shared" si="23"/>
        <v>0.55366795366795363</v>
      </c>
      <c r="AX22" s="892">
        <f>'RRT - Subgrupo - IGEO'!AM22</f>
        <v>227</v>
      </c>
      <c r="AY22" s="895">
        <f t="shared" si="24"/>
        <v>0.45039682539682541</v>
      </c>
      <c r="AZ22" s="892">
        <f>'RRT - Subgrupo - IGEO'!AN22</f>
        <v>277</v>
      </c>
      <c r="BA22" s="893">
        <f t="shared" si="25"/>
        <v>0.54960317460317465</v>
      </c>
      <c r="BB22" s="892">
        <f>'RRT - Subgrupo - IGEO'!AP22</f>
        <v>13</v>
      </c>
      <c r="BC22" s="895">
        <f t="shared" si="26"/>
        <v>0.28260869565217389</v>
      </c>
      <c r="BD22" s="892">
        <f>'RRT - Subgrupo - IGEO'!AQ22</f>
        <v>33</v>
      </c>
      <c r="BE22" s="893">
        <f t="shared" si="27"/>
        <v>0.71739130434782605</v>
      </c>
      <c r="BF22" s="892">
        <f>'RRT - Subgrupo - IGEO'!AS22</f>
        <v>35</v>
      </c>
      <c r="BG22" s="895">
        <f t="shared" si="28"/>
        <v>0.29661016949152541</v>
      </c>
      <c r="BH22" s="892">
        <f>'RRT - Subgrupo - IGEO'!AT22</f>
        <v>83</v>
      </c>
      <c r="BI22" s="893">
        <f t="shared" si="29"/>
        <v>0.70338983050847459</v>
      </c>
      <c r="BJ22" s="892">
        <f>'RRT - Subgrupo - IGEO'!AV22</f>
        <v>501</v>
      </c>
      <c r="BK22" s="895">
        <f t="shared" si="30"/>
        <v>0.51543209876543206</v>
      </c>
      <c r="BL22" s="892">
        <f>'RRT - Subgrupo - IGEO'!AW22</f>
        <v>471</v>
      </c>
      <c r="BM22" s="893">
        <f t="shared" si="31"/>
        <v>0.48456790123456789</v>
      </c>
      <c r="BN22" s="892">
        <f>'RRT - Subgrupo - IGEO'!AY22</f>
        <v>2</v>
      </c>
      <c r="BO22" s="895">
        <f t="shared" si="32"/>
        <v>0.2857142857142857</v>
      </c>
      <c r="BP22" s="892">
        <f>'RRT - Subgrupo - IGEO'!AZ22</f>
        <v>5</v>
      </c>
      <c r="BQ22" s="893">
        <f t="shared" si="33"/>
        <v>0.7142857142857143</v>
      </c>
      <c r="BR22" s="892">
        <f>'RRT - Subgrupo - IGEO'!BB22</f>
        <v>4</v>
      </c>
      <c r="BS22" s="895">
        <f t="shared" si="34"/>
        <v>0.36363636363636365</v>
      </c>
      <c r="BT22" s="892">
        <f>'RRT - Subgrupo - IGEO'!BC22</f>
        <v>7</v>
      </c>
      <c r="BU22" s="893">
        <f t="shared" si="35"/>
        <v>0.63636363636363635</v>
      </c>
      <c r="BV22" s="892">
        <f>'RRT - Subgrupo - IGEO'!BE22</f>
        <v>0</v>
      </c>
      <c r="BW22" s="895">
        <f t="shared" si="36"/>
        <v>0</v>
      </c>
      <c r="BX22" s="892">
        <f>'RRT - Subgrupo - IGEO'!BF22</f>
        <v>10</v>
      </c>
      <c r="BY22" s="893">
        <f t="shared" si="37"/>
        <v>1</v>
      </c>
      <c r="BZ22" s="892"/>
      <c r="CA22" s="895"/>
      <c r="CB22" s="892"/>
      <c r="CC22" s="893"/>
      <c r="CD22" s="892">
        <f>'RRT - Subgrupo - IGEO'!BK22</f>
        <v>10</v>
      </c>
      <c r="CE22" s="895">
        <f t="shared" si="40"/>
        <v>0.55555555555555558</v>
      </c>
      <c r="CF22" s="892">
        <f>'RRT - Subgrupo - IGEO'!BL22</f>
        <v>8</v>
      </c>
      <c r="CG22" s="893">
        <f t="shared" si="41"/>
        <v>0.44444444444444442</v>
      </c>
      <c r="CH22" s="896">
        <f>'RRT - Subgrupo - IGEO'!BN22</f>
        <v>18</v>
      </c>
      <c r="CI22" s="895">
        <f t="shared" si="42"/>
        <v>1</v>
      </c>
      <c r="CJ22" s="896">
        <f>'RRT - Subgrupo - IGEO'!BO22</f>
        <v>0</v>
      </c>
      <c r="CK22" s="893">
        <f t="shared" si="43"/>
        <v>0</v>
      </c>
      <c r="CL22" s="896"/>
      <c r="CM22" s="895"/>
      <c r="CN22" s="896"/>
      <c r="CO22" s="893"/>
      <c r="CP22" s="896">
        <f>'RRT - Subgrupo - IGEO'!BT22</f>
        <v>2</v>
      </c>
      <c r="CQ22" s="895">
        <f t="shared" si="88"/>
        <v>0.2</v>
      </c>
      <c r="CR22" s="896">
        <f>'RRT - Subgrupo - IGEO'!BU22</f>
        <v>8</v>
      </c>
      <c r="CS22" s="893">
        <f t="shared" si="89"/>
        <v>0.8</v>
      </c>
      <c r="CT22" s="896">
        <f>'RRT - Subgrupo - IGEO'!BW22</f>
        <v>2</v>
      </c>
      <c r="CU22" s="895">
        <f t="shared" si="46"/>
        <v>0.2857142857142857</v>
      </c>
      <c r="CV22" s="896">
        <f>'RRT - Subgrupo - IGEO'!BX22</f>
        <v>5</v>
      </c>
      <c r="CW22" s="893">
        <f t="shared" si="47"/>
        <v>0.7142857142857143</v>
      </c>
      <c r="CX22" s="896">
        <f>'RRT - Subgrupo - IGEO'!BZ22</f>
        <v>15</v>
      </c>
      <c r="CY22" s="895">
        <f t="shared" si="48"/>
        <v>0.68181818181818177</v>
      </c>
      <c r="CZ22" s="896">
        <f>'RRT - Subgrupo - IGEO'!CA22</f>
        <v>7</v>
      </c>
      <c r="DA22" s="893">
        <f t="shared" si="49"/>
        <v>0.31818181818181818</v>
      </c>
      <c r="DB22" s="896">
        <f>'RRT - Subgrupo - IGEO'!CC22</f>
        <v>34</v>
      </c>
      <c r="DC22" s="895">
        <f t="shared" si="50"/>
        <v>0.34693877551020408</v>
      </c>
      <c r="DD22" s="896">
        <f>'RRT - Subgrupo - IGEO'!CD22</f>
        <v>64</v>
      </c>
      <c r="DE22" s="893">
        <f t="shared" si="51"/>
        <v>0.65306122448979587</v>
      </c>
      <c r="DF22" s="892">
        <f>'RRT - Subgrupo - IGEO'!CF22</f>
        <v>30</v>
      </c>
      <c r="DG22" s="895">
        <f t="shared" si="52"/>
        <v>0.43478260869565216</v>
      </c>
      <c r="DH22" s="892">
        <f>'RRT - Subgrupo - IGEO'!CG22</f>
        <v>39</v>
      </c>
      <c r="DI22" s="893">
        <f t="shared" si="53"/>
        <v>0.56521739130434778</v>
      </c>
      <c r="DJ22" s="892">
        <f>'RRT - Subgrupo - IGEO'!CI22</f>
        <v>62</v>
      </c>
      <c r="DK22" s="895">
        <f t="shared" si="54"/>
        <v>0.41610738255033558</v>
      </c>
      <c r="DL22" s="892">
        <f>'RRT - Subgrupo - IGEO'!CJ22</f>
        <v>87</v>
      </c>
      <c r="DM22" s="893">
        <f t="shared" si="55"/>
        <v>0.58389261744966447</v>
      </c>
      <c r="DN22" s="892">
        <f>'RRT - Subgrupo - IGEO'!CL22</f>
        <v>0</v>
      </c>
      <c r="DO22" s="895">
        <f t="shared" si="90"/>
        <v>0</v>
      </c>
      <c r="DP22" s="892">
        <f>'RRT - Subgrupo - IGEO'!CM22</f>
        <v>2</v>
      </c>
      <c r="DQ22" s="893">
        <f t="shared" si="91"/>
        <v>1</v>
      </c>
      <c r="DR22" s="892">
        <f>'RRT - Subgrupo - IGEO'!CO22</f>
        <v>3</v>
      </c>
      <c r="DS22" s="895">
        <f t="shared" si="56"/>
        <v>0.25</v>
      </c>
      <c r="DT22" s="892">
        <f>'RRT - Subgrupo - IGEO'!CP22</f>
        <v>9</v>
      </c>
      <c r="DU22" s="893">
        <f t="shared" si="57"/>
        <v>0.75</v>
      </c>
      <c r="DV22" s="892">
        <f>'RRT - Subgrupo - IGEO'!CR22</f>
        <v>3</v>
      </c>
      <c r="DW22" s="895">
        <f t="shared" si="58"/>
        <v>0.125</v>
      </c>
      <c r="DX22" s="892">
        <f>'RRT - Subgrupo - IGEO'!CS22</f>
        <v>21</v>
      </c>
      <c r="DY22" s="893">
        <f t="shared" si="59"/>
        <v>0.875</v>
      </c>
      <c r="DZ22" s="892">
        <f>'RRT - Subgrupo - IGEO'!CU22</f>
        <v>3</v>
      </c>
      <c r="EA22" s="895">
        <f t="shared" si="60"/>
        <v>0.21428571428571427</v>
      </c>
      <c r="EB22" s="892">
        <f>'RRT - Subgrupo - IGEO'!CV22</f>
        <v>11</v>
      </c>
      <c r="EC22" s="893">
        <f t="shared" si="61"/>
        <v>0.7857142857142857</v>
      </c>
      <c r="ED22" s="892">
        <f>'RRT - Subgrupo - IGEO'!CX22</f>
        <v>14</v>
      </c>
      <c r="EE22" s="895">
        <f t="shared" si="62"/>
        <v>0.51851851851851849</v>
      </c>
      <c r="EF22" s="892">
        <f>'RRT - Subgrupo - IGEO'!CY22</f>
        <v>13</v>
      </c>
      <c r="EG22" s="893">
        <f t="shared" si="63"/>
        <v>0.48148148148148145</v>
      </c>
      <c r="EH22" s="892">
        <f>'RRT - Subgrupo - IGEO'!DA22</f>
        <v>104</v>
      </c>
      <c r="EI22" s="895">
        <f t="shared" si="64"/>
        <v>0.40784313725490196</v>
      </c>
      <c r="EJ22" s="892">
        <f>'RRT - Subgrupo - IGEO'!DB22</f>
        <v>151</v>
      </c>
      <c r="EK22" s="893">
        <f t="shared" si="65"/>
        <v>0.59215686274509804</v>
      </c>
      <c r="EL22" s="897">
        <f>'RRT - Subgrupo - IGEO'!DD22</f>
        <v>0</v>
      </c>
      <c r="EM22" s="895">
        <f t="shared" si="66"/>
        <v>0</v>
      </c>
      <c r="EN22" s="897">
        <f>'RRT - Subgrupo - IGEO'!DE22</f>
        <v>1</v>
      </c>
      <c r="EO22" s="893">
        <f t="shared" si="67"/>
        <v>1</v>
      </c>
      <c r="EP22" s="897">
        <f>'RRT - Subgrupo - IGEO'!DG22</f>
        <v>56</v>
      </c>
      <c r="EQ22" s="895">
        <f t="shared" si="68"/>
        <v>0.34146341463414637</v>
      </c>
      <c r="ER22" s="897">
        <f>'RRT - Subgrupo - IGEO'!DH22</f>
        <v>108</v>
      </c>
      <c r="ES22" s="893">
        <f t="shared" si="69"/>
        <v>0.65853658536585369</v>
      </c>
      <c r="ET22" s="897">
        <f>'RRT - Subgrupo - IGEO'!DJ22</f>
        <v>84</v>
      </c>
      <c r="EU22" s="895">
        <f t="shared" si="70"/>
        <v>0.34710743801652894</v>
      </c>
      <c r="EV22" s="897">
        <f>'RRT - Subgrupo - IGEO'!DK22</f>
        <v>158</v>
      </c>
      <c r="EW22" s="893">
        <f t="shared" si="71"/>
        <v>0.65289256198347112</v>
      </c>
      <c r="EX22" s="897">
        <f>'RRT - Subgrupo - IGEO'!DM22</f>
        <v>12</v>
      </c>
      <c r="EY22" s="895">
        <f t="shared" si="72"/>
        <v>0.46153846153846156</v>
      </c>
      <c r="EZ22" s="897">
        <f>'RRT - Subgrupo - IGEO'!DN22</f>
        <v>14</v>
      </c>
      <c r="FA22" s="893">
        <f t="shared" si="73"/>
        <v>0.53846153846153844</v>
      </c>
      <c r="FB22" s="897"/>
      <c r="FC22" s="895"/>
      <c r="FD22" s="897"/>
      <c r="FE22" s="893"/>
      <c r="FF22" s="897"/>
      <c r="FG22" s="895"/>
      <c r="FH22" s="897"/>
      <c r="FI22" s="893"/>
      <c r="FJ22" s="897">
        <f>'RRT - Subgrupo - IGEO'!DV22</f>
        <v>7</v>
      </c>
      <c r="FK22" s="895">
        <f t="shared" si="74"/>
        <v>0.3888888888888889</v>
      </c>
      <c r="FL22" s="897">
        <f>'RRT - Subgrupo - IGEO'!DW22</f>
        <v>11</v>
      </c>
      <c r="FM22" s="893">
        <f t="shared" si="75"/>
        <v>0.61111111111111116</v>
      </c>
      <c r="FN22" s="897">
        <f>'RRT - Subgrupo - IGEO'!DY22</f>
        <v>0</v>
      </c>
      <c r="FO22" s="895">
        <f t="shared" si="76"/>
        <v>0</v>
      </c>
      <c r="FP22" s="897">
        <f>'RRT - Subgrupo - IGEO'!DZ22</f>
        <v>1</v>
      </c>
      <c r="FQ22" s="893">
        <f t="shared" si="77"/>
        <v>1</v>
      </c>
      <c r="FR22" s="892">
        <f>'RRT - Subgrupo - IGEO'!EB22</f>
        <v>0</v>
      </c>
      <c r="FS22" s="895">
        <f t="shared" si="78"/>
        <v>0</v>
      </c>
      <c r="FT22" s="892">
        <f>'RRT - Subgrupo - IGEO'!DZ22</f>
        <v>1</v>
      </c>
      <c r="FU22" s="893">
        <f t="shared" si="79"/>
        <v>1</v>
      </c>
      <c r="FV22" s="892"/>
      <c r="FW22" s="895"/>
      <c r="FX22" s="892"/>
      <c r="FY22" s="893"/>
      <c r="FZ22" s="892"/>
      <c r="GA22" s="895"/>
      <c r="GB22" s="892"/>
      <c r="GC22" s="893"/>
      <c r="GD22" s="892">
        <f>'RRT - Subgrupo - IGEO'!EK22</f>
        <v>1</v>
      </c>
      <c r="GE22" s="895">
        <f t="shared" si="82"/>
        <v>1</v>
      </c>
      <c r="GF22" s="892">
        <f>'RRT - Subgrupo - IGEO'!EL22</f>
        <v>0</v>
      </c>
      <c r="GG22" s="893">
        <f t="shared" si="83"/>
        <v>0</v>
      </c>
      <c r="GH22" s="892"/>
      <c r="GI22" s="895"/>
      <c r="GJ22" s="892"/>
      <c r="GK22" s="893"/>
      <c r="GL22" s="892"/>
      <c r="GM22" s="895"/>
      <c r="GN22" s="892"/>
      <c r="GO22" s="893"/>
      <c r="GP22" s="892"/>
      <c r="GQ22" s="895"/>
      <c r="GR22" s="892"/>
      <c r="GS22" s="893"/>
      <c r="GT22" s="892"/>
      <c r="GU22" s="895"/>
      <c r="GV22" s="892"/>
      <c r="GW22" s="893"/>
      <c r="GX22" s="892">
        <f>'RRT - Subgrupo - IGEO'!EZ22</f>
        <v>1</v>
      </c>
      <c r="GY22" s="895">
        <f t="shared" si="84"/>
        <v>0.5</v>
      </c>
      <c r="GZ22" s="892">
        <f>'RRT - Subgrupo - IGEO'!FA22</f>
        <v>1</v>
      </c>
      <c r="HA22" s="893">
        <f t="shared" si="85"/>
        <v>0.5</v>
      </c>
      <c r="HB22" s="892">
        <f>'RRT - Subgrupo - IGEO'!FC22</f>
        <v>1</v>
      </c>
      <c r="HC22" s="895">
        <f t="shared" si="86"/>
        <v>0.16666666666666666</v>
      </c>
      <c r="HD22" s="892">
        <f>'RRT - Subgrupo - IGEO'!FD22</f>
        <v>5</v>
      </c>
      <c r="HE22" s="893">
        <f t="shared" si="87"/>
        <v>0.83333333333333337</v>
      </c>
    </row>
    <row r="23" spans="1:213" s="876" customFormat="1" ht="18.75">
      <c r="A23" s="891" t="s">
        <v>108</v>
      </c>
      <c r="B23" s="892">
        <f>'RRT - Subgrupo - IGEO'!C23</f>
        <v>2597</v>
      </c>
      <c r="C23" s="893">
        <f t="shared" si="0"/>
        <v>0.59089874857792946</v>
      </c>
      <c r="D23" s="892">
        <f>'RRT - Subgrupo - IGEO'!D23</f>
        <v>1798</v>
      </c>
      <c r="E23" s="893">
        <f t="shared" si="1"/>
        <v>0.40910125142207054</v>
      </c>
      <c r="F23" s="894">
        <f>'RRT - Subgrupo - IGEO'!F23</f>
        <v>1142</v>
      </c>
      <c r="G23" s="893">
        <f t="shared" si="2"/>
        <v>0.61298980139559844</v>
      </c>
      <c r="H23" s="892">
        <f>'RRT - Subgrupo - IGEO'!G23</f>
        <v>721</v>
      </c>
      <c r="I23" s="893">
        <f t="shared" si="3"/>
        <v>0.3870101986044015</v>
      </c>
      <c r="J23" s="892">
        <f>'RRT - Subgrupo - IGEO'!I23</f>
        <v>48</v>
      </c>
      <c r="K23" s="895">
        <f t="shared" si="4"/>
        <v>0.5714285714285714</v>
      </c>
      <c r="L23" s="892">
        <f>'RRT - Subgrupo - IGEO'!J23</f>
        <v>36</v>
      </c>
      <c r="M23" s="893">
        <f t="shared" si="5"/>
        <v>0.42857142857142855</v>
      </c>
      <c r="N23" s="896">
        <f>'RRT - Subgrupo - IGEO'!L23</f>
        <v>87</v>
      </c>
      <c r="O23" s="895">
        <f t="shared" si="6"/>
        <v>8.562992125984252E-2</v>
      </c>
      <c r="P23" s="892">
        <f>'RRT - Subgrupo - IGEO'!P23</f>
        <v>929</v>
      </c>
      <c r="Q23" s="893">
        <f t="shared" si="7"/>
        <v>0.91437007874015752</v>
      </c>
      <c r="R23" s="892">
        <f>'RRT - Subgrupo - IGEO'!O23</f>
        <v>1728</v>
      </c>
      <c r="S23" s="895">
        <f t="shared" si="8"/>
        <v>0.65035754610462926</v>
      </c>
      <c r="T23" s="892">
        <f>'RRT - Subgrupo - IGEO'!P23</f>
        <v>929</v>
      </c>
      <c r="U23" s="893">
        <f t="shared" si="9"/>
        <v>0.34964245389537074</v>
      </c>
      <c r="V23" s="892">
        <f>'RRT - Subgrupo - IGEO'!R23</f>
        <v>34</v>
      </c>
      <c r="W23" s="895">
        <f t="shared" si="10"/>
        <v>0.6071428571428571</v>
      </c>
      <c r="X23" s="896">
        <f>'RRT - Subgrupo - IGEO'!S23</f>
        <v>22</v>
      </c>
      <c r="Y23" s="893">
        <f t="shared" si="11"/>
        <v>0.39285714285714285</v>
      </c>
      <c r="Z23" s="892">
        <f>'RRT - Subgrupo - IGEO'!U23</f>
        <v>375</v>
      </c>
      <c r="AA23" s="895">
        <f t="shared" si="12"/>
        <v>0.66371681415929207</v>
      </c>
      <c r="AB23" s="892">
        <f>'RRT - Subgrupo - IGEO'!V23</f>
        <v>190</v>
      </c>
      <c r="AC23" s="893">
        <f t="shared" si="13"/>
        <v>0.33628318584070799</v>
      </c>
      <c r="AD23" s="892">
        <f>'RRT - Subgrupo - IGEO'!X23</f>
        <v>614</v>
      </c>
      <c r="AE23" s="895">
        <f t="shared" si="14"/>
        <v>0.57063197026022305</v>
      </c>
      <c r="AF23" s="892">
        <f>'RRT - Subgrupo - IGEO'!Y23</f>
        <v>462</v>
      </c>
      <c r="AG23" s="893">
        <f t="shared" si="15"/>
        <v>0.42936802973977695</v>
      </c>
      <c r="AH23" s="892">
        <f>'RRT - Subgrupo - IGEO'!AA23</f>
        <v>12</v>
      </c>
      <c r="AI23" s="895">
        <f t="shared" si="16"/>
        <v>0.92307692307692313</v>
      </c>
      <c r="AJ23" s="892">
        <f>'RRT - Subgrupo - IGEO'!AB23</f>
        <v>1</v>
      </c>
      <c r="AK23" s="893">
        <f t="shared" si="17"/>
        <v>7.6923076923076927E-2</v>
      </c>
      <c r="AL23" s="892">
        <f>'RRT - Subgrupo - IGEO'!AD23</f>
        <v>100</v>
      </c>
      <c r="AM23" s="895">
        <f t="shared" si="18"/>
        <v>0.60606060606060608</v>
      </c>
      <c r="AN23" s="892">
        <f>'RRT - Subgrupo - IGEO'!AE23</f>
        <v>65</v>
      </c>
      <c r="AO23" s="893">
        <f t="shared" si="19"/>
        <v>0.39393939393939392</v>
      </c>
      <c r="AP23" s="896"/>
      <c r="AQ23" s="895"/>
      <c r="AR23" s="892"/>
      <c r="AS23" s="893"/>
      <c r="AT23" s="892">
        <f>'RRT - Subgrupo - IGEO'!AJ23</f>
        <v>1719</v>
      </c>
      <c r="AU23" s="895">
        <f t="shared" si="22"/>
        <v>0.6371386212008896</v>
      </c>
      <c r="AV23" s="892">
        <f>'RRT - Subgrupo - IGEO'!AK23</f>
        <v>979</v>
      </c>
      <c r="AW23" s="893">
        <f t="shared" si="23"/>
        <v>0.36286137879911046</v>
      </c>
      <c r="AX23" s="892">
        <f>'RRT - Subgrupo - IGEO'!AM23</f>
        <v>675</v>
      </c>
      <c r="AY23" s="895">
        <f t="shared" si="24"/>
        <v>0.53107789142407558</v>
      </c>
      <c r="AZ23" s="892">
        <f>'RRT - Subgrupo - IGEO'!AN23</f>
        <v>596</v>
      </c>
      <c r="BA23" s="893">
        <f t="shared" si="25"/>
        <v>0.46892210857592448</v>
      </c>
      <c r="BB23" s="892">
        <f>'RRT - Subgrupo - IGEO'!AP23</f>
        <v>27</v>
      </c>
      <c r="BC23" s="895">
        <f t="shared" si="26"/>
        <v>0.67500000000000004</v>
      </c>
      <c r="BD23" s="892">
        <f>'RRT - Subgrupo - IGEO'!AQ23</f>
        <v>13</v>
      </c>
      <c r="BE23" s="893">
        <f t="shared" si="27"/>
        <v>0.32500000000000001</v>
      </c>
      <c r="BF23" s="892">
        <f>'RRT - Subgrupo - IGEO'!AS23</f>
        <v>19</v>
      </c>
      <c r="BG23" s="895">
        <f t="shared" si="28"/>
        <v>0.36538461538461536</v>
      </c>
      <c r="BH23" s="892">
        <f>'RRT - Subgrupo - IGEO'!AT23</f>
        <v>33</v>
      </c>
      <c r="BI23" s="893">
        <f t="shared" si="29"/>
        <v>0.63461538461538458</v>
      </c>
      <c r="BJ23" s="892">
        <f>'RRT - Subgrupo - IGEO'!AV23</f>
        <v>978</v>
      </c>
      <c r="BK23" s="895">
        <f t="shared" si="30"/>
        <v>0.60896637608966375</v>
      </c>
      <c r="BL23" s="892">
        <f>'RRT - Subgrupo - IGEO'!AW23</f>
        <v>628</v>
      </c>
      <c r="BM23" s="893">
        <f t="shared" si="31"/>
        <v>0.39103362391033625</v>
      </c>
      <c r="BN23" s="892">
        <f>'RRT - Subgrupo - IGEO'!AY23</f>
        <v>12</v>
      </c>
      <c r="BO23" s="895">
        <f t="shared" si="32"/>
        <v>0.54545454545454541</v>
      </c>
      <c r="BP23" s="892">
        <f>'RRT - Subgrupo - IGEO'!AZ23</f>
        <v>10</v>
      </c>
      <c r="BQ23" s="893">
        <f t="shared" si="33"/>
        <v>0.45454545454545453</v>
      </c>
      <c r="BR23" s="892">
        <f>'RRT - Subgrupo - IGEO'!BB23</f>
        <v>18</v>
      </c>
      <c r="BS23" s="895">
        <f t="shared" si="34"/>
        <v>0.78260869565217395</v>
      </c>
      <c r="BT23" s="892">
        <f>'RRT - Subgrupo - IGEO'!BC23</f>
        <v>5</v>
      </c>
      <c r="BU23" s="893">
        <f t="shared" si="35"/>
        <v>0.21739130434782608</v>
      </c>
      <c r="BV23" s="892">
        <f>'RRT - Subgrupo - IGEO'!BE23</f>
        <v>5</v>
      </c>
      <c r="BW23" s="895">
        <f t="shared" si="36"/>
        <v>0.5</v>
      </c>
      <c r="BX23" s="892">
        <f>'RRT - Subgrupo - IGEO'!BF23</f>
        <v>5</v>
      </c>
      <c r="BY23" s="893">
        <f t="shared" si="37"/>
        <v>0.5</v>
      </c>
      <c r="BZ23" s="892"/>
      <c r="CA23" s="895"/>
      <c r="CB23" s="892"/>
      <c r="CC23" s="893"/>
      <c r="CD23" s="892">
        <f>'RRT - Subgrupo - IGEO'!BK23</f>
        <v>5</v>
      </c>
      <c r="CE23" s="895">
        <f t="shared" si="40"/>
        <v>0.55555555555555558</v>
      </c>
      <c r="CF23" s="892">
        <f>'RRT - Subgrupo - IGEO'!BL23</f>
        <v>4</v>
      </c>
      <c r="CG23" s="893">
        <f t="shared" si="41"/>
        <v>0.44444444444444442</v>
      </c>
      <c r="CH23" s="896">
        <f>'RRT - Subgrupo - IGEO'!BN23</f>
        <v>4</v>
      </c>
      <c r="CI23" s="895">
        <f t="shared" si="42"/>
        <v>0.8</v>
      </c>
      <c r="CJ23" s="896">
        <f>'RRT - Subgrupo - IGEO'!BO23</f>
        <v>1</v>
      </c>
      <c r="CK23" s="893">
        <f t="shared" si="43"/>
        <v>0.2</v>
      </c>
      <c r="CL23" s="896"/>
      <c r="CM23" s="895"/>
      <c r="CN23" s="896"/>
      <c r="CO23" s="893"/>
      <c r="CP23" s="896">
        <f>'RRT - Subgrupo - IGEO'!BT23</f>
        <v>2</v>
      </c>
      <c r="CQ23" s="895">
        <f t="shared" si="88"/>
        <v>0.66666666666666663</v>
      </c>
      <c r="CR23" s="896">
        <f>'RRT - Subgrupo - IGEO'!BU23</f>
        <v>1</v>
      </c>
      <c r="CS23" s="893">
        <f t="shared" si="89"/>
        <v>0.33333333333333331</v>
      </c>
      <c r="CT23" s="896">
        <f>'RRT - Subgrupo - IGEO'!BW23</f>
        <v>4</v>
      </c>
      <c r="CU23" s="895">
        <f t="shared" si="46"/>
        <v>0.66666666666666663</v>
      </c>
      <c r="CV23" s="896">
        <f>'RRT - Subgrupo - IGEO'!BX23</f>
        <v>2</v>
      </c>
      <c r="CW23" s="893">
        <f t="shared" si="47"/>
        <v>0.33333333333333331</v>
      </c>
      <c r="CX23" s="896">
        <f>'RRT - Subgrupo - IGEO'!BZ23</f>
        <v>46</v>
      </c>
      <c r="CY23" s="895">
        <f t="shared" si="48"/>
        <v>0.58974358974358976</v>
      </c>
      <c r="CZ23" s="896">
        <f>'RRT - Subgrupo - IGEO'!CA23</f>
        <v>32</v>
      </c>
      <c r="DA23" s="893">
        <f t="shared" si="49"/>
        <v>0.41025641025641024</v>
      </c>
      <c r="DB23" s="896">
        <f>'RRT - Subgrupo - IGEO'!CC23</f>
        <v>50</v>
      </c>
      <c r="DC23" s="895">
        <f t="shared" si="50"/>
        <v>0.64102564102564108</v>
      </c>
      <c r="DD23" s="896">
        <f>'RRT - Subgrupo - IGEO'!CD23</f>
        <v>28</v>
      </c>
      <c r="DE23" s="893">
        <f t="shared" si="51"/>
        <v>0.35897435897435898</v>
      </c>
      <c r="DF23" s="892">
        <f>'RRT - Subgrupo - IGEO'!CF23</f>
        <v>10</v>
      </c>
      <c r="DG23" s="895">
        <f t="shared" si="52"/>
        <v>0.58823529411764708</v>
      </c>
      <c r="DH23" s="892">
        <f>'RRT - Subgrupo - IGEO'!CG23</f>
        <v>7</v>
      </c>
      <c r="DI23" s="893">
        <f t="shared" si="53"/>
        <v>0.41176470588235292</v>
      </c>
      <c r="DJ23" s="892">
        <f>'RRT - Subgrupo - IGEO'!CI23</f>
        <v>38</v>
      </c>
      <c r="DK23" s="895">
        <f t="shared" si="54"/>
        <v>0.55882352941176472</v>
      </c>
      <c r="DL23" s="892">
        <f>'RRT - Subgrupo - IGEO'!CJ23</f>
        <v>30</v>
      </c>
      <c r="DM23" s="893">
        <f t="shared" si="55"/>
        <v>0.44117647058823528</v>
      </c>
      <c r="DN23" s="892">
        <f>'RRT - Subgrupo - IGEO'!CL23</f>
        <v>1</v>
      </c>
      <c r="DO23" s="895">
        <f t="shared" si="90"/>
        <v>1</v>
      </c>
      <c r="DP23" s="892">
        <f>'RRT - Subgrupo - IGEO'!CM23</f>
        <v>0</v>
      </c>
      <c r="DQ23" s="893">
        <f t="shared" si="91"/>
        <v>0</v>
      </c>
      <c r="DR23" s="892">
        <f>'RRT - Subgrupo - IGEO'!CO23</f>
        <v>1</v>
      </c>
      <c r="DS23" s="895">
        <f t="shared" si="56"/>
        <v>0.16666666666666666</v>
      </c>
      <c r="DT23" s="892">
        <f>'RRT - Subgrupo - IGEO'!CP23</f>
        <v>5</v>
      </c>
      <c r="DU23" s="893">
        <f t="shared" si="57"/>
        <v>0.83333333333333337</v>
      </c>
      <c r="DV23" s="892">
        <f>'RRT - Subgrupo - IGEO'!CR23</f>
        <v>5</v>
      </c>
      <c r="DW23" s="895">
        <f t="shared" si="58"/>
        <v>0.5</v>
      </c>
      <c r="DX23" s="892">
        <f>'RRT - Subgrupo - IGEO'!CS23</f>
        <v>5</v>
      </c>
      <c r="DY23" s="893">
        <f t="shared" si="59"/>
        <v>0.5</v>
      </c>
      <c r="DZ23" s="892">
        <f>'RRT - Subgrupo - IGEO'!CU23</f>
        <v>3</v>
      </c>
      <c r="EA23" s="895">
        <f t="shared" si="60"/>
        <v>0.6</v>
      </c>
      <c r="EB23" s="892">
        <f>'RRT - Subgrupo - IGEO'!CV23</f>
        <v>2</v>
      </c>
      <c r="EC23" s="893">
        <f t="shared" si="61"/>
        <v>0.4</v>
      </c>
      <c r="ED23" s="892">
        <f>'RRT - Subgrupo - IGEO'!CX23</f>
        <v>4</v>
      </c>
      <c r="EE23" s="895">
        <f t="shared" si="62"/>
        <v>0.5714285714285714</v>
      </c>
      <c r="EF23" s="892">
        <f>'RRT - Subgrupo - IGEO'!CY23</f>
        <v>3</v>
      </c>
      <c r="EG23" s="893">
        <f t="shared" si="63"/>
        <v>0.42857142857142855</v>
      </c>
      <c r="EH23" s="892">
        <f>'RRT - Subgrupo - IGEO'!DA23</f>
        <v>77</v>
      </c>
      <c r="EI23" s="895">
        <f t="shared" si="64"/>
        <v>0.6470588235294118</v>
      </c>
      <c r="EJ23" s="892">
        <f>'RRT - Subgrupo - IGEO'!DB23</f>
        <v>42</v>
      </c>
      <c r="EK23" s="893">
        <f t="shared" si="65"/>
        <v>0.35294117647058826</v>
      </c>
      <c r="EL23" s="897"/>
      <c r="EM23" s="895"/>
      <c r="EN23" s="897"/>
      <c r="EO23" s="893"/>
      <c r="EP23" s="897">
        <f>'RRT - Subgrupo - IGEO'!DG23</f>
        <v>39</v>
      </c>
      <c r="EQ23" s="895">
        <f t="shared" si="68"/>
        <v>0.66101694915254239</v>
      </c>
      <c r="ER23" s="897">
        <f>'RRT - Subgrupo - IGEO'!DH23</f>
        <v>20</v>
      </c>
      <c r="ES23" s="893">
        <f t="shared" si="69"/>
        <v>0.33898305084745761</v>
      </c>
      <c r="ET23" s="897">
        <f>'RRT - Subgrupo - IGEO'!DJ23</f>
        <v>570</v>
      </c>
      <c r="EU23" s="895">
        <f t="shared" si="70"/>
        <v>0.67776456599286561</v>
      </c>
      <c r="EV23" s="897">
        <f>'RRT - Subgrupo - IGEO'!DK23</f>
        <v>271</v>
      </c>
      <c r="EW23" s="893">
        <f t="shared" si="71"/>
        <v>0.32223543400713439</v>
      </c>
      <c r="EX23" s="897">
        <f>'RRT - Subgrupo - IGEO'!DM23</f>
        <v>67</v>
      </c>
      <c r="EY23" s="895">
        <f t="shared" si="72"/>
        <v>0.85897435897435892</v>
      </c>
      <c r="EZ23" s="897">
        <f>'RRT - Subgrupo - IGEO'!DN23</f>
        <v>11</v>
      </c>
      <c r="FA23" s="893">
        <f t="shared" si="73"/>
        <v>0.14102564102564102</v>
      </c>
      <c r="FB23" s="897"/>
      <c r="FC23" s="895"/>
      <c r="FD23" s="897"/>
      <c r="FE23" s="893"/>
      <c r="FF23" s="897"/>
      <c r="FG23" s="895"/>
      <c r="FH23" s="897"/>
      <c r="FI23" s="893"/>
      <c r="FJ23" s="897">
        <f>'RRT - Subgrupo - IGEO'!DV23</f>
        <v>5</v>
      </c>
      <c r="FK23" s="895">
        <f t="shared" si="74"/>
        <v>0.7142857142857143</v>
      </c>
      <c r="FL23" s="897">
        <f>'RRT - Subgrupo - IGEO'!DW23</f>
        <v>2</v>
      </c>
      <c r="FM23" s="893">
        <f t="shared" si="75"/>
        <v>0.2857142857142857</v>
      </c>
      <c r="FN23" s="897">
        <f>'RRT - Subgrupo - IGEO'!DY23</f>
        <v>3</v>
      </c>
      <c r="FO23" s="895">
        <f t="shared" si="76"/>
        <v>1</v>
      </c>
      <c r="FP23" s="897">
        <f>'RRT - Subgrupo - IGEO'!DZ23</f>
        <v>0</v>
      </c>
      <c r="FQ23" s="893">
        <f t="shared" si="77"/>
        <v>0</v>
      </c>
      <c r="FR23" s="892"/>
      <c r="FS23" s="895"/>
      <c r="FT23" s="892"/>
      <c r="FU23" s="893"/>
      <c r="FV23" s="892">
        <f>'RRT - Subgrupo - IGEO'!EE23</f>
        <v>1</v>
      </c>
      <c r="FW23" s="895">
        <f t="shared" si="102"/>
        <v>0.5</v>
      </c>
      <c r="FX23" s="892">
        <f>'RRT - Subgrupo - IGEO'!EF23</f>
        <v>1</v>
      </c>
      <c r="FY23" s="893">
        <f t="shared" si="103"/>
        <v>0.5</v>
      </c>
      <c r="FZ23" s="892">
        <f>'RRT - Subgrupo - IGEO'!EH23</f>
        <v>4</v>
      </c>
      <c r="GA23" s="895">
        <f t="shared" si="80"/>
        <v>1</v>
      </c>
      <c r="GB23" s="892">
        <f>'RRT - Subgrupo - IGEO'!EI23</f>
        <v>0</v>
      </c>
      <c r="GC23" s="893">
        <f t="shared" si="81"/>
        <v>0</v>
      </c>
      <c r="GD23" s="892">
        <f>'RRT - Subgrupo - IGEO'!EK23</f>
        <v>14</v>
      </c>
      <c r="GE23" s="895">
        <f t="shared" si="82"/>
        <v>0.77777777777777779</v>
      </c>
      <c r="GF23" s="892">
        <f>'RRT - Subgrupo - IGEO'!EL23</f>
        <v>4</v>
      </c>
      <c r="GG23" s="893">
        <f t="shared" si="83"/>
        <v>0.22222222222222221</v>
      </c>
      <c r="GH23" s="892">
        <f>'RRT - Subgrupo - IGEO'!EN23</f>
        <v>1</v>
      </c>
      <c r="GI23" s="895">
        <f t="shared" si="92"/>
        <v>1</v>
      </c>
      <c r="GJ23" s="892">
        <f>'RRT - Subgrupo - IGEO'!EO23</f>
        <v>0</v>
      </c>
      <c r="GK23" s="893">
        <f t="shared" si="93"/>
        <v>0</v>
      </c>
      <c r="GL23" s="892"/>
      <c r="GM23" s="895"/>
      <c r="GN23" s="892"/>
      <c r="GO23" s="893"/>
      <c r="GP23" s="892"/>
      <c r="GQ23" s="895"/>
      <c r="GR23" s="892"/>
      <c r="GS23" s="893"/>
      <c r="GT23" s="892">
        <f>'RRT - Subgrupo - IGEO'!EW23</f>
        <v>1</v>
      </c>
      <c r="GU23" s="895">
        <f t="shared" si="94"/>
        <v>1</v>
      </c>
      <c r="GV23" s="892">
        <f>'RRT - Subgrupo - IGEO'!EX23</f>
        <v>0</v>
      </c>
      <c r="GW23" s="893">
        <f t="shared" si="95"/>
        <v>0</v>
      </c>
      <c r="GX23" s="892">
        <f>'RRT - Subgrupo - IGEO'!EZ23</f>
        <v>1</v>
      </c>
      <c r="GY23" s="895">
        <f t="shared" si="84"/>
        <v>0.5</v>
      </c>
      <c r="GZ23" s="892">
        <f>'RRT - Subgrupo - IGEO'!FA23</f>
        <v>1</v>
      </c>
      <c r="HA23" s="893">
        <f t="shared" si="85"/>
        <v>0.5</v>
      </c>
      <c r="HB23" s="892">
        <f>'RRT - Subgrupo - IGEO'!FC23</f>
        <v>3</v>
      </c>
      <c r="HC23" s="895">
        <f t="shared" si="86"/>
        <v>0.27272727272727271</v>
      </c>
      <c r="HD23" s="892">
        <f>'RRT - Subgrupo - IGEO'!FD23</f>
        <v>8</v>
      </c>
      <c r="HE23" s="893">
        <f t="shared" si="87"/>
        <v>0.72727272727272729</v>
      </c>
    </row>
    <row r="24" spans="1:213" s="876" customFormat="1" ht="18.75">
      <c r="A24" s="891" t="s">
        <v>109</v>
      </c>
      <c r="B24" s="892">
        <f>'RRT - Subgrupo - IGEO'!C24</f>
        <v>417</v>
      </c>
      <c r="C24" s="893">
        <f t="shared" si="0"/>
        <v>0.55823293172690758</v>
      </c>
      <c r="D24" s="892">
        <f>'RRT - Subgrupo - IGEO'!D24</f>
        <v>330</v>
      </c>
      <c r="E24" s="893">
        <f t="shared" si="1"/>
        <v>0.44176706827309237</v>
      </c>
      <c r="F24" s="894">
        <f>'RRT - Subgrupo - IGEO'!F24</f>
        <v>40</v>
      </c>
      <c r="G24" s="893">
        <f t="shared" si="2"/>
        <v>0.68965517241379315</v>
      </c>
      <c r="H24" s="892">
        <f>'RRT - Subgrupo - IGEO'!G24</f>
        <v>18</v>
      </c>
      <c r="I24" s="893">
        <f t="shared" si="3"/>
        <v>0.31034482758620691</v>
      </c>
      <c r="J24" s="892">
        <f>'RRT - Subgrupo - IGEO'!I24</f>
        <v>9</v>
      </c>
      <c r="K24" s="895">
        <f t="shared" si="4"/>
        <v>0.5</v>
      </c>
      <c r="L24" s="892">
        <f>'RRT - Subgrupo - IGEO'!J24</f>
        <v>9</v>
      </c>
      <c r="M24" s="893">
        <f t="shared" si="5"/>
        <v>0.5</v>
      </c>
      <c r="N24" s="896">
        <f>'RRT - Subgrupo - IGEO'!L24</f>
        <v>15</v>
      </c>
      <c r="O24" s="895">
        <f t="shared" si="6"/>
        <v>7.4626865671641784E-2</v>
      </c>
      <c r="P24" s="892">
        <f>'RRT - Subgrupo - IGEO'!P24</f>
        <v>186</v>
      </c>
      <c r="Q24" s="893">
        <f t="shared" si="7"/>
        <v>0.92537313432835822</v>
      </c>
      <c r="R24" s="892">
        <f>'RRT - Subgrupo - IGEO'!O24</f>
        <v>255</v>
      </c>
      <c r="S24" s="895">
        <f t="shared" si="8"/>
        <v>0.57823129251700678</v>
      </c>
      <c r="T24" s="892">
        <f>'RRT - Subgrupo - IGEO'!P24</f>
        <v>186</v>
      </c>
      <c r="U24" s="893">
        <f t="shared" si="9"/>
        <v>0.42176870748299322</v>
      </c>
      <c r="V24" s="892">
        <f>'RRT - Subgrupo - IGEO'!R24</f>
        <v>2</v>
      </c>
      <c r="W24" s="895">
        <f t="shared" si="10"/>
        <v>0.66666666666666663</v>
      </c>
      <c r="X24" s="896">
        <f>'RRT - Subgrupo - IGEO'!S24</f>
        <v>1</v>
      </c>
      <c r="Y24" s="893">
        <f t="shared" si="11"/>
        <v>0.33333333333333331</v>
      </c>
      <c r="Z24" s="892">
        <f>'RRT - Subgrupo - IGEO'!U24</f>
        <v>84</v>
      </c>
      <c r="AA24" s="895">
        <f t="shared" si="12"/>
        <v>0.66666666666666663</v>
      </c>
      <c r="AB24" s="892">
        <f>'RRT - Subgrupo - IGEO'!V24</f>
        <v>42</v>
      </c>
      <c r="AC24" s="893">
        <f t="shared" si="13"/>
        <v>0.33333333333333331</v>
      </c>
      <c r="AD24" s="892">
        <f>'RRT - Subgrupo - IGEO'!X24</f>
        <v>32</v>
      </c>
      <c r="AE24" s="895">
        <f t="shared" si="14"/>
        <v>0.64</v>
      </c>
      <c r="AF24" s="892">
        <f>'RRT - Subgrupo - IGEO'!Y24</f>
        <v>18</v>
      </c>
      <c r="AG24" s="893">
        <f t="shared" si="15"/>
        <v>0.36</v>
      </c>
      <c r="AH24" s="892">
        <f>'RRT - Subgrupo - IGEO'!AA24</f>
        <v>9</v>
      </c>
      <c r="AI24" s="895">
        <f t="shared" si="16"/>
        <v>0.9</v>
      </c>
      <c r="AJ24" s="892">
        <f>'RRT - Subgrupo - IGEO'!AB24</f>
        <v>1</v>
      </c>
      <c r="AK24" s="893">
        <f t="shared" si="17"/>
        <v>0.1</v>
      </c>
      <c r="AL24" s="892">
        <f>'RRT - Subgrupo - IGEO'!AD24</f>
        <v>14</v>
      </c>
      <c r="AM24" s="895">
        <f t="shared" si="18"/>
        <v>0.56000000000000005</v>
      </c>
      <c r="AN24" s="892">
        <f>'RRT - Subgrupo - IGEO'!AE24</f>
        <v>11</v>
      </c>
      <c r="AO24" s="893">
        <f t="shared" si="19"/>
        <v>0.44</v>
      </c>
      <c r="AP24" s="896">
        <f>'RRT - Subgrupo - IGEO'!AG24</f>
        <v>0</v>
      </c>
      <c r="AQ24" s="895">
        <f t="shared" si="20"/>
        <v>0</v>
      </c>
      <c r="AR24" s="892">
        <f>'RRT - Subgrupo - IGEO'!AH24</f>
        <v>1</v>
      </c>
      <c r="AS24" s="893">
        <f t="shared" si="21"/>
        <v>1</v>
      </c>
      <c r="AT24" s="892">
        <f>'RRT - Subgrupo - IGEO'!AJ24</f>
        <v>196</v>
      </c>
      <c r="AU24" s="895">
        <f t="shared" si="22"/>
        <v>0.57817109144542778</v>
      </c>
      <c r="AV24" s="892">
        <f>'RRT - Subgrupo - IGEO'!AK24</f>
        <v>143</v>
      </c>
      <c r="AW24" s="893">
        <f t="shared" si="23"/>
        <v>0.42182890855457228</v>
      </c>
      <c r="AX24" s="892">
        <f>'RRT - Subgrupo - IGEO'!AM24</f>
        <v>45</v>
      </c>
      <c r="AY24" s="895">
        <f t="shared" si="24"/>
        <v>0.77586206896551724</v>
      </c>
      <c r="AZ24" s="892">
        <f>'RRT - Subgrupo - IGEO'!AN24</f>
        <v>13</v>
      </c>
      <c r="BA24" s="893">
        <f t="shared" si="25"/>
        <v>0.22413793103448276</v>
      </c>
      <c r="BB24" s="892">
        <f>'RRT - Subgrupo - IGEO'!AP24</f>
        <v>2</v>
      </c>
      <c r="BC24" s="895">
        <f t="shared" si="26"/>
        <v>0.33333333333333331</v>
      </c>
      <c r="BD24" s="892">
        <f>'RRT - Subgrupo - IGEO'!AQ24</f>
        <v>4</v>
      </c>
      <c r="BE24" s="893">
        <f t="shared" si="27"/>
        <v>0.66666666666666663</v>
      </c>
      <c r="BF24" s="892">
        <f>'RRT - Subgrupo - IGEO'!AS24</f>
        <v>2</v>
      </c>
      <c r="BG24" s="895">
        <f t="shared" si="28"/>
        <v>0.5</v>
      </c>
      <c r="BH24" s="892">
        <f>'RRT - Subgrupo - IGEO'!AT24</f>
        <v>2</v>
      </c>
      <c r="BI24" s="893">
        <f t="shared" si="29"/>
        <v>0.5</v>
      </c>
      <c r="BJ24" s="892">
        <f>'RRT - Subgrupo - IGEO'!AV24</f>
        <v>158</v>
      </c>
      <c r="BK24" s="895">
        <f t="shared" si="30"/>
        <v>0.57246376811594202</v>
      </c>
      <c r="BL24" s="892">
        <f>'RRT - Subgrupo - IGEO'!AW24</f>
        <v>118</v>
      </c>
      <c r="BM24" s="893">
        <f t="shared" si="31"/>
        <v>0.42753623188405798</v>
      </c>
      <c r="BN24" s="892"/>
      <c r="BO24" s="895"/>
      <c r="BP24" s="892"/>
      <c r="BQ24" s="893"/>
      <c r="BR24" s="892">
        <f>'RRT - Subgrupo - IGEO'!BB24</f>
        <v>1</v>
      </c>
      <c r="BS24" s="895">
        <f t="shared" si="34"/>
        <v>1</v>
      </c>
      <c r="BT24" s="892">
        <f>'RRT - Subgrupo - IGEO'!BC24</f>
        <v>0</v>
      </c>
      <c r="BU24" s="893">
        <f t="shared" si="35"/>
        <v>0</v>
      </c>
      <c r="BV24" s="892">
        <f>'RRT - Subgrupo - IGEO'!BE24</f>
        <v>4</v>
      </c>
      <c r="BW24" s="895">
        <f t="shared" si="36"/>
        <v>1</v>
      </c>
      <c r="BX24" s="892">
        <f>'RRT - Subgrupo - IGEO'!BF24</f>
        <v>0</v>
      </c>
      <c r="BY24" s="893">
        <f t="shared" si="37"/>
        <v>0</v>
      </c>
      <c r="BZ24" s="892"/>
      <c r="CA24" s="895"/>
      <c r="CB24" s="892"/>
      <c r="CC24" s="893"/>
      <c r="CD24" s="892">
        <f>'RRT - Subgrupo - IGEO'!BK24</f>
        <v>2</v>
      </c>
      <c r="CE24" s="895">
        <f t="shared" si="40"/>
        <v>0.5</v>
      </c>
      <c r="CF24" s="892">
        <f>'RRT - Subgrupo - IGEO'!BL24</f>
        <v>2</v>
      </c>
      <c r="CG24" s="893">
        <f t="shared" si="41"/>
        <v>0.5</v>
      </c>
      <c r="CH24" s="896">
        <f>'RRT - Subgrupo - IGEO'!BN24</f>
        <v>11</v>
      </c>
      <c r="CI24" s="895">
        <f t="shared" si="42"/>
        <v>0.52380952380952384</v>
      </c>
      <c r="CJ24" s="896">
        <f>'RRT - Subgrupo - IGEO'!BO24</f>
        <v>10</v>
      </c>
      <c r="CK24" s="893">
        <f t="shared" si="43"/>
        <v>0.47619047619047616</v>
      </c>
      <c r="CL24" s="896"/>
      <c r="CM24" s="895"/>
      <c r="CN24" s="896"/>
      <c r="CO24" s="893"/>
      <c r="CP24" s="896">
        <f>'RRT - Subgrupo - IGEO'!BT24</f>
        <v>3</v>
      </c>
      <c r="CQ24" s="895">
        <f t="shared" si="88"/>
        <v>0.75</v>
      </c>
      <c r="CR24" s="896">
        <f>'RRT - Subgrupo - IGEO'!BU24</f>
        <v>1</v>
      </c>
      <c r="CS24" s="893">
        <f t="shared" si="89"/>
        <v>0.25</v>
      </c>
      <c r="CT24" s="896">
        <f>'RRT - Subgrupo - IGEO'!BW24</f>
        <v>1</v>
      </c>
      <c r="CU24" s="895">
        <f t="shared" si="46"/>
        <v>0.33333333333333331</v>
      </c>
      <c r="CV24" s="896">
        <f>'RRT - Subgrupo - IGEO'!BX24</f>
        <v>2</v>
      </c>
      <c r="CW24" s="893">
        <f t="shared" si="47"/>
        <v>0.66666666666666663</v>
      </c>
      <c r="CX24" s="896">
        <f>'RRT - Subgrupo - IGEO'!BZ24</f>
        <v>7</v>
      </c>
      <c r="CY24" s="895">
        <f t="shared" si="48"/>
        <v>0.31818181818181818</v>
      </c>
      <c r="CZ24" s="896">
        <f>'RRT - Subgrupo - IGEO'!CA24</f>
        <v>15</v>
      </c>
      <c r="DA24" s="893">
        <f t="shared" si="49"/>
        <v>0.68181818181818177</v>
      </c>
      <c r="DB24" s="896">
        <f>'RRT - Subgrupo - IGEO'!CC24</f>
        <v>6</v>
      </c>
      <c r="DC24" s="895">
        <f t="shared" si="50"/>
        <v>0.46153846153846156</v>
      </c>
      <c r="DD24" s="896">
        <f>'RRT - Subgrupo - IGEO'!CD24</f>
        <v>7</v>
      </c>
      <c r="DE24" s="893">
        <f t="shared" si="51"/>
        <v>0.53846153846153844</v>
      </c>
      <c r="DF24" s="892">
        <f>'RRT - Subgrupo - IGEO'!CF24</f>
        <v>10</v>
      </c>
      <c r="DG24" s="895">
        <f t="shared" si="52"/>
        <v>0.90909090909090906</v>
      </c>
      <c r="DH24" s="892">
        <f>'RRT - Subgrupo - IGEO'!CG24</f>
        <v>1</v>
      </c>
      <c r="DI24" s="893">
        <f t="shared" si="53"/>
        <v>9.0909090909090912E-2</v>
      </c>
      <c r="DJ24" s="892">
        <f>'RRT - Subgrupo - IGEO'!CI24</f>
        <v>3</v>
      </c>
      <c r="DK24" s="895">
        <f t="shared" si="54"/>
        <v>1</v>
      </c>
      <c r="DL24" s="892">
        <f>'RRT - Subgrupo - IGEO'!CJ24</f>
        <v>0</v>
      </c>
      <c r="DM24" s="893">
        <f t="shared" si="55"/>
        <v>0</v>
      </c>
      <c r="DN24" s="892">
        <f>'RRT - Subgrupo - IGEO'!CL24</f>
        <v>1</v>
      </c>
      <c r="DO24" s="895">
        <f t="shared" si="90"/>
        <v>1</v>
      </c>
      <c r="DP24" s="892">
        <f>'RRT - Subgrupo - IGEO'!CM24</f>
        <v>0</v>
      </c>
      <c r="DQ24" s="893">
        <f t="shared" si="91"/>
        <v>0</v>
      </c>
      <c r="DR24" s="892">
        <f>'RRT - Subgrupo - IGEO'!CO24</f>
        <v>1</v>
      </c>
      <c r="DS24" s="895">
        <f t="shared" si="56"/>
        <v>0.5</v>
      </c>
      <c r="DT24" s="892">
        <f>'RRT - Subgrupo - IGEO'!CP24</f>
        <v>1</v>
      </c>
      <c r="DU24" s="893">
        <f t="shared" si="57"/>
        <v>0.5</v>
      </c>
      <c r="DV24" s="892"/>
      <c r="DW24" s="895"/>
      <c r="DX24" s="892"/>
      <c r="DY24" s="893"/>
      <c r="DZ24" s="892">
        <f>'RRT - Subgrupo - IGEO'!CU24</f>
        <v>1</v>
      </c>
      <c r="EA24" s="895">
        <f t="shared" si="60"/>
        <v>1</v>
      </c>
      <c r="EB24" s="892">
        <f>'RRT - Subgrupo - IGEO'!CV24</f>
        <v>0</v>
      </c>
      <c r="EC24" s="893">
        <f t="shared" si="61"/>
        <v>0</v>
      </c>
      <c r="ED24" s="892">
        <f>'RRT - Subgrupo - IGEO'!CX24</f>
        <v>6</v>
      </c>
      <c r="EE24" s="895">
        <f t="shared" si="62"/>
        <v>0.8571428571428571</v>
      </c>
      <c r="EF24" s="892">
        <f>'RRT - Subgrupo - IGEO'!CY24</f>
        <v>1</v>
      </c>
      <c r="EG24" s="893">
        <f t="shared" si="63"/>
        <v>0.14285714285714285</v>
      </c>
      <c r="EH24" s="892">
        <f>'RRT - Subgrupo - IGEO'!DA24</f>
        <v>2</v>
      </c>
      <c r="EI24" s="895">
        <f t="shared" si="64"/>
        <v>8.3333333333333329E-2</v>
      </c>
      <c r="EJ24" s="892">
        <f>'RRT - Subgrupo - IGEO'!DB24</f>
        <v>22</v>
      </c>
      <c r="EK24" s="893">
        <f t="shared" si="65"/>
        <v>0.91666666666666663</v>
      </c>
      <c r="EL24" s="897">
        <f>'RRT - Subgrupo - IGEO'!DD24</f>
        <v>2</v>
      </c>
      <c r="EM24" s="895">
        <f t="shared" si="66"/>
        <v>1</v>
      </c>
      <c r="EN24" s="897">
        <f>'RRT - Subgrupo - IGEO'!DE24</f>
        <v>0</v>
      </c>
      <c r="EO24" s="893">
        <f t="shared" si="67"/>
        <v>0</v>
      </c>
      <c r="EP24" s="897">
        <f>'RRT - Subgrupo - IGEO'!DG24</f>
        <v>10</v>
      </c>
      <c r="EQ24" s="895">
        <f t="shared" si="68"/>
        <v>0.2857142857142857</v>
      </c>
      <c r="ER24" s="897">
        <f>'RRT - Subgrupo - IGEO'!DH24</f>
        <v>25</v>
      </c>
      <c r="ES24" s="893">
        <f t="shared" si="69"/>
        <v>0.7142857142857143</v>
      </c>
      <c r="ET24" s="897">
        <f>'RRT - Subgrupo - IGEO'!DJ24</f>
        <v>7</v>
      </c>
      <c r="EU24" s="895">
        <f t="shared" si="70"/>
        <v>0.875</v>
      </c>
      <c r="EV24" s="897">
        <f>'RRT - Subgrupo - IGEO'!DK24</f>
        <v>1</v>
      </c>
      <c r="EW24" s="893">
        <f t="shared" si="71"/>
        <v>0.125</v>
      </c>
      <c r="EX24" s="897">
        <f>'RRT - Subgrupo - IGEO'!DM24</f>
        <v>2</v>
      </c>
      <c r="EY24" s="895">
        <f t="shared" si="72"/>
        <v>0.5</v>
      </c>
      <c r="EZ24" s="897">
        <f>'RRT - Subgrupo - IGEO'!DN24</f>
        <v>2</v>
      </c>
      <c r="FA24" s="893">
        <f t="shared" si="73"/>
        <v>0.5</v>
      </c>
      <c r="FB24" s="897"/>
      <c r="FC24" s="895"/>
      <c r="FD24" s="897"/>
      <c r="FE24" s="893"/>
      <c r="FF24" s="897"/>
      <c r="FG24" s="895"/>
      <c r="FH24" s="897"/>
      <c r="FI24" s="893"/>
      <c r="FJ24" s="897">
        <f>'RRT - Subgrupo - IGEO'!DV24</f>
        <v>2</v>
      </c>
      <c r="FK24" s="895">
        <f t="shared" si="74"/>
        <v>0.33333333333333331</v>
      </c>
      <c r="FL24" s="897">
        <f>'RRT - Subgrupo - IGEO'!DW24</f>
        <v>4</v>
      </c>
      <c r="FM24" s="893">
        <f t="shared" si="75"/>
        <v>0.66666666666666663</v>
      </c>
      <c r="FN24" s="897">
        <f>'RRT - Subgrupo - IGEO'!DY24</f>
        <v>1</v>
      </c>
      <c r="FO24" s="895">
        <f t="shared" si="76"/>
        <v>1</v>
      </c>
      <c r="FP24" s="897">
        <f>'RRT - Subgrupo - IGEO'!DZ24</f>
        <v>0</v>
      </c>
      <c r="FQ24" s="893">
        <f t="shared" si="77"/>
        <v>0</v>
      </c>
      <c r="FR24" s="892"/>
      <c r="FS24" s="895"/>
      <c r="FT24" s="892"/>
      <c r="FU24" s="893"/>
      <c r="FV24" s="892">
        <f>'RRT - Subgrupo - IGEO'!EE24</f>
        <v>1</v>
      </c>
      <c r="FW24" s="895">
        <f t="shared" si="102"/>
        <v>1</v>
      </c>
      <c r="FX24" s="892">
        <f>'RRT - Subgrupo - IGEO'!EF24</f>
        <v>0</v>
      </c>
      <c r="FY24" s="893">
        <f t="shared" si="103"/>
        <v>0</v>
      </c>
      <c r="FZ24" s="892">
        <f>'RRT - Subgrupo - IGEO'!EH24</f>
        <v>0</v>
      </c>
      <c r="GA24" s="895">
        <f t="shared" si="80"/>
        <v>0</v>
      </c>
      <c r="GB24" s="892">
        <f>'RRT - Subgrupo - IGEO'!EI24</f>
        <v>1</v>
      </c>
      <c r="GC24" s="893">
        <f t="shared" si="81"/>
        <v>1</v>
      </c>
      <c r="GD24" s="892">
        <f>'RRT - Subgrupo - IGEO'!EK24</f>
        <v>0</v>
      </c>
      <c r="GE24" s="895">
        <f t="shared" si="82"/>
        <v>0</v>
      </c>
      <c r="GF24" s="892">
        <f>'RRT - Subgrupo - IGEO'!EL24</f>
        <v>2</v>
      </c>
      <c r="GG24" s="893">
        <f t="shared" si="83"/>
        <v>1</v>
      </c>
      <c r="GH24" s="892"/>
      <c r="GI24" s="895"/>
      <c r="GJ24" s="892"/>
      <c r="GK24" s="893"/>
      <c r="GL24" s="892"/>
      <c r="GM24" s="895"/>
      <c r="GN24" s="892"/>
      <c r="GO24" s="893"/>
      <c r="GP24" s="892"/>
      <c r="GQ24" s="895"/>
      <c r="GR24" s="892"/>
      <c r="GS24" s="893"/>
      <c r="GT24" s="892"/>
      <c r="GU24" s="895"/>
      <c r="GV24" s="892"/>
      <c r="GW24" s="893"/>
      <c r="GX24" s="892">
        <f>'RRT - Subgrupo - IGEO'!EZ24</f>
        <v>0</v>
      </c>
      <c r="GY24" s="895">
        <f t="shared" si="84"/>
        <v>0</v>
      </c>
      <c r="GZ24" s="892">
        <f>'RRT - Subgrupo - IGEO'!FA24</f>
        <v>13</v>
      </c>
      <c r="HA24" s="893">
        <f t="shared" si="85"/>
        <v>1</v>
      </c>
      <c r="HB24" s="892">
        <f>'RRT - Subgrupo - IGEO'!FC24</f>
        <v>0</v>
      </c>
      <c r="HC24" s="895">
        <f t="shared" si="86"/>
        <v>0</v>
      </c>
      <c r="HD24" s="892">
        <f>'RRT - Subgrupo - IGEO'!FD24</f>
        <v>2</v>
      </c>
      <c r="HE24" s="893">
        <f t="shared" si="87"/>
        <v>1</v>
      </c>
    </row>
    <row r="25" spans="1:213" s="876" customFormat="1" ht="18.75">
      <c r="A25" s="891" t="s">
        <v>107</v>
      </c>
      <c r="B25" s="892">
        <f>'RRT - Subgrupo - IGEO'!C25</f>
        <v>12619</v>
      </c>
      <c r="C25" s="893">
        <f t="shared" si="0"/>
        <v>0.45542803522448388</v>
      </c>
      <c r="D25" s="892">
        <f>'RRT - Subgrupo - IGEO'!D25</f>
        <v>15089</v>
      </c>
      <c r="E25" s="893">
        <f t="shared" si="1"/>
        <v>0.54457196477551606</v>
      </c>
      <c r="F25" s="894">
        <f>'RRT - Subgrupo - IGEO'!F25</f>
        <v>7879</v>
      </c>
      <c r="G25" s="893">
        <f t="shared" si="2"/>
        <v>0.48934848767157318</v>
      </c>
      <c r="H25" s="892">
        <f>'RRT - Subgrupo - IGEO'!G25</f>
        <v>8222</v>
      </c>
      <c r="I25" s="893">
        <f t="shared" si="3"/>
        <v>0.51065151232842676</v>
      </c>
      <c r="J25" s="892">
        <f>'RRT - Subgrupo - IGEO'!I25</f>
        <v>256</v>
      </c>
      <c r="K25" s="895">
        <f t="shared" si="4"/>
        <v>0.46545454545454545</v>
      </c>
      <c r="L25" s="892">
        <f>'RRT - Subgrupo - IGEO'!J25</f>
        <v>294</v>
      </c>
      <c r="M25" s="893">
        <f t="shared" si="5"/>
        <v>0.53454545454545455</v>
      </c>
      <c r="N25" s="896">
        <f>'RRT - Subgrupo - IGEO'!L25</f>
        <v>656</v>
      </c>
      <c r="O25" s="895">
        <f t="shared" si="6"/>
        <v>4.5787673623228865E-2</v>
      </c>
      <c r="P25" s="892">
        <f>'RRT - Subgrupo - IGEO'!P25</f>
        <v>13671</v>
      </c>
      <c r="Q25" s="893">
        <f t="shared" si="7"/>
        <v>0.95421232637677111</v>
      </c>
      <c r="R25" s="892">
        <f>'RRT - Subgrupo - IGEO'!O25</f>
        <v>11444</v>
      </c>
      <c r="S25" s="895">
        <f t="shared" si="8"/>
        <v>0.45566394584909414</v>
      </c>
      <c r="T25" s="892">
        <f>'RRT - Subgrupo - IGEO'!P25</f>
        <v>13671</v>
      </c>
      <c r="U25" s="893">
        <f t="shared" si="9"/>
        <v>0.5443360541509058</v>
      </c>
      <c r="V25" s="892">
        <f>'RRT - Subgrupo - IGEO'!R25</f>
        <v>218</v>
      </c>
      <c r="W25" s="895">
        <f t="shared" si="10"/>
        <v>0.44489795918367347</v>
      </c>
      <c r="X25" s="896">
        <f>'RRT - Subgrupo - IGEO'!S25</f>
        <v>272</v>
      </c>
      <c r="Y25" s="893">
        <f t="shared" si="11"/>
        <v>0.55510204081632653</v>
      </c>
      <c r="Z25" s="892">
        <f>'RRT - Subgrupo - IGEO'!U25</f>
        <v>1881</v>
      </c>
      <c r="AA25" s="895">
        <f t="shared" si="12"/>
        <v>0.43341013824884794</v>
      </c>
      <c r="AB25" s="892">
        <f>'RRT - Subgrupo - IGEO'!V25</f>
        <v>2459</v>
      </c>
      <c r="AC25" s="893">
        <f t="shared" si="13"/>
        <v>0.56658986175115211</v>
      </c>
      <c r="AD25" s="892">
        <f>'RRT - Subgrupo - IGEO'!X25</f>
        <v>1981</v>
      </c>
      <c r="AE25" s="895">
        <f t="shared" si="14"/>
        <v>0.48901505801036782</v>
      </c>
      <c r="AF25" s="892">
        <f>'RRT - Subgrupo - IGEO'!Y25</f>
        <v>2070</v>
      </c>
      <c r="AG25" s="893">
        <f t="shared" si="15"/>
        <v>0.51098494198963218</v>
      </c>
      <c r="AH25" s="892">
        <f>'RRT - Subgrupo - IGEO'!AA25</f>
        <v>362</v>
      </c>
      <c r="AI25" s="895">
        <f t="shared" si="16"/>
        <v>0.49118046132971505</v>
      </c>
      <c r="AJ25" s="892">
        <f>'RRT - Subgrupo - IGEO'!AB25</f>
        <v>375</v>
      </c>
      <c r="AK25" s="893">
        <f t="shared" si="17"/>
        <v>0.50881953867028495</v>
      </c>
      <c r="AL25" s="892">
        <f>'RRT - Subgrupo - IGEO'!AD25</f>
        <v>667</v>
      </c>
      <c r="AM25" s="895">
        <f t="shared" si="18"/>
        <v>0.40473300970873788</v>
      </c>
      <c r="AN25" s="892">
        <f>'RRT - Subgrupo - IGEO'!AE25</f>
        <v>981</v>
      </c>
      <c r="AO25" s="893">
        <f t="shared" si="19"/>
        <v>0.59526699029126218</v>
      </c>
      <c r="AP25" s="896">
        <f>'RRT - Subgrupo - IGEO'!AG25</f>
        <v>32</v>
      </c>
      <c r="AQ25" s="895">
        <f t="shared" si="20"/>
        <v>0.36781609195402298</v>
      </c>
      <c r="AR25" s="892">
        <f>'RRT - Subgrupo - IGEO'!AH25</f>
        <v>55</v>
      </c>
      <c r="AS25" s="893">
        <f t="shared" si="21"/>
        <v>0.63218390804597702</v>
      </c>
      <c r="AT25" s="892">
        <f>'RRT - Subgrupo - IGEO'!AJ25</f>
        <v>10774</v>
      </c>
      <c r="AU25" s="895">
        <f t="shared" si="22"/>
        <v>0.4863888763486976</v>
      </c>
      <c r="AV25" s="892">
        <f>'RRT - Subgrupo - IGEO'!AK25</f>
        <v>11377</v>
      </c>
      <c r="AW25" s="893">
        <f t="shared" si="23"/>
        <v>0.51361112365130246</v>
      </c>
      <c r="AX25" s="892">
        <f>'RRT - Subgrupo - IGEO'!AM25</f>
        <v>8192</v>
      </c>
      <c r="AY25" s="895">
        <f t="shared" si="24"/>
        <v>0.4963043741669696</v>
      </c>
      <c r="AZ25" s="892">
        <f>'RRT - Subgrupo - IGEO'!AN25</f>
        <v>8314</v>
      </c>
      <c r="BA25" s="893">
        <f t="shared" si="25"/>
        <v>0.5036956258330304</v>
      </c>
      <c r="BB25" s="892">
        <f>'RRT - Subgrupo - IGEO'!AP25</f>
        <v>346</v>
      </c>
      <c r="BC25" s="895">
        <f t="shared" si="26"/>
        <v>0.47138964577656678</v>
      </c>
      <c r="BD25" s="892">
        <f>'RRT - Subgrupo - IGEO'!AQ25</f>
        <v>388</v>
      </c>
      <c r="BE25" s="893">
        <f t="shared" si="27"/>
        <v>0.52861035422343328</v>
      </c>
      <c r="BF25" s="892">
        <f>'RRT - Subgrupo - IGEO'!AS25</f>
        <v>748</v>
      </c>
      <c r="BG25" s="895">
        <f t="shared" si="28"/>
        <v>0.31924882629107981</v>
      </c>
      <c r="BH25" s="892">
        <f>'RRT - Subgrupo - IGEO'!AT25</f>
        <v>1595</v>
      </c>
      <c r="BI25" s="893">
        <f t="shared" si="29"/>
        <v>0.68075117370892024</v>
      </c>
      <c r="BJ25" s="892">
        <f>'RRT - Subgrupo - IGEO'!AV25</f>
        <v>10656</v>
      </c>
      <c r="BK25" s="895">
        <f t="shared" si="30"/>
        <v>0.46510409846798478</v>
      </c>
      <c r="BL25" s="892">
        <f>'RRT - Subgrupo - IGEO'!AW25</f>
        <v>12255</v>
      </c>
      <c r="BM25" s="893">
        <f t="shared" si="31"/>
        <v>0.53489590153201516</v>
      </c>
      <c r="BN25" s="892">
        <f>'RRT - Subgrupo - IGEO'!AY25</f>
        <v>64</v>
      </c>
      <c r="BO25" s="895">
        <f t="shared" si="32"/>
        <v>0.46043165467625902</v>
      </c>
      <c r="BP25" s="892">
        <f>'RRT - Subgrupo - IGEO'!AZ25</f>
        <v>75</v>
      </c>
      <c r="BQ25" s="893">
        <f t="shared" si="33"/>
        <v>0.53956834532374098</v>
      </c>
      <c r="BR25" s="892">
        <f>'RRT - Subgrupo - IGEO'!BB25</f>
        <v>230</v>
      </c>
      <c r="BS25" s="895">
        <f t="shared" si="34"/>
        <v>0.60209424083769636</v>
      </c>
      <c r="BT25" s="892">
        <f>'RRT - Subgrupo - IGEO'!BC25</f>
        <v>152</v>
      </c>
      <c r="BU25" s="893">
        <f t="shared" si="35"/>
        <v>0.39790575916230364</v>
      </c>
      <c r="BV25" s="892">
        <f>'RRT - Subgrupo - IGEO'!BE25</f>
        <v>305</v>
      </c>
      <c r="BW25" s="895">
        <f t="shared" si="36"/>
        <v>0.55758683729433267</v>
      </c>
      <c r="BX25" s="892">
        <f>'RRT - Subgrupo - IGEO'!BF25</f>
        <v>242</v>
      </c>
      <c r="BY25" s="893">
        <f t="shared" si="37"/>
        <v>0.44241316270566727</v>
      </c>
      <c r="BZ25" s="892">
        <f>'RRT - Subgrupo - IGEO'!BH25</f>
        <v>25</v>
      </c>
      <c r="CA25" s="895">
        <f t="shared" si="38"/>
        <v>0.6097560975609756</v>
      </c>
      <c r="CB25" s="892">
        <f>'RRT - Subgrupo - IGEO'!BI25</f>
        <v>16</v>
      </c>
      <c r="CC25" s="893">
        <f t="shared" si="39"/>
        <v>0.3902439024390244</v>
      </c>
      <c r="CD25" s="892">
        <f>'RRT - Subgrupo - IGEO'!BK25</f>
        <v>76</v>
      </c>
      <c r="CE25" s="895">
        <f t="shared" si="40"/>
        <v>0.4779874213836478</v>
      </c>
      <c r="CF25" s="892">
        <f>'RRT - Subgrupo - IGEO'!BL25</f>
        <v>83</v>
      </c>
      <c r="CG25" s="893">
        <f t="shared" si="41"/>
        <v>0.5220125786163522</v>
      </c>
      <c r="CH25" s="896">
        <f>'RRT - Subgrupo - IGEO'!BN25</f>
        <v>28</v>
      </c>
      <c r="CI25" s="895">
        <f t="shared" si="42"/>
        <v>0.43076923076923079</v>
      </c>
      <c r="CJ25" s="896">
        <f>'RRT - Subgrupo - IGEO'!BO25</f>
        <v>37</v>
      </c>
      <c r="CK25" s="893">
        <f t="shared" si="43"/>
        <v>0.56923076923076921</v>
      </c>
      <c r="CL25" s="896">
        <f>'RRT - Subgrupo - IGEO'!BQ25</f>
        <v>4</v>
      </c>
      <c r="CM25" s="895">
        <f t="shared" si="44"/>
        <v>0.2857142857142857</v>
      </c>
      <c r="CN25" s="896">
        <f>'RRT - Subgrupo - IGEO'!BR25</f>
        <v>10</v>
      </c>
      <c r="CO25" s="893">
        <f t="shared" si="45"/>
        <v>0.7142857142857143</v>
      </c>
      <c r="CP25" s="896">
        <f>'RRT - Subgrupo - IGEO'!BT25</f>
        <v>55</v>
      </c>
      <c r="CQ25" s="895">
        <f t="shared" si="88"/>
        <v>0.53398058252427183</v>
      </c>
      <c r="CR25" s="896">
        <f>'RRT - Subgrupo - IGEO'!BU25</f>
        <v>48</v>
      </c>
      <c r="CS25" s="893">
        <f t="shared" si="89"/>
        <v>0.46601941747572817</v>
      </c>
      <c r="CT25" s="896">
        <f>'RRT - Subgrupo - IGEO'!BW25</f>
        <v>38</v>
      </c>
      <c r="CU25" s="895">
        <f t="shared" si="46"/>
        <v>0.39583333333333331</v>
      </c>
      <c r="CV25" s="896">
        <f>'RRT - Subgrupo - IGEO'!BX25</f>
        <v>58</v>
      </c>
      <c r="CW25" s="893">
        <f t="shared" si="47"/>
        <v>0.60416666666666663</v>
      </c>
      <c r="CX25" s="896">
        <f>'RRT - Subgrupo - IGEO'!BZ25</f>
        <v>202</v>
      </c>
      <c r="CY25" s="895">
        <f t="shared" si="48"/>
        <v>0.33223684210526316</v>
      </c>
      <c r="CZ25" s="896">
        <f>'RRT - Subgrupo - IGEO'!CA25</f>
        <v>406</v>
      </c>
      <c r="DA25" s="893">
        <f t="shared" si="49"/>
        <v>0.66776315789473684</v>
      </c>
      <c r="DB25" s="896">
        <f>'RRT - Subgrupo - IGEO'!CC25</f>
        <v>189</v>
      </c>
      <c r="DC25" s="895">
        <f t="shared" si="50"/>
        <v>0.40997830802603036</v>
      </c>
      <c r="DD25" s="896">
        <f>'RRT - Subgrupo - IGEO'!CD25</f>
        <v>272</v>
      </c>
      <c r="DE25" s="893">
        <f t="shared" si="51"/>
        <v>0.59002169197396959</v>
      </c>
      <c r="DF25" s="892">
        <f>'RRT - Subgrupo - IGEO'!CF25</f>
        <v>717</v>
      </c>
      <c r="DG25" s="895">
        <f t="shared" si="52"/>
        <v>0.6300527240773286</v>
      </c>
      <c r="DH25" s="892">
        <f>'RRT - Subgrupo - IGEO'!CG25</f>
        <v>421</v>
      </c>
      <c r="DI25" s="893">
        <f t="shared" si="53"/>
        <v>0.36994727592267135</v>
      </c>
      <c r="DJ25" s="892">
        <f>'RRT - Subgrupo - IGEO'!CI25</f>
        <v>367</v>
      </c>
      <c r="DK25" s="895">
        <f t="shared" si="54"/>
        <v>0.41422121896162528</v>
      </c>
      <c r="DL25" s="892">
        <f>'RRT - Subgrupo - IGEO'!CJ25</f>
        <v>519</v>
      </c>
      <c r="DM25" s="893">
        <f t="shared" si="55"/>
        <v>0.58577878103837466</v>
      </c>
      <c r="DN25" s="892">
        <f>'RRT - Subgrupo - IGEO'!CL25</f>
        <v>6</v>
      </c>
      <c r="DO25" s="895">
        <f t="shared" si="90"/>
        <v>0.5</v>
      </c>
      <c r="DP25" s="892">
        <f>'RRT - Subgrupo - IGEO'!CM25</f>
        <v>6</v>
      </c>
      <c r="DQ25" s="893">
        <f t="shared" si="91"/>
        <v>0.5</v>
      </c>
      <c r="DR25" s="892">
        <f>'RRT - Subgrupo - IGEO'!CO25</f>
        <v>41</v>
      </c>
      <c r="DS25" s="895">
        <f t="shared" si="56"/>
        <v>0.47126436781609193</v>
      </c>
      <c r="DT25" s="892">
        <f>'RRT - Subgrupo - IGEO'!CP25</f>
        <v>46</v>
      </c>
      <c r="DU25" s="893">
        <f t="shared" si="57"/>
        <v>0.52873563218390807</v>
      </c>
      <c r="DV25" s="892">
        <f>'RRT - Subgrupo - IGEO'!CR25</f>
        <v>82</v>
      </c>
      <c r="DW25" s="895">
        <f t="shared" si="58"/>
        <v>0.58156028368794321</v>
      </c>
      <c r="DX25" s="892">
        <f>'RRT - Subgrupo - IGEO'!CS25</f>
        <v>59</v>
      </c>
      <c r="DY25" s="893">
        <f t="shared" si="59"/>
        <v>0.41843971631205673</v>
      </c>
      <c r="DZ25" s="892">
        <f>'RRT - Subgrupo - IGEO'!CU25</f>
        <v>53</v>
      </c>
      <c r="EA25" s="895">
        <f t="shared" si="60"/>
        <v>0.54639175257731953</v>
      </c>
      <c r="EB25" s="892">
        <f>'RRT - Subgrupo - IGEO'!CV25</f>
        <v>44</v>
      </c>
      <c r="EC25" s="893">
        <f t="shared" si="61"/>
        <v>0.45360824742268041</v>
      </c>
      <c r="ED25" s="892">
        <f>'RRT - Subgrupo - IGEO'!CX25</f>
        <v>100</v>
      </c>
      <c r="EE25" s="895">
        <f t="shared" si="62"/>
        <v>0.5524861878453039</v>
      </c>
      <c r="EF25" s="892">
        <f>'RRT - Subgrupo - IGEO'!CY25</f>
        <v>81</v>
      </c>
      <c r="EG25" s="893">
        <f t="shared" si="63"/>
        <v>0.44751381215469616</v>
      </c>
      <c r="EH25" s="892">
        <f>'RRT - Subgrupo - IGEO'!DA25</f>
        <v>1505</v>
      </c>
      <c r="EI25" s="895">
        <f t="shared" si="64"/>
        <v>0.47762615042843543</v>
      </c>
      <c r="EJ25" s="892">
        <f>'RRT - Subgrupo - IGEO'!DB25</f>
        <v>1646</v>
      </c>
      <c r="EK25" s="893">
        <f t="shared" si="65"/>
        <v>0.52237384957156463</v>
      </c>
      <c r="EL25" s="897">
        <f>'RRT - Subgrupo - IGEO'!DD25</f>
        <v>36</v>
      </c>
      <c r="EM25" s="895">
        <f t="shared" si="66"/>
        <v>0.6428571428571429</v>
      </c>
      <c r="EN25" s="897">
        <f>'RRT - Subgrupo - IGEO'!DE25</f>
        <v>20</v>
      </c>
      <c r="EO25" s="893">
        <f t="shared" si="67"/>
        <v>0.35714285714285715</v>
      </c>
      <c r="EP25" s="897">
        <f>'RRT - Subgrupo - IGEO'!DG25</f>
        <v>521</v>
      </c>
      <c r="EQ25" s="895">
        <f t="shared" si="68"/>
        <v>0.56507592190889366</v>
      </c>
      <c r="ER25" s="897">
        <f>'RRT - Subgrupo - IGEO'!DH25</f>
        <v>401</v>
      </c>
      <c r="ES25" s="893">
        <f t="shared" si="69"/>
        <v>0.43492407809110628</v>
      </c>
      <c r="ET25" s="897">
        <f>'RRT - Subgrupo - IGEO'!DJ25</f>
        <v>5861</v>
      </c>
      <c r="EU25" s="895">
        <f t="shared" si="70"/>
        <v>0.47538324276097005</v>
      </c>
      <c r="EV25" s="897">
        <f>'RRT - Subgrupo - IGEO'!DK25</f>
        <v>6468</v>
      </c>
      <c r="EW25" s="893">
        <f t="shared" si="71"/>
        <v>0.5246167572390299</v>
      </c>
      <c r="EX25" s="897">
        <f>'RRT - Subgrupo - IGEO'!DM25</f>
        <v>321</v>
      </c>
      <c r="EY25" s="895">
        <f t="shared" si="72"/>
        <v>0.62330097087378644</v>
      </c>
      <c r="EZ25" s="897">
        <f>'RRT - Subgrupo - IGEO'!DN25</f>
        <v>194</v>
      </c>
      <c r="FA25" s="893">
        <f t="shared" si="73"/>
        <v>0.37669902912621361</v>
      </c>
      <c r="FB25" s="897">
        <f>'RRT - Subgrupo - IGEO'!DP25</f>
        <v>3</v>
      </c>
      <c r="FC25" s="895">
        <f t="shared" si="104"/>
        <v>0.6</v>
      </c>
      <c r="FD25" s="897">
        <f>'RRT - Subgrupo - IGEO'!DQ25</f>
        <v>2</v>
      </c>
      <c r="FE25" s="893">
        <f t="shared" si="105"/>
        <v>0.4</v>
      </c>
      <c r="FF25" s="897">
        <f>'RRT - Subgrupo - IGEO'!DS25</f>
        <v>1</v>
      </c>
      <c r="FG25" s="895">
        <f t="shared" si="100"/>
        <v>0.2</v>
      </c>
      <c r="FH25" s="897">
        <f>'RRT - Subgrupo - IGEO'!DT25</f>
        <v>4</v>
      </c>
      <c r="FI25" s="893">
        <f t="shared" si="101"/>
        <v>0.8</v>
      </c>
      <c r="FJ25" s="897">
        <f>'RRT - Subgrupo - IGEO'!DV25</f>
        <v>695</v>
      </c>
      <c r="FK25" s="895">
        <f t="shared" si="74"/>
        <v>0.68608094768015793</v>
      </c>
      <c r="FL25" s="897">
        <f>'RRT - Subgrupo - IGEO'!DW25</f>
        <v>318</v>
      </c>
      <c r="FM25" s="893">
        <f t="shared" si="75"/>
        <v>0.31391905231984207</v>
      </c>
      <c r="FN25" s="897">
        <f>'RRT - Subgrupo - IGEO'!DY25</f>
        <v>6</v>
      </c>
      <c r="FO25" s="895">
        <f t="shared" si="76"/>
        <v>0.3</v>
      </c>
      <c r="FP25" s="897">
        <f>'RRT - Subgrupo - IGEO'!DZ25</f>
        <v>14</v>
      </c>
      <c r="FQ25" s="893">
        <f t="shared" si="77"/>
        <v>0.7</v>
      </c>
      <c r="FR25" s="892">
        <f>'RRT - Subgrupo - IGEO'!EB25</f>
        <v>0</v>
      </c>
      <c r="FS25" s="895">
        <f t="shared" si="78"/>
        <v>0</v>
      </c>
      <c r="FT25" s="892">
        <f>'RRT - Subgrupo - IGEO'!DZ25</f>
        <v>14</v>
      </c>
      <c r="FU25" s="893">
        <f t="shared" si="79"/>
        <v>1</v>
      </c>
      <c r="FV25" s="892">
        <f>'RRT - Subgrupo - IGEO'!EE25</f>
        <v>3</v>
      </c>
      <c r="FW25" s="895">
        <f t="shared" si="102"/>
        <v>1</v>
      </c>
      <c r="FX25" s="892">
        <f>'RRT - Subgrupo - IGEO'!EF25</f>
        <v>0</v>
      </c>
      <c r="FY25" s="893">
        <f t="shared" si="103"/>
        <v>0</v>
      </c>
      <c r="FZ25" s="892">
        <f>'RRT - Subgrupo - IGEO'!EH25</f>
        <v>10</v>
      </c>
      <c r="GA25" s="895">
        <f t="shared" si="80"/>
        <v>0.47619047619047616</v>
      </c>
      <c r="GB25" s="892">
        <f>'RRT - Subgrupo - IGEO'!EI25</f>
        <v>11</v>
      </c>
      <c r="GC25" s="893">
        <f t="shared" si="81"/>
        <v>0.52380952380952384</v>
      </c>
      <c r="GD25" s="892">
        <f>'RRT - Subgrupo - IGEO'!EK25</f>
        <v>71</v>
      </c>
      <c r="GE25" s="895">
        <f t="shared" si="82"/>
        <v>0.39010989010989011</v>
      </c>
      <c r="GF25" s="892">
        <f>'RRT - Subgrupo - IGEO'!EL25</f>
        <v>111</v>
      </c>
      <c r="GG25" s="893">
        <f t="shared" si="83"/>
        <v>0.60989010989010994</v>
      </c>
      <c r="GH25" s="892">
        <f>'RRT - Subgrupo - IGEO'!EN25</f>
        <v>7</v>
      </c>
      <c r="GI25" s="895">
        <f t="shared" si="92"/>
        <v>0.17499999999999999</v>
      </c>
      <c r="GJ25" s="892">
        <f>'RRT - Subgrupo - IGEO'!EO25</f>
        <v>33</v>
      </c>
      <c r="GK25" s="893">
        <f t="shared" si="93"/>
        <v>0.82499999999999996</v>
      </c>
      <c r="GL25" s="892">
        <f>'RRT - Subgrupo - IGEO'!EO25</f>
        <v>33</v>
      </c>
      <c r="GM25" s="895">
        <f t="shared" si="96"/>
        <v>1</v>
      </c>
      <c r="GN25" s="892">
        <f>'RRT - Subgrupo - IGEO'!EP25</f>
        <v>0</v>
      </c>
      <c r="GO25" s="893">
        <f t="shared" si="97"/>
        <v>0</v>
      </c>
      <c r="GP25" s="892"/>
      <c r="GQ25" s="895"/>
      <c r="GR25" s="892"/>
      <c r="GS25" s="893"/>
      <c r="GT25" s="892">
        <f>'RRT - Subgrupo - IGEO'!EW25</f>
        <v>3</v>
      </c>
      <c r="GU25" s="895">
        <f t="shared" si="94"/>
        <v>4.6875E-2</v>
      </c>
      <c r="GV25" s="892">
        <f>'RRT - Subgrupo - IGEO'!EX25</f>
        <v>61</v>
      </c>
      <c r="GW25" s="893">
        <f t="shared" si="95"/>
        <v>0.953125</v>
      </c>
      <c r="GX25" s="892">
        <f>'RRT - Subgrupo - IGEO'!EZ25</f>
        <v>28</v>
      </c>
      <c r="GY25" s="895">
        <f t="shared" si="84"/>
        <v>0.2857142857142857</v>
      </c>
      <c r="GZ25" s="892">
        <f>'RRT - Subgrupo - IGEO'!FA25</f>
        <v>70</v>
      </c>
      <c r="HA25" s="893">
        <f t="shared" si="85"/>
        <v>0.7142857142857143</v>
      </c>
      <c r="HB25" s="892">
        <f>'RRT - Subgrupo - IGEO'!FC25</f>
        <v>16</v>
      </c>
      <c r="HC25" s="895">
        <f t="shared" si="86"/>
        <v>0.17582417582417584</v>
      </c>
      <c r="HD25" s="892">
        <f>'RRT - Subgrupo - IGEO'!FD25</f>
        <v>75</v>
      </c>
      <c r="HE25" s="893">
        <f t="shared" si="87"/>
        <v>0.82417582417582413</v>
      </c>
    </row>
    <row r="26" spans="1:213" s="876" customFormat="1" ht="18.75">
      <c r="A26" s="891" t="s">
        <v>110</v>
      </c>
      <c r="B26" s="892">
        <f>'RRT - Subgrupo - IGEO'!C26</f>
        <v>10313</v>
      </c>
      <c r="C26" s="893">
        <f t="shared" si="0"/>
        <v>0.48052371633584939</v>
      </c>
      <c r="D26" s="892">
        <f>'RRT - Subgrupo - IGEO'!D26</f>
        <v>11149</v>
      </c>
      <c r="E26" s="893">
        <f t="shared" si="1"/>
        <v>0.51947628366415055</v>
      </c>
      <c r="F26" s="894">
        <f>'RRT - Subgrupo - IGEO'!F26</f>
        <v>5088</v>
      </c>
      <c r="G26" s="893">
        <f t="shared" si="2"/>
        <v>0.51264483627204027</v>
      </c>
      <c r="H26" s="892">
        <f>'RRT - Subgrupo - IGEO'!G26</f>
        <v>4837</v>
      </c>
      <c r="I26" s="893">
        <f t="shared" si="3"/>
        <v>0.48735516372795967</v>
      </c>
      <c r="J26" s="892">
        <f>'RRT - Subgrupo - IGEO'!I26</f>
        <v>147</v>
      </c>
      <c r="K26" s="895">
        <f t="shared" si="4"/>
        <v>0.36749999999999999</v>
      </c>
      <c r="L26" s="892">
        <f>'RRT - Subgrupo - IGEO'!J26</f>
        <v>253</v>
      </c>
      <c r="M26" s="893">
        <f t="shared" si="5"/>
        <v>0.63249999999999995</v>
      </c>
      <c r="N26" s="896">
        <f>'RRT - Subgrupo - IGEO'!L26</f>
        <v>501</v>
      </c>
      <c r="O26" s="895">
        <f t="shared" si="6"/>
        <v>6.1525236399361416E-2</v>
      </c>
      <c r="P26" s="892">
        <f>'RRT - Subgrupo - IGEO'!P26</f>
        <v>7642</v>
      </c>
      <c r="Q26" s="893">
        <f t="shared" si="7"/>
        <v>0.93847476360063864</v>
      </c>
      <c r="R26" s="892">
        <f>'RRT - Subgrupo - IGEO'!O26</f>
        <v>7735</v>
      </c>
      <c r="S26" s="895">
        <f t="shared" si="8"/>
        <v>0.50302399687845478</v>
      </c>
      <c r="T26" s="892">
        <f>'RRT - Subgrupo - IGEO'!P26</f>
        <v>7642</v>
      </c>
      <c r="U26" s="893">
        <f t="shared" si="9"/>
        <v>0.49697600312154516</v>
      </c>
      <c r="V26" s="892">
        <f>'RRT - Subgrupo - IGEO'!R26</f>
        <v>93</v>
      </c>
      <c r="W26" s="895">
        <f t="shared" si="10"/>
        <v>0.33941605839416056</v>
      </c>
      <c r="X26" s="896">
        <f>'RRT - Subgrupo - IGEO'!S26</f>
        <v>181</v>
      </c>
      <c r="Y26" s="893">
        <f t="shared" si="11"/>
        <v>0.66058394160583944</v>
      </c>
      <c r="Z26" s="892">
        <f>'RRT - Subgrupo - IGEO'!U26</f>
        <v>856</v>
      </c>
      <c r="AA26" s="895">
        <f t="shared" si="12"/>
        <v>0.45972073039742212</v>
      </c>
      <c r="AB26" s="892">
        <f>'RRT - Subgrupo - IGEO'!V26</f>
        <v>1006</v>
      </c>
      <c r="AC26" s="893">
        <f t="shared" si="13"/>
        <v>0.54027926960257788</v>
      </c>
      <c r="AD26" s="892">
        <f>'RRT - Subgrupo - IGEO'!X26</f>
        <v>919</v>
      </c>
      <c r="AE26" s="895">
        <f t="shared" si="14"/>
        <v>0.5128348214285714</v>
      </c>
      <c r="AF26" s="892">
        <f>'RRT - Subgrupo - IGEO'!Y26</f>
        <v>873</v>
      </c>
      <c r="AG26" s="893">
        <f t="shared" si="15"/>
        <v>0.48716517857142855</v>
      </c>
      <c r="AH26" s="892">
        <f>'RRT - Subgrupo - IGEO'!AA26</f>
        <v>357</v>
      </c>
      <c r="AI26" s="895">
        <f t="shared" si="16"/>
        <v>0.49173553719008267</v>
      </c>
      <c r="AJ26" s="892">
        <f>'RRT - Subgrupo - IGEO'!AB26</f>
        <v>369</v>
      </c>
      <c r="AK26" s="893">
        <f t="shared" si="17"/>
        <v>0.50826446280991733</v>
      </c>
      <c r="AL26" s="892">
        <f>'RRT - Subgrupo - IGEO'!AD26</f>
        <v>263</v>
      </c>
      <c r="AM26" s="895">
        <f t="shared" si="18"/>
        <v>0.44276094276094274</v>
      </c>
      <c r="AN26" s="892">
        <f>'RRT - Subgrupo - IGEO'!AE26</f>
        <v>331</v>
      </c>
      <c r="AO26" s="893">
        <f t="shared" si="19"/>
        <v>0.5572390572390572</v>
      </c>
      <c r="AP26" s="896">
        <f>'RRT - Subgrupo - IGEO'!AG26</f>
        <v>22</v>
      </c>
      <c r="AQ26" s="895">
        <f t="shared" si="20"/>
        <v>0.43137254901960786</v>
      </c>
      <c r="AR26" s="892">
        <f>'RRT - Subgrupo - IGEO'!AH26</f>
        <v>29</v>
      </c>
      <c r="AS26" s="893">
        <f t="shared" si="21"/>
        <v>0.56862745098039214</v>
      </c>
      <c r="AT26" s="892">
        <f>'RRT - Subgrupo - IGEO'!AJ26</f>
        <v>7858</v>
      </c>
      <c r="AU26" s="895">
        <f t="shared" si="22"/>
        <v>0.51282385955752785</v>
      </c>
      <c r="AV26" s="892">
        <f>'RRT - Subgrupo - IGEO'!AK26</f>
        <v>7465</v>
      </c>
      <c r="AW26" s="893">
        <f t="shared" si="23"/>
        <v>0.48717614044247209</v>
      </c>
      <c r="AX26" s="892">
        <f>'RRT - Subgrupo - IGEO'!AM26</f>
        <v>5378</v>
      </c>
      <c r="AY26" s="895">
        <f t="shared" si="24"/>
        <v>0.52016636038301578</v>
      </c>
      <c r="AZ26" s="892">
        <f>'RRT - Subgrupo - IGEO'!AN26</f>
        <v>4961</v>
      </c>
      <c r="BA26" s="893">
        <f t="shared" si="25"/>
        <v>0.47983363961698422</v>
      </c>
      <c r="BB26" s="892">
        <f>'RRT - Subgrupo - IGEO'!AP26</f>
        <v>174</v>
      </c>
      <c r="BC26" s="895">
        <f t="shared" si="26"/>
        <v>0.38666666666666666</v>
      </c>
      <c r="BD26" s="892">
        <f>'RRT - Subgrupo - IGEO'!AQ26</f>
        <v>276</v>
      </c>
      <c r="BE26" s="893">
        <f t="shared" si="27"/>
        <v>0.61333333333333329</v>
      </c>
      <c r="BF26" s="892">
        <f>'RRT - Subgrupo - IGEO'!AS26</f>
        <v>453</v>
      </c>
      <c r="BG26" s="895">
        <f t="shared" si="28"/>
        <v>0.33831217326362956</v>
      </c>
      <c r="BH26" s="892">
        <f>'RRT - Subgrupo - IGEO'!AT26</f>
        <v>886</v>
      </c>
      <c r="BI26" s="893">
        <f t="shared" si="29"/>
        <v>0.66168782673637039</v>
      </c>
      <c r="BJ26" s="892">
        <f>'RRT - Subgrupo - IGEO'!AV26</f>
        <v>6555</v>
      </c>
      <c r="BK26" s="895">
        <f t="shared" si="30"/>
        <v>0.51283054295102493</v>
      </c>
      <c r="BL26" s="892">
        <f>'RRT - Subgrupo - IGEO'!AW26</f>
        <v>6227</v>
      </c>
      <c r="BM26" s="893">
        <f t="shared" si="31"/>
        <v>0.48716945704897513</v>
      </c>
      <c r="BN26" s="892">
        <f>'RRT - Subgrupo - IGEO'!AY26</f>
        <v>35</v>
      </c>
      <c r="BO26" s="895">
        <f t="shared" si="32"/>
        <v>0.46052631578947367</v>
      </c>
      <c r="BP26" s="892">
        <f>'RRT - Subgrupo - IGEO'!AZ26</f>
        <v>41</v>
      </c>
      <c r="BQ26" s="893">
        <f t="shared" si="33"/>
        <v>0.53947368421052633</v>
      </c>
      <c r="BR26" s="892">
        <f>'RRT - Subgrupo - IGEO'!BB26</f>
        <v>157</v>
      </c>
      <c r="BS26" s="895">
        <f t="shared" si="34"/>
        <v>0.40359897172236503</v>
      </c>
      <c r="BT26" s="892">
        <f>'RRT - Subgrupo - IGEO'!BC26</f>
        <v>232</v>
      </c>
      <c r="BU26" s="893">
        <f t="shared" si="35"/>
        <v>0.59640102827763497</v>
      </c>
      <c r="BV26" s="892">
        <f>'RRT - Subgrupo - IGEO'!BE26</f>
        <v>291</v>
      </c>
      <c r="BW26" s="895">
        <f t="shared" si="36"/>
        <v>0.41452991452991456</v>
      </c>
      <c r="BX26" s="892">
        <f>'RRT - Subgrupo - IGEO'!BF26</f>
        <v>411</v>
      </c>
      <c r="BY26" s="893">
        <f t="shared" si="37"/>
        <v>0.5854700854700855</v>
      </c>
      <c r="BZ26" s="892">
        <f>'RRT - Subgrupo - IGEO'!BH26</f>
        <v>16</v>
      </c>
      <c r="CA26" s="895">
        <f t="shared" si="38"/>
        <v>0.69565217391304346</v>
      </c>
      <c r="CB26" s="892">
        <f>'RRT - Subgrupo - IGEO'!BI26</f>
        <v>7</v>
      </c>
      <c r="CC26" s="893">
        <f t="shared" si="39"/>
        <v>0.30434782608695654</v>
      </c>
      <c r="CD26" s="892">
        <f>'RRT - Subgrupo - IGEO'!BK26</f>
        <v>39</v>
      </c>
      <c r="CE26" s="895">
        <f t="shared" si="40"/>
        <v>0.37864077669902912</v>
      </c>
      <c r="CF26" s="892">
        <f>'RRT - Subgrupo - IGEO'!BL26</f>
        <v>64</v>
      </c>
      <c r="CG26" s="893">
        <f t="shared" si="41"/>
        <v>0.62135922330097082</v>
      </c>
      <c r="CH26" s="896">
        <f>'RRT - Subgrupo - IGEO'!BN26</f>
        <v>24</v>
      </c>
      <c r="CI26" s="895">
        <f t="shared" si="42"/>
        <v>0.6</v>
      </c>
      <c r="CJ26" s="896">
        <f>'RRT - Subgrupo - IGEO'!BO26</f>
        <v>16</v>
      </c>
      <c r="CK26" s="893">
        <f t="shared" si="43"/>
        <v>0.4</v>
      </c>
      <c r="CL26" s="896">
        <f>'RRT - Subgrupo - IGEO'!BQ26</f>
        <v>5</v>
      </c>
      <c r="CM26" s="895">
        <f t="shared" si="44"/>
        <v>0.35714285714285715</v>
      </c>
      <c r="CN26" s="896">
        <f>'RRT - Subgrupo - IGEO'!BR26</f>
        <v>9</v>
      </c>
      <c r="CO26" s="893">
        <f t="shared" si="45"/>
        <v>0.6428571428571429</v>
      </c>
      <c r="CP26" s="896">
        <f>'RRT - Subgrupo - IGEO'!BT26</f>
        <v>3</v>
      </c>
      <c r="CQ26" s="895">
        <f t="shared" si="88"/>
        <v>9.6774193548387094E-2</v>
      </c>
      <c r="CR26" s="896">
        <f>'RRT - Subgrupo - IGEO'!BU26</f>
        <v>28</v>
      </c>
      <c r="CS26" s="893">
        <f t="shared" si="89"/>
        <v>0.90322580645161288</v>
      </c>
      <c r="CT26" s="896">
        <f>'RRT - Subgrupo - IGEO'!BW26</f>
        <v>45</v>
      </c>
      <c r="CU26" s="895">
        <f t="shared" si="46"/>
        <v>0.569620253164557</v>
      </c>
      <c r="CV26" s="896">
        <f>'RRT - Subgrupo - IGEO'!BX26</f>
        <v>34</v>
      </c>
      <c r="CW26" s="893">
        <f t="shared" si="47"/>
        <v>0.43037974683544306</v>
      </c>
      <c r="CX26" s="896">
        <f>'RRT - Subgrupo - IGEO'!BZ26</f>
        <v>154</v>
      </c>
      <c r="CY26" s="895">
        <f t="shared" si="48"/>
        <v>0.42896935933147634</v>
      </c>
      <c r="CZ26" s="896">
        <f>'RRT - Subgrupo - IGEO'!CA26</f>
        <v>205</v>
      </c>
      <c r="DA26" s="893">
        <f t="shared" si="49"/>
        <v>0.57103064066852371</v>
      </c>
      <c r="DB26" s="896">
        <f>'RRT - Subgrupo - IGEO'!CC26</f>
        <v>135</v>
      </c>
      <c r="DC26" s="895">
        <f t="shared" si="50"/>
        <v>0.43130990415335463</v>
      </c>
      <c r="DD26" s="896">
        <f>'RRT - Subgrupo - IGEO'!CD26</f>
        <v>178</v>
      </c>
      <c r="DE26" s="893">
        <f t="shared" si="51"/>
        <v>0.56869009584664532</v>
      </c>
      <c r="DF26" s="892">
        <f>'RRT - Subgrupo - IGEO'!CF26</f>
        <v>810</v>
      </c>
      <c r="DG26" s="895">
        <f t="shared" si="52"/>
        <v>0.65481002425222312</v>
      </c>
      <c r="DH26" s="892">
        <f>'RRT - Subgrupo - IGEO'!CG26</f>
        <v>427</v>
      </c>
      <c r="DI26" s="893">
        <f t="shared" si="53"/>
        <v>0.34518997574777688</v>
      </c>
      <c r="DJ26" s="892">
        <f>'RRT - Subgrupo - IGEO'!CI26</f>
        <v>665</v>
      </c>
      <c r="DK26" s="895">
        <f t="shared" si="54"/>
        <v>0.5541666666666667</v>
      </c>
      <c r="DL26" s="892">
        <f>'RRT - Subgrupo - IGEO'!CJ26</f>
        <v>535</v>
      </c>
      <c r="DM26" s="893">
        <f t="shared" si="55"/>
        <v>0.44583333333333336</v>
      </c>
      <c r="DN26" s="892">
        <f>'RRT - Subgrupo - IGEO'!CL26</f>
        <v>61</v>
      </c>
      <c r="DO26" s="895">
        <f t="shared" si="90"/>
        <v>0.4485294117647059</v>
      </c>
      <c r="DP26" s="892">
        <f>'RRT - Subgrupo - IGEO'!CM26</f>
        <v>75</v>
      </c>
      <c r="DQ26" s="893">
        <f t="shared" si="91"/>
        <v>0.55147058823529416</v>
      </c>
      <c r="DR26" s="892">
        <f>'RRT - Subgrupo - IGEO'!CO26</f>
        <v>141</v>
      </c>
      <c r="DS26" s="895">
        <f t="shared" si="56"/>
        <v>0.56399999999999995</v>
      </c>
      <c r="DT26" s="892">
        <f>'RRT - Subgrupo - IGEO'!CP26</f>
        <v>109</v>
      </c>
      <c r="DU26" s="893">
        <f t="shared" si="57"/>
        <v>0.436</v>
      </c>
      <c r="DV26" s="892">
        <f>'RRT - Subgrupo - IGEO'!CR26</f>
        <v>52</v>
      </c>
      <c r="DW26" s="895">
        <f t="shared" si="58"/>
        <v>0.29213483146067415</v>
      </c>
      <c r="DX26" s="892">
        <f>'RRT - Subgrupo - IGEO'!CS26</f>
        <v>126</v>
      </c>
      <c r="DY26" s="893">
        <f t="shared" si="59"/>
        <v>0.7078651685393258</v>
      </c>
      <c r="DZ26" s="892">
        <f>'RRT - Subgrupo - IGEO'!CU26</f>
        <v>25</v>
      </c>
      <c r="EA26" s="895">
        <f t="shared" si="60"/>
        <v>0.25</v>
      </c>
      <c r="EB26" s="892">
        <f>'RRT - Subgrupo - IGEO'!CV26</f>
        <v>75</v>
      </c>
      <c r="EC26" s="893">
        <f t="shared" si="61"/>
        <v>0.75</v>
      </c>
      <c r="ED26" s="892">
        <f>'RRT - Subgrupo - IGEO'!CX26</f>
        <v>62</v>
      </c>
      <c r="EE26" s="895">
        <f t="shared" si="62"/>
        <v>0.70454545454545459</v>
      </c>
      <c r="EF26" s="892">
        <f>'RRT - Subgrupo - IGEO'!CY26</f>
        <v>26</v>
      </c>
      <c r="EG26" s="893">
        <f t="shared" si="63"/>
        <v>0.29545454545454547</v>
      </c>
      <c r="EH26" s="892">
        <f>'RRT - Subgrupo - IGEO'!DA26</f>
        <v>1472</v>
      </c>
      <c r="EI26" s="895">
        <f t="shared" si="64"/>
        <v>0.53140794223826715</v>
      </c>
      <c r="EJ26" s="892">
        <f>'RRT - Subgrupo - IGEO'!DB26</f>
        <v>1298</v>
      </c>
      <c r="EK26" s="893">
        <f t="shared" si="65"/>
        <v>0.46859205776173285</v>
      </c>
      <c r="EL26" s="897">
        <f>'RRT - Subgrupo - IGEO'!DD26</f>
        <v>26</v>
      </c>
      <c r="EM26" s="895">
        <f t="shared" si="66"/>
        <v>0.78787878787878785</v>
      </c>
      <c r="EN26" s="897">
        <f>'RRT - Subgrupo - IGEO'!DE26</f>
        <v>7</v>
      </c>
      <c r="EO26" s="893">
        <f t="shared" si="67"/>
        <v>0.21212121212121213</v>
      </c>
      <c r="EP26" s="897">
        <f>'RRT - Subgrupo - IGEO'!DG26</f>
        <v>559</v>
      </c>
      <c r="EQ26" s="895">
        <f t="shared" si="68"/>
        <v>0.47736976942783943</v>
      </c>
      <c r="ER26" s="897">
        <f>'RRT - Subgrupo - IGEO'!DH26</f>
        <v>612</v>
      </c>
      <c r="ES26" s="893">
        <f t="shared" si="69"/>
        <v>0.52263023057216051</v>
      </c>
      <c r="ET26" s="897">
        <f>'RRT - Subgrupo - IGEO'!DJ26</f>
        <v>2298</v>
      </c>
      <c r="EU26" s="895">
        <f t="shared" si="70"/>
        <v>0.52537722908093276</v>
      </c>
      <c r="EV26" s="897">
        <f>'RRT - Subgrupo - IGEO'!DK26</f>
        <v>2076</v>
      </c>
      <c r="EW26" s="893">
        <f t="shared" si="71"/>
        <v>0.47462277091906724</v>
      </c>
      <c r="EX26" s="897">
        <f>'RRT - Subgrupo - IGEO'!DM26</f>
        <v>148</v>
      </c>
      <c r="EY26" s="895">
        <f t="shared" si="72"/>
        <v>0.57587548638132291</v>
      </c>
      <c r="EZ26" s="897">
        <f>'RRT - Subgrupo - IGEO'!DN26</f>
        <v>109</v>
      </c>
      <c r="FA26" s="893">
        <f t="shared" si="73"/>
        <v>0.42412451361867703</v>
      </c>
      <c r="FB26" s="897">
        <f>'RRT - Subgrupo - IGEO'!DP26</f>
        <v>0</v>
      </c>
      <c r="FC26" s="895">
        <f t="shared" si="104"/>
        <v>0</v>
      </c>
      <c r="FD26" s="897">
        <f>'RRT - Subgrupo - IGEO'!DQ26</f>
        <v>2</v>
      </c>
      <c r="FE26" s="893">
        <f t="shared" si="105"/>
        <v>1</v>
      </c>
      <c r="FF26" s="897">
        <f>'RRT - Subgrupo - IGEO'!DS26</f>
        <v>0</v>
      </c>
      <c r="FG26" s="895">
        <f t="shared" si="100"/>
        <v>0</v>
      </c>
      <c r="FH26" s="897">
        <f>'RRT - Subgrupo - IGEO'!DT26</f>
        <v>4</v>
      </c>
      <c r="FI26" s="893">
        <f t="shared" si="101"/>
        <v>1</v>
      </c>
      <c r="FJ26" s="897">
        <f>'RRT - Subgrupo - IGEO'!DV26</f>
        <v>387</v>
      </c>
      <c r="FK26" s="895">
        <f t="shared" si="74"/>
        <v>0.66955017301038067</v>
      </c>
      <c r="FL26" s="897">
        <f>'RRT - Subgrupo - IGEO'!DW26</f>
        <v>191</v>
      </c>
      <c r="FM26" s="893">
        <f t="shared" si="75"/>
        <v>0.33044982698961939</v>
      </c>
      <c r="FN26" s="897"/>
      <c r="FO26" s="895"/>
      <c r="FP26" s="897"/>
      <c r="FQ26" s="893"/>
      <c r="FR26" s="892"/>
      <c r="FS26" s="895"/>
      <c r="FT26" s="892"/>
      <c r="FU26" s="893"/>
      <c r="FV26" s="892">
        <f>'RRT - Subgrupo - IGEO'!EE26</f>
        <v>22</v>
      </c>
      <c r="FW26" s="895">
        <f t="shared" si="102"/>
        <v>0.29333333333333333</v>
      </c>
      <c r="FX26" s="892">
        <f>'RRT - Subgrupo - IGEO'!EF26</f>
        <v>53</v>
      </c>
      <c r="FY26" s="893">
        <f t="shared" si="103"/>
        <v>0.70666666666666667</v>
      </c>
      <c r="FZ26" s="892">
        <f>'RRT - Subgrupo - IGEO'!EH26</f>
        <v>32</v>
      </c>
      <c r="GA26" s="895">
        <f t="shared" si="80"/>
        <v>0.88888888888888884</v>
      </c>
      <c r="GB26" s="892">
        <f>'RRT - Subgrupo - IGEO'!EI26</f>
        <v>4</v>
      </c>
      <c r="GC26" s="893">
        <f t="shared" si="81"/>
        <v>0.1111111111111111</v>
      </c>
      <c r="GD26" s="892">
        <f>'RRT - Subgrupo - IGEO'!EK26</f>
        <v>59</v>
      </c>
      <c r="GE26" s="895">
        <f t="shared" si="82"/>
        <v>0.17611940298507461</v>
      </c>
      <c r="GF26" s="892">
        <f>'RRT - Subgrupo - IGEO'!EL26</f>
        <v>276</v>
      </c>
      <c r="GG26" s="893">
        <f t="shared" si="83"/>
        <v>0.82388059701492533</v>
      </c>
      <c r="GH26" s="892">
        <f>'RRT - Subgrupo - IGEO'!EN26</f>
        <v>7</v>
      </c>
      <c r="GI26" s="895">
        <f t="shared" si="92"/>
        <v>2.8340080971659919E-2</v>
      </c>
      <c r="GJ26" s="892">
        <f>'RRT - Subgrupo - IGEO'!EO26</f>
        <v>240</v>
      </c>
      <c r="GK26" s="893">
        <f t="shared" si="93"/>
        <v>0.97165991902834004</v>
      </c>
      <c r="GL26" s="892">
        <f>'RRT - Subgrupo - IGEO'!EO26</f>
        <v>240</v>
      </c>
      <c r="GM26" s="895">
        <f t="shared" si="96"/>
        <v>0.99585062240663902</v>
      </c>
      <c r="GN26" s="892">
        <f>'RRT - Subgrupo - IGEO'!EP26</f>
        <v>1</v>
      </c>
      <c r="GO26" s="893">
        <f t="shared" si="97"/>
        <v>4.1493775933609959E-3</v>
      </c>
      <c r="GP26" s="892">
        <f>'RRT - Subgrupo - IGEO'!EQ26</f>
        <v>1</v>
      </c>
      <c r="GQ26" s="895">
        <f t="shared" si="98"/>
        <v>1</v>
      </c>
      <c r="GR26" s="892">
        <f>'RRT - Subgrupo - IGEO'!ER26</f>
        <v>0</v>
      </c>
      <c r="GS26" s="893">
        <f t="shared" si="99"/>
        <v>0</v>
      </c>
      <c r="GT26" s="892">
        <f>'RRT - Subgrupo - IGEO'!EW26</f>
        <v>13</v>
      </c>
      <c r="GU26" s="895">
        <f t="shared" si="94"/>
        <v>5.1181102362204724E-2</v>
      </c>
      <c r="GV26" s="892">
        <f>'RRT - Subgrupo - IGEO'!EX26</f>
        <v>241</v>
      </c>
      <c r="GW26" s="893">
        <f t="shared" si="95"/>
        <v>0.94881889763779526</v>
      </c>
      <c r="GX26" s="892">
        <f>'RRT - Subgrupo - IGEO'!EZ26</f>
        <v>60</v>
      </c>
      <c r="GY26" s="895">
        <f t="shared" si="84"/>
        <v>0.18633540372670807</v>
      </c>
      <c r="GZ26" s="892">
        <f>'RRT - Subgrupo - IGEO'!FA26</f>
        <v>262</v>
      </c>
      <c r="HA26" s="893">
        <f t="shared" si="85"/>
        <v>0.81366459627329191</v>
      </c>
      <c r="HB26" s="892">
        <f>'RRT - Subgrupo - IGEO'!FC26</f>
        <v>13</v>
      </c>
      <c r="HC26" s="895">
        <f t="shared" si="86"/>
        <v>4.7619047619047616E-2</v>
      </c>
      <c r="HD26" s="892">
        <f>'RRT - Subgrupo - IGEO'!FD26</f>
        <v>260</v>
      </c>
      <c r="HE26" s="893">
        <f t="shared" si="87"/>
        <v>0.95238095238095233</v>
      </c>
    </row>
    <row r="27" spans="1:213" s="876" customFormat="1" ht="18.75">
      <c r="A27" s="891" t="s">
        <v>112</v>
      </c>
      <c r="B27" s="892">
        <f>'RRT - Subgrupo - IGEO'!C27</f>
        <v>1561</v>
      </c>
      <c r="C27" s="893">
        <f t="shared" si="0"/>
        <v>0.43688776938147217</v>
      </c>
      <c r="D27" s="892">
        <f>'RRT - Subgrupo - IGEO'!D27</f>
        <v>2012</v>
      </c>
      <c r="E27" s="893">
        <f t="shared" si="1"/>
        <v>0.56311223061852789</v>
      </c>
      <c r="F27" s="894">
        <f>'RRT - Subgrupo - IGEO'!F27</f>
        <v>222</v>
      </c>
      <c r="G27" s="893">
        <f t="shared" si="2"/>
        <v>0.42285714285714288</v>
      </c>
      <c r="H27" s="892">
        <f>'RRT - Subgrupo - IGEO'!G27</f>
        <v>303</v>
      </c>
      <c r="I27" s="893">
        <f t="shared" si="3"/>
        <v>0.57714285714285718</v>
      </c>
      <c r="J27" s="892">
        <f>'RRT - Subgrupo - IGEO'!I27</f>
        <v>34</v>
      </c>
      <c r="K27" s="895">
        <f t="shared" si="4"/>
        <v>0.45945945945945948</v>
      </c>
      <c r="L27" s="892">
        <f>'RRT - Subgrupo - IGEO'!J27</f>
        <v>40</v>
      </c>
      <c r="M27" s="893">
        <f t="shared" si="5"/>
        <v>0.54054054054054057</v>
      </c>
      <c r="N27" s="896">
        <f>'RRT - Subgrupo - IGEO'!L27</f>
        <v>156</v>
      </c>
      <c r="O27" s="895">
        <f t="shared" si="6"/>
        <v>0.27956989247311825</v>
      </c>
      <c r="P27" s="892">
        <f>'RRT - Subgrupo - IGEO'!P27</f>
        <v>402</v>
      </c>
      <c r="Q27" s="893">
        <f t="shared" si="7"/>
        <v>0.72043010752688175</v>
      </c>
      <c r="R27" s="892">
        <f>'RRT - Subgrupo - IGEO'!O27</f>
        <v>346</v>
      </c>
      <c r="S27" s="895">
        <f t="shared" si="8"/>
        <v>0.46256684491978611</v>
      </c>
      <c r="T27" s="892">
        <f>'RRT - Subgrupo - IGEO'!P27</f>
        <v>402</v>
      </c>
      <c r="U27" s="893">
        <f t="shared" si="9"/>
        <v>0.53743315508021394</v>
      </c>
      <c r="V27" s="892">
        <f>'RRT - Subgrupo - IGEO'!R27</f>
        <v>38</v>
      </c>
      <c r="W27" s="895">
        <f t="shared" si="10"/>
        <v>0.64406779661016944</v>
      </c>
      <c r="X27" s="896">
        <f>'RRT - Subgrupo - IGEO'!S27</f>
        <v>21</v>
      </c>
      <c r="Y27" s="893">
        <f t="shared" si="11"/>
        <v>0.3559322033898305</v>
      </c>
      <c r="Z27" s="892">
        <f>'RRT - Subgrupo - IGEO'!U27</f>
        <v>130</v>
      </c>
      <c r="AA27" s="895">
        <f t="shared" si="12"/>
        <v>0.53278688524590168</v>
      </c>
      <c r="AB27" s="892">
        <f>'RRT - Subgrupo - IGEO'!V27</f>
        <v>114</v>
      </c>
      <c r="AC27" s="893">
        <f t="shared" si="13"/>
        <v>0.46721311475409838</v>
      </c>
      <c r="AD27" s="892">
        <f>'RRT - Subgrupo - IGEO'!X27</f>
        <v>318</v>
      </c>
      <c r="AE27" s="895">
        <f t="shared" si="14"/>
        <v>0.594392523364486</v>
      </c>
      <c r="AF27" s="892">
        <f>'RRT - Subgrupo - IGEO'!Y27</f>
        <v>217</v>
      </c>
      <c r="AG27" s="893">
        <f t="shared" si="15"/>
        <v>0.405607476635514</v>
      </c>
      <c r="AH27" s="892">
        <f>'RRT - Subgrupo - IGEO'!AA27</f>
        <v>25</v>
      </c>
      <c r="AI27" s="895">
        <f t="shared" si="16"/>
        <v>0.73529411764705888</v>
      </c>
      <c r="AJ27" s="892">
        <f>'RRT - Subgrupo - IGEO'!AB27</f>
        <v>9</v>
      </c>
      <c r="AK27" s="893">
        <f t="shared" si="17"/>
        <v>0.26470588235294118</v>
      </c>
      <c r="AL27" s="892">
        <f>'RRT - Subgrupo - IGEO'!AD27</f>
        <v>82</v>
      </c>
      <c r="AM27" s="895">
        <f t="shared" si="18"/>
        <v>0.7592592592592593</v>
      </c>
      <c r="AN27" s="892">
        <f>'RRT - Subgrupo - IGEO'!AE27</f>
        <v>26</v>
      </c>
      <c r="AO27" s="893">
        <f t="shared" si="19"/>
        <v>0.24074074074074073</v>
      </c>
      <c r="AP27" s="896">
        <f>'RRT - Subgrupo - IGEO'!AG27</f>
        <v>9</v>
      </c>
      <c r="AQ27" s="895">
        <f t="shared" si="20"/>
        <v>0.52941176470588236</v>
      </c>
      <c r="AR27" s="892">
        <f>'RRT - Subgrupo - IGEO'!AH27</f>
        <v>8</v>
      </c>
      <c r="AS27" s="893">
        <f t="shared" si="21"/>
        <v>0.47058823529411764</v>
      </c>
      <c r="AT27" s="892">
        <f>'RRT - Subgrupo - IGEO'!AJ27</f>
        <v>744</v>
      </c>
      <c r="AU27" s="895">
        <f t="shared" si="22"/>
        <v>0.45200486026731468</v>
      </c>
      <c r="AV27" s="892">
        <f>'RRT - Subgrupo - IGEO'!AK27</f>
        <v>902</v>
      </c>
      <c r="AW27" s="893">
        <f t="shared" si="23"/>
        <v>0.54799513973268532</v>
      </c>
      <c r="AX27" s="892">
        <f>'RRT - Subgrupo - IGEO'!AM27</f>
        <v>218</v>
      </c>
      <c r="AY27" s="895">
        <f t="shared" si="24"/>
        <v>0.45606694560669458</v>
      </c>
      <c r="AZ27" s="892">
        <f>'RRT - Subgrupo - IGEO'!AN27</f>
        <v>260</v>
      </c>
      <c r="BA27" s="893">
        <f t="shared" si="25"/>
        <v>0.54393305439330542</v>
      </c>
      <c r="BB27" s="892">
        <f>'RRT - Subgrupo - IGEO'!AP27</f>
        <v>18</v>
      </c>
      <c r="BC27" s="895">
        <f t="shared" si="26"/>
        <v>0.78260869565217395</v>
      </c>
      <c r="BD27" s="892">
        <f>'RRT - Subgrupo - IGEO'!AQ27</f>
        <v>5</v>
      </c>
      <c r="BE27" s="893">
        <f t="shared" si="27"/>
        <v>0.21739130434782608</v>
      </c>
      <c r="BF27" s="892">
        <f>'RRT - Subgrupo - IGEO'!AS27</f>
        <v>52</v>
      </c>
      <c r="BG27" s="895">
        <f t="shared" si="28"/>
        <v>0.45217391304347826</v>
      </c>
      <c r="BH27" s="892">
        <f>'RRT - Subgrupo - IGEO'!AT27</f>
        <v>63</v>
      </c>
      <c r="BI27" s="893">
        <f t="shared" si="29"/>
        <v>0.54782608695652169</v>
      </c>
      <c r="BJ27" s="892">
        <f>'RRT - Subgrupo - IGEO'!AV27</f>
        <v>262</v>
      </c>
      <c r="BK27" s="895">
        <f t="shared" si="30"/>
        <v>0.49340866290018831</v>
      </c>
      <c r="BL27" s="892">
        <f>'RRT - Subgrupo - IGEO'!AW27</f>
        <v>269</v>
      </c>
      <c r="BM27" s="893">
        <f t="shared" si="31"/>
        <v>0.50659133709981163</v>
      </c>
      <c r="BN27" s="892">
        <f>'RRT - Subgrupo - IGEO'!AY27</f>
        <v>7</v>
      </c>
      <c r="BO27" s="895">
        <f t="shared" si="32"/>
        <v>0.875</v>
      </c>
      <c r="BP27" s="892">
        <f>'RRT - Subgrupo - IGEO'!AZ27</f>
        <v>1</v>
      </c>
      <c r="BQ27" s="893">
        <f t="shared" si="33"/>
        <v>0.125</v>
      </c>
      <c r="BR27" s="892">
        <f>'RRT - Subgrupo - IGEO'!BB27</f>
        <v>13</v>
      </c>
      <c r="BS27" s="895">
        <f t="shared" si="34"/>
        <v>0.8666666666666667</v>
      </c>
      <c r="BT27" s="892">
        <f>'RRT - Subgrupo - IGEO'!BC27</f>
        <v>2</v>
      </c>
      <c r="BU27" s="893">
        <f t="shared" si="35"/>
        <v>0.13333333333333333</v>
      </c>
      <c r="BV27" s="892">
        <f>'RRT - Subgrupo - IGEO'!BE27</f>
        <v>26</v>
      </c>
      <c r="BW27" s="895">
        <f t="shared" si="36"/>
        <v>0.96296296296296291</v>
      </c>
      <c r="BX27" s="892">
        <f>'RRT - Subgrupo - IGEO'!BF27</f>
        <v>1</v>
      </c>
      <c r="BY27" s="893">
        <f t="shared" si="37"/>
        <v>3.7037037037037035E-2</v>
      </c>
      <c r="BZ27" s="892">
        <f>'RRT - Subgrupo - IGEO'!BH27</f>
        <v>4</v>
      </c>
      <c r="CA27" s="895">
        <f t="shared" si="38"/>
        <v>0.8</v>
      </c>
      <c r="CB27" s="892">
        <f>'RRT - Subgrupo - IGEO'!BI27</f>
        <v>1</v>
      </c>
      <c r="CC27" s="893">
        <f t="shared" si="39"/>
        <v>0.2</v>
      </c>
      <c r="CD27" s="892">
        <f>'RRT - Subgrupo - IGEO'!BK27</f>
        <v>13</v>
      </c>
      <c r="CE27" s="895">
        <f t="shared" si="40"/>
        <v>0.4642857142857143</v>
      </c>
      <c r="CF27" s="892">
        <f>'RRT - Subgrupo - IGEO'!BL27</f>
        <v>15</v>
      </c>
      <c r="CG27" s="893">
        <f t="shared" si="41"/>
        <v>0.5357142857142857</v>
      </c>
      <c r="CH27" s="896">
        <f>'RRT - Subgrupo - IGEO'!BN27</f>
        <v>1</v>
      </c>
      <c r="CI27" s="895">
        <f t="shared" si="42"/>
        <v>0.5</v>
      </c>
      <c r="CJ27" s="896">
        <f>'RRT - Subgrupo - IGEO'!BO27</f>
        <v>1</v>
      </c>
      <c r="CK27" s="893">
        <f t="shared" si="43"/>
        <v>0.5</v>
      </c>
      <c r="CL27" s="896">
        <f>'RRT - Subgrupo - IGEO'!BQ27</f>
        <v>0</v>
      </c>
      <c r="CM27" s="895">
        <f t="shared" si="44"/>
        <v>0</v>
      </c>
      <c r="CN27" s="896">
        <f>'RRT - Subgrupo - IGEO'!BR27</f>
        <v>1</v>
      </c>
      <c r="CO27" s="893">
        <f t="shared" si="45"/>
        <v>1</v>
      </c>
      <c r="CP27" s="896">
        <f>'RRT - Subgrupo - IGEO'!BT27</f>
        <v>4</v>
      </c>
      <c r="CQ27" s="895">
        <f t="shared" si="88"/>
        <v>0.44444444444444442</v>
      </c>
      <c r="CR27" s="896">
        <f>'RRT - Subgrupo - IGEO'!BU27</f>
        <v>5</v>
      </c>
      <c r="CS27" s="893">
        <f t="shared" si="89"/>
        <v>0.55555555555555558</v>
      </c>
      <c r="CT27" s="896">
        <f>'RRT - Subgrupo - IGEO'!BW27</f>
        <v>1</v>
      </c>
      <c r="CU27" s="895">
        <f t="shared" si="46"/>
        <v>0.33333333333333331</v>
      </c>
      <c r="CV27" s="896">
        <f>'RRT - Subgrupo - IGEO'!BX27</f>
        <v>2</v>
      </c>
      <c r="CW27" s="893">
        <f t="shared" si="47"/>
        <v>0.66666666666666663</v>
      </c>
      <c r="CX27" s="896">
        <f>'RRT - Subgrupo - IGEO'!BZ27</f>
        <v>23</v>
      </c>
      <c r="CY27" s="895">
        <f t="shared" si="48"/>
        <v>0.54761904761904767</v>
      </c>
      <c r="CZ27" s="896">
        <f>'RRT - Subgrupo - IGEO'!CA27</f>
        <v>19</v>
      </c>
      <c r="DA27" s="893">
        <f t="shared" si="49"/>
        <v>0.45238095238095238</v>
      </c>
      <c r="DB27" s="896">
        <f>'RRT - Subgrupo - IGEO'!CC27</f>
        <v>18</v>
      </c>
      <c r="DC27" s="895">
        <f t="shared" si="50"/>
        <v>0.54545454545454541</v>
      </c>
      <c r="DD27" s="896">
        <f>'RRT - Subgrupo - IGEO'!CD27</f>
        <v>15</v>
      </c>
      <c r="DE27" s="893">
        <f t="shared" si="51"/>
        <v>0.45454545454545453</v>
      </c>
      <c r="DF27" s="892">
        <f>'RRT - Subgrupo - IGEO'!CF27</f>
        <v>44</v>
      </c>
      <c r="DG27" s="895">
        <f t="shared" si="52"/>
        <v>0.45360824742268041</v>
      </c>
      <c r="DH27" s="892">
        <f>'RRT - Subgrupo - IGEO'!CG27</f>
        <v>53</v>
      </c>
      <c r="DI27" s="893">
        <f t="shared" si="53"/>
        <v>0.54639175257731953</v>
      </c>
      <c r="DJ27" s="892">
        <f>'RRT - Subgrupo - IGEO'!CI27</f>
        <v>27</v>
      </c>
      <c r="DK27" s="895">
        <f t="shared" si="54"/>
        <v>0.54</v>
      </c>
      <c r="DL27" s="892">
        <f>'RRT - Subgrupo - IGEO'!CJ27</f>
        <v>23</v>
      </c>
      <c r="DM27" s="893">
        <f t="shared" si="55"/>
        <v>0.46</v>
      </c>
      <c r="DN27" s="892"/>
      <c r="DO27" s="895"/>
      <c r="DP27" s="892"/>
      <c r="DQ27" s="893"/>
      <c r="DR27" s="892">
        <f>'RRT - Subgrupo - IGEO'!CO27</f>
        <v>2</v>
      </c>
      <c r="DS27" s="895">
        <f t="shared" si="56"/>
        <v>0.5</v>
      </c>
      <c r="DT27" s="892">
        <f>'RRT - Subgrupo - IGEO'!CP27</f>
        <v>2</v>
      </c>
      <c r="DU27" s="893">
        <f t="shared" si="57"/>
        <v>0.5</v>
      </c>
      <c r="DV27" s="892">
        <f>'RRT - Subgrupo - IGEO'!CR27</f>
        <v>3</v>
      </c>
      <c r="DW27" s="895">
        <f t="shared" si="58"/>
        <v>0.3</v>
      </c>
      <c r="DX27" s="892">
        <f>'RRT - Subgrupo - IGEO'!CS27</f>
        <v>7</v>
      </c>
      <c r="DY27" s="893">
        <f t="shared" si="59"/>
        <v>0.7</v>
      </c>
      <c r="DZ27" s="892">
        <f>'RRT - Subgrupo - IGEO'!CU27</f>
        <v>2</v>
      </c>
      <c r="EA27" s="895">
        <f t="shared" si="60"/>
        <v>0.18181818181818182</v>
      </c>
      <c r="EB27" s="892">
        <f>'RRT - Subgrupo - IGEO'!CV27</f>
        <v>9</v>
      </c>
      <c r="EC27" s="893">
        <f t="shared" si="61"/>
        <v>0.81818181818181823</v>
      </c>
      <c r="ED27" s="892">
        <f>'RRT - Subgrupo - IGEO'!CX27</f>
        <v>7</v>
      </c>
      <c r="EE27" s="895">
        <f t="shared" si="62"/>
        <v>0.25</v>
      </c>
      <c r="EF27" s="892">
        <f>'RRT - Subgrupo - IGEO'!CY27</f>
        <v>21</v>
      </c>
      <c r="EG27" s="893">
        <f t="shared" si="63"/>
        <v>0.75</v>
      </c>
      <c r="EH27" s="892">
        <f>'RRT - Subgrupo - IGEO'!DA27</f>
        <v>62</v>
      </c>
      <c r="EI27" s="895">
        <f t="shared" si="64"/>
        <v>0.53913043478260869</v>
      </c>
      <c r="EJ27" s="892">
        <f>'RRT - Subgrupo - IGEO'!DB27</f>
        <v>53</v>
      </c>
      <c r="EK27" s="893">
        <f t="shared" si="65"/>
        <v>0.46086956521739131</v>
      </c>
      <c r="EL27" s="897">
        <f>'RRT - Subgrupo - IGEO'!DD27</f>
        <v>1</v>
      </c>
      <c r="EM27" s="895">
        <f t="shared" si="66"/>
        <v>1</v>
      </c>
      <c r="EN27" s="897">
        <f>'RRT - Subgrupo - IGEO'!DE27</f>
        <v>0</v>
      </c>
      <c r="EO27" s="893">
        <f t="shared" si="67"/>
        <v>0</v>
      </c>
      <c r="EP27" s="897">
        <f>'RRT - Subgrupo - IGEO'!DG27</f>
        <v>35</v>
      </c>
      <c r="EQ27" s="895">
        <f t="shared" si="68"/>
        <v>0.25362318840579712</v>
      </c>
      <c r="ER27" s="897">
        <f>'RRT - Subgrupo - IGEO'!DH27</f>
        <v>103</v>
      </c>
      <c r="ES27" s="893">
        <f t="shared" si="69"/>
        <v>0.74637681159420288</v>
      </c>
      <c r="ET27" s="897">
        <f>'RRT - Subgrupo - IGEO'!DJ27</f>
        <v>110</v>
      </c>
      <c r="EU27" s="895">
        <f t="shared" si="70"/>
        <v>0.5</v>
      </c>
      <c r="EV27" s="897">
        <f>'RRT - Subgrupo - IGEO'!DK27</f>
        <v>110</v>
      </c>
      <c r="EW27" s="893">
        <f t="shared" si="71"/>
        <v>0.5</v>
      </c>
      <c r="EX27" s="897">
        <f>'RRT - Subgrupo - IGEO'!DM27</f>
        <v>9</v>
      </c>
      <c r="EY27" s="895">
        <f t="shared" si="72"/>
        <v>0.5625</v>
      </c>
      <c r="EZ27" s="897">
        <f>'RRT - Subgrupo - IGEO'!DN27</f>
        <v>7</v>
      </c>
      <c r="FA27" s="893">
        <f t="shared" si="73"/>
        <v>0.4375</v>
      </c>
      <c r="FB27" s="897"/>
      <c r="FC27" s="895"/>
      <c r="FD27" s="897"/>
      <c r="FE27" s="893"/>
      <c r="FF27" s="897"/>
      <c r="FG27" s="895"/>
      <c r="FH27" s="897"/>
      <c r="FI27" s="893"/>
      <c r="FJ27" s="897">
        <f>'RRT - Subgrupo - IGEO'!DV27</f>
        <v>13</v>
      </c>
      <c r="FK27" s="895">
        <f t="shared" si="74"/>
        <v>0.65</v>
      </c>
      <c r="FL27" s="897">
        <f>'RRT - Subgrupo - IGEO'!DW27</f>
        <v>7</v>
      </c>
      <c r="FM27" s="893">
        <f t="shared" si="75"/>
        <v>0.35</v>
      </c>
      <c r="FN27" s="897"/>
      <c r="FO27" s="895"/>
      <c r="FP27" s="897"/>
      <c r="FQ27" s="893"/>
      <c r="FR27" s="892"/>
      <c r="FS27" s="895"/>
      <c r="FT27" s="892"/>
      <c r="FU27" s="893"/>
      <c r="FV27" s="892"/>
      <c r="FW27" s="895"/>
      <c r="FX27" s="892"/>
      <c r="FY27" s="893"/>
      <c r="FZ27" s="892"/>
      <c r="GA27" s="895"/>
      <c r="GB27" s="892"/>
      <c r="GC27" s="893"/>
      <c r="GD27" s="892">
        <f>'RRT - Subgrupo - IGEO'!EK27</f>
        <v>9</v>
      </c>
      <c r="GE27" s="895">
        <f t="shared" si="82"/>
        <v>1</v>
      </c>
      <c r="GF27" s="892">
        <f>'RRT - Subgrupo - IGEO'!EL27</f>
        <v>0</v>
      </c>
      <c r="GG27" s="893">
        <f t="shared" si="83"/>
        <v>0</v>
      </c>
      <c r="GH27" s="892">
        <f>'RRT - Subgrupo - IGEO'!EN27</f>
        <v>2</v>
      </c>
      <c r="GI27" s="895">
        <f t="shared" si="92"/>
        <v>1</v>
      </c>
      <c r="GJ27" s="892">
        <f>'RRT - Subgrupo - IGEO'!EO27</f>
        <v>0</v>
      </c>
      <c r="GK27" s="893">
        <f t="shared" si="93"/>
        <v>0</v>
      </c>
      <c r="GL27" s="892"/>
      <c r="GM27" s="895"/>
      <c r="GN27" s="892"/>
      <c r="GO27" s="893"/>
      <c r="GP27" s="892"/>
      <c r="GQ27" s="895"/>
      <c r="GR27" s="892"/>
      <c r="GS27" s="893"/>
      <c r="GT27" s="892"/>
      <c r="GU27" s="895"/>
      <c r="GV27" s="892"/>
      <c r="GW27" s="893"/>
      <c r="GX27" s="892"/>
      <c r="GY27" s="895"/>
      <c r="GZ27" s="892"/>
      <c r="HA27" s="893"/>
      <c r="HB27" s="892">
        <f>'RRT - Subgrupo - IGEO'!FC27</f>
        <v>1</v>
      </c>
      <c r="HC27" s="895">
        <f t="shared" si="86"/>
        <v>0.33333333333333331</v>
      </c>
      <c r="HD27" s="892">
        <f>'RRT - Subgrupo - IGEO'!FD27</f>
        <v>2</v>
      </c>
      <c r="HE27" s="893">
        <f t="shared" si="87"/>
        <v>0.66666666666666663</v>
      </c>
    </row>
    <row r="28" spans="1:213" s="876" customFormat="1" ht="18.75">
      <c r="A28" s="891" t="s">
        <v>111</v>
      </c>
      <c r="B28" s="892">
        <f>'RRT - Subgrupo - IGEO'!C28</f>
        <v>48691</v>
      </c>
      <c r="C28" s="893">
        <f t="shared" ref="C28:C29" si="106">IFERROR(B28/(B28+D28),0)</f>
        <v>0.51203558621559941</v>
      </c>
      <c r="D28" s="892">
        <f>'RRT - Subgrupo - IGEO'!D28</f>
        <v>46402</v>
      </c>
      <c r="E28" s="893">
        <f t="shared" ref="E28:E29" si="107">IFERROR(D28/(D28+B28),0)</f>
        <v>0.48796441378440053</v>
      </c>
      <c r="F28" s="894">
        <f>'RRT - Subgrupo - IGEO'!F28</f>
        <v>3987</v>
      </c>
      <c r="G28" s="893">
        <f t="shared" ref="G28:G29" si="108">IFERROR(F28/(F28+H28),0)</f>
        <v>0.58255406195207482</v>
      </c>
      <c r="H28" s="892">
        <f>'RRT - Subgrupo - IGEO'!G28</f>
        <v>2857</v>
      </c>
      <c r="I28" s="893">
        <f t="shared" ref="I28:I29" si="109">IFERROR(H28/(H28+F28),0)</f>
        <v>0.41744593804792518</v>
      </c>
      <c r="J28" s="892">
        <f>'RRT - Subgrupo - IGEO'!I28</f>
        <v>972</v>
      </c>
      <c r="K28" s="895">
        <f t="shared" ref="K28:K29" si="110">IFERROR(J28/(J28+L28),0)</f>
        <v>0.60260384376937381</v>
      </c>
      <c r="L28" s="892">
        <f>'RRT - Subgrupo - IGEO'!J28</f>
        <v>641</v>
      </c>
      <c r="M28" s="893">
        <f t="shared" ref="M28:M29" si="111">IFERROR(L28/(L28+J28),0)</f>
        <v>0.39739615623062619</v>
      </c>
      <c r="N28" s="896">
        <f>'RRT - Subgrupo - IGEO'!L28</f>
        <v>3556</v>
      </c>
      <c r="O28" s="895">
        <f t="shared" ref="O28:O29" si="112">IFERROR(N28/(N28+P28),0)</f>
        <v>0.356312625250501</v>
      </c>
      <c r="P28" s="892">
        <f>'RRT - Subgrupo - IGEO'!P28</f>
        <v>6424</v>
      </c>
      <c r="Q28" s="893">
        <f t="shared" ref="Q28:Q29" si="113">IFERROR(P28/(P28+N28),0)</f>
        <v>0.643687374749499</v>
      </c>
      <c r="R28" s="892">
        <f>'RRT - Subgrupo - IGEO'!O28</f>
        <v>9634</v>
      </c>
      <c r="S28" s="895">
        <f t="shared" ref="S28:S29" si="114">IFERROR(R28/(R28+T28),0)</f>
        <v>0.59995018059534189</v>
      </c>
      <c r="T28" s="892">
        <f>'RRT - Subgrupo - IGEO'!P28</f>
        <v>6424</v>
      </c>
      <c r="U28" s="893">
        <f t="shared" ref="U28:U29" si="115">IFERROR(T28/(T28+R28),0)</f>
        <v>0.40004981940465811</v>
      </c>
      <c r="V28" s="892">
        <f>'RRT - Subgrupo - IGEO'!R28</f>
        <v>526</v>
      </c>
      <c r="W28" s="895">
        <f t="shared" ref="W28:W29" si="116">IFERROR(V28/(V28+X28),0)</f>
        <v>0.54507772020725387</v>
      </c>
      <c r="X28" s="896">
        <f>'RRT - Subgrupo - IGEO'!S28</f>
        <v>439</v>
      </c>
      <c r="Y28" s="893">
        <f t="shared" ref="Y28:Y29" si="117">IFERROR(X28/(X28+V28),0)</f>
        <v>0.45492227979274613</v>
      </c>
      <c r="Z28" s="892">
        <f>'RRT - Subgrupo - IGEO'!U28</f>
        <v>1719</v>
      </c>
      <c r="AA28" s="895">
        <f t="shared" ref="AA28:AA29" si="118">IFERROR(Z28/(Z28+AB28),0)</f>
        <v>0.50277859023106175</v>
      </c>
      <c r="AB28" s="892">
        <f>'RRT - Subgrupo - IGEO'!V28</f>
        <v>1700</v>
      </c>
      <c r="AC28" s="893">
        <f t="shared" ref="AC28:AC29" si="119">IFERROR(AB28/(AB28+Z28),0)</f>
        <v>0.4972214097689383</v>
      </c>
      <c r="AD28" s="892">
        <f>'RRT - Subgrupo - IGEO'!X28</f>
        <v>5320</v>
      </c>
      <c r="AE28" s="895">
        <f t="shared" ref="AE28:AE29" si="120">IFERROR(AD28/(AD28+AF28),0)</f>
        <v>0.5658972449739389</v>
      </c>
      <c r="AF28" s="892">
        <f>'RRT - Subgrupo - IGEO'!Y28</f>
        <v>4081</v>
      </c>
      <c r="AG28" s="893">
        <f t="shared" ref="AG28:AG29" si="121">IFERROR(AF28/(AF28+AD28),0)</f>
        <v>0.43410275502606105</v>
      </c>
      <c r="AH28" s="892">
        <f>'RRT - Subgrupo - IGEO'!AA28</f>
        <v>851</v>
      </c>
      <c r="AI28" s="895">
        <f t="shared" ref="AI28:AI29" si="122">IFERROR(AH28/(AH28+AJ28),0)</f>
        <v>0.65011459129106186</v>
      </c>
      <c r="AJ28" s="892">
        <f>'RRT - Subgrupo - IGEO'!AB28</f>
        <v>458</v>
      </c>
      <c r="AK28" s="893">
        <f t="shared" ref="AK28:AK29" si="123">IFERROR(AJ28/(AJ28+AH28),0)</f>
        <v>0.34988540870893814</v>
      </c>
      <c r="AL28" s="892">
        <f>'RRT - Subgrupo - IGEO'!AD28</f>
        <v>651</v>
      </c>
      <c r="AM28" s="895">
        <f t="shared" ref="AM28:AM29" si="124">IFERROR(AL28/(AL28+AN28),0)</f>
        <v>0.53229762878168441</v>
      </c>
      <c r="AN28" s="892">
        <f>'RRT - Subgrupo - IGEO'!AE28</f>
        <v>572</v>
      </c>
      <c r="AO28" s="893">
        <f t="shared" ref="AO28:AO29" si="125">IFERROR(AN28/(AN28+AL28),0)</f>
        <v>0.46770237121831559</v>
      </c>
      <c r="AP28" s="896">
        <f>'RRT - Subgrupo - IGEO'!AG28</f>
        <v>86</v>
      </c>
      <c r="AQ28" s="895">
        <f t="shared" ref="AQ28:AQ29" si="126">IFERROR(AP28/(AP28+AR28),0)</f>
        <v>0.53749999999999998</v>
      </c>
      <c r="AR28" s="892">
        <f>'RRT - Subgrupo - IGEO'!AH28</f>
        <v>74</v>
      </c>
      <c r="AS28" s="893">
        <f t="shared" ref="AS28:AS29" si="127">IFERROR(AR28/(AR28+AP28),0)</f>
        <v>0.46250000000000002</v>
      </c>
      <c r="AT28" s="892">
        <f>'RRT - Subgrupo - IGEO'!AJ28</f>
        <v>32565</v>
      </c>
      <c r="AU28" s="895">
        <f t="shared" ref="AU28:AU29" si="128">IFERROR(AT28/(AT28+AV28),0)</f>
        <v>0.52965860481759186</v>
      </c>
      <c r="AV28" s="892">
        <f>'RRT - Subgrupo - IGEO'!AK28</f>
        <v>28918</v>
      </c>
      <c r="AW28" s="893">
        <f t="shared" ref="AW28:AW29" si="129">IFERROR(AV28/(AV28+AT28),0)</f>
        <v>0.47034139518240814</v>
      </c>
      <c r="AX28" s="892">
        <f>'RRT - Subgrupo - IGEO'!AM28</f>
        <v>3653</v>
      </c>
      <c r="AY28" s="895">
        <f t="shared" ref="AY28:AY29" si="130">IFERROR(AX28/(AX28+AZ28),0)</f>
        <v>0.52342742513254048</v>
      </c>
      <c r="AZ28" s="892">
        <f>'RRT - Subgrupo - IGEO'!AN28</f>
        <v>3326</v>
      </c>
      <c r="BA28" s="893">
        <f t="shared" ref="BA28:BA29" si="131">IFERROR(AZ28/(AZ28+AX28),0)</f>
        <v>0.47657257486745952</v>
      </c>
      <c r="BB28" s="892">
        <f>'RRT - Subgrupo - IGEO'!AP28</f>
        <v>1022</v>
      </c>
      <c r="BC28" s="895">
        <f t="shared" ref="BC28:BC29" si="132">IFERROR(BB28/(BB28+BD28),0)</f>
        <v>0.50369640216855593</v>
      </c>
      <c r="BD28" s="892">
        <f>'RRT - Subgrupo - IGEO'!AQ28</f>
        <v>1007</v>
      </c>
      <c r="BE28" s="893">
        <f t="shared" ref="BE28:BE29" si="133">IFERROR(BD28/(BD28+BB28),0)</f>
        <v>0.49630359783144407</v>
      </c>
      <c r="BF28" s="892">
        <f>'RRT - Subgrupo - IGEO'!AS28</f>
        <v>9957</v>
      </c>
      <c r="BG28" s="895">
        <f t="shared" ref="BG28:BG29" si="134">IFERROR(BF28/(BF28+BH28),0)</f>
        <v>0.3972630067028407</v>
      </c>
      <c r="BH28" s="892">
        <f>'RRT - Subgrupo - IGEO'!AT28</f>
        <v>15107</v>
      </c>
      <c r="BI28" s="893">
        <f t="shared" ref="BI28:BI29" si="135">IFERROR(BH28/(BH28+BF28),0)</f>
        <v>0.60273699329715924</v>
      </c>
      <c r="BJ28" s="892">
        <f>'RRT - Subgrupo - IGEO'!AV28</f>
        <v>13215</v>
      </c>
      <c r="BK28" s="895">
        <f t="shared" ref="BK28:BK29" si="136">IFERROR(BJ28/(BJ28+BL28),0)</f>
        <v>0.58162052726552527</v>
      </c>
      <c r="BL28" s="892">
        <f>'RRT - Subgrupo - IGEO'!AW28</f>
        <v>9506</v>
      </c>
      <c r="BM28" s="893">
        <f t="shared" ref="BM28:BM29" si="137">IFERROR(BL28/(BL28+BJ28),0)</f>
        <v>0.41837947273447473</v>
      </c>
      <c r="BN28" s="892">
        <f>'RRT - Subgrupo - IGEO'!AY28</f>
        <v>57</v>
      </c>
      <c r="BO28" s="895">
        <f t="shared" ref="BO28:BO29" si="138">IFERROR(BN28/(BN28+BP28),0)</f>
        <v>0.40140845070422537</v>
      </c>
      <c r="BP28" s="892">
        <f>'RRT - Subgrupo - IGEO'!AZ28</f>
        <v>85</v>
      </c>
      <c r="BQ28" s="893">
        <f t="shared" ref="BQ28:BQ29" si="139">IFERROR(BP28/(BP28+BN28),0)</f>
        <v>0.59859154929577463</v>
      </c>
      <c r="BR28" s="892">
        <f>'RRT - Subgrupo - IGEO'!BB28</f>
        <v>222</v>
      </c>
      <c r="BS28" s="895">
        <f t="shared" ref="BS28:BS29" si="140">IFERROR(BR28/(BR28+BT28),0)</f>
        <v>0.59199999999999997</v>
      </c>
      <c r="BT28" s="892">
        <f>'RRT - Subgrupo - IGEO'!BC28</f>
        <v>153</v>
      </c>
      <c r="BU28" s="893">
        <f t="shared" ref="BU28:BU29" si="141">IFERROR(BT28/(BT28+BR28),0)</f>
        <v>0.40799999999999997</v>
      </c>
      <c r="BV28" s="892">
        <f>'RRT - Subgrupo - IGEO'!BE28</f>
        <v>429</v>
      </c>
      <c r="BW28" s="895">
        <f t="shared" ref="BW28:BW29" si="142">IFERROR(BV28/(BV28+BX28),0)</f>
        <v>0.65596330275229353</v>
      </c>
      <c r="BX28" s="892">
        <f>'RRT - Subgrupo - IGEO'!BF28</f>
        <v>225</v>
      </c>
      <c r="BY28" s="893">
        <f t="shared" ref="BY28:BY29" si="143">IFERROR(BX28/(BX28+BV28),0)</f>
        <v>0.34403669724770641</v>
      </c>
      <c r="BZ28" s="892">
        <f>'RRT - Subgrupo - IGEO'!BH28</f>
        <v>53</v>
      </c>
      <c r="CA28" s="895">
        <f t="shared" ref="CA28:CA29" si="144">IFERROR(BZ28/(BZ28+CB28),0)</f>
        <v>0.69736842105263153</v>
      </c>
      <c r="CB28" s="892">
        <f>'RRT - Subgrupo - IGEO'!BI28</f>
        <v>23</v>
      </c>
      <c r="CC28" s="893">
        <f t="shared" ref="CC28:CC29" si="145">IFERROR(CB28/(CB28+BZ28),0)</f>
        <v>0.30263157894736842</v>
      </c>
      <c r="CD28" s="892">
        <f>'RRT - Subgrupo - IGEO'!BK28</f>
        <v>718</v>
      </c>
      <c r="CE28" s="895">
        <f t="shared" ref="CE28:CE29" si="146">IFERROR(CD28/(CD28+CF28),0)</f>
        <v>0.54892966360856266</v>
      </c>
      <c r="CF28" s="892">
        <f>'RRT - Subgrupo - IGEO'!BL28</f>
        <v>590</v>
      </c>
      <c r="CG28" s="893">
        <f t="shared" ref="CG28:CG29" si="147">IFERROR(CF28/(CF28+CD28),0)</f>
        <v>0.45107033639143729</v>
      </c>
      <c r="CH28" s="896">
        <f>'RRT - Subgrupo - IGEO'!BN28</f>
        <v>1288</v>
      </c>
      <c r="CI28" s="895">
        <f t="shared" ref="CI28:CI29" si="148">IFERROR(CH28/(CH28+CJ28),0)</f>
        <v>0.63888888888888884</v>
      </c>
      <c r="CJ28" s="896">
        <f>'RRT - Subgrupo - IGEO'!BO28</f>
        <v>728</v>
      </c>
      <c r="CK28" s="893">
        <f t="shared" ref="CK28:CK29" si="149">IFERROR(CJ28/(CJ28+CH28),0)</f>
        <v>0.3611111111111111</v>
      </c>
      <c r="CL28" s="896">
        <f>'RRT - Subgrupo - IGEO'!BQ28</f>
        <v>5181</v>
      </c>
      <c r="CM28" s="895">
        <f t="shared" ref="CM28:CM29" si="150">IFERROR(CL28/(CL28+CN28),0)</f>
        <v>0.5915058796666286</v>
      </c>
      <c r="CN28" s="896">
        <f>'RRT - Subgrupo - IGEO'!BR28</f>
        <v>3578</v>
      </c>
      <c r="CO28" s="893">
        <f t="shared" ref="CO28:CO29" si="151">IFERROR(CN28/(CN28+CL28),0)</f>
        <v>0.4084941203333714</v>
      </c>
      <c r="CP28" s="896">
        <f>'RRT - Subgrupo - IGEO'!BT28</f>
        <v>408</v>
      </c>
      <c r="CQ28" s="895">
        <f t="shared" ref="CQ28:CQ29" si="152">IFERROR(CP28/(CP28+CR28),0)</f>
        <v>0.45434298440979953</v>
      </c>
      <c r="CR28" s="896">
        <f>'RRT - Subgrupo - IGEO'!BU28</f>
        <v>490</v>
      </c>
      <c r="CS28" s="893">
        <f t="shared" ref="CS28:CS29" si="153">IFERROR(CR28/(CR28+CP28),0)</f>
        <v>0.54565701559020041</v>
      </c>
      <c r="CT28" s="896">
        <f>'RRT - Subgrupo - IGEO'!BW28</f>
        <v>790</v>
      </c>
      <c r="CU28" s="895">
        <f t="shared" ref="CU28:CU29" si="154">IFERROR(CT28/(CT28+CV28),0)</f>
        <v>0.42336548767416937</v>
      </c>
      <c r="CV28" s="896">
        <f>'RRT - Subgrupo - IGEO'!BX28</f>
        <v>1076</v>
      </c>
      <c r="CW28" s="893">
        <f t="shared" ref="CW28:CW29" si="155">IFERROR(CV28/(CV28+CT28),0)</f>
        <v>0.57663451232583063</v>
      </c>
      <c r="CX28" s="896">
        <f>'RRT - Subgrupo - IGEO'!BZ28</f>
        <v>1108</v>
      </c>
      <c r="CY28" s="895">
        <f t="shared" ref="CY28:CY29" si="156">IFERROR(CX28/(CX28+CZ28),0)</f>
        <v>0.38822704975473021</v>
      </c>
      <c r="CZ28" s="896">
        <f>'RRT - Subgrupo - IGEO'!CA28</f>
        <v>1746</v>
      </c>
      <c r="DA28" s="893">
        <f t="shared" ref="DA28:DA29" si="157">IFERROR(CZ28/(CZ28+CX28),0)</f>
        <v>0.61177295024526979</v>
      </c>
      <c r="DB28" s="896">
        <f>'RRT - Subgrupo - IGEO'!CC28</f>
        <v>794</v>
      </c>
      <c r="DC28" s="895">
        <f t="shared" ref="DC28:DC29" si="158">IFERROR(DB28/(DB28+DD28),0)</f>
        <v>0.45501432664756447</v>
      </c>
      <c r="DD28" s="896">
        <f>'RRT - Subgrupo - IGEO'!CD28</f>
        <v>951</v>
      </c>
      <c r="DE28" s="893">
        <f t="shared" ref="DE28:DE29" si="159">IFERROR(DD28/(DD28+DB28),0)</f>
        <v>0.54498567335243553</v>
      </c>
      <c r="DF28" s="892">
        <f>'RRT - Subgrupo - IGEO'!CF28</f>
        <v>1770</v>
      </c>
      <c r="DG28" s="895">
        <f t="shared" ref="DG28:DG29" si="160">IFERROR(DF28/(DF28+DH28),0)</f>
        <v>0.69221744231521309</v>
      </c>
      <c r="DH28" s="892">
        <f>'RRT - Subgrupo - IGEO'!CG28</f>
        <v>787</v>
      </c>
      <c r="DI28" s="893">
        <f t="shared" ref="DI28:DI29" si="161">IFERROR(DH28/(DH28+DF28),0)</f>
        <v>0.30778255768478685</v>
      </c>
      <c r="DJ28" s="892">
        <f>'RRT - Subgrupo - IGEO'!CI28</f>
        <v>528</v>
      </c>
      <c r="DK28" s="895">
        <f t="shared" ref="DK28:DK29" si="162">IFERROR(DJ28/(DJ28+DL28),0)</f>
        <v>0.52173913043478259</v>
      </c>
      <c r="DL28" s="892">
        <f>'RRT - Subgrupo - IGEO'!CJ28</f>
        <v>484</v>
      </c>
      <c r="DM28" s="893">
        <f t="shared" ref="DM28:DM29" si="163">IFERROR(DL28/(DL28+DJ28),0)</f>
        <v>0.47826086956521741</v>
      </c>
      <c r="DN28" s="892">
        <f>'RRT - Subgrupo - IGEO'!CL28</f>
        <v>8</v>
      </c>
      <c r="DO28" s="895">
        <f t="shared" ref="DO28" si="164">IFERROR(DN28/(DN28+DP28),0)</f>
        <v>0.5714285714285714</v>
      </c>
      <c r="DP28" s="892">
        <f>'RRT - Subgrupo - IGEO'!CM28</f>
        <v>6</v>
      </c>
      <c r="DQ28" s="893">
        <f t="shared" ref="DQ28" si="165">IFERROR(DP28/(DP28+DN28),0)</f>
        <v>0.42857142857142855</v>
      </c>
      <c r="DR28" s="892">
        <f>'RRT - Subgrupo - IGEO'!CO28</f>
        <v>100</v>
      </c>
      <c r="DS28" s="895">
        <f t="shared" ref="DS28:DS29" si="166">IFERROR(DR28/(DR28+DT28),0)</f>
        <v>0.55555555555555558</v>
      </c>
      <c r="DT28" s="892">
        <f>'RRT - Subgrupo - IGEO'!CP28</f>
        <v>80</v>
      </c>
      <c r="DU28" s="893">
        <f t="shared" ref="DU28:DU29" si="167">IFERROR(DT28/(DT28+DR28),0)</f>
        <v>0.44444444444444442</v>
      </c>
      <c r="DV28" s="892">
        <f>'RRT - Subgrupo - IGEO'!CR28</f>
        <v>1070</v>
      </c>
      <c r="DW28" s="895">
        <f t="shared" ref="DW28:DW29" si="168">IFERROR(DV28/(DV28+DX28),0)</f>
        <v>0.55845511482254695</v>
      </c>
      <c r="DX28" s="892">
        <f>'RRT - Subgrupo - IGEO'!CS28</f>
        <v>846</v>
      </c>
      <c r="DY28" s="893">
        <f t="shared" ref="DY28:DY29" si="169">IFERROR(DX28/(DX28+DV28),0)</f>
        <v>0.44154488517745305</v>
      </c>
      <c r="DZ28" s="892">
        <f>'RRT - Subgrupo - IGEO'!CU28</f>
        <v>319</v>
      </c>
      <c r="EA28" s="895">
        <f t="shared" ref="EA28:EA29" si="170">IFERROR(DZ28/(DZ28+EB28),0)</f>
        <v>0.4169934640522876</v>
      </c>
      <c r="EB28" s="892">
        <f>'RRT - Subgrupo - IGEO'!CV28</f>
        <v>446</v>
      </c>
      <c r="EC28" s="893">
        <f t="shared" ref="EC28:EC29" si="171">IFERROR(EB28/(EB28+DZ28),0)</f>
        <v>0.58300653594771246</v>
      </c>
      <c r="ED28" s="892">
        <f>'RRT - Subgrupo - IGEO'!CX28</f>
        <v>404</v>
      </c>
      <c r="EE28" s="895">
        <f t="shared" ref="EE28:EE29" si="172">IFERROR(ED28/(ED28+EF28),0)</f>
        <v>0.54816824966078692</v>
      </c>
      <c r="EF28" s="892">
        <f>'RRT - Subgrupo - IGEO'!CY28</f>
        <v>333</v>
      </c>
      <c r="EG28" s="893">
        <f t="shared" ref="EG28:EG29" si="173">IFERROR(EF28/(EF28+ED28),0)</f>
        <v>0.45183175033921302</v>
      </c>
      <c r="EH28" s="892">
        <f>'RRT - Subgrupo - IGEO'!DA28</f>
        <v>4830</v>
      </c>
      <c r="EI28" s="895">
        <f t="shared" ref="EI28:EI29" si="174">IFERROR(EH28/(EH28+EJ28),0)</f>
        <v>0.49558793351118408</v>
      </c>
      <c r="EJ28" s="892">
        <f>'RRT - Subgrupo - IGEO'!DB28</f>
        <v>4916</v>
      </c>
      <c r="EK28" s="893">
        <f t="shared" ref="EK28:EK29" si="175">IFERROR(EJ28/(EJ28+EH28),0)</f>
        <v>0.50441206648881598</v>
      </c>
      <c r="EL28" s="897">
        <f>'RRT - Subgrupo - IGEO'!DD28</f>
        <v>199</v>
      </c>
      <c r="EM28" s="895">
        <f t="shared" ref="EM28:EM29" si="176">IFERROR(EL28/(EL28+EN28),0)</f>
        <v>0.56214689265536721</v>
      </c>
      <c r="EN28" s="897">
        <f>'RRT - Subgrupo - IGEO'!DE28</f>
        <v>155</v>
      </c>
      <c r="EO28" s="893">
        <f t="shared" ref="EO28:EO29" si="177">IFERROR(EN28/(EN28+EL28),0)</f>
        <v>0.43785310734463279</v>
      </c>
      <c r="EP28" s="897">
        <f>'RRT - Subgrupo - IGEO'!DG28</f>
        <v>1366</v>
      </c>
      <c r="EQ28" s="895">
        <f t="shared" ref="EQ28:EQ29" si="178">IFERROR(EP28/(EP28+ER28),0)</f>
        <v>0.40023439789041898</v>
      </c>
      <c r="ER28" s="897">
        <f>'RRT - Subgrupo - IGEO'!DH28</f>
        <v>2047</v>
      </c>
      <c r="ES28" s="893">
        <f t="shared" ref="ES28:ES29" si="179">IFERROR(ER28/(ER28+EP28),0)</f>
        <v>0.59976560210958096</v>
      </c>
      <c r="ET28" s="897">
        <f>'RRT - Subgrupo - IGEO'!DJ28</f>
        <v>10630</v>
      </c>
      <c r="EU28" s="895">
        <f t="shared" ref="EU28:EU29" si="180">IFERROR(ET28/(ET28+EV28),0)</f>
        <v>0.52095074736584168</v>
      </c>
      <c r="EV28" s="897">
        <f>'RRT - Subgrupo - IGEO'!DK28</f>
        <v>9775</v>
      </c>
      <c r="EW28" s="893">
        <f t="shared" ref="EW28:EW29" si="181">IFERROR(EV28/(EV28+ET28),0)</f>
        <v>0.47904925263415832</v>
      </c>
      <c r="EX28" s="897">
        <f>'RRT - Subgrupo - IGEO'!DM28</f>
        <v>1218</v>
      </c>
      <c r="EY28" s="895">
        <f t="shared" ref="EY28:EY29" si="182">IFERROR(EX28/(EX28+EZ28),0)</f>
        <v>0.48180379746835444</v>
      </c>
      <c r="EZ28" s="897">
        <f>'RRT - Subgrupo - IGEO'!DN28</f>
        <v>1310</v>
      </c>
      <c r="FA28" s="893">
        <f t="shared" ref="FA28:FA29" si="183">IFERROR(EZ28/(EZ28+EX28),0)</f>
        <v>0.51819620253164556</v>
      </c>
      <c r="FB28" s="897">
        <f>'RRT - Subgrupo - IGEO'!DP28</f>
        <v>2</v>
      </c>
      <c r="FC28" s="895">
        <f t="shared" ref="FC28" si="184">IFERROR(FB28/(FB28+FD28),0)</f>
        <v>0.125</v>
      </c>
      <c r="FD28" s="897">
        <f>'RRT - Subgrupo - IGEO'!DQ28</f>
        <v>14</v>
      </c>
      <c r="FE28" s="893">
        <f t="shared" ref="FE28" si="185">IFERROR(FD28/(FD28+FB28),0)</f>
        <v>0.875</v>
      </c>
      <c r="FF28" s="897">
        <f>'RRT - Subgrupo - IGEO'!DS28</f>
        <v>2</v>
      </c>
      <c r="FG28" s="895">
        <f t="shared" ref="FG28" si="186">IFERROR(FF28/(FF28+FH28),0)</f>
        <v>0.5</v>
      </c>
      <c r="FH28" s="897">
        <f>'RRT - Subgrupo - IGEO'!DT28</f>
        <v>2</v>
      </c>
      <c r="FI28" s="893">
        <f t="shared" ref="FI28" si="187">IFERROR(FH28/(FH28+FF28),0)</f>
        <v>0.5</v>
      </c>
      <c r="FJ28" s="897">
        <f>'RRT - Subgrupo - IGEO'!DV28</f>
        <v>664</v>
      </c>
      <c r="FK28" s="895">
        <f t="shared" ref="FK28:FK29" si="188">IFERROR(FJ28/(FJ28+FL28),0)</f>
        <v>0.63601532567049812</v>
      </c>
      <c r="FL28" s="897">
        <f>'RRT - Subgrupo - IGEO'!DW28</f>
        <v>380</v>
      </c>
      <c r="FM28" s="893">
        <f t="shared" ref="FM28:FM29" si="189">IFERROR(FL28/(FL28+FJ28),0)</f>
        <v>0.36398467432950193</v>
      </c>
      <c r="FN28" s="897">
        <f>'RRT - Subgrupo - IGEO'!DY28</f>
        <v>27</v>
      </c>
      <c r="FO28" s="895">
        <f t="shared" ref="FO28" si="190">IFERROR(FN28/(FN28+FP28),0)</f>
        <v>0.44262295081967212</v>
      </c>
      <c r="FP28" s="897">
        <f>'RRT - Subgrupo - IGEO'!DZ28</f>
        <v>34</v>
      </c>
      <c r="FQ28" s="893">
        <f t="shared" ref="FQ28" si="191">IFERROR(FP28/(FP28+FN28),0)</f>
        <v>0.55737704918032782</v>
      </c>
      <c r="FR28" s="892">
        <f>'RRT - Subgrupo - IGEO'!EB28</f>
        <v>4</v>
      </c>
      <c r="FS28" s="895">
        <f t="shared" ref="FS28" si="192">IFERROR(FR28/(FR28+FT28),0)</f>
        <v>0.10526315789473684</v>
      </c>
      <c r="FT28" s="892">
        <f>'RRT - Subgrupo - IGEO'!DZ28</f>
        <v>34</v>
      </c>
      <c r="FU28" s="893">
        <f t="shared" ref="FU28" si="193">IFERROR(FT28/(FT28+FR28),0)</f>
        <v>0.89473684210526316</v>
      </c>
      <c r="FV28" s="892">
        <f>'RRT - Subgrupo - IGEO'!EE28</f>
        <v>4</v>
      </c>
      <c r="FW28" s="895">
        <f t="shared" ref="FW28" si="194">IFERROR(FV28/(FV28+FX28),0)</f>
        <v>0.8</v>
      </c>
      <c r="FX28" s="892">
        <f>'RRT - Subgrupo - IGEO'!EF28</f>
        <v>1</v>
      </c>
      <c r="FY28" s="893">
        <f t="shared" ref="FY28" si="195">IFERROR(FX28/(FX28+FV28),0)</f>
        <v>0.2</v>
      </c>
      <c r="FZ28" s="892">
        <f>'RRT - Subgrupo - IGEO'!EH28</f>
        <v>78</v>
      </c>
      <c r="GA28" s="895">
        <f t="shared" ref="GA28" si="196">IFERROR(FZ28/(FZ28+GB28),0)</f>
        <v>0.83870967741935487</v>
      </c>
      <c r="GB28" s="892">
        <f>'RRT - Subgrupo - IGEO'!EI28</f>
        <v>15</v>
      </c>
      <c r="GC28" s="893">
        <f t="shared" ref="GC28" si="197">IFERROR(GB28/(GB28+FZ28),0)</f>
        <v>0.16129032258064516</v>
      </c>
      <c r="GD28" s="892">
        <f>'RRT - Subgrupo - IGEO'!EK28</f>
        <v>247</v>
      </c>
      <c r="GE28" s="895">
        <f t="shared" ref="GE28:GE29" si="198">IFERROR(GD28/(GD28+GF28),0)</f>
        <v>0.63989637305699487</v>
      </c>
      <c r="GF28" s="892">
        <f>'RRT - Subgrupo - IGEO'!EL28</f>
        <v>139</v>
      </c>
      <c r="GG28" s="893">
        <f t="shared" ref="GG28:GG29" si="199">IFERROR(GF28/(GF28+GD28),0)</f>
        <v>0.36010362694300518</v>
      </c>
      <c r="GH28" s="892">
        <f>'RRT - Subgrupo - IGEO'!EN28</f>
        <v>76</v>
      </c>
      <c r="GI28" s="895">
        <f t="shared" ref="GI28:GI29" si="200">IFERROR(GH28/(GH28+GJ28),0)</f>
        <v>0.78350515463917525</v>
      </c>
      <c r="GJ28" s="892">
        <f>'RRT - Subgrupo - IGEO'!EO28</f>
        <v>21</v>
      </c>
      <c r="GK28" s="893">
        <f>IFERROR(GJ28/(GJ28+GH28),0)</f>
        <v>0.21649484536082475</v>
      </c>
      <c r="GL28" s="892">
        <f>'RRT - Subgrupo - IGEO'!EO28</f>
        <v>21</v>
      </c>
      <c r="GM28" s="895">
        <f t="shared" ref="GM28" si="201">IFERROR(GL28/(GL28+GN28),0)</f>
        <v>0.7</v>
      </c>
      <c r="GN28" s="892">
        <f>'RRT - Subgrupo - IGEO'!EP28</f>
        <v>9</v>
      </c>
      <c r="GO28" s="893">
        <f t="shared" ref="GO28" si="202">IFERROR(GN28/(GN28+GL28),0)</f>
        <v>0.3</v>
      </c>
      <c r="GP28" s="892">
        <f>'RRT - Subgrupo - IGEO'!EQ28</f>
        <v>2</v>
      </c>
      <c r="GQ28" s="895">
        <f t="shared" ref="GQ28" si="203">IFERROR(GP28/(GP28+GR28),0)</f>
        <v>0.22222222222222221</v>
      </c>
      <c r="GR28" s="892">
        <f>'RRT - Subgrupo - IGEO'!ER28</f>
        <v>7</v>
      </c>
      <c r="GS28" s="893">
        <f t="shared" ref="GS28" si="204">IFERROR(GR28/(GR28+GP28),0)</f>
        <v>0.77777777777777779</v>
      </c>
      <c r="GT28" s="892">
        <f>'RRT - Subgrupo - IGEO'!EW28</f>
        <v>22</v>
      </c>
      <c r="GU28" s="895">
        <f t="shared" ref="GU28" si="205">IFERROR(GT28/(GT28+GV28),0)</f>
        <v>0.59459459459459463</v>
      </c>
      <c r="GV28" s="892">
        <f>'RRT - Subgrupo - IGEO'!EX28</f>
        <v>15</v>
      </c>
      <c r="GW28" s="893">
        <f t="shared" ref="GW28" si="206">IFERROR(GV28/(GV28+GT28),0)</f>
        <v>0.40540540540540543</v>
      </c>
      <c r="GX28" s="892">
        <f>'RRT - Subgrupo - IGEO'!EZ28</f>
        <v>157</v>
      </c>
      <c r="GY28" s="895">
        <f t="shared" ref="GY28:GY29" si="207">IFERROR(GX28/(GX28+GZ28),0)</f>
        <v>0.80512820512820515</v>
      </c>
      <c r="GZ28" s="892">
        <f>'RRT - Subgrupo - IGEO'!FA28</f>
        <v>38</v>
      </c>
      <c r="HA28" s="893">
        <f t="shared" ref="HA28:HA29" si="208">IFERROR(GZ28/(GZ28+GX28),0)</f>
        <v>0.19487179487179487</v>
      </c>
      <c r="HB28" s="892">
        <f>'RRT - Subgrupo - IGEO'!FC28</f>
        <v>1274</v>
      </c>
      <c r="HC28" s="895">
        <f t="shared" ref="HC28:HC29" si="209">IFERROR(HB28/(HB28+HD28),0)</f>
        <v>0.75429248075784483</v>
      </c>
      <c r="HD28" s="892">
        <f>'RRT - Subgrupo - IGEO'!FD28</f>
        <v>415</v>
      </c>
      <c r="HE28" s="893">
        <f t="shared" ref="HE28:HE29" si="210">IFERROR(HD28/(HD28+HB28),0)</f>
        <v>0.24570751924215511</v>
      </c>
    </row>
    <row r="29" spans="1:213" s="876" customFormat="1" ht="18.75">
      <c r="A29" s="891" t="s">
        <v>113</v>
      </c>
      <c r="B29" s="892">
        <f>'RRT - Subgrupo - IGEO'!C29</f>
        <v>1376</v>
      </c>
      <c r="C29" s="893">
        <f t="shared" si="106"/>
        <v>0.60858027421494909</v>
      </c>
      <c r="D29" s="892">
        <f>'RRT - Subgrupo - IGEO'!D29</f>
        <v>885</v>
      </c>
      <c r="E29" s="893">
        <f t="shared" si="107"/>
        <v>0.39141972578505085</v>
      </c>
      <c r="F29" s="894">
        <f>'RRT - Subgrupo - IGEO'!F29</f>
        <v>677</v>
      </c>
      <c r="G29" s="893">
        <f t="shared" si="108"/>
        <v>0.76497175141242935</v>
      </c>
      <c r="H29" s="892">
        <f>'RRT - Subgrupo - IGEO'!G29</f>
        <v>208</v>
      </c>
      <c r="I29" s="893">
        <f t="shared" si="109"/>
        <v>0.23502824858757063</v>
      </c>
      <c r="J29" s="892">
        <f>'RRT - Subgrupo - IGEO'!I29</f>
        <v>37</v>
      </c>
      <c r="K29" s="895">
        <f t="shared" si="110"/>
        <v>0.59677419354838712</v>
      </c>
      <c r="L29" s="892">
        <f>'RRT - Subgrupo - IGEO'!J29</f>
        <v>25</v>
      </c>
      <c r="M29" s="893">
        <f t="shared" si="111"/>
        <v>0.40322580645161288</v>
      </c>
      <c r="N29" s="896">
        <f>'RRT - Subgrupo - IGEO'!L29</f>
        <v>62</v>
      </c>
      <c r="O29" s="895">
        <f t="shared" si="112"/>
        <v>0.18452380952380953</v>
      </c>
      <c r="P29" s="892">
        <f>'RRT - Subgrupo - IGEO'!P29</f>
        <v>274</v>
      </c>
      <c r="Q29" s="893">
        <f t="shared" si="113"/>
        <v>0.81547619047619047</v>
      </c>
      <c r="R29" s="892">
        <f>'RRT - Subgrupo - IGEO'!O29</f>
        <v>802</v>
      </c>
      <c r="S29" s="895">
        <f t="shared" si="114"/>
        <v>0.74535315985130113</v>
      </c>
      <c r="T29" s="892">
        <f>'RRT - Subgrupo - IGEO'!P29</f>
        <v>274</v>
      </c>
      <c r="U29" s="893">
        <f t="shared" si="115"/>
        <v>0.25464684014869887</v>
      </c>
      <c r="V29" s="892">
        <f>'RRT - Subgrupo - IGEO'!R29</f>
        <v>45</v>
      </c>
      <c r="W29" s="895">
        <f t="shared" si="116"/>
        <v>0.625</v>
      </c>
      <c r="X29" s="896">
        <f>'RRT - Subgrupo - IGEO'!S29</f>
        <v>27</v>
      </c>
      <c r="Y29" s="893">
        <f t="shared" si="117"/>
        <v>0.375</v>
      </c>
      <c r="Z29" s="892">
        <f>'RRT - Subgrupo - IGEO'!U29</f>
        <v>238</v>
      </c>
      <c r="AA29" s="895">
        <f t="shared" si="118"/>
        <v>0.68985507246376809</v>
      </c>
      <c r="AB29" s="892">
        <f>'RRT - Subgrupo - IGEO'!V29</f>
        <v>107</v>
      </c>
      <c r="AC29" s="893">
        <f t="shared" si="119"/>
        <v>0.31014492753623191</v>
      </c>
      <c r="AD29" s="892">
        <f>'RRT - Subgrupo - IGEO'!X29</f>
        <v>220</v>
      </c>
      <c r="AE29" s="895">
        <f t="shared" si="120"/>
        <v>0.70967741935483875</v>
      </c>
      <c r="AF29" s="892">
        <f>'RRT - Subgrupo - IGEO'!Y29</f>
        <v>90</v>
      </c>
      <c r="AG29" s="893">
        <f t="shared" si="121"/>
        <v>0.29032258064516131</v>
      </c>
      <c r="AH29" s="892">
        <f>'RRT - Subgrupo - IGEO'!AA29</f>
        <v>30</v>
      </c>
      <c r="AI29" s="895">
        <f t="shared" si="122"/>
        <v>0.90909090909090906</v>
      </c>
      <c r="AJ29" s="892">
        <f>'RRT - Subgrupo - IGEO'!AB29</f>
        <v>3</v>
      </c>
      <c r="AK29" s="893">
        <f t="shared" si="123"/>
        <v>9.0909090909090912E-2</v>
      </c>
      <c r="AL29" s="892">
        <f>'RRT - Subgrupo - IGEO'!AD29</f>
        <v>70</v>
      </c>
      <c r="AM29" s="895">
        <f t="shared" si="124"/>
        <v>0.72164948453608246</v>
      </c>
      <c r="AN29" s="892">
        <f>'RRT - Subgrupo - IGEO'!AE29</f>
        <v>27</v>
      </c>
      <c r="AO29" s="893">
        <f t="shared" si="125"/>
        <v>0.27835051546391754</v>
      </c>
      <c r="AP29" s="896">
        <f>'RRT - Subgrupo - IGEO'!AG29</f>
        <v>1</v>
      </c>
      <c r="AQ29" s="895">
        <f t="shared" si="126"/>
        <v>0.33333333333333331</v>
      </c>
      <c r="AR29" s="892">
        <f>'RRT - Subgrupo - IGEO'!AH29</f>
        <v>2</v>
      </c>
      <c r="AS29" s="893">
        <f t="shared" si="127"/>
        <v>0.66666666666666663</v>
      </c>
      <c r="AT29" s="892">
        <f>'RRT - Subgrupo - IGEO'!AJ29</f>
        <v>769</v>
      </c>
      <c r="AU29" s="895">
        <f t="shared" si="128"/>
        <v>0.72003745318352064</v>
      </c>
      <c r="AV29" s="892">
        <f>'RRT - Subgrupo - IGEO'!AK29</f>
        <v>299</v>
      </c>
      <c r="AW29" s="893">
        <f t="shared" si="129"/>
        <v>0.27996254681647942</v>
      </c>
      <c r="AX29" s="892">
        <f>'RRT - Subgrupo - IGEO'!AM29</f>
        <v>613</v>
      </c>
      <c r="AY29" s="895">
        <f t="shared" si="130"/>
        <v>0.78089171974522298</v>
      </c>
      <c r="AZ29" s="892">
        <f>'RRT - Subgrupo - IGEO'!AN29</f>
        <v>172</v>
      </c>
      <c r="BA29" s="893">
        <f t="shared" si="131"/>
        <v>0.21910828025477708</v>
      </c>
      <c r="BB29" s="892">
        <f>'RRT - Subgrupo - IGEO'!AP29</f>
        <v>26</v>
      </c>
      <c r="BC29" s="895">
        <f t="shared" si="132"/>
        <v>0.76470588235294112</v>
      </c>
      <c r="BD29" s="892">
        <f>'RRT - Subgrupo - IGEO'!AQ29</f>
        <v>8</v>
      </c>
      <c r="BE29" s="893">
        <f t="shared" si="133"/>
        <v>0.23529411764705882</v>
      </c>
      <c r="BF29" s="892">
        <f>'RRT - Subgrupo - IGEO'!AS29</f>
        <v>18</v>
      </c>
      <c r="BG29" s="895">
        <f t="shared" si="134"/>
        <v>0.48648648648648651</v>
      </c>
      <c r="BH29" s="892">
        <f>'RRT - Subgrupo - IGEO'!AT29</f>
        <v>19</v>
      </c>
      <c r="BI29" s="893">
        <f t="shared" si="135"/>
        <v>0.51351351351351349</v>
      </c>
      <c r="BJ29" s="892">
        <f>'RRT - Subgrupo - IGEO'!AV29</f>
        <v>642</v>
      </c>
      <c r="BK29" s="895">
        <f t="shared" si="136"/>
        <v>0.77256317689530685</v>
      </c>
      <c r="BL29" s="892">
        <f>'RRT - Subgrupo - IGEO'!AW29</f>
        <v>189</v>
      </c>
      <c r="BM29" s="893">
        <f t="shared" si="137"/>
        <v>0.22743682310469315</v>
      </c>
      <c r="BN29" s="892">
        <f>'RRT - Subgrupo - IGEO'!AY29</f>
        <v>10</v>
      </c>
      <c r="BO29" s="895">
        <f t="shared" si="138"/>
        <v>0.76923076923076927</v>
      </c>
      <c r="BP29" s="892">
        <f>'RRT - Subgrupo - IGEO'!AZ29</f>
        <v>3</v>
      </c>
      <c r="BQ29" s="893">
        <f t="shared" si="139"/>
        <v>0.23076923076923078</v>
      </c>
      <c r="BR29" s="892">
        <f>'RRT - Subgrupo - IGEO'!BB29</f>
        <v>5</v>
      </c>
      <c r="BS29" s="895">
        <f t="shared" si="140"/>
        <v>0.21739130434782608</v>
      </c>
      <c r="BT29" s="892">
        <f>'RRT - Subgrupo - IGEO'!BC29</f>
        <v>18</v>
      </c>
      <c r="BU29" s="893">
        <f t="shared" si="141"/>
        <v>0.78260869565217395</v>
      </c>
      <c r="BV29" s="892">
        <f>'RRT - Subgrupo - IGEO'!BE29</f>
        <v>5</v>
      </c>
      <c r="BW29" s="895">
        <f t="shared" si="142"/>
        <v>0.83333333333333337</v>
      </c>
      <c r="BX29" s="892">
        <f>'RRT - Subgrupo - IGEO'!BF29</f>
        <v>1</v>
      </c>
      <c r="BY29" s="893">
        <f t="shared" si="143"/>
        <v>0.16666666666666666</v>
      </c>
      <c r="BZ29" s="892">
        <f>'RRT - Subgrupo - IGEO'!BH29</f>
        <v>1</v>
      </c>
      <c r="CA29" s="895">
        <f t="shared" si="144"/>
        <v>1</v>
      </c>
      <c r="CB29" s="892">
        <f>'RRT - Subgrupo - IGEO'!BI29</f>
        <v>0</v>
      </c>
      <c r="CC29" s="893">
        <f t="shared" si="145"/>
        <v>0</v>
      </c>
      <c r="CD29" s="892">
        <f>'RRT - Subgrupo - IGEO'!BK29</f>
        <v>6</v>
      </c>
      <c r="CE29" s="895">
        <f t="shared" si="146"/>
        <v>0.8571428571428571</v>
      </c>
      <c r="CF29" s="892">
        <f>'RRT - Subgrupo - IGEO'!BL29</f>
        <v>1</v>
      </c>
      <c r="CG29" s="893">
        <f t="shared" si="147"/>
        <v>0.14285714285714285</v>
      </c>
      <c r="CH29" s="896">
        <f>'RRT - Subgrupo - IGEO'!BN29</f>
        <v>1</v>
      </c>
      <c r="CI29" s="895">
        <f t="shared" si="148"/>
        <v>1</v>
      </c>
      <c r="CJ29" s="896">
        <f>'RRT - Subgrupo - IGEO'!BO29</f>
        <v>0</v>
      </c>
      <c r="CK29" s="893">
        <f t="shared" si="149"/>
        <v>0</v>
      </c>
      <c r="CL29" s="896">
        <f>'RRT - Subgrupo - IGEO'!BQ29</f>
        <v>0</v>
      </c>
      <c r="CM29" s="895">
        <f t="shared" si="150"/>
        <v>0</v>
      </c>
      <c r="CN29" s="896">
        <f>'RRT - Subgrupo - IGEO'!BR29</f>
        <v>1</v>
      </c>
      <c r="CO29" s="893">
        <f t="shared" si="151"/>
        <v>1</v>
      </c>
      <c r="CP29" s="896">
        <f>'RRT - Subgrupo - IGEO'!BT29</f>
        <v>2</v>
      </c>
      <c r="CQ29" s="895">
        <f t="shared" si="152"/>
        <v>0.66666666666666663</v>
      </c>
      <c r="CR29" s="896">
        <f>'RRT - Subgrupo - IGEO'!BU29</f>
        <v>1</v>
      </c>
      <c r="CS29" s="893">
        <f t="shared" si="153"/>
        <v>0.33333333333333331</v>
      </c>
      <c r="CT29" s="896">
        <f>'RRT - Subgrupo - IGEO'!BW29</f>
        <v>1</v>
      </c>
      <c r="CU29" s="895">
        <f t="shared" si="154"/>
        <v>0.5</v>
      </c>
      <c r="CV29" s="896">
        <f>'RRT - Subgrupo - IGEO'!BX29</f>
        <v>1</v>
      </c>
      <c r="CW29" s="893">
        <f t="shared" si="155"/>
        <v>0.5</v>
      </c>
      <c r="CX29" s="896">
        <f>'RRT - Subgrupo - IGEO'!BZ29</f>
        <v>41</v>
      </c>
      <c r="CY29" s="895">
        <f t="shared" si="156"/>
        <v>0.89130434782608692</v>
      </c>
      <c r="CZ29" s="896">
        <f>'RRT - Subgrupo - IGEO'!CA29</f>
        <v>5</v>
      </c>
      <c r="DA29" s="893">
        <f t="shared" si="157"/>
        <v>0.10869565217391304</v>
      </c>
      <c r="DB29" s="896">
        <f>'RRT - Subgrupo - IGEO'!CC29</f>
        <v>20</v>
      </c>
      <c r="DC29" s="895">
        <f t="shared" si="158"/>
        <v>0.44444444444444442</v>
      </c>
      <c r="DD29" s="896">
        <f>'RRT - Subgrupo - IGEO'!CD29</f>
        <v>25</v>
      </c>
      <c r="DE29" s="893">
        <f t="shared" si="159"/>
        <v>0.55555555555555558</v>
      </c>
      <c r="DF29" s="892">
        <f>'RRT - Subgrupo - IGEO'!CF29</f>
        <v>0</v>
      </c>
      <c r="DG29" s="895">
        <f t="shared" si="160"/>
        <v>0</v>
      </c>
      <c r="DH29" s="892">
        <f>'RRT - Subgrupo - IGEO'!CG29</f>
        <v>6</v>
      </c>
      <c r="DI29" s="893">
        <f t="shared" si="161"/>
        <v>1</v>
      </c>
      <c r="DJ29" s="892">
        <f>'RRT - Subgrupo - IGEO'!CI29</f>
        <v>0</v>
      </c>
      <c r="DK29" s="895">
        <f t="shared" si="162"/>
        <v>0</v>
      </c>
      <c r="DL29" s="892">
        <f>'RRT - Subgrupo - IGEO'!CJ29</f>
        <v>2</v>
      </c>
      <c r="DM29" s="893">
        <f t="shared" si="163"/>
        <v>1</v>
      </c>
      <c r="DN29" s="892"/>
      <c r="DO29" s="895"/>
      <c r="DP29" s="892"/>
      <c r="DQ29" s="893"/>
      <c r="DR29" s="892">
        <f>'RRT - Subgrupo - IGEO'!CO29</f>
        <v>1</v>
      </c>
      <c r="DS29" s="895">
        <f t="shared" si="166"/>
        <v>0.33333333333333331</v>
      </c>
      <c r="DT29" s="892">
        <f>'RRT - Subgrupo - IGEO'!CP29</f>
        <v>2</v>
      </c>
      <c r="DU29" s="893">
        <f t="shared" si="167"/>
        <v>0.66666666666666663</v>
      </c>
      <c r="DV29" s="892">
        <f>'RRT - Subgrupo - IGEO'!CR29</f>
        <v>0</v>
      </c>
      <c r="DW29" s="895">
        <f t="shared" si="168"/>
        <v>0</v>
      </c>
      <c r="DX29" s="892">
        <f>'RRT - Subgrupo - IGEO'!CS29</f>
        <v>1</v>
      </c>
      <c r="DY29" s="893">
        <f t="shared" si="169"/>
        <v>1</v>
      </c>
      <c r="DZ29" s="892">
        <f>'RRT - Subgrupo - IGEO'!CU29</f>
        <v>2</v>
      </c>
      <c r="EA29" s="895">
        <f t="shared" si="170"/>
        <v>1</v>
      </c>
      <c r="EB29" s="892">
        <f>'RRT - Subgrupo - IGEO'!CV29</f>
        <v>0</v>
      </c>
      <c r="EC29" s="893">
        <f t="shared" si="171"/>
        <v>0</v>
      </c>
      <c r="ED29" s="892">
        <f>'RRT - Subgrupo - IGEO'!CX29</f>
        <v>0</v>
      </c>
      <c r="EE29" s="895">
        <f t="shared" si="172"/>
        <v>0</v>
      </c>
      <c r="EF29" s="892">
        <f>'RRT - Subgrupo - IGEO'!CY29</f>
        <v>2</v>
      </c>
      <c r="EG29" s="893">
        <f t="shared" si="173"/>
        <v>1</v>
      </c>
      <c r="EH29" s="892">
        <f>'RRT - Subgrupo - IGEO'!DA29</f>
        <v>116</v>
      </c>
      <c r="EI29" s="895">
        <f t="shared" si="174"/>
        <v>0.54716981132075471</v>
      </c>
      <c r="EJ29" s="892">
        <f>'RRT - Subgrupo - IGEO'!DB29</f>
        <v>96</v>
      </c>
      <c r="EK29" s="893">
        <f t="shared" si="175"/>
        <v>0.45283018867924529</v>
      </c>
      <c r="EL29" s="897">
        <f>'RRT - Subgrupo - IGEO'!DD29</f>
        <v>5</v>
      </c>
      <c r="EM29" s="895">
        <f t="shared" si="176"/>
        <v>1</v>
      </c>
      <c r="EN29" s="897">
        <f>'RRT - Subgrupo - IGEO'!DE29</f>
        <v>0</v>
      </c>
      <c r="EO29" s="893">
        <f t="shared" si="177"/>
        <v>0</v>
      </c>
      <c r="EP29" s="897">
        <f>'RRT - Subgrupo - IGEO'!DG29</f>
        <v>49</v>
      </c>
      <c r="EQ29" s="895">
        <f t="shared" si="178"/>
        <v>0.48039215686274511</v>
      </c>
      <c r="ER29" s="897">
        <f>'RRT - Subgrupo - IGEO'!DH29</f>
        <v>53</v>
      </c>
      <c r="ES29" s="893">
        <f t="shared" si="179"/>
        <v>0.51960784313725494</v>
      </c>
      <c r="ET29" s="897">
        <f>'RRT - Subgrupo - IGEO'!DJ29</f>
        <v>133</v>
      </c>
      <c r="EU29" s="895">
        <f t="shared" si="180"/>
        <v>0.6616915422885572</v>
      </c>
      <c r="EV29" s="897">
        <f>'RRT - Subgrupo - IGEO'!DK29</f>
        <v>68</v>
      </c>
      <c r="EW29" s="893">
        <f t="shared" si="181"/>
        <v>0.3383084577114428</v>
      </c>
      <c r="EX29" s="897">
        <f>'RRT - Subgrupo - IGEO'!DM29</f>
        <v>4</v>
      </c>
      <c r="EY29" s="895">
        <f t="shared" si="182"/>
        <v>1</v>
      </c>
      <c r="EZ29" s="897">
        <f>'RRT - Subgrupo - IGEO'!DN29</f>
        <v>0</v>
      </c>
      <c r="FA29" s="893">
        <f t="shared" si="183"/>
        <v>0</v>
      </c>
      <c r="FB29" s="897"/>
      <c r="FC29" s="895"/>
      <c r="FD29" s="897"/>
      <c r="FE29" s="893"/>
      <c r="FF29" s="897"/>
      <c r="FG29" s="895"/>
      <c r="FH29" s="897"/>
      <c r="FI29" s="893"/>
      <c r="FJ29" s="897">
        <f>'RRT - Subgrupo - IGEO'!DV29</f>
        <v>2</v>
      </c>
      <c r="FK29" s="895">
        <f t="shared" si="188"/>
        <v>0.66666666666666663</v>
      </c>
      <c r="FL29" s="897">
        <f>'RRT - Subgrupo - IGEO'!DW29</f>
        <v>1</v>
      </c>
      <c r="FM29" s="893">
        <f t="shared" si="189"/>
        <v>0.33333333333333331</v>
      </c>
      <c r="FN29" s="897"/>
      <c r="FO29" s="895"/>
      <c r="FP29" s="897"/>
      <c r="FQ29" s="893"/>
      <c r="FR29" s="892"/>
      <c r="FS29" s="895"/>
      <c r="FT29" s="892"/>
      <c r="FU29" s="893"/>
      <c r="FV29" s="892"/>
      <c r="FW29" s="895"/>
      <c r="FX29" s="892"/>
      <c r="FY29" s="893"/>
      <c r="FZ29" s="892"/>
      <c r="GA29" s="895"/>
      <c r="GB29" s="892"/>
      <c r="GC29" s="893"/>
      <c r="GD29" s="892">
        <f>'RRT - Subgrupo - IGEO'!EK29</f>
        <v>1</v>
      </c>
      <c r="GE29" s="895">
        <f t="shared" si="198"/>
        <v>0.5</v>
      </c>
      <c r="GF29" s="892">
        <f>'RRT - Subgrupo - IGEO'!EL29</f>
        <v>1</v>
      </c>
      <c r="GG29" s="893">
        <f t="shared" si="199"/>
        <v>0.5</v>
      </c>
      <c r="GH29" s="892">
        <f>'RRT - Subgrupo - IGEO'!EN29</f>
        <v>1</v>
      </c>
      <c r="GI29" s="895">
        <f t="shared" si="200"/>
        <v>1</v>
      </c>
      <c r="GJ29" s="892">
        <f>'RRT - Subgrupo - IGEO'!EO29</f>
        <v>0</v>
      </c>
      <c r="GK29" s="893">
        <f t="shared" ref="GK29" si="211">IFERROR(GJ29/(GJ29+GH29),0)</f>
        <v>0</v>
      </c>
      <c r="GL29" s="892"/>
      <c r="GM29" s="895"/>
      <c r="GN29" s="892"/>
      <c r="GO29" s="893"/>
      <c r="GP29" s="892"/>
      <c r="GQ29" s="895"/>
      <c r="GR29" s="892"/>
      <c r="GS29" s="893"/>
      <c r="GT29" s="892"/>
      <c r="GU29" s="895"/>
      <c r="GV29" s="892"/>
      <c r="GW29" s="893"/>
      <c r="GX29" s="892">
        <f>'RRT - Subgrupo - IGEO'!EZ29</f>
        <v>1</v>
      </c>
      <c r="GY29" s="895">
        <f t="shared" si="207"/>
        <v>1</v>
      </c>
      <c r="GZ29" s="892">
        <f>'RRT - Subgrupo - IGEO'!FA29</f>
        <v>0</v>
      </c>
      <c r="HA29" s="893">
        <f t="shared" si="208"/>
        <v>0</v>
      </c>
      <c r="HB29" s="892">
        <f>'RRT - Subgrupo - IGEO'!FC29</f>
        <v>1</v>
      </c>
      <c r="HC29" s="895">
        <f t="shared" si="209"/>
        <v>0.14285714285714285</v>
      </c>
      <c r="HD29" s="892">
        <f>'RRT - Subgrupo - IGEO'!FD29</f>
        <v>6</v>
      </c>
      <c r="HE29" s="893">
        <f t="shared" si="210"/>
        <v>0.8571428571428571</v>
      </c>
    </row>
    <row r="30" spans="1:213" s="903" customFormat="1" ht="18.75">
      <c r="A30" s="891" t="s">
        <v>1051</v>
      </c>
      <c r="B30" s="899">
        <f t="shared" ref="B30:BM30" si="212">AVERAGE(B3:B29)</f>
        <v>6002.333333333333</v>
      </c>
      <c r="C30" s="900">
        <f t="shared" si="212"/>
        <v>0.51644036367712076</v>
      </c>
      <c r="D30" s="899">
        <f t="shared" si="212"/>
        <v>6149.4074074074078</v>
      </c>
      <c r="E30" s="900">
        <f t="shared" si="212"/>
        <v>0.48355963632287913</v>
      </c>
      <c r="F30" s="901">
        <f t="shared" si="212"/>
        <v>1497</v>
      </c>
      <c r="G30" s="900">
        <f t="shared" si="212"/>
        <v>0.63545576103164703</v>
      </c>
      <c r="H30" s="899">
        <f t="shared" si="212"/>
        <v>1171.8148148148148</v>
      </c>
      <c r="I30" s="900">
        <f t="shared" si="212"/>
        <v>0.36454423896835286</v>
      </c>
      <c r="J30" s="899">
        <f t="shared" si="212"/>
        <v>126.03703703703704</v>
      </c>
      <c r="K30" s="900">
        <f t="shared" si="212"/>
        <v>0.51015339626978551</v>
      </c>
      <c r="L30" s="899">
        <f t="shared" si="212"/>
        <v>122.4074074074074</v>
      </c>
      <c r="M30" s="900">
        <f t="shared" si="212"/>
        <v>0.4898466037302146</v>
      </c>
      <c r="N30" s="899">
        <f t="shared" si="212"/>
        <v>400.48148148148147</v>
      </c>
      <c r="O30" s="900">
        <f t="shared" si="212"/>
        <v>0.22000731010849092</v>
      </c>
      <c r="P30" s="899">
        <f t="shared" si="212"/>
        <v>2011.6296296296296</v>
      </c>
      <c r="Q30" s="900">
        <f t="shared" si="212"/>
        <v>0.77999268989150905</v>
      </c>
      <c r="R30" s="899">
        <f t="shared" si="212"/>
        <v>2477.1851851851852</v>
      </c>
      <c r="S30" s="900">
        <f t="shared" si="212"/>
        <v>0.60740742648732649</v>
      </c>
      <c r="T30" s="899">
        <f t="shared" si="212"/>
        <v>2011.6296296296296</v>
      </c>
      <c r="U30" s="900">
        <f t="shared" si="212"/>
        <v>0.39259257351267363</v>
      </c>
      <c r="V30" s="899">
        <f t="shared" si="212"/>
        <v>84.925925925925924</v>
      </c>
      <c r="W30" s="900">
        <f t="shared" si="212"/>
        <v>0.5083050543890425</v>
      </c>
      <c r="X30" s="899">
        <f t="shared" si="212"/>
        <v>91</v>
      </c>
      <c r="Y30" s="900">
        <f t="shared" si="212"/>
        <v>0.49169494561095733</v>
      </c>
      <c r="Z30" s="902">
        <f t="shared" si="212"/>
        <v>415.85185185185185</v>
      </c>
      <c r="AA30" s="900">
        <f t="shared" si="212"/>
        <v>0.54595383266784048</v>
      </c>
      <c r="AB30" s="902">
        <f t="shared" si="212"/>
        <v>431.48148148148147</v>
      </c>
      <c r="AC30" s="900">
        <f t="shared" si="212"/>
        <v>0.45404616733215947</v>
      </c>
      <c r="AD30" s="902">
        <f t="shared" si="212"/>
        <v>756.96296296296293</v>
      </c>
      <c r="AE30" s="900">
        <f t="shared" si="212"/>
        <v>0.60131468510555408</v>
      </c>
      <c r="AF30" s="902">
        <f t="shared" si="212"/>
        <v>601.92592592592598</v>
      </c>
      <c r="AG30" s="900">
        <f t="shared" si="212"/>
        <v>0.39868531489444581</v>
      </c>
      <c r="AH30" s="902">
        <f t="shared" si="212"/>
        <v>154.66666666666666</v>
      </c>
      <c r="AI30" s="900">
        <f t="shared" si="212"/>
        <v>0.66370189843172056</v>
      </c>
      <c r="AJ30" s="902">
        <f t="shared" si="212"/>
        <v>93.851851851851848</v>
      </c>
      <c r="AK30" s="900">
        <f t="shared" si="212"/>
        <v>0.33629810156827972</v>
      </c>
      <c r="AL30" s="902">
        <f t="shared" si="212"/>
        <v>149.88888888888889</v>
      </c>
      <c r="AM30" s="900">
        <f t="shared" si="212"/>
        <v>0.5679857120857138</v>
      </c>
      <c r="AN30" s="902">
        <f t="shared" si="212"/>
        <v>151.5185185185185</v>
      </c>
      <c r="AO30" s="900">
        <f t="shared" si="212"/>
        <v>0.43201428791428625</v>
      </c>
      <c r="AP30" s="902">
        <f t="shared" si="212"/>
        <v>15.615384615384615</v>
      </c>
      <c r="AQ30" s="900">
        <f t="shared" si="212"/>
        <v>0.55109988402965071</v>
      </c>
      <c r="AR30" s="902">
        <f t="shared" si="212"/>
        <v>14.615384615384615</v>
      </c>
      <c r="AS30" s="900">
        <f t="shared" si="212"/>
        <v>0.44890011597034929</v>
      </c>
      <c r="AT30" s="902">
        <f t="shared" si="212"/>
        <v>3905.962962962963</v>
      </c>
      <c r="AU30" s="900">
        <f t="shared" si="212"/>
        <v>0.58344910974417197</v>
      </c>
      <c r="AV30" s="902">
        <f t="shared" si="212"/>
        <v>3331.8518518518517</v>
      </c>
      <c r="AW30" s="900">
        <f t="shared" si="212"/>
        <v>0.41655089025582798</v>
      </c>
      <c r="AX30" s="902">
        <f t="shared" si="212"/>
        <v>1224.962962962963</v>
      </c>
      <c r="AY30" s="900">
        <f t="shared" si="212"/>
        <v>0.62768891747712496</v>
      </c>
      <c r="AZ30" s="902">
        <f t="shared" si="212"/>
        <v>1036.148148148148</v>
      </c>
      <c r="BA30" s="900">
        <f t="shared" si="212"/>
        <v>0.37231108252287509</v>
      </c>
      <c r="BB30" s="902">
        <f t="shared" si="212"/>
        <v>114</v>
      </c>
      <c r="BC30" s="900">
        <f t="shared" si="212"/>
        <v>0.6075614210829644</v>
      </c>
      <c r="BD30" s="902">
        <f t="shared" si="212"/>
        <v>95.666666666666671</v>
      </c>
      <c r="BE30" s="900">
        <f t="shared" si="212"/>
        <v>0.3924385789170356</v>
      </c>
      <c r="BF30" s="902">
        <f t="shared" si="212"/>
        <v>562.11111111111109</v>
      </c>
      <c r="BG30" s="900">
        <f t="shared" si="212"/>
        <v>0.39520387408837532</v>
      </c>
      <c r="BH30" s="902">
        <f t="shared" si="212"/>
        <v>914.37037037037032</v>
      </c>
      <c r="BI30" s="900">
        <f t="shared" si="212"/>
        <v>0.60479612591162446</v>
      </c>
      <c r="BJ30" s="902">
        <f t="shared" si="212"/>
        <v>1893.3333333333333</v>
      </c>
      <c r="BK30" s="900">
        <f t="shared" si="212"/>
        <v>0.61613368148376246</v>
      </c>
      <c r="BL30" s="902">
        <f t="shared" si="212"/>
        <v>1576.1851851851852</v>
      </c>
      <c r="BM30" s="900">
        <f t="shared" si="212"/>
        <v>0.38386631851623737</v>
      </c>
      <c r="BN30" s="902">
        <f t="shared" ref="BN30:DY30" si="213">AVERAGE(BN3:BN29)</f>
        <v>16.807692307692307</v>
      </c>
      <c r="BO30" s="900">
        <f t="shared" si="213"/>
        <v>0.65089963836080877</v>
      </c>
      <c r="BP30" s="902">
        <f t="shared" si="213"/>
        <v>14.346153846153847</v>
      </c>
      <c r="BQ30" s="900">
        <f t="shared" si="213"/>
        <v>0.34910036163919117</v>
      </c>
      <c r="BR30" s="902">
        <f t="shared" si="213"/>
        <v>45.74074074074074</v>
      </c>
      <c r="BS30" s="900">
        <f t="shared" si="213"/>
        <v>0.60100833606959103</v>
      </c>
      <c r="BT30" s="902">
        <f t="shared" si="213"/>
        <v>38.333333333333336</v>
      </c>
      <c r="BU30" s="900">
        <f t="shared" si="213"/>
        <v>0.3989916639304088</v>
      </c>
      <c r="BV30" s="902">
        <f t="shared" si="213"/>
        <v>87.851851851851848</v>
      </c>
      <c r="BW30" s="900">
        <f t="shared" si="213"/>
        <v>0.67144412053638114</v>
      </c>
      <c r="BX30" s="902">
        <f t="shared" si="213"/>
        <v>53.777777777777779</v>
      </c>
      <c r="BY30" s="900">
        <f t="shared" si="213"/>
        <v>0.32855587946361875</v>
      </c>
      <c r="BZ30" s="902">
        <f t="shared" si="213"/>
        <v>9.6818181818181817</v>
      </c>
      <c r="CA30" s="900">
        <f t="shared" si="213"/>
        <v>0.69683299977617974</v>
      </c>
      <c r="CB30" s="902">
        <f t="shared" si="213"/>
        <v>6.4090909090909092</v>
      </c>
      <c r="CC30" s="900">
        <f t="shared" si="213"/>
        <v>0.30316700022382032</v>
      </c>
      <c r="CD30" s="902">
        <f t="shared" si="213"/>
        <v>56.518518518518519</v>
      </c>
      <c r="CE30" s="900">
        <f t="shared" si="213"/>
        <v>0.49185102248612761</v>
      </c>
      <c r="CF30" s="902">
        <f t="shared" si="213"/>
        <v>51.296296296296298</v>
      </c>
      <c r="CG30" s="900">
        <f t="shared" si="213"/>
        <v>0.50814897751387234</v>
      </c>
      <c r="CH30" s="902">
        <f t="shared" si="213"/>
        <v>60.666666666666664</v>
      </c>
      <c r="CI30" s="900">
        <f t="shared" si="213"/>
        <v>0.56746361795311773</v>
      </c>
      <c r="CJ30" s="902">
        <f t="shared" si="213"/>
        <v>37.629629629629626</v>
      </c>
      <c r="CK30" s="900">
        <f t="shared" si="213"/>
        <v>0.43253638204688216</v>
      </c>
      <c r="CL30" s="902">
        <f t="shared" si="213"/>
        <v>230.30434782608697</v>
      </c>
      <c r="CM30" s="900">
        <f t="shared" si="213"/>
        <v>0.47883923549839852</v>
      </c>
      <c r="CN30" s="902">
        <f t="shared" si="213"/>
        <v>159.82608695652175</v>
      </c>
      <c r="CO30" s="900">
        <f t="shared" si="213"/>
        <v>0.52116076450160154</v>
      </c>
      <c r="CP30" s="902">
        <f t="shared" si="213"/>
        <v>30.692307692307693</v>
      </c>
      <c r="CQ30" s="900">
        <f t="shared" si="213"/>
        <v>0.50171555089365716</v>
      </c>
      <c r="CR30" s="902">
        <f t="shared" si="213"/>
        <v>33.57692307692308</v>
      </c>
      <c r="CS30" s="900">
        <f t="shared" si="213"/>
        <v>0.49828444910634284</v>
      </c>
      <c r="CT30" s="902">
        <f t="shared" si="213"/>
        <v>45.222222222222221</v>
      </c>
      <c r="CU30" s="900">
        <f t="shared" si="213"/>
        <v>0.49688788326658195</v>
      </c>
      <c r="CV30" s="902">
        <f t="shared" si="213"/>
        <v>56.851851851851855</v>
      </c>
      <c r="CW30" s="900">
        <f t="shared" si="213"/>
        <v>0.50311211673341794</v>
      </c>
      <c r="CX30" s="902">
        <f t="shared" si="213"/>
        <v>106.92592592592592</v>
      </c>
      <c r="CY30" s="900">
        <f t="shared" si="213"/>
        <v>0.54346721661784814</v>
      </c>
      <c r="CZ30" s="902">
        <f t="shared" si="213"/>
        <v>128</v>
      </c>
      <c r="DA30" s="900">
        <f t="shared" si="213"/>
        <v>0.45653278338215175</v>
      </c>
      <c r="DB30" s="902">
        <f t="shared" si="213"/>
        <v>100.88888888888889</v>
      </c>
      <c r="DC30" s="900">
        <f t="shared" si="213"/>
        <v>0.48165289939250805</v>
      </c>
      <c r="DD30" s="902">
        <f t="shared" si="213"/>
        <v>116.22222222222223</v>
      </c>
      <c r="DE30" s="900">
        <f t="shared" si="213"/>
        <v>0.5183471006074919</v>
      </c>
      <c r="DF30" s="902">
        <f t="shared" si="213"/>
        <v>245.33333333333334</v>
      </c>
      <c r="DG30" s="900">
        <f t="shared" si="213"/>
        <v>0.64866090351662953</v>
      </c>
      <c r="DH30" s="902">
        <f t="shared" si="213"/>
        <v>124.92592592592592</v>
      </c>
      <c r="DI30" s="900">
        <f t="shared" si="213"/>
        <v>0.35133909648337036</v>
      </c>
      <c r="DJ30" s="902">
        <f t="shared" si="213"/>
        <v>150.81481481481481</v>
      </c>
      <c r="DK30" s="900">
        <f t="shared" si="213"/>
        <v>0.53325114606412449</v>
      </c>
      <c r="DL30" s="902">
        <f t="shared" si="213"/>
        <v>130.96296296296296</v>
      </c>
      <c r="DM30" s="900">
        <f t="shared" si="213"/>
        <v>0.46674885393587551</v>
      </c>
      <c r="DN30" s="902">
        <f t="shared" si="213"/>
        <v>6</v>
      </c>
      <c r="DO30" s="900">
        <f t="shared" si="213"/>
        <v>0.45411502985032404</v>
      </c>
      <c r="DP30" s="902">
        <f t="shared" si="213"/>
        <v>8.4444444444444446</v>
      </c>
      <c r="DQ30" s="900">
        <f t="shared" si="213"/>
        <v>0.54588497014967596</v>
      </c>
      <c r="DR30" s="902">
        <f t="shared" si="213"/>
        <v>20.423076923076923</v>
      </c>
      <c r="DS30" s="900">
        <f t="shared" si="213"/>
        <v>0.43187507816981952</v>
      </c>
      <c r="DT30" s="902">
        <f t="shared" si="213"/>
        <v>23.692307692307693</v>
      </c>
      <c r="DU30" s="900">
        <f t="shared" si="213"/>
        <v>0.56812492183018048</v>
      </c>
      <c r="DV30" s="902">
        <f t="shared" si="213"/>
        <v>62.24</v>
      </c>
      <c r="DW30" s="900">
        <f t="shared" si="213"/>
        <v>0.44010060345073276</v>
      </c>
      <c r="DX30" s="902">
        <f t="shared" si="213"/>
        <v>53.96</v>
      </c>
      <c r="DY30" s="900">
        <f t="shared" si="213"/>
        <v>0.55989939654926735</v>
      </c>
      <c r="DZ30" s="902">
        <f t="shared" ref="DZ30:GK30" si="214">AVERAGE(DZ3:DZ29)</f>
        <v>28.222222222222221</v>
      </c>
      <c r="EA30" s="900">
        <f t="shared" si="214"/>
        <v>0.4580788253013035</v>
      </c>
      <c r="EB30" s="902">
        <f t="shared" si="214"/>
        <v>39.74074074074074</v>
      </c>
      <c r="EC30" s="900">
        <f t="shared" si="214"/>
        <v>0.5419211746986965</v>
      </c>
      <c r="ED30" s="902">
        <f t="shared" si="214"/>
        <v>32.74074074074074</v>
      </c>
      <c r="EE30" s="900">
        <f t="shared" si="214"/>
        <v>0.53262810843554809</v>
      </c>
      <c r="EF30" s="902">
        <f t="shared" si="214"/>
        <v>28.333333333333332</v>
      </c>
      <c r="EG30" s="900">
        <f t="shared" si="214"/>
        <v>0.46737189156445197</v>
      </c>
      <c r="EH30" s="902">
        <f t="shared" si="214"/>
        <v>433.88888888888891</v>
      </c>
      <c r="EI30" s="900">
        <f t="shared" si="214"/>
        <v>0.53373185281539914</v>
      </c>
      <c r="EJ30" s="902">
        <f t="shared" si="214"/>
        <v>429.18518518518516</v>
      </c>
      <c r="EK30" s="900">
        <f t="shared" si="214"/>
        <v>0.46626814718460097</v>
      </c>
      <c r="EL30" s="902">
        <f t="shared" si="214"/>
        <v>18.130434782608695</v>
      </c>
      <c r="EM30" s="900">
        <f t="shared" si="214"/>
        <v>0.67789000067979155</v>
      </c>
      <c r="EN30" s="902">
        <f t="shared" si="214"/>
        <v>12.347826086956522</v>
      </c>
      <c r="EO30" s="900">
        <f t="shared" si="214"/>
        <v>0.32210999932020834</v>
      </c>
      <c r="EP30" s="902">
        <f t="shared" si="214"/>
        <v>177.18518518518519</v>
      </c>
      <c r="EQ30" s="900">
        <f t="shared" si="214"/>
        <v>0.45526911391380009</v>
      </c>
      <c r="ER30" s="902">
        <f t="shared" si="214"/>
        <v>214.22222222222223</v>
      </c>
      <c r="ES30" s="900">
        <f t="shared" si="214"/>
        <v>0.54473088608619991</v>
      </c>
      <c r="ET30" s="902">
        <f t="shared" si="214"/>
        <v>1001.2222222222222</v>
      </c>
      <c r="EU30" s="900">
        <f t="shared" si="214"/>
        <v>0.5308981109620079</v>
      </c>
      <c r="EV30" s="902">
        <f t="shared" si="214"/>
        <v>965.25925925925924</v>
      </c>
      <c r="EW30" s="900">
        <f t="shared" si="214"/>
        <v>0.46910188903799216</v>
      </c>
      <c r="EX30" s="902">
        <f t="shared" si="214"/>
        <v>97.148148148148152</v>
      </c>
      <c r="EY30" s="900">
        <f t="shared" si="214"/>
        <v>0.59957468232853328</v>
      </c>
      <c r="EZ30" s="902">
        <f t="shared" si="214"/>
        <v>83.666666666666671</v>
      </c>
      <c r="FA30" s="900">
        <f t="shared" si="214"/>
        <v>0.40042531767146666</v>
      </c>
      <c r="FB30" s="902">
        <f t="shared" si="214"/>
        <v>2</v>
      </c>
      <c r="FC30" s="900">
        <f t="shared" si="214"/>
        <v>0.46795454545454546</v>
      </c>
      <c r="FD30" s="902">
        <f t="shared" si="214"/>
        <v>4.3</v>
      </c>
      <c r="FE30" s="900">
        <f t="shared" si="214"/>
        <v>0.53204545454545449</v>
      </c>
      <c r="FF30" s="902">
        <f t="shared" si="214"/>
        <v>1.375</v>
      </c>
      <c r="FG30" s="900">
        <f t="shared" si="214"/>
        <v>0.62916666666666665</v>
      </c>
      <c r="FH30" s="902">
        <f t="shared" si="214"/>
        <v>1.5</v>
      </c>
      <c r="FI30" s="900">
        <f t="shared" si="214"/>
        <v>0.37083333333333335</v>
      </c>
      <c r="FJ30" s="902">
        <f t="shared" si="214"/>
        <v>95.703703703703709</v>
      </c>
      <c r="FK30" s="900">
        <f t="shared" si="214"/>
        <v>0.56714699830874804</v>
      </c>
      <c r="FL30" s="902">
        <f t="shared" si="214"/>
        <v>56.814814814814817</v>
      </c>
      <c r="FM30" s="900">
        <f t="shared" si="214"/>
        <v>0.43285300169125202</v>
      </c>
      <c r="FN30" s="902">
        <f t="shared" si="214"/>
        <v>3.6</v>
      </c>
      <c r="FO30" s="900">
        <f t="shared" si="214"/>
        <v>0.51671448087431704</v>
      </c>
      <c r="FP30" s="902">
        <f t="shared" si="214"/>
        <v>4.3499999999999996</v>
      </c>
      <c r="FQ30" s="900">
        <f t="shared" si="214"/>
        <v>0.48328551912568302</v>
      </c>
      <c r="FR30" s="902">
        <f t="shared" si="214"/>
        <v>0.47058823529411764</v>
      </c>
      <c r="FS30" s="900">
        <f t="shared" si="214"/>
        <v>0.11076711386308909</v>
      </c>
      <c r="FT30" s="902">
        <f t="shared" si="214"/>
        <v>5.117647058823529</v>
      </c>
      <c r="FU30" s="900">
        <f t="shared" si="214"/>
        <v>0.88923288613691087</v>
      </c>
      <c r="FV30" s="902">
        <f t="shared" si="214"/>
        <v>5.4666666666666668</v>
      </c>
      <c r="FW30" s="900">
        <f t="shared" si="214"/>
        <v>0.68046464646464644</v>
      </c>
      <c r="FX30" s="902">
        <f t="shared" si="214"/>
        <v>5.4</v>
      </c>
      <c r="FY30" s="900">
        <f t="shared" si="214"/>
        <v>0.31953535353535351</v>
      </c>
      <c r="FZ30" s="902">
        <f t="shared" si="214"/>
        <v>9.8695652173913047</v>
      </c>
      <c r="GA30" s="900">
        <f t="shared" si="214"/>
        <v>0.57098342329154339</v>
      </c>
      <c r="GB30" s="902">
        <f t="shared" si="214"/>
        <v>7.2608695652173916</v>
      </c>
      <c r="GC30" s="900">
        <f t="shared" si="214"/>
        <v>0.42901657670845655</v>
      </c>
      <c r="GD30" s="902">
        <f t="shared" si="214"/>
        <v>25.222222222222221</v>
      </c>
      <c r="GE30" s="900">
        <f t="shared" si="214"/>
        <v>0.53036152468733011</v>
      </c>
      <c r="GF30" s="902">
        <f t="shared" si="214"/>
        <v>36.925925925925924</v>
      </c>
      <c r="GG30" s="900">
        <f t="shared" si="214"/>
        <v>0.46963847531266995</v>
      </c>
      <c r="GH30" s="902">
        <f t="shared" si="214"/>
        <v>8.4761904761904763</v>
      </c>
      <c r="GI30" s="900">
        <f t="shared" si="214"/>
        <v>0.71336930914386154</v>
      </c>
      <c r="GJ30" s="902">
        <f t="shared" si="214"/>
        <v>16.047619047619047</v>
      </c>
      <c r="GK30" s="900">
        <f t="shared" si="214"/>
        <v>0.28663069085613851</v>
      </c>
      <c r="GL30" s="902">
        <f t="shared" ref="GL30:HE30" si="215">AVERAGE(GL3:GL29)</f>
        <v>22.466666666666665</v>
      </c>
      <c r="GM30" s="900">
        <f t="shared" si="215"/>
        <v>0.62798848203958491</v>
      </c>
      <c r="GN30" s="902">
        <f t="shared" si="215"/>
        <v>2.5333333333333332</v>
      </c>
      <c r="GO30" s="900">
        <f t="shared" si="215"/>
        <v>0.37201151796041504</v>
      </c>
      <c r="GP30" s="902">
        <f t="shared" si="215"/>
        <v>2.6</v>
      </c>
      <c r="GQ30" s="900">
        <f t="shared" si="215"/>
        <v>0.66388888888888897</v>
      </c>
      <c r="GR30" s="902">
        <f t="shared" si="215"/>
        <v>1.2</v>
      </c>
      <c r="GS30" s="900">
        <f t="shared" si="215"/>
        <v>0.33611111111111114</v>
      </c>
      <c r="GT30" s="902">
        <f t="shared" si="215"/>
        <v>5.8888888888888893</v>
      </c>
      <c r="GU30" s="900">
        <f t="shared" si="215"/>
        <v>0.50471875862674964</v>
      </c>
      <c r="GV30" s="902">
        <f t="shared" si="215"/>
        <v>19.777777777777779</v>
      </c>
      <c r="GW30" s="900">
        <f t="shared" si="215"/>
        <v>0.49528124137325036</v>
      </c>
      <c r="GX30" s="902">
        <f t="shared" si="215"/>
        <v>16.96153846153846</v>
      </c>
      <c r="GY30" s="900">
        <f t="shared" si="215"/>
        <v>0.58332639541144182</v>
      </c>
      <c r="GZ30" s="902">
        <f t="shared" si="215"/>
        <v>29.692307692307693</v>
      </c>
      <c r="HA30" s="900">
        <f t="shared" si="215"/>
        <v>0.41667360458855823</v>
      </c>
      <c r="HB30" s="899">
        <f t="shared" si="215"/>
        <v>66</v>
      </c>
      <c r="HC30" s="900">
        <f t="shared" si="215"/>
        <v>0.31166232856380138</v>
      </c>
      <c r="HD30" s="899">
        <f t="shared" si="215"/>
        <v>46.481481481481481</v>
      </c>
      <c r="HE30" s="900">
        <f t="shared" si="215"/>
        <v>0.68833767143619862</v>
      </c>
    </row>
    <row r="31" spans="1:213" s="907" customFormat="1" ht="19.5" customHeight="1">
      <c r="A31" s="904"/>
      <c r="B31" s="905"/>
      <c r="C31" s="906" t="b">
        <f>C30+E30=1</f>
        <v>1</v>
      </c>
      <c r="F31" s="908"/>
      <c r="G31" s="906" t="b">
        <f>G30+I30=1</f>
        <v>1</v>
      </c>
      <c r="K31" s="906" t="b">
        <f>K30+M30=1</f>
        <v>1</v>
      </c>
      <c r="O31" s="906" t="b">
        <f>O30+Q30=1</f>
        <v>1</v>
      </c>
      <c r="S31" s="906" t="b">
        <f>S30+U30=1</f>
        <v>1</v>
      </c>
      <c r="W31" s="906" t="b">
        <f>W30+Y30=1</f>
        <v>1</v>
      </c>
      <c r="AA31" s="906" t="b">
        <f>AA30+AC30=1</f>
        <v>1</v>
      </c>
      <c r="AE31" s="906" t="b">
        <f>AE30+AG30=1</f>
        <v>1</v>
      </c>
      <c r="AI31" s="906" t="b">
        <f>AI30+AK30=1</f>
        <v>1</v>
      </c>
      <c r="AM31" s="906" t="b">
        <f>AM30+AO30=1</f>
        <v>1</v>
      </c>
      <c r="AN31" s="909"/>
      <c r="AQ31" s="906" t="b">
        <f>AQ30+AS30=1</f>
        <v>1</v>
      </c>
      <c r="AU31" s="906" t="b">
        <f>AU30+AW30=1</f>
        <v>1</v>
      </c>
      <c r="AY31" s="906" t="b">
        <f>AY30+BA30=1</f>
        <v>1</v>
      </c>
      <c r="BC31" s="906" t="b">
        <f>BC30+BE30=1</f>
        <v>1</v>
      </c>
      <c r="BG31" s="906" t="b">
        <f>BG30+BI30=1</f>
        <v>1</v>
      </c>
      <c r="BK31" s="906" t="b">
        <f>BK30+BM30=1</f>
        <v>1</v>
      </c>
      <c r="BO31" s="906" t="b">
        <f>BO30+BQ30=1</f>
        <v>1</v>
      </c>
      <c r="BS31" s="906" t="b">
        <f>BS30+BU30=1</f>
        <v>1</v>
      </c>
      <c r="BW31" s="906" t="b">
        <f>BW30+BY30=1</f>
        <v>1</v>
      </c>
      <c r="CA31" s="906" t="b">
        <f>CA30+CC30=1</f>
        <v>1</v>
      </c>
      <c r="CE31" s="906" t="b">
        <f>CE30+CG30=1</f>
        <v>1</v>
      </c>
      <c r="CG31" s="905"/>
      <c r="CH31" s="910"/>
      <c r="CI31" s="906" t="b">
        <f>CI30+CK30=1</f>
        <v>1</v>
      </c>
      <c r="CJ31" s="910"/>
      <c r="CK31" s="910"/>
      <c r="CL31" s="910"/>
      <c r="CM31" s="906" t="b">
        <f>CM30+CO30=1</f>
        <v>1</v>
      </c>
      <c r="CN31" s="910"/>
      <c r="CO31" s="910"/>
      <c r="CP31" s="910"/>
      <c r="CQ31" s="906" t="b">
        <f>CQ30+CS30=1</f>
        <v>1</v>
      </c>
      <c r="CR31" s="910"/>
      <c r="CS31" s="910"/>
      <c r="CT31" s="910"/>
      <c r="CU31" s="906" t="b">
        <f>CU30+CW30=1</f>
        <v>1</v>
      </c>
      <c r="CV31" s="910"/>
      <c r="CW31" s="910"/>
      <c r="CX31" s="910"/>
      <c r="CY31" s="906" t="b">
        <f>CY30+DA30=1</f>
        <v>1</v>
      </c>
      <c r="CZ31" s="910"/>
      <c r="DA31" s="910"/>
      <c r="DB31" s="910"/>
      <c r="DC31" s="906" t="b">
        <f>DC30+DE30=1</f>
        <v>1</v>
      </c>
      <c r="DD31" s="910"/>
      <c r="DE31" s="910"/>
      <c r="DF31" s="911"/>
      <c r="DG31" s="906" t="b">
        <f>DG30+DI30=1</f>
        <v>1</v>
      </c>
      <c r="DK31" s="906" t="b">
        <f>DK30+DM30=1</f>
        <v>1</v>
      </c>
      <c r="DO31" s="906" t="b">
        <f>DO30+DQ30=1</f>
        <v>1</v>
      </c>
      <c r="DS31" s="906" t="b">
        <f>DS30+DU30=1</f>
        <v>1</v>
      </c>
      <c r="DW31" s="906" t="b">
        <f>DW30+DY30=1</f>
        <v>1</v>
      </c>
      <c r="EA31" s="906" t="b">
        <f>EA30+EC30=1</f>
        <v>1</v>
      </c>
      <c r="EE31" s="906" t="b">
        <f>EE30+EG30=1</f>
        <v>1</v>
      </c>
      <c r="EI31" s="906" t="b">
        <f>EI30+EK30=1</f>
        <v>1</v>
      </c>
      <c r="EM31" s="906" t="b">
        <f>EM30+EO30=1</f>
        <v>1</v>
      </c>
      <c r="EQ31" s="906" t="b">
        <f>EQ30+ES30=1</f>
        <v>1</v>
      </c>
      <c r="EU31" s="906" t="b">
        <f>EU30+EW30=1</f>
        <v>1</v>
      </c>
      <c r="EY31" s="906" t="b">
        <f>EY30+FA30=1</f>
        <v>1</v>
      </c>
      <c r="FC31" s="906" t="b">
        <f>FC30+FE30=1</f>
        <v>1</v>
      </c>
      <c r="FG31" s="906" t="b">
        <f>FG30+FI30=1</f>
        <v>1</v>
      </c>
      <c r="FK31" s="906" t="b">
        <f>FK30+FM30=1</f>
        <v>1</v>
      </c>
      <c r="FO31" s="906" t="b">
        <f>FO30+FQ30=1</f>
        <v>1</v>
      </c>
      <c r="FP31" s="909"/>
      <c r="FS31" s="906" t="b">
        <f>FS30+FU30=1</f>
        <v>1</v>
      </c>
      <c r="FW31" s="906" t="b">
        <f>FW30+FY30=1</f>
        <v>1</v>
      </c>
      <c r="GA31" s="906" t="b">
        <f>GA30+GC30=1</f>
        <v>1</v>
      </c>
      <c r="GE31" s="906" t="b">
        <f>GE30+GG30=1</f>
        <v>1</v>
      </c>
      <c r="GI31" s="906" t="b">
        <f>GI30+GK30=1</f>
        <v>1</v>
      </c>
      <c r="GM31" s="906" t="b">
        <f>GM30+GO30=1</f>
        <v>1</v>
      </c>
      <c r="GQ31" s="906" t="b">
        <f>GQ30+GS30=1</f>
        <v>1</v>
      </c>
      <c r="GU31" s="906" t="b">
        <f>GU30+GW30=1</f>
        <v>1</v>
      </c>
      <c r="GY31" s="906" t="b">
        <f>GY30+HA30=1</f>
        <v>1</v>
      </c>
      <c r="HC31" s="906" t="b">
        <f>HC30+HE30=1</f>
        <v>1</v>
      </c>
    </row>
    <row r="32" spans="1:21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912"/>
    </row>
    <row r="33" spans="1:110">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912"/>
    </row>
    <row r="34" spans="1:110" ht="21.75" customHeight="1">
      <c r="A34" s="913" t="s">
        <v>1052</v>
      </c>
      <c r="B34" s="914" t="s">
        <v>288</v>
      </c>
      <c r="C34" s="914" t="s">
        <v>287</v>
      </c>
      <c r="D34" s="914" t="s">
        <v>286</v>
      </c>
      <c r="E34" s="914" t="s">
        <v>285</v>
      </c>
      <c r="F34" s="915" t="s">
        <v>284</v>
      </c>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row>
    <row r="35" spans="1:110" ht="21.75" customHeight="1">
      <c r="A35" s="916" t="s">
        <v>850</v>
      </c>
      <c r="B35" s="917">
        <f>C35*F35</f>
        <v>121275.55183147801</v>
      </c>
      <c r="C35" s="918">
        <f>C30</f>
        <v>0.51644036367712076</v>
      </c>
      <c r="D35" s="919">
        <f>E35*F35</f>
        <v>113554.17946214264</v>
      </c>
      <c r="E35" s="918">
        <f>E30</f>
        <v>0.48355963632287913</v>
      </c>
      <c r="F35" s="920">
        <f>'1 - Projeto'!C31</f>
        <v>234829.73129362066</v>
      </c>
      <c r="G35" s="921" t="b">
        <f t="shared" ref="G35:G45" si="216">(C35+E35)=1</f>
        <v>1</v>
      </c>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row>
    <row r="36" spans="1:110" ht="21.75" customHeight="1">
      <c r="A36" s="916" t="s">
        <v>854</v>
      </c>
      <c r="B36" s="917">
        <f t="shared" ref="B36:B45" si="217">C36*F36</f>
        <v>27630.533444891436</v>
      </c>
      <c r="C36" s="918">
        <f>G30</f>
        <v>0.63545576103164703</v>
      </c>
      <c r="D36" s="919">
        <f t="shared" ref="D36:D45" si="218">E36*F36</f>
        <v>15850.909543419712</v>
      </c>
      <c r="E36" s="918">
        <f>I30</f>
        <v>0.36454423896835286</v>
      </c>
      <c r="F36" s="920">
        <f>'1 - Projeto'!G31</f>
        <v>43481.442988311152</v>
      </c>
      <c r="G36" s="921" t="b">
        <f t="shared" si="216"/>
        <v>1</v>
      </c>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row>
    <row r="37" spans="1:110" ht="21.75" customHeight="1">
      <c r="A37" s="916" t="s">
        <v>858</v>
      </c>
      <c r="B37" s="917">
        <f t="shared" si="217"/>
        <v>2448.0243726719709</v>
      </c>
      <c r="C37" s="918">
        <f>K30</f>
        <v>0.51015339626978551</v>
      </c>
      <c r="D37" s="919">
        <f t="shared" si="218"/>
        <v>2350.5801070233424</v>
      </c>
      <c r="E37" s="918">
        <f>M30</f>
        <v>0.4898466037302146</v>
      </c>
      <c r="F37" s="920">
        <f>'1 - Projeto'!K31</f>
        <v>4798.6044796953129</v>
      </c>
      <c r="G37" s="921" t="b">
        <f t="shared" si="216"/>
        <v>1</v>
      </c>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row>
    <row r="38" spans="1:110" ht="21.75" customHeight="1">
      <c r="A38" s="916" t="s">
        <v>862</v>
      </c>
      <c r="B38" s="917">
        <f t="shared" si="217"/>
        <v>6595.6373700098138</v>
      </c>
      <c r="C38" s="918">
        <f>O30</f>
        <v>0.22000731010849092</v>
      </c>
      <c r="D38" s="919">
        <f t="shared" si="218"/>
        <v>23383.536352705789</v>
      </c>
      <c r="E38" s="918">
        <f>Q30</f>
        <v>0.77999268989150905</v>
      </c>
      <c r="F38" s="920">
        <f>'1 - Projeto'!O31</f>
        <v>29979.173722715605</v>
      </c>
      <c r="G38" s="921" t="b">
        <f t="shared" si="216"/>
        <v>1</v>
      </c>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row>
    <row r="39" spans="1:110" ht="21.75" customHeight="1">
      <c r="A39" s="916" t="s">
        <v>1053</v>
      </c>
      <c r="B39" s="922">
        <f t="shared" si="217"/>
        <v>46409.03074062596</v>
      </c>
      <c r="C39" s="923">
        <f>S30</f>
        <v>0.60740742648732649</v>
      </c>
      <c r="D39" s="924">
        <f t="shared" si="218"/>
        <v>29996.078444508912</v>
      </c>
      <c r="E39" s="923">
        <f>U30</f>
        <v>0.39259257351267363</v>
      </c>
      <c r="F39" s="925">
        <f>'1 - Projeto'!S31</f>
        <v>76405.109185134861</v>
      </c>
      <c r="G39" s="921" t="b">
        <f t="shared" si="216"/>
        <v>1</v>
      </c>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row>
    <row r="40" spans="1:110" ht="21.75" customHeight="1">
      <c r="A40" s="916" t="s">
        <v>1054</v>
      </c>
      <c r="B40" s="926">
        <f t="shared" si="217"/>
        <v>1679.6782720638732</v>
      </c>
      <c r="C40" s="927">
        <f>W30</f>
        <v>0.5083050543890425</v>
      </c>
      <c r="D40" s="928">
        <f t="shared" si="218"/>
        <v>1624.7906832621034</v>
      </c>
      <c r="E40" s="927">
        <f>Y30</f>
        <v>0.49169494561095733</v>
      </c>
      <c r="F40" s="929">
        <f>'1 - Projeto'!W31</f>
        <v>3304.4689553259773</v>
      </c>
      <c r="G40" s="921" t="b">
        <f t="shared" si="216"/>
        <v>1</v>
      </c>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row>
    <row r="41" spans="1:110" ht="21.75" customHeight="1">
      <c r="A41" s="916" t="s">
        <v>874</v>
      </c>
      <c r="B41" s="924">
        <f t="shared" si="217"/>
        <v>8169.6398994087886</v>
      </c>
      <c r="C41" s="923">
        <f>AA30</f>
        <v>0.54595383266784048</v>
      </c>
      <c r="D41" s="924">
        <f t="shared" si="218"/>
        <v>6794.3358263174841</v>
      </c>
      <c r="E41" s="923">
        <f>AC30</f>
        <v>0.45404616733215947</v>
      </c>
      <c r="F41" s="925">
        <f>'1 - Projeto'!AA31</f>
        <v>14963.975725726274</v>
      </c>
      <c r="G41" s="921" t="b">
        <f t="shared" si="216"/>
        <v>1</v>
      </c>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row>
    <row r="42" spans="1:110" ht="21.75" customHeight="1">
      <c r="A42" s="916" t="s">
        <v>878</v>
      </c>
      <c r="B42" s="924">
        <f t="shared" si="217"/>
        <v>15535.532207375118</v>
      </c>
      <c r="C42" s="923">
        <f>AE30</f>
        <v>0.60131468510555408</v>
      </c>
      <c r="D42" s="924">
        <f t="shared" si="218"/>
        <v>10300.411254820599</v>
      </c>
      <c r="E42" s="923">
        <f>AG30</f>
        <v>0.39868531489444581</v>
      </c>
      <c r="F42" s="925">
        <f>'1 - Projeto'!AE31</f>
        <v>25835.943462195719</v>
      </c>
      <c r="G42" s="921" t="b">
        <f t="shared" si="216"/>
        <v>1</v>
      </c>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row>
    <row r="43" spans="1:110" ht="21.75" customHeight="1">
      <c r="A43" s="916" t="s">
        <v>1055</v>
      </c>
      <c r="B43" s="924">
        <f t="shared" si="217"/>
        <v>3023.7199518324956</v>
      </c>
      <c r="C43" s="923">
        <f>AI30</f>
        <v>0.66370189843172056</v>
      </c>
      <c r="D43" s="924">
        <f t="shared" si="218"/>
        <v>1532.1204924653546</v>
      </c>
      <c r="E43" s="923">
        <f>AK30</f>
        <v>0.33629810156827972</v>
      </c>
      <c r="F43" s="925">
        <f>'1 - Projeto'!AI31</f>
        <v>4555.840444297849</v>
      </c>
      <c r="G43" s="921" t="b">
        <f t="shared" si="216"/>
        <v>1</v>
      </c>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row>
    <row r="44" spans="1:110" ht="21.75" customHeight="1">
      <c r="A44" s="916" t="s">
        <v>886</v>
      </c>
      <c r="B44" s="924">
        <f t="shared" si="217"/>
        <v>3029.1507420667213</v>
      </c>
      <c r="C44" s="923">
        <f>AM30</f>
        <v>0.5679857120857138</v>
      </c>
      <c r="D44" s="924">
        <f t="shared" si="218"/>
        <v>2303.9952818769184</v>
      </c>
      <c r="E44" s="923">
        <f>AO30</f>
        <v>0.43201428791428625</v>
      </c>
      <c r="F44" s="925">
        <f>'1 - Projeto'!AM31</f>
        <v>5333.1460239436392</v>
      </c>
      <c r="G44" s="921" t="b">
        <f t="shared" si="216"/>
        <v>1</v>
      </c>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row>
    <row r="45" spans="1:110" ht="21.75" customHeight="1">
      <c r="A45" s="916" t="s">
        <v>1056</v>
      </c>
      <c r="B45" s="924">
        <f t="shared" si="217"/>
        <v>310.69257770701853</v>
      </c>
      <c r="C45" s="923">
        <f>AQ30</f>
        <v>0.55109988402965071</v>
      </c>
      <c r="D45" s="924">
        <f t="shared" si="218"/>
        <v>253.07560064066988</v>
      </c>
      <c r="E45" s="923">
        <f>AS30</f>
        <v>0.44890011597034929</v>
      </c>
      <c r="F45" s="925">
        <f>'1 - Projeto'!AQ31</f>
        <v>563.76817834768838</v>
      </c>
      <c r="G45" s="921" t="b">
        <f t="shared" si="216"/>
        <v>1</v>
      </c>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row>
    <row r="46" spans="1:110" ht="21.75" customHeight="1">
      <c r="A46" s="930" t="s">
        <v>616</v>
      </c>
      <c r="B46" s="931" t="s">
        <v>288</v>
      </c>
      <c r="C46" s="931" t="s">
        <v>287</v>
      </c>
      <c r="D46" s="931" t="s">
        <v>286</v>
      </c>
      <c r="E46" s="931" t="s">
        <v>285</v>
      </c>
      <c r="F46" s="932" t="s">
        <v>284</v>
      </c>
      <c r="G46" s="921"/>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row>
    <row r="47" spans="1:110" ht="21.75" customHeight="1">
      <c r="A47" s="933" t="s">
        <v>894</v>
      </c>
      <c r="B47" s="934">
        <f t="shared" ref="B47:B55" si="219">C47*F47</f>
        <v>81177.179502435189</v>
      </c>
      <c r="C47" s="935">
        <f>AU30</f>
        <v>0.58344910974417197</v>
      </c>
      <c r="D47" s="936">
        <f t="shared" ref="D47:D55" si="220">E47*F47</f>
        <v>57956.0853302584</v>
      </c>
      <c r="E47" s="935">
        <f>AW30</f>
        <v>0.41655089025582798</v>
      </c>
      <c r="F47" s="937">
        <f>'2 - Execução '!C31</f>
        <v>139133.26483269359</v>
      </c>
      <c r="G47" s="921" t="b">
        <f t="shared" ref="G47:G55" si="221">(C47+E47)=1</f>
        <v>1</v>
      </c>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row>
    <row r="48" spans="1:110" ht="21.75" customHeight="1">
      <c r="A48" s="933" t="s">
        <v>1057</v>
      </c>
      <c r="B48" s="938">
        <f t="shared" si="219"/>
        <v>22778.620547344457</v>
      </c>
      <c r="C48" s="939">
        <f>AY30</f>
        <v>0.62768891747712496</v>
      </c>
      <c r="D48" s="940">
        <f t="shared" si="220"/>
        <v>13511.044465220601</v>
      </c>
      <c r="E48" s="939">
        <f>BA30</f>
        <v>0.37231108252287509</v>
      </c>
      <c r="F48" s="941">
        <f>'2 - Execução '!G31</f>
        <v>36289.665012565056</v>
      </c>
      <c r="G48" s="921" t="b">
        <f t="shared" si="221"/>
        <v>1</v>
      </c>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row>
    <row r="49" spans="1:109" ht="21.75" customHeight="1">
      <c r="A49" s="933" t="s">
        <v>858</v>
      </c>
      <c r="B49" s="938">
        <f t="shared" si="219"/>
        <v>2521.165367086478</v>
      </c>
      <c r="C49" s="939">
        <f>BC30</f>
        <v>0.6075614210829644</v>
      </c>
      <c r="D49" s="940">
        <f t="shared" si="220"/>
        <v>1628.4815321398719</v>
      </c>
      <c r="E49" s="939">
        <f>BE30</f>
        <v>0.3924385789170356</v>
      </c>
      <c r="F49" s="941">
        <f>'2 - Execução '!K31</f>
        <v>4149.6468992263499</v>
      </c>
      <c r="G49" s="921" t="b">
        <f t="shared" si="221"/>
        <v>1</v>
      </c>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row>
    <row r="50" spans="1:109" ht="21.75" customHeight="1">
      <c r="A50" s="933" t="s">
        <v>902</v>
      </c>
      <c r="B50" s="938">
        <f t="shared" si="219"/>
        <v>12848.636202125774</v>
      </c>
      <c r="C50" s="939">
        <f>BG30</f>
        <v>0.39520387408837532</v>
      </c>
      <c r="D50" s="940">
        <f t="shared" si="220"/>
        <v>19662.776373886991</v>
      </c>
      <c r="E50" s="939">
        <f>BI30</f>
        <v>0.60479612591162446</v>
      </c>
      <c r="F50" s="941">
        <f>'2 - Execução '!O31</f>
        <v>32511.412576012772</v>
      </c>
      <c r="G50" s="921" t="b">
        <f t="shared" si="221"/>
        <v>1</v>
      </c>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row>
    <row r="51" spans="1:109" ht="21.75" customHeight="1">
      <c r="A51" s="933" t="s">
        <v>1053</v>
      </c>
      <c r="B51" s="938">
        <f t="shared" si="219"/>
        <v>37121.62283464674</v>
      </c>
      <c r="C51" s="939">
        <f>BK30</f>
        <v>0.61613368148376246</v>
      </c>
      <c r="D51" s="940">
        <f t="shared" si="220"/>
        <v>23127.676871305193</v>
      </c>
      <c r="E51" s="939">
        <f>BM30</f>
        <v>0.38386631851623737</v>
      </c>
      <c r="F51" s="941">
        <f>'2 - Execução '!S31</f>
        <v>60249.29970595194</v>
      </c>
      <c r="G51" s="921" t="b">
        <f t="shared" si="221"/>
        <v>1</v>
      </c>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row>
    <row r="52" spans="1:109" ht="21.75" customHeight="1">
      <c r="A52" s="933" t="s">
        <v>908</v>
      </c>
      <c r="B52" s="938">
        <f t="shared" si="219"/>
        <v>350.53047768489483</v>
      </c>
      <c r="C52" s="939">
        <f>BO30</f>
        <v>0.65089963836080877</v>
      </c>
      <c r="D52" s="940">
        <f t="shared" si="220"/>
        <v>188.00181980977305</v>
      </c>
      <c r="E52" s="939">
        <f>BQ30</f>
        <v>0.34910036163919117</v>
      </c>
      <c r="F52" s="941">
        <f>'2 - Execução '!W31</f>
        <v>538.53229749466789</v>
      </c>
      <c r="G52" s="921" t="b">
        <f t="shared" si="221"/>
        <v>1</v>
      </c>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row>
    <row r="53" spans="1:109" ht="21.75" customHeight="1">
      <c r="A53" s="933" t="s">
        <v>878</v>
      </c>
      <c r="B53" s="938">
        <f t="shared" si="219"/>
        <v>892.14774947109879</v>
      </c>
      <c r="C53" s="939">
        <f>BS30</f>
        <v>0.60100833606959103</v>
      </c>
      <c r="D53" s="940">
        <f t="shared" si="220"/>
        <v>592.2705121880814</v>
      </c>
      <c r="E53" s="939">
        <f>BU30</f>
        <v>0.3989916639304088</v>
      </c>
      <c r="F53" s="941">
        <f>'2 - Execução '!AA31</f>
        <v>1484.4182616591804</v>
      </c>
      <c r="G53" s="921" t="b">
        <f t="shared" si="221"/>
        <v>1</v>
      </c>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row>
    <row r="54" spans="1:109" ht="21.75" customHeight="1">
      <c r="A54" s="933" t="s">
        <v>1058</v>
      </c>
      <c r="B54" s="938">
        <f t="shared" si="219"/>
        <v>1631.1560422071991</v>
      </c>
      <c r="C54" s="939">
        <f>BW30</f>
        <v>0.67144412053638114</v>
      </c>
      <c r="D54" s="940">
        <f t="shared" si="220"/>
        <v>798.16903834329378</v>
      </c>
      <c r="E54" s="939">
        <f>BY30</f>
        <v>0.32855587946361875</v>
      </c>
      <c r="F54" s="942">
        <f>'2 - Execução '!AE31</f>
        <v>2429.3250805504931</v>
      </c>
      <c r="G54" s="921" t="b">
        <f t="shared" si="221"/>
        <v>1</v>
      </c>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row>
    <row r="55" spans="1:109" ht="21.75" customHeight="1">
      <c r="A55" s="933" t="s">
        <v>1059</v>
      </c>
      <c r="B55" s="938">
        <f t="shared" si="219"/>
        <v>178.4455044842509</v>
      </c>
      <c r="C55" s="939">
        <f>CA30</f>
        <v>0.69683299977617974</v>
      </c>
      <c r="D55" s="940">
        <f t="shared" si="220"/>
        <v>77.635227257166292</v>
      </c>
      <c r="E55" s="939">
        <f>CC30</f>
        <v>0.30316700022382032</v>
      </c>
      <c r="F55" s="941">
        <f>'2 - Execução '!AI31</f>
        <v>256.0807317414172</v>
      </c>
      <c r="G55" s="921" t="b">
        <f t="shared" si="221"/>
        <v>1</v>
      </c>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row>
    <row r="56" spans="1:109" ht="21.75" customHeight="1">
      <c r="A56" s="943" t="s">
        <v>619</v>
      </c>
      <c r="B56" s="944" t="s">
        <v>288</v>
      </c>
      <c r="C56" s="944" t="s">
        <v>287</v>
      </c>
      <c r="D56" s="944" t="s">
        <v>286</v>
      </c>
      <c r="E56" s="944" t="s">
        <v>285</v>
      </c>
      <c r="F56" s="945" t="s">
        <v>284</v>
      </c>
      <c r="G56" s="921"/>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row>
    <row r="57" spans="1:109" ht="21.75" customHeight="1">
      <c r="A57" s="946" t="s">
        <v>1060</v>
      </c>
      <c r="B57" s="947">
        <f t="shared" ref="B57:B63" si="222">C57*F57</f>
        <v>1109.9201288618913</v>
      </c>
      <c r="C57" s="948">
        <f>CE30</f>
        <v>0.49185102248612761</v>
      </c>
      <c r="D57" s="949">
        <f t="shared" ref="D57:D63" si="223">E57*F57</f>
        <v>1146.6983960964378</v>
      </c>
      <c r="E57" s="948">
        <f>CG30</f>
        <v>0.50814897751387234</v>
      </c>
      <c r="F57" s="950">
        <f>'3 - Gestão'!C31</f>
        <v>2256.6185249583291</v>
      </c>
      <c r="G57" s="921" t="b">
        <f>(C57+E57)=1</f>
        <v>1</v>
      </c>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row>
    <row r="58" spans="1:109" ht="21.75" customHeight="1">
      <c r="A58" s="946" t="s">
        <v>1061</v>
      </c>
      <c r="B58" s="947">
        <f t="shared" si="222"/>
        <v>1276.2094419440025</v>
      </c>
      <c r="C58" s="948">
        <f>CI30</f>
        <v>0.56746361795311773</v>
      </c>
      <c r="D58" s="949">
        <f t="shared" si="223"/>
        <v>972.76194858739757</v>
      </c>
      <c r="E58" s="948">
        <f>CK30</f>
        <v>0.43253638204688216</v>
      </c>
      <c r="F58" s="950">
        <f>'3 - Gestão'!G31</f>
        <v>2248.9713905314002</v>
      </c>
      <c r="G58" s="921" t="b">
        <f t="shared" ref="G58:G63" si="224">(C58+E58)=1</f>
        <v>1</v>
      </c>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row>
    <row r="59" spans="1:109" ht="21.75" customHeight="1">
      <c r="A59" s="946" t="s">
        <v>1062</v>
      </c>
      <c r="B59" s="947">
        <f t="shared" si="222"/>
        <v>3807.1971311344005</v>
      </c>
      <c r="C59" s="948">
        <f>CM30</f>
        <v>0.47883923549839852</v>
      </c>
      <c r="D59" s="949">
        <f t="shared" si="223"/>
        <v>4143.6908681994255</v>
      </c>
      <c r="E59" s="948">
        <f>CO30</f>
        <v>0.52116076450160154</v>
      </c>
      <c r="F59" s="950">
        <f>'3 - Gestão'!K31</f>
        <v>7950.887999333826</v>
      </c>
      <c r="G59" s="921" t="b">
        <f t="shared" si="224"/>
        <v>1</v>
      </c>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row>
    <row r="60" spans="1:109" ht="21.75" customHeight="1">
      <c r="A60" s="946" t="s">
        <v>1063</v>
      </c>
      <c r="B60" s="947">
        <f t="shared" si="222"/>
        <v>673.07735987614603</v>
      </c>
      <c r="C60" s="948">
        <f>CQ30</f>
        <v>0.50171555089365716</v>
      </c>
      <c r="D60" s="949">
        <f t="shared" si="223"/>
        <v>668.47435937445073</v>
      </c>
      <c r="E60" s="948">
        <f>CS30</f>
        <v>0.49828444910634284</v>
      </c>
      <c r="F60" s="950">
        <f>'3 - Gestão'!O31</f>
        <v>1341.5517192505968</v>
      </c>
      <c r="G60" s="921" t="b">
        <f t="shared" si="224"/>
        <v>1</v>
      </c>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row>
    <row r="61" spans="1:109" ht="21.75" customHeight="1">
      <c r="A61" s="946" t="s">
        <v>1064</v>
      </c>
      <c r="B61" s="947">
        <f t="shared" si="222"/>
        <v>1137.5158904378518</v>
      </c>
      <c r="C61" s="948">
        <f>CU30</f>
        <v>0.49688788326658195</v>
      </c>
      <c r="D61" s="949">
        <f t="shared" si="223"/>
        <v>1151.764908602222</v>
      </c>
      <c r="E61" s="948">
        <f>CW30</f>
        <v>0.50311211673341794</v>
      </c>
      <c r="F61" s="950">
        <f>'3 - Gestão'!S31</f>
        <v>2289.2807990400743</v>
      </c>
      <c r="G61" s="921" t="b">
        <f t="shared" si="224"/>
        <v>1</v>
      </c>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row>
    <row r="62" spans="1:109" ht="21.75" customHeight="1">
      <c r="A62" s="946" t="s">
        <v>1065</v>
      </c>
      <c r="B62" s="947">
        <f t="shared" si="222"/>
        <v>2576.8090005956801</v>
      </c>
      <c r="C62" s="948">
        <f>CY30</f>
        <v>0.54346721661784814</v>
      </c>
      <c r="D62" s="949">
        <f t="shared" si="223"/>
        <v>2164.6159130024184</v>
      </c>
      <c r="E62" s="948">
        <f>DA30</f>
        <v>0.45653278338215175</v>
      </c>
      <c r="F62" s="950">
        <f>'3 - Gestão'!W31</f>
        <v>4741.424913598099</v>
      </c>
      <c r="G62" s="921" t="b">
        <f t="shared" si="224"/>
        <v>1</v>
      </c>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row>
    <row r="63" spans="1:109" ht="21.75" customHeight="1">
      <c r="A63" s="946" t="s">
        <v>1066</v>
      </c>
      <c r="B63" s="947">
        <f t="shared" si="222"/>
        <v>2053.812917364588</v>
      </c>
      <c r="C63" s="948">
        <f>DC30</f>
        <v>0.48165289939250805</v>
      </c>
      <c r="D63" s="949">
        <f t="shared" si="223"/>
        <v>2210.2804161438166</v>
      </c>
      <c r="E63" s="948">
        <f>DE30</f>
        <v>0.5183471006074919</v>
      </c>
      <c r="F63" s="950">
        <f>'3 - Gestão'!AA31</f>
        <v>4264.0933335084046</v>
      </c>
      <c r="G63" s="921" t="b">
        <f t="shared" si="224"/>
        <v>1</v>
      </c>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row>
    <row r="64" spans="1:109" ht="21.75" customHeight="1">
      <c r="A64" s="951" t="s">
        <v>1067</v>
      </c>
      <c r="B64" s="877" t="s">
        <v>288</v>
      </c>
      <c r="C64" s="877" t="s">
        <v>287</v>
      </c>
      <c r="D64" s="877" t="s">
        <v>286</v>
      </c>
      <c r="E64" s="877" t="s">
        <v>285</v>
      </c>
      <c r="F64" s="952" t="s">
        <v>284</v>
      </c>
      <c r="G64" s="921"/>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row>
    <row r="65" spans="1:109" ht="21.75" customHeight="1">
      <c r="A65" s="953" t="s">
        <v>1068</v>
      </c>
      <c r="B65" s="954">
        <f t="shared" ref="B65:B68" si="225">C65*F65</f>
        <v>4558.3811272795938</v>
      </c>
      <c r="C65" s="955">
        <f>DG30</f>
        <v>0.64866090351662953</v>
      </c>
      <c r="D65" s="956">
        <f t="shared" ref="D65:D68" si="226">E65*F65</f>
        <v>2468.9903430324462</v>
      </c>
      <c r="E65" s="955">
        <f>DI30</f>
        <v>0.35133909648337036</v>
      </c>
      <c r="F65" s="957">
        <f>'4 - Meio Amb. e Plan. '!C31</f>
        <v>7027.3714703120404</v>
      </c>
      <c r="G65" s="921" t="b">
        <f>(C65+E65)=1</f>
        <v>1</v>
      </c>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row>
    <row r="66" spans="1:109" ht="21.75" customHeight="1">
      <c r="A66" s="953" t="s">
        <v>1069</v>
      </c>
      <c r="B66" s="954">
        <f t="shared" si="225"/>
        <v>2683.0171964142014</v>
      </c>
      <c r="C66" s="955">
        <f>DK30</f>
        <v>0.53325114606412449</v>
      </c>
      <c r="D66" s="956">
        <f t="shared" si="226"/>
        <v>2348.415396309309</v>
      </c>
      <c r="E66" s="955">
        <f>DM30</f>
        <v>0.46674885393587551</v>
      </c>
      <c r="F66" s="957">
        <f>'4 - Meio Amb. e Plan. '!G31</f>
        <v>5031.4325927235104</v>
      </c>
      <c r="G66" s="921" t="b">
        <f>(C66+E66)=1</f>
        <v>1</v>
      </c>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row>
    <row r="67" spans="1:109" ht="21.75" customHeight="1">
      <c r="A67" s="953" t="s">
        <v>956</v>
      </c>
      <c r="B67" s="954">
        <f t="shared" si="225"/>
        <v>70.59730489141964</v>
      </c>
      <c r="C67" s="955">
        <f>DO30</f>
        <v>0.45411502985032404</v>
      </c>
      <c r="D67" s="956">
        <f t="shared" si="226"/>
        <v>84.863977494870142</v>
      </c>
      <c r="E67" s="955">
        <f>DQ30</f>
        <v>0.54588497014967596</v>
      </c>
      <c r="F67" s="957">
        <f>'4 - Meio Amb. e Plan. '!K31</f>
        <v>155.46128238628978</v>
      </c>
      <c r="G67" s="921" t="b">
        <f>(C67+E67)=1</f>
        <v>1</v>
      </c>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row>
    <row r="68" spans="1:109" ht="21.75" customHeight="1">
      <c r="A68" s="953" t="s">
        <v>960</v>
      </c>
      <c r="B68" s="954">
        <f t="shared" si="225"/>
        <v>333.24467344256016</v>
      </c>
      <c r="C68" s="955">
        <f>DS30</f>
        <v>0.43187507816981952</v>
      </c>
      <c r="D68" s="956">
        <f t="shared" si="226"/>
        <v>438.37816447336968</v>
      </c>
      <c r="E68" s="955">
        <f>DU30</f>
        <v>0.56812492183018048</v>
      </c>
      <c r="F68" s="957">
        <f>'4 - Meio Amb. e Plan. '!O31</f>
        <v>771.62283791592984</v>
      </c>
      <c r="G68" s="921" t="b">
        <f>(C68+E68)=1</f>
        <v>1</v>
      </c>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row>
    <row r="69" spans="1:109" ht="21.75" customHeight="1">
      <c r="A69" s="958" t="s">
        <v>1070</v>
      </c>
      <c r="B69" s="959" t="s">
        <v>288</v>
      </c>
      <c r="C69" s="959" t="s">
        <v>287</v>
      </c>
      <c r="D69" s="959" t="s">
        <v>286</v>
      </c>
      <c r="E69" s="959" t="s">
        <v>285</v>
      </c>
      <c r="F69" s="960" t="s">
        <v>284</v>
      </c>
      <c r="G69" s="921"/>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row>
    <row r="70" spans="1:109" ht="21.75" customHeight="1">
      <c r="A70" s="961" t="s">
        <v>964</v>
      </c>
      <c r="B70" s="962">
        <f t="shared" ref="B70:B80" si="227">C70*F70</f>
        <v>1038.192891826254</v>
      </c>
      <c r="C70" s="963">
        <f>DW30</f>
        <v>0.44010060345073276</v>
      </c>
      <c r="D70" s="964">
        <f t="shared" ref="D70:D80" si="228">E70*F70</f>
        <v>1320.7970383988134</v>
      </c>
      <c r="E70" s="963">
        <f>DY30</f>
        <v>0.55989939654926735</v>
      </c>
      <c r="F70" s="965">
        <f>'5 - Atividades Especiais'!C31</f>
        <v>2358.9899302250669</v>
      </c>
      <c r="G70" s="921" t="b">
        <f t="shared" ref="G70:G80" si="229">(C70+E70)=1</f>
        <v>1</v>
      </c>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row>
    <row r="71" spans="1:109" ht="21.75" customHeight="1">
      <c r="A71" s="961" t="s">
        <v>968</v>
      </c>
      <c r="B71" s="962">
        <f t="shared" si="227"/>
        <v>650.63567717260207</v>
      </c>
      <c r="C71" s="963">
        <f>EA30</f>
        <v>0.4580788253013035</v>
      </c>
      <c r="D71" s="964">
        <f t="shared" si="228"/>
        <v>769.72178367410561</v>
      </c>
      <c r="E71" s="963">
        <f>EC30</f>
        <v>0.5419211746986965</v>
      </c>
      <c r="F71" s="965">
        <f>'5 - Atividades Especiais'!G31</f>
        <v>1420.3574608467077</v>
      </c>
      <c r="G71" s="921" t="b">
        <f t="shared" si="229"/>
        <v>1</v>
      </c>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row>
    <row r="72" spans="1:109" ht="21.75" customHeight="1">
      <c r="A72" s="961" t="s">
        <v>972</v>
      </c>
      <c r="B72" s="962">
        <f t="shared" si="227"/>
        <v>667.67836335217692</v>
      </c>
      <c r="C72" s="963">
        <f>EE30</f>
        <v>0.53262810843554809</v>
      </c>
      <c r="D72" s="964">
        <f t="shared" si="228"/>
        <v>585.87613889386989</v>
      </c>
      <c r="E72" s="963">
        <f>EG30</f>
        <v>0.46737189156445197</v>
      </c>
      <c r="F72" s="965">
        <f>'5 - Atividades Especiais'!K31</f>
        <v>1253.5545022460467</v>
      </c>
      <c r="G72" s="921" t="b">
        <f t="shared" si="229"/>
        <v>1</v>
      </c>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row>
    <row r="73" spans="1:109" ht="21.75" customHeight="1">
      <c r="A73" s="961" t="s">
        <v>976</v>
      </c>
      <c r="B73" s="962">
        <f t="shared" si="227"/>
        <v>9088.9117039678949</v>
      </c>
      <c r="C73" s="963">
        <f>EI30</f>
        <v>0.53373185281539914</v>
      </c>
      <c r="D73" s="964">
        <f t="shared" si="228"/>
        <v>7940.0732742088921</v>
      </c>
      <c r="E73" s="963">
        <f>EK30</f>
        <v>0.46626814718460097</v>
      </c>
      <c r="F73" s="965">
        <f>'5 - Atividades Especiais'!O31</f>
        <v>17028.984978176784</v>
      </c>
      <c r="G73" s="921" t="b">
        <f t="shared" si="229"/>
        <v>1</v>
      </c>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row>
    <row r="74" spans="1:109" ht="21.75" customHeight="1">
      <c r="A74" s="961" t="s">
        <v>980</v>
      </c>
      <c r="B74" s="962">
        <f t="shared" si="227"/>
        <v>374.80037682416344</v>
      </c>
      <c r="C74" s="963">
        <f>EM30</f>
        <v>0.67789000067979155</v>
      </c>
      <c r="D74" s="964">
        <f t="shared" si="228"/>
        <v>178.09224063340588</v>
      </c>
      <c r="E74" s="963">
        <f>EO30</f>
        <v>0.32210999932020834</v>
      </c>
      <c r="F74" s="965">
        <f>'5 - Atividades Especiais'!S31</f>
        <v>552.89261745756937</v>
      </c>
      <c r="G74" s="921" t="b">
        <f t="shared" si="229"/>
        <v>1</v>
      </c>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row>
    <row r="75" spans="1:109" ht="21.75" customHeight="1">
      <c r="A75" s="961" t="s">
        <v>984</v>
      </c>
      <c r="B75" s="962">
        <f t="shared" si="227"/>
        <v>3499.9751322873481</v>
      </c>
      <c r="C75" s="963">
        <f>EQ30</f>
        <v>0.45526911391380009</v>
      </c>
      <c r="D75" s="964">
        <f t="shared" si="228"/>
        <v>4187.7309415976188</v>
      </c>
      <c r="E75" s="963">
        <f>ES30</f>
        <v>0.54473088608619991</v>
      </c>
      <c r="F75" s="965">
        <f>'5 - Atividades Especiais'!W31</f>
        <v>7687.7060738849668</v>
      </c>
      <c r="G75" s="921" t="b">
        <f t="shared" si="229"/>
        <v>1</v>
      </c>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row>
    <row r="76" spans="1:109" ht="21.75" customHeight="1">
      <c r="A76" s="961" t="s">
        <v>988</v>
      </c>
      <c r="B76" s="962">
        <f t="shared" si="227"/>
        <v>20053.959164199721</v>
      </c>
      <c r="C76" s="963">
        <f>EU30</f>
        <v>0.5308981109620079</v>
      </c>
      <c r="D76" s="964">
        <f t="shared" si="228"/>
        <v>17719.690336758518</v>
      </c>
      <c r="E76" s="963">
        <f>EW30</f>
        <v>0.46910188903799216</v>
      </c>
      <c r="F76" s="965">
        <f>'5 - Atividades Especiais'!AA31</f>
        <v>37773.649500958236</v>
      </c>
      <c r="G76" s="921" t="b">
        <f t="shared" si="229"/>
        <v>1</v>
      </c>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row>
    <row r="77" spans="1:109" ht="21.75" customHeight="1">
      <c r="A77" s="961" t="s">
        <v>992</v>
      </c>
      <c r="B77" s="962">
        <f t="shared" si="227"/>
        <v>2268.1074541954436</v>
      </c>
      <c r="C77" s="963">
        <f>EY30</f>
        <v>0.59957468232853328</v>
      </c>
      <c r="D77" s="964">
        <f t="shared" si="228"/>
        <v>1514.753165247203</v>
      </c>
      <c r="E77" s="963">
        <f>FA30</f>
        <v>0.40042531767146666</v>
      </c>
      <c r="F77" s="965">
        <f>'5 - Atividades Especiais'!AE31</f>
        <v>3782.8606194426466</v>
      </c>
      <c r="G77" s="921" t="b">
        <f t="shared" si="229"/>
        <v>1</v>
      </c>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row>
    <row r="78" spans="1:109" ht="21.75" customHeight="1">
      <c r="A78" s="961" t="s">
        <v>669</v>
      </c>
      <c r="B78" s="962">
        <f t="shared" si="227"/>
        <v>19.598027550070153</v>
      </c>
      <c r="C78" s="963">
        <f>FC30</f>
        <v>0.46795454545454546</v>
      </c>
      <c r="D78" s="964">
        <f t="shared" si="228"/>
        <v>22.282167311663052</v>
      </c>
      <c r="E78" s="963">
        <f>FE30</f>
        <v>0.53204545454545449</v>
      </c>
      <c r="F78" s="965">
        <f>'5 - Atividades Especiais'!AI31</f>
        <v>41.880194861733209</v>
      </c>
      <c r="G78" s="921" t="b">
        <f t="shared" si="229"/>
        <v>1</v>
      </c>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row>
    <row r="79" spans="1:109" ht="21.75" customHeight="1">
      <c r="A79" s="961" t="s">
        <v>1000</v>
      </c>
      <c r="B79" s="962">
        <f t="shared" si="227"/>
        <v>9.5676983582726933</v>
      </c>
      <c r="C79" s="963">
        <f>FG30</f>
        <v>0.62916666666666665</v>
      </c>
      <c r="D79" s="964">
        <f t="shared" si="228"/>
        <v>5.639239429710396</v>
      </c>
      <c r="E79" s="963">
        <f>FI30</f>
        <v>0.37083333333333335</v>
      </c>
      <c r="F79" s="965">
        <f>'5 - Atividades Especiais'!AM31</f>
        <v>15.20693778798309</v>
      </c>
      <c r="G79" s="921" t="b">
        <f t="shared" si="229"/>
        <v>1</v>
      </c>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row>
    <row r="80" spans="1:109" ht="21.75" customHeight="1">
      <c r="A80" s="961" t="s">
        <v>1004</v>
      </c>
      <c r="B80" s="962">
        <f t="shared" si="227"/>
        <v>1581.2057912593341</v>
      </c>
      <c r="C80" s="963">
        <f>FK30</f>
        <v>0.56714699830874804</v>
      </c>
      <c r="D80" s="964">
        <f t="shared" si="228"/>
        <v>1206.7941381673304</v>
      </c>
      <c r="E80" s="963">
        <f>FM30</f>
        <v>0.43285300169125202</v>
      </c>
      <c r="F80" s="965">
        <f>'5 - Atividades Especiais'!AQ31</f>
        <v>2787.9999294266645</v>
      </c>
      <c r="G80" s="921" t="b">
        <f t="shared" si="229"/>
        <v>1</v>
      </c>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row>
    <row r="81" spans="1:109" ht="21.75" customHeight="1">
      <c r="A81" s="966" t="s">
        <v>1071</v>
      </c>
      <c r="B81" s="967" t="s">
        <v>288</v>
      </c>
      <c r="C81" s="967" t="s">
        <v>287</v>
      </c>
      <c r="D81" s="967" t="s">
        <v>286</v>
      </c>
      <c r="E81" s="967" t="s">
        <v>285</v>
      </c>
      <c r="F81" s="968" t="s">
        <v>284</v>
      </c>
      <c r="G81" s="921"/>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row>
    <row r="82" spans="1:109" ht="21.75" customHeight="1">
      <c r="A82" s="969" t="s">
        <v>1008</v>
      </c>
      <c r="B82" s="970">
        <f t="shared" ref="B82:B84" si="230">C82*F82</f>
        <v>61.198676678120314</v>
      </c>
      <c r="C82" s="971">
        <f>FO30</f>
        <v>0.51671448087431704</v>
      </c>
      <c r="D82" s="972">
        <f t="shared" ref="D82:D84" si="231">E82*F82</f>
        <v>57.239414266356178</v>
      </c>
      <c r="E82" s="971">
        <f>FQ30</f>
        <v>0.48328551912568302</v>
      </c>
      <c r="F82" s="973">
        <f>'6 - Ensino e Pesquisa '!C31</f>
        <v>118.43809094447649</v>
      </c>
      <c r="G82" s="921" t="b">
        <f>(C82+E82)=1</f>
        <v>1</v>
      </c>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row>
    <row r="83" spans="1:109" ht="21.75" customHeight="1">
      <c r="A83" s="969" t="s">
        <v>1012</v>
      </c>
      <c r="B83" s="970">
        <f t="shared" si="230"/>
        <v>1.7737568085074529</v>
      </c>
      <c r="C83" s="971">
        <f>FS30</f>
        <v>0.11076711386308909</v>
      </c>
      <c r="D83" s="972">
        <f t="shared" si="231"/>
        <v>14.239631521713559</v>
      </c>
      <c r="E83" s="971">
        <f>FU30</f>
        <v>0.88923288613691087</v>
      </c>
      <c r="F83" s="973">
        <f>'6 - Ensino e Pesquisa '!G31</f>
        <v>16.013388330221012</v>
      </c>
      <c r="G83" s="921" t="b">
        <f>(C83+E83)=1</f>
        <v>1</v>
      </c>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row>
    <row r="84" spans="1:109" ht="21.75" customHeight="1">
      <c r="A84" s="969" t="s">
        <v>1072</v>
      </c>
      <c r="B84" s="970">
        <f t="shared" si="230"/>
        <v>67.466248263621694</v>
      </c>
      <c r="C84" s="971">
        <f>FW30</f>
        <v>0.68046464646464644</v>
      </c>
      <c r="D84" s="972">
        <f t="shared" si="231"/>
        <v>31.681074986957938</v>
      </c>
      <c r="E84" s="971">
        <f>FY30</f>
        <v>0.31953535353535351</v>
      </c>
      <c r="F84" s="973">
        <f>'6 - Ensino e Pesquisa '!K31</f>
        <v>99.147323250579632</v>
      </c>
      <c r="G84" s="921" t="b">
        <f>(C84+E84)=1</f>
        <v>1</v>
      </c>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row>
    <row r="85" spans="1:109" ht="21.75" customHeight="1">
      <c r="A85" s="974" t="s">
        <v>1073</v>
      </c>
      <c r="B85" s="975" t="s">
        <v>288</v>
      </c>
      <c r="C85" s="975" t="s">
        <v>287</v>
      </c>
      <c r="D85" s="975" t="s">
        <v>286</v>
      </c>
      <c r="E85" s="975" t="s">
        <v>285</v>
      </c>
      <c r="F85" s="976" t="s">
        <v>284</v>
      </c>
      <c r="G85" s="921"/>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row>
    <row r="86" spans="1:109" ht="21.75" customHeight="1">
      <c r="A86" s="977" t="s">
        <v>1020</v>
      </c>
      <c r="B86" s="978">
        <f t="shared" ref="B86:B93" si="232">C86*F86</f>
        <v>158.10504231756278</v>
      </c>
      <c r="C86" s="979">
        <f>GA30</f>
        <v>0.57098342329154339</v>
      </c>
      <c r="D86" s="980">
        <f t="shared" ref="D86:D93" si="233">E86*F86</f>
        <v>118.79448903158908</v>
      </c>
      <c r="E86" s="979">
        <f>GC30</f>
        <v>0.42901657670845655</v>
      </c>
      <c r="F86" s="981">
        <f>'7 - Eng. Segurança '!$C$31</f>
        <v>276.89953134915186</v>
      </c>
      <c r="G86" s="921" t="b">
        <f t="shared" ref="G86:G93" si="234">(C86+E86)=1</f>
        <v>1</v>
      </c>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row>
    <row r="87" spans="1:109" ht="21.75" customHeight="1">
      <c r="A87" s="977" t="s">
        <v>1024</v>
      </c>
      <c r="B87" s="978">
        <f t="shared" si="232"/>
        <v>600.43206087178567</v>
      </c>
      <c r="C87" s="979">
        <f>GE30</f>
        <v>0.53036152468733011</v>
      </c>
      <c r="D87" s="980">
        <f t="shared" si="233"/>
        <v>531.68637706687332</v>
      </c>
      <c r="E87" s="979">
        <f>GG30</f>
        <v>0.46963847531266995</v>
      </c>
      <c r="F87" s="981">
        <f>'7 - Eng. Segurança '!$G$31</f>
        <v>1132.1184379386589</v>
      </c>
      <c r="G87" s="921" t="b">
        <f t="shared" si="234"/>
        <v>1</v>
      </c>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row>
    <row r="88" spans="1:109" ht="21.75" customHeight="1">
      <c r="A88" s="977" t="s">
        <v>1028</v>
      </c>
      <c r="B88" s="978">
        <f t="shared" si="232"/>
        <v>230.14547753024689</v>
      </c>
      <c r="C88" s="979">
        <f>GI30</f>
        <v>0.71336930914386154</v>
      </c>
      <c r="D88" s="980">
        <f t="shared" si="233"/>
        <v>92.472098780194912</v>
      </c>
      <c r="E88" s="979">
        <f>GK30</f>
        <v>0.28663069085613851</v>
      </c>
      <c r="F88" s="981">
        <f>'7 - Eng. Segurança '!$K$31</f>
        <v>322.61757631044179</v>
      </c>
      <c r="G88" s="921" t="b">
        <f t="shared" si="234"/>
        <v>1</v>
      </c>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row>
    <row r="89" spans="1:109" ht="21.75" customHeight="1">
      <c r="A89" s="977" t="s">
        <v>1074</v>
      </c>
      <c r="B89" s="978">
        <f t="shared" si="232"/>
        <v>18.655315724121113</v>
      </c>
      <c r="C89" s="979">
        <f>GM30</f>
        <v>0.62798848203958491</v>
      </c>
      <c r="D89" s="980">
        <f t="shared" si="233"/>
        <v>11.051145871372265</v>
      </c>
      <c r="E89" s="979">
        <f>GO30</f>
        <v>0.37201151796041504</v>
      </c>
      <c r="F89" s="981">
        <f>'7 - Eng. Segurança '!$O$31</f>
        <v>29.70646159549338</v>
      </c>
      <c r="G89" s="921" t="b">
        <f t="shared" si="234"/>
        <v>1</v>
      </c>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row>
    <row r="90" spans="1:109" ht="21.75" customHeight="1">
      <c r="A90" s="977" t="s">
        <v>1036</v>
      </c>
      <c r="B90" s="978">
        <f t="shared" si="232"/>
        <v>65.045915995666377</v>
      </c>
      <c r="C90" s="979">
        <f>GQ30</f>
        <v>0.66388888888888897</v>
      </c>
      <c r="D90" s="980">
        <f t="shared" si="233"/>
        <v>32.931195964333192</v>
      </c>
      <c r="E90" s="979">
        <f>GS30</f>
        <v>0.33611111111111114</v>
      </c>
      <c r="F90" s="981">
        <f>'7 - Eng. Segurança '!$S$31</f>
        <v>97.977111959999561</v>
      </c>
      <c r="G90" s="921" t="b">
        <f t="shared" si="234"/>
        <v>1</v>
      </c>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row>
    <row r="91" spans="1:109" ht="21.75" customHeight="1">
      <c r="A91" s="977" t="s">
        <v>680</v>
      </c>
      <c r="B91" s="978">
        <f t="shared" si="232"/>
        <v>133.44409584448974</v>
      </c>
      <c r="C91" s="979">
        <f>GU30</f>
        <v>0.50471875862674964</v>
      </c>
      <c r="D91" s="980">
        <f t="shared" si="233"/>
        <v>130.94888254919525</v>
      </c>
      <c r="E91" s="979">
        <f>GW30</f>
        <v>0.49528124137325036</v>
      </c>
      <c r="F91" s="981">
        <f>'7 - Eng. Segurança '!$W$31</f>
        <v>264.39297839368498</v>
      </c>
      <c r="G91" s="921" t="b">
        <f>(C91+E91)=1</f>
        <v>1</v>
      </c>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row>
    <row r="92" spans="1:109" ht="21.75" customHeight="1">
      <c r="A92" s="977" t="s">
        <v>1075</v>
      </c>
      <c r="B92" s="978">
        <f t="shared" si="232"/>
        <v>468.86361454930039</v>
      </c>
      <c r="C92" s="979">
        <f>GY30</f>
        <v>0.58332639541144182</v>
      </c>
      <c r="D92" s="980">
        <f t="shared" si="233"/>
        <v>334.91214159249648</v>
      </c>
      <c r="E92" s="979">
        <f>HA30</f>
        <v>0.41667360458855823</v>
      </c>
      <c r="F92" s="981">
        <f>'7 - Eng. Segurança '!$AA$31</f>
        <v>803.77575614179682</v>
      </c>
      <c r="G92" s="921" t="b">
        <f t="shared" si="234"/>
        <v>1</v>
      </c>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row>
    <row r="93" spans="1:109" ht="21.75" customHeight="1">
      <c r="A93" s="977" t="s">
        <v>1048</v>
      </c>
      <c r="B93" s="978">
        <f t="shared" si="232"/>
        <v>739.65694642108531</v>
      </c>
      <c r="C93" s="979">
        <f>HC30</f>
        <v>0.31166232856380138</v>
      </c>
      <c r="D93" s="980">
        <f t="shared" si="233"/>
        <v>1633.6069312813102</v>
      </c>
      <c r="E93" s="979">
        <f>HE30</f>
        <v>0.68833767143619862</v>
      </c>
      <c r="F93" s="981">
        <f>'7 - Eng. Segurança '!$AE$31</f>
        <v>2373.2638777023953</v>
      </c>
      <c r="G93" s="921" t="b">
        <f t="shared" si="234"/>
        <v>1</v>
      </c>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row>
    <row r="94" spans="1:109">
      <c r="B94" s="982">
        <f>B35+B36+B37+B38+B39+B40+B41+B42+B43+B44+B45+B47+B48+B49+B50+B51+B52+B53+B54+B55+B57+B58+B59+B60+B61+B62+B63+B65+B66+B67+B68+B70+B71+B72+B73+B74+B75+B76+B77+B78+B79+B80+B82+B83+B84+B86+B87+B88+B89+B90+B91+B92+B93</f>
        <v>457683.89724185754</v>
      </c>
      <c r="D94" s="982">
        <f>ROUND(D35+D36+D37+D38+D39+D40+D41+D42+D43+D44+D45+D47+D48+D49+D50+D51+D52+D53+D54+D55+D57+D58+D59+D60+D61+D62+D63+D65+D66+D67+D68+D70+D71+D72+D73+D74+D75+D76+D77+D78+D79+D80+D82+D83+D84+D86+D87+D88+D89+D90+D91+D92+D93,)</f>
        <v>381726</v>
      </c>
      <c r="F94" s="982">
        <f>F35+F36+F37+F38+F39+F40+F41+F42+F43+F44+F45+F47+F48+F49+F50+F51+F52+F53+F54+F55+F57+F58+F59+F60+F61+F62+F63+F65+F66+F67+F68+F70+F71+F72+F73+F74+F75+F76+F77+F78+F79+F80+F82+F83+F84+F86+F87+F88+F89+F90+F91+F92+F93</f>
        <v>839409.99999999988</v>
      </c>
      <c r="G94" s="9"/>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row>
    <row r="95" spans="1:109">
      <c r="G95" s="9"/>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row>
    <row r="96" spans="1:109">
      <c r="G96" s="9"/>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row>
    <row r="97" spans="4:109">
      <c r="G97" s="9"/>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row>
    <row r="98" spans="4:109">
      <c r="G98" s="9"/>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row>
    <row r="99" spans="4:109">
      <c r="G99" s="9"/>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row>
    <row r="100" spans="4:109">
      <c r="G100" s="9"/>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row>
    <row r="101" spans="4:109">
      <c r="G101" s="9"/>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row>
    <row r="102" spans="4:109">
      <c r="G102" s="9"/>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row>
    <row r="103" spans="4:109">
      <c r="G103" s="9"/>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row>
    <row r="104" spans="4:109">
      <c r="G104" s="9"/>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row>
    <row r="105" spans="4:109">
      <c r="G105" s="9"/>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row>
    <row r="106" spans="4:109">
      <c r="G106" s="9"/>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row>
    <row r="107" spans="4:109">
      <c r="G107" s="9"/>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row>
    <row r="108" spans="4:109">
      <c r="G108" s="9"/>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row>
    <row r="109" spans="4:109">
      <c r="G109" s="9"/>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row>
    <row r="110" spans="4:109">
      <c r="G110" s="9"/>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row>
    <row r="111" spans="4:109">
      <c r="G111" s="9"/>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row>
    <row r="112" spans="4:109">
      <c r="D112" s="360"/>
      <c r="G112" s="9"/>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row>
    <row r="113" spans="4:109">
      <c r="D113" s="360"/>
      <c r="G113" s="9"/>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row>
    <row r="114" spans="4:109">
      <c r="G114" s="9"/>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row>
    <row r="115" spans="4:109">
      <c r="G115" s="9"/>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row>
    <row r="116" spans="4:109">
      <c r="G116" s="9"/>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row>
    <row r="117" spans="4:109">
      <c r="G117" s="9"/>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row>
    <row r="118" spans="4:109">
      <c r="G118" s="9"/>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row>
    <row r="119" spans="4:109">
      <c r="G119" s="9"/>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row>
    <row r="120" spans="4:109">
      <c r="G120" s="9"/>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row>
    <row r="121" spans="4:109">
      <c r="G121" s="9"/>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row>
    <row r="122" spans="4:109">
      <c r="G122" s="9"/>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row>
    <row r="123" spans="4:109">
      <c r="G123" s="9"/>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row>
    <row r="124" spans="4:109">
      <c r="G124" s="9"/>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row>
    <row r="125" spans="4:109">
      <c r="G125" s="9"/>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row>
    <row r="126" spans="4:109">
      <c r="G126" s="9"/>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row>
    <row r="127" spans="4:109">
      <c r="G127" s="9"/>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row>
    <row r="128" spans="4:109">
      <c r="G128" s="9"/>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row>
    <row r="129" spans="7:109">
      <c r="G129" s="9"/>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row>
    <row r="130" spans="7:109">
      <c r="G130" s="9"/>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row>
    <row r="131" spans="7:109">
      <c r="G131" s="9"/>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row>
    <row r="132" spans="7:109">
      <c r="G132" s="9"/>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row>
    <row r="133" spans="7:109">
      <c r="G133" s="9"/>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row>
    <row r="134" spans="7:109">
      <c r="G134" s="9"/>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row>
    <row r="135" spans="7:109">
      <c r="G135" s="9"/>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row>
    <row r="136" spans="7:109">
      <c r="G136" s="9"/>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row>
    <row r="137" spans="7:109">
      <c r="G137" s="9"/>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row>
    <row r="138" spans="7:109">
      <c r="G138" s="9"/>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row>
    <row r="139" spans="7:109">
      <c r="G139" s="9"/>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row>
    <row r="140" spans="7:109">
      <c r="G140" s="9"/>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row>
    <row r="141" spans="7:109">
      <c r="G141" s="9"/>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row>
    <row r="142" spans="7:109">
      <c r="G142" s="9"/>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row>
    <row r="143" spans="7:109">
      <c r="G143" s="9"/>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row>
    <row r="144" spans="7:109">
      <c r="G144" s="9"/>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row>
    <row r="145" spans="7:109">
      <c r="G145" s="9"/>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row>
    <row r="146" spans="7:109">
      <c r="G146" s="9"/>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row>
    <row r="147" spans="7:109">
      <c r="G147" s="9"/>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row>
    <row r="148" spans="7:109">
      <c r="G148" s="9"/>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row>
    <row r="149" spans="7:109">
      <c r="G149" s="9"/>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row>
    <row r="150" spans="7:109">
      <c r="G150" s="9"/>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row>
    <row r="151" spans="7:109">
      <c r="G151" s="9"/>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row>
    <row r="152" spans="7:109">
      <c r="G152" s="9"/>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row>
    <row r="153" spans="7:109">
      <c r="G153" s="9"/>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row>
    <row r="154" spans="7:109">
      <c r="G154" s="9"/>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row>
    <row r="155" spans="7:109">
      <c r="G155" s="9"/>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row>
    <row r="156" spans="7:109">
      <c r="G156" s="9"/>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row>
    <row r="157" spans="7:109">
      <c r="G157" s="9"/>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row>
    <row r="158" spans="7:109">
      <c r="G158" s="9"/>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row>
    <row r="159" spans="7:109">
      <c r="G159" s="9"/>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row>
    <row r="160" spans="7:109">
      <c r="G160" s="9"/>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row>
    <row r="161" spans="7:109">
      <c r="G161" s="9"/>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row>
    <row r="162" spans="7:109">
      <c r="G162" s="9"/>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row>
    <row r="163" spans="7:109">
      <c r="G163" s="9"/>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row>
    <row r="164" spans="7:109">
      <c r="G164" s="9"/>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row>
    <row r="165" spans="7:109">
      <c r="G165" s="9"/>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row>
    <row r="166" spans="7:109">
      <c r="G166" s="9"/>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row>
    <row r="167" spans="7:109">
      <c r="G167" s="9"/>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row>
    <row r="168" spans="7:109">
      <c r="G168" s="9"/>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row>
    <row r="169" spans="7:109">
      <c r="G169" s="9"/>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row>
    <row r="170" spans="7:109">
      <c r="G170" s="9"/>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row>
    <row r="171" spans="7:109">
      <c r="G171" s="9"/>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row>
    <row r="172" spans="7:109">
      <c r="G172" s="9"/>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row>
    <row r="173" spans="7:109">
      <c r="G173" s="9"/>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row>
    <row r="174" spans="7:109">
      <c r="G174" s="9"/>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row>
    <row r="175" spans="7:109">
      <c r="G175" s="9"/>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row>
    <row r="176" spans="7:109">
      <c r="G176" s="9"/>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row>
    <row r="177" spans="7:109">
      <c r="G177" s="9"/>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row>
    <row r="178" spans="7:109">
      <c r="G178" s="9"/>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row>
    <row r="179" spans="7:109">
      <c r="G179" s="9"/>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row>
    <row r="180" spans="7:109">
      <c r="G180" s="9"/>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row>
    <row r="181" spans="7:109">
      <c r="G181" s="9"/>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row>
    <row r="182" spans="7:109">
      <c r="G182" s="9"/>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row>
    <row r="183" spans="7:109">
      <c r="G183" s="9"/>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row>
    <row r="184" spans="7:109">
      <c r="G184" s="9"/>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row>
    <row r="185" spans="7:109">
      <c r="G185" s="9"/>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row>
    <row r="186" spans="7:109">
      <c r="G186" s="9"/>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row>
    <row r="187" spans="7:109">
      <c r="G187" s="9"/>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row>
    <row r="188" spans="7:109">
      <c r="G188" s="9"/>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row>
    <row r="189" spans="7:109">
      <c r="G189" s="9"/>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row>
    <row r="190" spans="7:109">
      <c r="G190" s="9"/>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row>
    <row r="191" spans="7:109">
      <c r="G191" s="9"/>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row>
    <row r="192" spans="7:109">
      <c r="G192" s="9"/>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row>
    <row r="193" spans="7:109">
      <c r="G193" s="9"/>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row>
    <row r="194" spans="7:109">
      <c r="G194" s="9"/>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row>
    <row r="195" spans="7:109">
      <c r="G195" s="9"/>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row>
    <row r="196" spans="7:109">
      <c r="G196" s="9"/>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row>
    <row r="197" spans="7:109">
      <c r="G197" s="9"/>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row>
    <row r="198" spans="7:109">
      <c r="G198" s="9"/>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row>
    <row r="199" spans="7:109">
      <c r="G199" s="9"/>
      <c r="CV199" s="23"/>
      <c r="CW199" s="23"/>
      <c r="CX199" s="23"/>
      <c r="CY199" s="23"/>
      <c r="CZ199" s="23"/>
      <c r="DA199" s="23"/>
      <c r="DB199" s="23"/>
      <c r="DC199" s="23"/>
      <c r="DD199" s="23"/>
      <c r="DE199" s="23"/>
    </row>
    <row r="200" spans="7:109">
      <c r="G200" s="9"/>
      <c r="CV200" s="23"/>
      <c r="CW200" s="23"/>
      <c r="CX200" s="23"/>
      <c r="CY200" s="23"/>
      <c r="CZ200" s="23"/>
      <c r="DA200" s="23"/>
      <c r="DB200" s="23"/>
      <c r="DC200" s="23"/>
      <c r="DD200" s="23"/>
      <c r="DE200" s="23"/>
    </row>
    <row r="201" spans="7:109">
      <c r="G201" s="9"/>
      <c r="CV201" s="23"/>
      <c r="CW201" s="23"/>
      <c r="CX201" s="23"/>
      <c r="CY201" s="23"/>
      <c r="CZ201" s="23"/>
      <c r="DA201" s="23"/>
      <c r="DB201" s="23"/>
      <c r="DC201" s="23"/>
      <c r="DD201" s="23"/>
      <c r="DE201" s="23"/>
    </row>
    <row r="202" spans="7:109">
      <c r="G202" s="9"/>
      <c r="CV202" s="23"/>
      <c r="CW202" s="23"/>
      <c r="CX202" s="23"/>
      <c r="CY202" s="23"/>
      <c r="CZ202" s="23"/>
      <c r="DA202" s="23"/>
      <c r="DB202" s="23"/>
      <c r="DC202" s="23"/>
      <c r="DD202" s="23"/>
      <c r="DE202" s="23"/>
    </row>
    <row r="203" spans="7:109">
      <c r="G203" s="9"/>
      <c r="CV203" s="23"/>
      <c r="CW203" s="23"/>
      <c r="CX203" s="23"/>
      <c r="CY203" s="23"/>
      <c r="CZ203" s="23"/>
      <c r="DA203" s="23"/>
      <c r="DB203" s="23"/>
      <c r="DC203" s="23"/>
      <c r="DD203" s="23"/>
      <c r="DE203" s="23"/>
    </row>
    <row r="204" spans="7:109">
      <c r="G204" s="9"/>
      <c r="CV204" s="23"/>
      <c r="CW204" s="23"/>
      <c r="CX204" s="23"/>
      <c r="CY204" s="23"/>
      <c r="CZ204" s="23"/>
      <c r="DA204" s="23"/>
      <c r="DB204" s="23"/>
      <c r="DC204" s="23"/>
      <c r="DD204" s="23"/>
      <c r="DE204" s="23"/>
    </row>
    <row r="205" spans="7:109">
      <c r="G205" s="9"/>
      <c r="CV205" s="23"/>
      <c r="CW205" s="23"/>
      <c r="CX205" s="23"/>
      <c r="CY205" s="23"/>
      <c r="CZ205" s="23"/>
      <c r="DA205" s="23"/>
      <c r="DB205" s="23"/>
      <c r="DC205" s="23"/>
      <c r="DD205" s="23"/>
      <c r="DE205" s="23"/>
    </row>
    <row r="206" spans="7:109">
      <c r="G206" s="9"/>
      <c r="CV206" s="23"/>
      <c r="CW206" s="23"/>
      <c r="CX206" s="23"/>
      <c r="CY206" s="23"/>
      <c r="CZ206" s="23"/>
      <c r="DA206" s="23"/>
      <c r="DB206" s="23"/>
      <c r="DC206" s="23"/>
      <c r="DD206" s="23"/>
      <c r="DE206" s="23"/>
    </row>
    <row r="207" spans="7:109">
      <c r="G207" s="9"/>
      <c r="CV207" s="23"/>
      <c r="CW207" s="23"/>
      <c r="CX207" s="23"/>
      <c r="CY207" s="23"/>
      <c r="CZ207" s="23"/>
      <c r="DA207" s="23"/>
      <c r="DB207" s="23"/>
      <c r="DC207" s="23"/>
      <c r="DD207" s="23"/>
      <c r="DE207" s="23"/>
    </row>
    <row r="208" spans="7:109">
      <c r="G208" s="9"/>
      <c r="CV208" s="23"/>
      <c r="CW208" s="23"/>
      <c r="CX208" s="23"/>
      <c r="CY208" s="23"/>
      <c r="CZ208" s="23"/>
      <c r="DA208" s="23"/>
      <c r="DB208" s="23"/>
      <c r="DC208" s="23"/>
      <c r="DD208" s="23"/>
      <c r="DE208" s="23"/>
    </row>
    <row r="209" spans="7:109">
      <c r="G209" s="9"/>
      <c r="CV209" s="23"/>
      <c r="CW209" s="23"/>
      <c r="CX209" s="23"/>
      <c r="CY209" s="23"/>
      <c r="CZ209" s="23"/>
      <c r="DA209" s="23"/>
      <c r="DB209" s="23"/>
      <c r="DC209" s="23"/>
      <c r="DD209" s="23"/>
      <c r="DE209" s="23"/>
    </row>
    <row r="210" spans="7:109">
      <c r="G210" s="9"/>
      <c r="CV210" s="23"/>
      <c r="CW210" s="23"/>
      <c r="CX210" s="23"/>
      <c r="CY210" s="23"/>
      <c r="CZ210" s="23"/>
      <c r="DA210" s="23"/>
      <c r="DB210" s="23"/>
      <c r="DC210" s="23"/>
      <c r="DD210" s="23"/>
      <c r="DE210" s="23"/>
    </row>
    <row r="211" spans="7:109">
      <c r="CV211" s="23"/>
      <c r="CW211" s="23"/>
      <c r="CX211" s="23"/>
      <c r="CY211" s="23"/>
      <c r="CZ211" s="23"/>
      <c r="DA211" s="23"/>
      <c r="DB211" s="23"/>
      <c r="DC211" s="23"/>
      <c r="DD211" s="23"/>
      <c r="DE211" s="23"/>
    </row>
    <row r="212" spans="7:109">
      <c r="CV212" s="23"/>
      <c r="CW212" s="23"/>
      <c r="CX212" s="23"/>
      <c r="CY212" s="23"/>
      <c r="CZ212" s="23"/>
      <c r="DA212" s="23"/>
      <c r="DB212" s="23"/>
      <c r="DC212" s="23"/>
      <c r="DD212" s="23"/>
      <c r="DE212" s="23"/>
    </row>
    <row r="213" spans="7:109">
      <c r="CV213" s="23"/>
      <c r="CW213" s="23"/>
      <c r="CX213" s="23"/>
      <c r="CY213" s="23"/>
      <c r="CZ213" s="23"/>
      <c r="DA213" s="23"/>
      <c r="DB213" s="23"/>
      <c r="DC213" s="23"/>
      <c r="DD213" s="23"/>
      <c r="DE213" s="23"/>
    </row>
    <row r="214" spans="7:109">
      <c r="CV214" s="23"/>
      <c r="CW214" s="23"/>
      <c r="CX214" s="23"/>
      <c r="CY214" s="23"/>
      <c r="CZ214" s="23"/>
      <c r="DA214" s="23"/>
      <c r="DB214" s="23"/>
      <c r="DC214" s="23"/>
      <c r="DD214" s="23"/>
      <c r="DE214" s="23"/>
    </row>
    <row r="215" spans="7:109">
      <c r="CV215" s="23"/>
      <c r="CW215" s="23"/>
      <c r="CX215" s="23"/>
      <c r="CY215" s="23"/>
      <c r="CZ215" s="23"/>
      <c r="DA215" s="23"/>
      <c r="DB215" s="23"/>
      <c r="DC215" s="23"/>
      <c r="DD215" s="23"/>
      <c r="DE215" s="23"/>
    </row>
    <row r="216" spans="7:109">
      <c r="CV216" s="23"/>
      <c r="CW216" s="23"/>
      <c r="CX216" s="23"/>
      <c r="CY216" s="23"/>
      <c r="CZ216" s="23"/>
      <c r="DA216" s="23"/>
      <c r="DB216" s="23"/>
      <c r="DC216" s="23"/>
      <c r="DD216" s="23"/>
      <c r="DE216" s="23"/>
    </row>
    <row r="217" spans="7:109">
      <c r="CV217" s="23"/>
      <c r="CW217" s="23"/>
      <c r="CX217" s="23"/>
      <c r="CY217" s="23"/>
      <c r="CZ217" s="23"/>
      <c r="DA217" s="23"/>
      <c r="DB217" s="23"/>
      <c r="DC217" s="23"/>
      <c r="DD217" s="23"/>
      <c r="DE217" s="23"/>
    </row>
    <row r="218" spans="7:109">
      <c r="CV218" s="23"/>
      <c r="CW218" s="23"/>
      <c r="CX218" s="23"/>
      <c r="CY218" s="23"/>
      <c r="CZ218" s="23"/>
      <c r="DA218" s="23"/>
      <c r="DB218" s="23"/>
      <c r="DC218" s="23"/>
      <c r="DD218" s="23"/>
      <c r="DE218" s="23"/>
    </row>
    <row r="219" spans="7:109">
      <c r="CV219" s="23"/>
      <c r="CW219" s="23"/>
      <c r="CX219" s="23"/>
      <c r="CY219" s="23"/>
      <c r="CZ219" s="23"/>
      <c r="DA219" s="23"/>
      <c r="DB219" s="23"/>
      <c r="DC219" s="23"/>
      <c r="DD219" s="23"/>
      <c r="DE219" s="23"/>
    </row>
    <row r="220" spans="7:109">
      <c r="CV220" s="23"/>
      <c r="CW220" s="23"/>
      <c r="CX220" s="23"/>
      <c r="CY220" s="23"/>
      <c r="CZ220" s="23"/>
      <c r="DA220" s="23"/>
      <c r="DB220" s="23"/>
      <c r="DC220" s="23"/>
      <c r="DD220" s="23"/>
      <c r="DE220" s="23"/>
    </row>
    <row r="221" spans="7:109">
      <c r="CV221" s="23"/>
      <c r="CW221" s="23"/>
      <c r="CX221" s="23"/>
      <c r="CY221" s="23"/>
      <c r="CZ221" s="23"/>
      <c r="DA221" s="23"/>
      <c r="DB221" s="23"/>
      <c r="DC221" s="23"/>
      <c r="DD221" s="23"/>
      <c r="DE221" s="23"/>
    </row>
    <row r="222" spans="7:109">
      <c r="CV222" s="23"/>
      <c r="CW222" s="23"/>
      <c r="CX222" s="23"/>
      <c r="CY222" s="23"/>
      <c r="CZ222" s="23"/>
      <c r="DA222" s="23"/>
      <c r="DB222" s="23"/>
      <c r="DC222" s="23"/>
      <c r="DD222" s="23"/>
      <c r="DE222" s="23"/>
    </row>
    <row r="223" spans="7:109">
      <c r="CV223" s="23"/>
      <c r="CW223" s="23"/>
      <c r="CX223" s="23"/>
      <c r="CY223" s="23"/>
      <c r="CZ223" s="23"/>
      <c r="DA223" s="23"/>
      <c r="DB223" s="23"/>
      <c r="DC223" s="23"/>
      <c r="DD223" s="23"/>
      <c r="DE223" s="23"/>
    </row>
    <row r="224" spans="7:109">
      <c r="CV224" s="23"/>
      <c r="CW224" s="23"/>
      <c r="CX224" s="23"/>
      <c r="CY224" s="23"/>
      <c r="CZ224" s="23"/>
      <c r="DA224" s="23"/>
      <c r="DB224" s="23"/>
      <c r="DC224" s="23"/>
      <c r="DD224" s="23"/>
      <c r="DE224" s="23"/>
    </row>
    <row r="225" spans="100:109">
      <c r="CV225" s="23"/>
      <c r="CW225" s="23"/>
      <c r="CX225" s="23"/>
      <c r="CY225" s="23"/>
      <c r="CZ225" s="23"/>
      <c r="DA225" s="23"/>
      <c r="DB225" s="23"/>
      <c r="DC225" s="23"/>
      <c r="DD225" s="23"/>
      <c r="DE225" s="23"/>
    </row>
    <row r="226" spans="100:109">
      <c r="CV226" s="23"/>
      <c r="CW226" s="23"/>
      <c r="CX226" s="23"/>
      <c r="CY226" s="23"/>
      <c r="CZ226" s="23"/>
      <c r="DA226" s="23"/>
      <c r="DB226" s="23"/>
      <c r="DC226" s="23"/>
      <c r="DD226" s="23"/>
      <c r="DE226" s="23"/>
    </row>
    <row r="227" spans="100:109">
      <c r="CV227" s="23"/>
      <c r="CW227" s="23"/>
      <c r="CX227" s="23"/>
      <c r="CY227" s="23"/>
      <c r="CZ227" s="23"/>
      <c r="DA227" s="23"/>
      <c r="DB227" s="23"/>
      <c r="DC227" s="23"/>
      <c r="DD227" s="23"/>
      <c r="DE227" s="23"/>
    </row>
    <row r="228" spans="100:109">
      <c r="CV228" s="23"/>
      <c r="CW228" s="23"/>
      <c r="CX228" s="23"/>
      <c r="CY228" s="23"/>
      <c r="CZ228" s="23"/>
      <c r="DA228" s="23"/>
      <c r="DB228" s="23"/>
      <c r="DC228" s="23"/>
      <c r="DD228" s="23"/>
      <c r="DE228" s="23"/>
    </row>
    <row r="229" spans="100:109">
      <c r="CV229" s="23"/>
      <c r="CW229" s="23"/>
      <c r="CX229" s="23"/>
      <c r="CY229" s="23"/>
      <c r="CZ229" s="23"/>
      <c r="DA229" s="23"/>
      <c r="DB229" s="23"/>
      <c r="DC229" s="23"/>
      <c r="DD229" s="23"/>
      <c r="DE229" s="23"/>
    </row>
    <row r="230" spans="100:109">
      <c r="CV230" s="23"/>
      <c r="CW230" s="23"/>
      <c r="CX230" s="23"/>
      <c r="CY230" s="23"/>
      <c r="CZ230" s="23"/>
      <c r="DA230" s="23"/>
      <c r="DB230" s="23"/>
      <c r="DC230" s="23"/>
      <c r="DD230" s="23"/>
      <c r="DE230" s="23"/>
    </row>
    <row r="231" spans="100:109">
      <c r="CV231" s="23"/>
      <c r="CW231" s="23"/>
      <c r="CX231" s="23"/>
      <c r="CY231" s="23"/>
      <c r="CZ231" s="23"/>
      <c r="DA231" s="23"/>
      <c r="DB231" s="23"/>
      <c r="DC231" s="23"/>
      <c r="DD231" s="23"/>
      <c r="DE231" s="23"/>
    </row>
    <row r="232" spans="100:109">
      <c r="CV232" s="23"/>
      <c r="CW232" s="23"/>
      <c r="CX232" s="23"/>
      <c r="CY232" s="23"/>
      <c r="CZ232" s="23"/>
      <c r="DA232" s="23"/>
      <c r="DB232" s="23"/>
      <c r="DC232" s="23"/>
      <c r="DD232" s="23"/>
      <c r="DE232" s="23"/>
    </row>
    <row r="233" spans="100:109">
      <c r="CV233" s="23"/>
      <c r="CW233" s="23"/>
      <c r="CX233" s="23"/>
      <c r="CY233" s="23"/>
      <c r="CZ233" s="23"/>
      <c r="DA233" s="23"/>
      <c r="DB233" s="23"/>
      <c r="DC233" s="23"/>
      <c r="DD233" s="23"/>
      <c r="DE233" s="23"/>
    </row>
    <row r="234" spans="100:109">
      <c r="CV234" s="23"/>
      <c r="CW234" s="23"/>
      <c r="CX234" s="23"/>
      <c r="CY234" s="23"/>
      <c r="CZ234" s="23"/>
      <c r="DA234" s="23"/>
      <c r="DB234" s="23"/>
      <c r="DC234" s="23"/>
      <c r="DD234" s="23"/>
      <c r="DE234" s="23"/>
    </row>
    <row r="235" spans="100:109">
      <c r="CV235" s="23"/>
      <c r="CW235" s="23"/>
      <c r="CX235" s="23"/>
      <c r="CY235" s="23"/>
      <c r="CZ235" s="23"/>
      <c r="DA235" s="23"/>
      <c r="DB235" s="23"/>
      <c r="DC235" s="23"/>
      <c r="DD235" s="23"/>
      <c r="DE235" s="23"/>
    </row>
    <row r="236" spans="100:109">
      <c r="CV236" s="23"/>
      <c r="CW236" s="23"/>
      <c r="CX236" s="23"/>
      <c r="CY236" s="23"/>
      <c r="CZ236" s="23"/>
      <c r="DA236" s="23"/>
      <c r="DB236" s="23"/>
      <c r="DC236" s="23"/>
      <c r="DD236" s="23"/>
      <c r="DE236" s="23"/>
    </row>
    <row r="237" spans="100:109">
      <c r="CV237" s="23"/>
      <c r="CW237" s="23"/>
      <c r="CX237" s="23"/>
      <c r="CY237" s="23"/>
      <c r="CZ237" s="23"/>
      <c r="DA237" s="23"/>
      <c r="DB237" s="23"/>
      <c r="DC237" s="23"/>
      <c r="DD237" s="23"/>
      <c r="DE237" s="23"/>
    </row>
    <row r="238" spans="100:109">
      <c r="CV238" s="23"/>
      <c r="CW238" s="23"/>
      <c r="CX238" s="23"/>
      <c r="CY238" s="23"/>
      <c r="CZ238" s="23"/>
      <c r="DA238" s="23"/>
      <c r="DB238" s="23"/>
      <c r="DC238" s="23"/>
      <c r="DD238" s="23"/>
      <c r="DE238" s="23"/>
    </row>
    <row r="239" spans="100:109">
      <c r="CV239" s="23"/>
      <c r="CW239" s="23"/>
      <c r="CX239" s="23"/>
      <c r="CY239" s="23"/>
      <c r="CZ239" s="23"/>
      <c r="DA239" s="23"/>
      <c r="DB239" s="23"/>
      <c r="DC239" s="23"/>
      <c r="DD239" s="23"/>
      <c r="DE239" s="23"/>
    </row>
    <row r="240" spans="100:109">
      <c r="CV240" s="23"/>
      <c r="CW240" s="23"/>
      <c r="CX240" s="23"/>
      <c r="CY240" s="23"/>
      <c r="CZ240" s="23"/>
      <c r="DA240" s="23"/>
      <c r="DB240" s="23"/>
      <c r="DC240" s="23"/>
      <c r="DD240" s="23"/>
      <c r="DE240" s="23"/>
    </row>
    <row r="241" spans="100:109">
      <c r="CV241" s="23"/>
      <c r="CW241" s="23"/>
      <c r="CX241" s="23"/>
      <c r="CY241" s="23"/>
      <c r="CZ241" s="23"/>
      <c r="DA241" s="23"/>
      <c r="DB241" s="23"/>
      <c r="DC241" s="23"/>
      <c r="DD241" s="23"/>
      <c r="DE241" s="23"/>
    </row>
    <row r="242" spans="100:109">
      <c r="CV242" s="23"/>
      <c r="CW242" s="23"/>
      <c r="CX242" s="23"/>
      <c r="CY242" s="23"/>
      <c r="CZ242" s="23"/>
      <c r="DA242" s="23"/>
      <c r="DB242" s="23"/>
      <c r="DC242" s="23"/>
      <c r="DD242" s="23"/>
      <c r="DE242" s="23"/>
    </row>
    <row r="243" spans="100:109">
      <c r="CV243" s="23"/>
      <c r="CW243" s="23"/>
      <c r="CX243" s="23"/>
      <c r="CY243" s="23"/>
      <c r="CZ243" s="23"/>
      <c r="DA243" s="23"/>
      <c r="DB243" s="23"/>
      <c r="DC243" s="23"/>
      <c r="DD243" s="23"/>
      <c r="DE243" s="23"/>
    </row>
    <row r="244" spans="100:109">
      <c r="CV244" s="23"/>
      <c r="CW244" s="23"/>
      <c r="CX244" s="23"/>
      <c r="CY244" s="23"/>
      <c r="CZ244" s="23"/>
      <c r="DA244" s="23"/>
      <c r="DB244" s="23"/>
      <c r="DC244" s="23"/>
      <c r="DD244" s="23"/>
      <c r="DE244" s="23"/>
    </row>
    <row r="245" spans="100:109">
      <c r="CV245" s="23"/>
      <c r="CW245" s="23"/>
      <c r="CX245" s="23"/>
      <c r="CY245" s="23"/>
      <c r="CZ245" s="23"/>
      <c r="DA245" s="23"/>
      <c r="DB245" s="23"/>
      <c r="DC245" s="23"/>
      <c r="DD245" s="23"/>
      <c r="DE245" s="23"/>
    </row>
    <row r="246" spans="100:109">
      <c r="CV246" s="23"/>
      <c r="CW246" s="23"/>
      <c r="CX246" s="23"/>
      <c r="CY246" s="23"/>
      <c r="CZ246" s="23"/>
      <c r="DA246" s="23"/>
      <c r="DB246" s="23"/>
      <c r="DC246" s="23"/>
      <c r="DD246" s="23"/>
      <c r="DE246" s="23"/>
    </row>
    <row r="247" spans="100:109">
      <c r="CV247" s="23"/>
      <c r="CW247" s="23"/>
      <c r="CX247" s="23"/>
      <c r="CY247" s="23"/>
      <c r="CZ247" s="23"/>
      <c r="DA247" s="23"/>
      <c r="DB247" s="23"/>
      <c r="DC247" s="23"/>
      <c r="DD247" s="23"/>
      <c r="DE247" s="23"/>
    </row>
    <row r="248" spans="100:109">
      <c r="CV248" s="23"/>
      <c r="CW248" s="23"/>
      <c r="CX248" s="23"/>
      <c r="CY248" s="23"/>
      <c r="CZ248" s="23"/>
      <c r="DA248" s="23"/>
      <c r="DB248" s="23"/>
      <c r="DC248" s="23"/>
      <c r="DD248" s="23"/>
      <c r="DE248" s="23"/>
    </row>
    <row r="249" spans="100:109">
      <c r="CV249" s="23"/>
      <c r="CW249" s="23"/>
      <c r="CX249" s="23"/>
      <c r="CY249" s="23"/>
      <c r="CZ249" s="23"/>
      <c r="DA249" s="23"/>
      <c r="DB249" s="23"/>
      <c r="DC249" s="23"/>
      <c r="DD249" s="23"/>
      <c r="DE249" s="23"/>
    </row>
    <row r="250" spans="100:109">
      <c r="CV250" s="23"/>
      <c r="CW250" s="23"/>
      <c r="CX250" s="23"/>
      <c r="CY250" s="23"/>
      <c r="CZ250" s="23"/>
      <c r="DA250" s="23"/>
      <c r="DB250" s="23"/>
      <c r="DC250" s="23"/>
      <c r="DD250" s="23"/>
      <c r="DE250" s="23"/>
    </row>
    <row r="251" spans="100:109">
      <c r="CV251" s="23"/>
      <c r="CW251" s="23"/>
      <c r="CX251" s="23"/>
      <c r="CY251" s="23"/>
      <c r="CZ251" s="23"/>
      <c r="DA251" s="23"/>
      <c r="DB251" s="23"/>
      <c r="DC251" s="23"/>
      <c r="DD251" s="23"/>
      <c r="DE251" s="23"/>
    </row>
    <row r="252" spans="100:109">
      <c r="CV252" s="23"/>
      <c r="CW252" s="23"/>
      <c r="CX252" s="23"/>
      <c r="CY252" s="23"/>
      <c r="CZ252" s="23"/>
      <c r="DA252" s="23"/>
      <c r="DB252" s="23"/>
      <c r="DC252" s="23"/>
      <c r="DD252" s="23"/>
      <c r="DE252" s="23"/>
    </row>
    <row r="253" spans="100:109">
      <c r="CV253" s="23"/>
      <c r="CW253" s="23"/>
      <c r="CX253" s="23"/>
      <c r="CY253" s="23"/>
      <c r="CZ253" s="23"/>
      <c r="DA253" s="23"/>
      <c r="DB253" s="23"/>
      <c r="DC253" s="23"/>
      <c r="DD253" s="23"/>
      <c r="DE253" s="23"/>
    </row>
    <row r="254" spans="100:109">
      <c r="CV254" s="23"/>
      <c r="CW254" s="23"/>
      <c r="CX254" s="23"/>
      <c r="CY254" s="23"/>
      <c r="CZ254" s="23"/>
      <c r="DA254" s="23"/>
      <c r="DB254" s="23"/>
      <c r="DC254" s="23"/>
      <c r="DD254" s="23"/>
      <c r="DE254" s="23"/>
    </row>
    <row r="255" spans="100:109">
      <c r="CV255" s="23"/>
      <c r="CW255" s="23"/>
      <c r="CX255" s="23"/>
      <c r="CY255" s="23"/>
      <c r="CZ255" s="23"/>
      <c r="DA255" s="23"/>
      <c r="DB255" s="23"/>
      <c r="DC255" s="23"/>
      <c r="DD255" s="23"/>
      <c r="DE255" s="23"/>
    </row>
    <row r="256" spans="100:109">
      <c r="CV256" s="23"/>
      <c r="CW256" s="23"/>
      <c r="CX256" s="23"/>
      <c r="CY256" s="23"/>
      <c r="CZ256" s="23"/>
      <c r="DA256" s="23"/>
      <c r="DB256" s="23"/>
      <c r="DC256" s="23"/>
      <c r="DD256" s="23"/>
      <c r="DE256" s="23"/>
    </row>
    <row r="257" spans="100:109">
      <c r="CV257" s="23"/>
      <c r="CW257" s="23"/>
      <c r="CX257" s="23"/>
      <c r="CY257" s="23"/>
      <c r="CZ257" s="23"/>
      <c r="DA257" s="23"/>
      <c r="DB257" s="23"/>
      <c r="DC257" s="23"/>
      <c r="DD257" s="23"/>
      <c r="DE257" s="23"/>
    </row>
    <row r="258" spans="100:109">
      <c r="CV258" s="23"/>
      <c r="CW258" s="23"/>
      <c r="CX258" s="23"/>
      <c r="CY258" s="23"/>
      <c r="CZ258" s="23"/>
      <c r="DA258" s="23"/>
      <c r="DB258" s="23"/>
      <c r="DC258" s="23"/>
      <c r="DD258" s="23"/>
      <c r="DE258" s="23"/>
    </row>
    <row r="259" spans="100:109">
      <c r="CV259" s="23"/>
      <c r="CW259" s="23"/>
      <c r="CX259" s="23"/>
      <c r="CY259" s="23"/>
      <c r="CZ259" s="23"/>
      <c r="DA259" s="23"/>
      <c r="DB259" s="23"/>
      <c r="DC259" s="23"/>
      <c r="DD259" s="23"/>
      <c r="DE259" s="23"/>
    </row>
    <row r="260" spans="100:109">
      <c r="CV260" s="23"/>
      <c r="CW260" s="23"/>
      <c r="CX260" s="23"/>
      <c r="CY260" s="23"/>
      <c r="CZ260" s="23"/>
      <c r="DA260" s="23"/>
      <c r="DB260" s="23"/>
      <c r="DC260" s="23"/>
      <c r="DD260" s="23"/>
      <c r="DE260" s="23"/>
    </row>
    <row r="261" spans="100:109">
      <c r="CV261" s="23"/>
      <c r="CW261" s="23"/>
      <c r="CX261" s="23"/>
      <c r="CY261" s="23"/>
      <c r="CZ261" s="23"/>
      <c r="DA261" s="23"/>
      <c r="DB261" s="23"/>
      <c r="DC261" s="23"/>
      <c r="DD261" s="23"/>
      <c r="DE261" s="23"/>
    </row>
    <row r="262" spans="100:109">
      <c r="CV262" s="23"/>
      <c r="CW262" s="23"/>
      <c r="CX262" s="23"/>
      <c r="CY262" s="23"/>
      <c r="CZ262" s="23"/>
      <c r="DA262" s="23"/>
      <c r="DB262" s="23"/>
      <c r="DC262" s="23"/>
      <c r="DD262" s="23"/>
      <c r="DE262" s="23"/>
    </row>
    <row r="263" spans="100:109">
      <c r="CV263" s="23"/>
      <c r="CW263" s="23"/>
      <c r="CX263" s="23"/>
      <c r="CY263" s="23"/>
      <c r="CZ263" s="23"/>
      <c r="DA263" s="23"/>
      <c r="DB263" s="23"/>
      <c r="DC263" s="23"/>
      <c r="DD263" s="23"/>
      <c r="DE263" s="23"/>
    </row>
    <row r="264" spans="100:109">
      <c r="CV264" s="23"/>
      <c r="CW264" s="23"/>
      <c r="CX264" s="23"/>
      <c r="CY264" s="23"/>
      <c r="CZ264" s="23"/>
      <c r="DA264" s="23"/>
      <c r="DB264" s="23"/>
      <c r="DC264" s="23"/>
      <c r="DD264" s="23"/>
      <c r="DE264" s="23"/>
    </row>
    <row r="265" spans="100:109">
      <c r="CV265" s="23"/>
      <c r="CW265" s="23"/>
      <c r="CX265" s="23"/>
      <c r="CY265" s="23"/>
      <c r="CZ265" s="23"/>
      <c r="DA265" s="23"/>
      <c r="DB265" s="23"/>
      <c r="DC265" s="23"/>
      <c r="DD265" s="23"/>
      <c r="DE265" s="23"/>
    </row>
    <row r="266" spans="100:109">
      <c r="CV266" s="23"/>
      <c r="CW266" s="23"/>
      <c r="CX266" s="23"/>
      <c r="CY266" s="23"/>
      <c r="CZ266" s="23"/>
      <c r="DA266" s="23"/>
      <c r="DB266" s="23"/>
      <c r="DC266" s="23"/>
      <c r="DD266" s="23"/>
      <c r="DE266" s="23"/>
    </row>
    <row r="267" spans="100:109">
      <c r="CV267" s="23"/>
      <c r="CW267" s="23"/>
      <c r="CX267" s="23"/>
      <c r="CY267" s="23"/>
      <c r="CZ267" s="23"/>
      <c r="DA267" s="23"/>
      <c r="DB267" s="23"/>
      <c r="DC267" s="23"/>
      <c r="DD267" s="23"/>
      <c r="DE267" s="23"/>
    </row>
    <row r="268" spans="100:109">
      <c r="CV268" s="23"/>
      <c r="CW268" s="23"/>
      <c r="CX268" s="23"/>
      <c r="CY268" s="23"/>
      <c r="CZ268" s="23"/>
      <c r="DA268" s="23"/>
      <c r="DB268" s="23"/>
      <c r="DC268" s="23"/>
      <c r="DD268" s="23"/>
      <c r="DE268" s="23"/>
    </row>
    <row r="269" spans="100:109">
      <c r="CV269" s="23"/>
      <c r="CW269" s="23"/>
      <c r="CX269" s="23"/>
      <c r="CY269" s="23"/>
      <c r="CZ269" s="23"/>
      <c r="DA269" s="23"/>
      <c r="DB269" s="23"/>
      <c r="DC269" s="23"/>
      <c r="DD269" s="23"/>
      <c r="DE269" s="23"/>
    </row>
    <row r="270" spans="100:109">
      <c r="CV270" s="23"/>
      <c r="CW270" s="23"/>
      <c r="CX270" s="23"/>
      <c r="CY270" s="23"/>
      <c r="CZ270" s="23"/>
      <c r="DA270" s="23"/>
      <c r="DB270" s="23"/>
      <c r="DC270" s="23"/>
      <c r="DD270" s="23"/>
      <c r="DE270" s="23"/>
    </row>
    <row r="271" spans="100:109">
      <c r="CV271" s="23"/>
      <c r="CW271" s="23"/>
      <c r="CX271" s="23"/>
      <c r="CY271" s="23"/>
      <c r="CZ271" s="23"/>
      <c r="DA271" s="23"/>
      <c r="DB271" s="23"/>
      <c r="DC271" s="23"/>
      <c r="DD271" s="23"/>
      <c r="DE271" s="23"/>
    </row>
    <row r="272" spans="100:109">
      <c r="CV272" s="23"/>
      <c r="CW272" s="23"/>
      <c r="CX272" s="23"/>
      <c r="CY272" s="23"/>
      <c r="CZ272" s="23"/>
      <c r="DA272" s="23"/>
      <c r="DB272" s="23"/>
      <c r="DC272" s="23"/>
      <c r="DD272" s="23"/>
      <c r="DE272" s="23"/>
    </row>
    <row r="273" spans="100:109">
      <c r="CV273" s="23"/>
      <c r="CW273" s="23"/>
      <c r="CX273" s="23"/>
      <c r="CY273" s="23"/>
      <c r="CZ273" s="23"/>
      <c r="DA273" s="23"/>
      <c r="DB273" s="23"/>
      <c r="DC273" s="23"/>
      <c r="DD273" s="23"/>
      <c r="DE273" s="23"/>
    </row>
    <row r="274" spans="100:109">
      <c r="CV274" s="23"/>
      <c r="CW274" s="23"/>
      <c r="CX274" s="23"/>
      <c r="CY274" s="23"/>
      <c r="CZ274" s="23"/>
      <c r="DA274" s="23"/>
      <c r="DB274" s="23"/>
      <c r="DC274" s="23"/>
      <c r="DD274" s="23"/>
      <c r="DE274" s="23"/>
    </row>
    <row r="275" spans="100:109">
      <c r="CV275" s="23"/>
      <c r="CW275" s="23"/>
      <c r="CX275" s="23"/>
      <c r="CY275" s="23"/>
      <c r="CZ275" s="23"/>
      <c r="DA275" s="23"/>
      <c r="DB275" s="23"/>
      <c r="DC275" s="23"/>
      <c r="DD275" s="23"/>
      <c r="DE275" s="23"/>
    </row>
    <row r="276" spans="100:109">
      <c r="CV276" s="23"/>
      <c r="CW276" s="23"/>
      <c r="CX276" s="23"/>
      <c r="CY276" s="23"/>
      <c r="CZ276" s="23"/>
      <c r="DA276" s="23"/>
      <c r="DB276" s="23"/>
      <c r="DC276" s="23"/>
      <c r="DD276" s="23"/>
      <c r="DE276" s="23"/>
    </row>
    <row r="277" spans="100:109">
      <c r="CV277" s="23"/>
      <c r="CW277" s="23"/>
      <c r="CX277" s="23"/>
      <c r="CY277" s="23"/>
      <c r="CZ277" s="23"/>
      <c r="DA277" s="23"/>
      <c r="DB277" s="23"/>
      <c r="DC277" s="23"/>
      <c r="DD277" s="23"/>
      <c r="DE277" s="23"/>
    </row>
    <row r="278" spans="100:109">
      <c r="CV278" s="23"/>
      <c r="CW278" s="23"/>
      <c r="CX278" s="23"/>
      <c r="CY278" s="23"/>
      <c r="CZ278" s="23"/>
      <c r="DA278" s="23"/>
      <c r="DB278" s="23"/>
      <c r="DC278" s="23"/>
      <c r="DD278" s="23"/>
      <c r="DE278" s="23"/>
    </row>
    <row r="279" spans="100:109">
      <c r="CV279" s="23"/>
      <c r="CW279" s="23"/>
      <c r="CX279" s="23"/>
      <c r="CY279" s="23"/>
      <c r="CZ279" s="23"/>
      <c r="DA279" s="23"/>
      <c r="DB279" s="23"/>
      <c r="DC279" s="23"/>
      <c r="DD279" s="23"/>
      <c r="DE279" s="23"/>
    </row>
    <row r="280" spans="100:109">
      <c r="CV280" s="23"/>
      <c r="CW280" s="23"/>
      <c r="CX280" s="23"/>
      <c r="CY280" s="23"/>
      <c r="CZ280" s="23"/>
      <c r="DA280" s="23"/>
      <c r="DB280" s="23"/>
      <c r="DC280" s="23"/>
      <c r="DD280" s="23"/>
      <c r="DE280" s="23"/>
    </row>
    <row r="281" spans="100:109">
      <c r="CV281" s="23"/>
      <c r="CW281" s="23"/>
      <c r="CX281" s="23"/>
      <c r="CY281" s="23"/>
      <c r="CZ281" s="23"/>
      <c r="DA281" s="23"/>
      <c r="DB281" s="23"/>
      <c r="DC281" s="23"/>
      <c r="DD281" s="23"/>
      <c r="DE281" s="23"/>
    </row>
    <row r="282" spans="100:109">
      <c r="CV282" s="23"/>
      <c r="CW282" s="23"/>
      <c r="CX282" s="23"/>
      <c r="CY282" s="23"/>
      <c r="CZ282" s="23"/>
      <c r="DA282" s="23"/>
      <c r="DB282" s="23"/>
      <c r="DC282" s="23"/>
      <c r="DD282" s="23"/>
      <c r="DE282" s="23"/>
    </row>
    <row r="283" spans="100:109">
      <c r="CV283" s="23"/>
      <c r="CW283" s="23"/>
      <c r="CX283" s="23"/>
      <c r="CY283" s="23"/>
      <c r="CZ283" s="23"/>
      <c r="DA283" s="23"/>
      <c r="DB283" s="23"/>
      <c r="DC283" s="23"/>
      <c r="DD283" s="23"/>
      <c r="DE283" s="23"/>
    </row>
    <row r="284" spans="100:109">
      <c r="CV284" s="23"/>
      <c r="CW284" s="23"/>
      <c r="CX284" s="23"/>
      <c r="CY284" s="23"/>
      <c r="CZ284" s="23"/>
      <c r="DA284" s="23"/>
      <c r="DB284" s="23"/>
      <c r="DC284" s="23"/>
      <c r="DD284" s="23"/>
      <c r="DE284" s="23"/>
    </row>
    <row r="285" spans="100:109">
      <c r="CV285" s="23"/>
      <c r="CW285" s="23"/>
      <c r="CX285" s="23"/>
      <c r="CY285" s="23"/>
      <c r="CZ285" s="23"/>
      <c r="DA285" s="23"/>
      <c r="DB285" s="23"/>
      <c r="DC285" s="23"/>
      <c r="DD285" s="23"/>
      <c r="DE285" s="23"/>
    </row>
    <row r="286" spans="100:109">
      <c r="CV286" s="23"/>
      <c r="CW286" s="23"/>
      <c r="CX286" s="23"/>
      <c r="CY286" s="23"/>
      <c r="CZ286" s="23"/>
      <c r="DA286" s="23"/>
      <c r="DB286" s="23"/>
      <c r="DC286" s="23"/>
      <c r="DD286" s="23"/>
      <c r="DE286" s="23"/>
    </row>
    <row r="287" spans="100:109">
      <c r="CV287" s="23"/>
      <c r="CW287" s="23"/>
      <c r="CX287" s="23"/>
      <c r="CY287" s="23"/>
      <c r="CZ287" s="23"/>
      <c r="DA287" s="23"/>
      <c r="DB287" s="23"/>
      <c r="DC287" s="23"/>
      <c r="DD287" s="23"/>
      <c r="DE287" s="23"/>
    </row>
    <row r="288" spans="100:109">
      <c r="CV288" s="23"/>
      <c r="CW288" s="23"/>
      <c r="CX288" s="23"/>
      <c r="CY288" s="23"/>
      <c r="CZ288" s="23"/>
      <c r="DA288" s="23"/>
      <c r="DB288" s="23"/>
      <c r="DC288" s="23"/>
      <c r="DD288" s="23"/>
      <c r="DE288" s="23"/>
    </row>
    <row r="289" spans="100:109">
      <c r="CV289" s="23"/>
      <c r="CW289" s="23"/>
      <c r="CX289" s="23"/>
      <c r="CY289" s="23"/>
      <c r="CZ289" s="23"/>
      <c r="DA289" s="23"/>
      <c r="DB289" s="23"/>
      <c r="DC289" s="23"/>
      <c r="DD289" s="23"/>
      <c r="DE289" s="23"/>
    </row>
    <row r="290" spans="100:109">
      <c r="CV290" s="23"/>
      <c r="CW290" s="23"/>
      <c r="CX290" s="23"/>
      <c r="CY290" s="23"/>
      <c r="CZ290" s="23"/>
      <c r="DA290" s="23"/>
      <c r="DB290" s="23"/>
      <c r="DC290" s="23"/>
      <c r="DD290" s="23"/>
      <c r="DE290" s="23"/>
    </row>
    <row r="291" spans="100:109">
      <c r="CV291" s="23"/>
      <c r="CW291" s="23"/>
      <c r="CX291" s="23"/>
      <c r="CY291" s="23"/>
      <c r="CZ291" s="23"/>
      <c r="DA291" s="23"/>
      <c r="DB291" s="23"/>
      <c r="DC291" s="23"/>
      <c r="DD291" s="23"/>
      <c r="DE291" s="23"/>
    </row>
    <row r="292" spans="100:109">
      <c r="CV292" s="23"/>
      <c r="CW292" s="23"/>
      <c r="CX292" s="23"/>
      <c r="CY292" s="23"/>
      <c r="CZ292" s="23"/>
      <c r="DA292" s="23"/>
      <c r="DB292" s="23"/>
      <c r="DC292" s="23"/>
      <c r="DD292" s="23"/>
      <c r="DE292" s="23"/>
    </row>
    <row r="293" spans="100:109">
      <c r="CV293" s="23"/>
      <c r="CW293" s="23"/>
      <c r="CX293" s="23"/>
      <c r="CY293" s="23"/>
      <c r="CZ293" s="23"/>
      <c r="DA293" s="23"/>
      <c r="DB293" s="23"/>
      <c r="DC293" s="23"/>
      <c r="DD293" s="23"/>
      <c r="DE293" s="23"/>
    </row>
    <row r="294" spans="100:109">
      <c r="CV294" s="23"/>
      <c r="CW294" s="23"/>
      <c r="CX294" s="23"/>
      <c r="CY294" s="23"/>
      <c r="CZ294" s="23"/>
      <c r="DA294" s="23"/>
      <c r="DB294" s="23"/>
      <c r="DC294" s="23"/>
      <c r="DD294" s="23"/>
      <c r="DE294" s="23"/>
    </row>
    <row r="295" spans="100:109">
      <c r="CV295" s="23"/>
      <c r="CW295" s="23"/>
      <c r="CX295" s="23"/>
      <c r="CY295" s="23"/>
      <c r="CZ295" s="23"/>
      <c r="DA295" s="23"/>
      <c r="DB295" s="23"/>
      <c r="DC295" s="23"/>
      <c r="DD295" s="23"/>
      <c r="DE295" s="23"/>
    </row>
    <row r="296" spans="100:109">
      <c r="CV296" s="23"/>
      <c r="CW296" s="23"/>
      <c r="CX296" s="23"/>
      <c r="CY296" s="23"/>
      <c r="CZ296" s="23"/>
      <c r="DA296" s="23"/>
      <c r="DB296" s="23"/>
      <c r="DC296" s="23"/>
      <c r="DD296" s="23"/>
      <c r="DE296" s="23"/>
    </row>
    <row r="297" spans="100:109">
      <c r="CV297" s="23"/>
      <c r="CW297" s="23"/>
      <c r="CX297" s="23"/>
      <c r="CY297" s="23"/>
      <c r="CZ297" s="23"/>
      <c r="DA297" s="23"/>
      <c r="DB297" s="23"/>
      <c r="DC297" s="23"/>
      <c r="DD297" s="23"/>
      <c r="DE297" s="23"/>
    </row>
    <row r="298" spans="100:109">
      <c r="CV298" s="23"/>
      <c r="CW298" s="23"/>
      <c r="CX298" s="23"/>
      <c r="CY298" s="23"/>
      <c r="CZ298" s="23"/>
      <c r="DA298" s="23"/>
      <c r="DB298" s="23"/>
      <c r="DC298" s="23"/>
      <c r="DD298" s="23"/>
      <c r="DE298" s="23"/>
    </row>
    <row r="299" spans="100:109">
      <c r="CV299" s="23"/>
      <c r="CW299" s="23"/>
      <c r="CX299" s="23"/>
      <c r="CY299" s="23"/>
      <c r="CZ299" s="23"/>
      <c r="DA299" s="23"/>
      <c r="DB299" s="23"/>
      <c r="DC299" s="23"/>
      <c r="DD299" s="23"/>
      <c r="DE299" s="23"/>
    </row>
    <row r="300" spans="100:109">
      <c r="CV300" s="23"/>
      <c r="CW300" s="23"/>
      <c r="CX300" s="23"/>
      <c r="CY300" s="23"/>
      <c r="CZ300" s="23"/>
      <c r="DA300" s="23"/>
      <c r="DB300" s="23"/>
      <c r="DC300" s="23"/>
      <c r="DD300" s="23"/>
      <c r="DE300" s="23"/>
    </row>
    <row r="301" spans="100:109">
      <c r="CV301" s="23"/>
      <c r="CW301" s="23"/>
      <c r="CX301" s="23"/>
      <c r="CY301" s="23"/>
      <c r="CZ301" s="23"/>
      <c r="DA301" s="23"/>
      <c r="DB301" s="23"/>
      <c r="DC301" s="23"/>
      <c r="DD301" s="23"/>
      <c r="DE301" s="23"/>
    </row>
    <row r="302" spans="100:109">
      <c r="CV302" s="23"/>
      <c r="CW302" s="23"/>
      <c r="CX302" s="23"/>
      <c r="CY302" s="23"/>
      <c r="CZ302" s="23"/>
      <c r="DA302" s="23"/>
      <c r="DB302" s="23"/>
      <c r="DC302" s="23"/>
      <c r="DD302" s="23"/>
      <c r="DE302" s="23"/>
    </row>
    <row r="303" spans="100:109">
      <c r="CV303" s="23"/>
      <c r="CW303" s="23"/>
      <c r="CX303" s="23"/>
      <c r="CY303" s="23"/>
      <c r="CZ303" s="23"/>
      <c r="DA303" s="23"/>
      <c r="DB303" s="23"/>
      <c r="DC303" s="23"/>
      <c r="DD303" s="23"/>
      <c r="DE303" s="23"/>
    </row>
    <row r="304" spans="100:109">
      <c r="CV304" s="23"/>
      <c r="CW304" s="23"/>
      <c r="CX304" s="23"/>
      <c r="CY304" s="23"/>
      <c r="CZ304" s="23"/>
      <c r="DA304" s="23"/>
      <c r="DB304" s="23"/>
      <c r="DC304" s="23"/>
      <c r="DD304" s="23"/>
      <c r="DE304" s="23"/>
    </row>
    <row r="305" spans="100:109">
      <c r="CV305" s="23"/>
      <c r="CW305" s="23"/>
      <c r="CX305" s="23"/>
      <c r="CY305" s="23"/>
      <c r="CZ305" s="23"/>
      <c r="DA305" s="23"/>
      <c r="DB305" s="23"/>
      <c r="DC305" s="23"/>
      <c r="DD305" s="23"/>
      <c r="DE305" s="23"/>
    </row>
    <row r="306" spans="100:109">
      <c r="CV306" s="23"/>
      <c r="CW306" s="23"/>
      <c r="CX306" s="23"/>
      <c r="CY306" s="23"/>
      <c r="CZ306" s="23"/>
      <c r="DA306" s="23"/>
      <c r="DB306" s="23"/>
      <c r="DC306" s="23"/>
      <c r="DD306" s="23"/>
      <c r="DE306" s="23"/>
    </row>
    <row r="307" spans="100:109">
      <c r="CV307" s="23"/>
      <c r="CW307" s="23"/>
      <c r="CX307" s="23"/>
      <c r="CY307" s="23"/>
      <c r="CZ307" s="23"/>
      <c r="DA307" s="23"/>
      <c r="DB307" s="23"/>
      <c r="DC307" s="23"/>
      <c r="DD307" s="23"/>
      <c r="DE307" s="23"/>
    </row>
    <row r="308" spans="100:109">
      <c r="CV308" s="23"/>
      <c r="CW308" s="23"/>
      <c r="CX308" s="23"/>
      <c r="CY308" s="23"/>
      <c r="CZ308" s="23"/>
      <c r="DA308" s="23"/>
      <c r="DB308" s="23"/>
      <c r="DC308" s="23"/>
      <c r="DD308" s="23"/>
      <c r="DE308" s="23"/>
    </row>
    <row r="309" spans="100:109">
      <c r="CV309" s="23"/>
      <c r="CW309" s="23"/>
      <c r="CX309" s="23"/>
      <c r="CY309" s="23"/>
      <c r="CZ309" s="23"/>
      <c r="DA309" s="23"/>
      <c r="DB309" s="23"/>
      <c r="DC309" s="23"/>
      <c r="DD309" s="23"/>
      <c r="DE309" s="23"/>
    </row>
    <row r="310" spans="100:109">
      <c r="CV310" s="23"/>
      <c r="CW310" s="23"/>
      <c r="CX310" s="23"/>
      <c r="CY310" s="23"/>
      <c r="CZ310" s="23"/>
      <c r="DA310" s="23"/>
      <c r="DB310" s="23"/>
      <c r="DC310" s="23"/>
      <c r="DD310" s="23"/>
      <c r="DE310" s="23"/>
    </row>
    <row r="311" spans="100:109">
      <c r="CV311" s="23"/>
      <c r="CW311" s="23"/>
      <c r="CX311" s="23"/>
      <c r="CY311" s="23"/>
      <c r="CZ311" s="23"/>
      <c r="DA311" s="23"/>
      <c r="DB311" s="23"/>
      <c r="DC311" s="23"/>
      <c r="DD311" s="23"/>
      <c r="DE311" s="23"/>
    </row>
    <row r="312" spans="100:109">
      <c r="CV312" s="23"/>
      <c r="CW312" s="23"/>
      <c r="CX312" s="23"/>
      <c r="CY312" s="23"/>
      <c r="CZ312" s="23"/>
      <c r="DA312" s="23"/>
      <c r="DB312" s="23"/>
      <c r="DC312" s="23"/>
      <c r="DD312" s="23"/>
      <c r="DE312" s="23"/>
    </row>
    <row r="313" spans="100:109">
      <c r="CV313" s="23"/>
      <c r="CW313" s="23"/>
      <c r="CX313" s="23"/>
      <c r="CY313" s="23"/>
      <c r="CZ313" s="23"/>
      <c r="DA313" s="23"/>
      <c r="DB313" s="23"/>
      <c r="DC313" s="23"/>
      <c r="DD313" s="23"/>
      <c r="DE313" s="23"/>
    </row>
    <row r="314" spans="100:109">
      <c r="CV314" s="23"/>
      <c r="CW314" s="23"/>
      <c r="CX314" s="23"/>
      <c r="CY314" s="23"/>
      <c r="CZ314" s="23"/>
      <c r="DA314" s="23"/>
      <c r="DB314" s="23"/>
      <c r="DC314" s="23"/>
      <c r="DD314" s="23"/>
      <c r="DE314" s="23"/>
    </row>
    <row r="315" spans="100:109">
      <c r="CV315" s="23"/>
      <c r="CW315" s="23"/>
      <c r="CX315" s="23"/>
      <c r="CY315" s="23"/>
      <c r="CZ315" s="23"/>
      <c r="DA315" s="23"/>
      <c r="DB315" s="23"/>
      <c r="DC315" s="23"/>
      <c r="DD315" s="23"/>
      <c r="DE315" s="23"/>
    </row>
    <row r="316" spans="100:109">
      <c r="CV316" s="23"/>
      <c r="CW316" s="23"/>
      <c r="CX316" s="23"/>
      <c r="CY316" s="23"/>
      <c r="CZ316" s="23"/>
      <c r="DA316" s="23"/>
      <c r="DB316" s="23"/>
      <c r="DC316" s="23"/>
      <c r="DD316" s="23"/>
      <c r="DE316" s="23"/>
    </row>
    <row r="317" spans="100:109">
      <c r="CV317" s="23"/>
      <c r="CW317" s="23"/>
      <c r="CX317" s="23"/>
      <c r="CY317" s="23"/>
      <c r="CZ317" s="23"/>
      <c r="DA317" s="23"/>
      <c r="DB317" s="23"/>
      <c r="DC317" s="23"/>
      <c r="DD317" s="23"/>
      <c r="DE317" s="23"/>
    </row>
    <row r="318" spans="100:109">
      <c r="CV318" s="23"/>
      <c r="CW318" s="23"/>
      <c r="CX318" s="23"/>
      <c r="CY318" s="23"/>
      <c r="CZ318" s="23"/>
      <c r="DA318" s="23"/>
      <c r="DB318" s="23"/>
      <c r="DC318" s="23"/>
      <c r="DD318" s="23"/>
      <c r="DE318" s="23"/>
    </row>
    <row r="319" spans="100:109">
      <c r="CV319" s="23"/>
      <c r="CW319" s="23"/>
      <c r="CX319" s="23"/>
      <c r="CY319" s="23"/>
      <c r="CZ319" s="23"/>
      <c r="DA319" s="23"/>
      <c r="DB319" s="23"/>
      <c r="DC319" s="23"/>
      <c r="DD319" s="23"/>
      <c r="DE319" s="23"/>
    </row>
    <row r="320" spans="100:109">
      <c r="CV320" s="23"/>
      <c r="CW320" s="23"/>
      <c r="CX320" s="23"/>
      <c r="CY320" s="23"/>
      <c r="CZ320" s="23"/>
      <c r="DA320" s="23"/>
      <c r="DB320" s="23"/>
      <c r="DC320" s="23"/>
      <c r="DD320" s="23"/>
      <c r="DE320" s="23"/>
    </row>
    <row r="321" spans="100:109">
      <c r="CV321" s="23"/>
      <c r="CW321" s="23"/>
      <c r="CX321" s="23"/>
      <c r="CY321" s="23"/>
      <c r="CZ321" s="23"/>
      <c r="DA321" s="23"/>
      <c r="DB321" s="23"/>
      <c r="DC321" s="23"/>
      <c r="DD321" s="23"/>
      <c r="DE321" s="23"/>
    </row>
    <row r="322" spans="100:109">
      <c r="CV322" s="23"/>
      <c r="CW322" s="23"/>
      <c r="CX322" s="23"/>
      <c r="CY322" s="23"/>
      <c r="CZ322" s="23"/>
      <c r="DA322" s="23"/>
      <c r="DB322" s="23"/>
      <c r="DC322" s="23"/>
      <c r="DD322" s="23"/>
      <c r="DE322" s="23"/>
    </row>
    <row r="323" spans="100:109">
      <c r="CV323" s="23"/>
      <c r="CW323" s="23"/>
      <c r="CX323" s="23"/>
      <c r="CY323" s="23"/>
      <c r="CZ323" s="23"/>
      <c r="DA323" s="23"/>
      <c r="DB323" s="23"/>
      <c r="DC323" s="23"/>
      <c r="DD323" s="23"/>
      <c r="DE323" s="23"/>
    </row>
    <row r="324" spans="100:109">
      <c r="CV324" s="23"/>
      <c r="CW324" s="23"/>
      <c r="CX324" s="23"/>
      <c r="CY324" s="23"/>
      <c r="CZ324" s="23"/>
      <c r="DA324" s="23"/>
      <c r="DB324" s="23"/>
      <c r="DC324" s="23"/>
      <c r="DD324" s="23"/>
      <c r="DE324" s="23"/>
    </row>
    <row r="325" spans="100:109">
      <c r="CV325" s="23"/>
      <c r="CW325" s="23"/>
      <c r="CX325" s="23"/>
      <c r="CY325" s="23"/>
      <c r="CZ325" s="23"/>
      <c r="DA325" s="23"/>
      <c r="DB325" s="23"/>
      <c r="DC325" s="23"/>
      <c r="DD325" s="23"/>
      <c r="DE325" s="23"/>
    </row>
    <row r="326" spans="100:109">
      <c r="CV326" s="23"/>
      <c r="CW326" s="23"/>
      <c r="CX326" s="23"/>
      <c r="CY326" s="23"/>
      <c r="CZ326" s="23"/>
      <c r="DA326" s="23"/>
      <c r="DB326" s="23"/>
      <c r="DC326" s="23"/>
      <c r="DD326" s="23"/>
      <c r="DE326" s="23"/>
    </row>
    <row r="327" spans="100:109">
      <c r="CV327" s="23"/>
      <c r="CW327" s="23"/>
      <c r="CX327" s="23"/>
      <c r="CY327" s="23"/>
      <c r="CZ327" s="23"/>
      <c r="DA327" s="23"/>
      <c r="DB327" s="23"/>
      <c r="DC327" s="23"/>
      <c r="DD327" s="23"/>
      <c r="DE327" s="23"/>
    </row>
    <row r="328" spans="100:109">
      <c r="CV328" s="23"/>
      <c r="CW328" s="23"/>
      <c r="CX328" s="23"/>
      <c r="CY328" s="23"/>
      <c r="CZ328" s="23"/>
      <c r="DA328" s="23"/>
      <c r="DB328" s="23"/>
      <c r="DC328" s="23"/>
      <c r="DD328" s="23"/>
      <c r="DE328" s="23"/>
    </row>
    <row r="329" spans="100:109">
      <c r="CV329" s="23"/>
      <c r="CW329" s="23"/>
      <c r="CX329" s="23"/>
      <c r="CY329" s="23"/>
      <c r="CZ329" s="23"/>
      <c r="DA329" s="23"/>
      <c r="DB329" s="23"/>
      <c r="DC329" s="23"/>
      <c r="DD329" s="23"/>
      <c r="DE329" s="23"/>
    </row>
    <row r="330" spans="100:109">
      <c r="CV330" s="23"/>
      <c r="CW330" s="23"/>
      <c r="CX330" s="23"/>
      <c r="CY330" s="23"/>
      <c r="CZ330" s="23"/>
      <c r="DA330" s="23"/>
      <c r="DB330" s="23"/>
      <c r="DC330" s="23"/>
      <c r="DD330" s="23"/>
      <c r="DE330" s="23"/>
    </row>
    <row r="331" spans="100:109">
      <c r="CV331" s="23"/>
      <c r="CW331" s="23"/>
      <c r="CX331" s="23"/>
      <c r="CY331" s="23"/>
      <c r="CZ331" s="23"/>
      <c r="DA331" s="23"/>
      <c r="DB331" s="23"/>
      <c r="DC331" s="23"/>
      <c r="DD331" s="23"/>
      <c r="DE331" s="23"/>
    </row>
    <row r="332" spans="100:109">
      <c r="CV332" s="23"/>
      <c r="CW332" s="23"/>
      <c r="CX332" s="23"/>
      <c r="CY332" s="23"/>
      <c r="CZ332" s="23"/>
      <c r="DA332" s="23"/>
      <c r="DB332" s="23"/>
      <c r="DC332" s="23"/>
      <c r="DD332" s="23"/>
      <c r="DE332" s="23"/>
    </row>
    <row r="333" spans="100:109">
      <c r="CV333" s="23"/>
      <c r="CW333" s="23"/>
      <c r="CX333" s="23"/>
      <c r="CY333" s="23"/>
      <c r="CZ333" s="23"/>
      <c r="DA333" s="23"/>
      <c r="DB333" s="23"/>
      <c r="DC333" s="23"/>
      <c r="DD333" s="23"/>
      <c r="DE333" s="23"/>
    </row>
    <row r="334" spans="100:109">
      <c r="CV334" s="23"/>
      <c r="CW334" s="23"/>
      <c r="CX334" s="23"/>
      <c r="CY334" s="23"/>
      <c r="CZ334" s="23"/>
      <c r="DA334" s="23"/>
      <c r="DB334" s="23"/>
      <c r="DC334" s="23"/>
      <c r="DD334" s="23"/>
      <c r="DE334" s="23"/>
    </row>
    <row r="335" spans="100:109">
      <c r="CV335" s="23"/>
      <c r="CW335" s="23"/>
      <c r="CX335" s="23"/>
      <c r="CY335" s="23"/>
      <c r="CZ335" s="23"/>
      <c r="DA335" s="23"/>
      <c r="DB335" s="23"/>
      <c r="DC335" s="23"/>
      <c r="DD335" s="23"/>
      <c r="DE335" s="23"/>
    </row>
    <row r="336" spans="100:109">
      <c r="CV336" s="23"/>
      <c r="CW336" s="23"/>
      <c r="CX336" s="23"/>
      <c r="CY336" s="23"/>
      <c r="CZ336" s="23"/>
      <c r="DA336" s="23"/>
      <c r="DB336" s="23"/>
      <c r="DC336" s="23"/>
      <c r="DD336" s="23"/>
      <c r="DE336" s="23"/>
    </row>
    <row r="337" spans="100:109">
      <c r="CV337" s="23"/>
      <c r="CW337" s="23"/>
      <c r="CX337" s="23"/>
      <c r="CY337" s="23"/>
      <c r="CZ337" s="23"/>
      <c r="DA337" s="23"/>
      <c r="DB337" s="23"/>
      <c r="DC337" s="23"/>
      <c r="DD337" s="23"/>
      <c r="DE337" s="23"/>
    </row>
    <row r="338" spans="100:109">
      <c r="CV338" s="23"/>
      <c r="CW338" s="23"/>
      <c r="CX338" s="23"/>
      <c r="CY338" s="23"/>
      <c r="CZ338" s="23"/>
      <c r="DA338" s="23"/>
      <c r="DB338" s="23"/>
      <c r="DC338" s="23"/>
      <c r="DD338" s="23"/>
      <c r="DE338" s="23"/>
    </row>
    <row r="339" spans="100:109">
      <c r="CV339" s="23"/>
      <c r="CW339" s="23"/>
      <c r="CX339" s="23"/>
      <c r="CY339" s="23"/>
      <c r="CZ339" s="23"/>
      <c r="DA339" s="23"/>
      <c r="DB339" s="23"/>
      <c r="DC339" s="23"/>
      <c r="DD339" s="23"/>
      <c r="DE339" s="23"/>
    </row>
    <row r="340" spans="100:109">
      <c r="CV340" s="23"/>
      <c r="CW340" s="23"/>
      <c r="CX340" s="23"/>
      <c r="CY340" s="23"/>
      <c r="CZ340" s="23"/>
      <c r="DA340" s="23"/>
      <c r="DB340" s="23"/>
      <c r="DC340" s="23"/>
      <c r="DD340" s="23"/>
      <c r="DE340" s="23"/>
    </row>
    <row r="341" spans="100:109">
      <c r="CV341" s="23"/>
      <c r="CW341" s="23"/>
      <c r="CX341" s="23"/>
      <c r="CY341" s="23"/>
      <c r="CZ341" s="23"/>
      <c r="DA341" s="23"/>
      <c r="DB341" s="23"/>
      <c r="DC341" s="23"/>
      <c r="DD341" s="23"/>
      <c r="DE341" s="23"/>
    </row>
    <row r="342" spans="100:109">
      <c r="CV342" s="23"/>
      <c r="CW342" s="23"/>
      <c r="CX342" s="23"/>
      <c r="CY342" s="23"/>
      <c r="CZ342" s="23"/>
      <c r="DA342" s="23"/>
      <c r="DB342" s="23"/>
      <c r="DC342" s="23"/>
      <c r="DD342" s="23"/>
      <c r="DE342" s="23"/>
    </row>
    <row r="343" spans="100:109">
      <c r="CV343" s="23"/>
      <c r="CW343" s="23"/>
      <c r="CX343" s="23"/>
      <c r="CY343" s="23"/>
      <c r="CZ343" s="23"/>
      <c r="DA343" s="23"/>
      <c r="DB343" s="23"/>
      <c r="DC343" s="23"/>
      <c r="DD343" s="23"/>
      <c r="DE343" s="23"/>
    </row>
    <row r="344" spans="100:109">
      <c r="CV344" s="23"/>
      <c r="CW344" s="23"/>
      <c r="CX344" s="23"/>
      <c r="CY344" s="23"/>
      <c r="CZ344" s="23"/>
      <c r="DA344" s="23"/>
      <c r="DB344" s="23"/>
      <c r="DC344" s="23"/>
      <c r="DD344" s="23"/>
      <c r="DE344" s="23"/>
    </row>
    <row r="345" spans="100:109">
      <c r="CV345" s="23"/>
      <c r="CW345" s="23"/>
      <c r="CX345" s="23"/>
      <c r="CY345" s="23"/>
      <c r="CZ345" s="23"/>
      <c r="DA345" s="23"/>
      <c r="DB345" s="23"/>
      <c r="DC345" s="23"/>
      <c r="DD345" s="23"/>
      <c r="DE345" s="23"/>
    </row>
    <row r="346" spans="100:109">
      <c r="CV346" s="23"/>
      <c r="CW346" s="23"/>
      <c r="CX346" s="23"/>
      <c r="CY346" s="23"/>
      <c r="CZ346" s="23"/>
      <c r="DA346" s="23"/>
      <c r="DB346" s="23"/>
      <c r="DC346" s="23"/>
      <c r="DD346" s="23"/>
      <c r="DE346" s="23"/>
    </row>
    <row r="347" spans="100:109">
      <c r="CV347" s="23"/>
      <c r="CW347" s="23"/>
      <c r="CX347" s="23"/>
      <c r="CY347" s="23"/>
      <c r="CZ347" s="23"/>
      <c r="DA347" s="23"/>
      <c r="DB347" s="23"/>
      <c r="DC347" s="23"/>
      <c r="DD347" s="23"/>
      <c r="DE347" s="23"/>
    </row>
    <row r="348" spans="100:109">
      <c r="CV348" s="23"/>
      <c r="CW348" s="23"/>
      <c r="CX348" s="23"/>
      <c r="CY348" s="23"/>
      <c r="CZ348" s="23"/>
      <c r="DA348" s="23"/>
      <c r="DB348" s="23"/>
      <c r="DC348" s="23"/>
      <c r="DD348" s="23"/>
      <c r="DE348" s="23"/>
    </row>
    <row r="349" spans="100:109">
      <c r="CV349" s="23"/>
      <c r="CW349" s="23"/>
      <c r="CX349" s="23"/>
      <c r="CY349" s="23"/>
      <c r="CZ349" s="23"/>
      <c r="DA349" s="23"/>
      <c r="DB349" s="23"/>
      <c r="DC349" s="23"/>
      <c r="DD349" s="23"/>
      <c r="DE349" s="23"/>
    </row>
    <row r="350" spans="100:109">
      <c r="CV350" s="23"/>
      <c r="CW350" s="23"/>
      <c r="CX350" s="23"/>
      <c r="CY350" s="23"/>
      <c r="CZ350" s="23"/>
      <c r="DA350" s="23"/>
      <c r="DB350" s="23"/>
      <c r="DC350" s="23"/>
      <c r="DD350" s="23"/>
      <c r="DE350" s="23"/>
    </row>
    <row r="351" spans="100:109">
      <c r="CV351" s="23"/>
      <c r="CW351" s="23"/>
      <c r="CX351" s="23"/>
      <c r="CY351" s="23"/>
      <c r="CZ351" s="23"/>
      <c r="DA351" s="23"/>
      <c r="DB351" s="23"/>
      <c r="DC351" s="23"/>
      <c r="DD351" s="23"/>
      <c r="DE351" s="23"/>
    </row>
    <row r="352" spans="100:109">
      <c r="CV352" s="23"/>
      <c r="CW352" s="23"/>
      <c r="CX352" s="23"/>
      <c r="CY352" s="23"/>
      <c r="CZ352" s="23"/>
      <c r="DA352" s="23"/>
      <c r="DB352" s="23"/>
      <c r="DC352" s="23"/>
      <c r="DD352" s="23"/>
      <c r="DE352" s="23"/>
    </row>
    <row r="353" spans="100:109">
      <c r="CV353" s="23"/>
      <c r="CW353" s="23"/>
      <c r="CX353" s="23"/>
      <c r="CY353" s="23"/>
      <c r="CZ353" s="23"/>
      <c r="DA353" s="23"/>
      <c r="DB353" s="23"/>
      <c r="DC353" s="23"/>
      <c r="DD353" s="23"/>
      <c r="DE353" s="23"/>
    </row>
    <row r="354" spans="100:109">
      <c r="CV354" s="23"/>
      <c r="CW354" s="23"/>
      <c r="CX354" s="23"/>
      <c r="CY354" s="23"/>
      <c r="CZ354" s="23"/>
      <c r="DA354" s="23"/>
      <c r="DB354" s="23"/>
      <c r="DC354" s="23"/>
      <c r="DD354" s="23"/>
      <c r="DE354" s="23"/>
    </row>
    <row r="355" spans="100:109">
      <c r="CV355" s="23"/>
      <c r="CW355" s="23"/>
      <c r="CX355" s="23"/>
      <c r="CY355" s="23"/>
      <c r="CZ355" s="23"/>
      <c r="DA355" s="23"/>
      <c r="DB355" s="23"/>
      <c r="DC355" s="23"/>
      <c r="DD355" s="23"/>
      <c r="DE355" s="23"/>
    </row>
    <row r="356" spans="100:109">
      <c r="CV356" s="23"/>
      <c r="CW356" s="23"/>
      <c r="CX356" s="23"/>
      <c r="CY356" s="23"/>
      <c r="CZ356" s="23"/>
      <c r="DA356" s="23"/>
      <c r="DB356" s="23"/>
      <c r="DC356" s="23"/>
      <c r="DD356" s="23"/>
      <c r="DE356" s="23"/>
    </row>
    <row r="357" spans="100:109">
      <c r="CV357" s="23"/>
      <c r="CW357" s="23"/>
      <c r="CX357" s="23"/>
      <c r="CY357" s="23"/>
      <c r="CZ357" s="23"/>
      <c r="DA357" s="23"/>
      <c r="DB357" s="23"/>
      <c r="DC357" s="23"/>
      <c r="DD357" s="23"/>
      <c r="DE357" s="23"/>
    </row>
    <row r="358" spans="100:109">
      <c r="CV358" s="23"/>
      <c r="CW358" s="23"/>
      <c r="CX358" s="23"/>
      <c r="CY358" s="23"/>
      <c r="CZ358" s="23"/>
      <c r="DA358" s="23"/>
      <c r="DB358" s="23"/>
      <c r="DC358" s="23"/>
      <c r="DD358" s="23"/>
      <c r="DE358" s="23"/>
    </row>
    <row r="359" spans="100:109">
      <c r="CV359" s="23"/>
      <c r="CW359" s="23"/>
      <c r="CX359" s="23"/>
      <c r="CY359" s="23"/>
      <c r="CZ359" s="23"/>
      <c r="DA359" s="23"/>
      <c r="DB359" s="23"/>
      <c r="DC359" s="23"/>
      <c r="DD359" s="23"/>
      <c r="DE359" s="23"/>
    </row>
    <row r="360" spans="100:109">
      <c r="CV360" s="23"/>
      <c r="CW360" s="23"/>
      <c r="CX360" s="23"/>
      <c r="CY360" s="23"/>
      <c r="CZ360" s="23"/>
      <c r="DA360" s="23"/>
      <c r="DB360" s="23"/>
      <c r="DC360" s="23"/>
      <c r="DD360" s="23"/>
      <c r="DE360" s="23"/>
    </row>
    <row r="361" spans="100:109">
      <c r="CV361" s="23"/>
      <c r="CW361" s="23"/>
      <c r="CX361" s="23"/>
      <c r="CY361" s="23"/>
      <c r="CZ361" s="23"/>
      <c r="DA361" s="23"/>
      <c r="DB361" s="23"/>
      <c r="DC361" s="23"/>
      <c r="DD361" s="23"/>
      <c r="DE361" s="23"/>
    </row>
    <row r="362" spans="100:109">
      <c r="CV362" s="23"/>
      <c r="CW362" s="23"/>
      <c r="CX362" s="23"/>
      <c r="CY362" s="23"/>
      <c r="CZ362" s="23"/>
      <c r="DA362" s="23"/>
      <c r="DB362" s="23"/>
      <c r="DC362" s="23"/>
      <c r="DD362" s="23"/>
      <c r="DE362" s="23"/>
    </row>
    <row r="363" spans="100:109">
      <c r="CV363" s="23"/>
      <c r="CW363" s="23"/>
      <c r="CX363" s="23"/>
      <c r="CY363" s="23"/>
      <c r="CZ363" s="23"/>
      <c r="DA363" s="23"/>
      <c r="DB363" s="23"/>
      <c r="DC363" s="23"/>
      <c r="DD363" s="23"/>
      <c r="DE363" s="23"/>
    </row>
    <row r="364" spans="100:109">
      <c r="CV364" s="23"/>
      <c r="CW364" s="23"/>
      <c r="CX364" s="23"/>
      <c r="CY364" s="23"/>
      <c r="CZ364" s="23"/>
      <c r="DA364" s="23"/>
      <c r="DB364" s="23"/>
      <c r="DC364" s="23"/>
      <c r="DD364" s="23"/>
      <c r="DE364" s="23"/>
    </row>
    <row r="365" spans="100:109">
      <c r="CV365" s="23"/>
      <c r="CW365" s="23"/>
      <c r="CX365" s="23"/>
      <c r="CY365" s="23"/>
      <c r="CZ365" s="23"/>
      <c r="DA365" s="23"/>
      <c r="DB365" s="23"/>
      <c r="DC365" s="23"/>
      <c r="DD365" s="23"/>
      <c r="DE365" s="23"/>
    </row>
    <row r="366" spans="100:109">
      <c r="CV366" s="23"/>
      <c r="CW366" s="23"/>
      <c r="CX366" s="23"/>
      <c r="CY366" s="23"/>
      <c r="CZ366" s="23"/>
      <c r="DA366" s="23"/>
      <c r="DB366" s="23"/>
      <c r="DC366" s="23"/>
      <c r="DD366" s="23"/>
      <c r="DE366" s="23"/>
    </row>
    <row r="367" spans="100:109">
      <c r="CV367" s="23"/>
      <c r="CW367" s="23"/>
      <c r="CX367" s="23"/>
      <c r="CY367" s="23"/>
      <c r="CZ367" s="23"/>
      <c r="DA367" s="23"/>
      <c r="DB367" s="23"/>
      <c r="DC367" s="23"/>
      <c r="DD367" s="23"/>
      <c r="DE367" s="23"/>
    </row>
    <row r="368" spans="100:109">
      <c r="CV368" s="23"/>
      <c r="CW368" s="23"/>
      <c r="CX368" s="23"/>
      <c r="CY368" s="23"/>
      <c r="CZ368" s="23"/>
      <c r="DA368" s="23"/>
      <c r="DB368" s="23"/>
      <c r="DC368" s="23"/>
      <c r="DD368" s="23"/>
      <c r="DE368" s="23"/>
    </row>
    <row r="369" spans="100:109">
      <c r="CV369" s="23"/>
      <c r="CW369" s="23"/>
      <c r="CX369" s="23"/>
      <c r="CY369" s="23"/>
      <c r="CZ369" s="23"/>
      <c r="DA369" s="23"/>
      <c r="DB369" s="23"/>
      <c r="DC369" s="23"/>
      <c r="DD369" s="23"/>
      <c r="DE369" s="23"/>
    </row>
    <row r="370" spans="100:109">
      <c r="CV370" s="23"/>
      <c r="CW370" s="23"/>
      <c r="CX370" s="23"/>
      <c r="CY370" s="23"/>
      <c r="CZ370" s="23"/>
      <c r="DA370" s="23"/>
      <c r="DB370" s="23"/>
      <c r="DC370" s="23"/>
      <c r="DD370" s="23"/>
      <c r="DE370" s="23"/>
    </row>
    <row r="371" spans="100:109">
      <c r="CV371" s="23"/>
      <c r="CW371" s="23"/>
      <c r="CX371" s="23"/>
      <c r="CY371" s="23"/>
      <c r="CZ371" s="23"/>
      <c r="DA371" s="23"/>
      <c r="DB371" s="23"/>
      <c r="DC371" s="23"/>
      <c r="DD371" s="23"/>
      <c r="DE371" s="23"/>
    </row>
    <row r="372" spans="100:109">
      <c r="CV372" s="23"/>
      <c r="CW372" s="23"/>
      <c r="CX372" s="23"/>
      <c r="CY372" s="23"/>
      <c r="CZ372" s="23"/>
      <c r="DA372" s="23"/>
      <c r="DB372" s="23"/>
      <c r="DC372" s="23"/>
      <c r="DD372" s="23"/>
      <c r="DE372" s="23"/>
    </row>
    <row r="373" spans="100:109">
      <c r="CV373" s="23"/>
      <c r="CW373" s="23"/>
      <c r="CX373" s="23"/>
      <c r="CY373" s="23"/>
      <c r="CZ373" s="23"/>
      <c r="DA373" s="23"/>
      <c r="DB373" s="23"/>
      <c r="DC373" s="23"/>
      <c r="DD373" s="23"/>
      <c r="DE373" s="23"/>
    </row>
    <row r="374" spans="100:109">
      <c r="CV374" s="23"/>
      <c r="CW374" s="23"/>
      <c r="CX374" s="23"/>
      <c r="CY374" s="23"/>
      <c r="CZ374" s="23"/>
      <c r="DA374" s="23"/>
      <c r="DB374" s="23"/>
      <c r="DC374" s="23"/>
      <c r="DD374" s="23"/>
      <c r="DE374" s="23"/>
    </row>
    <row r="375" spans="100:109">
      <c r="CV375" s="23"/>
      <c r="CW375" s="23"/>
      <c r="CX375" s="23"/>
      <c r="CY375" s="23"/>
      <c r="CZ375" s="23"/>
      <c r="DA375" s="23"/>
      <c r="DB375" s="23"/>
      <c r="DC375" s="23"/>
      <c r="DD375" s="23"/>
      <c r="DE375" s="23"/>
    </row>
    <row r="376" spans="100:109">
      <c r="CV376" s="23"/>
      <c r="CW376" s="23"/>
      <c r="CX376" s="23"/>
      <c r="CY376" s="23"/>
      <c r="CZ376" s="23"/>
      <c r="DA376" s="23"/>
      <c r="DB376" s="23"/>
      <c r="DC376" s="23"/>
      <c r="DD376" s="23"/>
      <c r="DE376" s="23"/>
    </row>
    <row r="377" spans="100:109">
      <c r="CV377" s="23"/>
      <c r="CW377" s="23"/>
      <c r="CX377" s="23"/>
      <c r="CY377" s="23"/>
      <c r="CZ377" s="23"/>
      <c r="DA377" s="23"/>
      <c r="DB377" s="23"/>
      <c r="DC377" s="23"/>
      <c r="DD377" s="23"/>
      <c r="DE377" s="23"/>
    </row>
    <row r="378" spans="100:109">
      <c r="CV378" s="23"/>
      <c r="CW378" s="23"/>
      <c r="CX378" s="23"/>
      <c r="CY378" s="23"/>
      <c r="CZ378" s="23"/>
      <c r="DA378" s="23"/>
      <c r="DB378" s="23"/>
      <c r="DC378" s="23"/>
      <c r="DD378" s="23"/>
      <c r="DE378" s="23"/>
    </row>
    <row r="379" spans="100:109">
      <c r="CV379" s="23"/>
      <c r="CW379" s="23"/>
      <c r="CX379" s="23"/>
      <c r="CY379" s="23"/>
      <c r="CZ379" s="23"/>
      <c r="DA379" s="23"/>
      <c r="DB379" s="23"/>
      <c r="DC379" s="23"/>
      <c r="DD379" s="23"/>
      <c r="DE379" s="23"/>
    </row>
    <row r="380" spans="100:109">
      <c r="CV380" s="23"/>
      <c r="CW380" s="23"/>
      <c r="CX380" s="23"/>
      <c r="CY380" s="23"/>
      <c r="CZ380" s="23"/>
      <c r="DA380" s="23"/>
      <c r="DB380" s="23"/>
      <c r="DC380" s="23"/>
      <c r="DD380" s="23"/>
      <c r="DE380" s="23"/>
    </row>
    <row r="381" spans="100:109">
      <c r="CV381" s="23"/>
      <c r="CW381" s="23"/>
      <c r="CX381" s="23"/>
      <c r="CY381" s="23"/>
      <c r="CZ381" s="23"/>
      <c r="DA381" s="23"/>
      <c r="DB381" s="23"/>
      <c r="DC381" s="23"/>
      <c r="DD381" s="23"/>
      <c r="DE381" s="23"/>
    </row>
    <row r="382" spans="100:109">
      <c r="CV382" s="23"/>
      <c r="CW382" s="23"/>
      <c r="CX382" s="23"/>
      <c r="CY382" s="23"/>
      <c r="CZ382" s="23"/>
      <c r="DA382" s="23"/>
      <c r="DB382" s="23"/>
      <c r="DC382" s="23"/>
      <c r="DD382" s="23"/>
      <c r="DE382" s="23"/>
    </row>
    <row r="383" spans="100:109">
      <c r="CV383" s="23"/>
      <c r="CW383" s="23"/>
      <c r="CX383" s="23"/>
      <c r="CY383" s="23"/>
      <c r="CZ383" s="23"/>
      <c r="DA383" s="23"/>
      <c r="DB383" s="23"/>
      <c r="DC383" s="23"/>
      <c r="DD383" s="23"/>
      <c r="DE383" s="23"/>
    </row>
    <row r="384" spans="100:109">
      <c r="CV384" s="23"/>
      <c r="CW384" s="23"/>
      <c r="CX384" s="23"/>
      <c r="CY384" s="23"/>
      <c r="CZ384" s="23"/>
      <c r="DA384" s="23"/>
      <c r="DB384" s="23"/>
      <c r="DC384" s="23"/>
      <c r="DD384" s="23"/>
      <c r="DE384" s="23"/>
    </row>
    <row r="385" spans="100:109">
      <c r="CV385" s="23"/>
      <c r="CW385" s="23"/>
      <c r="CX385" s="23"/>
      <c r="CY385" s="23"/>
      <c r="CZ385" s="23"/>
      <c r="DA385" s="23"/>
      <c r="DB385" s="23"/>
      <c r="DC385" s="23"/>
      <c r="DD385" s="23"/>
      <c r="DE385" s="23"/>
    </row>
    <row r="386" spans="100:109">
      <c r="CV386" s="23"/>
      <c r="CW386" s="23"/>
      <c r="CX386" s="23"/>
      <c r="CY386" s="23"/>
      <c r="CZ386" s="23"/>
      <c r="DA386" s="23"/>
      <c r="DB386" s="23"/>
      <c r="DC386" s="23"/>
      <c r="DD386" s="23"/>
      <c r="DE386" s="23"/>
    </row>
    <row r="387" spans="100:109">
      <c r="CV387" s="23"/>
      <c r="CW387" s="23"/>
      <c r="CX387" s="23"/>
      <c r="CY387" s="23"/>
      <c r="CZ387" s="23"/>
      <c r="DA387" s="23"/>
      <c r="DB387" s="23"/>
      <c r="DC387" s="23"/>
      <c r="DD387" s="23"/>
      <c r="DE387" s="23"/>
    </row>
    <row r="388" spans="100:109">
      <c r="CV388" s="23"/>
      <c r="CW388" s="23"/>
      <c r="CX388" s="23"/>
      <c r="CY388" s="23"/>
      <c r="CZ388" s="23"/>
      <c r="DA388" s="23"/>
      <c r="DB388" s="23"/>
      <c r="DC388" s="23"/>
      <c r="DD388" s="23"/>
      <c r="DE388" s="23"/>
    </row>
    <row r="389" spans="100:109">
      <c r="CV389" s="23"/>
      <c r="CW389" s="23"/>
      <c r="CX389" s="23"/>
      <c r="CY389" s="23"/>
      <c r="CZ389" s="23"/>
      <c r="DA389" s="23"/>
      <c r="DB389" s="23"/>
      <c r="DC389" s="23"/>
      <c r="DD389" s="23"/>
      <c r="DE389" s="23"/>
    </row>
    <row r="390" spans="100:109">
      <c r="CV390" s="23"/>
      <c r="CW390" s="23"/>
      <c r="CX390" s="23"/>
      <c r="CY390" s="23"/>
      <c r="CZ390" s="23"/>
      <c r="DA390" s="23"/>
      <c r="DB390" s="23"/>
      <c r="DC390" s="23"/>
      <c r="DD390" s="23"/>
      <c r="DE390" s="23"/>
    </row>
    <row r="391" spans="100:109">
      <c r="CV391" s="23"/>
      <c r="CW391" s="23"/>
      <c r="CX391" s="23"/>
      <c r="CY391" s="23"/>
      <c r="CZ391" s="23"/>
      <c r="DA391" s="23"/>
      <c r="DB391" s="23"/>
      <c r="DC391" s="23"/>
      <c r="DD391" s="23"/>
      <c r="DE391" s="23"/>
    </row>
    <row r="392" spans="100:109">
      <c r="CV392" s="23"/>
      <c r="CW392" s="23"/>
      <c r="CX392" s="23"/>
      <c r="CY392" s="23"/>
      <c r="CZ392" s="23"/>
      <c r="DA392" s="23"/>
      <c r="DB392" s="23"/>
      <c r="DC392" s="23"/>
      <c r="DD392" s="23"/>
      <c r="DE392" s="23"/>
    </row>
    <row r="393" spans="100:109">
      <c r="CV393" s="23"/>
      <c r="CW393" s="23"/>
      <c r="CX393" s="23"/>
      <c r="CY393" s="23"/>
      <c r="CZ393" s="23"/>
      <c r="DA393" s="23"/>
      <c r="DB393" s="23"/>
      <c r="DC393" s="23"/>
      <c r="DD393" s="23"/>
      <c r="DE393" s="23"/>
    </row>
    <row r="394" spans="100:109">
      <c r="CV394" s="23"/>
      <c r="CW394" s="23"/>
      <c r="CX394" s="23"/>
      <c r="CY394" s="23"/>
      <c r="CZ394" s="23"/>
      <c r="DA394" s="23"/>
      <c r="DB394" s="23"/>
      <c r="DC394" s="23"/>
      <c r="DD394" s="23"/>
      <c r="DE394" s="23"/>
    </row>
    <row r="395" spans="100:109">
      <c r="CV395" s="23"/>
      <c r="CW395" s="23"/>
      <c r="CX395" s="23"/>
      <c r="CY395" s="23"/>
      <c r="CZ395" s="23"/>
      <c r="DA395" s="23"/>
      <c r="DB395" s="23"/>
      <c r="DC395" s="23"/>
      <c r="DD395" s="23"/>
      <c r="DE395" s="23"/>
    </row>
    <row r="396" spans="100:109">
      <c r="CV396" s="23"/>
      <c r="CW396" s="23"/>
      <c r="CX396" s="23"/>
      <c r="CY396" s="23"/>
      <c r="CZ396" s="23"/>
      <c r="DA396" s="23"/>
      <c r="DB396" s="23"/>
      <c r="DC396" s="23"/>
      <c r="DD396" s="23"/>
      <c r="DE396" s="23"/>
    </row>
    <row r="397" spans="100:109">
      <c r="CV397" s="23"/>
      <c r="CW397" s="23"/>
      <c r="CX397" s="23"/>
      <c r="CY397" s="23"/>
      <c r="CZ397" s="23"/>
      <c r="DA397" s="23"/>
      <c r="DB397" s="23"/>
      <c r="DC397" s="23"/>
      <c r="DD397" s="23"/>
      <c r="DE397" s="23"/>
    </row>
    <row r="398" spans="100:109">
      <c r="CV398" s="23"/>
      <c r="CW398" s="23"/>
      <c r="CX398" s="23"/>
      <c r="CY398" s="23"/>
      <c r="CZ398" s="23"/>
      <c r="DA398" s="23"/>
      <c r="DB398" s="23"/>
      <c r="DC398" s="23"/>
      <c r="DD398" s="23"/>
      <c r="DE398" s="23"/>
    </row>
    <row r="399" spans="100:109">
      <c r="CV399" s="23"/>
      <c r="CW399" s="23"/>
      <c r="CX399" s="23"/>
      <c r="CY399" s="23"/>
      <c r="CZ399" s="23"/>
      <c r="DA399" s="23"/>
      <c r="DB399" s="23"/>
      <c r="DC399" s="23"/>
      <c r="DD399" s="23"/>
      <c r="DE399" s="23"/>
    </row>
    <row r="400" spans="100:109">
      <c r="CV400" s="23"/>
      <c r="CW400" s="23"/>
      <c r="CX400" s="23"/>
      <c r="CY400" s="23"/>
      <c r="CZ400" s="23"/>
      <c r="DA400" s="23"/>
      <c r="DB400" s="23"/>
      <c r="DC400" s="23"/>
      <c r="DD400" s="23"/>
      <c r="DE400" s="23"/>
    </row>
    <row r="401" spans="88:109">
      <c r="CV401" s="23"/>
      <c r="CW401" s="23"/>
      <c r="CX401" s="23"/>
      <c r="CY401" s="23"/>
      <c r="CZ401" s="23"/>
      <c r="DA401" s="23"/>
      <c r="DB401" s="23"/>
      <c r="DC401" s="23"/>
      <c r="DD401" s="23"/>
      <c r="DE401" s="23"/>
    </row>
    <row r="402" spans="88:109">
      <c r="CV402" s="23"/>
      <c r="CW402" s="23"/>
      <c r="CX402" s="23"/>
      <c r="CY402" s="23"/>
      <c r="CZ402" s="23"/>
      <c r="DA402" s="23"/>
      <c r="DB402" s="23"/>
      <c r="DC402" s="23"/>
      <c r="DD402" s="23"/>
      <c r="DE402" s="23"/>
    </row>
    <row r="403" spans="88:109">
      <c r="CV403" s="23"/>
      <c r="CW403" s="23"/>
      <c r="CX403" s="23"/>
      <c r="CY403" s="23"/>
      <c r="CZ403" s="23"/>
      <c r="DA403" s="23"/>
      <c r="DB403" s="23"/>
      <c r="DC403" s="23"/>
      <c r="DD403" s="23"/>
      <c r="DE403" s="23"/>
    </row>
    <row r="404" spans="88:109">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row>
    <row r="405" spans="88:109">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row>
    <row r="406" spans="88:109">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row>
    <row r="407" spans="88:109">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row>
    <row r="408" spans="88:109">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row>
    <row r="409" spans="88:109">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row>
    <row r="410" spans="88:109">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row>
    <row r="411" spans="88:109">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row>
    <row r="412" spans="88:109">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row>
    <row r="413" spans="88:109">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row>
    <row r="414" spans="88:109">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row>
    <row r="415" spans="88:109">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row>
    <row r="416" spans="88:109">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row>
    <row r="417" spans="88:109">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row>
    <row r="418" spans="88:109">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row>
    <row r="419" spans="88:109">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row>
    <row r="420" spans="88:109">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row>
    <row r="421" spans="88:109">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row>
    <row r="422" spans="88:109">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row>
    <row r="423" spans="88:109">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row>
    <row r="424" spans="88:109">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row>
    <row r="425" spans="88:109">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row>
    <row r="426" spans="88:109">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row>
    <row r="427" spans="88:109">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row>
    <row r="428" spans="88:109">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row>
    <row r="429" spans="88:109">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row>
    <row r="430" spans="88:109">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row>
    <row r="431" spans="88:109">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row>
    <row r="432" spans="88:109">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row>
    <row r="433" spans="88:109">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row>
    <row r="434" spans="88:109">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row>
    <row r="435" spans="88:109">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row>
    <row r="436" spans="88:109">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row>
    <row r="437" spans="88:109">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row>
    <row r="438" spans="88:109">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row>
    <row r="439" spans="88:109">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row>
    <row r="440" spans="88:109">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row>
    <row r="441" spans="88:109">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row>
    <row r="442" spans="88:109">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row>
    <row r="502" spans="86:110">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row>
    <row r="503" spans="86:110">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row>
    <row r="504" spans="86:110">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row>
    <row r="505" spans="86:110">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row>
    <row r="506" spans="86:110">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row>
    <row r="507" spans="86:110">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row>
    <row r="508" spans="86:110">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row>
    <row r="509" spans="86:110">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row>
    <row r="510" spans="86:110">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row>
    <row r="511" spans="86:110">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row>
    <row r="512" spans="86:110">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row>
    <row r="513" spans="86:110">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row>
    <row r="514" spans="86:110">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row>
    <row r="515" spans="86:110">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row>
    <row r="516" spans="86:110">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row>
    <row r="517" spans="86:110">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row>
    <row r="518" spans="86:110">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row>
    <row r="519" spans="86:110">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row>
    <row r="520" spans="86:110">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row>
    <row r="521" spans="86:110">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row>
    <row r="522" spans="86:110">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row>
    <row r="523" spans="86:110">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row>
    <row r="524" spans="86:110">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row>
    <row r="525" spans="86:110">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row>
    <row r="526" spans="86:110">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row>
    <row r="527" spans="86:110">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row>
    <row r="528" spans="86:110">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row>
    <row r="529" spans="85:110">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row>
    <row r="530" spans="85:110">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row>
    <row r="531" spans="85:110">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row>
    <row r="532" spans="85:110">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row>
    <row r="533" spans="85:110">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row>
    <row r="534" spans="85:110">
      <c r="CG534" s="984"/>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row>
    <row r="535" spans="85:110">
      <c r="CG535" s="984"/>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row>
    <row r="536" spans="85:110">
      <c r="CG536" s="984"/>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row>
    <row r="537" spans="85:110">
      <c r="CG537" s="984"/>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row>
    <row r="538" spans="85:110">
      <c r="CG538" s="984"/>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row>
    <row r="539" spans="85:110">
      <c r="CG539" s="984"/>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row>
    <row r="540" spans="85:110">
      <c r="CG540" s="984"/>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row>
    <row r="541" spans="85:110">
      <c r="CG541" s="984"/>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row>
    <row r="542" spans="85:110">
      <c r="CG542" s="984"/>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row>
    <row r="543" spans="85:110">
      <c r="CG543" s="984"/>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row>
    <row r="544" spans="85:110">
      <c r="CG544" s="984"/>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row>
    <row r="545" spans="85:110">
      <c r="CG545" s="984"/>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row>
    <row r="546" spans="85:110">
      <c r="CG546" s="984"/>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row>
    <row r="547" spans="85:110">
      <c r="CG547" s="984"/>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row>
    <row r="548" spans="85:110">
      <c r="CG548" s="984"/>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row>
    <row r="549" spans="85:110">
      <c r="CG549" s="984"/>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row>
    <row r="550" spans="85:110">
      <c r="CG550" s="984"/>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row>
    <row r="551" spans="85:110">
      <c r="CG551" s="984"/>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row>
    <row r="552" spans="85:110">
      <c r="CG552" s="984"/>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row>
    <row r="553" spans="85:110">
      <c r="CG553" s="984"/>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row>
    <row r="554" spans="85:110">
      <c r="CG554" s="984"/>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row>
    <row r="555" spans="85:110">
      <c r="CG555" s="984"/>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row>
    <row r="556" spans="85:110">
      <c r="CG556" s="984"/>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row>
    <row r="557" spans="85:110">
      <c r="CG557" s="984"/>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row>
    <row r="558" spans="85:110">
      <c r="CG558" s="984"/>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row>
    <row r="559" spans="85:110">
      <c r="CG559" s="984"/>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row>
    <row r="560" spans="85:110">
      <c r="CG560" s="984"/>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row>
    <row r="561" spans="85:107">
      <c r="CG561" s="984"/>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row>
    <row r="562" spans="85:107">
      <c r="CG562" s="984"/>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row>
    <row r="563" spans="85:107">
      <c r="CG563" s="984"/>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row>
    <row r="564" spans="85:107">
      <c r="CG564" s="984"/>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row>
    <row r="565" spans="85:107">
      <c r="CG565" s="984"/>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row>
    <row r="566" spans="85:107">
      <c r="CG566" s="984"/>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row>
    <row r="567" spans="85:107">
      <c r="CG567" s="984"/>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row>
    <row r="568" spans="85:107">
      <c r="CG568" s="984"/>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row>
    <row r="569" spans="85:107">
      <c r="CG569" s="984"/>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row>
    <row r="570" spans="85:107">
      <c r="CG570" s="984"/>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row>
    <row r="571" spans="85:107">
      <c r="CG571" s="984"/>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row>
    <row r="572" spans="85:107">
      <c r="CG572" s="984"/>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row>
    <row r="573" spans="85:107">
      <c r="CG573" s="984"/>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row>
    <row r="574" spans="85:107">
      <c r="CG574" s="984"/>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row>
    <row r="575" spans="85:107">
      <c r="CG575" s="984"/>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row>
    <row r="576" spans="85:107">
      <c r="CG576" s="984"/>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row>
    <row r="577" spans="85:107">
      <c r="CG577" s="984"/>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row>
    <row r="578" spans="85:107">
      <c r="CG578" s="984"/>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row>
    <row r="579" spans="85:107">
      <c r="CG579" s="984"/>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row>
    <row r="580" spans="85:107">
      <c r="CG580" s="984"/>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row>
    <row r="581" spans="85:107">
      <c r="CG581" s="984"/>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row>
    <row r="582" spans="85:107">
      <c r="CG582" s="984"/>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row>
    <row r="583" spans="85:107">
      <c r="CG583" s="984"/>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row>
    <row r="584" spans="85:107">
      <c r="CG584" s="984"/>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row>
    <row r="585" spans="85:107">
      <c r="CG585" s="984"/>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row>
    <row r="586" spans="85:107">
      <c r="CG586" s="984"/>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row>
    <row r="587" spans="85:107">
      <c r="CG587" s="984"/>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row>
    <row r="588" spans="85:107">
      <c r="CG588" s="984"/>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row>
    <row r="589" spans="85:107">
      <c r="CG589" s="984"/>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row>
    <row r="590" spans="85:107">
      <c r="CG590" s="984"/>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row>
    <row r="591" spans="85:107">
      <c r="CG591" s="984"/>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row>
    <row r="592" spans="85:107">
      <c r="CG592" s="984"/>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row>
    <row r="593" spans="85:107">
      <c r="CG593" s="984"/>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row>
    <row r="594" spans="85:107">
      <c r="CG594" s="984"/>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row>
    <row r="595" spans="85:107">
      <c r="CG595" s="984"/>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row>
    <row r="596" spans="85:107">
      <c r="CG596" s="984"/>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row>
    <row r="597" spans="85:107">
      <c r="CG597" s="984"/>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row>
    <row r="598" spans="85:107">
      <c r="CG598" s="984"/>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row>
    <row r="599" spans="85:107">
      <c r="CG599" s="984"/>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row>
    <row r="600" spans="85:107">
      <c r="CG600" s="984"/>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row>
    <row r="601" spans="85:107">
      <c r="CG601" s="984"/>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row>
    <row r="602" spans="85:107">
      <c r="CG602" s="984"/>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row>
    <row r="603" spans="85:107">
      <c r="CG603" s="984"/>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row>
    <row r="604" spans="85:107">
      <c r="CG604" s="984"/>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row>
    <row r="605" spans="85:107">
      <c r="CG605" s="984"/>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row>
    <row r="606" spans="85:107">
      <c r="CG606" s="984"/>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row>
    <row r="607" spans="85:107">
      <c r="CG607" s="984"/>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row>
    <row r="608" spans="85:107">
      <c r="CG608" s="984"/>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row>
    <row r="609" spans="85:107">
      <c r="CG609" s="984"/>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row>
    <row r="610" spans="85:107">
      <c r="CG610" s="984"/>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row>
    <row r="611" spans="85:107">
      <c r="CG611" s="984"/>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row>
    <row r="612" spans="85:107">
      <c r="CG612" s="984"/>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row>
    <row r="613" spans="85:107">
      <c r="CG613" s="984"/>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row>
    <row r="614" spans="85:107">
      <c r="CG614" s="984"/>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row>
    <row r="615" spans="85:107">
      <c r="CG615" s="984"/>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row>
    <row r="616" spans="85:107">
      <c r="CG616" s="984"/>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row>
    <row r="617" spans="85:107">
      <c r="CG617" s="984"/>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row>
    <row r="618" spans="85:107">
      <c r="CG618" s="984"/>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row>
    <row r="619" spans="85:107">
      <c r="CG619" s="984"/>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row>
    <row r="620" spans="85:107">
      <c r="CG620" s="984"/>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row>
    <row r="621" spans="85:107">
      <c r="CG621" s="984"/>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row>
    <row r="622" spans="85:107">
      <c r="CG622" s="984"/>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row>
    <row r="623" spans="85:107">
      <c r="CG623" s="984"/>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row>
    <row r="624" spans="85:107">
      <c r="CG624" s="984"/>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row>
    <row r="625" spans="85:107">
      <c r="CG625" s="984"/>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row>
    <row r="626" spans="85:107">
      <c r="CG626" s="984"/>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row>
    <row r="627" spans="85:107">
      <c r="CG627" s="984"/>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row>
    <row r="628" spans="85:107">
      <c r="CG628" s="984"/>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row>
    <row r="629" spans="85:107">
      <c r="CG629" s="984"/>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row>
    <row r="630" spans="85:107">
      <c r="CG630" s="984"/>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row>
    <row r="631" spans="85:107">
      <c r="CG631" s="984"/>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row>
    <row r="632" spans="85:107">
      <c r="CG632" s="984"/>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row>
    <row r="633" spans="85:107">
      <c r="CG633" s="984"/>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row>
    <row r="634" spans="85:107">
      <c r="CG634" s="984"/>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row>
    <row r="635" spans="85:107">
      <c r="CG635" s="984"/>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row>
    <row r="636" spans="85:107">
      <c r="CG636" s="984"/>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row>
    <row r="637" spans="85:107">
      <c r="CG637" s="984"/>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row>
    <row r="638" spans="85:107">
      <c r="CG638" s="984"/>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row>
    <row r="639" spans="85:107">
      <c r="CG639" s="984"/>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row>
    <row r="640" spans="85:107">
      <c r="CG640" s="984"/>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row>
    <row r="641" spans="85:107">
      <c r="CG641" s="984"/>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row>
    <row r="642" spans="85:107">
      <c r="CG642" s="984"/>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row>
    <row r="643" spans="85:107">
      <c r="CG643" s="984"/>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row>
    <row r="644" spans="85:107">
      <c r="CG644" s="984"/>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row>
    <row r="645" spans="85:107">
      <c r="CG645" s="984"/>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row>
    <row r="646" spans="85:107">
      <c r="CG646" s="984"/>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row>
    <row r="647" spans="85:107">
      <c r="CG647" s="984"/>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row>
    <row r="648" spans="85:107">
      <c r="CG648" s="984"/>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row>
    <row r="649" spans="85:107">
      <c r="CG649" s="984"/>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row>
    <row r="650" spans="85:107">
      <c r="CG650" s="984"/>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row>
    <row r="651" spans="85:107">
      <c r="CG651" s="984"/>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row>
    <row r="652" spans="85:107">
      <c r="CG652" s="984"/>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row>
    <row r="653" spans="85:107">
      <c r="CG653" s="984"/>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row>
    <row r="654" spans="85:107">
      <c r="CG654" s="984"/>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row>
    <row r="655" spans="85:107">
      <c r="CG655" s="984"/>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row>
    <row r="656" spans="85:107">
      <c r="CG656" s="984"/>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row>
    <row r="657" spans="85:107">
      <c r="CG657" s="984"/>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row>
    <row r="658" spans="85:107">
      <c r="CG658" s="984"/>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row>
    <row r="659" spans="85:107">
      <c r="CG659" s="984"/>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row>
    <row r="660" spans="85:107">
      <c r="CG660" s="984"/>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row>
    <row r="661" spans="85:107">
      <c r="CG661" s="984"/>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row>
    <row r="662" spans="85:107">
      <c r="CG662" s="984"/>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row>
    <row r="663" spans="85:107">
      <c r="CG663" s="984"/>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row>
    <row r="664" spans="85:107">
      <c r="CG664" s="984"/>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row>
    <row r="665" spans="85:107">
      <c r="CG665" s="984"/>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row>
    <row r="666" spans="85:107">
      <c r="CG666" s="984"/>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row>
    <row r="667" spans="85:107">
      <c r="CG667" s="984"/>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row>
    <row r="668" spans="85:107">
      <c r="CG668" s="984"/>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row>
    <row r="669" spans="85:107">
      <c r="CG669" s="984"/>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row>
    <row r="670" spans="85:107">
      <c r="CG670" s="984"/>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row>
    <row r="671" spans="85:107">
      <c r="CG671" s="984"/>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row>
    <row r="672" spans="85:107">
      <c r="CG672" s="984"/>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row>
    <row r="673" spans="85:107">
      <c r="CG673" s="984"/>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row>
    <row r="674" spans="85:107">
      <c r="CG674" s="984"/>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row>
    <row r="675" spans="85:107">
      <c r="CG675" s="984"/>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row>
    <row r="676" spans="85:107">
      <c r="CG676" s="984"/>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row>
    <row r="677" spans="85:107">
      <c r="CG677" s="984"/>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row>
    <row r="678" spans="85:107">
      <c r="CG678" s="984"/>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row>
    <row r="679" spans="85:107">
      <c r="CG679" s="984"/>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row>
    <row r="680" spans="85:107">
      <c r="CG680" s="984"/>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row>
    <row r="681" spans="85:107">
      <c r="CG681" s="984"/>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row>
    <row r="682" spans="85:107">
      <c r="CG682" s="984"/>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row>
    <row r="683" spans="85:107">
      <c r="CG683" s="984"/>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row>
    <row r="684" spans="85:107">
      <c r="CG684" s="984"/>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row>
    <row r="685" spans="85:107">
      <c r="CG685" s="984"/>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row>
    <row r="686" spans="85:107">
      <c r="CG686" s="984"/>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row>
    <row r="687" spans="85:107">
      <c r="CG687" s="984"/>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row>
    <row r="688" spans="85:107">
      <c r="CG688" s="984"/>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row>
    <row r="689" spans="85:107">
      <c r="CG689" s="984"/>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row>
    <row r="690" spans="85:107">
      <c r="CG690" s="984"/>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row>
    <row r="691" spans="85:107">
      <c r="CG691" s="984"/>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row>
    <row r="692" spans="85:107">
      <c r="CG692" s="984"/>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row>
    <row r="693" spans="85:107">
      <c r="CG693" s="984"/>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row>
    <row r="694" spans="85:107">
      <c r="CG694" s="984"/>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row>
    <row r="695" spans="85:107">
      <c r="CG695" s="984"/>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row>
    <row r="696" spans="85:107">
      <c r="CG696" s="984"/>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row>
    <row r="697" spans="85:107">
      <c r="CG697" s="984"/>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row>
    <row r="698" spans="85:107">
      <c r="CG698" s="984"/>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row>
    <row r="699" spans="85:107">
      <c r="CG699" s="984"/>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row>
    <row r="700" spans="85:107">
      <c r="CG700" s="984"/>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row>
    <row r="701" spans="85:107">
      <c r="CG701" s="984"/>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row>
    <row r="702" spans="85:107">
      <c r="CG702" s="984"/>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row>
    <row r="703" spans="85:107">
      <c r="CG703" s="984"/>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row>
    <row r="704" spans="85:107">
      <c r="CG704" s="984"/>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row>
    <row r="705" spans="85:107">
      <c r="CG705" s="984"/>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row>
    <row r="706" spans="85:107">
      <c r="CG706" s="984"/>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row>
    <row r="707" spans="85:107">
      <c r="CG707" s="984"/>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row>
    <row r="708" spans="85:107">
      <c r="CG708" s="984"/>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row>
    <row r="709" spans="85:107">
      <c r="CG709" s="984"/>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row>
    <row r="710" spans="85:107">
      <c r="CG710" s="984"/>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row>
    <row r="711" spans="85:107">
      <c r="CG711" s="984"/>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row>
    <row r="712" spans="85:107">
      <c r="CG712" s="984"/>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row>
    <row r="713" spans="85:107">
      <c r="CG713" s="984"/>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row>
  </sheetData>
  <mergeCells count="7">
    <mergeCell ref="FZ1:HE1"/>
    <mergeCell ref="B1:AS1"/>
    <mergeCell ref="AT1:CC1"/>
    <mergeCell ref="CD1:DE1"/>
    <mergeCell ref="DF1:DU1"/>
    <mergeCell ref="DV1:FM1"/>
    <mergeCell ref="FN1:FY1"/>
  </mergeCells>
  <conditionalFormatting sqref="G35:G45 G47:G55 G86:G93 G82:G84 G70:G80 G65:G68 G57:G63">
    <cfRule type="cellIs" dxfId="86" priority="5" operator="equal">
      <formula>FALSE</formula>
    </cfRule>
  </conditionalFormatting>
  <conditionalFormatting sqref="B3:HE29">
    <cfRule type="cellIs" dxfId="85" priority="4" operator="equal">
      <formula>0</formula>
    </cfRule>
  </conditionalFormatting>
  <conditionalFormatting sqref="G86:G93 G82:G84 G70:G80 G65:G68 G57:G63 G47:G55 G35:G45">
    <cfRule type="cellIs" dxfId="84" priority="3" operator="equal">
      <formula>FALSE</formula>
    </cfRule>
  </conditionalFormatting>
  <conditionalFormatting sqref="C31 G31 K31 O31 S31 W31 AA31 AE31 AI31 AM31 AQ31 AU31 AY31 BC31 BG31 BK31 BO31 BS31 BW31 CA31 CE31 CI31 CM31 CQ31 CU31 CY31 DC31 DG31 DK31 DO31 DS31 DW31 EA31 EE31 EI31 EM31 EQ31 EU31 EY31 FC31 FG31 FK31 FO31 FS31 FW31 GA31 GE31 GI31 GM31 GQ31 GU31 GY31 HC31">
    <cfRule type="cellIs" dxfId="83" priority="1" operator="equal">
      <formula>TRUE</formula>
    </cfRule>
    <cfRule type="cellIs" dxfId="82" priority="2" operator="equal">
      <formula>FALSE</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tabColor theme="6" tint="0.39997558519241921"/>
    <pageSetUpPr fitToPage="1"/>
  </sheetPr>
  <dimension ref="A1:BI200"/>
  <sheetViews>
    <sheetView showGridLines="0" zoomScale="60" zoomScaleNormal="60" workbookViewId="0">
      <selection sqref="A1:AC1"/>
    </sheetView>
  </sheetViews>
  <sheetFormatPr defaultRowHeight="15"/>
  <cols>
    <col min="1" max="1" width="11.140625" style="253" customWidth="1"/>
    <col min="2" max="2" width="23.28515625" style="253" customWidth="1"/>
    <col min="3" max="3" width="21.140625" style="253" customWidth="1"/>
    <col min="4" max="5" width="21.42578125" style="253" customWidth="1"/>
    <col min="6" max="7" width="17.28515625" style="253" customWidth="1"/>
    <col min="8" max="8" width="17.28515625" style="253" hidden="1" customWidth="1"/>
    <col min="9" max="10" width="17.28515625" style="253" customWidth="1"/>
    <col min="11" max="11" width="17.28515625" style="253" hidden="1" customWidth="1"/>
    <col min="12" max="16" width="17.28515625" style="253" customWidth="1"/>
    <col min="17" max="17" width="17.28515625" style="253" hidden="1" customWidth="1"/>
    <col min="18" max="19" width="17.28515625" style="253" customWidth="1"/>
    <col min="20" max="20" width="17.28515625" style="253" hidden="1" customWidth="1"/>
    <col min="21" max="22" width="17.28515625" style="253" customWidth="1"/>
    <col min="23" max="23" width="17.28515625" style="253" hidden="1" customWidth="1"/>
    <col min="24" max="25" width="17.28515625" style="253" customWidth="1"/>
    <col min="26" max="26" width="17.28515625" style="253" hidden="1" customWidth="1"/>
    <col min="27" max="28" width="17.28515625" style="253" customWidth="1"/>
    <col min="29" max="29" width="19.140625" style="253" bestFit="1" customWidth="1"/>
    <col min="30" max="30" width="9.28515625" style="12" bestFit="1" customWidth="1"/>
    <col min="31" max="31" width="31" style="12" customWidth="1"/>
    <col min="32" max="32" width="14.28515625" style="12" customWidth="1"/>
    <col min="33" max="33" width="13.28515625" style="12" customWidth="1"/>
    <col min="34" max="34" width="18.7109375" style="1063" customWidth="1"/>
    <col min="35" max="61" width="9.140625" style="12"/>
    <col min="62" max="16384" width="9.140625" style="253"/>
  </cols>
  <sheetData>
    <row r="1" spans="1:61" ht="17.25">
      <c r="A1" s="1437" t="s">
        <v>588</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2"/>
    </row>
    <row r="2" spans="1:61" s="664" customFormat="1" ht="87" customHeight="1">
      <c r="A2" s="662" t="s">
        <v>182</v>
      </c>
      <c r="B2" s="662" t="s">
        <v>1134</v>
      </c>
      <c r="C2" s="662" t="s">
        <v>1133</v>
      </c>
      <c r="D2" s="662" t="s">
        <v>589</v>
      </c>
      <c r="E2" s="662" t="s">
        <v>590</v>
      </c>
      <c r="F2" s="662" t="s">
        <v>591</v>
      </c>
      <c r="G2" s="662" t="s">
        <v>592</v>
      </c>
      <c r="H2" s="662" t="s">
        <v>593</v>
      </c>
      <c r="I2" s="662" t="s">
        <v>594</v>
      </c>
      <c r="J2" s="662" t="s">
        <v>595</v>
      </c>
      <c r="K2" s="662" t="s">
        <v>596</v>
      </c>
      <c r="L2" s="662" t="s">
        <v>597</v>
      </c>
      <c r="M2" s="662" t="s">
        <v>598</v>
      </c>
      <c r="N2" s="662" t="s">
        <v>599</v>
      </c>
      <c r="O2" s="662" t="s">
        <v>600</v>
      </c>
      <c r="P2" s="662" t="s">
        <v>601</v>
      </c>
      <c r="Q2" s="662" t="s">
        <v>602</v>
      </c>
      <c r="R2" s="662" t="s">
        <v>1103</v>
      </c>
      <c r="S2" s="662" t="s">
        <v>603</v>
      </c>
      <c r="T2" s="662" t="s">
        <v>604</v>
      </c>
      <c r="U2" s="662" t="s">
        <v>605</v>
      </c>
      <c r="V2" s="662" t="s">
        <v>606</v>
      </c>
      <c r="W2" s="662" t="s">
        <v>607</v>
      </c>
      <c r="X2" s="662" t="s">
        <v>608</v>
      </c>
      <c r="Y2" s="662" t="s">
        <v>609</v>
      </c>
      <c r="Z2" s="662" t="s">
        <v>610</v>
      </c>
      <c r="AA2" s="662" t="s">
        <v>1102</v>
      </c>
      <c r="AB2" s="662" t="s">
        <v>611</v>
      </c>
      <c r="AC2" s="663" t="s">
        <v>612</v>
      </c>
      <c r="AD2" s="663"/>
      <c r="AE2" s="663"/>
      <c r="AF2" s="663"/>
      <c r="AG2" s="663"/>
      <c r="AH2" s="1018"/>
      <c r="AI2" s="663"/>
      <c r="AJ2" s="663"/>
      <c r="AK2" s="663"/>
      <c r="AL2" s="663"/>
      <c r="AM2" s="663"/>
      <c r="AN2" s="663"/>
      <c r="AO2" s="663"/>
      <c r="AP2" s="663"/>
      <c r="AQ2" s="663"/>
      <c r="AR2" s="663"/>
      <c r="AS2" s="663"/>
      <c r="AT2" s="663"/>
      <c r="AU2" s="663"/>
      <c r="AV2" s="663"/>
      <c r="AW2" s="663"/>
      <c r="AX2" s="663"/>
      <c r="AY2" s="663"/>
      <c r="AZ2" s="663"/>
      <c r="BA2" s="663"/>
      <c r="BB2" s="663"/>
      <c r="BC2" s="663"/>
      <c r="BD2" s="663"/>
      <c r="BE2" s="663"/>
      <c r="BF2" s="663"/>
      <c r="BG2" s="663"/>
      <c r="BH2" s="663"/>
      <c r="BI2" s="663"/>
    </row>
    <row r="3" spans="1:61" s="3" customFormat="1" ht="24" customHeight="1">
      <c r="A3" s="665" t="s">
        <v>87</v>
      </c>
      <c r="B3" s="666">
        <f>VLOOKUP($A$3:$A$29,'RRT - Subgrupo - IGEO'!$A$33:$W$60,23,)</f>
        <v>3843</v>
      </c>
      <c r="C3" s="666">
        <f>VLOOKUP(A3:$A$29,RRT!$A$5:$F$31,6,)</f>
        <v>2685</v>
      </c>
      <c r="D3" s="666">
        <f>B3-C3</f>
        <v>1158</v>
      </c>
      <c r="E3" s="667">
        <f>'6 - Ensino e Pesquisa '!N4</f>
        <v>6</v>
      </c>
      <c r="F3" s="667">
        <f>C3*G3/100</f>
        <v>4.1920374707259951</v>
      </c>
      <c r="G3" s="668">
        <f>E3/B3*100</f>
        <v>0.156128024980484</v>
      </c>
      <c r="H3" s="669">
        <f>'2 - Execução '!AL4</f>
        <v>1058</v>
      </c>
      <c r="I3" s="669">
        <f>C3*J3/100</f>
        <v>739.1959406713504</v>
      </c>
      <c r="J3" s="670">
        <f>H3/B3*100</f>
        <v>27.530575071558676</v>
      </c>
      <c r="K3" s="671">
        <f>'1 - Projeto'!AT4</f>
        <v>2576</v>
      </c>
      <c r="L3" s="671">
        <f>P3*C3/100</f>
        <v>1799.7814207650276</v>
      </c>
      <c r="M3" s="671">
        <f>VLOOKUP($A$3:$A$29,'1 - Projeto'!A4:O30,15,0)</f>
        <v>92.923497267759586</v>
      </c>
      <c r="N3" s="672">
        <f>M3/L3*100</f>
        <v>5.1630434782608701</v>
      </c>
      <c r="O3" s="671">
        <f>'1 - Projeto'!C4+'1 - Projeto'!G4+'1 - Projeto'!K4+'1 - Projeto'!S4+'1 - Projeto'!W4+'1 - Projeto'!AA4+'1 - Projeto'!AE4+'1 - Projeto'!AI4+'1 - Projeto'!AM4+'1 - Projeto'!AQ4</f>
        <v>1706.8579234972676</v>
      </c>
      <c r="P3" s="672">
        <f>K3/B3*100</f>
        <v>67.030965391621137</v>
      </c>
      <c r="Q3" s="673">
        <f>'7 - Eng. Segurança '!AH4</f>
        <v>19</v>
      </c>
      <c r="R3" s="673">
        <f>C3*S3/100</f>
        <v>13.27478532396565</v>
      </c>
      <c r="S3" s="674">
        <f>Q3/B3*100</f>
        <v>0.4944054124381993</v>
      </c>
      <c r="T3" s="675">
        <f>'3 - Gestão'!AD4</f>
        <v>89</v>
      </c>
      <c r="U3" s="675">
        <f>V3*C3/100</f>
        <v>62.181889149102254</v>
      </c>
      <c r="V3" s="676">
        <f>T3/B3*100</f>
        <v>2.3158990372105124</v>
      </c>
      <c r="W3" s="677">
        <f>'5 - Atividades Especiais'!AT4</f>
        <v>73</v>
      </c>
      <c r="X3" s="677">
        <f>Y3*C3/100</f>
        <v>51.003122560499605</v>
      </c>
      <c r="Y3" s="678">
        <f>W3/B3*100</f>
        <v>1.8995576372625551</v>
      </c>
      <c r="Z3" s="679">
        <f>'4 - Meio Amb. e Plan. '!R4</f>
        <v>22</v>
      </c>
      <c r="AA3" s="679">
        <f>AB3*C3/100</f>
        <v>15.37080405932865</v>
      </c>
      <c r="AB3" s="680">
        <f>Z3/B3*100</f>
        <v>0.57246942492844133</v>
      </c>
      <c r="AC3" s="681" t="b">
        <f>F3+I3+L3+R3+U3+X3+AA3=C3</f>
        <v>1</v>
      </c>
      <c r="AD3" s="682">
        <f>C3-F3-I3-L3-R3-U3-X3-AA3</f>
        <v>-2.7178259642823832E-13</v>
      </c>
      <c r="AE3" s="683" t="s">
        <v>613</v>
      </c>
      <c r="AF3" s="683" t="s">
        <v>614</v>
      </c>
      <c r="AG3" s="273" t="s">
        <v>423</v>
      </c>
      <c r="AH3" s="1064"/>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row>
    <row r="4" spans="1:61" s="3" customFormat="1" ht="24" customHeight="1">
      <c r="A4" s="665" t="s">
        <v>88</v>
      </c>
      <c r="B4" s="666">
        <f>VLOOKUP($A$3:$A$29,'RRT - Subgrupo - IGEO'!$A$33:$W$60,23,)</f>
        <v>10589</v>
      </c>
      <c r="C4" s="666">
        <f>VLOOKUP(A4:$A$29,RRT!$A$5:$F$31,6,)</f>
        <v>6640</v>
      </c>
      <c r="D4" s="666">
        <f t="shared" ref="D4:D28" si="0">B4-C4</f>
        <v>3949</v>
      </c>
      <c r="E4" s="667">
        <f>'6 - Ensino e Pesquisa '!N5</f>
        <v>0</v>
      </c>
      <c r="F4" s="667">
        <f t="shared" ref="F4:F29" si="1">C4*G4/100</f>
        <v>0</v>
      </c>
      <c r="G4" s="668">
        <f t="shared" ref="G4:G29" si="2">E4/B4*100</f>
        <v>0</v>
      </c>
      <c r="H4" s="669">
        <f>'2 - Execução '!AL5</f>
        <v>2904</v>
      </c>
      <c r="I4" s="669">
        <f t="shared" ref="I4:I29" si="3">C4*J4/100</f>
        <v>1820.9991500613842</v>
      </c>
      <c r="J4" s="670">
        <f t="shared" ref="J4:J29" si="4">H4/B4*100</f>
        <v>27.424685994900365</v>
      </c>
      <c r="K4" s="671">
        <f>'1 - Projeto'!AT5</f>
        <v>6850</v>
      </c>
      <c r="L4" s="671">
        <f t="shared" ref="L4:L29" si="5">P4*C4/100</f>
        <v>4295.4008877136648</v>
      </c>
      <c r="M4" s="671">
        <f>VLOOKUP($A$3:$A$29,'1 - Projeto'!A5:O31,15,0)</f>
        <v>369.34176976107278</v>
      </c>
      <c r="N4" s="672">
        <f t="shared" ref="N4:N29" si="6">M4/L4*100</f>
        <v>8.5985401459854014</v>
      </c>
      <c r="O4" s="671">
        <f>'1 - Projeto'!C5+'1 - Projeto'!G5+'1 - Projeto'!K5+'1 - Projeto'!S5+'1 - Projeto'!W5+'1 - Projeto'!AA5+'1 - Projeto'!AE5+'1 - Projeto'!AI5+'1 - Projeto'!AM5+'1 - Projeto'!AQ5</f>
        <v>3926.0591179525923</v>
      </c>
      <c r="P4" s="672">
        <f t="shared" ref="P4:P29" si="7">K4/B4*100</f>
        <v>64.689772405326281</v>
      </c>
      <c r="Q4" s="673">
        <f>'7 - Eng. Segurança '!AH5</f>
        <v>38</v>
      </c>
      <c r="R4" s="673">
        <f t="shared" ref="R4:R29" si="8">C4*S4/100</f>
        <v>23.828501274907925</v>
      </c>
      <c r="S4" s="674">
        <f t="shared" ref="S4:S29" si="9">Q4/B4*100</f>
        <v>0.35886297100764947</v>
      </c>
      <c r="T4" s="675">
        <f>'3 - Gestão'!AD5</f>
        <v>96</v>
      </c>
      <c r="U4" s="675">
        <f t="shared" ref="U4:U29" si="10">V4*C4/100</f>
        <v>60.198319010293709</v>
      </c>
      <c r="V4" s="676">
        <f t="shared" ref="V4:V30" si="11">T4/B4*100</f>
        <v>0.9066011899140618</v>
      </c>
      <c r="W4" s="677">
        <f>'5 - Atividades Especiais'!AT5</f>
        <v>424</v>
      </c>
      <c r="X4" s="677">
        <f t="shared" ref="X4:X29" si="12">Y4*C4/100</f>
        <v>265.87590896213055</v>
      </c>
      <c r="Y4" s="678">
        <f t="shared" ref="Y4:Y29" si="13">W4/B4*100</f>
        <v>4.0041552554537727</v>
      </c>
      <c r="Z4" s="679">
        <f>'4 - Meio Amb. e Plan. '!R5</f>
        <v>277</v>
      </c>
      <c r="AA4" s="679">
        <f t="shared" ref="AA4:AA29" si="14">AB4*C4/100</f>
        <v>173.69723297761828</v>
      </c>
      <c r="AB4" s="680">
        <f t="shared" ref="AB4:AB29" si="15">Z4/B4*100</f>
        <v>2.6159221833978656</v>
      </c>
      <c r="AC4" s="681" t="b">
        <f t="shared" ref="AC4:AC29" si="16">F4+I4+L4+R4+U4+X4+AA4=C4</f>
        <v>1</v>
      </c>
      <c r="AD4" s="682">
        <f t="shared" ref="AD4:AD30" si="17">C4-F4-I4-L4-R4-U4-X4-AA4</f>
        <v>5.6843418860808015E-13</v>
      </c>
      <c r="AE4" s="323" t="str">
        <f>F2</f>
        <v xml:space="preserve">ENSINO/ PESQUISA </v>
      </c>
      <c r="AF4" s="684">
        <f>F30</f>
        <v>233.59880252527716</v>
      </c>
      <c r="AG4" s="19">
        <f>AF4/$AF$11</f>
        <v>2.7828927761794256E-4</v>
      </c>
      <c r="AH4" s="1064"/>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row>
    <row r="5" spans="1:61" s="3" customFormat="1" ht="24" customHeight="1">
      <c r="A5" s="665" t="s">
        <v>90</v>
      </c>
      <c r="B5" s="666">
        <f>VLOOKUP($A$3:$A$29,'RRT - Subgrupo - IGEO'!$A$33:$W$60,23,)</f>
        <v>9272</v>
      </c>
      <c r="C5" s="666">
        <f>VLOOKUP(A5:$A$29,RRT!$A$5:$F$31,6,)</f>
        <v>6192</v>
      </c>
      <c r="D5" s="666">
        <f t="shared" si="0"/>
        <v>3080</v>
      </c>
      <c r="E5" s="667">
        <f>'6 - Ensino e Pesquisa '!N6</f>
        <v>1</v>
      </c>
      <c r="F5" s="667">
        <f t="shared" si="1"/>
        <v>0.66781708369283876</v>
      </c>
      <c r="G5" s="668">
        <f t="shared" si="2"/>
        <v>1.0785159620362382E-2</v>
      </c>
      <c r="H5" s="669">
        <f>'2 - Execução '!AL6</f>
        <v>2291</v>
      </c>
      <c r="I5" s="669">
        <f t="shared" si="3"/>
        <v>1529.9689387402934</v>
      </c>
      <c r="J5" s="670">
        <f t="shared" si="4"/>
        <v>24.708800690250214</v>
      </c>
      <c r="K5" s="671">
        <f>'1 - Projeto'!AT6</f>
        <v>6242</v>
      </c>
      <c r="L5" s="671">
        <f t="shared" si="5"/>
        <v>4168.5142364106987</v>
      </c>
      <c r="M5" s="671">
        <f>VLOOKUP($A$3:$A$29,'1 - Projeto'!A6:O32,15,0)</f>
        <v>488.84210526315786</v>
      </c>
      <c r="N5" s="672">
        <f t="shared" si="6"/>
        <v>11.727010573534123</v>
      </c>
      <c r="O5" s="671">
        <f>'1 - Projeto'!C6+'1 - Projeto'!G6+'1 - Projeto'!K6+'1 - Projeto'!S6+'1 - Projeto'!W6+'1 - Projeto'!AA6+'1 - Projeto'!AE6+'1 - Projeto'!AI6+'1 - Projeto'!AM6+'1 - Projeto'!AQ6</f>
        <v>3679.6721311475412</v>
      </c>
      <c r="P5" s="672">
        <f t="shared" si="7"/>
        <v>67.320966350301987</v>
      </c>
      <c r="Q5" s="673">
        <f>'7 - Eng. Segurança '!AH6</f>
        <v>112</v>
      </c>
      <c r="R5" s="673">
        <f t="shared" si="8"/>
        <v>74.795513373597927</v>
      </c>
      <c r="S5" s="674">
        <f t="shared" si="9"/>
        <v>1.2079378774805867</v>
      </c>
      <c r="T5" s="675">
        <f>'3 - Gestão'!AD6</f>
        <v>177</v>
      </c>
      <c r="U5" s="675">
        <f t="shared" si="10"/>
        <v>118.20362381363243</v>
      </c>
      <c r="V5" s="676">
        <f t="shared" si="11"/>
        <v>1.9089732528041414</v>
      </c>
      <c r="W5" s="677">
        <f>'5 - Atividades Especiais'!AT6</f>
        <v>363</v>
      </c>
      <c r="X5" s="677">
        <f t="shared" si="12"/>
        <v>242.41760138050046</v>
      </c>
      <c r="Y5" s="678">
        <f t="shared" si="13"/>
        <v>3.9150129421915447</v>
      </c>
      <c r="Z5" s="679">
        <f>'4 - Meio Amb. e Plan. '!R6</f>
        <v>86</v>
      </c>
      <c r="AA5" s="679">
        <f t="shared" si="14"/>
        <v>57.43226919758412</v>
      </c>
      <c r="AB5" s="680">
        <f t="shared" si="15"/>
        <v>0.92752372735116473</v>
      </c>
      <c r="AC5" s="681" t="b">
        <f t="shared" si="16"/>
        <v>1</v>
      </c>
      <c r="AD5" s="682">
        <f t="shared" si="17"/>
        <v>9.9475983006414026E-14</v>
      </c>
      <c r="AE5" s="685" t="str">
        <f>I2</f>
        <v>EXECUÇÃO</v>
      </c>
      <c r="AF5" s="684">
        <f>I30</f>
        <v>277041.64539789548</v>
      </c>
      <c r="AG5" s="19">
        <f t="shared" ref="AG5:AG10" si="18">AF5/$AF$11</f>
        <v>0.33004329874304034</v>
      </c>
      <c r="AH5" s="1064"/>
      <c r="AI5" s="605"/>
      <c r="AJ5" s="605"/>
      <c r="AK5" s="605"/>
      <c r="AL5" s="605"/>
      <c r="AM5" s="605"/>
      <c r="AN5" s="605"/>
      <c r="AO5" s="605"/>
      <c r="AP5" s="605"/>
      <c r="AQ5" s="605"/>
      <c r="AR5" s="605"/>
      <c r="AS5" s="605"/>
      <c r="AT5" s="605"/>
      <c r="AU5" s="605"/>
      <c r="AV5" s="605"/>
      <c r="AW5" s="605"/>
      <c r="AX5" s="605"/>
      <c r="AY5" s="605"/>
      <c r="AZ5" s="605"/>
      <c r="BA5" s="605"/>
      <c r="BB5" s="605"/>
      <c r="BC5" s="605"/>
      <c r="BD5" s="605"/>
      <c r="BE5" s="605"/>
      <c r="BF5" s="605"/>
      <c r="BG5" s="605"/>
      <c r="BH5" s="605"/>
      <c r="BI5" s="605"/>
    </row>
    <row r="6" spans="1:61" s="3" customFormat="1" ht="24" customHeight="1">
      <c r="A6" s="665" t="s">
        <v>89</v>
      </c>
      <c r="B6" s="666">
        <f>VLOOKUP($A$3:$A$29,'RRT - Subgrupo - IGEO'!$A$33:$W$60,23,)</f>
        <v>6594</v>
      </c>
      <c r="C6" s="666">
        <f>VLOOKUP(A6:$A$29,RRT!$A$5:$F$31,6,)</f>
        <v>3373</v>
      </c>
      <c r="D6" s="666">
        <f t="shared" si="0"/>
        <v>3221</v>
      </c>
      <c r="E6" s="667">
        <f>'6 - Ensino e Pesquisa '!N7</f>
        <v>0</v>
      </c>
      <c r="F6" s="667">
        <f t="shared" si="1"/>
        <v>0</v>
      </c>
      <c r="G6" s="668">
        <f t="shared" si="2"/>
        <v>0</v>
      </c>
      <c r="H6" s="669">
        <f>'2 - Execução '!AL7</f>
        <v>2303</v>
      </c>
      <c r="I6" s="669">
        <f t="shared" si="3"/>
        <v>1178.0435244161358</v>
      </c>
      <c r="J6" s="670">
        <f t="shared" si="4"/>
        <v>34.925690021231418</v>
      </c>
      <c r="K6" s="671">
        <f>'1 - Projeto'!AT7</f>
        <v>3947</v>
      </c>
      <c r="L6" s="671">
        <f t="shared" si="5"/>
        <v>2018.991659084016</v>
      </c>
      <c r="M6" s="671">
        <f>VLOOKUP($A$3:$A$29,'1 - Projeto'!A7:O33,15,0)</f>
        <v>33.249165908401579</v>
      </c>
      <c r="N6" s="672">
        <f t="shared" si="6"/>
        <v>1.6468203699011907</v>
      </c>
      <c r="O6" s="671">
        <f>'1 - Projeto'!C7+'1 - Projeto'!G7+'1 - Projeto'!K7+'1 - Projeto'!S7+'1 - Projeto'!W7+'1 - Projeto'!AA7+'1 - Projeto'!AE7+'1 - Projeto'!AI7+'1 - Projeto'!AM7+'1 - Projeto'!AQ7</f>
        <v>1985.7424931756143</v>
      </c>
      <c r="P6" s="672">
        <f t="shared" si="7"/>
        <v>59.857446163178651</v>
      </c>
      <c r="Q6" s="673">
        <f>'7 - Eng. Segurança '!AH7</f>
        <v>19</v>
      </c>
      <c r="R6" s="673">
        <f t="shared" si="8"/>
        <v>9.7189869578404622</v>
      </c>
      <c r="S6" s="674">
        <f t="shared" si="9"/>
        <v>0.28814073400060664</v>
      </c>
      <c r="T6" s="675">
        <f>'3 - Gestão'!AD7</f>
        <v>205</v>
      </c>
      <c r="U6" s="675">
        <f t="shared" si="10"/>
        <v>104.86275401880498</v>
      </c>
      <c r="V6" s="676">
        <f t="shared" si="11"/>
        <v>3.1088868668486502</v>
      </c>
      <c r="W6" s="677">
        <f>'5 - Atividades Especiais'!AT7</f>
        <v>47</v>
      </c>
      <c r="X6" s="677">
        <f t="shared" si="12"/>
        <v>24.041704579921142</v>
      </c>
      <c r="Y6" s="678">
        <f t="shared" si="13"/>
        <v>0.71276918410676382</v>
      </c>
      <c r="Z6" s="679">
        <f>'4 - Meio Amb. e Plan. '!R7</f>
        <v>73</v>
      </c>
      <c r="AA6" s="679">
        <f t="shared" si="14"/>
        <v>37.341370943281774</v>
      </c>
      <c r="AB6" s="680">
        <f t="shared" si="15"/>
        <v>1.1070670306339097</v>
      </c>
      <c r="AC6" s="681" t="b">
        <f t="shared" si="16"/>
        <v>1</v>
      </c>
      <c r="AD6" s="682">
        <f t="shared" si="17"/>
        <v>-1.4210854715202004E-13</v>
      </c>
      <c r="AE6" s="661" t="str">
        <f>L2</f>
        <v>PROJETOS</v>
      </c>
      <c r="AF6" s="684">
        <f>L30</f>
        <v>444051.20445931476</v>
      </c>
      <c r="AG6" s="19">
        <f t="shared" si="18"/>
        <v>0.52900394855829069</v>
      </c>
      <c r="AH6" s="1064"/>
      <c r="AI6" s="605"/>
      <c r="AJ6" s="605"/>
      <c r="AK6" s="605"/>
      <c r="AL6" s="605"/>
      <c r="AM6" s="605"/>
      <c r="AN6" s="605"/>
      <c r="AO6" s="605"/>
      <c r="AP6" s="605"/>
      <c r="AQ6" s="605"/>
      <c r="AR6" s="605"/>
      <c r="AS6" s="605"/>
      <c r="AT6" s="605"/>
      <c r="AU6" s="605"/>
      <c r="AV6" s="605"/>
      <c r="AW6" s="605"/>
      <c r="AX6" s="605"/>
      <c r="AY6" s="605"/>
      <c r="AZ6" s="605"/>
      <c r="BA6" s="605"/>
      <c r="BB6" s="605"/>
      <c r="BC6" s="605"/>
      <c r="BD6" s="605"/>
      <c r="BE6" s="605"/>
      <c r="BF6" s="605"/>
      <c r="BG6" s="605"/>
      <c r="BH6" s="605"/>
      <c r="BI6" s="605"/>
    </row>
    <row r="7" spans="1:61" s="3" customFormat="1" ht="24" customHeight="1">
      <c r="A7" s="665" t="s">
        <v>91</v>
      </c>
      <c r="B7" s="666">
        <f>VLOOKUP($A$3:$A$29,'RRT - Subgrupo - IGEO'!$A$33:$W$60,23,)</f>
        <v>24714</v>
      </c>
      <c r="C7" s="666">
        <f>VLOOKUP(A7:$A$29,RRT!$A$5:$F$31,6,)</f>
        <v>17122</v>
      </c>
      <c r="D7" s="666">
        <f t="shared" si="0"/>
        <v>7592</v>
      </c>
      <c r="E7" s="667">
        <f>'6 - Ensino e Pesquisa '!N8</f>
        <v>20</v>
      </c>
      <c r="F7" s="667">
        <f t="shared" si="1"/>
        <v>13.856113943513799</v>
      </c>
      <c r="G7" s="668">
        <f t="shared" si="2"/>
        <v>8.0925791049607509E-2</v>
      </c>
      <c r="H7" s="669">
        <f>'2 - Execução '!AL8</f>
        <v>6259</v>
      </c>
      <c r="I7" s="669">
        <f t="shared" si="3"/>
        <v>4336.2708586226436</v>
      </c>
      <c r="J7" s="670">
        <f t="shared" si="4"/>
        <v>25.325726308974673</v>
      </c>
      <c r="K7" s="671">
        <f>'1 - Projeto'!AT8</f>
        <v>16003</v>
      </c>
      <c r="L7" s="671">
        <f t="shared" si="5"/>
        <v>11086.969571902566</v>
      </c>
      <c r="M7" s="671">
        <f>VLOOKUP($A$3:$A$29,'1 - Projeto'!A8:O34,15,0)</f>
        <v>877.09201262442343</v>
      </c>
      <c r="N7" s="672">
        <f t="shared" si="6"/>
        <v>7.9110166843716803</v>
      </c>
      <c r="O7" s="671">
        <f>'1 - Projeto'!C8+'1 - Projeto'!G8+'1 - Projeto'!K8+'1 - Projeto'!S8+'1 - Projeto'!W8+'1 - Projeto'!AA8+'1 - Projeto'!AE8+'1 - Projeto'!AI8+'1 - Projeto'!AM8+'1 - Projeto'!AQ8</f>
        <v>10209.877559278142</v>
      </c>
      <c r="P7" s="672">
        <f t="shared" si="7"/>
        <v>64.752771708343445</v>
      </c>
      <c r="Q7" s="673">
        <f>'7 - Eng. Segurança '!AH8</f>
        <v>193</v>
      </c>
      <c r="R7" s="673">
        <f t="shared" si="8"/>
        <v>133.71149955490813</v>
      </c>
      <c r="S7" s="674">
        <f t="shared" si="9"/>
        <v>0.78093388362871241</v>
      </c>
      <c r="T7" s="675">
        <f>'3 - Gestão'!AD8</f>
        <v>560</v>
      </c>
      <c r="U7" s="675">
        <f t="shared" si="10"/>
        <v>387.9711904183863</v>
      </c>
      <c r="V7" s="676">
        <f t="shared" si="11"/>
        <v>2.2659221493890103</v>
      </c>
      <c r="W7" s="677">
        <f>'5 - Atividades Especiais'!AT8</f>
        <v>1363</v>
      </c>
      <c r="X7" s="677">
        <f t="shared" si="12"/>
        <v>944.2941652504652</v>
      </c>
      <c r="Y7" s="678">
        <f t="shared" si="13"/>
        <v>5.515092660030751</v>
      </c>
      <c r="Z7" s="679">
        <f>'4 - Meio Amb. e Plan. '!R8</f>
        <v>316</v>
      </c>
      <c r="AA7" s="679">
        <f t="shared" si="14"/>
        <v>218.92660030751802</v>
      </c>
      <c r="AB7" s="680">
        <f t="shared" si="15"/>
        <v>1.2786274985837986</v>
      </c>
      <c r="AC7" s="681" t="b">
        <f t="shared" si="16"/>
        <v>1</v>
      </c>
      <c r="AD7" s="682">
        <f t="shared" si="17"/>
        <v>-2.2737367544323206E-12</v>
      </c>
      <c r="AE7" s="323" t="str">
        <f>R2</f>
        <v>ENG .SEG.  TRABALHO</v>
      </c>
      <c r="AF7" s="684">
        <f>R30</f>
        <v>5300.7517313916223</v>
      </c>
      <c r="AG7" s="19">
        <f t="shared" si="18"/>
        <v>6.3148541611270084E-3</v>
      </c>
      <c r="AH7" s="1064"/>
      <c r="AI7" s="605"/>
      <c r="AJ7" s="605"/>
      <c r="AK7" s="605"/>
      <c r="AL7" s="605"/>
      <c r="AM7" s="605"/>
      <c r="AN7" s="605"/>
      <c r="AO7" s="605"/>
      <c r="AP7" s="605"/>
      <c r="AQ7" s="605"/>
      <c r="AR7" s="605"/>
      <c r="AS7" s="605"/>
      <c r="AT7" s="605"/>
      <c r="AU7" s="605"/>
      <c r="AV7" s="605"/>
      <c r="AW7" s="605"/>
      <c r="AX7" s="605"/>
      <c r="AY7" s="605"/>
      <c r="AZ7" s="605"/>
      <c r="BA7" s="605"/>
      <c r="BB7" s="605"/>
      <c r="BC7" s="605"/>
      <c r="BD7" s="605"/>
      <c r="BE7" s="605"/>
      <c r="BF7" s="605"/>
      <c r="BG7" s="605"/>
      <c r="BH7" s="605"/>
      <c r="BI7" s="605"/>
    </row>
    <row r="8" spans="1:61" s="3" customFormat="1" ht="24" customHeight="1">
      <c r="A8" s="665" t="s">
        <v>92</v>
      </c>
      <c r="B8" s="666">
        <f>VLOOKUP($A$3:$A$29,'RRT - Subgrupo - IGEO'!$A$33:$W$60,23,)</f>
        <v>18333</v>
      </c>
      <c r="C8" s="666">
        <f>VLOOKUP(A8:$A$29,RRT!$A$5:$F$31,6,)</f>
        <v>11420</v>
      </c>
      <c r="D8" s="666">
        <f t="shared" si="0"/>
        <v>6913</v>
      </c>
      <c r="E8" s="667">
        <f>'6 - Ensino e Pesquisa '!N9</f>
        <v>3</v>
      </c>
      <c r="F8" s="667">
        <f t="shared" si="1"/>
        <v>1.8687612502045488</v>
      </c>
      <c r="G8" s="668">
        <f t="shared" si="2"/>
        <v>1.6363933889707083E-2</v>
      </c>
      <c r="H8" s="669">
        <f>'2 - Execução '!AL9</f>
        <v>4733</v>
      </c>
      <c r="I8" s="669">
        <f t="shared" si="3"/>
        <v>2948.2823324060432</v>
      </c>
      <c r="J8" s="670">
        <f t="shared" si="4"/>
        <v>25.816833033327878</v>
      </c>
      <c r="K8" s="671">
        <f>'1 - Projeto'!AT9</f>
        <v>11706</v>
      </c>
      <c r="L8" s="671">
        <f t="shared" si="5"/>
        <v>7291.9063982981497</v>
      </c>
      <c r="M8" s="671">
        <f>VLOOKUP($A$3:$A$29,'1 - Projeto'!A9:O35,15,0)</f>
        <v>761.83166966672115</v>
      </c>
      <c r="N8" s="672">
        <f t="shared" si="6"/>
        <v>10.447633692123699</v>
      </c>
      <c r="O8" s="671">
        <f>'1 - Projeto'!C9+'1 - Projeto'!G9+'1 - Projeto'!K9+'1 - Projeto'!S9+'1 - Projeto'!W9+'1 - Projeto'!AA9+'1 - Projeto'!AE9+'1 - Projeto'!AI9+'1 - Projeto'!AM9+'1 - Projeto'!AQ9</f>
        <v>6530.0747286314299</v>
      </c>
      <c r="P8" s="672">
        <f t="shared" si="7"/>
        <v>63.852070037637041</v>
      </c>
      <c r="Q8" s="673">
        <f>'7 - Eng. Segurança '!AH9</f>
        <v>28</v>
      </c>
      <c r="R8" s="673">
        <f t="shared" si="8"/>
        <v>17.441771668575793</v>
      </c>
      <c r="S8" s="674">
        <f t="shared" si="9"/>
        <v>0.15273004963726614</v>
      </c>
      <c r="T8" s="675">
        <f>'3 - Gestão'!AD9</f>
        <v>383</v>
      </c>
      <c r="U8" s="675">
        <f t="shared" si="10"/>
        <v>238.57851960944745</v>
      </c>
      <c r="V8" s="676">
        <f t="shared" si="11"/>
        <v>2.0891288932526049</v>
      </c>
      <c r="W8" s="677">
        <f>'5 - Atividades Especiais'!AT9</f>
        <v>607</v>
      </c>
      <c r="X8" s="677">
        <f t="shared" si="12"/>
        <v>378.11269295805374</v>
      </c>
      <c r="Y8" s="678">
        <f t="shared" si="13"/>
        <v>3.3109692903507333</v>
      </c>
      <c r="Z8" s="679">
        <f>'4 - Meio Amb. e Plan. '!R9</f>
        <v>873</v>
      </c>
      <c r="AA8" s="679">
        <f t="shared" si="14"/>
        <v>543.80952380952385</v>
      </c>
      <c r="AB8" s="680">
        <f t="shared" si="15"/>
        <v>4.7619047619047619</v>
      </c>
      <c r="AC8" s="681" t="b">
        <f t="shared" si="16"/>
        <v>1</v>
      </c>
      <c r="AD8" s="682">
        <f t="shared" si="17"/>
        <v>1.3642420526593924E-12</v>
      </c>
      <c r="AE8" s="661" t="str">
        <f>U2</f>
        <v>GESTÃO</v>
      </c>
      <c r="AF8" s="684">
        <f>U30</f>
        <v>25092.828680220729</v>
      </c>
      <c r="AG8" s="19">
        <f t="shared" si="18"/>
        <v>2.9893411658451448E-2</v>
      </c>
      <c r="AH8" s="1064"/>
      <c r="AI8" s="605"/>
      <c r="AJ8" s="605"/>
      <c r="AK8" s="605"/>
      <c r="AL8" s="605"/>
      <c r="AM8" s="605"/>
      <c r="AN8" s="605"/>
      <c r="AO8" s="605"/>
      <c r="AP8" s="605"/>
      <c r="AQ8" s="605"/>
      <c r="AR8" s="605"/>
      <c r="AS8" s="605"/>
      <c r="AT8" s="605"/>
      <c r="AU8" s="605"/>
      <c r="AV8" s="605"/>
      <c r="AW8" s="605"/>
      <c r="AX8" s="605"/>
      <c r="AY8" s="605"/>
      <c r="AZ8" s="605"/>
      <c r="BA8" s="605"/>
      <c r="BB8" s="605"/>
      <c r="BC8" s="605"/>
      <c r="BD8" s="605"/>
      <c r="BE8" s="605"/>
      <c r="BF8" s="605"/>
      <c r="BG8" s="605"/>
      <c r="BH8" s="605"/>
      <c r="BI8" s="605"/>
    </row>
    <row r="9" spans="1:61" s="688" customFormat="1" ht="24" customHeight="1">
      <c r="A9" s="686" t="s">
        <v>93</v>
      </c>
      <c r="B9" s="666">
        <f>VLOOKUP($A$3:$A$29,'RRT - Subgrupo - IGEO'!$A$33:$W$60,23,)</f>
        <v>21787</v>
      </c>
      <c r="C9" s="666">
        <f>VLOOKUP(A9:$A$29,RRT!$A$5:$F$31,6,)</f>
        <v>17197</v>
      </c>
      <c r="D9" s="666">
        <f t="shared" si="0"/>
        <v>4590</v>
      </c>
      <c r="E9" s="667">
        <f>'6 - Ensino e Pesquisa '!N10</f>
        <v>5</v>
      </c>
      <c r="F9" s="667">
        <f t="shared" si="1"/>
        <v>3.9466195437646308</v>
      </c>
      <c r="G9" s="668">
        <f t="shared" si="2"/>
        <v>2.2949465277459037E-2</v>
      </c>
      <c r="H9" s="669">
        <f>'2 - Execução '!AL10</f>
        <v>6831</v>
      </c>
      <c r="I9" s="669">
        <f t="shared" si="3"/>
        <v>5391.8716206912386</v>
      </c>
      <c r="J9" s="670">
        <f t="shared" si="4"/>
        <v>31.353559462064535</v>
      </c>
      <c r="K9" s="671">
        <f>'1 - Projeto'!AT10</f>
        <v>13277</v>
      </c>
      <c r="L9" s="671">
        <f t="shared" si="5"/>
        <v>10479.853536512599</v>
      </c>
      <c r="M9" s="671">
        <f>VLOOKUP($A$3:$A$29,'1 - Projeto'!A10:O36,15,0)</f>
        <v>2070.3966126589248</v>
      </c>
      <c r="N9" s="672">
        <f t="shared" si="6"/>
        <v>19.755968968893573</v>
      </c>
      <c r="O9" s="671">
        <f>'1 - Projeto'!C10+'1 - Projeto'!G10+'1 - Projeto'!K10+'1 - Projeto'!S10+'1 - Projeto'!W10+'1 - Projeto'!AA10+'1 - Projeto'!AE10+'1 - Projeto'!AI10+'1 - Projeto'!AM10+'1 - Projeto'!AQ10</f>
        <v>8409.4569238536751</v>
      </c>
      <c r="P9" s="672">
        <f t="shared" si="7"/>
        <v>60.94001009776472</v>
      </c>
      <c r="Q9" s="673">
        <f>'7 - Eng. Segurança '!AH10</f>
        <v>15</v>
      </c>
      <c r="R9" s="673">
        <f t="shared" si="8"/>
        <v>11.839858631293891</v>
      </c>
      <c r="S9" s="674">
        <f t="shared" si="9"/>
        <v>6.8848395832377104E-2</v>
      </c>
      <c r="T9" s="675">
        <f>'3 - Gestão'!AD10</f>
        <v>370</v>
      </c>
      <c r="U9" s="675">
        <f t="shared" si="10"/>
        <v>292.04984623858263</v>
      </c>
      <c r="V9" s="676">
        <f t="shared" si="11"/>
        <v>1.6982604305319684</v>
      </c>
      <c r="W9" s="677">
        <f>'5 - Atividades Especiais'!AT10</f>
        <v>1081</v>
      </c>
      <c r="X9" s="677">
        <f t="shared" si="12"/>
        <v>853.25914536191306</v>
      </c>
      <c r="Y9" s="678">
        <f t="shared" si="13"/>
        <v>4.9616743929866436</v>
      </c>
      <c r="Z9" s="679">
        <f>'4 - Meio Amb. e Plan. '!R10</f>
        <v>208</v>
      </c>
      <c r="AA9" s="679">
        <f t="shared" si="14"/>
        <v>164.17937302060867</v>
      </c>
      <c r="AB9" s="680">
        <f t="shared" si="15"/>
        <v>0.95469775554229597</v>
      </c>
      <c r="AC9" s="681" t="b">
        <f t="shared" si="16"/>
        <v>1</v>
      </c>
      <c r="AD9" s="682">
        <f t="shared" si="17"/>
        <v>-3.694822225952521E-13</v>
      </c>
      <c r="AE9" s="323" t="str">
        <f>X2</f>
        <v xml:space="preserve">ATIV. ESPECIAL </v>
      </c>
      <c r="AF9" s="684">
        <f>X30</f>
        <v>74704.082745314387</v>
      </c>
      <c r="AG9" s="19">
        <f t="shared" si="18"/>
        <v>8.8995940893382711E-2</v>
      </c>
      <c r="AH9" s="1065"/>
      <c r="AI9" s="687"/>
      <c r="AJ9" s="687"/>
      <c r="AK9" s="687"/>
      <c r="AL9" s="687"/>
      <c r="AM9" s="687"/>
      <c r="AN9" s="687"/>
      <c r="AO9" s="687"/>
      <c r="AP9" s="687"/>
      <c r="AQ9" s="687"/>
      <c r="AR9" s="687"/>
      <c r="AS9" s="687"/>
      <c r="AT9" s="687"/>
      <c r="AU9" s="687"/>
      <c r="AV9" s="687"/>
      <c r="AW9" s="687"/>
      <c r="AX9" s="687"/>
      <c r="AY9" s="687"/>
      <c r="AZ9" s="687"/>
      <c r="BA9" s="687"/>
      <c r="BB9" s="687"/>
      <c r="BC9" s="687"/>
      <c r="BD9" s="687"/>
      <c r="BE9" s="687"/>
      <c r="BF9" s="687"/>
      <c r="BG9" s="687"/>
      <c r="BH9" s="687"/>
      <c r="BI9" s="687"/>
    </row>
    <row r="10" spans="1:61" s="3" customFormat="1" ht="24" customHeight="1">
      <c r="A10" s="665" t="s">
        <v>94</v>
      </c>
      <c r="B10" s="666">
        <f>VLOOKUP($A$3:$A$29,'RRT - Subgrupo - IGEO'!$A$33:$W$60,23,)</f>
        <v>18296</v>
      </c>
      <c r="C10" s="666">
        <f>VLOOKUP(A10:$A$29,RRT!$A$5:$F$31,6,)</f>
        <v>13559</v>
      </c>
      <c r="D10" s="666">
        <f t="shared" si="0"/>
        <v>4737</v>
      </c>
      <c r="E10" s="667">
        <f>'6 - Ensino e Pesquisa '!N11</f>
        <v>3</v>
      </c>
      <c r="F10" s="667">
        <f t="shared" si="1"/>
        <v>2.2232728465238303</v>
      </c>
      <c r="G10" s="668">
        <f t="shared" si="2"/>
        <v>1.639702667249672E-2</v>
      </c>
      <c r="H10" s="669">
        <f>'2 - Execução '!AL11</f>
        <v>5076</v>
      </c>
      <c r="I10" s="669">
        <f t="shared" si="3"/>
        <v>3761.7776563183211</v>
      </c>
      <c r="J10" s="670">
        <f t="shared" si="4"/>
        <v>27.743769129864454</v>
      </c>
      <c r="K10" s="671">
        <f>'1 - Projeto'!AT11</f>
        <v>10564</v>
      </c>
      <c r="L10" s="671">
        <f t="shared" si="5"/>
        <v>7828.8847835592487</v>
      </c>
      <c r="M10" s="671">
        <f>VLOOKUP($A$3:$A$29,'1 - Projeto'!A11:O37,15,0)</f>
        <v>988.61532575426327</v>
      </c>
      <c r="N10" s="672">
        <f t="shared" si="6"/>
        <v>12.627792502839833</v>
      </c>
      <c r="O10" s="671">
        <f>'1 - Projeto'!C11+'1 - Projeto'!G11+'1 - Projeto'!K11+'1 - Projeto'!S11+'1 - Projeto'!W11+'1 - Projeto'!AA11+'1 - Projeto'!AE11+'1 - Projeto'!AI11+'1 - Projeto'!AM11+'1 - Projeto'!AQ11</f>
        <v>6840.269457804985</v>
      </c>
      <c r="P10" s="672">
        <f t="shared" si="7"/>
        <v>57.739396589418455</v>
      </c>
      <c r="Q10" s="673">
        <f>'7 - Eng. Segurança '!AH11</f>
        <v>84</v>
      </c>
      <c r="R10" s="673">
        <f t="shared" si="8"/>
        <v>62.251639702667255</v>
      </c>
      <c r="S10" s="674">
        <f t="shared" si="9"/>
        <v>0.45911674682990822</v>
      </c>
      <c r="T10" s="675">
        <f>'3 - Gestão'!AD11</f>
        <v>362</v>
      </c>
      <c r="U10" s="675">
        <f t="shared" si="10"/>
        <v>268.27492348054221</v>
      </c>
      <c r="V10" s="676">
        <f t="shared" si="11"/>
        <v>1.9785745518146043</v>
      </c>
      <c r="W10" s="677">
        <f>'5 - Atividades Especiais'!AT11</f>
        <v>1787</v>
      </c>
      <c r="X10" s="677">
        <f t="shared" si="12"/>
        <v>1324.3295255793616</v>
      </c>
      <c r="Y10" s="678">
        <f t="shared" si="13"/>
        <v>9.7671622212505476</v>
      </c>
      <c r="Z10" s="679">
        <f>'4 - Meio Amb. e Plan. '!R11</f>
        <v>420</v>
      </c>
      <c r="AA10" s="679">
        <f t="shared" si="14"/>
        <v>311.25819851333625</v>
      </c>
      <c r="AB10" s="680">
        <f t="shared" si="15"/>
        <v>2.2955837341495409</v>
      </c>
      <c r="AC10" s="681" t="b">
        <f t="shared" si="16"/>
        <v>1</v>
      </c>
      <c r="AD10" s="682">
        <f t="shared" si="17"/>
        <v>-1.7621459846850485E-12</v>
      </c>
      <c r="AE10" s="323" t="str">
        <f>AA2</f>
        <v xml:space="preserve">MEIO AMB. PLAN REG. e URB. </v>
      </c>
      <c r="AF10" s="684">
        <f>AA30</f>
        <v>12985.888183337771</v>
      </c>
      <c r="AG10" s="19">
        <f t="shared" si="18"/>
        <v>1.5470256708089934E-2</v>
      </c>
      <c r="AH10" s="1064"/>
      <c r="AI10" s="605"/>
      <c r="AJ10" s="605"/>
      <c r="AK10" s="605"/>
      <c r="AL10" s="605"/>
      <c r="AM10" s="605"/>
      <c r="AN10" s="605"/>
      <c r="AO10" s="605"/>
      <c r="AP10" s="605"/>
      <c r="AQ10" s="605"/>
      <c r="AR10" s="605"/>
      <c r="AS10" s="605"/>
      <c r="AT10" s="605"/>
      <c r="AU10" s="605"/>
      <c r="AV10" s="605"/>
      <c r="AW10" s="605"/>
      <c r="AX10" s="605"/>
      <c r="AY10" s="605"/>
      <c r="AZ10" s="605"/>
      <c r="BA10" s="605"/>
      <c r="BB10" s="605"/>
      <c r="BC10" s="605"/>
      <c r="BD10" s="605"/>
      <c r="BE10" s="605"/>
      <c r="BF10" s="605"/>
      <c r="BG10" s="605"/>
      <c r="BH10" s="605"/>
      <c r="BI10" s="605"/>
    </row>
    <row r="11" spans="1:61" s="3" customFormat="1" ht="24" customHeight="1">
      <c r="A11" s="665" t="s">
        <v>95</v>
      </c>
      <c r="B11" s="666">
        <f>VLOOKUP($A$3:$A$29,'RRT - Subgrupo - IGEO'!$A$33:$W$60,23,)</f>
        <v>54541</v>
      </c>
      <c r="C11" s="666">
        <f>VLOOKUP(A11:$A$29,RRT!$A$5:$F$31,6,)</f>
        <v>27819</v>
      </c>
      <c r="D11" s="666">
        <f t="shared" si="0"/>
        <v>26722</v>
      </c>
      <c r="E11" s="667">
        <f>'6 - Ensino e Pesquisa '!N12</f>
        <v>3</v>
      </c>
      <c r="F11" s="667">
        <f t="shared" si="1"/>
        <v>1.5301699638803836</v>
      </c>
      <c r="G11" s="668">
        <f t="shared" si="2"/>
        <v>5.5004492033516074E-3</v>
      </c>
      <c r="H11" s="669">
        <f>'2 - Execução '!AL12</f>
        <v>19406</v>
      </c>
      <c r="I11" s="669">
        <f t="shared" si="3"/>
        <v>9898.1594396875735</v>
      </c>
      <c r="J11" s="670">
        <f t="shared" si="4"/>
        <v>35.580572413413762</v>
      </c>
      <c r="K11" s="671">
        <f>'1 - Projeto'!AT12</f>
        <v>33231</v>
      </c>
      <c r="L11" s="671">
        <f t="shared" si="5"/>
        <v>16949.692689903008</v>
      </c>
      <c r="M11" s="671">
        <f>VLOOKUP($A$3:$A$29,'1 - Projeto'!A12:O38,15,0)</f>
        <v>804.35934434645492</v>
      </c>
      <c r="N11" s="672">
        <f t="shared" si="6"/>
        <v>4.7455688965122933</v>
      </c>
      <c r="O11" s="671">
        <f>'1 - Projeto'!C12+'1 - Projeto'!G12+'1 - Projeto'!K12+'1 - Projeto'!S12+'1 - Projeto'!W12+'1 - Projeto'!AA12+'1 - Projeto'!AE12+'1 - Projeto'!AI12+'1 - Projeto'!AM12+'1 - Projeto'!AQ12</f>
        <v>16145.333345556552</v>
      </c>
      <c r="P11" s="672">
        <f t="shared" si="7"/>
        <v>60.928475825525751</v>
      </c>
      <c r="Q11" s="673">
        <f>'7 - Eng. Segurança '!AH12</f>
        <v>60</v>
      </c>
      <c r="R11" s="673">
        <f t="shared" si="8"/>
        <v>30.603399277607668</v>
      </c>
      <c r="S11" s="674">
        <f t="shared" si="9"/>
        <v>0.11000898406703213</v>
      </c>
      <c r="T11" s="675">
        <f>'3 - Gestão'!AD12</f>
        <v>369</v>
      </c>
      <c r="U11" s="675">
        <f t="shared" si="10"/>
        <v>188.21090555728719</v>
      </c>
      <c r="V11" s="676">
        <f t="shared" si="11"/>
        <v>0.67655525201224764</v>
      </c>
      <c r="W11" s="677">
        <f>'5 - Atividades Especiais'!AT12</f>
        <v>1239</v>
      </c>
      <c r="X11" s="677">
        <f t="shared" si="12"/>
        <v>631.96019508259849</v>
      </c>
      <c r="Y11" s="678">
        <f t="shared" si="13"/>
        <v>2.2716855209842137</v>
      </c>
      <c r="Z11" s="679">
        <f>'4 - Meio Amb. e Plan. '!R12</f>
        <v>233</v>
      </c>
      <c r="AA11" s="679">
        <f t="shared" si="14"/>
        <v>118.84320052804313</v>
      </c>
      <c r="AB11" s="680">
        <f t="shared" si="15"/>
        <v>0.42720155479364147</v>
      </c>
      <c r="AC11" s="681" t="b">
        <f t="shared" si="16"/>
        <v>1</v>
      </c>
      <c r="AD11" s="682">
        <f t="shared" si="17"/>
        <v>2.0179413695586845E-12</v>
      </c>
      <c r="AE11" s="683" t="s">
        <v>128</v>
      </c>
      <c r="AF11" s="689">
        <f>SUM(AF4:AF10)</f>
        <v>839410</v>
      </c>
      <c r="AG11" s="690">
        <f>SUM(AG4:AG10)</f>
        <v>1</v>
      </c>
      <c r="AH11" s="1064"/>
      <c r="AI11" s="605"/>
      <c r="AJ11" s="605"/>
      <c r="AK11" s="605"/>
      <c r="AL11" s="605"/>
      <c r="AM11" s="605"/>
      <c r="AN11" s="605"/>
      <c r="AO11" s="605"/>
      <c r="AP11" s="605"/>
      <c r="AQ11" s="605"/>
      <c r="AR11" s="605"/>
      <c r="AS11" s="605"/>
      <c r="AT11" s="605"/>
      <c r="AU11" s="605"/>
      <c r="AV11" s="605"/>
      <c r="AW11" s="605"/>
      <c r="AX11" s="605"/>
      <c r="AY11" s="605"/>
      <c r="AZ11" s="605"/>
      <c r="BA11" s="605"/>
      <c r="BB11" s="605"/>
      <c r="BC11" s="605"/>
      <c r="BD11" s="605"/>
      <c r="BE11" s="605"/>
      <c r="BF11" s="605"/>
      <c r="BG11" s="605"/>
      <c r="BH11" s="605"/>
      <c r="BI11" s="605"/>
    </row>
    <row r="12" spans="1:61" s="3" customFormat="1" ht="24" customHeight="1">
      <c r="A12" s="665" t="s">
        <v>96</v>
      </c>
      <c r="B12" s="666">
        <f>VLOOKUP($A$3:$A$29,'RRT - Subgrupo - IGEO'!$A$33:$W$60,23,)</f>
        <v>7369</v>
      </c>
      <c r="C12" s="666">
        <f>VLOOKUP(A12:$A$29,RRT!$A$5:$F$31,6,)</f>
        <v>4498</v>
      </c>
      <c r="D12" s="666">
        <f t="shared" si="0"/>
        <v>2871</v>
      </c>
      <c r="E12" s="667">
        <f>'6 - Ensino e Pesquisa '!N13</f>
        <v>5</v>
      </c>
      <c r="F12" s="667">
        <f t="shared" si="1"/>
        <v>3.0519744877188217</v>
      </c>
      <c r="G12" s="668">
        <f t="shared" si="2"/>
        <v>6.7851811643370868E-2</v>
      </c>
      <c r="H12" s="669">
        <f>'2 - Execução '!AL13</f>
        <v>1731</v>
      </c>
      <c r="I12" s="669">
        <f t="shared" si="3"/>
        <v>1056.5935676482561</v>
      </c>
      <c r="J12" s="670">
        <f t="shared" si="4"/>
        <v>23.490297190934996</v>
      </c>
      <c r="K12" s="671">
        <f>'1 - Projeto'!AT13</f>
        <v>4687</v>
      </c>
      <c r="L12" s="671">
        <f t="shared" si="5"/>
        <v>2860.9208847876243</v>
      </c>
      <c r="M12" s="671">
        <f>VLOOKUP($A$3:$A$29,'1 - Projeto'!A13:O39,15,0)</f>
        <v>289.32718143574436</v>
      </c>
      <c r="N12" s="672">
        <f t="shared" si="6"/>
        <v>10.113078728397696</v>
      </c>
      <c r="O12" s="671">
        <f>'1 - Projeto'!C13+'1 - Projeto'!G13+'1 - Projeto'!K13+'1 - Projeto'!S13+'1 - Projeto'!W13+'1 - Projeto'!AA13+'1 - Projeto'!AE13+'1 - Projeto'!AI13+'1 - Projeto'!AM13+'1 - Projeto'!AQ13</f>
        <v>2571.5937033518803</v>
      </c>
      <c r="P12" s="672">
        <f t="shared" si="7"/>
        <v>63.604288234495868</v>
      </c>
      <c r="Q12" s="673">
        <f>'7 - Eng. Segurança '!AH13</f>
        <v>62</v>
      </c>
      <c r="R12" s="673">
        <f t="shared" si="8"/>
        <v>37.844483647713396</v>
      </c>
      <c r="S12" s="674">
        <f t="shared" si="9"/>
        <v>0.84136246437779894</v>
      </c>
      <c r="T12" s="675">
        <f>'3 - Gestão'!AD13</f>
        <v>140</v>
      </c>
      <c r="U12" s="675">
        <f t="shared" si="10"/>
        <v>85.455285656127018</v>
      </c>
      <c r="V12" s="676">
        <f t="shared" si="11"/>
        <v>1.8998507260143844</v>
      </c>
      <c r="W12" s="677">
        <f>'5 - Atividades Especiais'!AT13</f>
        <v>437</v>
      </c>
      <c r="X12" s="677">
        <f t="shared" si="12"/>
        <v>266.74257022662505</v>
      </c>
      <c r="Y12" s="678">
        <f t="shared" si="13"/>
        <v>5.9302483376306148</v>
      </c>
      <c r="Z12" s="679">
        <f>'4 - Meio Amb. e Plan. '!R13</f>
        <v>307</v>
      </c>
      <c r="AA12" s="679">
        <f t="shared" si="14"/>
        <v>187.39123354593568</v>
      </c>
      <c r="AB12" s="680">
        <f t="shared" si="15"/>
        <v>4.166101234902972</v>
      </c>
      <c r="AC12" s="681" t="b">
        <f t="shared" si="16"/>
        <v>1</v>
      </c>
      <c r="AD12" s="682">
        <f t="shared" si="17"/>
        <v>-6.2527760746888816E-13</v>
      </c>
      <c r="AE12" s="605"/>
      <c r="AF12" s="605"/>
      <c r="AG12" s="605"/>
      <c r="AH12" s="1064"/>
      <c r="AI12" s="605"/>
      <c r="AJ12" s="605"/>
      <c r="AK12" s="605"/>
      <c r="AL12" s="605"/>
      <c r="AM12" s="605"/>
      <c r="AN12" s="605"/>
      <c r="AO12" s="605"/>
      <c r="AP12" s="605"/>
      <c r="AQ12" s="605"/>
      <c r="AR12" s="605"/>
      <c r="AS12" s="605"/>
      <c r="AT12" s="605"/>
      <c r="AU12" s="605"/>
      <c r="AV12" s="605"/>
      <c r="AW12" s="605"/>
      <c r="AX12" s="605"/>
      <c r="AY12" s="605"/>
      <c r="AZ12" s="605"/>
      <c r="BA12" s="605"/>
      <c r="BB12" s="605"/>
      <c r="BC12" s="605"/>
      <c r="BD12" s="605"/>
      <c r="BE12" s="605"/>
      <c r="BF12" s="605"/>
      <c r="BG12" s="605"/>
      <c r="BH12" s="605"/>
      <c r="BI12" s="605"/>
    </row>
    <row r="13" spans="1:61" s="688" customFormat="1" ht="24" customHeight="1" thickBot="1">
      <c r="A13" s="665" t="s">
        <v>99</v>
      </c>
      <c r="B13" s="666">
        <f>VLOOKUP($A$3:$A$29,'RRT - Subgrupo - IGEO'!$A$33:$W$60,23,)</f>
        <v>65957</v>
      </c>
      <c r="C13" s="666">
        <f>VLOOKUP(A13:$A$29,RRT!$A$5:$F$31,6,)</f>
        <v>50211</v>
      </c>
      <c r="D13" s="666">
        <f t="shared" si="0"/>
        <v>15746</v>
      </c>
      <c r="E13" s="667">
        <f>'6 - Ensino e Pesquisa '!N14</f>
        <v>13</v>
      </c>
      <c r="F13" s="667">
        <f t="shared" si="1"/>
        <v>9.896493169792441</v>
      </c>
      <c r="G13" s="668">
        <f t="shared" si="2"/>
        <v>1.9709810937428931E-2</v>
      </c>
      <c r="H13" s="669">
        <f>'2 - Execução '!AL14</f>
        <v>11947</v>
      </c>
      <c r="I13" s="669">
        <f t="shared" si="3"/>
        <v>9094.8772230392533</v>
      </c>
      <c r="J13" s="670">
        <f t="shared" si="4"/>
        <v>18.113316251497189</v>
      </c>
      <c r="K13" s="671">
        <f>'1 - Projeto'!AT14</f>
        <v>46173</v>
      </c>
      <c r="L13" s="671">
        <f t="shared" si="5"/>
        <v>35150.059932986645</v>
      </c>
      <c r="M13" s="671">
        <f>VLOOKUP($A$3:$A$29,'1 - Projeto'!A14:O40,15,0)</f>
        <v>1572.7811452916296</v>
      </c>
      <c r="N13" s="672">
        <f t="shared" si="6"/>
        <v>4.474476425616702</v>
      </c>
      <c r="O13" s="671">
        <f>'1 - Projeto'!C14+'1 - Projeto'!G14+'1 - Projeto'!K14+'1 - Projeto'!S14+'1 - Projeto'!W14+'1 - Projeto'!AA14+'1 - Projeto'!AE14+'1 - Projeto'!AI14+'1 - Projeto'!AM14+'1 - Projeto'!AQ14</f>
        <v>33577.278787695017</v>
      </c>
      <c r="P13" s="672">
        <f t="shared" si="7"/>
        <v>70.004700031838922</v>
      </c>
      <c r="Q13" s="673">
        <f>'7 - Eng. Segurança '!AH14</f>
        <v>229</v>
      </c>
      <c r="R13" s="673">
        <f t="shared" si="8"/>
        <v>174.33053352942068</v>
      </c>
      <c r="S13" s="674">
        <f t="shared" si="9"/>
        <v>0.34719590035932502</v>
      </c>
      <c r="T13" s="675">
        <f>'3 - Gestão'!AD14</f>
        <v>1174</v>
      </c>
      <c r="U13" s="675">
        <f t="shared" si="10"/>
        <v>893.72946010279429</v>
      </c>
      <c r="V13" s="676">
        <f t="shared" si="11"/>
        <v>1.7799475415801205</v>
      </c>
      <c r="W13" s="677">
        <f>'5 - Atividades Especiais'!AT14</f>
        <v>5099</v>
      </c>
      <c r="X13" s="677">
        <f t="shared" si="12"/>
        <v>3881.7091286747427</v>
      </c>
      <c r="Y13" s="678">
        <f t="shared" si="13"/>
        <v>7.7307943053807779</v>
      </c>
      <c r="Z13" s="679">
        <f>'4 - Meio Amb. e Plan. '!R14</f>
        <v>1322</v>
      </c>
      <c r="AA13" s="679">
        <f t="shared" si="14"/>
        <v>1006.3972284973543</v>
      </c>
      <c r="AB13" s="680">
        <f t="shared" si="15"/>
        <v>2.0043361584062342</v>
      </c>
      <c r="AC13" s="681" t="b">
        <f t="shared" si="16"/>
        <v>1</v>
      </c>
      <c r="AD13" s="682">
        <f t="shared" si="17"/>
        <v>-6.3664629124104977E-12</v>
      </c>
      <c r="AE13" s="687"/>
      <c r="AF13" s="687"/>
      <c r="AG13" s="687"/>
      <c r="AH13" s="1065"/>
      <c r="AI13" s="687"/>
      <c r="AJ13" s="687"/>
      <c r="AK13" s="687"/>
      <c r="AL13" s="687"/>
      <c r="AM13" s="687"/>
      <c r="AN13" s="687"/>
      <c r="AO13" s="687"/>
      <c r="AP13" s="687"/>
      <c r="AQ13" s="687"/>
      <c r="AR13" s="687"/>
      <c r="AS13" s="687"/>
      <c r="AT13" s="687"/>
      <c r="AU13" s="687"/>
      <c r="AV13" s="687"/>
      <c r="AW13" s="687"/>
      <c r="AX13" s="687"/>
      <c r="AY13" s="687"/>
      <c r="AZ13" s="687"/>
      <c r="BA13" s="687"/>
      <c r="BB13" s="687"/>
      <c r="BC13" s="687"/>
      <c r="BD13" s="687"/>
      <c r="BE13" s="687"/>
      <c r="BF13" s="687"/>
      <c r="BG13" s="687"/>
      <c r="BH13" s="687"/>
      <c r="BI13" s="687"/>
    </row>
    <row r="14" spans="1:61" s="3" customFormat="1" ht="24" customHeight="1">
      <c r="A14" s="665" t="s">
        <v>98</v>
      </c>
      <c r="B14" s="666">
        <f>VLOOKUP($A$3:$A$29,'RRT - Subgrupo - IGEO'!$A$33:$W$60,23,)</f>
        <v>24752</v>
      </c>
      <c r="C14" s="666">
        <f>VLOOKUP(A14:$A$29,RRT!$A$5:$F$31,6,)</f>
        <v>19629</v>
      </c>
      <c r="D14" s="666">
        <f t="shared" si="0"/>
        <v>5123</v>
      </c>
      <c r="E14" s="667">
        <f>'6 - Ensino e Pesquisa '!N15</f>
        <v>3</v>
      </c>
      <c r="F14" s="667">
        <f t="shared" si="1"/>
        <v>2.3790804783451844</v>
      </c>
      <c r="G14" s="668">
        <f t="shared" si="2"/>
        <v>1.2120232708468003E-2</v>
      </c>
      <c r="H14" s="669">
        <f>'2 - Execução '!AL15</f>
        <v>7792</v>
      </c>
      <c r="I14" s="669">
        <f t="shared" si="3"/>
        <v>6179.2650290885576</v>
      </c>
      <c r="J14" s="670">
        <f t="shared" si="4"/>
        <v>31.48028442146089</v>
      </c>
      <c r="K14" s="671">
        <f>'1 - Projeto'!AT15</f>
        <v>12771</v>
      </c>
      <c r="L14" s="671">
        <f t="shared" si="5"/>
        <v>10127.74559631545</v>
      </c>
      <c r="M14" s="671">
        <f>VLOOKUP($A$3:$A$29,'1 - Projeto'!A15:O41,15,0)</f>
        <v>295.00597931480286</v>
      </c>
      <c r="N14" s="672">
        <f t="shared" si="6"/>
        <v>2.9128494244773315</v>
      </c>
      <c r="O14" s="671">
        <f>'1 - Projeto'!C15+'1 - Projeto'!G15+'1 - Projeto'!K15+'1 - Projeto'!S15+'1 - Projeto'!W15+'1 - Projeto'!AA15+'1 - Projeto'!AE15+'1 - Projeto'!AI15+'1 - Projeto'!AM15+'1 - Projeto'!AQ15</f>
        <v>9832.7396170006468</v>
      </c>
      <c r="P14" s="672">
        <f t="shared" si="7"/>
        <v>51.595830639948289</v>
      </c>
      <c r="Q14" s="673">
        <f>'7 - Eng. Segurança '!AH15</f>
        <v>76</v>
      </c>
      <c r="R14" s="673">
        <f t="shared" si="8"/>
        <v>60.270038784744678</v>
      </c>
      <c r="S14" s="674">
        <f t="shared" si="9"/>
        <v>0.30704589528118942</v>
      </c>
      <c r="T14" s="675">
        <f>'3 - Gestão'!AD15</f>
        <v>467</v>
      </c>
      <c r="U14" s="675">
        <f t="shared" si="10"/>
        <v>370.34352779573368</v>
      </c>
      <c r="V14" s="676">
        <f t="shared" si="11"/>
        <v>1.886716224951519</v>
      </c>
      <c r="W14" s="677">
        <f>'5 - Atividades Especiais'!AT15</f>
        <v>3258</v>
      </c>
      <c r="X14" s="677">
        <f t="shared" si="12"/>
        <v>2583.6813994828703</v>
      </c>
      <c r="Y14" s="678">
        <f t="shared" si="13"/>
        <v>13.162572721396252</v>
      </c>
      <c r="Z14" s="679">
        <f>'4 - Meio Amb. e Plan. '!R15</f>
        <v>385</v>
      </c>
      <c r="AA14" s="679">
        <f t="shared" si="14"/>
        <v>305.31532805429867</v>
      </c>
      <c r="AB14" s="680">
        <f t="shared" si="15"/>
        <v>1.5554298642533937</v>
      </c>
      <c r="AC14" s="681" t="b">
        <f t="shared" si="16"/>
        <v>1</v>
      </c>
      <c r="AD14" s="682">
        <f t="shared" si="17"/>
        <v>-7.9580786405131221E-13</v>
      </c>
      <c r="AE14" s="1058" t="s">
        <v>613</v>
      </c>
      <c r="AF14" s="1059" t="s">
        <v>614</v>
      </c>
      <c r="AG14" s="1059" t="s">
        <v>423</v>
      </c>
      <c r="AH14" s="1440" t="s">
        <v>1082</v>
      </c>
      <c r="AI14" s="605"/>
      <c r="AJ14" s="605"/>
      <c r="AK14" s="605"/>
      <c r="AL14" s="605"/>
      <c r="AM14" s="605"/>
      <c r="AN14" s="605"/>
      <c r="AO14" s="605"/>
      <c r="AP14" s="605"/>
      <c r="AQ14" s="605"/>
      <c r="AR14" s="605"/>
      <c r="AS14" s="605"/>
      <c r="AT14" s="605"/>
      <c r="AU14" s="605"/>
      <c r="AV14" s="605"/>
      <c r="AW14" s="605"/>
      <c r="AX14" s="605"/>
      <c r="AY14" s="605"/>
      <c r="AZ14" s="605"/>
      <c r="BA14" s="605"/>
      <c r="BB14" s="605"/>
      <c r="BC14" s="605"/>
      <c r="BD14" s="605"/>
      <c r="BE14" s="605"/>
      <c r="BF14" s="605"/>
      <c r="BG14" s="605"/>
      <c r="BH14" s="605"/>
      <c r="BI14" s="605"/>
    </row>
    <row r="15" spans="1:61" s="3" customFormat="1" ht="24" customHeight="1">
      <c r="A15" s="665" t="s">
        <v>97</v>
      </c>
      <c r="B15" s="666">
        <f>VLOOKUP($A$3:$A$29,'RRT - Subgrupo - IGEO'!$A$33:$W$60,23,)</f>
        <v>61793</v>
      </c>
      <c r="C15" s="666">
        <f>VLOOKUP(A15:$A$29,RRT!$A$5:$F$31,6,)</f>
        <v>29385</v>
      </c>
      <c r="D15" s="666">
        <f t="shared" si="0"/>
        <v>32408</v>
      </c>
      <c r="E15" s="667">
        <f>'6 - Ensino e Pesquisa '!N16</f>
        <v>6</v>
      </c>
      <c r="F15" s="667">
        <f t="shared" si="1"/>
        <v>2.8532358034081526</v>
      </c>
      <c r="G15" s="668">
        <f t="shared" si="2"/>
        <v>9.7098376838800505E-3</v>
      </c>
      <c r="H15" s="669">
        <f>'2 - Execução '!AL16</f>
        <v>21794</v>
      </c>
      <c r="I15" s="669">
        <f t="shared" si="3"/>
        <v>10363.903516579547</v>
      </c>
      <c r="J15" s="670">
        <f t="shared" si="4"/>
        <v>35.269367080413637</v>
      </c>
      <c r="K15" s="671">
        <f>'1 - Projeto'!AT16</f>
        <v>35908</v>
      </c>
      <c r="L15" s="671">
        <f t="shared" si="5"/>
        <v>17075.66520479666</v>
      </c>
      <c r="M15" s="671">
        <f>VLOOKUP($A$3:$A$29,'1 - Projeto'!A16:O42,15,0)</f>
        <v>291.03005194763159</v>
      </c>
      <c r="N15" s="672">
        <f t="shared" si="6"/>
        <v>1.7043555753592514</v>
      </c>
      <c r="O15" s="671">
        <f>'1 - Projeto'!C16+'1 - Projeto'!G16+'1 - Projeto'!K16+'1 - Projeto'!S16+'1 - Projeto'!W16+'1 - Projeto'!AA16+'1 - Projeto'!AE16+'1 - Projeto'!AI16+'1 - Projeto'!AM16+'1 - Projeto'!AQ16</f>
        <v>16784.635152849027</v>
      </c>
      <c r="P15" s="672">
        <f t="shared" si="7"/>
        <v>58.110141925460809</v>
      </c>
      <c r="Q15" s="673">
        <f>'7 - Eng. Segurança '!AH16</f>
        <v>312</v>
      </c>
      <c r="R15" s="673">
        <f t="shared" si="8"/>
        <v>148.36826177722395</v>
      </c>
      <c r="S15" s="674">
        <f t="shared" si="9"/>
        <v>0.50491155956176259</v>
      </c>
      <c r="T15" s="675">
        <f>'3 - Gestão'!AD16</f>
        <v>457</v>
      </c>
      <c r="U15" s="675">
        <f t="shared" si="10"/>
        <v>217.32146035958766</v>
      </c>
      <c r="V15" s="676">
        <f t="shared" si="11"/>
        <v>0.7395659702555305</v>
      </c>
      <c r="W15" s="677">
        <f>'5 - Atividades Especiais'!AT16</f>
        <v>2896</v>
      </c>
      <c r="X15" s="677">
        <f t="shared" si="12"/>
        <v>1377.1618144450019</v>
      </c>
      <c r="Y15" s="678">
        <f t="shared" si="13"/>
        <v>4.6866149887527717</v>
      </c>
      <c r="Z15" s="679">
        <f>'4 - Meio Amb. e Plan. '!R16</f>
        <v>420</v>
      </c>
      <c r="AA15" s="679">
        <f t="shared" si="14"/>
        <v>199.72650623857072</v>
      </c>
      <c r="AB15" s="680">
        <f t="shared" si="15"/>
        <v>0.67968863787160361</v>
      </c>
      <c r="AC15" s="681" t="b">
        <f t="shared" si="16"/>
        <v>1</v>
      </c>
      <c r="AD15" s="682">
        <f t="shared" si="17"/>
        <v>-9.6633812063373625E-13</v>
      </c>
      <c r="AE15" s="1125" t="s">
        <v>597</v>
      </c>
      <c r="AF15" s="1056">
        <v>444051.20445931476</v>
      </c>
      <c r="AG15" s="1057">
        <v>0.52900394855829069</v>
      </c>
      <c r="AH15" s="1441"/>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row>
    <row r="16" spans="1:61" s="3" customFormat="1" ht="24" customHeight="1">
      <c r="A16" s="665" t="s">
        <v>100</v>
      </c>
      <c r="B16" s="666">
        <f>VLOOKUP($A$3:$A$29,'RRT - Subgrupo - IGEO'!$A$33:$W$60,23,)</f>
        <v>13325</v>
      </c>
      <c r="C16" s="666">
        <f>VLOOKUP(A16:$A$29,RRT!$A$5:$F$31,6,)</f>
        <v>7688</v>
      </c>
      <c r="D16" s="666">
        <f t="shared" si="0"/>
        <v>5637</v>
      </c>
      <c r="E16" s="667">
        <f>'6 - Ensino e Pesquisa '!N17</f>
        <v>8</v>
      </c>
      <c r="F16" s="667">
        <f t="shared" si="1"/>
        <v>4.6156848030018764</v>
      </c>
      <c r="G16" s="668">
        <f t="shared" si="2"/>
        <v>6.0037523452157598E-2</v>
      </c>
      <c r="H16" s="669">
        <f>'2 - Execução '!AL17</f>
        <v>4191</v>
      </c>
      <c r="I16" s="669">
        <f t="shared" si="3"/>
        <v>2418.0418761726078</v>
      </c>
      <c r="J16" s="670">
        <f t="shared" si="4"/>
        <v>31.452157598499063</v>
      </c>
      <c r="K16" s="671">
        <f>'1 - Projeto'!AT17</f>
        <v>7864</v>
      </c>
      <c r="L16" s="671">
        <f t="shared" si="5"/>
        <v>4537.2181613508446</v>
      </c>
      <c r="M16" s="671">
        <f>VLOOKUP($A$3:$A$29,'1 - Projeto'!A17:O43,15,0)</f>
        <v>375.6013508442777</v>
      </c>
      <c r="N16" s="672">
        <f t="shared" si="6"/>
        <v>8.2782299084435405</v>
      </c>
      <c r="O16" s="671">
        <f>'1 - Projeto'!C17+'1 - Projeto'!G17+'1 - Projeto'!K17+'1 - Projeto'!S17+'1 - Projeto'!W17+'1 - Projeto'!AA17+'1 - Projeto'!AE17+'1 - Projeto'!AI17+'1 - Projeto'!AM17+'1 - Projeto'!AQ17</f>
        <v>4161.6168105065663</v>
      </c>
      <c r="P16" s="672">
        <f t="shared" si="7"/>
        <v>59.016885553470921</v>
      </c>
      <c r="Q16" s="673">
        <f>'7 - Eng. Segurança '!AH17</f>
        <v>162</v>
      </c>
      <c r="R16" s="673">
        <f t="shared" si="8"/>
        <v>93.467617260787989</v>
      </c>
      <c r="S16" s="674">
        <f t="shared" si="9"/>
        <v>1.2157598499061915</v>
      </c>
      <c r="T16" s="675">
        <f>'3 - Gestão'!AD17</f>
        <v>253</v>
      </c>
      <c r="U16" s="675">
        <f t="shared" si="10"/>
        <v>145.97103189493433</v>
      </c>
      <c r="V16" s="676">
        <f t="shared" si="11"/>
        <v>1.8986866791744841</v>
      </c>
      <c r="W16" s="677">
        <f>'5 - Atividades Especiais'!AT17</f>
        <v>634</v>
      </c>
      <c r="X16" s="677">
        <f t="shared" si="12"/>
        <v>365.79302063789868</v>
      </c>
      <c r="Y16" s="678">
        <f t="shared" si="13"/>
        <v>4.7579737335834897</v>
      </c>
      <c r="Z16" s="679">
        <f>'4 - Meio Amb. e Plan. '!R17</f>
        <v>213</v>
      </c>
      <c r="AA16" s="679">
        <f t="shared" si="14"/>
        <v>122.89260787992494</v>
      </c>
      <c r="AB16" s="680">
        <f t="shared" si="15"/>
        <v>1.5984990619136961</v>
      </c>
      <c r="AC16" s="681" t="b">
        <f t="shared" si="16"/>
        <v>1</v>
      </c>
      <c r="AD16" s="682">
        <f t="shared" si="17"/>
        <v>-5.8264504332328215E-13</v>
      </c>
      <c r="AE16" s="1126" t="s">
        <v>594</v>
      </c>
      <c r="AF16" s="1056">
        <v>277041.64539789548</v>
      </c>
      <c r="AG16" s="1057">
        <v>0.33004329874304034</v>
      </c>
      <c r="AH16" s="1441"/>
      <c r="AI16" s="605"/>
      <c r="AJ16" s="605"/>
      <c r="AK16" s="605"/>
      <c r="AL16" s="605"/>
      <c r="AM16" s="605"/>
      <c r="AN16" s="605"/>
      <c r="AO16" s="605"/>
      <c r="AP16" s="605"/>
      <c r="AQ16" s="605"/>
      <c r="AR16" s="605"/>
      <c r="AS16" s="605"/>
      <c r="AT16" s="605"/>
      <c r="AU16" s="605"/>
      <c r="AV16" s="605"/>
      <c r="AW16" s="605"/>
      <c r="AX16" s="605"/>
      <c r="AY16" s="605"/>
      <c r="AZ16" s="605"/>
      <c r="BA16" s="605"/>
      <c r="BB16" s="605"/>
      <c r="BC16" s="605"/>
      <c r="BD16" s="605"/>
      <c r="BE16" s="605"/>
      <c r="BF16" s="605"/>
      <c r="BG16" s="605"/>
      <c r="BH16" s="605"/>
      <c r="BI16" s="605"/>
    </row>
    <row r="17" spans="1:61" s="3" customFormat="1" ht="24" customHeight="1">
      <c r="A17" s="665" t="s">
        <v>101</v>
      </c>
      <c r="B17" s="666">
        <f>VLOOKUP($A$3:$A$29,'RRT - Subgrupo - IGEO'!$A$33:$W$60,23,)</f>
        <v>15736</v>
      </c>
      <c r="C17" s="666">
        <f>VLOOKUP(A17:$A$29,RRT!$A$5:$F$31,6,)</f>
        <v>9518</v>
      </c>
      <c r="D17" s="666">
        <f t="shared" si="0"/>
        <v>6218</v>
      </c>
      <c r="E17" s="667">
        <f>'6 - Ensino e Pesquisa '!N18</f>
        <v>1</v>
      </c>
      <c r="F17" s="667">
        <f t="shared" si="1"/>
        <v>0.60485510930350783</v>
      </c>
      <c r="G17" s="668">
        <f t="shared" si="2"/>
        <v>6.3548551093035076E-3</v>
      </c>
      <c r="H17" s="669">
        <f>'2 - Execução '!AL18</f>
        <v>5210</v>
      </c>
      <c r="I17" s="669">
        <f t="shared" si="3"/>
        <v>3151.2951194712759</v>
      </c>
      <c r="J17" s="670">
        <f t="shared" si="4"/>
        <v>33.108795119471274</v>
      </c>
      <c r="K17" s="671">
        <f>'1 - Projeto'!AT18</f>
        <v>9752</v>
      </c>
      <c r="L17" s="671">
        <f t="shared" si="5"/>
        <v>5898.5470259278081</v>
      </c>
      <c r="M17" s="671">
        <f>VLOOKUP($A$3:$A$29,'1 - Projeto'!A18:O44,15,0)</f>
        <v>381.05871886120997</v>
      </c>
      <c r="N17" s="672">
        <f t="shared" si="6"/>
        <v>6.4602132895816249</v>
      </c>
      <c r="O17" s="671">
        <f>'1 - Projeto'!C18+'1 - Projeto'!G18+'1 - Projeto'!K18+'1 - Projeto'!S18+'1 - Projeto'!W18+'1 - Projeto'!AA18+'1 - Projeto'!AE18+'1 - Projeto'!AI18+'1 - Projeto'!AM18+'1 - Projeto'!AQ18</f>
        <v>5517.4883070665992</v>
      </c>
      <c r="P17" s="672">
        <f t="shared" si="7"/>
        <v>61.972547025927803</v>
      </c>
      <c r="Q17" s="673">
        <f>'7 - Eng. Segurança '!AH18</f>
        <v>91</v>
      </c>
      <c r="R17" s="673">
        <f t="shared" si="8"/>
        <v>55.041814946619212</v>
      </c>
      <c r="S17" s="674">
        <f t="shared" si="9"/>
        <v>0.57829181494661919</v>
      </c>
      <c r="T17" s="675">
        <f>'3 - Gestão'!AD18</f>
        <v>178</v>
      </c>
      <c r="U17" s="675">
        <f t="shared" si="10"/>
        <v>107.66420945602439</v>
      </c>
      <c r="V17" s="676">
        <f t="shared" si="11"/>
        <v>1.1311642094560244</v>
      </c>
      <c r="W17" s="677">
        <f>'5 - Atividades Especiais'!AT18</f>
        <v>405</v>
      </c>
      <c r="X17" s="677">
        <f t="shared" si="12"/>
        <v>244.96631926792071</v>
      </c>
      <c r="Y17" s="678">
        <f t="shared" si="13"/>
        <v>2.5737163192679207</v>
      </c>
      <c r="Z17" s="679">
        <f>'4 - Meio Amb. e Plan. '!R18</f>
        <v>99</v>
      </c>
      <c r="AA17" s="679">
        <f t="shared" si="14"/>
        <v>59.880655821047277</v>
      </c>
      <c r="AB17" s="680">
        <f t="shared" si="15"/>
        <v>0.62913065582104721</v>
      </c>
      <c r="AC17" s="681" t="b">
        <f t="shared" si="16"/>
        <v>1</v>
      </c>
      <c r="AD17" s="682">
        <f t="shared" si="17"/>
        <v>1.6697754290362354E-12</v>
      </c>
      <c r="AE17" s="1124" t="s">
        <v>608</v>
      </c>
      <c r="AF17" s="1056">
        <v>74704.082745314387</v>
      </c>
      <c r="AG17" s="1057">
        <v>8.8995940893382711E-2</v>
      </c>
      <c r="AH17" s="1441"/>
      <c r="AI17" s="605"/>
      <c r="AJ17" s="605"/>
      <c r="AK17" s="605"/>
      <c r="AL17" s="605"/>
      <c r="AM17" s="605"/>
      <c r="AN17" s="605"/>
      <c r="AO17" s="605"/>
      <c r="AP17" s="605"/>
      <c r="AQ17" s="605"/>
      <c r="AR17" s="605"/>
      <c r="AS17" s="605"/>
      <c r="AT17" s="605"/>
      <c r="AU17" s="605"/>
      <c r="AV17" s="605"/>
      <c r="AW17" s="605"/>
      <c r="AX17" s="605"/>
      <c r="AY17" s="605"/>
      <c r="AZ17" s="605"/>
      <c r="BA17" s="605"/>
      <c r="BB17" s="605"/>
      <c r="BC17" s="605"/>
      <c r="BD17" s="605"/>
      <c r="BE17" s="605"/>
      <c r="BF17" s="605"/>
      <c r="BG17" s="605"/>
      <c r="BH17" s="605"/>
      <c r="BI17" s="605"/>
    </row>
    <row r="18" spans="1:61" s="3" customFormat="1" ht="24" customHeight="1">
      <c r="A18" s="665" t="s">
        <v>103</v>
      </c>
      <c r="B18" s="666">
        <f>VLOOKUP($A$3:$A$29,'RRT - Subgrupo - IGEO'!$A$33:$W$60,23,)</f>
        <v>20551</v>
      </c>
      <c r="C18" s="666">
        <f>VLOOKUP(A18:$A$29,RRT!$A$5:$F$31,6,)</f>
        <v>15054</v>
      </c>
      <c r="D18" s="666">
        <f t="shared" si="0"/>
        <v>5497</v>
      </c>
      <c r="E18" s="667">
        <f>'6 - Ensino e Pesquisa '!N19</f>
        <v>27</v>
      </c>
      <c r="F18" s="667">
        <f t="shared" si="1"/>
        <v>19.778015668337311</v>
      </c>
      <c r="G18" s="668">
        <f t="shared" si="2"/>
        <v>0.13138046810374193</v>
      </c>
      <c r="H18" s="669">
        <f>'2 - Execução '!AL19</f>
        <v>3894</v>
      </c>
      <c r="I18" s="669">
        <f t="shared" si="3"/>
        <v>2852.4293708335363</v>
      </c>
      <c r="J18" s="670">
        <f t="shared" si="4"/>
        <v>18.947983066517445</v>
      </c>
      <c r="K18" s="671">
        <f>'1 - Projeto'!AT19</f>
        <v>13915</v>
      </c>
      <c r="L18" s="671">
        <f t="shared" si="5"/>
        <v>10193.003260181986</v>
      </c>
      <c r="M18" s="671">
        <f>VLOOKUP($A$3:$A$29,'1 - Projeto'!A19:O45,15,0)</f>
        <v>785.26047394287389</v>
      </c>
      <c r="N18" s="672">
        <f t="shared" si="6"/>
        <v>7.703916636722961</v>
      </c>
      <c r="O18" s="671">
        <f>'1 - Projeto'!C19+'1 - Projeto'!G19+'1 - Projeto'!K19+'1 - Projeto'!S19+'1 - Projeto'!W19+'1 - Projeto'!AA19+'1 - Projeto'!AE19+'1 - Projeto'!AI19+'1 - Projeto'!AM19+'1 - Projeto'!AQ19</f>
        <v>9407.7427862391105</v>
      </c>
      <c r="P18" s="672">
        <f t="shared" si="7"/>
        <v>67.709600506058095</v>
      </c>
      <c r="Q18" s="673">
        <f>'7 - Eng. Segurança '!AH19</f>
        <v>108</v>
      </c>
      <c r="R18" s="673">
        <f t="shared" si="8"/>
        <v>79.112062673349243</v>
      </c>
      <c r="S18" s="674">
        <f t="shared" si="9"/>
        <v>0.52552187241496773</v>
      </c>
      <c r="T18" s="675">
        <f>'3 - Gestão'!AD19</f>
        <v>296</v>
      </c>
      <c r="U18" s="675">
        <f t="shared" si="10"/>
        <v>216.82565325288309</v>
      </c>
      <c r="V18" s="676">
        <f t="shared" si="11"/>
        <v>1.4403192058780596</v>
      </c>
      <c r="W18" s="677">
        <f>'5 - Atividades Especiais'!AT19</f>
        <v>1969</v>
      </c>
      <c r="X18" s="677">
        <f t="shared" si="12"/>
        <v>1442.3301055909687</v>
      </c>
      <c r="Y18" s="678">
        <f t="shared" si="13"/>
        <v>9.5810422850469568</v>
      </c>
      <c r="Z18" s="679">
        <f>'4 - Meio Amb. e Plan. '!R19</f>
        <v>342</v>
      </c>
      <c r="AA18" s="679">
        <f t="shared" si="14"/>
        <v>250.52153179893918</v>
      </c>
      <c r="AB18" s="680">
        <f t="shared" si="15"/>
        <v>1.6641525959807306</v>
      </c>
      <c r="AC18" s="681" t="b">
        <f t="shared" si="16"/>
        <v>1</v>
      </c>
      <c r="AD18" s="682">
        <f t="shared" si="17"/>
        <v>1.9895196601282805E-12</v>
      </c>
      <c r="AE18" s="1125" t="s">
        <v>605</v>
      </c>
      <c r="AF18" s="1056">
        <v>25092.828680220729</v>
      </c>
      <c r="AG18" s="1057">
        <v>2.9893411658451448E-2</v>
      </c>
      <c r="AH18" s="1441"/>
      <c r="AI18" s="605"/>
      <c r="AJ18" s="605"/>
      <c r="AK18" s="605"/>
      <c r="AL18" s="605"/>
      <c r="AM18" s="605"/>
      <c r="AN18" s="605"/>
      <c r="AO18" s="605"/>
      <c r="AP18" s="605"/>
      <c r="AQ18" s="605"/>
      <c r="AR18" s="605"/>
      <c r="AS18" s="605"/>
      <c r="AT18" s="605"/>
      <c r="AU18" s="605"/>
      <c r="AV18" s="605"/>
      <c r="AW18" s="605"/>
      <c r="AX18" s="605"/>
      <c r="AY18" s="605"/>
      <c r="AZ18" s="605"/>
      <c r="BA18" s="605"/>
      <c r="BB18" s="605"/>
      <c r="BC18" s="605"/>
      <c r="BD18" s="605"/>
      <c r="BE18" s="605"/>
      <c r="BF18" s="605"/>
      <c r="BG18" s="605"/>
      <c r="BH18" s="605"/>
      <c r="BI18" s="605"/>
    </row>
    <row r="19" spans="1:61" s="3" customFormat="1" ht="24" customHeight="1">
      <c r="A19" s="665" t="s">
        <v>104</v>
      </c>
      <c r="B19" s="666">
        <f>VLOOKUP($A$3:$A$29,'RRT - Subgrupo - IGEO'!$A$33:$W$60,23,)</f>
        <v>6021</v>
      </c>
      <c r="C19" s="666">
        <f>VLOOKUP(A19:$A$29,RRT!$A$5:$F$31,6,)</f>
        <v>4635</v>
      </c>
      <c r="D19" s="666">
        <f t="shared" si="0"/>
        <v>1386</v>
      </c>
      <c r="E19" s="667">
        <f>'6 - Ensino e Pesquisa '!N20</f>
        <v>6</v>
      </c>
      <c r="F19" s="667">
        <f t="shared" si="1"/>
        <v>4.6188340807174884</v>
      </c>
      <c r="G19" s="668">
        <f t="shared" si="2"/>
        <v>9.9651220727453901E-2</v>
      </c>
      <c r="H19" s="669">
        <f>'2 - Execução '!AL20</f>
        <v>1684</v>
      </c>
      <c r="I19" s="669">
        <f t="shared" si="3"/>
        <v>1296.3527653213753</v>
      </c>
      <c r="J19" s="670">
        <f t="shared" si="4"/>
        <v>27.968775950838733</v>
      </c>
      <c r="K19" s="671">
        <f>'1 - Projeto'!AT20</f>
        <v>3531</v>
      </c>
      <c r="L19" s="671">
        <f t="shared" si="5"/>
        <v>2718.1838565022422</v>
      </c>
      <c r="M19" s="671">
        <f>VLOOKUP($A$3:$A$29,'1 - Projeto'!A20:O46,15,0)</f>
        <v>202.45889387144993</v>
      </c>
      <c r="N19" s="672">
        <f t="shared" si="6"/>
        <v>7.4483149249504388</v>
      </c>
      <c r="O19" s="671">
        <f>'1 - Projeto'!C20+'1 - Projeto'!G20+'1 - Projeto'!K20+'1 - Projeto'!S20+'1 - Projeto'!W20+'1 - Projeto'!AA20+'1 - Projeto'!AE20+'1 - Projeto'!AI20+'1 - Projeto'!AM20+'1 - Projeto'!AQ20</f>
        <v>2515.7249626307926</v>
      </c>
      <c r="P19" s="672">
        <f t="shared" si="7"/>
        <v>58.644743398106627</v>
      </c>
      <c r="Q19" s="673">
        <f>'7 - Eng. Segurança '!AH20</f>
        <v>36</v>
      </c>
      <c r="R19" s="673">
        <f t="shared" si="8"/>
        <v>27.713004484304932</v>
      </c>
      <c r="S19" s="674">
        <f t="shared" si="9"/>
        <v>0.59790732436472349</v>
      </c>
      <c r="T19" s="675">
        <f>'3 - Gestão'!AD20</f>
        <v>118</v>
      </c>
      <c r="U19" s="675">
        <f t="shared" si="10"/>
        <v>90.837070254110628</v>
      </c>
      <c r="V19" s="676">
        <f t="shared" si="11"/>
        <v>1.9598073409732604</v>
      </c>
      <c r="W19" s="677">
        <f>'5 - Atividades Especiais'!AT20</f>
        <v>398</v>
      </c>
      <c r="X19" s="677">
        <f t="shared" si="12"/>
        <v>306.38266068759339</v>
      </c>
      <c r="Y19" s="678">
        <f t="shared" si="13"/>
        <v>6.6101976415877752</v>
      </c>
      <c r="Z19" s="679">
        <f>'4 - Meio Amb. e Plan. '!R20</f>
        <v>248</v>
      </c>
      <c r="AA19" s="679">
        <f t="shared" si="14"/>
        <v>190.91180866965621</v>
      </c>
      <c r="AB19" s="680">
        <f t="shared" si="15"/>
        <v>4.1189171234014283</v>
      </c>
      <c r="AC19" s="681" t="b">
        <f t="shared" si="16"/>
        <v>1</v>
      </c>
      <c r="AD19" s="682">
        <f t="shared" si="17"/>
        <v>0</v>
      </c>
      <c r="AE19" s="1124" t="s">
        <v>1102</v>
      </c>
      <c r="AF19" s="1056">
        <v>12985.888183337771</v>
      </c>
      <c r="AG19" s="1057">
        <v>1.5470256708089934E-2</v>
      </c>
      <c r="AH19" s="1441"/>
      <c r="AI19" s="605"/>
      <c r="AJ19" s="605"/>
      <c r="AK19" s="605"/>
      <c r="AL19" s="605"/>
      <c r="AM19" s="605"/>
      <c r="AN19" s="605"/>
      <c r="AO19" s="605"/>
      <c r="AP19" s="605"/>
      <c r="AQ19" s="605"/>
      <c r="AR19" s="605"/>
      <c r="AS19" s="605"/>
      <c r="AT19" s="605"/>
      <c r="AU19" s="605"/>
      <c r="AV19" s="605"/>
      <c r="AW19" s="605"/>
      <c r="AX19" s="605"/>
      <c r="AY19" s="605"/>
      <c r="AZ19" s="605"/>
      <c r="BA19" s="605"/>
      <c r="BB19" s="605"/>
      <c r="BC19" s="605"/>
      <c r="BD19" s="605"/>
      <c r="BE19" s="605"/>
      <c r="BF19" s="605"/>
      <c r="BG19" s="605"/>
      <c r="BH19" s="605"/>
      <c r="BI19" s="605"/>
    </row>
    <row r="20" spans="1:61" s="3" customFormat="1" ht="24" customHeight="1">
      <c r="A20" s="665" t="s">
        <v>102</v>
      </c>
      <c r="B20" s="666">
        <f>VLOOKUP($A$3:$A$29,'RRT - Subgrupo - IGEO'!$A$33:$W$60,23,)</f>
        <v>104159</v>
      </c>
      <c r="C20" s="666">
        <f>VLOOKUP(A20:$A$29,RRT!$A$5:$F$31,6,)</f>
        <v>74516</v>
      </c>
      <c r="D20" s="666">
        <f t="shared" si="0"/>
        <v>29643</v>
      </c>
      <c r="E20" s="667">
        <f>'6 - Ensino e Pesquisa '!N21</f>
        <v>48</v>
      </c>
      <c r="F20" s="667">
        <f t="shared" si="1"/>
        <v>34.339500187213773</v>
      </c>
      <c r="G20" s="668">
        <f t="shared" si="2"/>
        <v>4.6083391737631887E-2</v>
      </c>
      <c r="H20" s="669">
        <f>'2 - Execução '!AL21</f>
        <v>32155</v>
      </c>
      <c r="I20" s="669">
        <f t="shared" si="3"/>
        <v>23003.888094163729</v>
      </c>
      <c r="J20" s="670">
        <f t="shared" si="4"/>
        <v>30.87107211090736</v>
      </c>
      <c r="K20" s="671">
        <f>'1 - Projeto'!AT21</f>
        <v>62180</v>
      </c>
      <c r="L20" s="671">
        <f t="shared" si="5"/>
        <v>44483.960867519847</v>
      </c>
      <c r="M20" s="671">
        <f>VLOOKUP($A$3:$A$29,'1 - Projeto'!A21:O47,15,0)</f>
        <v>1870.0719476953502</v>
      </c>
      <c r="N20" s="672">
        <f t="shared" si="6"/>
        <v>4.2039240913476998</v>
      </c>
      <c r="O20" s="671">
        <f>'1 - Projeto'!C21+'1 - Projeto'!G21+'1 - Projeto'!K21+'1 - Projeto'!S21+'1 - Projeto'!W21+'1 - Projeto'!AA21+'1 - Projeto'!AE21+'1 - Projeto'!AI21+'1 - Projeto'!AM21+'1 - Projeto'!AQ21</f>
        <v>42613.888919824501</v>
      </c>
      <c r="P20" s="672">
        <f t="shared" si="7"/>
        <v>59.69719371345731</v>
      </c>
      <c r="Q20" s="673">
        <f>'7 - Eng. Segurança '!AH21</f>
        <v>650</v>
      </c>
      <c r="R20" s="673">
        <f t="shared" si="8"/>
        <v>465.0140650351866</v>
      </c>
      <c r="S20" s="674">
        <f t="shared" si="9"/>
        <v>0.62404592978043183</v>
      </c>
      <c r="T20" s="675">
        <f>'3 - Gestão'!AD21</f>
        <v>1542</v>
      </c>
      <c r="U20" s="675">
        <f t="shared" si="10"/>
        <v>1103.1564435142427</v>
      </c>
      <c r="V20" s="676">
        <f t="shared" si="11"/>
        <v>1.4804289595714246</v>
      </c>
      <c r="W20" s="677">
        <f>'5 - Atividades Especiais'!AT21</f>
        <v>4010</v>
      </c>
      <c r="X20" s="677">
        <f t="shared" si="12"/>
        <v>2868.7790781401509</v>
      </c>
      <c r="Y20" s="678">
        <f t="shared" si="13"/>
        <v>3.8498833514146638</v>
      </c>
      <c r="Z20" s="679">
        <f>'4 - Meio Amb. e Plan. '!R21</f>
        <v>3574</v>
      </c>
      <c r="AA20" s="679">
        <f t="shared" si="14"/>
        <v>2556.8619514396255</v>
      </c>
      <c r="AB20" s="680">
        <f t="shared" si="15"/>
        <v>3.4312925431311743</v>
      </c>
      <c r="AC20" s="681" t="b">
        <f t="shared" si="16"/>
        <v>1</v>
      </c>
      <c r="AD20" s="682">
        <f t="shared" si="17"/>
        <v>0</v>
      </c>
      <c r="AE20" s="1124" t="s">
        <v>1103</v>
      </c>
      <c r="AF20" s="1056">
        <v>5300.7517313916223</v>
      </c>
      <c r="AG20" s="1057">
        <v>6.3148541611270084E-3</v>
      </c>
      <c r="AH20" s="1441"/>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row>
    <row r="21" spans="1:61" s="3" customFormat="1" ht="24" customHeight="1">
      <c r="A21" s="665" t="s">
        <v>105</v>
      </c>
      <c r="B21" s="666">
        <f>VLOOKUP($A$3:$A$29,'RRT - Subgrupo - IGEO'!$A$33:$W$60,23,)</f>
        <v>55990</v>
      </c>
      <c r="C21" s="666">
        <f>VLOOKUP(A21:$A$29,RRT!$A$5:$F$31,6,)</f>
        <v>48694</v>
      </c>
      <c r="D21" s="666">
        <f t="shared" si="0"/>
        <v>7296</v>
      </c>
      <c r="E21" s="667">
        <f>'6 - Ensino e Pesquisa '!N22</f>
        <v>7</v>
      </c>
      <c r="F21" s="667">
        <f t="shared" si="1"/>
        <v>6.0878371137703153</v>
      </c>
      <c r="G21" s="668">
        <f t="shared" si="2"/>
        <v>1.2502232541525271E-2</v>
      </c>
      <c r="H21" s="669">
        <f>'2 - Execução '!AL22</f>
        <v>19954</v>
      </c>
      <c r="I21" s="669">
        <f t="shared" si="3"/>
        <v>17353.814538310413</v>
      </c>
      <c r="J21" s="670">
        <f t="shared" si="4"/>
        <v>35.6385068762279</v>
      </c>
      <c r="K21" s="671">
        <f>'1 - Projeto'!AT22</f>
        <v>28628</v>
      </c>
      <c r="L21" s="671">
        <f t="shared" si="5"/>
        <v>24897.514413288085</v>
      </c>
      <c r="M21" s="671">
        <f>VLOOKUP($A$3:$A$29,'1 - Projeto'!A22:O48,15,0)</f>
        <v>2698.6512234327556</v>
      </c>
      <c r="N21" s="672">
        <f t="shared" si="6"/>
        <v>10.839038703367333</v>
      </c>
      <c r="O21" s="671">
        <f>'1 - Projeto'!C22+'1 - Projeto'!G22+'1 - Projeto'!K22+'1 - Projeto'!S22+'1 - Projeto'!W22+'1 - Projeto'!AA22+'1 - Projeto'!AE22+'1 - Projeto'!AI22+'1 - Projeto'!AM22+'1 - Projeto'!AQ22</f>
        <v>22198.863189855329</v>
      </c>
      <c r="P21" s="672">
        <f t="shared" si="7"/>
        <v>51.130559028397926</v>
      </c>
      <c r="Q21" s="673">
        <f>'7 - Eng. Segurança '!AH22</f>
        <v>539</v>
      </c>
      <c r="R21" s="673">
        <f t="shared" si="8"/>
        <v>468.7634577603144</v>
      </c>
      <c r="S21" s="674">
        <f t="shared" si="9"/>
        <v>0.9626719056974461</v>
      </c>
      <c r="T21" s="675">
        <f>'3 - Gestão'!AD22</f>
        <v>1401</v>
      </c>
      <c r="U21" s="675">
        <f t="shared" si="10"/>
        <v>1218.4371137703163</v>
      </c>
      <c r="V21" s="676">
        <f t="shared" si="11"/>
        <v>2.5022325415252724</v>
      </c>
      <c r="W21" s="677">
        <f>'5 - Atividades Especiais'!AT22</f>
        <v>5079</v>
      </c>
      <c r="X21" s="677">
        <f t="shared" si="12"/>
        <v>4417.1606715484904</v>
      </c>
      <c r="Y21" s="678">
        <f t="shared" si="13"/>
        <v>9.0712627254866938</v>
      </c>
      <c r="Z21" s="679">
        <f>'4 - Meio Amb. e Plan. '!R22</f>
        <v>382</v>
      </c>
      <c r="AA21" s="679">
        <f t="shared" si="14"/>
        <v>332.22196820860864</v>
      </c>
      <c r="AB21" s="680">
        <f t="shared" si="15"/>
        <v>0.68226469012323632</v>
      </c>
      <c r="AC21" s="681" t="b">
        <f t="shared" si="16"/>
        <v>1</v>
      </c>
      <c r="AD21" s="682">
        <f t="shared" si="17"/>
        <v>-1.6484591469634324E-12</v>
      </c>
      <c r="AE21" s="1124" t="s">
        <v>591</v>
      </c>
      <c r="AF21" s="1056">
        <v>233.59880252527716</v>
      </c>
      <c r="AG21" s="1057">
        <v>2.7828927761794256E-4</v>
      </c>
      <c r="AH21" s="1441"/>
      <c r="AI21" s="605"/>
      <c r="AJ21" s="605"/>
      <c r="AK21" s="605"/>
      <c r="AL21" s="605"/>
      <c r="AM21" s="605"/>
      <c r="AN21" s="605"/>
      <c r="AO21" s="605"/>
      <c r="AP21" s="605"/>
      <c r="AQ21" s="605"/>
      <c r="AR21" s="605"/>
      <c r="AS21" s="605"/>
      <c r="AT21" s="605"/>
      <c r="AU21" s="605"/>
      <c r="AV21" s="605"/>
      <c r="AW21" s="605"/>
      <c r="AX21" s="605"/>
      <c r="AY21" s="605"/>
      <c r="AZ21" s="605"/>
      <c r="BA21" s="605"/>
      <c r="BB21" s="605"/>
      <c r="BC21" s="605"/>
      <c r="BD21" s="605"/>
      <c r="BE21" s="605"/>
      <c r="BF21" s="605"/>
      <c r="BG21" s="605"/>
      <c r="BH21" s="605"/>
      <c r="BI21" s="605"/>
    </row>
    <row r="22" spans="1:61" s="3" customFormat="1" ht="24" customHeight="1" thickBot="1">
      <c r="A22" s="665" t="s">
        <v>106</v>
      </c>
      <c r="B22" s="666">
        <f>VLOOKUP($A$3:$A$29,'RRT - Subgrupo - IGEO'!$A$33:$W$60,23,)</f>
        <v>11726</v>
      </c>
      <c r="C22" s="666">
        <f>VLOOKUP(A22:$A$29,RRT!$A$5:$F$31,6,)</f>
        <v>8016</v>
      </c>
      <c r="D22" s="666">
        <f t="shared" si="0"/>
        <v>3710</v>
      </c>
      <c r="E22" s="667">
        <f>'6 - Ensino e Pesquisa '!N23</f>
        <v>1</v>
      </c>
      <c r="F22" s="667">
        <f t="shared" si="1"/>
        <v>0.6836090738529762</v>
      </c>
      <c r="G22" s="668">
        <f t="shared" si="2"/>
        <v>8.5280573085451134E-3</v>
      </c>
      <c r="H22" s="669">
        <f>'2 - Execução '!AL23</f>
        <v>2964</v>
      </c>
      <c r="I22" s="669">
        <f t="shared" si="3"/>
        <v>2026.2172949002215</v>
      </c>
      <c r="J22" s="670">
        <f t="shared" si="4"/>
        <v>25.277161862527713</v>
      </c>
      <c r="K22" s="671">
        <f>'1 - Projeto'!AT23</f>
        <v>7575</v>
      </c>
      <c r="L22" s="671">
        <f t="shared" si="5"/>
        <v>5178.3387344362964</v>
      </c>
      <c r="M22" s="671">
        <f>VLOOKUP($A$3:$A$29,'1 - Projeto'!A23:O49,15,0)</f>
        <v>516.80845983285019</v>
      </c>
      <c r="N22" s="672">
        <f t="shared" si="6"/>
        <v>9.9801980198019802</v>
      </c>
      <c r="O22" s="671">
        <f>'1 - Projeto'!C23+'1 - Projeto'!G23+'1 - Projeto'!K23+'1 - Projeto'!S23+'1 - Projeto'!W23+'1 - Projeto'!AA23+'1 - Projeto'!AE23+'1 - Projeto'!AI23+'1 - Projeto'!AM23+'1 - Projeto'!AQ23</f>
        <v>4661.5302746034458</v>
      </c>
      <c r="P22" s="672">
        <f t="shared" si="7"/>
        <v>64.600034112229238</v>
      </c>
      <c r="Q22" s="673">
        <f>'7 - Eng. Segurança '!AH23</f>
        <v>9</v>
      </c>
      <c r="R22" s="673">
        <f t="shared" si="8"/>
        <v>6.1524816646767864</v>
      </c>
      <c r="S22" s="674">
        <f t="shared" si="9"/>
        <v>7.6752515776906019E-2</v>
      </c>
      <c r="T22" s="675">
        <f>'3 - Gestão'!AD23</f>
        <v>173</v>
      </c>
      <c r="U22" s="675">
        <f t="shared" si="10"/>
        <v>118.26436977656489</v>
      </c>
      <c r="V22" s="676">
        <f t="shared" si="11"/>
        <v>1.4753539143783045</v>
      </c>
      <c r="W22" s="677">
        <f>'5 - Atividades Especiais'!AT23</f>
        <v>772</v>
      </c>
      <c r="X22" s="677">
        <f t="shared" si="12"/>
        <v>527.74620501449772</v>
      </c>
      <c r="Y22" s="678">
        <f t="shared" si="13"/>
        <v>6.5836602421968271</v>
      </c>
      <c r="Z22" s="679">
        <f>'4 - Meio Amb. e Plan. '!R23</f>
        <v>232</v>
      </c>
      <c r="AA22" s="679">
        <f t="shared" si="14"/>
        <v>158.5973051338905</v>
      </c>
      <c r="AB22" s="680">
        <f t="shared" si="15"/>
        <v>1.9785092955824664</v>
      </c>
      <c r="AC22" s="681" t="b">
        <f t="shared" si="16"/>
        <v>1</v>
      </c>
      <c r="AD22" s="682">
        <f t="shared" si="17"/>
        <v>-1.1652900866465643E-12</v>
      </c>
      <c r="AE22" s="1060" t="s">
        <v>128</v>
      </c>
      <c r="AF22" s="1061">
        <f>SUM(AF15:AF21)</f>
        <v>839410</v>
      </c>
      <c r="AG22" s="1062">
        <f>SUM(AG15:AG21)</f>
        <v>1</v>
      </c>
      <c r="AH22" s="1442"/>
      <c r="AI22" s="605"/>
      <c r="AJ22" s="605"/>
      <c r="AK22" s="605"/>
      <c r="AL22" s="605"/>
      <c r="AM22" s="605"/>
      <c r="AN22" s="605"/>
      <c r="AO22" s="605"/>
      <c r="AP22" s="605"/>
      <c r="AQ22" s="605"/>
      <c r="AR22" s="605"/>
      <c r="AS22" s="605"/>
      <c r="AT22" s="605"/>
      <c r="AU22" s="605"/>
      <c r="AV22" s="605"/>
      <c r="AW22" s="605"/>
      <c r="AX22" s="605"/>
      <c r="AY22" s="605"/>
      <c r="AZ22" s="605"/>
      <c r="BA22" s="605"/>
      <c r="BB22" s="605"/>
      <c r="BC22" s="605"/>
      <c r="BD22" s="605"/>
      <c r="BE22" s="605"/>
      <c r="BF22" s="605"/>
      <c r="BG22" s="605"/>
      <c r="BH22" s="605"/>
      <c r="BI22" s="605"/>
    </row>
    <row r="23" spans="1:61" s="3" customFormat="1" ht="24" customHeight="1">
      <c r="A23" s="665" t="s">
        <v>108</v>
      </c>
      <c r="B23" s="666">
        <f>VLOOKUP($A$3:$A$29,'RRT - Subgrupo - IGEO'!$A$33:$W$60,23,)</f>
        <v>18343</v>
      </c>
      <c r="C23" s="666">
        <f>VLOOKUP(A23:$A$29,RRT!$A$5:$F$31,6,)</f>
        <v>9679</v>
      </c>
      <c r="D23" s="666">
        <f t="shared" si="0"/>
        <v>8664</v>
      </c>
      <c r="E23" s="667">
        <f>'6 - Ensino e Pesquisa '!N24</f>
        <v>5</v>
      </c>
      <c r="F23" s="667">
        <f t="shared" si="1"/>
        <v>2.6383361500299842</v>
      </c>
      <c r="G23" s="668">
        <f t="shared" si="2"/>
        <v>2.725835468571117E-2</v>
      </c>
      <c r="H23" s="669">
        <f>'2 - Execução '!AL24</f>
        <v>5722</v>
      </c>
      <c r="I23" s="669">
        <f t="shared" si="3"/>
        <v>3019.3118900943141</v>
      </c>
      <c r="J23" s="670">
        <f t="shared" si="4"/>
        <v>31.194461102327864</v>
      </c>
      <c r="K23" s="671">
        <f>'1 - Projeto'!AT24</f>
        <v>11182</v>
      </c>
      <c r="L23" s="671">
        <f t="shared" si="5"/>
        <v>5900.374965927057</v>
      </c>
      <c r="M23" s="671">
        <f>VLOOKUP($A$3:$A$29,'1 - Projeto'!A24:O50,15,0)</f>
        <v>162.52150684184704</v>
      </c>
      <c r="N23" s="672">
        <f t="shared" si="6"/>
        <v>2.7544267572884995</v>
      </c>
      <c r="O23" s="671">
        <f>'1 - Projeto'!C24+'1 - Projeto'!G24+'1 - Projeto'!K24+'1 - Projeto'!S24+'1 - Projeto'!W24+'1 - Projeto'!AA24+'1 - Projeto'!AE24+'1 - Projeto'!AI24+'1 - Projeto'!AM24+'1 - Projeto'!AQ24</f>
        <v>5737.8534590852105</v>
      </c>
      <c r="P23" s="672">
        <f t="shared" si="7"/>
        <v>60.960584419124466</v>
      </c>
      <c r="Q23" s="673">
        <f>'7 - Eng. Segurança '!AH24</f>
        <v>37</v>
      </c>
      <c r="R23" s="673">
        <f t="shared" si="8"/>
        <v>19.523687510221883</v>
      </c>
      <c r="S23" s="674">
        <f t="shared" si="9"/>
        <v>0.20171182467426269</v>
      </c>
      <c r="T23" s="675">
        <f>'3 - Gestão'!AD24</f>
        <v>179</v>
      </c>
      <c r="U23" s="675">
        <f t="shared" si="10"/>
        <v>94.452434171073435</v>
      </c>
      <c r="V23" s="676">
        <f t="shared" si="11"/>
        <v>0.97584909774845985</v>
      </c>
      <c r="W23" s="677">
        <f>'5 - Atividades Especiais'!AT24</f>
        <v>1126</v>
      </c>
      <c r="X23" s="677">
        <f t="shared" si="12"/>
        <v>594.15330098675247</v>
      </c>
      <c r="Y23" s="678">
        <f t="shared" si="13"/>
        <v>6.1385814752221552</v>
      </c>
      <c r="Z23" s="679">
        <f>'4 - Meio Amb. e Plan. '!R24</f>
        <v>92</v>
      </c>
      <c r="AA23" s="679">
        <f t="shared" si="14"/>
        <v>48.545385160551703</v>
      </c>
      <c r="AB23" s="680">
        <f t="shared" si="15"/>
        <v>0.50155372621708549</v>
      </c>
      <c r="AC23" s="681" t="b">
        <f t="shared" si="16"/>
        <v>1</v>
      </c>
      <c r="AD23" s="682">
        <f t="shared" si="17"/>
        <v>-4.1211478674085811E-13</v>
      </c>
      <c r="AE23" s="605"/>
      <c r="AF23" s="605"/>
      <c r="AG23" s="605"/>
      <c r="AH23" s="1064"/>
      <c r="AI23" s="605"/>
      <c r="AJ23" s="605"/>
      <c r="AK23" s="605"/>
      <c r="AL23" s="605"/>
      <c r="AM23" s="605"/>
      <c r="AN23" s="605"/>
      <c r="AO23" s="605"/>
      <c r="AP23" s="605"/>
      <c r="AQ23" s="605"/>
      <c r="AR23" s="605"/>
      <c r="AS23" s="605"/>
      <c r="AT23" s="605"/>
      <c r="AU23" s="605"/>
      <c r="AV23" s="605"/>
      <c r="AW23" s="605"/>
      <c r="AX23" s="605"/>
      <c r="AY23" s="605"/>
      <c r="AZ23" s="605"/>
      <c r="BA23" s="605"/>
      <c r="BB23" s="605"/>
      <c r="BC23" s="605"/>
      <c r="BD23" s="605"/>
      <c r="BE23" s="605"/>
      <c r="BF23" s="605"/>
      <c r="BG23" s="605"/>
      <c r="BH23" s="605"/>
      <c r="BI23" s="605"/>
    </row>
    <row r="24" spans="1:61" s="3" customFormat="1" ht="24" customHeight="1">
      <c r="A24" s="665" t="s">
        <v>109</v>
      </c>
      <c r="B24" s="666">
        <f>VLOOKUP($A$3:$A$29,'RRT - Subgrupo - IGEO'!$A$33:$W$60,23,)</f>
        <v>2394</v>
      </c>
      <c r="C24" s="666">
        <f>VLOOKUP(A24:$A$29,RRT!$A$5:$F$31,6,)</f>
        <v>1191</v>
      </c>
      <c r="D24" s="666">
        <f t="shared" si="0"/>
        <v>1203</v>
      </c>
      <c r="E24" s="667">
        <f>'6 - Ensino e Pesquisa '!N25</f>
        <v>2</v>
      </c>
      <c r="F24" s="667">
        <f t="shared" si="1"/>
        <v>0.99498746867167909</v>
      </c>
      <c r="G24" s="668">
        <f t="shared" si="2"/>
        <v>8.3542188805346695E-2</v>
      </c>
      <c r="H24" s="669">
        <f>'2 - Execução '!AL25</f>
        <v>688</v>
      </c>
      <c r="I24" s="669">
        <f t="shared" si="3"/>
        <v>342.27568922305761</v>
      </c>
      <c r="J24" s="670">
        <f t="shared" si="4"/>
        <v>28.738512949039261</v>
      </c>
      <c r="K24" s="671">
        <f>'1 - Projeto'!AT25</f>
        <v>1515</v>
      </c>
      <c r="L24" s="671">
        <f t="shared" si="5"/>
        <v>753.70300751879711</v>
      </c>
      <c r="M24" s="671">
        <f>VLOOKUP($A$3:$A$29,'1 - Projeto'!A25:O51,15,0)</f>
        <v>17.909774436090228</v>
      </c>
      <c r="N24" s="672">
        <f t="shared" si="6"/>
        <v>2.3762376237623761</v>
      </c>
      <c r="O24" s="671">
        <f>'1 - Projeto'!C25+'1 - Projeto'!G25+'1 - Projeto'!K25+'1 - Projeto'!S25+'1 - Projeto'!W25+'1 - Projeto'!AA25+'1 - Projeto'!AE25+'1 - Projeto'!AI25+'1 - Projeto'!AM25+'1 - Projeto'!AQ25</f>
        <v>735.79323308270693</v>
      </c>
      <c r="P24" s="672">
        <f t="shared" si="7"/>
        <v>63.283208020050132</v>
      </c>
      <c r="Q24" s="673">
        <f>'7 - Eng. Segurança '!AH25</f>
        <v>18</v>
      </c>
      <c r="R24" s="673">
        <f t="shared" si="8"/>
        <v>8.954887218045112</v>
      </c>
      <c r="S24" s="674">
        <f t="shared" si="9"/>
        <v>0.75187969924812026</v>
      </c>
      <c r="T24" s="675">
        <f>'3 - Gestão'!AD25</f>
        <v>67</v>
      </c>
      <c r="U24" s="675">
        <f t="shared" si="10"/>
        <v>33.332080200501252</v>
      </c>
      <c r="V24" s="676">
        <f t="shared" si="11"/>
        <v>2.7986633249791142</v>
      </c>
      <c r="W24" s="677">
        <f>'5 - Atividades Especiais'!AT25</f>
        <v>87</v>
      </c>
      <c r="X24" s="677">
        <f t="shared" si="12"/>
        <v>43.281954887218042</v>
      </c>
      <c r="Y24" s="678">
        <f t="shared" si="13"/>
        <v>3.6340852130325811</v>
      </c>
      <c r="Z24" s="679">
        <f>'4 - Meio Amb. e Plan. '!R25</f>
        <v>17</v>
      </c>
      <c r="AA24" s="679">
        <f t="shared" si="14"/>
        <v>8.4573934837092732</v>
      </c>
      <c r="AB24" s="680">
        <f t="shared" si="15"/>
        <v>0.71010860484544691</v>
      </c>
      <c r="AC24" s="681" t="b">
        <f t="shared" si="16"/>
        <v>1</v>
      </c>
      <c r="AD24" s="682">
        <f t="shared" si="17"/>
        <v>-1.5454304502782179E-13</v>
      </c>
      <c r="AE24" s="605"/>
      <c r="AF24" s="605"/>
      <c r="AG24" s="605"/>
      <c r="AH24" s="1064"/>
      <c r="AI24" s="605"/>
      <c r="AJ24" s="605"/>
      <c r="AK24" s="605"/>
      <c r="AL24" s="605"/>
      <c r="AM24" s="605"/>
      <c r="AN24" s="605"/>
      <c r="AO24" s="605"/>
      <c r="AP24" s="605"/>
      <c r="AQ24" s="605"/>
      <c r="AR24" s="605"/>
      <c r="AS24" s="605"/>
      <c r="AT24" s="605"/>
      <c r="AU24" s="605"/>
      <c r="AV24" s="605"/>
      <c r="AW24" s="605"/>
      <c r="AX24" s="605"/>
      <c r="AY24" s="605"/>
      <c r="AZ24" s="605"/>
      <c r="BA24" s="605"/>
      <c r="BB24" s="605"/>
      <c r="BC24" s="605"/>
      <c r="BD24" s="605"/>
      <c r="BE24" s="605"/>
      <c r="BF24" s="605"/>
      <c r="BG24" s="605"/>
      <c r="BH24" s="605"/>
      <c r="BI24" s="605"/>
    </row>
    <row r="25" spans="1:61" s="3" customFormat="1" ht="24" customHeight="1">
      <c r="A25" s="665" t="s">
        <v>107</v>
      </c>
      <c r="B25" s="666">
        <f>VLOOKUP($A$3:$A$29,'RRT - Subgrupo - IGEO'!$A$33:$W$60,23,)</f>
        <v>171863</v>
      </c>
      <c r="C25" s="666">
        <f>VLOOKUP(A25:$A$29,RRT!$A$5:$F$31,6,)</f>
        <v>86272</v>
      </c>
      <c r="D25" s="666">
        <f t="shared" si="0"/>
        <v>85591</v>
      </c>
      <c r="E25" s="667">
        <f>'6 - Ensino e Pesquisa '!N26</f>
        <v>23</v>
      </c>
      <c r="F25" s="667">
        <f t="shared" si="1"/>
        <v>11.545568272403019</v>
      </c>
      <c r="G25" s="668">
        <f t="shared" si="2"/>
        <v>1.3382752541268335E-2</v>
      </c>
      <c r="H25" s="669">
        <f>'2 - Execução '!AL26</f>
        <v>65754</v>
      </c>
      <c r="I25" s="669">
        <f t="shared" si="3"/>
        <v>33007.273747112529</v>
      </c>
      <c r="J25" s="670">
        <f t="shared" si="4"/>
        <v>38.259543939067747</v>
      </c>
      <c r="K25" s="671">
        <f>'1 - Projeto'!AT26</f>
        <v>83538</v>
      </c>
      <c r="L25" s="671">
        <f t="shared" si="5"/>
        <v>41934.507927826235</v>
      </c>
      <c r="M25" s="671">
        <f>VLOOKUP($A$3:$A$29,'1 - Projeto'!A26:O52,15,0)</f>
        <v>1360.8711124558515</v>
      </c>
      <c r="N25" s="672">
        <f t="shared" si="6"/>
        <v>3.2452297158179508</v>
      </c>
      <c r="O25" s="671">
        <f>'1 - Projeto'!C26+'1 - Projeto'!G26+'1 - Projeto'!K26+'1 - Projeto'!S26+'1 - Projeto'!W26+'1 - Projeto'!AA26+'1 - Projeto'!AE26+'1 - Projeto'!AI26+'1 - Projeto'!AM26+'1 - Projeto'!AQ26</f>
        <v>40573.636815370381</v>
      </c>
      <c r="P25" s="672">
        <f t="shared" si="7"/>
        <v>48.607320947498877</v>
      </c>
      <c r="Q25" s="673">
        <f>'7 - Eng. Segurança '!AH26</f>
        <v>504</v>
      </c>
      <c r="R25" s="673">
        <f t="shared" si="8"/>
        <v>252.99853953439663</v>
      </c>
      <c r="S25" s="674">
        <f t="shared" si="9"/>
        <v>0.29325683829561922</v>
      </c>
      <c r="T25" s="675">
        <f>'3 - Gestão'!AD26</f>
        <v>1506</v>
      </c>
      <c r="U25" s="675">
        <f t="shared" si="10"/>
        <v>755.98373122778037</v>
      </c>
      <c r="V25" s="676">
        <f t="shared" si="11"/>
        <v>0.87627936205000501</v>
      </c>
      <c r="W25" s="677">
        <f>'5 - Atividades Especiais'!AT26</f>
        <v>18415</v>
      </c>
      <c r="X25" s="677">
        <f t="shared" si="12"/>
        <v>9243.984336360938</v>
      </c>
      <c r="Y25" s="678">
        <f t="shared" si="13"/>
        <v>10.714929915106801</v>
      </c>
      <c r="Z25" s="679">
        <f>'4 - Meio Amb. e Plan. '!R26</f>
        <v>2123</v>
      </c>
      <c r="AA25" s="679">
        <f t="shared" si="14"/>
        <v>1065.706149665722</v>
      </c>
      <c r="AB25" s="680">
        <f t="shared" si="15"/>
        <v>1.2352862454396816</v>
      </c>
      <c r="AC25" s="681" t="b">
        <f t="shared" si="16"/>
        <v>1</v>
      </c>
      <c r="AD25" s="682">
        <f t="shared" si="17"/>
        <v>0</v>
      </c>
      <c r="AE25" s="605"/>
      <c r="AF25" s="605"/>
      <c r="AG25" s="605"/>
      <c r="AH25" s="1064"/>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row>
    <row r="26" spans="1:61" s="3" customFormat="1" ht="24" customHeight="1">
      <c r="A26" s="665" t="s">
        <v>110</v>
      </c>
      <c r="B26" s="666">
        <f>VLOOKUP($A$3:$A$29,'RRT - Subgrupo - IGEO'!$A$33:$W$60,23,)</f>
        <v>110747</v>
      </c>
      <c r="C26" s="666">
        <f>VLOOKUP(A26:$A$29,RRT!$A$5:$F$31,6,)</f>
        <v>54618</v>
      </c>
      <c r="D26" s="666">
        <f t="shared" si="0"/>
        <v>56129</v>
      </c>
      <c r="E26" s="667">
        <f>'6 - Ensino e Pesquisa '!N27</f>
        <v>77</v>
      </c>
      <c r="F26" s="667">
        <f t="shared" si="1"/>
        <v>37.9747171480943</v>
      </c>
      <c r="G26" s="668">
        <f t="shared" si="2"/>
        <v>6.9527842740661136E-2</v>
      </c>
      <c r="H26" s="669">
        <f>'2 - Execução '!AL27</f>
        <v>41423</v>
      </c>
      <c r="I26" s="669">
        <f t="shared" si="3"/>
        <v>20428.918291240396</v>
      </c>
      <c r="J26" s="670">
        <f t="shared" si="4"/>
        <v>37.403270517485801</v>
      </c>
      <c r="K26" s="671">
        <f>'1 - Projeto'!AT27</f>
        <v>54457</v>
      </c>
      <c r="L26" s="671">
        <f t="shared" si="5"/>
        <v>26857.002230308721</v>
      </c>
      <c r="M26" s="671">
        <f>VLOOKUP($A$3:$A$29,'1 - Projeto'!A27:O53,15,0)</f>
        <v>983.39722069220829</v>
      </c>
      <c r="N26" s="672">
        <f t="shared" si="6"/>
        <v>3.6616045687423107</v>
      </c>
      <c r="O26" s="671">
        <f>'1 - Projeto'!C27+'1 - Projeto'!G27+'1 - Projeto'!K27+'1 - Projeto'!S27+'1 - Projeto'!W27+'1 - Projeto'!AA27+'1 - Projeto'!AE27+'1 - Projeto'!AI27+'1 - Projeto'!AM27+'1 - Projeto'!AQ27</f>
        <v>25873.605009616513</v>
      </c>
      <c r="P26" s="672">
        <f t="shared" si="7"/>
        <v>49.172438079586804</v>
      </c>
      <c r="Q26" s="673">
        <f>'7 - Eng. Segurança '!AH27</f>
        <v>1473</v>
      </c>
      <c r="R26" s="673">
        <f t="shared" si="8"/>
        <v>726.45140726159616</v>
      </c>
      <c r="S26" s="674">
        <f t="shared" si="9"/>
        <v>1.3300586020388814</v>
      </c>
      <c r="T26" s="675">
        <f>'3 - Gestão'!AD27</f>
        <v>939</v>
      </c>
      <c r="U26" s="675">
        <f t="shared" si="10"/>
        <v>463.09427794883828</v>
      </c>
      <c r="V26" s="676">
        <f t="shared" si="11"/>
        <v>0.84787849783741309</v>
      </c>
      <c r="W26" s="677">
        <f>'5 - Atividades Especiais'!AT27</f>
        <v>9555</v>
      </c>
      <c r="X26" s="677">
        <f t="shared" si="12"/>
        <v>4712.3171733771569</v>
      </c>
      <c r="Y26" s="678">
        <f t="shared" si="13"/>
        <v>8.6277732128184059</v>
      </c>
      <c r="Z26" s="679">
        <f>'4 - Meio Amb. e Plan. '!R27</f>
        <v>2823</v>
      </c>
      <c r="AA26" s="679">
        <f t="shared" si="14"/>
        <v>1392.2419027151977</v>
      </c>
      <c r="AB26" s="680">
        <f t="shared" si="15"/>
        <v>2.5490532474920315</v>
      </c>
      <c r="AC26" s="681" t="b">
        <f t="shared" si="16"/>
        <v>1</v>
      </c>
      <c r="AD26" s="682">
        <f t="shared" si="17"/>
        <v>-2.2737367544323206E-12</v>
      </c>
      <c r="AE26" s="605"/>
      <c r="AF26" s="605"/>
      <c r="AG26" s="605"/>
      <c r="AH26" s="1064"/>
      <c r="AI26" s="605"/>
      <c r="AJ26" s="605"/>
      <c r="AK26" s="605"/>
      <c r="AL26" s="605"/>
      <c r="AM26" s="605"/>
      <c r="AN26" s="605"/>
      <c r="AO26" s="605"/>
      <c r="AP26" s="605"/>
      <c r="AQ26" s="605"/>
      <c r="AR26" s="605"/>
      <c r="AS26" s="605"/>
      <c r="AT26" s="605"/>
      <c r="AU26" s="605"/>
      <c r="AV26" s="605"/>
      <c r="AW26" s="605"/>
      <c r="AX26" s="605"/>
      <c r="AY26" s="605"/>
      <c r="AZ26" s="605"/>
      <c r="BA26" s="605"/>
      <c r="BB26" s="605"/>
      <c r="BC26" s="605"/>
      <c r="BD26" s="605"/>
      <c r="BE26" s="605"/>
      <c r="BF26" s="605"/>
      <c r="BG26" s="605"/>
      <c r="BH26" s="605"/>
      <c r="BI26" s="605"/>
    </row>
    <row r="27" spans="1:61" s="3" customFormat="1" ht="24" customHeight="1">
      <c r="A27" s="665" t="s">
        <v>112</v>
      </c>
      <c r="B27" s="666">
        <f>VLOOKUP($A$3:$A$29,'RRT - Subgrupo - IGEO'!$A$33:$W$60,23,)</f>
        <v>10148</v>
      </c>
      <c r="C27" s="666">
        <f>VLOOKUP(A27:$A$29,RRT!$A$5:$F$31,6,)</f>
        <v>6810</v>
      </c>
      <c r="D27" s="666">
        <f t="shared" si="0"/>
        <v>3338</v>
      </c>
      <c r="E27" s="667">
        <f>'6 - Ensino e Pesquisa '!N28</f>
        <v>0</v>
      </c>
      <c r="F27" s="667">
        <f t="shared" si="1"/>
        <v>0</v>
      </c>
      <c r="G27" s="668">
        <f t="shared" si="2"/>
        <v>0</v>
      </c>
      <c r="H27" s="669">
        <f>'2 - Execução '!AL28</f>
        <v>2848</v>
      </c>
      <c r="I27" s="669">
        <f t="shared" si="3"/>
        <v>1911.202207331494</v>
      </c>
      <c r="J27" s="670">
        <f t="shared" si="4"/>
        <v>28.064643279463937</v>
      </c>
      <c r="K27" s="671">
        <f>'1 - Projeto'!AT28</f>
        <v>6458</v>
      </c>
      <c r="L27" s="671">
        <f t="shared" si="5"/>
        <v>4333.7583760346861</v>
      </c>
      <c r="M27" s="671">
        <f>VLOOKUP($A$3:$A$29,'1 - Projeto'!A28:O54,15,0)</f>
        <v>363.0478912100906</v>
      </c>
      <c r="N27" s="672">
        <f t="shared" si="6"/>
        <v>8.3772065655001544</v>
      </c>
      <c r="O27" s="671">
        <f>'1 - Projeto'!C28+'1 - Projeto'!G28+'1 - Projeto'!K28+'1 - Projeto'!S28+'1 - Projeto'!W28+'1 - Projeto'!AA28+'1 - Projeto'!AE28+'1 - Projeto'!AI28+'1 - Projeto'!AM28+'1 - Projeto'!AQ28</f>
        <v>3970.7104848245954</v>
      </c>
      <c r="P27" s="672">
        <f t="shared" si="7"/>
        <v>63.638155301537246</v>
      </c>
      <c r="Q27" s="673">
        <f>'7 - Eng. Segurança '!AH28</f>
        <v>14</v>
      </c>
      <c r="R27" s="673">
        <f t="shared" si="8"/>
        <v>9.3949546708711082</v>
      </c>
      <c r="S27" s="674">
        <f t="shared" si="9"/>
        <v>0.13795821836815136</v>
      </c>
      <c r="T27" s="675">
        <f>'3 - Gestão'!AD28</f>
        <v>118</v>
      </c>
      <c r="U27" s="675">
        <f t="shared" si="10"/>
        <v>79.186046511627907</v>
      </c>
      <c r="V27" s="676">
        <f t="shared" si="11"/>
        <v>1.1627906976744187</v>
      </c>
      <c r="W27" s="677">
        <f>'5 - Atividades Especiais'!AT28</f>
        <v>559</v>
      </c>
      <c r="X27" s="677">
        <f t="shared" si="12"/>
        <v>375.12711864406776</v>
      </c>
      <c r="Y27" s="678">
        <f t="shared" si="13"/>
        <v>5.508474576271186</v>
      </c>
      <c r="Z27" s="679">
        <f>'4 - Meio Amb. e Plan. '!R28</f>
        <v>151</v>
      </c>
      <c r="AA27" s="679">
        <f t="shared" si="14"/>
        <v>101.33129680725266</v>
      </c>
      <c r="AB27" s="680">
        <f t="shared" si="15"/>
        <v>1.487977926685061</v>
      </c>
      <c r="AC27" s="681" t="b">
        <f t="shared" si="16"/>
        <v>1</v>
      </c>
      <c r="AD27" s="682">
        <f t="shared" si="17"/>
        <v>6.3948846218409017E-13</v>
      </c>
      <c r="AE27" s="605"/>
      <c r="AF27" s="605"/>
      <c r="AG27" s="605"/>
      <c r="AH27" s="1064"/>
      <c r="AI27" s="605"/>
      <c r="AJ27" s="605"/>
      <c r="AK27" s="605"/>
      <c r="AL27" s="605"/>
      <c r="AM27" s="605"/>
      <c r="AN27" s="605"/>
      <c r="AO27" s="605"/>
      <c r="AP27" s="605"/>
      <c r="AQ27" s="605"/>
      <c r="AR27" s="605"/>
      <c r="AS27" s="605"/>
      <c r="AT27" s="605"/>
      <c r="AU27" s="605"/>
      <c r="AV27" s="605"/>
      <c r="AW27" s="605"/>
      <c r="AX27" s="605"/>
      <c r="AY27" s="605"/>
      <c r="AZ27" s="605"/>
      <c r="BA27" s="605"/>
      <c r="BB27" s="605"/>
      <c r="BC27" s="605"/>
      <c r="BD27" s="605"/>
      <c r="BE27" s="605"/>
      <c r="BF27" s="605"/>
      <c r="BG27" s="605"/>
      <c r="BH27" s="605"/>
      <c r="BI27" s="605"/>
    </row>
    <row r="28" spans="1:61" s="3" customFormat="1" ht="24" customHeight="1">
      <c r="A28" s="665" t="s">
        <v>111</v>
      </c>
      <c r="B28" s="666">
        <f>VLOOKUP($A$3:$A$29,'RRT - Subgrupo - IGEO'!$A$33:$W$60,23,)</f>
        <v>334983</v>
      </c>
      <c r="C28" s="666">
        <f>VLOOKUP(A28:$A$29,RRT!$A$5:$F$31,6,)</f>
        <v>298424</v>
      </c>
      <c r="D28" s="666">
        <f t="shared" si="0"/>
        <v>36559</v>
      </c>
      <c r="E28" s="667">
        <f>'6 - Ensino e Pesquisa '!N29</f>
        <v>71</v>
      </c>
      <c r="F28" s="667">
        <f t="shared" si="1"/>
        <v>63.251281408310277</v>
      </c>
      <c r="G28" s="668">
        <f t="shared" si="2"/>
        <v>2.1195105423260287E-2</v>
      </c>
      <c r="H28" s="669">
        <f>'2 - Execução '!AL29</f>
        <v>119523</v>
      </c>
      <c r="I28" s="669">
        <f t="shared" si="3"/>
        <v>106478.63250373901</v>
      </c>
      <c r="J28" s="670">
        <f t="shared" si="4"/>
        <v>35.680318105694916</v>
      </c>
      <c r="K28" s="671">
        <f>'1 - Projeto'!AT29</f>
        <v>148688</v>
      </c>
      <c r="L28" s="671">
        <f t="shared" si="5"/>
        <v>132460.6553526597</v>
      </c>
      <c r="M28" s="671">
        <f>VLOOKUP($A$3:$A$29,'1 - Projeto'!A29:O55,15,0)</f>
        <v>11227.547881534287</v>
      </c>
      <c r="N28" s="672">
        <f t="shared" si="6"/>
        <v>8.4761379532981813</v>
      </c>
      <c r="O28" s="671">
        <f>'1 - Projeto'!C29+'1 - Projeto'!G29+'1 - Projeto'!K29+'1 - Projeto'!S29+'1 - Projeto'!W29+'1 - Projeto'!AA29+'1 - Projeto'!AE29+'1 - Projeto'!AI29+'1 - Projeto'!AM29+'1 - Projeto'!AQ29</f>
        <v>121233.10747112542</v>
      </c>
      <c r="P28" s="672">
        <f t="shared" si="7"/>
        <v>44.386730072869369</v>
      </c>
      <c r="Q28" s="673">
        <f>'7 - Eng. Segurança '!AH29</f>
        <v>2564</v>
      </c>
      <c r="R28" s="673">
        <f t="shared" si="8"/>
        <v>2284.173035646585</v>
      </c>
      <c r="S28" s="674">
        <f t="shared" si="9"/>
        <v>0.76541197613013201</v>
      </c>
      <c r="T28" s="675">
        <f>'3 - Gestão'!AD29</f>
        <v>19446</v>
      </c>
      <c r="U28" s="675">
        <f t="shared" si="10"/>
        <v>17323.724200929599</v>
      </c>
      <c r="V28" s="676">
        <f t="shared" si="11"/>
        <v>5.8050707050805563</v>
      </c>
      <c r="W28" s="677">
        <f>'5 - Atividades Especiais'!AT29</f>
        <v>40928</v>
      </c>
      <c r="X28" s="677">
        <f t="shared" si="12"/>
        <v>36461.245710976378</v>
      </c>
      <c r="Y28" s="678">
        <f t="shared" si="13"/>
        <v>12.217933447368971</v>
      </c>
      <c r="Z28" s="679">
        <f>'4 - Meio Amb. e Plan. '!R29</f>
        <v>3763</v>
      </c>
      <c r="AA28" s="679">
        <f t="shared" si="14"/>
        <v>3352.3179146404441</v>
      </c>
      <c r="AB28" s="680">
        <f t="shared" si="15"/>
        <v>1.1233405874327951</v>
      </c>
      <c r="AC28" s="681" t="b">
        <f t="shared" si="16"/>
        <v>1</v>
      </c>
      <c r="AD28" s="682">
        <f t="shared" si="17"/>
        <v>-1.5006662579253316E-11</v>
      </c>
      <c r="AE28" s="605"/>
      <c r="AF28" s="605"/>
      <c r="AG28" s="605"/>
      <c r="AH28" s="1064"/>
      <c r="AI28" s="605"/>
      <c r="AJ28" s="605"/>
      <c r="AK28" s="605"/>
      <c r="AL28" s="605"/>
      <c r="AM28" s="605"/>
      <c r="AN28" s="605"/>
      <c r="AO28" s="605"/>
      <c r="AP28" s="605"/>
      <c r="AQ28" s="605"/>
      <c r="AR28" s="605"/>
      <c r="AS28" s="605"/>
      <c r="AT28" s="605"/>
      <c r="AU28" s="605"/>
      <c r="AV28" s="605"/>
      <c r="AW28" s="605"/>
      <c r="AX28" s="605"/>
      <c r="AY28" s="605"/>
      <c r="AZ28" s="605"/>
      <c r="BA28" s="605"/>
      <c r="BB28" s="605"/>
      <c r="BC28" s="605"/>
      <c r="BD28" s="605"/>
      <c r="BE28" s="605"/>
      <c r="BF28" s="605"/>
      <c r="BG28" s="605"/>
      <c r="BH28" s="605"/>
      <c r="BI28" s="605"/>
    </row>
    <row r="29" spans="1:61" s="3" customFormat="1" ht="24" customHeight="1">
      <c r="A29" s="665" t="s">
        <v>113</v>
      </c>
      <c r="B29" s="666">
        <f>VLOOKUP($A$3:$A$29,'RRT - Subgrupo - IGEO'!$A$33:$W$60,23,)</f>
        <v>8792</v>
      </c>
      <c r="C29" s="666">
        <f>VLOOKUP(A29:$A$29,RRT!$A$5:$F$31,6,)</f>
        <v>4565</v>
      </c>
      <c r="D29" s="666">
        <f>B29-C29</f>
        <v>4227</v>
      </c>
      <c r="E29" s="667">
        <f>'6 - Ensino e Pesquisa '!N30</f>
        <v>0</v>
      </c>
      <c r="F29" s="667">
        <f t="shared" si="1"/>
        <v>0</v>
      </c>
      <c r="G29" s="668">
        <f t="shared" si="2"/>
        <v>0</v>
      </c>
      <c r="H29" s="669">
        <f>'2 - Execução '!AL30</f>
        <v>2798</v>
      </c>
      <c r="I29" s="669">
        <f t="shared" si="3"/>
        <v>1452.783212010919</v>
      </c>
      <c r="J29" s="670">
        <f t="shared" si="4"/>
        <v>31.824385805277526</v>
      </c>
      <c r="K29" s="671">
        <f>'1 - Projeto'!AT30</f>
        <v>5335</v>
      </c>
      <c r="L29" s="671">
        <f t="shared" si="5"/>
        <v>2770.0494767970881</v>
      </c>
      <c r="M29" s="671">
        <f>VLOOKUP($A$3:$A$29,'1 - Projeto'!A30:O56,15,0)</f>
        <v>99.171405823475894</v>
      </c>
      <c r="N29" s="672">
        <f t="shared" si="6"/>
        <v>3.5801312089971886</v>
      </c>
      <c r="O29" s="671">
        <f>'1 - Projeto'!C30+'1 - Projeto'!G30+'1 - Projeto'!K30+'1 - Projeto'!S30+'1 - Projeto'!W30+'1 - Projeto'!AA30+'1 - Projeto'!AE30+'1 - Projeto'!AI30+'1 - Projeto'!AM30+'1 - Projeto'!AQ30</f>
        <v>2670.878070973612</v>
      </c>
      <c r="P29" s="672">
        <f t="shared" si="7"/>
        <v>60.680163785259325</v>
      </c>
      <c r="Q29" s="673">
        <f>'7 - Eng. Segurança '!AH30</f>
        <v>11</v>
      </c>
      <c r="R29" s="673">
        <f t="shared" si="8"/>
        <v>5.7114422202001824</v>
      </c>
      <c r="S29" s="674">
        <f t="shared" si="9"/>
        <v>0.1251137397634213</v>
      </c>
      <c r="T29" s="675">
        <f>'3 - Gestão'!AD30</f>
        <v>105</v>
      </c>
      <c r="U29" s="675">
        <f t="shared" si="10"/>
        <v>54.51831210191083</v>
      </c>
      <c r="V29" s="676">
        <f t="shared" si="11"/>
        <v>1.1942675159235669</v>
      </c>
      <c r="W29" s="677">
        <f>'5 - Atividades Especiais'!AT30</f>
        <v>532</v>
      </c>
      <c r="X29" s="677">
        <f t="shared" si="12"/>
        <v>276.22611464968151</v>
      </c>
      <c r="Y29" s="678">
        <f t="shared" si="13"/>
        <v>6.0509554140127388</v>
      </c>
      <c r="Z29" s="679">
        <f>'4 - Meio Amb. e Plan. '!R30</f>
        <v>11</v>
      </c>
      <c r="AA29" s="679">
        <f t="shared" si="14"/>
        <v>5.7114422202001824</v>
      </c>
      <c r="AB29" s="680">
        <f t="shared" si="15"/>
        <v>0.1251137397634213</v>
      </c>
      <c r="AC29" s="681" t="b">
        <f t="shared" si="16"/>
        <v>1</v>
      </c>
      <c r="AD29" s="682">
        <f t="shared" si="17"/>
        <v>3.9879211044535623E-13</v>
      </c>
      <c r="AE29" s="605"/>
      <c r="AF29" s="605"/>
      <c r="AG29" s="605"/>
      <c r="AH29" s="1064"/>
      <c r="AI29" s="605"/>
      <c r="AJ29" s="605"/>
      <c r="AK29" s="605"/>
      <c r="AL29" s="605"/>
      <c r="AM29" s="605"/>
      <c r="AN29" s="605"/>
      <c r="AO29" s="605"/>
      <c r="AP29" s="605"/>
      <c r="AQ29" s="605"/>
      <c r="AR29" s="605"/>
      <c r="AS29" s="605"/>
      <c r="AT29" s="605"/>
      <c r="AU29" s="605"/>
      <c r="AV29" s="605"/>
      <c r="AW29" s="605"/>
      <c r="AX29" s="605"/>
      <c r="AY29" s="605"/>
      <c r="AZ29" s="605"/>
      <c r="BA29" s="605"/>
      <c r="BB29" s="605"/>
      <c r="BC29" s="605"/>
      <c r="BD29" s="605"/>
      <c r="BE29" s="605"/>
      <c r="BF29" s="605"/>
      <c r="BG29" s="605"/>
      <c r="BH29" s="605"/>
      <c r="BI29" s="605"/>
    </row>
    <row r="30" spans="1:61" s="699" customFormat="1" ht="23.25" customHeight="1">
      <c r="A30" s="691" t="s">
        <v>128</v>
      </c>
      <c r="B30" s="692">
        <f>SUM(B3:B29)</f>
        <v>1212618</v>
      </c>
      <c r="C30" s="693">
        <f>SUM(C3:C29)</f>
        <v>839410</v>
      </c>
      <c r="D30" s="693">
        <f>SUM(D3:D29)</f>
        <v>373208</v>
      </c>
      <c r="E30" s="694">
        <f>SUM(E3:E29)</f>
        <v>344</v>
      </c>
      <c r="F30" s="694">
        <f>SUM(F3:F29)</f>
        <v>233.59880252527716</v>
      </c>
      <c r="G30" s="695">
        <f>E30/B30*100</f>
        <v>2.8368373222234868E-2</v>
      </c>
      <c r="H30" s="694">
        <f>SUM(H3:H29)</f>
        <v>402933</v>
      </c>
      <c r="I30" s="694">
        <f>SUM(I3:I29)</f>
        <v>277041.64539789548</v>
      </c>
      <c r="J30" s="696">
        <f>H30/B30*100</f>
        <v>33.228353859170817</v>
      </c>
      <c r="K30" s="694">
        <f>SUM(K3:K29)</f>
        <v>648553</v>
      </c>
      <c r="L30" s="694">
        <f>SUM(L3:L29)</f>
        <v>444051.20445931476</v>
      </c>
      <c r="M30" s="694">
        <f>SUM(M3:M29)</f>
        <v>29979.173722715605</v>
      </c>
      <c r="N30" s="696">
        <f>M30/L30*100</f>
        <v>6.7512875591045445</v>
      </c>
      <c r="O30" s="694">
        <f>SUM(O3:O29)</f>
        <v>414072.03073659923</v>
      </c>
      <c r="P30" s="696">
        <f>K30/B30*100</f>
        <v>53.483702204651429</v>
      </c>
      <c r="Q30" s="694">
        <f>SUM(Q3:Q29)</f>
        <v>7463</v>
      </c>
      <c r="R30" s="694">
        <f>SUM(R3:R29)</f>
        <v>5300.7517313916223</v>
      </c>
      <c r="S30" s="696">
        <f>Q30/B30*100</f>
        <v>0.61544525976028719</v>
      </c>
      <c r="T30" s="694">
        <f>SUM(T3:T29)</f>
        <v>31170</v>
      </c>
      <c r="U30" s="694">
        <f>SUM(U3:U29)</f>
        <v>25092.828680220729</v>
      </c>
      <c r="V30" s="697">
        <f t="shared" si="11"/>
        <v>2.5704714922588976</v>
      </c>
      <c r="W30" s="694">
        <f>SUM(W3:W29)</f>
        <v>103143</v>
      </c>
      <c r="X30" s="694">
        <f>SUM(X3:X29)</f>
        <v>74704.082745314387</v>
      </c>
      <c r="Y30" s="696">
        <f>W30/B30*100</f>
        <v>8.5058113932004957</v>
      </c>
      <c r="Z30" s="694">
        <f>SUM(Z3:Z29)</f>
        <v>19012</v>
      </c>
      <c r="AA30" s="694">
        <f>SUM(AA3:AA29)</f>
        <v>12985.888183337771</v>
      </c>
      <c r="AB30" s="696">
        <f>Z30/B30*100</f>
        <v>1.567847417735841</v>
      </c>
      <c r="AC30" s="681" t="b">
        <f>F30+I30+L30+R30+U30+X30+AA30=C30</f>
        <v>1</v>
      </c>
      <c r="AD30" s="682">
        <f t="shared" si="17"/>
        <v>-6.184563972055912E-11</v>
      </c>
      <c r="AE30" s="698"/>
      <c r="AF30" s="698"/>
      <c r="AG30" s="698"/>
      <c r="AH30" s="1066"/>
      <c r="AI30" s="698"/>
      <c r="AJ30" s="698"/>
      <c r="AK30" s="698"/>
      <c r="AL30" s="698"/>
      <c r="AM30" s="698"/>
      <c r="AN30" s="698"/>
      <c r="AO30" s="698"/>
      <c r="AP30" s="698"/>
      <c r="AQ30" s="698"/>
      <c r="AR30" s="698"/>
      <c r="AS30" s="698"/>
      <c r="AT30" s="698"/>
      <c r="AU30" s="698"/>
      <c r="AV30" s="698"/>
      <c r="AW30" s="698"/>
      <c r="AX30" s="698"/>
      <c r="AY30" s="698"/>
      <c r="AZ30" s="698"/>
      <c r="BA30" s="698"/>
      <c r="BB30" s="698"/>
      <c r="BC30" s="698"/>
      <c r="BD30" s="698"/>
      <c r="BE30" s="698"/>
      <c r="BF30" s="698"/>
      <c r="BG30" s="698"/>
      <c r="BH30" s="698"/>
      <c r="BI30" s="698"/>
    </row>
    <row r="31" spans="1:61" s="274" customFormat="1" ht="18" customHeight="1">
      <c r="B31" s="700">
        <f>'RRT - Subgrupo - IGEO'!W60</f>
        <v>1212618</v>
      </c>
      <c r="C31" s="700">
        <f>RRT!F34</f>
        <v>839410</v>
      </c>
      <c r="E31" s="701">
        <f>'6 - Ensino e Pesquisa '!N31</f>
        <v>344</v>
      </c>
      <c r="F31" s="701">
        <f>'6 - Ensino e Pesquisa '!O31</f>
        <v>233.59880252527716</v>
      </c>
      <c r="G31" s="702"/>
      <c r="H31" s="701">
        <f>'2 - Execução '!AL31</f>
        <v>402933</v>
      </c>
      <c r="I31" s="701">
        <f>'2 - Execução '!AM31</f>
        <v>277041.64539789548</v>
      </c>
      <c r="J31" s="702"/>
      <c r="K31" s="701">
        <f>'1 - Projeto'!AT31</f>
        <v>648553</v>
      </c>
      <c r="L31" s="701">
        <f>'1 - Projeto'!AU31</f>
        <v>444051.20445931476</v>
      </c>
      <c r="M31" s="703"/>
      <c r="N31" s="704"/>
      <c r="O31" s="701"/>
      <c r="P31" s="702"/>
      <c r="Q31" s="701">
        <v>2232</v>
      </c>
      <c r="R31" s="701">
        <f>'7 - Eng. Segurança '!$AI$31</f>
        <v>5300.7517313916223</v>
      </c>
      <c r="S31" s="702"/>
      <c r="T31" s="701">
        <f>'3 - Gestão'!AD31</f>
        <v>31170</v>
      </c>
      <c r="U31" s="701">
        <f>'3 - Gestão'!AE31</f>
        <v>25092.828680220729</v>
      </c>
      <c r="V31" s="702"/>
      <c r="W31" s="701">
        <f>'5 - Atividades Especiais'!AT31</f>
        <v>103143</v>
      </c>
      <c r="X31" s="701">
        <f>'5 - Atividades Especiais'!AU31</f>
        <v>74704.082745314387</v>
      </c>
      <c r="Y31" s="702"/>
      <c r="Z31" s="701">
        <f>'4 - Meio Amb. e Plan. '!R31</f>
        <v>19012</v>
      </c>
      <c r="AA31" s="701">
        <f>'4 - Meio Amb. e Plan. '!S31</f>
        <v>12985.888183337771</v>
      </c>
      <c r="AB31" s="705"/>
      <c r="AC31" s="706"/>
      <c r="AD31" s="682"/>
      <c r="AE31" s="707"/>
      <c r="AF31" s="707"/>
      <c r="AG31" s="707"/>
      <c r="AH31" s="1067"/>
      <c r="AI31" s="707"/>
      <c r="AJ31" s="707"/>
      <c r="AK31" s="707"/>
      <c r="AL31" s="707"/>
      <c r="AM31" s="707"/>
      <c r="AN31" s="707"/>
      <c r="AO31" s="707"/>
      <c r="AP31" s="707"/>
      <c r="AQ31" s="707"/>
      <c r="AR31" s="707"/>
      <c r="AS31" s="707"/>
      <c r="AT31" s="707"/>
      <c r="AU31" s="707"/>
      <c r="AV31" s="707"/>
      <c r="AW31" s="707"/>
      <c r="AX31" s="707"/>
      <c r="AY31" s="707"/>
      <c r="AZ31" s="707"/>
      <c r="BA31" s="707"/>
      <c r="BB31" s="707"/>
      <c r="BC31" s="707"/>
      <c r="BD31" s="707"/>
      <c r="BE31" s="707"/>
      <c r="BF31" s="707"/>
      <c r="BG31" s="707"/>
      <c r="BH31" s="707"/>
      <c r="BI31" s="707"/>
    </row>
    <row r="32" spans="1:61" ht="18" customHeight="1">
      <c r="A32" s="1438"/>
      <c r="B32" s="1439"/>
      <c r="C32" s="1439"/>
      <c r="D32" s="1439"/>
      <c r="E32" s="708"/>
      <c r="F32" s="708"/>
      <c r="G32" s="709"/>
      <c r="H32" s="708"/>
      <c r="I32" s="708"/>
      <c r="J32" s="709"/>
      <c r="K32" s="708"/>
      <c r="L32" s="708"/>
      <c r="M32" s="704"/>
      <c r="N32" s="704"/>
      <c r="O32" s="708"/>
      <c r="P32" s="709"/>
      <c r="Q32" s="708"/>
      <c r="R32" s="708"/>
      <c r="S32" s="709"/>
      <c r="T32" s="708"/>
      <c r="U32" s="708"/>
      <c r="V32" s="709"/>
      <c r="W32" s="708"/>
      <c r="X32" s="708"/>
      <c r="Y32" s="709"/>
      <c r="Z32" s="708"/>
      <c r="AA32" s="708"/>
      <c r="AB32" s="710">
        <f>G30+J30+P30+S30+V30+Y30+AB30</f>
        <v>100</v>
      </c>
      <c r="AC32" s="681"/>
      <c r="AD32" s="530"/>
    </row>
    <row r="33" spans="1:61" hidden="1">
      <c r="B33" s="357"/>
      <c r="G33" s="711"/>
      <c r="AB33" s="12"/>
      <c r="AC33" s="712"/>
    </row>
    <row r="34" spans="1:61" hidden="1">
      <c r="C34" s="360"/>
      <c r="D34" s="253" t="s">
        <v>615</v>
      </c>
      <c r="E34" s="360">
        <f>F30</f>
        <v>233.59880252527716</v>
      </c>
      <c r="F34" s="19">
        <f>G30/100</f>
        <v>2.8368373222234869E-4</v>
      </c>
      <c r="L34" s="713"/>
      <c r="Z34" s="711"/>
      <c r="AB34" s="711"/>
      <c r="AC34" s="12"/>
      <c r="AD34" s="530"/>
    </row>
    <row r="35" spans="1:61" hidden="1">
      <c r="A35" s="714"/>
      <c r="B35" s="714"/>
      <c r="C35" s="360"/>
      <c r="D35" s="714" t="s">
        <v>616</v>
      </c>
      <c r="E35" s="360">
        <f>I30</f>
        <v>277041.64539789548</v>
      </c>
      <c r="F35" s="19">
        <f>J30/100</f>
        <v>0.33228353859170817</v>
      </c>
      <c r="L35" s="713"/>
      <c r="AC35" s="12"/>
    </row>
    <row r="36" spans="1:61" hidden="1">
      <c r="A36" s="12"/>
      <c r="B36" s="12"/>
      <c r="D36" s="253" t="s">
        <v>617</v>
      </c>
      <c r="E36" s="360">
        <f>L30</f>
        <v>444051.20445931476</v>
      </c>
      <c r="F36" s="19">
        <f>P30/100</f>
        <v>0.53483702204651429</v>
      </c>
      <c r="I36" s="357"/>
      <c r="L36" s="713"/>
      <c r="Y36" s="357"/>
      <c r="AD36" s="253"/>
      <c r="AE36" s="253"/>
      <c r="AF36" s="253"/>
      <c r="AG36" s="253"/>
      <c r="AH36" s="1022"/>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row>
    <row r="37" spans="1:61" ht="21.75" hidden="1" customHeight="1">
      <c r="D37" s="253" t="s">
        <v>618</v>
      </c>
      <c r="E37" s="360">
        <f>R30</f>
        <v>5300.7517313916223</v>
      </c>
      <c r="F37" s="19">
        <f>S30/100</f>
        <v>6.1544525976028721E-3</v>
      </c>
      <c r="H37" s="357"/>
      <c r="L37" s="713"/>
      <c r="AD37" s="253"/>
      <c r="AE37" s="253"/>
      <c r="AF37" s="253"/>
      <c r="AG37" s="253"/>
      <c r="AH37" s="1022"/>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row>
    <row r="38" spans="1:61" hidden="1">
      <c r="D38" s="253" t="s">
        <v>619</v>
      </c>
      <c r="E38" s="360">
        <f>U30</f>
        <v>25092.828680220729</v>
      </c>
      <c r="F38" s="19">
        <f>V30/100</f>
        <v>2.5704714922588977E-2</v>
      </c>
      <c r="J38" s="486"/>
      <c r="L38" s="713"/>
      <c r="AD38" s="253"/>
      <c r="AE38" s="253"/>
      <c r="AF38" s="253"/>
      <c r="AG38" s="253"/>
      <c r="AH38" s="1022"/>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row>
    <row r="39" spans="1:61" ht="15" hidden="1" customHeight="1">
      <c r="C39" s="175"/>
      <c r="D39" s="175" t="s">
        <v>620</v>
      </c>
      <c r="E39" s="360">
        <f>X30</f>
        <v>74704.082745314387</v>
      </c>
      <c r="F39" s="19">
        <f>Y30/100</f>
        <v>8.5058113932004964E-2</v>
      </c>
      <c r="L39" s="713"/>
      <c r="AD39" s="253"/>
      <c r="AE39" s="253"/>
      <c r="AF39" s="253"/>
      <c r="AG39" s="253"/>
      <c r="AH39" s="1022"/>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row>
    <row r="40" spans="1:61" ht="15" hidden="1" customHeight="1">
      <c r="C40" s="175"/>
      <c r="D40" s="175" t="s">
        <v>621</v>
      </c>
      <c r="E40" s="360">
        <f>AA30</f>
        <v>12985.888183337771</v>
      </c>
      <c r="F40" s="19">
        <f>AB30/100</f>
        <v>1.567847417735841E-2</v>
      </c>
      <c r="L40" s="713"/>
      <c r="AD40" s="253"/>
      <c r="AE40" s="253"/>
      <c r="AF40" s="253"/>
      <c r="AG40" s="253"/>
      <c r="AH40" s="1022"/>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row>
    <row r="41" spans="1:61" hidden="1">
      <c r="E41" s="360">
        <f>SUM(E34:E40)</f>
        <v>839410</v>
      </c>
      <c r="F41" s="19">
        <f>SUM(F34:F40)</f>
        <v>1</v>
      </c>
      <c r="L41" s="713"/>
      <c r="AD41" s="253"/>
      <c r="AE41" s="253"/>
      <c r="AF41" s="253"/>
      <c r="AG41" s="253"/>
      <c r="AH41" s="1022"/>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row>
    <row r="42" spans="1:61" hidden="1">
      <c r="L42" s="713"/>
    </row>
    <row r="43" spans="1:61" hidden="1">
      <c r="L43" s="713"/>
    </row>
    <row r="44" spans="1:61" ht="11.25" hidden="1" customHeight="1">
      <c r="L44" s="713"/>
    </row>
    <row r="45" spans="1:61" hidden="1">
      <c r="L45" s="713">
        <f t="shared" ref="L45:L61" si="19">(C14/B14-1)</f>
        <v>-0.20697317388493863</v>
      </c>
    </row>
    <row r="46" spans="1:61" hidden="1">
      <c r="L46" s="713">
        <f t="shared" si="19"/>
        <v>-0.52446069943197449</v>
      </c>
    </row>
    <row r="47" spans="1:61" hidden="1">
      <c r="L47" s="713">
        <f t="shared" si="19"/>
        <v>-0.42303939962476544</v>
      </c>
    </row>
    <row r="48" spans="1:61" hidden="1">
      <c r="L48" s="713">
        <f t="shared" si="19"/>
        <v>-0.39514489069649217</v>
      </c>
    </row>
    <row r="49" spans="12:61" hidden="1">
      <c r="L49" s="713">
        <f t="shared" si="19"/>
        <v>-0.2674809011726923</v>
      </c>
      <c r="AD49" s="253"/>
      <c r="AE49" s="253"/>
      <c r="AF49" s="253"/>
      <c r="AG49" s="253"/>
      <c r="AH49" s="1022"/>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row>
    <row r="50" spans="12:61" hidden="1">
      <c r="L50" s="713">
        <f t="shared" si="19"/>
        <v>-0.2301943198804185</v>
      </c>
      <c r="AD50" s="253"/>
      <c r="AE50" s="253"/>
      <c r="AF50" s="253"/>
      <c r="AG50" s="253"/>
      <c r="AH50" s="1022"/>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row>
    <row r="51" spans="12:61" hidden="1">
      <c r="L51" s="713">
        <f t="shared" si="19"/>
        <v>-0.28459374609971289</v>
      </c>
      <c r="AD51" s="253"/>
      <c r="AE51" s="253"/>
      <c r="AF51" s="253"/>
      <c r="AG51" s="253"/>
      <c r="AH51" s="1022"/>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row>
    <row r="52" spans="12:61" hidden="1">
      <c r="L52" s="713">
        <f t="shared" si="19"/>
        <v>-0.13030898374709765</v>
      </c>
      <c r="AD52" s="253"/>
      <c r="AE52" s="253"/>
      <c r="AF52" s="253"/>
      <c r="AG52" s="253"/>
      <c r="AH52" s="1022"/>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row>
    <row r="53" spans="12:61" hidden="1">
      <c r="L53" s="713">
        <f t="shared" si="19"/>
        <v>-0.31639092614702369</v>
      </c>
      <c r="AD53" s="253"/>
      <c r="AE53" s="253"/>
      <c r="AF53" s="253"/>
      <c r="AG53" s="253"/>
      <c r="AH53" s="1022"/>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row>
    <row r="54" spans="12:61" hidden="1">
      <c r="L54" s="713">
        <f t="shared" si="19"/>
        <v>-0.4723327699940032</v>
      </c>
      <c r="AD54" s="253"/>
      <c r="AE54" s="253"/>
      <c r="AF54" s="253"/>
      <c r="AG54" s="253"/>
      <c r="AH54" s="1022"/>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row>
    <row r="55" spans="12:61" hidden="1">
      <c r="L55" s="713">
        <f t="shared" si="19"/>
        <v>-0.50250626566416035</v>
      </c>
      <c r="AD55" s="253"/>
      <c r="AE55" s="253"/>
      <c r="AF55" s="253"/>
      <c r="AG55" s="253"/>
      <c r="AH55" s="1022"/>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row>
    <row r="56" spans="12:61" hidden="1">
      <c r="L56" s="713">
        <f t="shared" si="19"/>
        <v>-0.49801877076508616</v>
      </c>
      <c r="AD56" s="253"/>
      <c r="AE56" s="253"/>
      <c r="AF56" s="253"/>
      <c r="AG56" s="253"/>
      <c r="AH56" s="1022"/>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row>
    <row r="57" spans="12:61" hidden="1">
      <c r="L57" s="713">
        <f t="shared" si="19"/>
        <v>-0.50682185521955447</v>
      </c>
      <c r="AD57" s="253"/>
      <c r="AE57" s="253"/>
      <c r="AF57" s="253"/>
      <c r="AG57" s="253"/>
      <c r="AH57" s="1022"/>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row>
    <row r="58" spans="12:61" hidden="1">
      <c r="L58" s="713">
        <f t="shared" si="19"/>
        <v>-0.3289318092234923</v>
      </c>
      <c r="AD58" s="253"/>
      <c r="AE58" s="253"/>
      <c r="AF58" s="253"/>
      <c r="AG58" s="253"/>
      <c r="AH58" s="1022"/>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row>
    <row r="59" spans="12:61" hidden="1">
      <c r="L59" s="713">
        <f t="shared" si="19"/>
        <v>-0.10913688157309476</v>
      </c>
      <c r="AD59" s="253"/>
      <c r="AE59" s="253"/>
      <c r="AF59" s="253"/>
      <c r="AG59" s="253"/>
      <c r="AH59" s="1022"/>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row>
    <row r="60" spans="12:61" hidden="1">
      <c r="L60" s="713">
        <f t="shared" si="19"/>
        <v>-0.48077797998180161</v>
      </c>
      <c r="AD60" s="253"/>
      <c r="AE60" s="253"/>
      <c r="AF60" s="253"/>
      <c r="AG60" s="253"/>
      <c r="AH60" s="1022"/>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row>
    <row r="61" spans="12:61" hidden="1">
      <c r="L61" s="713">
        <f t="shared" si="19"/>
        <v>-0.30777046027685551</v>
      </c>
      <c r="AD61" s="253"/>
      <c r="AE61" s="253"/>
      <c r="AF61" s="253"/>
      <c r="AG61" s="253"/>
      <c r="AH61" s="1022"/>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row>
    <row r="62" spans="12:61" hidden="1">
      <c r="L62" s="713" t="e">
        <f>(C32/B32-1)</f>
        <v>#DIV/0!</v>
      </c>
      <c r="AD62" s="253"/>
      <c r="AE62" s="253"/>
      <c r="AF62" s="253"/>
      <c r="AG62" s="253"/>
      <c r="AH62" s="1022"/>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row>
    <row r="63" spans="12:61" hidden="1">
      <c r="L63" s="713" t="e">
        <f>(#REF!/#REF!-1)</f>
        <v>#REF!</v>
      </c>
      <c r="AD63" s="253"/>
      <c r="AE63" s="253"/>
      <c r="AF63" s="253"/>
      <c r="AG63" s="253"/>
      <c r="AH63" s="1022"/>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row>
    <row r="64" spans="12:61" hidden="1">
      <c r="L64" s="713" t="e">
        <f t="shared" ref="L64:L80" si="20">(C33/B33-1)</f>
        <v>#DIV/0!</v>
      </c>
      <c r="AD64" s="253"/>
      <c r="AE64" s="253"/>
      <c r="AF64" s="253"/>
      <c r="AG64" s="253"/>
      <c r="AH64" s="1022"/>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row>
    <row r="65" spans="12:61" hidden="1">
      <c r="L65" s="713" t="e">
        <f t="shared" si="20"/>
        <v>#DIV/0!</v>
      </c>
    </row>
    <row r="66" spans="12:61" hidden="1">
      <c r="L66" s="713" t="e">
        <f t="shared" si="20"/>
        <v>#DIV/0!</v>
      </c>
    </row>
    <row r="67" spans="12:61" hidden="1">
      <c r="L67" s="713" t="e">
        <f t="shared" si="20"/>
        <v>#DIV/0!</v>
      </c>
    </row>
    <row r="68" spans="12:61" hidden="1">
      <c r="L68" s="713" t="e">
        <f t="shared" si="20"/>
        <v>#DIV/0!</v>
      </c>
    </row>
    <row r="69" spans="12:61" hidden="1">
      <c r="L69" s="713" t="e">
        <f t="shared" si="20"/>
        <v>#DIV/0!</v>
      </c>
    </row>
    <row r="70" spans="12:61" hidden="1">
      <c r="L70" s="713" t="e">
        <f t="shared" si="20"/>
        <v>#DIV/0!</v>
      </c>
    </row>
    <row r="71" spans="12:61" hidden="1">
      <c r="L71" s="713" t="e">
        <f t="shared" si="20"/>
        <v>#DIV/0!</v>
      </c>
    </row>
    <row r="72" spans="12:61" hidden="1">
      <c r="L72" s="713" t="e">
        <f t="shared" si="20"/>
        <v>#DIV/0!</v>
      </c>
    </row>
    <row r="73" spans="12:61" hidden="1">
      <c r="L73" s="713" t="e">
        <f t="shared" si="20"/>
        <v>#DIV/0!</v>
      </c>
    </row>
    <row r="74" spans="12:61" hidden="1">
      <c r="L74" s="713" t="e">
        <f t="shared" si="20"/>
        <v>#DIV/0!</v>
      </c>
    </row>
    <row r="75" spans="12:61" hidden="1">
      <c r="L75" s="713" t="e">
        <f t="shared" si="20"/>
        <v>#DIV/0!</v>
      </c>
    </row>
    <row r="76" spans="12:61" hidden="1">
      <c r="L76" s="713" t="e">
        <f t="shared" si="20"/>
        <v>#DIV/0!</v>
      </c>
    </row>
    <row r="77" spans="12:61" hidden="1">
      <c r="L77" s="713" t="e">
        <f t="shared" si="20"/>
        <v>#DIV/0!</v>
      </c>
    </row>
    <row r="78" spans="12:61" hidden="1">
      <c r="L78" s="713" t="e">
        <f t="shared" si="20"/>
        <v>#DIV/0!</v>
      </c>
    </row>
    <row r="79" spans="12:61" hidden="1">
      <c r="L79" s="713" t="e">
        <f t="shared" si="20"/>
        <v>#DIV/0!</v>
      </c>
      <c r="AD79" s="253"/>
      <c r="AE79" s="253"/>
      <c r="AF79" s="253"/>
      <c r="AG79" s="253"/>
      <c r="AH79" s="1022"/>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row>
    <row r="80" spans="12:61" hidden="1">
      <c r="L80" s="713" t="e">
        <f t="shared" si="20"/>
        <v>#DIV/0!</v>
      </c>
      <c r="AD80" s="253"/>
      <c r="AE80" s="253"/>
      <c r="AF80" s="253"/>
      <c r="AG80" s="253"/>
      <c r="AH80" s="1022"/>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row>
    <row r="81" spans="3:61" ht="60" hidden="1" customHeight="1">
      <c r="C81" s="715" t="str">
        <f>D34</f>
        <v>Ensino/Pequisa</v>
      </c>
      <c r="D81" s="715" t="str">
        <f>D35</f>
        <v>Execução</v>
      </c>
      <c r="E81" s="716" t="str">
        <f>D36</f>
        <v>Projetos</v>
      </c>
      <c r="F81" s="716" t="str">
        <f>D37</f>
        <v>Engenharia de Segurança do Trabalho</v>
      </c>
      <c r="G81" s="716" t="str">
        <f>D38</f>
        <v>Gestão</v>
      </c>
      <c r="H81" s="716" t="str">
        <f>D39</f>
        <v xml:space="preserve">Atividades Especiais em Arquitetura e Urbanismo </v>
      </c>
      <c r="I81" s="716" t="str">
        <f>D40</f>
        <v>Meio Ambiente Planejamento Regional e Urbano</v>
      </c>
      <c r="J81" s="716" t="s">
        <v>128</v>
      </c>
      <c r="K81" s="717"/>
      <c r="L81" s="713"/>
      <c r="X81" s="12"/>
      <c r="Y81" s="12"/>
      <c r="Z81" s="12"/>
      <c r="AA81" s="12"/>
      <c r="AB81" s="12"/>
      <c r="AC81" s="12"/>
      <c r="BD81" s="253"/>
      <c r="BE81" s="253"/>
      <c r="BF81" s="253"/>
      <c r="BG81" s="253"/>
      <c r="BH81" s="253"/>
      <c r="BI81" s="253"/>
    </row>
    <row r="82" spans="3:61" ht="15.75" hidden="1">
      <c r="C82" s="718">
        <f>F34</f>
        <v>2.8368373222234869E-4</v>
      </c>
      <c r="D82" s="718">
        <f>F35</f>
        <v>0.33228353859170817</v>
      </c>
      <c r="E82" s="718">
        <f>F36</f>
        <v>0.53483702204651429</v>
      </c>
      <c r="F82" s="718">
        <f>F37</f>
        <v>6.1544525976028721E-3</v>
      </c>
      <c r="G82" s="718">
        <f>F38</f>
        <v>2.5704714922588977E-2</v>
      </c>
      <c r="H82" s="718">
        <f>F39</f>
        <v>8.5058113932004964E-2</v>
      </c>
      <c r="I82" s="718">
        <f>F40</f>
        <v>1.567847417735841E-2</v>
      </c>
      <c r="J82" s="719">
        <f>D82+E82+F82+G82+H82+I82+C82</f>
        <v>1</v>
      </c>
      <c r="K82" s="717"/>
      <c r="X82" s="12"/>
      <c r="Y82" s="12"/>
      <c r="Z82" s="12"/>
      <c r="AA82" s="12"/>
      <c r="AB82" s="12"/>
      <c r="AC82" s="12"/>
      <c r="BD82" s="253"/>
      <c r="BE82" s="253"/>
      <c r="BF82" s="253"/>
      <c r="BG82" s="253"/>
      <c r="BH82" s="253"/>
      <c r="BI82" s="253"/>
    </row>
    <row r="83" spans="3:61" ht="15.75" hidden="1">
      <c r="C83" s="720">
        <f>E34</f>
        <v>233.59880252527716</v>
      </c>
      <c r="D83" s="720">
        <f>E35</f>
        <v>277041.64539789548</v>
      </c>
      <c r="E83" s="720">
        <f>E36</f>
        <v>444051.20445931476</v>
      </c>
      <c r="F83" s="720">
        <f>E37</f>
        <v>5300.7517313916223</v>
      </c>
      <c r="G83" s="720">
        <f>E38</f>
        <v>25092.828680220729</v>
      </c>
      <c r="H83" s="720">
        <f>E39</f>
        <v>74704.082745314387</v>
      </c>
      <c r="I83" s="720">
        <f>E40</f>
        <v>12985.888183337771</v>
      </c>
      <c r="J83" s="720">
        <f>D83+E83+F83+G83+H83+I83+C83</f>
        <v>839410</v>
      </c>
      <c r="K83" s="721"/>
      <c r="X83" s="12"/>
      <c r="Y83" s="12"/>
      <c r="Z83" s="12"/>
      <c r="AA83" s="12"/>
      <c r="AB83" s="12"/>
      <c r="AC83" s="12"/>
      <c r="BD83" s="253"/>
      <c r="BE83" s="253"/>
      <c r="BF83" s="253"/>
      <c r="BG83" s="253"/>
      <c r="BH83" s="253"/>
      <c r="BI83" s="253"/>
    </row>
    <row r="97" spans="34:34" s="253" customFormat="1">
      <c r="AH97" s="1022"/>
    </row>
    <row r="98" spans="34:34" s="253" customFormat="1">
      <c r="AH98" s="1022"/>
    </row>
    <row r="99" spans="34:34" s="253" customFormat="1">
      <c r="AH99" s="1022"/>
    </row>
    <row r="100" spans="34:34" s="253" customFormat="1">
      <c r="AH100" s="1022"/>
    </row>
    <row r="101" spans="34:34" s="253" customFormat="1">
      <c r="AH101" s="1022"/>
    </row>
    <row r="102" spans="34:34" s="253" customFormat="1">
      <c r="AH102" s="1022"/>
    </row>
    <row r="103" spans="34:34" s="253" customFormat="1">
      <c r="AH103" s="1022"/>
    </row>
    <row r="104" spans="34:34" s="253" customFormat="1">
      <c r="AH104" s="1022"/>
    </row>
    <row r="105" spans="34:34" s="253" customFormat="1">
      <c r="AH105" s="1022"/>
    </row>
    <row r="106" spans="34:34" s="253" customFormat="1">
      <c r="AH106" s="1022"/>
    </row>
    <row r="107" spans="34:34" s="253" customFormat="1">
      <c r="AH107" s="1022"/>
    </row>
    <row r="108" spans="34:34" s="253" customFormat="1">
      <c r="AH108" s="1022"/>
    </row>
    <row r="109" spans="34:34" s="253" customFormat="1">
      <c r="AH109" s="1022"/>
    </row>
    <row r="110" spans="34:34" s="253" customFormat="1">
      <c r="AH110" s="1022"/>
    </row>
    <row r="111" spans="34:34" s="253" customFormat="1">
      <c r="AH111" s="1022"/>
    </row>
    <row r="112" spans="34:34" s="253" customFormat="1">
      <c r="AH112" s="1022"/>
    </row>
    <row r="113" spans="34:34" s="253" customFormat="1">
      <c r="AH113" s="1022"/>
    </row>
    <row r="114" spans="34:34" s="253" customFormat="1">
      <c r="AH114" s="1022"/>
    </row>
    <row r="115" spans="34:34" s="253" customFormat="1">
      <c r="AH115" s="1022"/>
    </row>
    <row r="116" spans="34:34" s="253" customFormat="1">
      <c r="AH116" s="1022"/>
    </row>
    <row r="117" spans="34:34" s="253" customFormat="1">
      <c r="AH117" s="1022"/>
    </row>
    <row r="118" spans="34:34" s="253" customFormat="1">
      <c r="AH118" s="1022"/>
    </row>
    <row r="119" spans="34:34" s="253" customFormat="1">
      <c r="AH119" s="1022"/>
    </row>
    <row r="120" spans="34:34" s="253" customFormat="1">
      <c r="AH120" s="1022"/>
    </row>
    <row r="121" spans="34:34" s="253" customFormat="1">
      <c r="AH121" s="1022"/>
    </row>
    <row r="122" spans="34:34" s="253" customFormat="1">
      <c r="AH122" s="1022"/>
    </row>
    <row r="123" spans="34:34" s="253" customFormat="1">
      <c r="AH123" s="1022"/>
    </row>
    <row r="124" spans="34:34" s="253" customFormat="1">
      <c r="AH124" s="1022"/>
    </row>
    <row r="125" spans="34:34" s="253" customFormat="1">
      <c r="AH125" s="1022"/>
    </row>
    <row r="126" spans="34:34" s="253" customFormat="1">
      <c r="AH126" s="1022"/>
    </row>
    <row r="127" spans="34:34" s="253" customFormat="1">
      <c r="AH127" s="1022"/>
    </row>
    <row r="128" spans="34:34" s="253" customFormat="1">
      <c r="AH128" s="1022"/>
    </row>
    <row r="129" spans="34:34" s="253" customFormat="1">
      <c r="AH129" s="1022"/>
    </row>
    <row r="130" spans="34:34" s="253" customFormat="1">
      <c r="AH130" s="1022"/>
    </row>
    <row r="166" spans="34:34" s="253" customFormat="1">
      <c r="AH166" s="1022"/>
    </row>
    <row r="167" spans="34:34" s="253" customFormat="1">
      <c r="AH167" s="1022"/>
    </row>
    <row r="168" spans="34:34" s="253" customFormat="1">
      <c r="AH168" s="1022"/>
    </row>
    <row r="169" spans="34:34" s="253" customFormat="1">
      <c r="AH169" s="1022"/>
    </row>
    <row r="170" spans="34:34" s="253" customFormat="1">
      <c r="AH170" s="1022"/>
    </row>
    <row r="171" spans="34:34" s="253" customFormat="1">
      <c r="AH171" s="1022"/>
    </row>
    <row r="172" spans="34:34" s="253" customFormat="1">
      <c r="AH172" s="1022"/>
    </row>
    <row r="173" spans="34:34" s="253" customFormat="1">
      <c r="AH173" s="1022"/>
    </row>
    <row r="174" spans="34:34" s="253" customFormat="1">
      <c r="AH174" s="1022"/>
    </row>
    <row r="175" spans="34:34" s="253" customFormat="1">
      <c r="AH175" s="1022"/>
    </row>
    <row r="176" spans="34:34" s="253" customFormat="1">
      <c r="AH176" s="1022"/>
    </row>
    <row r="177" spans="34:34" s="253" customFormat="1">
      <c r="AH177" s="1022"/>
    </row>
    <row r="178" spans="34:34" s="253" customFormat="1">
      <c r="AH178" s="1022"/>
    </row>
    <row r="179" spans="34:34" s="253" customFormat="1">
      <c r="AH179" s="1022"/>
    </row>
    <row r="180" spans="34:34" s="253" customFormat="1">
      <c r="AH180" s="1022"/>
    </row>
    <row r="181" spans="34:34" s="253" customFormat="1">
      <c r="AH181" s="1022"/>
    </row>
    <row r="182" spans="34:34" s="253" customFormat="1">
      <c r="AH182" s="1022"/>
    </row>
    <row r="183" spans="34:34" s="253" customFormat="1">
      <c r="AH183" s="1022"/>
    </row>
    <row r="184" spans="34:34" s="253" customFormat="1">
      <c r="AH184" s="1022"/>
    </row>
    <row r="185" spans="34:34" s="253" customFormat="1">
      <c r="AH185" s="1022"/>
    </row>
    <row r="186" spans="34:34" s="253" customFormat="1">
      <c r="AH186" s="1022"/>
    </row>
    <row r="187" spans="34:34" s="253" customFormat="1">
      <c r="AH187" s="1022"/>
    </row>
    <row r="188" spans="34:34" s="253" customFormat="1">
      <c r="AH188" s="1022"/>
    </row>
    <row r="189" spans="34:34" s="253" customFormat="1">
      <c r="AH189" s="1022"/>
    </row>
    <row r="190" spans="34:34" s="253" customFormat="1">
      <c r="AH190" s="1022"/>
    </row>
    <row r="191" spans="34:34" s="253" customFormat="1">
      <c r="AH191" s="1022"/>
    </row>
    <row r="192" spans="34:34" s="253" customFormat="1">
      <c r="AH192" s="1022"/>
    </row>
    <row r="193" spans="34:34" s="253" customFormat="1">
      <c r="AH193" s="1022"/>
    </row>
    <row r="194" spans="34:34" s="253" customFormat="1">
      <c r="AH194" s="1022"/>
    </row>
    <row r="195" spans="34:34" s="253" customFormat="1">
      <c r="AH195" s="1022"/>
    </row>
    <row r="196" spans="34:34" s="253" customFormat="1">
      <c r="AH196" s="1022"/>
    </row>
    <row r="197" spans="34:34" s="253" customFormat="1">
      <c r="AH197" s="1022"/>
    </row>
    <row r="198" spans="34:34" s="253" customFormat="1">
      <c r="AH198" s="1022"/>
    </row>
    <row r="199" spans="34:34" s="253" customFormat="1">
      <c r="AH199" s="1022"/>
    </row>
    <row r="200" spans="34:34" s="253" customFormat="1">
      <c r="AH200" s="1022"/>
    </row>
  </sheetData>
  <sortState ref="AE15:AG21">
    <sortCondition descending="1" ref="AG15:AG21"/>
  </sortState>
  <mergeCells count="3">
    <mergeCell ref="A1:AB1"/>
    <mergeCell ref="A32:D32"/>
    <mergeCell ref="AH14:AH22"/>
  </mergeCells>
  <conditionalFormatting sqref="E31">
    <cfRule type="cellIs" dxfId="81" priority="18" operator="equal">
      <formula>$E$30</formula>
    </cfRule>
  </conditionalFormatting>
  <conditionalFormatting sqref="I31">
    <cfRule type="cellIs" dxfId="80" priority="17" operator="equal">
      <formula>$I$30</formula>
    </cfRule>
  </conditionalFormatting>
  <conditionalFormatting sqref="K31">
    <cfRule type="cellIs" dxfId="79" priority="16" operator="equal">
      <formula>$K$30</formula>
    </cfRule>
  </conditionalFormatting>
  <conditionalFormatting sqref="L31">
    <cfRule type="cellIs" dxfId="78" priority="15" operator="equal">
      <formula>$L$30</formula>
    </cfRule>
  </conditionalFormatting>
  <conditionalFormatting sqref="Q31">
    <cfRule type="cellIs" dxfId="77" priority="14" operator="equal">
      <formula>$Q$30</formula>
    </cfRule>
  </conditionalFormatting>
  <conditionalFormatting sqref="R31">
    <cfRule type="cellIs" dxfId="76" priority="13" operator="equal">
      <formula>$R$30</formula>
    </cfRule>
  </conditionalFormatting>
  <conditionalFormatting sqref="T31">
    <cfRule type="cellIs" dxfId="75" priority="12" operator="equal">
      <formula>$T$30</formula>
    </cfRule>
  </conditionalFormatting>
  <conditionalFormatting sqref="U31">
    <cfRule type="cellIs" dxfId="74" priority="11" operator="equal">
      <formula>$U$30</formula>
    </cfRule>
  </conditionalFormatting>
  <conditionalFormatting sqref="W31">
    <cfRule type="cellIs" dxfId="73" priority="10" operator="equal">
      <formula>$W$30</formula>
    </cfRule>
  </conditionalFormatting>
  <conditionalFormatting sqref="X31">
    <cfRule type="cellIs" dxfId="72" priority="9" operator="equal">
      <formula>$X$30</formula>
    </cfRule>
  </conditionalFormatting>
  <conditionalFormatting sqref="Z31">
    <cfRule type="cellIs" dxfId="71" priority="8" operator="equal">
      <formula>$Z$30</formula>
    </cfRule>
  </conditionalFormatting>
  <conditionalFormatting sqref="AA31">
    <cfRule type="cellIs" dxfId="70" priority="7" operator="equal">
      <formula>$AA$30</formula>
    </cfRule>
  </conditionalFormatting>
  <conditionalFormatting sqref="F31">
    <cfRule type="cellIs" dxfId="69" priority="3" operator="equal">
      <formula>$F$30</formula>
    </cfRule>
    <cfRule type="cellIs" dxfId="68" priority="6" operator="equal">
      <formula>$I$30</formula>
    </cfRule>
  </conditionalFormatting>
  <conditionalFormatting sqref="H31">
    <cfRule type="cellIs" dxfId="67" priority="4" operator="equal">
      <formula>$H$30</formula>
    </cfRule>
    <cfRule type="cellIs" dxfId="66" priority="5" operator="equal">
      <formula>$K$30</formula>
    </cfRule>
  </conditionalFormatting>
  <conditionalFormatting sqref="B31">
    <cfRule type="cellIs" dxfId="65" priority="2" operator="equal">
      <formula>$B$30</formula>
    </cfRule>
  </conditionalFormatting>
  <conditionalFormatting sqref="C31">
    <cfRule type="cellIs" dxfId="64" priority="1" operator="equal">
      <formula>$C$30</formula>
    </cfRule>
  </conditionalFormatting>
  <pageMargins left="0.511811024" right="0.511811024" top="0.78740157499999996" bottom="0.78740157499999996" header="0.31496062000000002" footer="0.31496062000000002"/>
  <pageSetup paperSize="9" fitToWidth="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tabColor theme="6" tint="0.39997558519241921"/>
    <pageSetUpPr fitToPage="1"/>
  </sheetPr>
  <dimension ref="A1:BA76"/>
  <sheetViews>
    <sheetView showGridLines="0" zoomScale="50" zoomScaleNormal="50" workbookViewId="0">
      <selection sqref="A1:AC1"/>
    </sheetView>
  </sheetViews>
  <sheetFormatPr defaultRowHeight="15"/>
  <cols>
    <col min="1" max="1" width="12.5703125" style="274" customWidth="1"/>
    <col min="2" max="2" width="18.28515625" style="274" hidden="1" customWidth="1"/>
    <col min="3" max="3" width="15.7109375" style="274" customWidth="1"/>
    <col min="4" max="4" width="13.140625" style="274" customWidth="1"/>
    <col min="5" max="5" width="12.5703125" style="274" customWidth="1"/>
    <col min="6" max="6" width="15.5703125" style="274" hidden="1" customWidth="1"/>
    <col min="7" max="9" width="12.5703125" style="274" customWidth="1"/>
    <col min="10" max="10" width="12.5703125" style="274" hidden="1" customWidth="1"/>
    <col min="11" max="13" width="12.5703125" style="274" customWidth="1"/>
    <col min="14" max="14" width="15.7109375" style="274" hidden="1" customWidth="1"/>
    <col min="15" max="17" width="12.5703125" style="274" customWidth="1"/>
    <col min="18" max="18" width="15.85546875" style="274" hidden="1" customWidth="1"/>
    <col min="19" max="21" width="12.5703125" style="274" customWidth="1"/>
    <col min="22" max="22" width="12.5703125" style="274" hidden="1" customWidth="1"/>
    <col min="23" max="25" width="12.5703125" style="274" customWidth="1"/>
    <col min="26" max="26" width="14.5703125" style="274" hidden="1" customWidth="1"/>
    <col min="27" max="29" width="12.5703125" style="274" customWidth="1"/>
    <col min="30" max="30" width="14.85546875" style="274" hidden="1" customWidth="1"/>
    <col min="31" max="33" width="12.5703125" style="274" customWidth="1"/>
    <col min="34" max="34" width="12.5703125" style="274" hidden="1" customWidth="1"/>
    <col min="35" max="37" width="12.5703125" style="274" customWidth="1"/>
    <col min="38" max="38" width="12.5703125" style="274" hidden="1" customWidth="1"/>
    <col min="39" max="41" width="12.5703125" style="274" customWidth="1"/>
    <col min="42" max="42" width="12.5703125" style="274" hidden="1" customWidth="1"/>
    <col min="43" max="45" width="12.5703125" style="274" customWidth="1"/>
    <col min="46" max="46" width="16.85546875" style="274" hidden="1" customWidth="1"/>
    <col min="47" max="47" width="13.42578125" style="274" customWidth="1"/>
    <col min="48" max="48" width="10.140625" style="723" customWidth="1"/>
    <col min="49" max="49" width="6.140625" style="724" customWidth="1"/>
    <col min="50" max="50" width="53" style="253" customWidth="1"/>
    <col min="51" max="51" width="14.140625" style="253" customWidth="1"/>
    <col min="52" max="52" width="9.85546875" style="253" customWidth="1"/>
    <col min="53" max="53" width="21.28515625" style="253" customWidth="1"/>
    <col min="54" max="16384" width="9.140625" style="253"/>
  </cols>
  <sheetData>
    <row r="1" spans="1:52" ht="16.5" thickBot="1">
      <c r="A1" s="1449" t="s">
        <v>622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722"/>
      <c r="AT1" s="722" t="s">
        <v>623</v>
      </c>
      <c r="AU1" s="722"/>
    </row>
    <row r="2" spans="1:52" ht="68.25" customHeight="1" thickTop="1" thickBot="1">
      <c r="A2" s="1450" t="s">
        <v>182</v>
      </c>
      <c r="B2" s="1443" t="s">
        <v>624</v>
      </c>
      <c r="C2" s="1443"/>
      <c r="D2" s="1443"/>
      <c r="E2" s="1451"/>
      <c r="F2" s="1443" t="s">
        <v>625</v>
      </c>
      <c r="G2" s="1443"/>
      <c r="H2" s="1443"/>
      <c r="I2" s="1451"/>
      <c r="J2" s="1443" t="s">
        <v>626</v>
      </c>
      <c r="K2" s="1443"/>
      <c r="L2" s="1443"/>
      <c r="M2" s="1451"/>
      <c r="N2" s="1443" t="s">
        <v>627</v>
      </c>
      <c r="O2" s="1443"/>
      <c r="P2" s="1443"/>
      <c r="Q2" s="1451"/>
      <c r="R2" s="1443" t="s">
        <v>628</v>
      </c>
      <c r="S2" s="1443"/>
      <c r="T2" s="1443"/>
      <c r="U2" s="1451"/>
      <c r="V2" s="1443" t="s">
        <v>629</v>
      </c>
      <c r="W2" s="1443"/>
      <c r="X2" s="1443"/>
      <c r="Y2" s="1451"/>
      <c r="Z2" s="1443" t="s">
        <v>630</v>
      </c>
      <c r="AA2" s="1443"/>
      <c r="AB2" s="1443"/>
      <c r="AC2" s="1451"/>
      <c r="AD2" s="1443" t="s">
        <v>631</v>
      </c>
      <c r="AE2" s="1443"/>
      <c r="AF2" s="1443"/>
      <c r="AG2" s="1451"/>
      <c r="AH2" s="1443" t="s">
        <v>632</v>
      </c>
      <c r="AI2" s="1443"/>
      <c r="AJ2" s="1443"/>
      <c r="AK2" s="1451"/>
      <c r="AL2" s="1443" t="s">
        <v>633</v>
      </c>
      <c r="AM2" s="1443"/>
      <c r="AN2" s="1443"/>
      <c r="AO2" s="1451"/>
      <c r="AP2" s="1443" t="s">
        <v>634</v>
      </c>
      <c r="AQ2" s="1443"/>
      <c r="AR2" s="1443"/>
      <c r="AS2" s="1443"/>
      <c r="AT2" s="725" t="s">
        <v>635</v>
      </c>
      <c r="AU2" s="1444" t="s">
        <v>34</v>
      </c>
    </row>
    <row r="3" spans="1:52" ht="39" customHeight="1" thickBot="1">
      <c r="A3" s="1450"/>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726" t="s">
        <v>636</v>
      </c>
      <c r="S3" s="727" t="s">
        <v>637</v>
      </c>
      <c r="T3" s="727" t="s">
        <v>638</v>
      </c>
      <c r="U3" s="727" t="s">
        <v>639</v>
      </c>
      <c r="V3" s="726" t="s">
        <v>636</v>
      </c>
      <c r="W3" s="727" t="s">
        <v>637</v>
      </c>
      <c r="X3" s="727" t="s">
        <v>638</v>
      </c>
      <c r="Y3" s="727" t="s">
        <v>639</v>
      </c>
      <c r="Z3" s="726" t="s">
        <v>636</v>
      </c>
      <c r="AA3" s="727" t="s">
        <v>637</v>
      </c>
      <c r="AB3" s="727" t="s">
        <v>638</v>
      </c>
      <c r="AC3" s="727" t="s">
        <v>639</v>
      </c>
      <c r="AD3" s="726" t="s">
        <v>636</v>
      </c>
      <c r="AE3" s="727" t="s">
        <v>637</v>
      </c>
      <c r="AF3" s="727" t="s">
        <v>638</v>
      </c>
      <c r="AG3" s="727" t="s">
        <v>639</v>
      </c>
      <c r="AH3" s="726" t="s">
        <v>636</v>
      </c>
      <c r="AI3" s="727" t="s">
        <v>637</v>
      </c>
      <c r="AJ3" s="727" t="s">
        <v>638</v>
      </c>
      <c r="AK3" s="727" t="s">
        <v>639</v>
      </c>
      <c r="AL3" s="726" t="s">
        <v>636</v>
      </c>
      <c r="AM3" s="727" t="s">
        <v>637</v>
      </c>
      <c r="AN3" s="727" t="s">
        <v>638</v>
      </c>
      <c r="AO3" s="727" t="s">
        <v>639</v>
      </c>
      <c r="AP3" s="726" t="s">
        <v>636</v>
      </c>
      <c r="AQ3" s="727" t="s">
        <v>637</v>
      </c>
      <c r="AR3" s="727" t="s">
        <v>638</v>
      </c>
      <c r="AS3" s="727" t="s">
        <v>639</v>
      </c>
      <c r="AT3" s="728" t="s">
        <v>637</v>
      </c>
      <c r="AU3" s="1445"/>
      <c r="AX3" s="1446" t="s">
        <v>640</v>
      </c>
      <c r="AY3" s="1446"/>
      <c r="AZ3" s="1446"/>
    </row>
    <row r="4" spans="1:52" ht="21">
      <c r="A4" s="729" t="s">
        <v>87</v>
      </c>
      <c r="B4" s="730">
        <f>'RRT - Subgrupo - IGEO'!B3</f>
        <v>1324</v>
      </c>
      <c r="C4" s="731">
        <f>$AU4*B35</f>
        <v>925.04293520686974</v>
      </c>
      <c r="D4" s="732">
        <f>IFERROR(C4/$C$31*100,)</f>
        <v>0.39392070591361239</v>
      </c>
      <c r="E4" s="732">
        <f>IFERROR((C4/$AU4)*100,0)</f>
        <v>51.397515527950311</v>
      </c>
      <c r="F4" s="730">
        <f>'RRT - Subgrupo - IGEO'!E3</f>
        <v>126</v>
      </c>
      <c r="G4" s="731">
        <f>$AU4*F35</f>
        <v>88.032786885245926</v>
      </c>
      <c r="H4" s="732">
        <f>IFERROR(G4/$G$31*100,)</f>
        <v>0.2024605920022278</v>
      </c>
      <c r="I4" s="732">
        <f>IFERROR((G4/$AU4)*100,0)</f>
        <v>4.8913043478260869</v>
      </c>
      <c r="J4" s="730">
        <f>'RRT - Subgrupo - IGEO'!H3</f>
        <v>64</v>
      </c>
      <c r="K4" s="731">
        <f>$AU4*J35</f>
        <v>44.715066354410624</v>
      </c>
      <c r="L4" s="732">
        <f>IFERROR(K4/$K$31*100,)</f>
        <v>0.93183479787960788</v>
      </c>
      <c r="M4" s="732">
        <f>IFERROR((K4/$AU4)*100,0)</f>
        <v>2.4844720496894408</v>
      </c>
      <c r="N4" s="730">
        <f>'RRT - Subgrupo - IGEO'!K3</f>
        <v>133</v>
      </c>
      <c r="O4" s="731">
        <f>$AU4*N35</f>
        <v>92.923497267759586</v>
      </c>
      <c r="P4" s="732">
        <f>IFERROR(O4/$O$31*100,)</f>
        <v>0.30996016810613514</v>
      </c>
      <c r="Q4" s="733">
        <f>IFERROR((O4/$AU4)*100,0)</f>
        <v>5.1630434782608701</v>
      </c>
      <c r="R4" s="730">
        <f>'RRT - Subgrupo - IGEO'!N3</f>
        <v>462</v>
      </c>
      <c r="S4" s="731">
        <f>$AU4*R35</f>
        <v>322.78688524590166</v>
      </c>
      <c r="T4" s="732">
        <f>IFERROR(S4/$S$31*100,)</f>
        <v>0.42246767092992005</v>
      </c>
      <c r="U4" s="732">
        <f>IFERROR((S4/$AU4)*100,0)</f>
        <v>17.934782608695652</v>
      </c>
      <c r="V4" s="730">
        <f>'RRT - Subgrupo - IGEO'!Q3</f>
        <v>23</v>
      </c>
      <c r="W4" s="731">
        <f>$AU4*V35</f>
        <v>16.069476971116316</v>
      </c>
      <c r="X4" s="732">
        <f>IFERROR(W4/$W$31*100,)</f>
        <v>0.48629529247706621</v>
      </c>
      <c r="Y4" s="732">
        <f>IFERROR((W4/$AU4)*100,0)</f>
        <v>0.89285714285714279</v>
      </c>
      <c r="Z4" s="730">
        <f>'RRT - Subgrupo - IGEO'!T3</f>
        <v>156</v>
      </c>
      <c r="AA4" s="731">
        <f>$AU4*Z35</f>
        <v>108.9929742388759</v>
      </c>
      <c r="AB4" s="732">
        <f>IFERROR(AA4/$AA$31*100,)</f>
        <v>0.72836909279058559</v>
      </c>
      <c r="AC4" s="732">
        <f>IFERROR((AA4/$AU4)*100,0)</f>
        <v>6.0559006211180124</v>
      </c>
      <c r="AD4" s="730">
        <f>'RRT - Subgrupo - IGEO'!W3</f>
        <v>183</v>
      </c>
      <c r="AE4" s="731">
        <f>$AU4*AD35</f>
        <v>127.85714285714289</v>
      </c>
      <c r="AF4" s="732">
        <f>IFERROR(AE4/$AE$31*100,)</f>
        <v>0.49488087417527077</v>
      </c>
      <c r="AG4" s="732">
        <f>IFERROR((AE4/$AU4)*100,0)</f>
        <v>7.1040372670807459</v>
      </c>
      <c r="AH4" s="730">
        <f>'RRT - Subgrupo - IGEO'!Z3</f>
        <v>33</v>
      </c>
      <c r="AI4" s="731">
        <f>$AU4*AH35</f>
        <v>23.05620608899298</v>
      </c>
      <c r="AJ4" s="732">
        <f>IFERROR(AI4/$AI$31*100,)</f>
        <v>0.50608019246702196</v>
      </c>
      <c r="AK4" s="732">
        <f>IFERROR((AI4/$AU4)*100,0)</f>
        <v>1.2810559006211182</v>
      </c>
      <c r="AL4" s="730">
        <f>'RRT - Subgrupo - IGEO'!AC3</f>
        <v>70</v>
      </c>
      <c r="AM4" s="731">
        <f>$AU4*AL35</f>
        <v>48.907103825136616</v>
      </c>
      <c r="AN4" s="732">
        <f>IFERROR(AM4/$AM$31*100,)</f>
        <v>0.91704040364849893</v>
      </c>
      <c r="AO4" s="732">
        <f>IFERROR((AM4/$AU4)*100,0)</f>
        <v>2.7173913043478262</v>
      </c>
      <c r="AP4" s="730">
        <f>'RRT - Subgrupo - IGEO'!AF3</f>
        <v>2</v>
      </c>
      <c r="AQ4" s="731">
        <f>$AU4*AP35</f>
        <v>1.397345823575332</v>
      </c>
      <c r="AR4" s="732">
        <f>IFERROR(AQ4/$AQ$31*100,)</f>
        <v>0.24785822918752215</v>
      </c>
      <c r="AS4" s="732">
        <f>IFERROR((AQ4/$AU4)*100,0)</f>
        <v>7.7639751552795025E-2</v>
      </c>
      <c r="AT4" s="734">
        <f t="shared" ref="AT4:AT31" si="0">B4+F4+J4+N4+R4+V4+AH4+AL4+AP4+Z4+AD4</f>
        <v>2576</v>
      </c>
      <c r="AU4" s="731">
        <f>'RRT - Atividades '!L3</f>
        <v>1799.7814207650276</v>
      </c>
      <c r="AV4" s="723">
        <f>C4+G4+K4+O4+S4+W4+AA4+AE4+AI4+AM4+AQ4</f>
        <v>1799.7814207650272</v>
      </c>
      <c r="AW4" s="723">
        <f>AU4-AV4</f>
        <v>0</v>
      </c>
      <c r="AX4" s="735" t="s">
        <v>613</v>
      </c>
      <c r="AY4" s="735" t="s">
        <v>614</v>
      </c>
      <c r="AZ4" s="735" t="s">
        <v>423</v>
      </c>
    </row>
    <row r="5" spans="1:52" ht="21">
      <c r="A5" s="736" t="s">
        <v>88</v>
      </c>
      <c r="B5" s="730">
        <f>'RRT - Subgrupo - IGEO'!B4</f>
        <v>3505</v>
      </c>
      <c r="C5" s="731">
        <f t="shared" ref="C5:C30" si="1">$AU5*B36</f>
        <v>2197.865709698744</v>
      </c>
      <c r="D5" s="732">
        <f t="shared" ref="D5:D30" si="2">IFERROR(C5/$C$31*100,)</f>
        <v>0.93594013738857906</v>
      </c>
      <c r="E5" s="732">
        <f t="shared" ref="E5:E30" si="3">IFERROR((C5/$AU5)*100,0)</f>
        <v>51.167883211678834</v>
      </c>
      <c r="F5" s="730">
        <f>'RRT - Subgrupo - IGEO'!E4</f>
        <v>661</v>
      </c>
      <c r="G5" s="731">
        <f t="shared" ref="G5:G30" si="4">$AU5*F36</f>
        <v>414.49050901879303</v>
      </c>
      <c r="H5" s="732">
        <f t="shared" ref="H5:H30" si="5">IFERROR(G5/$G$31*100,)</f>
        <v>0.95325840297024633</v>
      </c>
      <c r="I5" s="732">
        <f t="shared" ref="I5:I30" si="6">IFERROR((G5/$AU5)*100,0)</f>
        <v>9.649635036496349</v>
      </c>
      <c r="J5" s="730">
        <f>'RRT - Subgrupo - IGEO'!H4</f>
        <v>85</v>
      </c>
      <c r="K5" s="731">
        <f t="shared" ref="K5:K30" si="7">$AU5*J36</f>
        <v>53.300594957030874</v>
      </c>
      <c r="L5" s="732">
        <f t="shared" ref="L5:L30" si="8">IFERROR(K5/$K$31*100,)</f>
        <v>1.1107519943051276</v>
      </c>
      <c r="M5" s="732">
        <f t="shared" ref="M5:M30" si="9">IFERROR((K5/$AU5)*100,0)</f>
        <v>1.2408759124087592</v>
      </c>
      <c r="N5" s="730">
        <f>'RRT - Subgrupo - IGEO'!K4</f>
        <v>589</v>
      </c>
      <c r="O5" s="731">
        <f t="shared" ref="O5:O30" si="10">$AU5*N36</f>
        <v>369.34176976107278</v>
      </c>
      <c r="P5" s="732">
        <f t="shared" ref="P5:P30" si="11">IFERROR(O5/$O$31*100,)</f>
        <v>1.2319944945020875</v>
      </c>
      <c r="Q5" s="733">
        <f t="shared" ref="Q5:Q30" si="12">IFERROR((O5/$AU5)*100,0)</f>
        <v>8.5985401459854014</v>
      </c>
      <c r="R5" s="730">
        <f>'RRT - Subgrupo - IGEO'!N4</f>
        <v>1211</v>
      </c>
      <c r="S5" s="731">
        <f t="shared" ref="S5:S30" si="13">$AU5*R36</f>
        <v>759.37671168193401</v>
      </c>
      <c r="T5" s="732">
        <f t="shared" ref="T5:T30" si="14">IFERROR(S5/$S$31*100,)</f>
        <v>0.99388211047760133</v>
      </c>
      <c r="U5" s="732">
        <f t="shared" ref="U5:U30" si="15">IFERROR((S5/$AU5)*100,0)</f>
        <v>17.678832116788321</v>
      </c>
      <c r="V5" s="730">
        <f>'RRT - Subgrupo - IGEO'!Q4</f>
        <v>54</v>
      </c>
      <c r="W5" s="731">
        <f t="shared" ref="W5:W30" si="16">$AU5*V36</f>
        <v>33.861554443290203</v>
      </c>
      <c r="X5" s="732">
        <f t="shared" ref="X5:X30" si="17">IFERROR(W5/$W$31*100,)</f>
        <v>1.024720004971263</v>
      </c>
      <c r="Y5" s="732">
        <f t="shared" ref="Y5:Y30" si="18">IFERROR((W5/$AU5)*100,0)</f>
        <v>0.7883211678832116</v>
      </c>
      <c r="Z5" s="730">
        <f>'RRT - Subgrupo - IGEO'!T4</f>
        <v>268</v>
      </c>
      <c r="AA5" s="731">
        <f t="shared" ref="AA5:AA30" si="19">$AU5*Z36</f>
        <v>168.05364057040325</v>
      </c>
      <c r="AB5" s="732">
        <f t="shared" ref="AB5:AB30" si="20">IFERROR(AA5/$AA$31*100,)</f>
        <v>1.1230547526315691</v>
      </c>
      <c r="AC5" s="732">
        <f t="shared" ref="AC5:AC30" si="21">IFERROR((AA5/$AU5)*100,0)</f>
        <v>3.9124087591240877</v>
      </c>
      <c r="AD5" s="730">
        <f>'RRT - Subgrupo - IGEO'!W4</f>
        <v>368</v>
      </c>
      <c r="AE5" s="731">
        <f t="shared" ref="AE5:AE30" si="22">$AU5*AD36</f>
        <v>230.7602228727925</v>
      </c>
      <c r="AF5" s="732">
        <f t="shared" ref="AF5:AF30" si="23">IFERROR(AE5/$AE$31*100,)</f>
        <v>0.89317513490634071</v>
      </c>
      <c r="AG5" s="732">
        <f t="shared" ref="AG5:AG30" si="24">IFERROR((AE5/$AU5)*100,0)</f>
        <v>5.3722627737226274</v>
      </c>
      <c r="AH5" s="730">
        <f>'RRT - Subgrupo - IGEO'!Z4</f>
        <v>35</v>
      </c>
      <c r="AI5" s="731">
        <f t="shared" ref="AI5:AI30" si="25">$AU5*AH36</f>
        <v>21.947303805836242</v>
      </c>
      <c r="AJ5" s="732">
        <f t="shared" ref="AJ5:AJ30" si="26">IFERROR(AI5/$AI$31*100,)</f>
        <v>0.48173995718629214</v>
      </c>
      <c r="AK5" s="732">
        <f t="shared" ref="AK5:AK30" si="27">IFERROR((AI5/$AU5)*100,0)</f>
        <v>0.51094890510948909</v>
      </c>
      <c r="AL5" s="730">
        <f>'RRT - Subgrupo - IGEO'!AC4</f>
        <v>73</v>
      </c>
      <c r="AM5" s="731">
        <f t="shared" ref="AM5:AM30" si="28">$AU5*AL36</f>
        <v>45.775805080744163</v>
      </c>
      <c r="AN5" s="732">
        <f t="shared" ref="AN5:AN30" si="29">IFERROR(AM5/$AM$31*100,)</f>
        <v>0.85832649012852014</v>
      </c>
      <c r="AO5" s="732">
        <f t="shared" ref="AO5:AO30" si="30">IFERROR((AM5/$AU5)*100,0)</f>
        <v>1.0656934306569343</v>
      </c>
      <c r="AP5" s="730">
        <f>'RRT - Subgrupo - IGEO'!AF4</f>
        <v>1</v>
      </c>
      <c r="AQ5" s="731">
        <f t="shared" ref="AQ5:AQ30" si="31">$AU5*AP36</f>
        <v>0.62706582302389269</v>
      </c>
      <c r="AR5" s="732">
        <f t="shared" ref="AR5:AR30" si="32">IFERROR(AQ5/$AQ$31*100,)</f>
        <v>0.11122760154035639</v>
      </c>
      <c r="AS5" s="732">
        <f t="shared" ref="AS5:AS30" si="33">IFERROR((AQ5/$AU5)*100,0)</f>
        <v>1.4598540145985403E-2</v>
      </c>
      <c r="AT5" s="737">
        <f t="shared" si="0"/>
        <v>6850</v>
      </c>
      <c r="AU5" s="738">
        <f>'RRT - Atividades '!L4</f>
        <v>4295.4008877136648</v>
      </c>
      <c r="AV5" s="723">
        <f t="shared" ref="AV5:AV31" si="34">C5+G5+K5+O5+S5+W5+AA5+AE5+AI5+AM5+AQ5</f>
        <v>4295.4008877136657</v>
      </c>
      <c r="AW5" s="723">
        <f t="shared" ref="AW5:AW30" si="35">AU5-AV5</f>
        <v>0</v>
      </c>
      <c r="AX5" s="739" t="str">
        <f>B2</f>
        <v>ARQUITETURA DAS EDIFICAÇÕES</v>
      </c>
      <c r="AY5" s="740">
        <f>C31</f>
        <v>234829.73129362066</v>
      </c>
      <c r="AZ5" s="741">
        <f t="shared" ref="AZ5:AZ15" si="36">AY5/$AY$16</f>
        <v>0.52883480313842157</v>
      </c>
    </row>
    <row r="6" spans="1:52" ht="21">
      <c r="A6" s="736" t="s">
        <v>90</v>
      </c>
      <c r="B6" s="730">
        <f>'RRT - Subgrupo - IGEO'!B5</f>
        <v>2791</v>
      </c>
      <c r="C6" s="731">
        <f t="shared" si="1"/>
        <v>1863.8774805867126</v>
      </c>
      <c r="D6" s="732">
        <f t="shared" si="2"/>
        <v>0.7937144374006897</v>
      </c>
      <c r="E6" s="732">
        <f t="shared" si="3"/>
        <v>44.713232938160843</v>
      </c>
      <c r="F6" s="730">
        <f>'RRT - Subgrupo - IGEO'!E5</f>
        <v>190</v>
      </c>
      <c r="G6" s="731">
        <f t="shared" si="4"/>
        <v>126.88524590163934</v>
      </c>
      <c r="H6" s="732">
        <f t="shared" si="5"/>
        <v>0.29181470802555731</v>
      </c>
      <c r="I6" s="732">
        <f t="shared" si="6"/>
        <v>3.0438961871195129</v>
      </c>
      <c r="J6" s="730">
        <f>'RRT - Subgrupo - IGEO'!H5</f>
        <v>167</v>
      </c>
      <c r="K6" s="731">
        <f t="shared" si="7"/>
        <v>111.52545297670405</v>
      </c>
      <c r="L6" s="732">
        <f t="shared" si="8"/>
        <v>2.3241226370835495</v>
      </c>
      <c r="M6" s="732">
        <f t="shared" si="9"/>
        <v>2.6754245434155717</v>
      </c>
      <c r="N6" s="730">
        <f>'RRT - Subgrupo - IGEO'!K5</f>
        <v>732</v>
      </c>
      <c r="O6" s="731">
        <f t="shared" si="10"/>
        <v>488.84210526315786</v>
      </c>
      <c r="P6" s="732">
        <f t="shared" si="11"/>
        <v>1.6306056657350632</v>
      </c>
      <c r="Q6" s="733">
        <f t="shared" si="12"/>
        <v>11.727010573534123</v>
      </c>
      <c r="R6" s="730">
        <f>'RRT - Subgrupo - IGEO'!N5</f>
        <v>1297</v>
      </c>
      <c r="S6" s="731">
        <f t="shared" si="13"/>
        <v>866.15875754961166</v>
      </c>
      <c r="T6" s="732">
        <f t="shared" si="14"/>
        <v>1.1336398400411274</v>
      </c>
      <c r="U6" s="732">
        <f t="shared" si="15"/>
        <v>20.778596603652673</v>
      </c>
      <c r="V6" s="730">
        <f>'RRT - Subgrupo - IGEO'!Q5</f>
        <v>59</v>
      </c>
      <c r="W6" s="731">
        <f t="shared" si="16"/>
        <v>39.40120793787748</v>
      </c>
      <c r="X6" s="732">
        <f t="shared" si="17"/>
        <v>1.1923612680449784</v>
      </c>
      <c r="Y6" s="732">
        <f t="shared" si="18"/>
        <v>0.94520986863184875</v>
      </c>
      <c r="Z6" s="730">
        <f>'RRT - Subgrupo - IGEO'!T5</f>
        <v>476</v>
      </c>
      <c r="AA6" s="731">
        <f t="shared" si="19"/>
        <v>317.88093183779119</v>
      </c>
      <c r="AB6" s="732">
        <f t="shared" si="20"/>
        <v>2.1243079891615024</v>
      </c>
      <c r="AC6" s="732">
        <f t="shared" si="21"/>
        <v>7.6257609740467807</v>
      </c>
      <c r="AD6" s="730">
        <f>'RRT - Subgrupo - IGEO'!W5</f>
        <v>321</v>
      </c>
      <c r="AE6" s="731">
        <f t="shared" si="22"/>
        <v>214.3692838654012</v>
      </c>
      <c r="AF6" s="732">
        <f t="shared" si="23"/>
        <v>0.82973274879268766</v>
      </c>
      <c r="AG6" s="732">
        <f t="shared" si="24"/>
        <v>5.1425825056071774</v>
      </c>
      <c r="AH6" s="730">
        <f>'RRT - Subgrupo - IGEO'!Z5</f>
        <v>70</v>
      </c>
      <c r="AI6" s="731">
        <f t="shared" si="25"/>
        <v>46.747195858498699</v>
      </c>
      <c r="AJ6" s="732">
        <f t="shared" si="26"/>
        <v>1.0260937895006423</v>
      </c>
      <c r="AK6" s="732">
        <f t="shared" si="27"/>
        <v>1.1214354373598205</v>
      </c>
      <c r="AL6" s="730">
        <f>'RRT - Subgrupo - IGEO'!AC5</f>
        <v>127</v>
      </c>
      <c r="AM6" s="731">
        <f t="shared" si="28"/>
        <v>84.812769628990509</v>
      </c>
      <c r="AN6" s="732">
        <f t="shared" si="29"/>
        <v>1.5902952825258478</v>
      </c>
      <c r="AO6" s="732">
        <f t="shared" si="30"/>
        <v>2.0346042934956747</v>
      </c>
      <c r="AP6" s="730">
        <f>'RRT - Subgrupo - IGEO'!AF5</f>
        <v>12</v>
      </c>
      <c r="AQ6" s="731">
        <f t="shared" si="31"/>
        <v>8.0138050043140634</v>
      </c>
      <c r="AR6" s="732">
        <f t="shared" si="32"/>
        <v>1.4214716814633286</v>
      </c>
      <c r="AS6" s="732">
        <f t="shared" si="33"/>
        <v>0.19224607497596924</v>
      </c>
      <c r="AT6" s="737">
        <f t="shared" si="0"/>
        <v>6242</v>
      </c>
      <c r="AU6" s="738">
        <f>'RRT - Atividades '!L5</f>
        <v>4168.5142364106987</v>
      </c>
      <c r="AV6" s="723">
        <f t="shared" si="34"/>
        <v>4168.5142364106987</v>
      </c>
      <c r="AW6" s="723">
        <f t="shared" si="35"/>
        <v>0</v>
      </c>
      <c r="AX6" s="739" t="str">
        <f>F2</f>
        <v>SISTEMAS CONSTRUTIVOS E ESTRUTURAIS</v>
      </c>
      <c r="AY6" s="740">
        <f>G31</f>
        <v>43481.442988311152</v>
      </c>
      <c r="AZ6" s="741">
        <f t="shared" si="36"/>
        <v>9.7919885255699279E-2</v>
      </c>
    </row>
    <row r="7" spans="1:52" ht="24">
      <c r="A7" s="736" t="s">
        <v>89</v>
      </c>
      <c r="B7" s="730">
        <f>'RRT - Subgrupo - IGEO'!B6</f>
        <v>1712</v>
      </c>
      <c r="C7" s="731">
        <f t="shared" si="1"/>
        <v>875.73187746436156</v>
      </c>
      <c r="D7" s="732">
        <f t="shared" si="2"/>
        <v>0.37292206256855326</v>
      </c>
      <c r="E7" s="732">
        <f t="shared" si="3"/>
        <v>43.374714973397516</v>
      </c>
      <c r="F7" s="730">
        <f>'RRT - Subgrupo - IGEO'!E6</f>
        <v>372</v>
      </c>
      <c r="G7" s="731">
        <f t="shared" si="4"/>
        <v>190.28753412192904</v>
      </c>
      <c r="H7" s="732">
        <f t="shared" si="5"/>
        <v>0.43762929894732999</v>
      </c>
      <c r="I7" s="732">
        <f t="shared" si="6"/>
        <v>9.4248796554345073</v>
      </c>
      <c r="J7" s="730">
        <f>'RRT - Subgrupo - IGEO'!H6</f>
        <v>24</v>
      </c>
      <c r="K7" s="731">
        <f t="shared" si="7"/>
        <v>12.276615104640584</v>
      </c>
      <c r="L7" s="732">
        <f t="shared" si="8"/>
        <v>0.25583719509677294</v>
      </c>
      <c r="M7" s="732">
        <f t="shared" si="9"/>
        <v>0.60805675196351661</v>
      </c>
      <c r="N7" s="730">
        <f>'RRT - Subgrupo - IGEO'!K6</f>
        <v>65</v>
      </c>
      <c r="O7" s="731">
        <f t="shared" si="10"/>
        <v>33.249165908401579</v>
      </c>
      <c r="P7" s="732">
        <f t="shared" si="11"/>
        <v>0.11090754607158589</v>
      </c>
      <c r="Q7" s="733">
        <f t="shared" si="12"/>
        <v>1.6468203699011907</v>
      </c>
      <c r="R7" s="730">
        <f>'RRT - Subgrupo - IGEO'!N6</f>
        <v>1371</v>
      </c>
      <c r="S7" s="731">
        <f t="shared" si="13"/>
        <v>701.30163785259333</v>
      </c>
      <c r="T7" s="732">
        <f t="shared" si="14"/>
        <v>0.91787269900143842</v>
      </c>
      <c r="U7" s="732">
        <f t="shared" si="15"/>
        <v>34.735241955915882</v>
      </c>
      <c r="V7" s="730">
        <f>'RRT - Subgrupo - IGEO'!Q6</f>
        <v>40</v>
      </c>
      <c r="W7" s="731">
        <f t="shared" si="16"/>
        <v>20.461025174400973</v>
      </c>
      <c r="X7" s="732">
        <f t="shared" si="17"/>
        <v>0.61919253747029213</v>
      </c>
      <c r="Y7" s="732">
        <f t="shared" si="18"/>
        <v>1.0134279199391942</v>
      </c>
      <c r="Z7" s="730">
        <f>'RRT - Subgrupo - IGEO'!T6</f>
        <v>219</v>
      </c>
      <c r="AA7" s="731">
        <f t="shared" si="19"/>
        <v>112.02411282984532</v>
      </c>
      <c r="AB7" s="732">
        <f t="shared" si="20"/>
        <v>0.74862533114947472</v>
      </c>
      <c r="AC7" s="732">
        <f t="shared" si="21"/>
        <v>5.5485178616670892</v>
      </c>
      <c r="AD7" s="730">
        <f>'RRT - Subgrupo - IGEO'!W6</f>
        <v>43</v>
      </c>
      <c r="AE7" s="731">
        <f t="shared" si="22"/>
        <v>21.995602062481044</v>
      </c>
      <c r="AF7" s="732">
        <f t="shared" si="23"/>
        <v>8.5135664175244735E-2</v>
      </c>
      <c r="AG7" s="732">
        <f t="shared" si="24"/>
        <v>1.0894350139346338</v>
      </c>
      <c r="AH7" s="730">
        <f>'RRT - Subgrupo - IGEO'!Z6</f>
        <v>35</v>
      </c>
      <c r="AI7" s="731">
        <f t="shared" si="25"/>
        <v>17.90339702760085</v>
      </c>
      <c r="AJ7" s="732">
        <f t="shared" si="26"/>
        <v>0.39297682275087092</v>
      </c>
      <c r="AK7" s="732">
        <f t="shared" si="27"/>
        <v>0.88674942994679506</v>
      </c>
      <c r="AL7" s="730">
        <f>'RRT - Subgrupo - IGEO'!AC6</f>
        <v>62</v>
      </c>
      <c r="AM7" s="731">
        <f t="shared" si="28"/>
        <v>31.714589020321505</v>
      </c>
      <c r="AN7" s="732">
        <f t="shared" si="29"/>
        <v>0.59466942922500154</v>
      </c>
      <c r="AO7" s="732">
        <f t="shared" si="30"/>
        <v>1.5708132759057511</v>
      </c>
      <c r="AP7" s="730">
        <f>'RRT - Subgrupo - IGEO'!AF6</f>
        <v>4</v>
      </c>
      <c r="AQ7" s="731">
        <f t="shared" si="31"/>
        <v>2.0461025174400973</v>
      </c>
      <c r="AR7" s="732">
        <f t="shared" si="32"/>
        <v>0.3629333112480535</v>
      </c>
      <c r="AS7" s="732">
        <f t="shared" si="33"/>
        <v>0.10134279199391943</v>
      </c>
      <c r="AT7" s="737">
        <f t="shared" si="0"/>
        <v>3947</v>
      </c>
      <c r="AU7" s="738">
        <f>'RRT - Atividades '!L6</f>
        <v>2018.991659084016</v>
      </c>
      <c r="AV7" s="723">
        <f t="shared" si="34"/>
        <v>2018.991659084016</v>
      </c>
      <c r="AW7" s="723">
        <f t="shared" si="35"/>
        <v>0</v>
      </c>
      <c r="AX7" s="739" t="str">
        <f>J2</f>
        <v>CONFORTO 
AMBIENTAL</v>
      </c>
      <c r="AY7" s="740">
        <f>K31</f>
        <v>4798.6044796953129</v>
      </c>
      <c r="AZ7" s="741">
        <f t="shared" si="36"/>
        <v>1.0806421492625354E-2</v>
      </c>
    </row>
    <row r="8" spans="1:52" ht="24">
      <c r="A8" s="736" t="s">
        <v>91</v>
      </c>
      <c r="B8" s="730">
        <f>'RRT - Subgrupo - IGEO'!B7</f>
        <v>8930</v>
      </c>
      <c r="C8" s="731">
        <f t="shared" si="1"/>
        <v>6186.7548757789118</v>
      </c>
      <c r="D8" s="732">
        <f t="shared" si="2"/>
        <v>2.6345705212442918</v>
      </c>
      <c r="E8" s="732">
        <f t="shared" si="3"/>
        <v>55.802037118040374</v>
      </c>
      <c r="F8" s="730">
        <f>'RRT - Subgrupo - IGEO'!E7</f>
        <v>1013</v>
      </c>
      <c r="G8" s="731">
        <f t="shared" si="4"/>
        <v>701.81217123897386</v>
      </c>
      <c r="H8" s="732">
        <f t="shared" si="5"/>
        <v>1.6140498635881007</v>
      </c>
      <c r="I8" s="732">
        <f t="shared" si="6"/>
        <v>6.3300631131662817</v>
      </c>
      <c r="J8" s="730">
        <f>'RRT - Subgrupo - IGEO'!H7</f>
        <v>248</v>
      </c>
      <c r="K8" s="731">
        <f t="shared" si="7"/>
        <v>171.81581289957111</v>
      </c>
      <c r="L8" s="732">
        <f t="shared" si="8"/>
        <v>3.5805370837831703</v>
      </c>
      <c r="M8" s="732">
        <f t="shared" si="9"/>
        <v>1.5497094294819722</v>
      </c>
      <c r="N8" s="730">
        <f>'RRT - Subgrupo - IGEO'!K7</f>
        <v>1266</v>
      </c>
      <c r="O8" s="731">
        <f t="shared" si="10"/>
        <v>877.09201262442343</v>
      </c>
      <c r="P8" s="732">
        <f t="shared" si="11"/>
        <v>2.9256710699796225</v>
      </c>
      <c r="Q8" s="733">
        <f t="shared" si="12"/>
        <v>7.9110166843716803</v>
      </c>
      <c r="R8" s="730">
        <f>'RRT - Subgrupo - IGEO'!N7</f>
        <v>1950</v>
      </c>
      <c r="S8" s="731">
        <f t="shared" si="13"/>
        <v>1350.9711094925954</v>
      </c>
      <c r="T8" s="732">
        <f t="shared" si="14"/>
        <v>1.7681685477591544</v>
      </c>
      <c r="U8" s="732">
        <f t="shared" si="15"/>
        <v>12.185215272136475</v>
      </c>
      <c r="V8" s="730">
        <f>'RRT - Subgrupo - IGEO'!Q7</f>
        <v>181</v>
      </c>
      <c r="W8" s="731">
        <f t="shared" si="16"/>
        <v>125.39783118879987</v>
      </c>
      <c r="X8" s="732">
        <f t="shared" si="17"/>
        <v>3.7947952570923671</v>
      </c>
      <c r="Y8" s="732">
        <f t="shared" si="18"/>
        <v>1.1310379303880522</v>
      </c>
      <c r="Z8" s="730">
        <f>'RRT - Subgrupo - IGEO'!T7</f>
        <v>809</v>
      </c>
      <c r="AA8" s="731">
        <f t="shared" si="19"/>
        <v>560.47980901513313</v>
      </c>
      <c r="AB8" s="732">
        <f t="shared" si="20"/>
        <v>3.7455273871605423</v>
      </c>
      <c r="AC8" s="732">
        <f t="shared" si="21"/>
        <v>5.0553021308504658</v>
      </c>
      <c r="AD8" s="730">
        <f>'RRT - Subgrupo - IGEO'!W7</f>
        <v>1131</v>
      </c>
      <c r="AE8" s="731">
        <f t="shared" si="22"/>
        <v>783.56324350570526</v>
      </c>
      <c r="AF8" s="732">
        <f t="shared" si="23"/>
        <v>3.0328416094122872</v>
      </c>
      <c r="AG8" s="732">
        <f t="shared" si="24"/>
        <v>7.0674248578391552</v>
      </c>
      <c r="AH8" s="730">
        <f>'RRT - Subgrupo - IGEO'!Z7</f>
        <v>158</v>
      </c>
      <c r="AI8" s="731">
        <f t="shared" si="25"/>
        <v>109.46330015375899</v>
      </c>
      <c r="AJ8" s="732">
        <f t="shared" si="26"/>
        <v>2.402702673460936</v>
      </c>
      <c r="AK8" s="732">
        <f t="shared" si="27"/>
        <v>0.98731487846028865</v>
      </c>
      <c r="AL8" s="730">
        <f>'RRT - Subgrupo - IGEO'!AC7</f>
        <v>285</v>
      </c>
      <c r="AM8" s="731">
        <f t="shared" si="28"/>
        <v>197.44962369507161</v>
      </c>
      <c r="AN8" s="732">
        <f t="shared" si="29"/>
        <v>3.7023104713166251</v>
      </c>
      <c r="AO8" s="732">
        <f t="shared" si="30"/>
        <v>1.7809160782353308</v>
      </c>
      <c r="AP8" s="730">
        <f>'RRT - Subgrupo - IGEO'!AF7</f>
        <v>32</v>
      </c>
      <c r="AQ8" s="731">
        <f t="shared" si="31"/>
        <v>22.169782309622079</v>
      </c>
      <c r="AR8" s="732">
        <f t="shared" si="32"/>
        <v>3.9324288175678976</v>
      </c>
      <c r="AS8" s="732">
        <f t="shared" si="33"/>
        <v>0.1999625070299319</v>
      </c>
      <c r="AT8" s="737">
        <f t="shared" si="0"/>
        <v>16003</v>
      </c>
      <c r="AU8" s="738">
        <f>'RRT - Atividades '!L7</f>
        <v>11086.969571902566</v>
      </c>
      <c r="AV8" s="723">
        <f t="shared" si="34"/>
        <v>11086.969571902566</v>
      </c>
      <c r="AW8" s="723">
        <f t="shared" si="35"/>
        <v>0</v>
      </c>
      <c r="AX8" s="739" t="str">
        <f>N2</f>
        <v>ARQUITETURA 
DE INTERIORES</v>
      </c>
      <c r="AY8" s="740">
        <f>O31</f>
        <v>29979.173722715605</v>
      </c>
      <c r="AZ8" s="741">
        <f t="shared" si="36"/>
        <v>6.7512875591045463E-2</v>
      </c>
    </row>
    <row r="9" spans="1:52" ht="21">
      <c r="A9" s="736" t="s">
        <v>92</v>
      </c>
      <c r="B9" s="730">
        <f>'RRT - Subgrupo - IGEO'!B8</f>
        <v>5002</v>
      </c>
      <c r="C9" s="731">
        <f t="shared" si="1"/>
        <v>3115.8479245077178</v>
      </c>
      <c r="D9" s="732">
        <f t="shared" si="2"/>
        <v>1.3268541029039462</v>
      </c>
      <c r="E9" s="732">
        <f t="shared" si="3"/>
        <v>42.730223816846063</v>
      </c>
      <c r="F9" s="730">
        <f>'RRT - Subgrupo - IGEO'!E8</f>
        <v>1173</v>
      </c>
      <c r="G9" s="731">
        <f t="shared" si="4"/>
        <v>730.68564882997862</v>
      </c>
      <c r="H9" s="732">
        <f t="shared" si="5"/>
        <v>1.6804540020127767</v>
      </c>
      <c r="I9" s="732">
        <f t="shared" si="6"/>
        <v>10.020502306509481</v>
      </c>
      <c r="J9" s="730">
        <f>'RRT - Subgrupo - IGEO'!H8</f>
        <v>226</v>
      </c>
      <c r="K9" s="731">
        <f>$AU9*J40</f>
        <v>140.78001418207603</v>
      </c>
      <c r="L9" s="732">
        <f t="shared" si="8"/>
        <v>2.9337699070171097</v>
      </c>
      <c r="M9" s="732">
        <f t="shared" si="9"/>
        <v>1.9306338629762516</v>
      </c>
      <c r="N9" s="730">
        <f>'RRT - Subgrupo - IGEO'!K8</f>
        <v>1223</v>
      </c>
      <c r="O9" s="731">
        <f t="shared" si="10"/>
        <v>761.83166966672115</v>
      </c>
      <c r="P9" s="732">
        <f t="shared" si="11"/>
        <v>2.5412030255172491</v>
      </c>
      <c r="Q9" s="733">
        <f t="shared" si="12"/>
        <v>10.447633692123699</v>
      </c>
      <c r="R9" s="730">
        <f>'RRT - Subgrupo - IGEO'!N8</f>
        <v>2407</v>
      </c>
      <c r="S9" s="731">
        <f t="shared" si="13"/>
        <v>1499.369443080783</v>
      </c>
      <c r="T9" s="732">
        <f t="shared" si="14"/>
        <v>1.9623942156115599</v>
      </c>
      <c r="U9" s="732">
        <f t="shared" si="15"/>
        <v>20.562104903468306</v>
      </c>
      <c r="V9" s="730">
        <f>'RRT - Subgrupo - IGEO'!Q8</f>
        <v>178</v>
      </c>
      <c r="W9" s="731">
        <f t="shared" si="16"/>
        <v>110.87983417880324</v>
      </c>
      <c r="X9" s="732">
        <f t="shared" si="17"/>
        <v>3.3554509265427557</v>
      </c>
      <c r="Y9" s="732">
        <f t="shared" si="18"/>
        <v>1.5205877327866051</v>
      </c>
      <c r="Z9" s="730">
        <f>'RRT - Subgrupo - IGEO'!T8</f>
        <v>515</v>
      </c>
      <c r="AA9" s="731">
        <f t="shared" si="19"/>
        <v>320.80401461844758</v>
      </c>
      <c r="AB9" s="732">
        <f t="shared" si="20"/>
        <v>2.1438421212279626</v>
      </c>
      <c r="AC9" s="732">
        <f t="shared" si="21"/>
        <v>4.3994532718264141</v>
      </c>
      <c r="AD9" s="730">
        <f>'RRT - Subgrupo - IGEO'!W8</f>
        <v>610</v>
      </c>
      <c r="AE9" s="731">
        <f t="shared" si="22"/>
        <v>379.9814542082583</v>
      </c>
      <c r="AF9" s="732">
        <f t="shared" si="23"/>
        <v>1.4707473515115241</v>
      </c>
      <c r="AG9" s="732">
        <f t="shared" si="24"/>
        <v>5.211002904493423</v>
      </c>
      <c r="AH9" s="730">
        <f>'RRT - Subgrupo - IGEO'!Z8</f>
        <v>152</v>
      </c>
      <c r="AI9" s="731">
        <f t="shared" si="25"/>
        <v>94.683903343697139</v>
      </c>
      <c r="AJ9" s="732">
        <f t="shared" si="26"/>
        <v>2.0782971770270131</v>
      </c>
      <c r="AK9" s="732">
        <f t="shared" si="27"/>
        <v>1.2984794122672134</v>
      </c>
      <c r="AL9" s="730">
        <f>'RRT - Subgrupo - IGEO'!AC8</f>
        <v>203</v>
      </c>
      <c r="AM9" s="731">
        <f t="shared" si="28"/>
        <v>126.45284459717449</v>
      </c>
      <c r="AN9" s="732">
        <f t="shared" si="29"/>
        <v>2.3710741095303423</v>
      </c>
      <c r="AO9" s="732">
        <f t="shared" si="30"/>
        <v>1.7341534255937128</v>
      </c>
      <c r="AP9" s="730">
        <f>'RRT - Subgrupo - IGEO'!AF8</f>
        <v>17</v>
      </c>
      <c r="AQ9" s="731">
        <f t="shared" si="31"/>
        <v>10.589647084492443</v>
      </c>
      <c r="AR9" s="732">
        <f t="shared" si="32"/>
        <v>1.8783690692739972</v>
      </c>
      <c r="AS9" s="732">
        <f t="shared" si="33"/>
        <v>0.14522467110883308</v>
      </c>
      <c r="AT9" s="737">
        <f t="shared" si="0"/>
        <v>11706</v>
      </c>
      <c r="AU9" s="738">
        <f>'RRT - Atividades '!L8</f>
        <v>7291.9063982981497</v>
      </c>
      <c r="AV9" s="723">
        <f t="shared" si="34"/>
        <v>7291.9063982981506</v>
      </c>
      <c r="AW9" s="723">
        <f t="shared" si="35"/>
        <v>0</v>
      </c>
      <c r="AX9" s="739" t="str">
        <f>R2</f>
        <v>INSTALAÇÕES E EQUIPAMENTOS REFERENTES À ARQUITETURA</v>
      </c>
      <c r="AY9" s="740">
        <f>S31</f>
        <v>76405.109185134861</v>
      </c>
      <c r="AZ9" s="741">
        <f t="shared" si="36"/>
        <v>0.17206373593371332</v>
      </c>
    </row>
    <row r="10" spans="1:52" ht="24">
      <c r="A10" s="736" t="s">
        <v>93</v>
      </c>
      <c r="B10" s="730">
        <f>'RRT - Subgrupo - IGEO'!B9</f>
        <v>5578</v>
      </c>
      <c r="C10" s="731">
        <f t="shared" si="1"/>
        <v>4402.8487630238214</v>
      </c>
      <c r="D10" s="732">
        <f t="shared" si="2"/>
        <v>1.874911127636856</v>
      </c>
      <c r="E10" s="732">
        <f t="shared" si="3"/>
        <v>42.012502824433227</v>
      </c>
      <c r="F10" s="730">
        <f>'RRT - Subgrupo - IGEO'!E9</f>
        <v>1254</v>
      </c>
      <c r="G10" s="731">
        <f t="shared" si="4"/>
        <v>989.81218157616934</v>
      </c>
      <c r="H10" s="732">
        <f t="shared" si="5"/>
        <v>2.276401410694338</v>
      </c>
      <c r="I10" s="732">
        <f t="shared" si="6"/>
        <v>9.4449047224523621</v>
      </c>
      <c r="J10" s="730">
        <f>'RRT - Subgrupo - IGEO'!H9</f>
        <v>300</v>
      </c>
      <c r="K10" s="731">
        <f t="shared" si="7"/>
        <v>236.79717262587781</v>
      </c>
      <c r="L10" s="732">
        <f t="shared" si="8"/>
        <v>4.9347091144488999</v>
      </c>
      <c r="M10" s="732">
        <f t="shared" si="9"/>
        <v>2.2595465843187466</v>
      </c>
      <c r="N10" s="730">
        <f>'RRT - Subgrupo - IGEO'!K9</f>
        <v>2623</v>
      </c>
      <c r="O10" s="731">
        <f t="shared" si="10"/>
        <v>2070.3966126589248</v>
      </c>
      <c r="P10" s="732">
        <f t="shared" si="11"/>
        <v>6.9061163319860244</v>
      </c>
      <c r="Q10" s="733">
        <f t="shared" si="12"/>
        <v>19.755968968893573</v>
      </c>
      <c r="R10" s="730">
        <f>'RRT - Subgrupo - IGEO'!N9</f>
        <v>2503</v>
      </c>
      <c r="S10" s="731">
        <f t="shared" si="13"/>
        <v>1975.6777436085738</v>
      </c>
      <c r="T10" s="732">
        <f t="shared" si="14"/>
        <v>2.5857927103034037</v>
      </c>
      <c r="U10" s="732">
        <f t="shared" si="15"/>
        <v>18.852150335166076</v>
      </c>
      <c r="V10" s="730">
        <f>'RRT - Subgrupo - IGEO'!Q9</f>
        <v>136</v>
      </c>
      <c r="W10" s="731">
        <f t="shared" si="16"/>
        <v>107.34805159039794</v>
      </c>
      <c r="X10" s="732">
        <f t="shared" si="17"/>
        <v>3.2485719503395467</v>
      </c>
      <c r="Y10" s="732">
        <f t="shared" si="18"/>
        <v>1.0243277848911652</v>
      </c>
      <c r="Z10" s="730">
        <f>'RRT - Subgrupo - IGEO'!T9</f>
        <v>382</v>
      </c>
      <c r="AA10" s="731">
        <f t="shared" si="19"/>
        <v>301.52173314361772</v>
      </c>
      <c r="AB10" s="732">
        <f t="shared" si="20"/>
        <v>2.0149841103072457</v>
      </c>
      <c r="AC10" s="732">
        <f t="shared" si="21"/>
        <v>2.8771559840325374</v>
      </c>
      <c r="AD10" s="730">
        <f>'RRT - Subgrupo - IGEO'!W9</f>
        <v>319</v>
      </c>
      <c r="AE10" s="731">
        <f t="shared" si="22"/>
        <v>251.79432689218342</v>
      </c>
      <c r="AF10" s="732">
        <f t="shared" si="23"/>
        <v>0.97458924718820461</v>
      </c>
      <c r="AG10" s="732">
        <f t="shared" si="24"/>
        <v>2.4026512013256007</v>
      </c>
      <c r="AH10" s="730">
        <f>'RRT - Subgrupo - IGEO'!Z9</f>
        <v>49</v>
      </c>
      <c r="AI10" s="731">
        <f t="shared" si="25"/>
        <v>38.676871528893379</v>
      </c>
      <c r="AJ10" s="732">
        <f t="shared" si="26"/>
        <v>0.84895140648092426</v>
      </c>
      <c r="AK10" s="732">
        <f t="shared" si="27"/>
        <v>0.36905927543872863</v>
      </c>
      <c r="AL10" s="730">
        <f>'RRT - Subgrupo - IGEO'!AC9</f>
        <v>117</v>
      </c>
      <c r="AM10" s="731">
        <f t="shared" si="28"/>
        <v>92.350897324092344</v>
      </c>
      <c r="AN10" s="732">
        <f t="shared" si="29"/>
        <v>1.7316401409125999</v>
      </c>
      <c r="AO10" s="732">
        <f t="shared" si="30"/>
        <v>0.88122316788431121</v>
      </c>
      <c r="AP10" s="730">
        <f>'RRT - Subgrupo - IGEO'!AF9</f>
        <v>16</v>
      </c>
      <c r="AQ10" s="731">
        <f t="shared" si="31"/>
        <v>12.629182540046816</v>
      </c>
      <c r="AR10" s="732">
        <f t="shared" si="32"/>
        <v>2.2401375290568666</v>
      </c>
      <c r="AS10" s="732">
        <f t="shared" si="33"/>
        <v>0.12050915116366648</v>
      </c>
      <c r="AT10" s="737">
        <f t="shared" si="0"/>
        <v>13277</v>
      </c>
      <c r="AU10" s="738">
        <f>'RRT - Atividades '!L9</f>
        <v>10479.853536512599</v>
      </c>
      <c r="AV10" s="723">
        <f t="shared" si="34"/>
        <v>10479.853536512599</v>
      </c>
      <c r="AW10" s="723">
        <f t="shared" si="35"/>
        <v>0</v>
      </c>
      <c r="AX10" s="739" t="str">
        <f>V2</f>
        <v>ARQUITETURA 
PAISAGÍSTICA</v>
      </c>
      <c r="AY10" s="740">
        <f>W31</f>
        <v>3304.4689553259773</v>
      </c>
      <c r="AZ10" s="741">
        <f t="shared" si="36"/>
        <v>7.4416394373922768E-3</v>
      </c>
    </row>
    <row r="11" spans="1:52" ht="24">
      <c r="A11" s="736" t="s">
        <v>94</v>
      </c>
      <c r="B11" s="730">
        <f>'RRT - Subgrupo - IGEO'!B10</f>
        <v>5139</v>
      </c>
      <c r="C11" s="731">
        <f t="shared" si="1"/>
        <v>3808.4663860953215</v>
      </c>
      <c r="D11" s="732">
        <f t="shared" si="2"/>
        <v>1.6217990648438738</v>
      </c>
      <c r="E11" s="732">
        <f t="shared" si="3"/>
        <v>48.646346081029904</v>
      </c>
      <c r="F11" s="730">
        <f>'RRT - Subgrupo - IGEO'!E10</f>
        <v>693</v>
      </c>
      <c r="G11" s="731">
        <f t="shared" si="4"/>
        <v>513.57602754700486</v>
      </c>
      <c r="H11" s="732">
        <f t="shared" si="5"/>
        <v>1.1811384173360262</v>
      </c>
      <c r="I11" s="732">
        <f t="shared" si="6"/>
        <v>6.560015145778114</v>
      </c>
      <c r="J11" s="730">
        <f>'RRT - Subgrupo - IGEO'!H10</f>
        <v>147</v>
      </c>
      <c r="K11" s="731">
        <f t="shared" si="7"/>
        <v>108.94036947966769</v>
      </c>
      <c r="L11" s="732">
        <f t="shared" si="8"/>
        <v>2.2702510686312043</v>
      </c>
      <c r="M11" s="732">
        <f t="shared" si="9"/>
        <v>1.3915183642559636</v>
      </c>
      <c r="N11" s="730">
        <f>'RRT - Subgrupo - IGEO'!K10</f>
        <v>1334</v>
      </c>
      <c r="O11" s="731">
        <f t="shared" si="10"/>
        <v>988.61532575426327</v>
      </c>
      <c r="P11" s="732">
        <f t="shared" si="11"/>
        <v>3.2976736947395473</v>
      </c>
      <c r="Q11" s="733">
        <f t="shared" si="12"/>
        <v>12.627792502839833</v>
      </c>
      <c r="R11" s="730">
        <f>'RRT - Subgrupo - IGEO'!N10</f>
        <v>2182</v>
      </c>
      <c r="S11" s="731">
        <f t="shared" si="13"/>
        <v>1617.0604503716661</v>
      </c>
      <c r="T11" s="732">
        <f t="shared" si="14"/>
        <v>2.1164297356782997</v>
      </c>
      <c r="U11" s="732">
        <f t="shared" si="15"/>
        <v>20.655054903445663</v>
      </c>
      <c r="V11" s="730">
        <f>'RRT - Subgrupo - IGEO'!Q10</f>
        <v>99</v>
      </c>
      <c r="W11" s="731">
        <f t="shared" si="16"/>
        <v>73.36800393528641</v>
      </c>
      <c r="X11" s="732">
        <f t="shared" si="17"/>
        <v>2.2202660980377966</v>
      </c>
      <c r="Y11" s="732">
        <f t="shared" si="18"/>
        <v>0.93714502082544504</v>
      </c>
      <c r="Z11" s="730">
        <f>'RRT - Subgrupo - IGEO'!T10</f>
        <v>315</v>
      </c>
      <c r="AA11" s="731">
        <f t="shared" si="19"/>
        <v>233.44364888500223</v>
      </c>
      <c r="AB11" s="732">
        <f t="shared" si="20"/>
        <v>1.5600376074097921</v>
      </c>
      <c r="AC11" s="732">
        <f t="shared" si="21"/>
        <v>2.9818250662627794</v>
      </c>
      <c r="AD11" s="730">
        <f>'RRT - Subgrupo - IGEO'!W10</f>
        <v>449</v>
      </c>
      <c r="AE11" s="731">
        <f t="shared" si="22"/>
        <v>332.74983602973333</v>
      </c>
      <c r="AF11" s="732">
        <f t="shared" si="23"/>
        <v>1.2879337521257059</v>
      </c>
      <c r="AG11" s="732">
        <f t="shared" si="24"/>
        <v>4.250283983339644</v>
      </c>
      <c r="AH11" s="730">
        <f>'RRT - Subgrupo - IGEO'!Z10</f>
        <v>97</v>
      </c>
      <c r="AI11" s="731">
        <f t="shared" si="25"/>
        <v>71.885822037603845</v>
      </c>
      <c r="AJ11" s="732">
        <f t="shared" si="26"/>
        <v>1.5778827840113914</v>
      </c>
      <c r="AK11" s="732">
        <f t="shared" si="27"/>
        <v>0.91821279818250656</v>
      </c>
      <c r="AL11" s="730">
        <f>'RRT - Subgrupo - IGEO'!AC10</f>
        <v>92</v>
      </c>
      <c r="AM11" s="731">
        <f t="shared" si="28"/>
        <v>68.180367293397481</v>
      </c>
      <c r="AN11" s="732">
        <f t="shared" si="29"/>
        <v>1.2784267857526419</v>
      </c>
      <c r="AO11" s="732">
        <f t="shared" si="30"/>
        <v>0.87088224157516103</v>
      </c>
      <c r="AP11" s="730">
        <f>'RRT - Subgrupo - IGEO'!AF10</f>
        <v>17</v>
      </c>
      <c r="AQ11" s="731">
        <f t="shared" si="31"/>
        <v>12.598546130301706</v>
      </c>
      <c r="AR11" s="732">
        <f t="shared" si="32"/>
        <v>2.2347033078784206</v>
      </c>
      <c r="AS11" s="732">
        <f t="shared" si="33"/>
        <v>0.1609238924649754</v>
      </c>
      <c r="AT11" s="737">
        <f t="shared" si="0"/>
        <v>10564</v>
      </c>
      <c r="AU11" s="738">
        <f>'RRT - Atividades '!L10</f>
        <v>7828.8847835592487</v>
      </c>
      <c r="AV11" s="723">
        <f t="shared" si="34"/>
        <v>7828.8847835592478</v>
      </c>
      <c r="AW11" s="723">
        <f t="shared" si="35"/>
        <v>0</v>
      </c>
      <c r="AX11" s="739" t="str">
        <f>Z2</f>
        <v>RELATÓRIOS TÉCNICOS 
DE ARQUITETURA</v>
      </c>
      <c r="AY11" s="740">
        <f>AA31</f>
        <v>14963.975725726274</v>
      </c>
      <c r="AZ11" s="741">
        <f t="shared" si="36"/>
        <v>3.3698761709129242E-2</v>
      </c>
    </row>
    <row r="12" spans="1:52" ht="24">
      <c r="A12" s="736" t="s">
        <v>95</v>
      </c>
      <c r="B12" s="730">
        <f>'RRT - Subgrupo - IGEO'!B11</f>
        <v>14826</v>
      </c>
      <c r="C12" s="731">
        <f t="shared" si="1"/>
        <v>7562.099961496855</v>
      </c>
      <c r="D12" s="732">
        <f t="shared" si="2"/>
        <v>3.2202481005446204</v>
      </c>
      <c r="E12" s="732">
        <f t="shared" si="3"/>
        <v>44.614967951611447</v>
      </c>
      <c r="F12" s="730">
        <f>'RRT - Subgrupo - IGEO'!E11</f>
        <v>5517</v>
      </c>
      <c r="G12" s="731">
        <f t="shared" si="4"/>
        <v>2813.9825635760253</v>
      </c>
      <c r="H12" s="732">
        <f t="shared" si="5"/>
        <v>6.4716862417203842</v>
      </c>
      <c r="I12" s="732">
        <f t="shared" si="6"/>
        <v>16.601968041888597</v>
      </c>
      <c r="J12" s="730">
        <f>'RRT - Subgrupo - IGEO'!H11</f>
        <v>279</v>
      </c>
      <c r="K12" s="731">
        <f t="shared" si="7"/>
        <v>142.30580664087566</v>
      </c>
      <c r="L12" s="732">
        <f t="shared" si="8"/>
        <v>2.9655664942385784</v>
      </c>
      <c r="M12" s="732">
        <f t="shared" si="9"/>
        <v>0.83957750293400735</v>
      </c>
      <c r="N12" s="730">
        <f>'RRT - Subgrupo - IGEO'!K11</f>
        <v>1577</v>
      </c>
      <c r="O12" s="731">
        <f t="shared" si="10"/>
        <v>804.35934434645492</v>
      </c>
      <c r="P12" s="732">
        <f t="shared" si="11"/>
        <v>2.6830604198306558</v>
      </c>
      <c r="Q12" s="733">
        <f t="shared" si="12"/>
        <v>4.7455688965122933</v>
      </c>
      <c r="R12" s="730">
        <f>'RRT - Subgrupo - IGEO'!N11</f>
        <v>7647</v>
      </c>
      <c r="S12" s="731">
        <f t="shared" si="13"/>
        <v>3900.4032379310975</v>
      </c>
      <c r="T12" s="732">
        <f t="shared" si="14"/>
        <v>5.1048984544739682</v>
      </c>
      <c r="U12" s="732">
        <f t="shared" si="15"/>
        <v>23.011645752460051</v>
      </c>
      <c r="V12" s="730">
        <f>'RRT - Subgrupo - IGEO'!Q11</f>
        <v>202</v>
      </c>
      <c r="W12" s="731">
        <f t="shared" si="16"/>
        <v>103.03144423461248</v>
      </c>
      <c r="X12" s="732">
        <f t="shared" si="17"/>
        <v>3.117942568912671</v>
      </c>
      <c r="Y12" s="732">
        <f t="shared" si="18"/>
        <v>0.60786614907766845</v>
      </c>
      <c r="Z12" s="730">
        <f>'RRT - Subgrupo - IGEO'!T11</f>
        <v>704</v>
      </c>
      <c r="AA12" s="731">
        <f t="shared" si="19"/>
        <v>359.07988485726332</v>
      </c>
      <c r="AB12" s="732">
        <f t="shared" si="20"/>
        <v>2.3996288916716715</v>
      </c>
      <c r="AC12" s="732">
        <f t="shared" si="21"/>
        <v>2.1185038066865278</v>
      </c>
      <c r="AD12" s="730">
        <f>'RRT - Subgrupo - IGEO'!W11</f>
        <v>1727</v>
      </c>
      <c r="AE12" s="731">
        <f t="shared" si="22"/>
        <v>880.86784254047404</v>
      </c>
      <c r="AF12" s="732">
        <f t="shared" si="23"/>
        <v>3.4094665202739676</v>
      </c>
      <c r="AG12" s="732">
        <f t="shared" si="24"/>
        <v>5.1969546507778883</v>
      </c>
      <c r="AH12" s="730">
        <f>'RRT - Subgrupo - IGEO'!Z11</f>
        <v>504</v>
      </c>
      <c r="AI12" s="731">
        <f t="shared" si="25"/>
        <v>257.06855393190443</v>
      </c>
      <c r="AJ12" s="732">
        <f t="shared" si="26"/>
        <v>5.6426153873245246</v>
      </c>
      <c r="AK12" s="732">
        <f t="shared" si="27"/>
        <v>1.5166561343324005</v>
      </c>
      <c r="AL12" s="730">
        <f>'RRT - Subgrupo - IGEO'!AC11</f>
        <v>224</v>
      </c>
      <c r="AM12" s="731">
        <f t="shared" si="28"/>
        <v>114.25269063640197</v>
      </c>
      <c r="AN12" s="732">
        <f t="shared" si="29"/>
        <v>2.1423131885655153</v>
      </c>
      <c r="AO12" s="732">
        <f t="shared" si="30"/>
        <v>0.67406939303662239</v>
      </c>
      <c r="AP12" s="730">
        <f>'RRT - Subgrupo - IGEO'!AF11</f>
        <v>24</v>
      </c>
      <c r="AQ12" s="731">
        <f t="shared" si="31"/>
        <v>12.241359711043067</v>
      </c>
      <c r="AR12" s="732">
        <f t="shared" si="32"/>
        <v>2.1713463407815028</v>
      </c>
      <c r="AS12" s="732">
        <f t="shared" si="33"/>
        <v>7.2221720682495258E-2</v>
      </c>
      <c r="AT12" s="737">
        <f t="shared" si="0"/>
        <v>33231</v>
      </c>
      <c r="AU12" s="738">
        <f>'RRT - Atividades '!L11</f>
        <v>16949.692689903008</v>
      </c>
      <c r="AV12" s="723">
        <f t="shared" si="34"/>
        <v>16949.692689903008</v>
      </c>
      <c r="AW12" s="723">
        <f t="shared" si="35"/>
        <v>0</v>
      </c>
      <c r="AX12" s="739" t="str">
        <f>AD2</f>
        <v>URBANISMO 
E DESENHO URBANO</v>
      </c>
      <c r="AY12" s="740">
        <f>AE31</f>
        <v>25835.943462195719</v>
      </c>
      <c r="AZ12" s="741">
        <f t="shared" si="36"/>
        <v>5.8182351951176589E-2</v>
      </c>
    </row>
    <row r="13" spans="1:52" ht="21">
      <c r="A13" s="736" t="s">
        <v>96</v>
      </c>
      <c r="B13" s="730">
        <f>'RRT - Subgrupo - IGEO'!B12</f>
        <v>2280</v>
      </c>
      <c r="C13" s="731">
        <f t="shared" si="1"/>
        <v>1391.7003663997832</v>
      </c>
      <c r="D13" s="732">
        <f t="shared" si="2"/>
        <v>0.59264231949389024</v>
      </c>
      <c r="E13" s="732">
        <f t="shared" si="3"/>
        <v>48.645188820140817</v>
      </c>
      <c r="F13" s="730">
        <f>'RRT - Subgrupo - IGEO'!E12</f>
        <v>195</v>
      </c>
      <c r="G13" s="731">
        <f t="shared" si="4"/>
        <v>119.02700502103409</v>
      </c>
      <c r="H13" s="732">
        <f t="shared" si="5"/>
        <v>0.27374207671311962</v>
      </c>
      <c r="I13" s="732">
        <f t="shared" si="6"/>
        <v>4.1604437806699384</v>
      </c>
      <c r="J13" s="730">
        <f>'RRT - Subgrupo - IGEO'!H12</f>
        <v>67</v>
      </c>
      <c r="K13" s="731">
        <f t="shared" si="7"/>
        <v>40.896458135432219</v>
      </c>
      <c r="L13" s="732">
        <f t="shared" si="8"/>
        <v>0.8522573241549789</v>
      </c>
      <c r="M13" s="732">
        <f t="shared" si="9"/>
        <v>1.4294858118199274</v>
      </c>
      <c r="N13" s="730">
        <f>'RRT - Subgrupo - IGEO'!K12</f>
        <v>474</v>
      </c>
      <c r="O13" s="731">
        <f t="shared" si="10"/>
        <v>289.32718143574436</v>
      </c>
      <c r="P13" s="732">
        <f t="shared" si="11"/>
        <v>0.96509391523528709</v>
      </c>
      <c r="Q13" s="733">
        <f t="shared" si="12"/>
        <v>10.113078728397696</v>
      </c>
      <c r="R13" s="730">
        <f>'RRT - Subgrupo - IGEO'!N12</f>
        <v>628</v>
      </c>
      <c r="S13" s="731">
        <f t="shared" si="13"/>
        <v>383.32799565748411</v>
      </c>
      <c r="T13" s="732">
        <f t="shared" si="14"/>
        <v>0.50170466313797668</v>
      </c>
      <c r="U13" s="732">
        <f t="shared" si="15"/>
        <v>13.398762534670364</v>
      </c>
      <c r="V13" s="730">
        <f>'RRT - Subgrupo - IGEO'!Q12</f>
        <v>99</v>
      </c>
      <c r="W13" s="731">
        <f t="shared" si="16"/>
        <v>60.429094856832684</v>
      </c>
      <c r="X13" s="732">
        <f t="shared" si="17"/>
        <v>1.8287082031573059</v>
      </c>
      <c r="Y13" s="732">
        <f t="shared" si="18"/>
        <v>2.1122253040324299</v>
      </c>
      <c r="Z13" s="730">
        <f>'RRT - Subgrupo - IGEO'!T12</f>
        <v>272</v>
      </c>
      <c r="AA13" s="731">
        <f t="shared" si="19"/>
        <v>166.02741213190396</v>
      </c>
      <c r="AB13" s="732">
        <f t="shared" si="20"/>
        <v>1.1095140434267567</v>
      </c>
      <c r="AC13" s="732">
        <f t="shared" si="21"/>
        <v>5.8032856838062727</v>
      </c>
      <c r="AD13" s="730">
        <f>'RRT - Subgrupo - IGEO'!W12</f>
        <v>405</v>
      </c>
      <c r="AE13" s="731">
        <f t="shared" si="22"/>
        <v>247.20993350522463</v>
      </c>
      <c r="AF13" s="732">
        <f t="shared" si="23"/>
        <v>0.9568450011007068</v>
      </c>
      <c r="AG13" s="732">
        <f t="shared" si="24"/>
        <v>8.6409216983144876</v>
      </c>
      <c r="AH13" s="730">
        <f>'RRT - Subgrupo - IGEO'!Z12</f>
        <v>90</v>
      </c>
      <c r="AI13" s="731">
        <f t="shared" si="25"/>
        <v>54.935540778938808</v>
      </c>
      <c r="AJ13" s="732">
        <f t="shared" si="26"/>
        <v>1.2058267064136732</v>
      </c>
      <c r="AK13" s="732">
        <f t="shared" si="27"/>
        <v>1.9202048218476639</v>
      </c>
      <c r="AL13" s="730">
        <f>'RRT - Subgrupo - IGEO'!AC12</f>
        <v>163</v>
      </c>
      <c r="AM13" s="731">
        <f t="shared" si="28"/>
        <v>99.494368299633607</v>
      </c>
      <c r="AN13" s="732">
        <f t="shared" si="29"/>
        <v>1.8655849259132355</v>
      </c>
      <c r="AO13" s="732">
        <f t="shared" si="30"/>
        <v>3.4777042884574354</v>
      </c>
      <c r="AP13" s="730">
        <f>'RRT - Subgrupo - IGEO'!AF12</f>
        <v>14</v>
      </c>
      <c r="AQ13" s="731">
        <f t="shared" si="31"/>
        <v>8.5455285656127042</v>
      </c>
      <c r="AR13" s="732">
        <f t="shared" si="32"/>
        <v>1.5157876754694173</v>
      </c>
      <c r="AS13" s="732">
        <f t="shared" si="33"/>
        <v>0.29869852784296996</v>
      </c>
      <c r="AT13" s="737">
        <f t="shared" si="0"/>
        <v>4687</v>
      </c>
      <c r="AU13" s="738">
        <f>'RRT - Atividades '!L12</f>
        <v>2860.9208847876243</v>
      </c>
      <c r="AV13" s="723">
        <f t="shared" si="34"/>
        <v>2860.9208847876243</v>
      </c>
      <c r="AW13" s="723">
        <f t="shared" si="35"/>
        <v>0</v>
      </c>
      <c r="AX13" s="739" t="str">
        <f>AH2</f>
        <v>INSTALAÇÕES E EQUIPAMENTOS REFERENTES AO URBANISMO</v>
      </c>
      <c r="AY13" s="740">
        <f>AI31</f>
        <v>4555.840444297849</v>
      </c>
      <c r="AZ13" s="741">
        <f t="shared" si="36"/>
        <v>1.0259718695831777E-2</v>
      </c>
    </row>
    <row r="14" spans="1:52" ht="24">
      <c r="A14" s="736" t="s">
        <v>99</v>
      </c>
      <c r="B14" s="730">
        <f>'RRT - Subgrupo - IGEO'!B13</f>
        <v>28373</v>
      </c>
      <c r="C14" s="731">
        <f t="shared" si="1"/>
        <v>21599.476977424685</v>
      </c>
      <c r="D14" s="732">
        <f t="shared" si="2"/>
        <v>9.1979311386332334</v>
      </c>
      <c r="E14" s="732">
        <f t="shared" si="3"/>
        <v>61.449331860611181</v>
      </c>
      <c r="F14" s="730">
        <f>'RRT - Subgrupo - IGEO'!E13</f>
        <v>3544</v>
      </c>
      <c r="G14" s="731">
        <f t="shared" si="4"/>
        <v>2697.9362918264933</v>
      </c>
      <c r="H14" s="732">
        <f t="shared" si="5"/>
        <v>6.2047993498094414</v>
      </c>
      <c r="I14" s="732">
        <f t="shared" si="6"/>
        <v>7.6754813419097747</v>
      </c>
      <c r="J14" s="730">
        <f>'RRT - Subgrupo - IGEO'!H13</f>
        <v>399</v>
      </c>
      <c r="K14" s="731">
        <f t="shared" si="7"/>
        <v>303.74621344209106</v>
      </c>
      <c r="L14" s="732">
        <f t="shared" si="8"/>
        <v>6.3298864227580065</v>
      </c>
      <c r="M14" s="732">
        <f t="shared" si="9"/>
        <v>0.86414138132674934</v>
      </c>
      <c r="N14" s="730">
        <f>'RRT - Subgrupo - IGEO'!K13</f>
        <v>2066</v>
      </c>
      <c r="O14" s="731">
        <f t="shared" si="10"/>
        <v>1572.7811452916296</v>
      </c>
      <c r="P14" s="732">
        <f t="shared" si="11"/>
        <v>5.2462458099701168</v>
      </c>
      <c r="Q14" s="733">
        <f t="shared" si="12"/>
        <v>4.474476425616702</v>
      </c>
      <c r="R14" s="730">
        <f>'RRT - Subgrupo - IGEO'!N13</f>
        <v>5640</v>
      </c>
      <c r="S14" s="731">
        <f t="shared" si="13"/>
        <v>4293.5554982791818</v>
      </c>
      <c r="T14" s="732">
        <f t="shared" si="14"/>
        <v>5.6194612429328519</v>
      </c>
      <c r="U14" s="732">
        <f t="shared" si="15"/>
        <v>12.214930803716456</v>
      </c>
      <c r="V14" s="730">
        <f>'RRT - Subgrupo - IGEO'!Q13</f>
        <v>448</v>
      </c>
      <c r="W14" s="731">
        <f t="shared" si="16"/>
        <v>341.04838000515491</v>
      </c>
      <c r="X14" s="732">
        <f t="shared" si="17"/>
        <v>10.320822637945206</v>
      </c>
      <c r="Y14" s="732">
        <f t="shared" si="18"/>
        <v>0.97026400710371863</v>
      </c>
      <c r="Z14" s="730">
        <f>'RRT - Subgrupo - IGEO'!T13</f>
        <v>1667</v>
      </c>
      <c r="AA14" s="731">
        <f t="shared" si="19"/>
        <v>1269.0349318495385</v>
      </c>
      <c r="AB14" s="732">
        <f t="shared" si="20"/>
        <v>8.4806000431275486</v>
      </c>
      <c r="AC14" s="732">
        <f t="shared" si="21"/>
        <v>3.6103350442899531</v>
      </c>
      <c r="AD14" s="730">
        <f>'RRT - Subgrupo - IGEO'!W13</f>
        <v>2734</v>
      </c>
      <c r="AE14" s="731">
        <f t="shared" si="22"/>
        <v>2081.3086404778874</v>
      </c>
      <c r="AF14" s="732">
        <f t="shared" si="23"/>
        <v>8.0558646659192039</v>
      </c>
      <c r="AG14" s="732">
        <f t="shared" si="24"/>
        <v>5.9212093647802835</v>
      </c>
      <c r="AH14" s="730">
        <f>'RRT - Subgrupo - IGEO'!Z13</f>
        <v>600</v>
      </c>
      <c r="AI14" s="731">
        <f t="shared" si="25"/>
        <v>456.7612232211896</v>
      </c>
      <c r="AJ14" s="732">
        <f t="shared" si="26"/>
        <v>10.025838894179845</v>
      </c>
      <c r="AK14" s="732">
        <f t="shared" si="27"/>
        <v>1.2994607237996232</v>
      </c>
      <c r="AL14" s="730">
        <f>'RRT - Subgrupo - IGEO'!AC13</f>
        <v>566</v>
      </c>
      <c r="AM14" s="731">
        <f t="shared" si="28"/>
        <v>430.87808723865555</v>
      </c>
      <c r="AN14" s="732">
        <f t="shared" si="29"/>
        <v>8.0792478830354462</v>
      </c>
      <c r="AO14" s="732">
        <f t="shared" si="30"/>
        <v>1.2258246161176445</v>
      </c>
      <c r="AP14" s="730">
        <f>'RRT - Subgrupo - IGEO'!AF13</f>
        <v>136</v>
      </c>
      <c r="AQ14" s="731">
        <f t="shared" si="31"/>
        <v>103.53254393013631</v>
      </c>
      <c r="AR14" s="732">
        <f t="shared" si="32"/>
        <v>18.36438236609472</v>
      </c>
      <c r="AS14" s="732">
        <f t="shared" si="33"/>
        <v>0.29454443072791459</v>
      </c>
      <c r="AT14" s="737">
        <f t="shared" si="0"/>
        <v>46173</v>
      </c>
      <c r="AU14" s="738">
        <f>'RRT - Atividades '!L13</f>
        <v>35150.059932986645</v>
      </c>
      <c r="AV14" s="723">
        <f t="shared" si="34"/>
        <v>35150.059932986645</v>
      </c>
      <c r="AW14" s="723">
        <f t="shared" si="35"/>
        <v>0</v>
      </c>
      <c r="AX14" s="739" t="str">
        <f>AL2</f>
        <v>RELATÓRIOS 
TÉCNICOS E URBANÍSTICOS</v>
      </c>
      <c r="AY14" s="740">
        <f>AM31</f>
        <v>5333.1460239436392</v>
      </c>
      <c r="AZ14" s="741">
        <f t="shared" si="36"/>
        <v>1.2010205062808874E-2</v>
      </c>
    </row>
    <row r="15" spans="1:52" ht="21">
      <c r="A15" s="736" t="s">
        <v>98</v>
      </c>
      <c r="B15" s="730">
        <f>'RRT - Subgrupo - IGEO'!B14</f>
        <v>8379</v>
      </c>
      <c r="C15" s="731">
        <f t="shared" si="1"/>
        <v>6644.7717760180994</v>
      </c>
      <c r="D15" s="732">
        <f t="shared" si="2"/>
        <v>2.8296126471778704</v>
      </c>
      <c r="E15" s="732">
        <f t="shared" si="3"/>
        <v>65.609584214235369</v>
      </c>
      <c r="F15" s="730">
        <f>'RRT - Subgrupo - IGEO'!E14</f>
        <v>672</v>
      </c>
      <c r="G15" s="731">
        <f t="shared" si="4"/>
        <v>532.91402714932133</v>
      </c>
      <c r="H15" s="732">
        <f t="shared" si="5"/>
        <v>1.2256125614151796</v>
      </c>
      <c r="I15" s="732">
        <f t="shared" si="6"/>
        <v>5.2619215409913087</v>
      </c>
      <c r="J15" s="730">
        <f>'RRT - Subgrupo - IGEO'!H14</f>
        <v>114</v>
      </c>
      <c r="K15" s="731">
        <f t="shared" si="7"/>
        <v>90.405058177116999</v>
      </c>
      <c r="L15" s="732">
        <f t="shared" si="8"/>
        <v>1.8839864498033658</v>
      </c>
      <c r="M15" s="732">
        <f t="shared" si="9"/>
        <v>0.8926474042753112</v>
      </c>
      <c r="N15" s="730">
        <f>'RRT - Subgrupo - IGEO'!K14</f>
        <v>372</v>
      </c>
      <c r="O15" s="731">
        <f t="shared" si="10"/>
        <v>295.00597931480286</v>
      </c>
      <c r="P15" s="732">
        <f t="shared" si="11"/>
        <v>0.98403639154094835</v>
      </c>
      <c r="Q15" s="733">
        <f t="shared" si="12"/>
        <v>2.9128494244773315</v>
      </c>
      <c r="R15" s="730">
        <f>'RRT - Subgrupo - IGEO'!N14</f>
        <v>1252</v>
      </c>
      <c r="S15" s="731">
        <f t="shared" si="13"/>
        <v>992.86958629605692</v>
      </c>
      <c r="T15" s="732">
        <f t="shared" si="14"/>
        <v>1.2994806196667623</v>
      </c>
      <c r="U15" s="732">
        <f t="shared" si="15"/>
        <v>9.803460966251663</v>
      </c>
      <c r="V15" s="730">
        <f>'RRT - Subgrupo - IGEO'!Q14</f>
        <v>83</v>
      </c>
      <c r="W15" s="731">
        <f t="shared" si="16"/>
        <v>65.821226567550099</v>
      </c>
      <c r="X15" s="732">
        <f t="shared" si="17"/>
        <v>1.9918851548434962</v>
      </c>
      <c r="Y15" s="732">
        <f t="shared" si="18"/>
        <v>0.64990995223553361</v>
      </c>
      <c r="Z15" s="730">
        <f>'RRT - Subgrupo - IGEO'!T14</f>
        <v>446</v>
      </c>
      <c r="AA15" s="731">
        <f t="shared" si="19"/>
        <v>353.68996444731744</v>
      </c>
      <c r="AB15" s="732">
        <f t="shared" si="20"/>
        <v>2.3636095843115328</v>
      </c>
      <c r="AC15" s="732">
        <f t="shared" si="21"/>
        <v>3.4922872132174461</v>
      </c>
      <c r="AD15" s="730">
        <f>'RRT - Subgrupo - IGEO'!W14</f>
        <v>1238</v>
      </c>
      <c r="AE15" s="731">
        <f t="shared" si="22"/>
        <v>981.7672107304461</v>
      </c>
      <c r="AF15" s="732">
        <f t="shared" si="23"/>
        <v>3.8000052607601145</v>
      </c>
      <c r="AG15" s="732">
        <f t="shared" si="24"/>
        <v>9.6938376008143443</v>
      </c>
      <c r="AH15" s="730">
        <f>'RRT - Subgrupo - IGEO'!Z14</f>
        <v>56</v>
      </c>
      <c r="AI15" s="731">
        <f t="shared" si="25"/>
        <v>44.409502262443439</v>
      </c>
      <c r="AJ15" s="732">
        <f t="shared" si="26"/>
        <v>0.97478177309802339</v>
      </c>
      <c r="AK15" s="732">
        <f t="shared" si="27"/>
        <v>0.43849346174927567</v>
      </c>
      <c r="AL15" s="730">
        <f>'RRT - Subgrupo - IGEO'!AC14</f>
        <v>150</v>
      </c>
      <c r="AM15" s="731">
        <f t="shared" si="28"/>
        <v>118.95402391725922</v>
      </c>
      <c r="AN15" s="732">
        <f t="shared" si="29"/>
        <v>2.2304662835632931</v>
      </c>
      <c r="AO15" s="732">
        <f t="shared" si="30"/>
        <v>1.1745360582569884</v>
      </c>
      <c r="AP15" s="730">
        <f>'RRT - Subgrupo - IGEO'!AF14</f>
        <v>9</v>
      </c>
      <c r="AQ15" s="731">
        <f t="shared" si="31"/>
        <v>7.1372414350355537</v>
      </c>
      <c r="AR15" s="732">
        <f t="shared" si="32"/>
        <v>1.2659887005246788</v>
      </c>
      <c r="AS15" s="732">
        <f t="shared" si="33"/>
        <v>7.0472163495419307E-2</v>
      </c>
      <c r="AT15" s="737">
        <f t="shared" si="0"/>
        <v>12771</v>
      </c>
      <c r="AU15" s="738">
        <f>'RRT - Atividades '!L14</f>
        <v>10127.74559631545</v>
      </c>
      <c r="AV15" s="723">
        <f t="shared" si="34"/>
        <v>10127.74559631545</v>
      </c>
      <c r="AW15" s="723">
        <f t="shared" si="35"/>
        <v>0</v>
      </c>
      <c r="AX15" s="739" t="str">
        <f>AP2</f>
        <v>PATRIMÔNIO ARQUITETÔNICO, URBANÍSTICO E PAISAGÍSTICO</v>
      </c>
      <c r="AY15" s="740">
        <f>AQ31</f>
        <v>563.76817834768838</v>
      </c>
      <c r="AZ15" s="741">
        <f t="shared" si="36"/>
        <v>1.2696017321564153E-3</v>
      </c>
    </row>
    <row r="16" spans="1:52" ht="21">
      <c r="A16" s="736" t="s">
        <v>97</v>
      </c>
      <c r="B16" s="730">
        <f>'RRT - Subgrupo - IGEO'!B15</f>
        <v>15296</v>
      </c>
      <c r="C16" s="731">
        <f t="shared" si="1"/>
        <v>7273.8491414885175</v>
      </c>
      <c r="D16" s="732">
        <f t="shared" si="2"/>
        <v>3.0974992397336689</v>
      </c>
      <c r="E16" s="732">
        <f t="shared" si="3"/>
        <v>42.597749805057369</v>
      </c>
      <c r="F16" s="730">
        <f>'RRT - Subgrupo - IGEO'!E15</f>
        <v>7523</v>
      </c>
      <c r="G16" s="731">
        <f t="shared" si="4"/>
        <v>3577.4821581732558</v>
      </c>
      <c r="H16" s="732">
        <f t="shared" si="5"/>
        <v>8.2276067956966568</v>
      </c>
      <c r="I16" s="732">
        <f t="shared" si="6"/>
        <v>20.950763061156287</v>
      </c>
      <c r="J16" s="730">
        <f>'RRT - Subgrupo - IGEO'!H15</f>
        <v>146</v>
      </c>
      <c r="K16" s="731">
        <f t="shared" si="7"/>
        <v>69.428737882931713</v>
      </c>
      <c r="L16" s="732">
        <f t="shared" si="8"/>
        <v>1.4468526876243004</v>
      </c>
      <c r="M16" s="732">
        <f t="shared" si="9"/>
        <v>0.40659463072295865</v>
      </c>
      <c r="N16" s="730">
        <f>'RRT - Subgrupo - IGEO'!K15</f>
        <v>612</v>
      </c>
      <c r="O16" s="731">
        <f t="shared" si="10"/>
        <v>291.03005194763159</v>
      </c>
      <c r="P16" s="732">
        <f t="shared" si="11"/>
        <v>0.97077409350716826</v>
      </c>
      <c r="Q16" s="733">
        <f t="shared" si="12"/>
        <v>1.7043555753592514</v>
      </c>
      <c r="R16" s="730">
        <f>'RRT - Subgrupo - IGEO'!N15</f>
        <v>8544</v>
      </c>
      <c r="S16" s="731">
        <f t="shared" si="13"/>
        <v>4063.0077840532099</v>
      </c>
      <c r="T16" s="732">
        <f t="shared" si="14"/>
        <v>5.3177173979403154</v>
      </c>
      <c r="U16" s="732">
        <f t="shared" si="15"/>
        <v>23.794140581486019</v>
      </c>
      <c r="V16" s="730">
        <f>'RRT - Subgrupo - IGEO'!Q15</f>
        <v>147</v>
      </c>
      <c r="W16" s="731">
        <f t="shared" si="16"/>
        <v>69.904277183499744</v>
      </c>
      <c r="X16" s="732">
        <f t="shared" si="17"/>
        <v>2.1154466308673148</v>
      </c>
      <c r="Y16" s="732">
        <f t="shared" si="18"/>
        <v>0.4093795254539378</v>
      </c>
      <c r="Z16" s="730">
        <f>'RRT - Subgrupo - IGEO'!T15</f>
        <v>1364</v>
      </c>
      <c r="AA16" s="731">
        <f t="shared" si="19"/>
        <v>648.6356059747867</v>
      </c>
      <c r="AB16" s="732">
        <f t="shared" si="20"/>
        <v>4.3346475419606794</v>
      </c>
      <c r="AC16" s="732">
        <f t="shared" si="21"/>
        <v>3.798596413055586</v>
      </c>
      <c r="AD16" s="730">
        <f>'RRT - Subgrupo - IGEO'!W15</f>
        <v>1569</v>
      </c>
      <c r="AE16" s="731">
        <f t="shared" si="22"/>
        <v>746.12116259123206</v>
      </c>
      <c r="AF16" s="732">
        <f t="shared" si="23"/>
        <v>2.8879191645661755</v>
      </c>
      <c r="AG16" s="732">
        <f t="shared" si="24"/>
        <v>4.3694998329063166</v>
      </c>
      <c r="AH16" s="730">
        <f>'RRT - Subgrupo - IGEO'!Z15</f>
        <v>230</v>
      </c>
      <c r="AI16" s="731">
        <f t="shared" si="25"/>
        <v>109.37403913064587</v>
      </c>
      <c r="AJ16" s="732">
        <f t="shared" si="26"/>
        <v>2.4007434076744256</v>
      </c>
      <c r="AK16" s="732">
        <f t="shared" si="27"/>
        <v>0.64052578812520888</v>
      </c>
      <c r="AL16" s="730">
        <f>'RRT - Subgrupo - IGEO'!AC15</f>
        <v>471</v>
      </c>
      <c r="AM16" s="731">
        <f t="shared" si="28"/>
        <v>223.97901056754003</v>
      </c>
      <c r="AN16" s="732">
        <f t="shared" si="29"/>
        <v>4.199753945644205</v>
      </c>
      <c r="AO16" s="732">
        <f t="shared" si="30"/>
        <v>1.3116854182911886</v>
      </c>
      <c r="AP16" s="730">
        <f>'RRT - Subgrupo - IGEO'!AF15</f>
        <v>6</v>
      </c>
      <c r="AQ16" s="731">
        <f t="shared" si="31"/>
        <v>2.8532358034081531</v>
      </c>
      <c r="AR16" s="732">
        <f t="shared" si="32"/>
        <v>0.50610089625322896</v>
      </c>
      <c r="AS16" s="732">
        <f t="shared" si="33"/>
        <v>1.6709368385875015E-2</v>
      </c>
      <c r="AT16" s="737">
        <f t="shared" si="0"/>
        <v>35908</v>
      </c>
      <c r="AU16" s="738">
        <f>'RRT - Atividades '!L15</f>
        <v>17075.66520479666</v>
      </c>
      <c r="AV16" s="723">
        <f t="shared" si="34"/>
        <v>17075.66520479666</v>
      </c>
      <c r="AW16" s="723">
        <f t="shared" si="35"/>
        <v>0</v>
      </c>
      <c r="AX16" s="742" t="s">
        <v>128</v>
      </c>
      <c r="AY16" s="743">
        <f>SUM(AY5:AY15)</f>
        <v>444051.20445931464</v>
      </c>
      <c r="AZ16" s="744">
        <f>SUM(AZ5:AZ15)</f>
        <v>1.0000000000000002</v>
      </c>
    </row>
    <row r="17" spans="1:53" ht="21">
      <c r="A17" s="736" t="s">
        <v>100</v>
      </c>
      <c r="B17" s="730">
        <f>'RRT - Subgrupo - IGEO'!B16</f>
        <v>3824</v>
      </c>
      <c r="C17" s="731">
        <f t="shared" si="1"/>
        <v>2206.2973358348968</v>
      </c>
      <c r="D17" s="732">
        <f t="shared" si="2"/>
        <v>0.93953066491237447</v>
      </c>
      <c r="E17" s="732">
        <f t="shared" si="3"/>
        <v>48.626653102746694</v>
      </c>
      <c r="F17" s="730">
        <f>'RRT - Subgrupo - IGEO'!E16</f>
        <v>915</v>
      </c>
      <c r="G17" s="731">
        <f t="shared" si="4"/>
        <v>527.91894934333959</v>
      </c>
      <c r="H17" s="732">
        <f t="shared" si="5"/>
        <v>1.2141247232417214</v>
      </c>
      <c r="I17" s="732">
        <f t="shared" si="6"/>
        <v>11.635300101729399</v>
      </c>
      <c r="J17" s="730">
        <f>'RRT - Subgrupo - IGEO'!H16</f>
        <v>124</v>
      </c>
      <c r="K17" s="731">
        <f t="shared" si="7"/>
        <v>71.543114446529074</v>
      </c>
      <c r="L17" s="732">
        <f t="shared" si="8"/>
        <v>1.4909150097544965</v>
      </c>
      <c r="M17" s="732">
        <f t="shared" si="9"/>
        <v>1.5768056968463884</v>
      </c>
      <c r="N17" s="730">
        <f>'RRT - Subgrupo - IGEO'!K16</f>
        <v>651</v>
      </c>
      <c r="O17" s="731">
        <f t="shared" si="10"/>
        <v>375.6013508442777</v>
      </c>
      <c r="P17" s="732">
        <f t="shared" si="11"/>
        <v>1.2528742597054292</v>
      </c>
      <c r="Q17" s="733">
        <f t="shared" si="12"/>
        <v>8.2782299084435405</v>
      </c>
      <c r="R17" s="730">
        <f>'RRT - Subgrupo - IGEO'!N16</f>
        <v>1516</v>
      </c>
      <c r="S17" s="731">
        <f t="shared" si="13"/>
        <v>874.67227016885568</v>
      </c>
      <c r="T17" s="732">
        <f t="shared" si="14"/>
        <v>1.1447824360141472</v>
      </c>
      <c r="U17" s="732">
        <f t="shared" si="15"/>
        <v>19.277721261444558</v>
      </c>
      <c r="V17" s="730">
        <f>'RRT - Subgrupo - IGEO'!Q16</f>
        <v>69</v>
      </c>
      <c r="W17" s="731">
        <f t="shared" si="16"/>
        <v>39.810281425891183</v>
      </c>
      <c r="X17" s="732">
        <f t="shared" si="17"/>
        <v>1.2047406698049612</v>
      </c>
      <c r="Y17" s="732">
        <f t="shared" si="18"/>
        <v>0.8774160732451679</v>
      </c>
      <c r="Z17" s="730">
        <f>'RRT - Subgrupo - IGEO'!T16</f>
        <v>255</v>
      </c>
      <c r="AA17" s="731">
        <f t="shared" si="19"/>
        <v>147.12495309568482</v>
      </c>
      <c r="AB17" s="732">
        <f t="shared" si="20"/>
        <v>0.98319427799355208</v>
      </c>
      <c r="AC17" s="732">
        <f t="shared" si="21"/>
        <v>3.2426246185147507</v>
      </c>
      <c r="AD17" s="730">
        <f>'RRT - Subgrupo - IGEO'!W16</f>
        <v>372</v>
      </c>
      <c r="AE17" s="731">
        <f t="shared" si="22"/>
        <v>214.62934333958725</v>
      </c>
      <c r="AF17" s="732">
        <f t="shared" si="23"/>
        <v>0.83073932892616165</v>
      </c>
      <c r="AG17" s="732">
        <f t="shared" si="24"/>
        <v>4.7304170905391656</v>
      </c>
      <c r="AH17" s="730">
        <f>'RRT - Subgrupo - IGEO'!Z16</f>
        <v>49</v>
      </c>
      <c r="AI17" s="731">
        <f t="shared" si="25"/>
        <v>28.271069418386496</v>
      </c>
      <c r="AJ17" s="732">
        <f t="shared" si="26"/>
        <v>0.62054564386184652</v>
      </c>
      <c r="AK17" s="732">
        <f t="shared" si="27"/>
        <v>0.62309257375381488</v>
      </c>
      <c r="AL17" s="730">
        <f>'RRT - Subgrupo - IGEO'!AC16</f>
        <v>77</v>
      </c>
      <c r="AM17" s="731">
        <f t="shared" si="28"/>
        <v>44.425966228893067</v>
      </c>
      <c r="AN17" s="732">
        <f t="shared" si="29"/>
        <v>0.83301612274328685</v>
      </c>
      <c r="AO17" s="732">
        <f t="shared" si="30"/>
        <v>0.97914547304170907</v>
      </c>
      <c r="AP17" s="730">
        <f>'RRT - Subgrupo - IGEO'!AF16</f>
        <v>12</v>
      </c>
      <c r="AQ17" s="731">
        <f t="shared" si="31"/>
        <v>6.9235272045028147</v>
      </c>
      <c r="AR17" s="732">
        <f t="shared" si="32"/>
        <v>1.2280805250119884</v>
      </c>
      <c r="AS17" s="732">
        <f t="shared" si="33"/>
        <v>0.1525940996948118</v>
      </c>
      <c r="AT17" s="737">
        <f t="shared" si="0"/>
        <v>7864</v>
      </c>
      <c r="AU17" s="738">
        <f>'RRT - Atividades '!L16</f>
        <v>4537.2181613508446</v>
      </c>
      <c r="AV17" s="723">
        <f t="shared" si="34"/>
        <v>4537.2181613508455</v>
      </c>
      <c r="AW17" s="723">
        <f t="shared" si="35"/>
        <v>0</v>
      </c>
    </row>
    <row r="18" spans="1:53" ht="21.75" thickBot="1">
      <c r="A18" s="736" t="s">
        <v>101</v>
      </c>
      <c r="B18" s="730">
        <f>'RRT - Subgrupo - IGEO'!B17</f>
        <v>4768</v>
      </c>
      <c r="C18" s="731">
        <f t="shared" si="1"/>
        <v>2883.9491611591252</v>
      </c>
      <c r="D18" s="732">
        <f t="shared" si="2"/>
        <v>1.2281022276319702</v>
      </c>
      <c r="E18" s="732">
        <f t="shared" si="3"/>
        <v>48.892534864643153</v>
      </c>
      <c r="F18" s="730">
        <f>'RRT - Subgrupo - IGEO'!E17</f>
        <v>1299</v>
      </c>
      <c r="G18" s="731">
        <f t="shared" si="4"/>
        <v>785.70678698525671</v>
      </c>
      <c r="H18" s="732">
        <f t="shared" si="5"/>
        <v>1.8069933585149724</v>
      </c>
      <c r="I18" s="732">
        <f t="shared" si="6"/>
        <v>13.320344544708778</v>
      </c>
      <c r="J18" s="730">
        <f>'RRT - Subgrupo - IGEO'!H17</f>
        <v>88</v>
      </c>
      <c r="K18" s="731">
        <f t="shared" si="7"/>
        <v>53.22724961870869</v>
      </c>
      <c r="L18" s="732">
        <f t="shared" si="8"/>
        <v>1.1092235220454834</v>
      </c>
      <c r="M18" s="732">
        <f t="shared" si="9"/>
        <v>0.90237899917965558</v>
      </c>
      <c r="N18" s="730">
        <f>'RRT - Subgrupo - IGEO'!K17</f>
        <v>630</v>
      </c>
      <c r="O18" s="731">
        <f t="shared" si="10"/>
        <v>381.05871886120997</v>
      </c>
      <c r="P18" s="732">
        <f t="shared" si="11"/>
        <v>1.2710781237191902</v>
      </c>
      <c r="Q18" s="733">
        <f t="shared" si="12"/>
        <v>6.4602132895816249</v>
      </c>
      <c r="R18" s="730">
        <f>'RRT - Subgrupo - IGEO'!N17</f>
        <v>1803</v>
      </c>
      <c r="S18" s="731">
        <f t="shared" si="13"/>
        <v>1090.5537620742246</v>
      </c>
      <c r="T18" s="732">
        <f t="shared" si="14"/>
        <v>1.4273309386048221</v>
      </c>
      <c r="U18" s="732">
        <f t="shared" si="15"/>
        <v>18.488515176374076</v>
      </c>
      <c r="V18" s="730">
        <f>'RRT - Subgrupo - IGEO'!Q17</f>
        <v>53</v>
      </c>
      <c r="W18" s="731">
        <f t="shared" si="16"/>
        <v>32.057320793085914</v>
      </c>
      <c r="X18" s="732">
        <f t="shared" si="17"/>
        <v>0.9701201986303285</v>
      </c>
      <c r="Y18" s="732">
        <f t="shared" si="18"/>
        <v>0.54347826086956519</v>
      </c>
      <c r="Z18" s="730">
        <f>'RRT - Subgrupo - IGEO'!T17</f>
        <v>392</v>
      </c>
      <c r="AA18" s="731">
        <f t="shared" si="19"/>
        <v>237.10320284697508</v>
      </c>
      <c r="AB18" s="732">
        <f t="shared" si="20"/>
        <v>1.5844933672228829</v>
      </c>
      <c r="AC18" s="732">
        <f t="shared" si="21"/>
        <v>4.0196882690730105</v>
      </c>
      <c r="AD18" s="730">
        <f>'RRT - Subgrupo - IGEO'!W17</f>
        <v>538</v>
      </c>
      <c r="AE18" s="731">
        <f t="shared" si="22"/>
        <v>325.41204880528721</v>
      </c>
      <c r="AF18" s="732">
        <f t="shared" si="23"/>
        <v>1.2595322840888097</v>
      </c>
      <c r="AG18" s="732">
        <f t="shared" si="24"/>
        <v>5.5168170631665303</v>
      </c>
      <c r="AH18" s="730">
        <f>'RRT - Subgrupo - IGEO'!Z17</f>
        <v>87</v>
      </c>
      <c r="AI18" s="731">
        <f t="shared" si="25"/>
        <v>52.622394509405183</v>
      </c>
      <c r="AJ18" s="732">
        <f t="shared" si="26"/>
        <v>1.1550535000686444</v>
      </c>
      <c r="AK18" s="732">
        <f t="shared" si="27"/>
        <v>0.89212469237079584</v>
      </c>
      <c r="AL18" s="730">
        <f>'RRT - Subgrupo - IGEO'!AC17</f>
        <v>87</v>
      </c>
      <c r="AM18" s="731">
        <f t="shared" si="28"/>
        <v>52.622394509405183</v>
      </c>
      <c r="AN18" s="732">
        <f t="shared" si="29"/>
        <v>0.98670455061894446</v>
      </c>
      <c r="AO18" s="732">
        <f t="shared" si="30"/>
        <v>0.89212469237079584</v>
      </c>
      <c r="AP18" s="730">
        <f>'RRT - Subgrupo - IGEO'!AF17</f>
        <v>7</v>
      </c>
      <c r="AQ18" s="731">
        <f t="shared" si="31"/>
        <v>4.2339857651245545</v>
      </c>
      <c r="AR18" s="732">
        <f t="shared" si="32"/>
        <v>0.75101538677363255</v>
      </c>
      <c r="AS18" s="732">
        <f t="shared" si="33"/>
        <v>7.178014766201804E-2</v>
      </c>
      <c r="AT18" s="737">
        <f t="shared" si="0"/>
        <v>9752</v>
      </c>
      <c r="AU18" s="738">
        <f>'RRT - Atividades '!L17</f>
        <v>5898.5470259278081</v>
      </c>
      <c r="AV18" s="723">
        <f t="shared" si="34"/>
        <v>5898.547025927809</v>
      </c>
      <c r="AW18" s="723">
        <f t="shared" si="35"/>
        <v>0</v>
      </c>
    </row>
    <row r="19" spans="1:53" ht="21" customHeight="1">
      <c r="A19" s="736" t="s">
        <v>103</v>
      </c>
      <c r="B19" s="730">
        <f>'RRT - Subgrupo - IGEO'!B18</f>
        <v>7079</v>
      </c>
      <c r="C19" s="731">
        <f t="shared" si="1"/>
        <v>5185.5027005985112</v>
      </c>
      <c r="D19" s="732">
        <f t="shared" si="2"/>
        <v>2.2081968377823458</v>
      </c>
      <c r="E19" s="732">
        <f t="shared" si="3"/>
        <v>50.873158462091276</v>
      </c>
      <c r="F19" s="730">
        <f>'RRT - Subgrupo - IGEO'!E18</f>
        <v>955</v>
      </c>
      <c r="G19" s="731">
        <f t="shared" si="4"/>
        <v>699.55573938007888</v>
      </c>
      <c r="H19" s="732">
        <f t="shared" si="5"/>
        <v>1.6088604501192292</v>
      </c>
      <c r="I19" s="732">
        <f t="shared" si="6"/>
        <v>6.8630973769313695</v>
      </c>
      <c r="J19" s="730">
        <f>'RRT - Subgrupo - IGEO'!H18</f>
        <v>278</v>
      </c>
      <c r="K19" s="731">
        <f t="shared" si="7"/>
        <v>203.64030947399152</v>
      </c>
      <c r="L19" s="732">
        <f t="shared" si="8"/>
        <v>4.2437402443912537</v>
      </c>
      <c r="M19" s="732">
        <f t="shared" si="9"/>
        <v>1.9978440531800215</v>
      </c>
      <c r="N19" s="730">
        <f>'RRT - Subgrupo - IGEO'!K18</f>
        <v>1072</v>
      </c>
      <c r="O19" s="731">
        <f t="shared" si="10"/>
        <v>785.26047394287389</v>
      </c>
      <c r="P19" s="732">
        <f t="shared" si="11"/>
        <v>2.6193532924086962</v>
      </c>
      <c r="Q19" s="733">
        <f t="shared" si="12"/>
        <v>7.703916636722961</v>
      </c>
      <c r="R19" s="730">
        <f>'RRT - Subgrupo - IGEO'!N18</f>
        <v>2559</v>
      </c>
      <c r="S19" s="731">
        <f t="shared" si="13"/>
        <v>1874.51637389908</v>
      </c>
      <c r="T19" s="732">
        <f t="shared" si="14"/>
        <v>2.453391394752146</v>
      </c>
      <c r="U19" s="732">
        <f t="shared" si="15"/>
        <v>18.390226374416095</v>
      </c>
      <c r="V19" s="730">
        <f>'RRT - Subgrupo - IGEO'!Q18</f>
        <v>152</v>
      </c>
      <c r="W19" s="731">
        <f t="shared" si="16"/>
        <v>111.34290302175076</v>
      </c>
      <c r="X19" s="732">
        <f t="shared" si="17"/>
        <v>3.3694643383559062</v>
      </c>
      <c r="Y19" s="732">
        <f t="shared" si="18"/>
        <v>1.0923463887890765</v>
      </c>
      <c r="Z19" s="730">
        <f>'RRT - Subgrupo - IGEO'!T18</f>
        <v>622</v>
      </c>
      <c r="AA19" s="731">
        <f t="shared" si="19"/>
        <v>455.62687947058532</v>
      </c>
      <c r="AB19" s="732">
        <f t="shared" si="20"/>
        <v>3.0448250372878198</v>
      </c>
      <c r="AC19" s="732">
        <f t="shared" si="21"/>
        <v>4.4699964067552997</v>
      </c>
      <c r="AD19" s="730">
        <f>'RRT - Subgrupo - IGEO'!W18</f>
        <v>892</v>
      </c>
      <c r="AE19" s="731">
        <f t="shared" si="22"/>
        <v>653.40703615395842</v>
      </c>
      <c r="AF19" s="732">
        <f t="shared" si="23"/>
        <v>2.5290620298424638</v>
      </c>
      <c r="AG19" s="732">
        <f t="shared" si="24"/>
        <v>6.4103485447358972</v>
      </c>
      <c r="AH19" s="730">
        <f>'RRT - Subgrupo - IGEO'!Z18</f>
        <v>79</v>
      </c>
      <c r="AI19" s="731">
        <f t="shared" si="25"/>
        <v>57.869008807357304</v>
      </c>
      <c r="AJ19" s="732">
        <f t="shared" si="26"/>
        <v>1.2702158803604928</v>
      </c>
      <c r="AK19" s="732">
        <f t="shared" si="27"/>
        <v>0.56773266259432265</v>
      </c>
      <c r="AL19" s="730">
        <f>'RRT - Subgrupo - IGEO'!AC18</f>
        <v>197</v>
      </c>
      <c r="AM19" s="731">
        <f t="shared" si="28"/>
        <v>144.30626246897961</v>
      </c>
      <c r="AN19" s="732">
        <f t="shared" si="29"/>
        <v>2.7058374516861843</v>
      </c>
      <c r="AO19" s="732">
        <f t="shared" si="30"/>
        <v>1.4157384117858427</v>
      </c>
      <c r="AP19" s="730">
        <f>'RRT - Subgrupo - IGEO'!AF18</f>
        <v>30</v>
      </c>
      <c r="AQ19" s="731">
        <f t="shared" si="31"/>
        <v>21.975572964819229</v>
      </c>
      <c r="AR19" s="732">
        <f t="shared" si="32"/>
        <v>3.8979803771873058</v>
      </c>
      <c r="AS19" s="732">
        <f t="shared" si="33"/>
        <v>0.21559468199784404</v>
      </c>
      <c r="AT19" s="737">
        <f t="shared" si="0"/>
        <v>13915</v>
      </c>
      <c r="AU19" s="738">
        <f>'RRT - Atividades '!L18</f>
        <v>10193.003260181986</v>
      </c>
      <c r="AV19" s="723">
        <f t="shared" si="34"/>
        <v>10193.003260181984</v>
      </c>
      <c r="AW19" s="723">
        <f t="shared" si="35"/>
        <v>0</v>
      </c>
      <c r="AX19" s="1447" t="s">
        <v>640</v>
      </c>
      <c r="AY19" s="1448"/>
      <c r="AZ19" s="1448"/>
      <c r="BA19" s="1440" t="s">
        <v>1082</v>
      </c>
    </row>
    <row r="20" spans="1:53" ht="21" customHeight="1">
      <c r="A20" s="736" t="s">
        <v>104</v>
      </c>
      <c r="B20" s="730">
        <f>'RRT - Subgrupo - IGEO'!B19</f>
        <v>2110</v>
      </c>
      <c r="C20" s="731">
        <f t="shared" si="1"/>
        <v>1624.289985052317</v>
      </c>
      <c r="D20" s="732">
        <f t="shared" si="2"/>
        <v>0.69168838890394879</v>
      </c>
      <c r="E20" s="732">
        <f t="shared" si="3"/>
        <v>59.75644293401303</v>
      </c>
      <c r="F20" s="730">
        <f>'RRT - Subgrupo - IGEO'!E19</f>
        <v>297</v>
      </c>
      <c r="G20" s="731">
        <f t="shared" si="4"/>
        <v>228.6322869955157</v>
      </c>
      <c r="H20" s="732">
        <f t="shared" si="5"/>
        <v>0.52581577630019671</v>
      </c>
      <c r="I20" s="732">
        <f t="shared" si="6"/>
        <v>8.4112149532710276</v>
      </c>
      <c r="J20" s="730">
        <f>'RRT - Subgrupo - IGEO'!H19</f>
        <v>43</v>
      </c>
      <c r="K20" s="731">
        <f t="shared" si="7"/>
        <v>33.101644245142005</v>
      </c>
      <c r="L20" s="732">
        <f t="shared" si="8"/>
        <v>0.68981814161195032</v>
      </c>
      <c r="M20" s="732">
        <f t="shared" si="9"/>
        <v>1.2177853299348627</v>
      </c>
      <c r="N20" s="730">
        <f>'RRT - Subgrupo - IGEO'!K19</f>
        <v>263</v>
      </c>
      <c r="O20" s="731">
        <f t="shared" si="10"/>
        <v>202.45889387144993</v>
      </c>
      <c r="P20" s="732">
        <f t="shared" si="11"/>
        <v>0.67533180114982372</v>
      </c>
      <c r="Q20" s="733">
        <f t="shared" si="12"/>
        <v>7.4483149249504388</v>
      </c>
      <c r="R20" s="730">
        <f>'RRT - Subgrupo - IGEO'!N19</f>
        <v>467</v>
      </c>
      <c r="S20" s="731">
        <f t="shared" si="13"/>
        <v>359.49925261584457</v>
      </c>
      <c r="T20" s="732">
        <f t="shared" si="14"/>
        <v>0.47051729452379032</v>
      </c>
      <c r="U20" s="732">
        <f t="shared" si="15"/>
        <v>13.225715094873975</v>
      </c>
      <c r="V20" s="730">
        <f>'RRT - Subgrupo - IGEO'!Q19</f>
        <v>49</v>
      </c>
      <c r="W20" s="731">
        <f t="shared" si="16"/>
        <v>37.720478325859489</v>
      </c>
      <c r="X20" s="732">
        <f t="shared" si="17"/>
        <v>1.1414989469053269</v>
      </c>
      <c r="Y20" s="732">
        <f t="shared" si="18"/>
        <v>1.3877088643443782</v>
      </c>
      <c r="Z20" s="730">
        <f>'RRT - Subgrupo - IGEO'!T19</f>
        <v>115</v>
      </c>
      <c r="AA20" s="731">
        <f t="shared" si="19"/>
        <v>88.527653213751861</v>
      </c>
      <c r="AB20" s="732">
        <f t="shared" si="20"/>
        <v>0.59160516453895273</v>
      </c>
      <c r="AC20" s="732">
        <f t="shared" si="21"/>
        <v>3.2568677428490513</v>
      </c>
      <c r="AD20" s="730">
        <f>'RRT - Subgrupo - IGEO'!W19</f>
        <v>142</v>
      </c>
      <c r="AE20" s="731">
        <f t="shared" si="22"/>
        <v>109.31240657698058</v>
      </c>
      <c r="AF20" s="732">
        <f t="shared" si="23"/>
        <v>0.42310205058673883</v>
      </c>
      <c r="AG20" s="732">
        <f t="shared" si="24"/>
        <v>4.0215236476918719</v>
      </c>
      <c r="AH20" s="730">
        <f>'RRT - Subgrupo - IGEO'!Z19</f>
        <v>16</v>
      </c>
      <c r="AI20" s="731">
        <f t="shared" si="25"/>
        <v>12.316890881913302</v>
      </c>
      <c r="AJ20" s="732">
        <f t="shared" si="26"/>
        <v>0.27035386845755949</v>
      </c>
      <c r="AK20" s="732">
        <f t="shared" si="27"/>
        <v>0.4531294250920419</v>
      </c>
      <c r="AL20" s="730">
        <f>'RRT - Subgrupo - IGEO'!AC19</f>
        <v>27</v>
      </c>
      <c r="AM20" s="731">
        <f t="shared" si="28"/>
        <v>20.784753363228699</v>
      </c>
      <c r="AN20" s="732">
        <f t="shared" si="29"/>
        <v>0.38972781300031306</v>
      </c>
      <c r="AO20" s="732">
        <f t="shared" si="30"/>
        <v>0.76465590484282064</v>
      </c>
      <c r="AP20" s="730">
        <f>'RRT - Subgrupo - IGEO'!AF19</f>
        <v>2</v>
      </c>
      <c r="AQ20" s="731">
        <f t="shared" si="31"/>
        <v>1.5396113602391628</v>
      </c>
      <c r="AR20" s="732">
        <f t="shared" si="32"/>
        <v>0.27309298739625748</v>
      </c>
      <c r="AS20" s="732">
        <f t="shared" si="33"/>
        <v>5.6641178136505238E-2</v>
      </c>
      <c r="AT20" s="737">
        <f t="shared" si="0"/>
        <v>3531</v>
      </c>
      <c r="AU20" s="738">
        <f>'RRT - Atividades '!L19</f>
        <v>2718.1838565022422</v>
      </c>
      <c r="AV20" s="723">
        <f t="shared" si="34"/>
        <v>2718.1838565022426</v>
      </c>
      <c r="AW20" s="723">
        <f t="shared" si="35"/>
        <v>0</v>
      </c>
      <c r="AX20" s="1171" t="s">
        <v>613</v>
      </c>
      <c r="AY20" s="1172" t="s">
        <v>527</v>
      </c>
      <c r="AZ20" s="1172" t="s">
        <v>423</v>
      </c>
      <c r="BA20" s="1441"/>
    </row>
    <row r="21" spans="1:53" ht="21" customHeight="1">
      <c r="A21" s="736" t="s">
        <v>102</v>
      </c>
      <c r="B21" s="730">
        <f>'RRT - Subgrupo - IGEO'!B20</f>
        <v>30768</v>
      </c>
      <c r="C21" s="731">
        <f t="shared" si="1"/>
        <v>22011.619620004032</v>
      </c>
      <c r="D21" s="732">
        <f t="shared" si="2"/>
        <v>9.373438149738238</v>
      </c>
      <c r="E21" s="732">
        <f t="shared" si="3"/>
        <v>49.482148600836283</v>
      </c>
      <c r="F21" s="730">
        <f>'RRT - Subgrupo - IGEO'!E20</f>
        <v>8401</v>
      </c>
      <c r="G21" s="731">
        <f t="shared" si="4"/>
        <v>6010.1279390163108</v>
      </c>
      <c r="H21" s="732">
        <f t="shared" si="5"/>
        <v>13.822282624410548</v>
      </c>
      <c r="I21" s="732">
        <f t="shared" si="6"/>
        <v>13.510775168864587</v>
      </c>
      <c r="J21" s="730">
        <f>'RRT - Subgrupo - IGEO'!H20</f>
        <v>582</v>
      </c>
      <c r="K21" s="731">
        <f t="shared" si="7"/>
        <v>416.36643976996703</v>
      </c>
      <c r="L21" s="732">
        <f t="shared" si="8"/>
        <v>8.6768234709021943</v>
      </c>
      <c r="M21" s="732">
        <f t="shared" si="9"/>
        <v>0.93599228047603722</v>
      </c>
      <c r="N21" s="730">
        <f>'RRT - Subgrupo - IGEO'!K20</f>
        <v>2614</v>
      </c>
      <c r="O21" s="731">
        <f t="shared" si="10"/>
        <v>1870.0719476953502</v>
      </c>
      <c r="P21" s="732">
        <f t="shared" si="11"/>
        <v>6.2379035692980844</v>
      </c>
      <c r="Q21" s="733">
        <f t="shared" si="12"/>
        <v>4.2039240913476998</v>
      </c>
      <c r="R21" s="730">
        <f>'RRT - Subgrupo - IGEO'!N20</f>
        <v>10856</v>
      </c>
      <c r="S21" s="731">
        <f t="shared" si="13"/>
        <v>7766.4502923415157</v>
      </c>
      <c r="T21" s="732">
        <f t="shared" si="14"/>
        <v>10.164831089401194</v>
      </c>
      <c r="U21" s="732">
        <f t="shared" si="15"/>
        <v>17.458990028948215</v>
      </c>
      <c r="V21" s="730">
        <f>'RRT - Subgrupo - IGEO'!Q20</f>
        <v>524</v>
      </c>
      <c r="W21" s="731">
        <f t="shared" si="16"/>
        <v>374.87287704375046</v>
      </c>
      <c r="X21" s="732">
        <f t="shared" si="17"/>
        <v>11.344421209935993</v>
      </c>
      <c r="Y21" s="732">
        <f t="shared" si="18"/>
        <v>0.84271469926021236</v>
      </c>
      <c r="Z21" s="730">
        <f>'RRT - Subgrupo - IGEO'!T20</f>
        <v>1867</v>
      </c>
      <c r="AA21" s="731">
        <f t="shared" si="19"/>
        <v>1335.6634760318359</v>
      </c>
      <c r="AB21" s="732">
        <f t="shared" si="20"/>
        <v>8.9258596813649262</v>
      </c>
      <c r="AC21" s="732">
        <f t="shared" si="21"/>
        <v>3.0025731746542297</v>
      </c>
      <c r="AD21" s="730">
        <f>'RRT - Subgrupo - IGEO'!W20</f>
        <v>4383</v>
      </c>
      <c r="AE21" s="731">
        <f t="shared" si="22"/>
        <v>3135.6256108449579</v>
      </c>
      <c r="AF21" s="732">
        <f t="shared" si="23"/>
        <v>12.136679333708646</v>
      </c>
      <c r="AG21" s="732">
        <f t="shared" si="24"/>
        <v>7.0488903184303631</v>
      </c>
      <c r="AH21" s="730">
        <f>'RRT - Subgrupo - IGEO'!Z20</f>
        <v>1220</v>
      </c>
      <c r="AI21" s="731">
        <f t="shared" si="25"/>
        <v>872.79562975835017</v>
      </c>
      <c r="AJ21" s="732">
        <f t="shared" si="26"/>
        <v>19.157730399684056</v>
      </c>
      <c r="AK21" s="732">
        <f t="shared" si="27"/>
        <v>1.9620456738501126</v>
      </c>
      <c r="AL21" s="730">
        <f>'RRT - Subgrupo - IGEO'!AC20</f>
        <v>907</v>
      </c>
      <c r="AM21" s="731">
        <f t="shared" si="28"/>
        <v>648.87347228756039</v>
      </c>
      <c r="AN21" s="732">
        <f t="shared" si="29"/>
        <v>12.166804909792166</v>
      </c>
      <c r="AO21" s="732">
        <f t="shared" si="30"/>
        <v>1.4586683821164363</v>
      </c>
      <c r="AP21" s="730">
        <f>'RRT - Subgrupo - IGEO'!AF20</f>
        <v>58</v>
      </c>
      <c r="AQ21" s="731">
        <f t="shared" si="31"/>
        <v>41.493562726216645</v>
      </c>
      <c r="AR21" s="732">
        <f t="shared" si="32"/>
        <v>7.3600398745149898</v>
      </c>
      <c r="AS21" s="732">
        <f t="shared" si="33"/>
        <v>9.3277581215825023E-2</v>
      </c>
      <c r="AT21" s="737">
        <f t="shared" si="0"/>
        <v>62180</v>
      </c>
      <c r="AU21" s="738">
        <f>'RRT - Atividades '!L20</f>
        <v>44483.960867519847</v>
      </c>
      <c r="AV21" s="723">
        <f t="shared" si="34"/>
        <v>44483.960867519847</v>
      </c>
      <c r="AW21" s="723">
        <f t="shared" si="35"/>
        <v>0</v>
      </c>
      <c r="AX21" s="1173" t="s">
        <v>624</v>
      </c>
      <c r="AY21" s="1174">
        <v>234829.73129362066</v>
      </c>
      <c r="AZ21" s="1175">
        <v>0.52883480313842157</v>
      </c>
      <c r="BA21" s="1441"/>
    </row>
    <row r="22" spans="1:53" ht="21" customHeight="1">
      <c r="A22" s="736" t="s">
        <v>105</v>
      </c>
      <c r="B22" s="730">
        <f>'RRT - Subgrupo - IGEO'!B21</f>
        <v>16786</v>
      </c>
      <c r="C22" s="731">
        <f t="shared" si="1"/>
        <v>14598.633398821217</v>
      </c>
      <c r="D22" s="732">
        <f t="shared" si="2"/>
        <v>6.2166887124559773</v>
      </c>
      <c r="E22" s="732">
        <f t="shared" si="3"/>
        <v>58.634902892273303</v>
      </c>
      <c r="F22" s="730">
        <f>'RRT - Subgrupo - IGEO'!E21</f>
        <v>602</v>
      </c>
      <c r="G22" s="731">
        <f t="shared" si="4"/>
        <v>523.55399178424716</v>
      </c>
      <c r="H22" s="732">
        <f t="shared" si="5"/>
        <v>1.2040860555731578</v>
      </c>
      <c r="I22" s="732">
        <f t="shared" si="6"/>
        <v>2.1028363839597599</v>
      </c>
      <c r="J22" s="730">
        <f>'RRT - Subgrupo - IGEO'!H21</f>
        <v>477</v>
      </c>
      <c r="K22" s="731">
        <f t="shared" si="7"/>
        <v>414.8426147526344</v>
      </c>
      <c r="L22" s="732">
        <f t="shared" si="8"/>
        <v>8.6450678839647725</v>
      </c>
      <c r="M22" s="732">
        <f t="shared" si="9"/>
        <v>1.6662009221740954</v>
      </c>
      <c r="N22" s="730">
        <f>'RRT - Subgrupo - IGEO'!K21</f>
        <v>3103</v>
      </c>
      <c r="O22" s="731">
        <f t="shared" si="10"/>
        <v>2698.6512234327556</v>
      </c>
      <c r="P22" s="732">
        <f t="shared" si="11"/>
        <v>9.0017531783671298</v>
      </c>
      <c r="Q22" s="733">
        <f t="shared" si="12"/>
        <v>10.839038703367333</v>
      </c>
      <c r="R22" s="730">
        <f>'RRT - Subgrupo - IGEO'!N21</f>
        <v>4420</v>
      </c>
      <c r="S22" s="731">
        <f t="shared" si="13"/>
        <v>3844.0342918378274</v>
      </c>
      <c r="T22" s="732">
        <f t="shared" si="14"/>
        <v>5.0311220451546852</v>
      </c>
      <c r="U22" s="732">
        <f t="shared" si="15"/>
        <v>15.439429928741092</v>
      </c>
      <c r="V22" s="730">
        <f>'RRT - Subgrupo - IGEO'!Q21</f>
        <v>173</v>
      </c>
      <c r="W22" s="731">
        <f t="shared" si="16"/>
        <v>150.45654581175208</v>
      </c>
      <c r="X22" s="732">
        <f t="shared" si="17"/>
        <v>4.5531232959309174</v>
      </c>
      <c r="Y22" s="732">
        <f t="shared" si="18"/>
        <v>0.60430347911135951</v>
      </c>
      <c r="Z22" s="730">
        <f>'RRT - Subgrupo - IGEO'!T21</f>
        <v>856</v>
      </c>
      <c r="AA22" s="731">
        <f t="shared" si="19"/>
        <v>744.45550991248433</v>
      </c>
      <c r="AB22" s="732">
        <f t="shared" si="20"/>
        <v>4.9749847470856698</v>
      </c>
      <c r="AC22" s="732">
        <f t="shared" si="21"/>
        <v>2.9900796423082299</v>
      </c>
      <c r="AD22" s="730">
        <f>'RRT - Subgrupo - IGEO'!W21</f>
        <v>1667</v>
      </c>
      <c r="AE22" s="731">
        <f t="shared" si="22"/>
        <v>1449.774924093588</v>
      </c>
      <c r="AF22" s="732">
        <f t="shared" si="23"/>
        <v>5.6114649972622912</v>
      </c>
      <c r="AG22" s="732">
        <f t="shared" si="24"/>
        <v>5.8229705183736202</v>
      </c>
      <c r="AH22" s="730">
        <f>'RRT - Subgrupo - IGEO'!Z21</f>
        <v>227</v>
      </c>
      <c r="AI22" s="731">
        <f t="shared" si="25"/>
        <v>197.41986068940881</v>
      </c>
      <c r="AJ22" s="732">
        <f t="shared" si="26"/>
        <v>4.3333357061813293</v>
      </c>
      <c r="AK22" s="732">
        <f t="shared" si="27"/>
        <v>0.79292999860276647</v>
      </c>
      <c r="AL22" s="730">
        <f>'RRT - Subgrupo - IGEO'!AC21</f>
        <v>253</v>
      </c>
      <c r="AM22" s="731">
        <f t="shared" si="28"/>
        <v>220.03182711198426</v>
      </c>
      <c r="AN22" s="732">
        <f t="shared" si="29"/>
        <v>4.1257416565031511</v>
      </c>
      <c r="AO22" s="732">
        <f t="shared" si="30"/>
        <v>0.88375017465418471</v>
      </c>
      <c r="AP22" s="730">
        <f>'RRT - Subgrupo - IGEO'!AF21</f>
        <v>64</v>
      </c>
      <c r="AQ22" s="731">
        <f t="shared" si="31"/>
        <v>55.660225040185743</v>
      </c>
      <c r="AR22" s="732">
        <f t="shared" si="32"/>
        <v>9.872892294722396</v>
      </c>
      <c r="AS22" s="732">
        <f t="shared" si="33"/>
        <v>0.22355735643426017</v>
      </c>
      <c r="AT22" s="737">
        <f t="shared" si="0"/>
        <v>28628</v>
      </c>
      <c r="AU22" s="738">
        <f>'RRT - Atividades '!L21</f>
        <v>24897.514413288085</v>
      </c>
      <c r="AV22" s="723">
        <f t="shared" si="34"/>
        <v>24897.514413288081</v>
      </c>
      <c r="AW22" s="723">
        <f t="shared" si="35"/>
        <v>0</v>
      </c>
      <c r="AX22" s="1173" t="s">
        <v>628</v>
      </c>
      <c r="AY22" s="1174">
        <v>76405.109185134861</v>
      </c>
      <c r="AZ22" s="1175">
        <v>0.17206373593371332</v>
      </c>
      <c r="BA22" s="1441"/>
    </row>
    <row r="23" spans="1:53" ht="21" customHeight="1">
      <c r="A23" s="736" t="s">
        <v>106</v>
      </c>
      <c r="B23" s="730">
        <f>'RRT - Subgrupo - IGEO'!B22</f>
        <v>4389</v>
      </c>
      <c r="C23" s="731">
        <f t="shared" si="1"/>
        <v>3000.3602251407133</v>
      </c>
      <c r="D23" s="732">
        <f t="shared" si="2"/>
        <v>1.2776747682725049</v>
      </c>
      <c r="E23" s="732">
        <f t="shared" si="3"/>
        <v>57.940594059405939</v>
      </c>
      <c r="F23" s="730">
        <f>'RRT - Subgrupo - IGEO'!E22</f>
        <v>455</v>
      </c>
      <c r="G23" s="731">
        <f t="shared" si="4"/>
        <v>311.04212860310429</v>
      </c>
      <c r="H23" s="732">
        <f t="shared" si="5"/>
        <v>0.71534454062787156</v>
      </c>
      <c r="I23" s="732">
        <f t="shared" si="6"/>
        <v>6.0066006600660069</v>
      </c>
      <c r="J23" s="730">
        <f>'RRT - Subgrupo - IGEO'!H22</f>
        <v>49</v>
      </c>
      <c r="K23" s="731">
        <f t="shared" si="7"/>
        <v>33.496844618795848</v>
      </c>
      <c r="L23" s="732">
        <f t="shared" si="8"/>
        <v>0.69805387713310196</v>
      </c>
      <c r="M23" s="732">
        <f t="shared" si="9"/>
        <v>0.64686468646864692</v>
      </c>
      <c r="N23" s="730">
        <f>'RRT - Subgrupo - IGEO'!K22</f>
        <v>756</v>
      </c>
      <c r="O23" s="731">
        <f t="shared" si="10"/>
        <v>516.80845983285019</v>
      </c>
      <c r="P23" s="732">
        <f t="shared" si="11"/>
        <v>1.7238916075971025</v>
      </c>
      <c r="Q23" s="733">
        <f t="shared" si="12"/>
        <v>9.9801980198019802</v>
      </c>
      <c r="R23" s="730">
        <f>'RRT - Subgrupo - IGEO'!N22</f>
        <v>1011</v>
      </c>
      <c r="S23" s="731">
        <f t="shared" si="13"/>
        <v>691.12877366535918</v>
      </c>
      <c r="T23" s="732">
        <f t="shared" si="14"/>
        <v>0.90455832212831011</v>
      </c>
      <c r="U23" s="732">
        <f t="shared" si="15"/>
        <v>13.346534653465348</v>
      </c>
      <c r="V23" s="730">
        <f>'RRT - Subgrupo - IGEO'!Q22</f>
        <v>62</v>
      </c>
      <c r="W23" s="731">
        <f t="shared" si="16"/>
        <v>42.383762578884536</v>
      </c>
      <c r="X23" s="732">
        <f t="shared" si="17"/>
        <v>1.282619481432032</v>
      </c>
      <c r="Y23" s="732">
        <f t="shared" si="18"/>
        <v>0.81848184818481851</v>
      </c>
      <c r="Z23" s="730">
        <f>'RRT - Subgrupo - IGEO'!T22</f>
        <v>277</v>
      </c>
      <c r="AA23" s="731">
        <f t="shared" si="19"/>
        <v>189.35971345727447</v>
      </c>
      <c r="AB23" s="732">
        <f t="shared" si="20"/>
        <v>1.2654371868013969</v>
      </c>
      <c r="AC23" s="732">
        <f t="shared" si="21"/>
        <v>3.6567656765676566</v>
      </c>
      <c r="AD23" s="730">
        <f>'RRT - Subgrupo - IGEO'!W22</f>
        <v>384</v>
      </c>
      <c r="AE23" s="731">
        <f t="shared" si="22"/>
        <v>262.50588435954296</v>
      </c>
      <c r="AF23" s="732">
        <f t="shared" si="23"/>
        <v>1.0160491516156669</v>
      </c>
      <c r="AG23" s="732">
        <f t="shared" si="24"/>
        <v>5.0693069306930694</v>
      </c>
      <c r="AH23" s="730">
        <f>'RRT - Subgrupo - IGEO'!Z22</f>
        <v>61</v>
      </c>
      <c r="AI23" s="731">
        <f t="shared" si="25"/>
        <v>41.700153505031565</v>
      </c>
      <c r="AJ23" s="732">
        <f t="shared" si="26"/>
        <v>0.91531198282468473</v>
      </c>
      <c r="AK23" s="732">
        <f t="shared" si="27"/>
        <v>0.80528052805280537</v>
      </c>
      <c r="AL23" s="730">
        <f>'RRT - Subgrupo - IGEO'!AC22</f>
        <v>127</v>
      </c>
      <c r="AM23" s="731">
        <f t="shared" si="28"/>
        <v>86.818352379328005</v>
      </c>
      <c r="AN23" s="732">
        <f t="shared" si="29"/>
        <v>1.6279012798365016</v>
      </c>
      <c r="AO23" s="732">
        <f t="shared" si="30"/>
        <v>1.6765676567656767</v>
      </c>
      <c r="AP23" s="730">
        <f>'RRT - Subgrupo - IGEO'!AF22</f>
        <v>4</v>
      </c>
      <c r="AQ23" s="731">
        <f t="shared" si="31"/>
        <v>2.7344362954119057</v>
      </c>
      <c r="AR23" s="732">
        <f t="shared" si="32"/>
        <v>0.48502849228313805</v>
      </c>
      <c r="AS23" s="732">
        <f t="shared" si="33"/>
        <v>5.2805280528052799E-2</v>
      </c>
      <c r="AT23" s="737">
        <f t="shared" si="0"/>
        <v>7575</v>
      </c>
      <c r="AU23" s="738">
        <f>'RRT - Atividades '!L22</f>
        <v>5178.3387344362964</v>
      </c>
      <c r="AV23" s="723">
        <f t="shared" si="34"/>
        <v>5178.3387344362955</v>
      </c>
      <c r="AW23" s="723">
        <f t="shared" si="35"/>
        <v>0</v>
      </c>
      <c r="AX23" s="1173" t="s">
        <v>625</v>
      </c>
      <c r="AY23" s="1174">
        <v>43481.442988311152</v>
      </c>
      <c r="AZ23" s="1175">
        <v>9.7919885255699279E-2</v>
      </c>
      <c r="BA23" s="1441"/>
    </row>
    <row r="24" spans="1:53" ht="24" customHeight="1">
      <c r="A24" s="736" t="s">
        <v>108</v>
      </c>
      <c r="B24" s="730">
        <f>'RRT - Subgrupo - IGEO'!B23</f>
        <v>4395</v>
      </c>
      <c r="C24" s="731">
        <f t="shared" si="1"/>
        <v>2319.0974758763564</v>
      </c>
      <c r="D24" s="732">
        <f t="shared" si="2"/>
        <v>0.98756552805345599</v>
      </c>
      <c r="E24" s="732">
        <f t="shared" si="3"/>
        <v>39.304238955464143</v>
      </c>
      <c r="F24" s="730">
        <f>'RRT - Subgrupo - IGEO'!E23</f>
        <v>1863</v>
      </c>
      <c r="G24" s="731">
        <f t="shared" si="4"/>
        <v>983.04404950117214</v>
      </c>
      <c r="H24" s="732">
        <f t="shared" si="5"/>
        <v>2.2608358461457634</v>
      </c>
      <c r="I24" s="732">
        <f t="shared" si="6"/>
        <v>16.660704703988554</v>
      </c>
      <c r="J24" s="730">
        <f>'RRT - Subgrupo - IGEO'!H23</f>
        <v>84</v>
      </c>
      <c r="K24" s="731">
        <f t="shared" si="7"/>
        <v>44.324047320503738</v>
      </c>
      <c r="L24" s="732">
        <f t="shared" si="8"/>
        <v>0.92368619893669779</v>
      </c>
      <c r="M24" s="732">
        <f t="shared" si="9"/>
        <v>0.75120729744231796</v>
      </c>
      <c r="N24" s="730">
        <f>'RRT - Subgrupo - IGEO'!K23</f>
        <v>308</v>
      </c>
      <c r="O24" s="731">
        <f t="shared" si="10"/>
        <v>162.52150684184704</v>
      </c>
      <c r="P24" s="732">
        <f t="shared" si="11"/>
        <v>0.54211469717293248</v>
      </c>
      <c r="Q24" s="733">
        <f t="shared" si="12"/>
        <v>2.7544267572884995</v>
      </c>
      <c r="R24" s="730">
        <f>'RRT - Subgrupo - IGEO'!N23</f>
        <v>2657</v>
      </c>
      <c r="S24" s="731">
        <f t="shared" si="13"/>
        <v>1402.0118301259336</v>
      </c>
      <c r="T24" s="732">
        <f t="shared" si="14"/>
        <v>1.8349713063412578</v>
      </c>
      <c r="U24" s="732">
        <f t="shared" si="15"/>
        <v>23.761402253621892</v>
      </c>
      <c r="V24" s="730">
        <f>'RRT - Subgrupo - IGEO'!Q23</f>
        <v>56</v>
      </c>
      <c r="W24" s="731">
        <f t="shared" si="16"/>
        <v>29.549364880335826</v>
      </c>
      <c r="X24" s="732">
        <f t="shared" si="17"/>
        <v>0.89422431500558175</v>
      </c>
      <c r="Y24" s="732">
        <f t="shared" si="18"/>
        <v>0.50080486496154542</v>
      </c>
      <c r="Z24" s="730">
        <f>'RRT - Subgrupo - IGEO'!T23</f>
        <v>565</v>
      </c>
      <c r="AA24" s="731">
        <f t="shared" si="19"/>
        <v>298.13198495338821</v>
      </c>
      <c r="AB24" s="732">
        <f t="shared" si="20"/>
        <v>1.9923313858417693</v>
      </c>
      <c r="AC24" s="732">
        <f t="shared" si="21"/>
        <v>5.0527633697013057</v>
      </c>
      <c r="AD24" s="730">
        <f>'RRT - Subgrupo - IGEO'!W23</f>
        <v>1076</v>
      </c>
      <c r="AE24" s="731">
        <f t="shared" si="22"/>
        <v>567.7699394864527</v>
      </c>
      <c r="AF24" s="732">
        <f t="shared" si="23"/>
        <v>2.1975970814351662</v>
      </c>
      <c r="AG24" s="732">
        <f t="shared" si="24"/>
        <v>9.6226077624754076</v>
      </c>
      <c r="AH24" s="730">
        <f>'RRT - Subgrupo - IGEO'!Z23</f>
        <v>13</v>
      </c>
      <c r="AI24" s="731">
        <f t="shared" si="25"/>
        <v>6.8596739900779591</v>
      </c>
      <c r="AJ24" s="732">
        <f t="shared" si="26"/>
        <v>0.15056879348493468</v>
      </c>
      <c r="AK24" s="732">
        <f t="shared" si="27"/>
        <v>0.11625827222321587</v>
      </c>
      <c r="AL24" s="730">
        <f>'RRT - Subgrupo - IGEO'!AC23</f>
        <v>165</v>
      </c>
      <c r="AM24" s="731">
        <f t="shared" si="28"/>
        <v>87.065092950989481</v>
      </c>
      <c r="AN24" s="732">
        <f t="shared" si="29"/>
        <v>1.6325278280418896</v>
      </c>
      <c r="AO24" s="732">
        <f t="shared" si="30"/>
        <v>1.4755857628331246</v>
      </c>
      <c r="AP24" s="730">
        <f>'RRT - Subgrupo - IGEO'!AF23</f>
        <v>0</v>
      </c>
      <c r="AQ24" s="731">
        <f t="shared" si="31"/>
        <v>0</v>
      </c>
      <c r="AR24" s="732">
        <f t="shared" si="32"/>
        <v>0</v>
      </c>
      <c r="AS24" s="732">
        <f t="shared" si="33"/>
        <v>0</v>
      </c>
      <c r="AT24" s="737">
        <f t="shared" si="0"/>
        <v>11182</v>
      </c>
      <c r="AU24" s="738">
        <f>'RRT - Atividades '!L23</f>
        <v>5900.374965927057</v>
      </c>
      <c r="AV24" s="723">
        <f t="shared" si="34"/>
        <v>5900.374965927057</v>
      </c>
      <c r="AW24" s="723">
        <f t="shared" si="35"/>
        <v>0</v>
      </c>
      <c r="AX24" s="1173" t="s">
        <v>627</v>
      </c>
      <c r="AY24" s="1174">
        <v>29979.173722715605</v>
      </c>
      <c r="AZ24" s="1175">
        <v>6.7512875591045463E-2</v>
      </c>
      <c r="BA24" s="1441"/>
    </row>
    <row r="25" spans="1:53" ht="24" customHeight="1">
      <c r="A25" s="736" t="s">
        <v>109</v>
      </c>
      <c r="B25" s="730">
        <f>'RRT - Subgrupo - IGEO'!B24</f>
        <v>747</v>
      </c>
      <c r="C25" s="731">
        <f t="shared" si="1"/>
        <v>371.62781954887225</v>
      </c>
      <c r="D25" s="732">
        <f t="shared" si="2"/>
        <v>0.1582541603661784</v>
      </c>
      <c r="E25" s="732">
        <f t="shared" si="3"/>
        <v>49.306930693069305</v>
      </c>
      <c r="F25" s="730">
        <f>'RRT - Subgrupo - IGEO'!E24</f>
        <v>58</v>
      </c>
      <c r="G25" s="731">
        <f t="shared" si="4"/>
        <v>28.854636591478698</v>
      </c>
      <c r="H25" s="732">
        <f t="shared" si="5"/>
        <v>6.6360807297116409E-2</v>
      </c>
      <c r="I25" s="732">
        <f t="shared" si="6"/>
        <v>3.8283828382838281</v>
      </c>
      <c r="J25" s="730">
        <f>'RRT - Subgrupo - IGEO'!H24</f>
        <v>18</v>
      </c>
      <c r="K25" s="731">
        <f t="shared" si="7"/>
        <v>8.9548872180451138</v>
      </c>
      <c r="L25" s="732">
        <f t="shared" si="8"/>
        <v>0.18661440541592009</v>
      </c>
      <c r="M25" s="732">
        <f t="shared" si="9"/>
        <v>1.1881188118811881</v>
      </c>
      <c r="N25" s="730">
        <f>'RRT - Subgrupo - IGEO'!K24</f>
        <v>36</v>
      </c>
      <c r="O25" s="731">
        <f t="shared" si="10"/>
        <v>17.909774436090228</v>
      </c>
      <c r="P25" s="732">
        <f t="shared" si="11"/>
        <v>5.9740720680769674E-2</v>
      </c>
      <c r="Q25" s="733">
        <f t="shared" si="12"/>
        <v>2.3762376237623761</v>
      </c>
      <c r="R25" s="730">
        <f>'RRT - Subgrupo - IGEO'!N24</f>
        <v>441</v>
      </c>
      <c r="S25" s="731">
        <f t="shared" si="13"/>
        <v>219.39473684210529</v>
      </c>
      <c r="T25" s="732">
        <f t="shared" si="14"/>
        <v>0.28714668322833842</v>
      </c>
      <c r="U25" s="732">
        <f t="shared" si="15"/>
        <v>29.108910891089106</v>
      </c>
      <c r="V25" s="730">
        <f>'RRT - Subgrupo - IGEO'!Q24</f>
        <v>3</v>
      </c>
      <c r="W25" s="731">
        <f t="shared" si="16"/>
        <v>1.492481203007519</v>
      </c>
      <c r="X25" s="732">
        <f t="shared" si="17"/>
        <v>4.5165538644326271E-2</v>
      </c>
      <c r="Y25" s="732">
        <f t="shared" si="18"/>
        <v>0.19801980198019803</v>
      </c>
      <c r="Z25" s="730">
        <f>'RRT - Subgrupo - IGEO'!T24</f>
        <v>126</v>
      </c>
      <c r="AA25" s="731">
        <f t="shared" si="19"/>
        <v>62.684210526315802</v>
      </c>
      <c r="AB25" s="732">
        <f t="shared" si="20"/>
        <v>0.41890077660676928</v>
      </c>
      <c r="AC25" s="732">
        <f t="shared" si="21"/>
        <v>8.3168316831683171</v>
      </c>
      <c r="AD25" s="730">
        <f>'RRT - Subgrupo - IGEO'!W24</f>
        <v>50</v>
      </c>
      <c r="AE25" s="731">
        <f t="shared" si="22"/>
        <v>24.874686716791981</v>
      </c>
      <c r="AF25" s="732">
        <f t="shared" si="23"/>
        <v>9.6279382067814584E-2</v>
      </c>
      <c r="AG25" s="732">
        <f t="shared" si="24"/>
        <v>3.3003300330032999</v>
      </c>
      <c r="AH25" s="730">
        <f>'RRT - Subgrupo - IGEO'!Z24</f>
        <v>10</v>
      </c>
      <c r="AI25" s="731">
        <f t="shared" si="25"/>
        <v>4.9749373433583965</v>
      </c>
      <c r="AJ25" s="732">
        <f t="shared" si="26"/>
        <v>0.10919911274735476</v>
      </c>
      <c r="AK25" s="732">
        <f t="shared" si="27"/>
        <v>0.66006600660066006</v>
      </c>
      <c r="AL25" s="730">
        <f>'RRT - Subgrupo - IGEO'!AC24</f>
        <v>25</v>
      </c>
      <c r="AM25" s="731">
        <f t="shared" si="28"/>
        <v>12.43734335839599</v>
      </c>
      <c r="AN25" s="732">
        <f t="shared" si="29"/>
        <v>0.23320837836724173</v>
      </c>
      <c r="AO25" s="732">
        <f t="shared" si="30"/>
        <v>1.6501650165016499</v>
      </c>
      <c r="AP25" s="730">
        <f>'RRT - Subgrupo - IGEO'!AF24</f>
        <v>1</v>
      </c>
      <c r="AQ25" s="731">
        <f t="shared" si="31"/>
        <v>0.49749373433583965</v>
      </c>
      <c r="AR25" s="732">
        <f t="shared" si="32"/>
        <v>8.8244380126936528E-2</v>
      </c>
      <c r="AS25" s="732">
        <f t="shared" si="33"/>
        <v>6.6006600660066E-2</v>
      </c>
      <c r="AT25" s="737">
        <f t="shared" si="0"/>
        <v>1515</v>
      </c>
      <c r="AU25" s="738">
        <f>'RRT - Atividades '!L24</f>
        <v>753.70300751879711</v>
      </c>
      <c r="AV25" s="723">
        <f t="shared" si="34"/>
        <v>753.70300751879722</v>
      </c>
      <c r="AW25" s="723">
        <f t="shared" si="35"/>
        <v>0</v>
      </c>
      <c r="AX25" s="1173" t="s">
        <v>631</v>
      </c>
      <c r="AY25" s="1174">
        <v>25835.943462195719</v>
      </c>
      <c r="AZ25" s="1175">
        <v>5.8182351951176589E-2</v>
      </c>
      <c r="BA25" s="1441"/>
    </row>
    <row r="26" spans="1:53" ht="24" customHeight="1">
      <c r="A26" s="736" t="s">
        <v>107</v>
      </c>
      <c r="B26" s="730">
        <f>'RRT - Subgrupo - IGEO'!B25</f>
        <v>27708</v>
      </c>
      <c r="C26" s="731">
        <f t="shared" si="1"/>
        <v>13908.895899640993</v>
      </c>
      <c r="D26" s="732">
        <f t="shared" si="2"/>
        <v>5.9229705808630886</v>
      </c>
      <c r="E26" s="732">
        <f t="shared" si="3"/>
        <v>33.168139050491988</v>
      </c>
      <c r="F26" s="730">
        <f>'RRT - Subgrupo - IGEO'!E25</f>
        <v>16101</v>
      </c>
      <c r="G26" s="731">
        <f t="shared" si="4"/>
        <v>8082.3997719113486</v>
      </c>
      <c r="H26" s="732">
        <f t="shared" si="5"/>
        <v>18.588159031622041</v>
      </c>
      <c r="I26" s="732">
        <f t="shared" si="6"/>
        <v>19.273863391510453</v>
      </c>
      <c r="J26" s="730">
        <f>'RRT - Subgrupo - IGEO'!H25</f>
        <v>550</v>
      </c>
      <c r="K26" s="731">
        <f t="shared" si="7"/>
        <v>276.08967607920266</v>
      </c>
      <c r="L26" s="732">
        <f t="shared" si="8"/>
        <v>5.7535409981681367</v>
      </c>
      <c r="M26" s="732">
        <f t="shared" si="9"/>
        <v>0.65838301132418786</v>
      </c>
      <c r="N26" s="730">
        <f>'RRT - Subgrupo - IGEO'!K25</f>
        <v>2711</v>
      </c>
      <c r="O26" s="731">
        <f t="shared" si="10"/>
        <v>1360.8711124558515</v>
      </c>
      <c r="P26" s="732">
        <f t="shared" si="11"/>
        <v>4.5393883268527242</v>
      </c>
      <c r="Q26" s="733">
        <f t="shared" si="12"/>
        <v>3.2452297158179508</v>
      </c>
      <c r="R26" s="730">
        <f>'RRT - Subgrupo - IGEO'!N25</f>
        <v>25115</v>
      </c>
      <c r="S26" s="731">
        <f t="shared" si="13"/>
        <v>12607.258572234863</v>
      </c>
      <c r="T26" s="732">
        <f t="shared" si="14"/>
        <v>16.50054388599407</v>
      </c>
      <c r="U26" s="732">
        <f t="shared" si="15"/>
        <v>30.064162417103596</v>
      </c>
      <c r="V26" s="730">
        <f>'RRT - Subgrupo - IGEO'!Q25</f>
        <v>490</v>
      </c>
      <c r="W26" s="731">
        <f t="shared" si="16"/>
        <v>245.9708023251078</v>
      </c>
      <c r="X26" s="732">
        <f t="shared" si="17"/>
        <v>7.443580364968005</v>
      </c>
      <c r="Y26" s="732">
        <f t="shared" si="18"/>
        <v>0.58655941008882184</v>
      </c>
      <c r="Z26" s="730">
        <f>'RRT - Subgrupo - IGEO'!T25</f>
        <v>4340</v>
      </c>
      <c r="AA26" s="731">
        <f t="shared" si="19"/>
        <v>2178.5985348795261</v>
      </c>
      <c r="AB26" s="732">
        <f t="shared" si="20"/>
        <v>14.558955285753703</v>
      </c>
      <c r="AC26" s="732">
        <f t="shared" si="21"/>
        <v>5.1952404893581363</v>
      </c>
      <c r="AD26" s="730">
        <f>'RRT - Subgrupo - IGEO'!W25</f>
        <v>4051</v>
      </c>
      <c r="AE26" s="731">
        <f t="shared" si="22"/>
        <v>2033.525959630636</v>
      </c>
      <c r="AF26" s="732">
        <f t="shared" si="23"/>
        <v>7.8709181362243656</v>
      </c>
      <c r="AG26" s="732">
        <f t="shared" si="24"/>
        <v>4.8492901434077904</v>
      </c>
      <c r="AH26" s="730">
        <f>'RRT - Subgrupo - IGEO'!Z25</f>
        <v>737</v>
      </c>
      <c r="AI26" s="731">
        <f t="shared" si="25"/>
        <v>369.96016594613155</v>
      </c>
      <c r="AJ26" s="732">
        <f t="shared" si="26"/>
        <v>8.1205689810576818</v>
      </c>
      <c r="AK26" s="732">
        <f t="shared" si="27"/>
        <v>0.88223323517441166</v>
      </c>
      <c r="AL26" s="730">
        <f>'RRT - Subgrupo - IGEO'!AC25</f>
        <v>1648</v>
      </c>
      <c r="AM26" s="731">
        <f t="shared" si="28"/>
        <v>827.26506577913813</v>
      </c>
      <c r="AN26" s="732">
        <f t="shared" si="29"/>
        <v>15.511764764457173</v>
      </c>
      <c r="AO26" s="732">
        <f t="shared" si="30"/>
        <v>1.9727549139313845</v>
      </c>
      <c r="AP26" s="730">
        <f>'RRT - Subgrupo - IGEO'!AF25</f>
        <v>87</v>
      </c>
      <c r="AQ26" s="731">
        <f t="shared" si="31"/>
        <v>43.672366943437503</v>
      </c>
      <c r="AR26" s="732">
        <f t="shared" si="32"/>
        <v>7.746511530933514</v>
      </c>
      <c r="AS26" s="732">
        <f t="shared" si="33"/>
        <v>0.10414422179128062</v>
      </c>
      <c r="AT26" s="737">
        <f t="shared" si="0"/>
        <v>83538</v>
      </c>
      <c r="AU26" s="738">
        <f>'RRT - Atividades '!L25</f>
        <v>41934.507927826235</v>
      </c>
      <c r="AV26" s="723">
        <f t="shared" si="34"/>
        <v>41934.507927826235</v>
      </c>
      <c r="AW26" s="723">
        <f t="shared" si="35"/>
        <v>0</v>
      </c>
      <c r="AX26" s="1173" t="s">
        <v>630</v>
      </c>
      <c r="AY26" s="1174">
        <v>14963.975725726274</v>
      </c>
      <c r="AZ26" s="1175">
        <v>3.3698761709129242E-2</v>
      </c>
      <c r="BA26" s="1441"/>
    </row>
    <row r="27" spans="1:53" ht="21.75" customHeight="1">
      <c r="A27" s="736" t="s">
        <v>110</v>
      </c>
      <c r="B27" s="730">
        <f>'RRT - Subgrupo - IGEO'!B26</f>
        <v>21462</v>
      </c>
      <c r="C27" s="731">
        <f t="shared" si="1"/>
        <v>10584.589343277921</v>
      </c>
      <c r="D27" s="732">
        <f t="shared" si="2"/>
        <v>4.5073463589852771</v>
      </c>
      <c r="E27" s="732">
        <f t="shared" si="3"/>
        <v>39.410911361257504</v>
      </c>
      <c r="F27" s="730">
        <f>'RRT - Subgrupo - IGEO'!E26</f>
        <v>9925</v>
      </c>
      <c r="G27" s="731">
        <f t="shared" si="4"/>
        <v>4894.7930869459215</v>
      </c>
      <c r="H27" s="732">
        <f t="shared" si="5"/>
        <v>11.257200199776623</v>
      </c>
      <c r="I27" s="732">
        <f t="shared" si="6"/>
        <v>18.225388838900418</v>
      </c>
      <c r="J27" s="730">
        <f>'RRT - Subgrupo - IGEO'!H26</f>
        <v>400</v>
      </c>
      <c r="K27" s="731">
        <f t="shared" si="7"/>
        <v>197.27125791217819</v>
      </c>
      <c r="L27" s="732">
        <f t="shared" si="8"/>
        <v>4.1110130819680286</v>
      </c>
      <c r="M27" s="732">
        <f t="shared" si="9"/>
        <v>0.73452448721009234</v>
      </c>
      <c r="N27" s="730">
        <f>'RRT - Subgrupo - IGEO'!K26</f>
        <v>1994</v>
      </c>
      <c r="O27" s="731">
        <f t="shared" si="10"/>
        <v>983.39722069220829</v>
      </c>
      <c r="P27" s="732">
        <f t="shared" si="11"/>
        <v>3.2802679279551841</v>
      </c>
      <c r="Q27" s="733">
        <f t="shared" si="12"/>
        <v>3.6616045687423107</v>
      </c>
      <c r="R27" s="730">
        <f>'RRT - Subgrupo - IGEO'!N26</f>
        <v>15377</v>
      </c>
      <c r="S27" s="731">
        <f t="shared" si="13"/>
        <v>7583.6003322889101</v>
      </c>
      <c r="T27" s="732">
        <f t="shared" si="14"/>
        <v>9.9255146850367328</v>
      </c>
      <c r="U27" s="732">
        <f t="shared" si="15"/>
        <v>28.236957599573977</v>
      </c>
      <c r="V27" s="730">
        <f>'RRT - Subgrupo - IGEO'!Q26</f>
        <v>274</v>
      </c>
      <c r="W27" s="731">
        <f t="shared" si="16"/>
        <v>135.13081166984207</v>
      </c>
      <c r="X27" s="732">
        <f t="shared" si="17"/>
        <v>4.0893351850694506</v>
      </c>
      <c r="Y27" s="732">
        <f t="shared" si="18"/>
        <v>0.50314927373891327</v>
      </c>
      <c r="Z27" s="730">
        <f>'RRT - Subgrupo - IGEO'!T26</f>
        <v>1862</v>
      </c>
      <c r="AA27" s="731">
        <f t="shared" si="19"/>
        <v>918.29770558118958</v>
      </c>
      <c r="AB27" s="732">
        <f t="shared" si="20"/>
        <v>6.1367227694872524</v>
      </c>
      <c r="AC27" s="732">
        <f t="shared" si="21"/>
        <v>3.41921148796298</v>
      </c>
      <c r="AD27" s="730">
        <f>'RRT - Subgrupo - IGEO'!W26</f>
        <v>1792</v>
      </c>
      <c r="AE27" s="731">
        <f t="shared" si="22"/>
        <v>883.77523544655844</v>
      </c>
      <c r="AF27" s="732">
        <f t="shared" si="23"/>
        <v>3.420719807425407</v>
      </c>
      <c r="AG27" s="732">
        <f t="shared" si="24"/>
        <v>3.290669702701214</v>
      </c>
      <c r="AH27" s="730">
        <f>'RRT - Subgrupo - IGEO'!Z26</f>
        <v>726</v>
      </c>
      <c r="AI27" s="731">
        <f t="shared" si="25"/>
        <v>358.0473331106034</v>
      </c>
      <c r="AJ27" s="732">
        <f t="shared" si="26"/>
        <v>7.8590841248345349</v>
      </c>
      <c r="AK27" s="732">
        <f t="shared" si="27"/>
        <v>1.3331619442863176</v>
      </c>
      <c r="AL27" s="730">
        <f>'RRT - Subgrupo - IGEO'!AC26</f>
        <v>594</v>
      </c>
      <c r="AM27" s="731">
        <f t="shared" si="28"/>
        <v>292.94781799958463</v>
      </c>
      <c r="AN27" s="732">
        <f t="shared" si="29"/>
        <v>5.4929645032100947</v>
      </c>
      <c r="AO27" s="732">
        <f t="shared" si="30"/>
        <v>1.0907688635069872</v>
      </c>
      <c r="AP27" s="730">
        <f>'RRT - Subgrupo - IGEO'!AF26</f>
        <v>51</v>
      </c>
      <c r="AQ27" s="731">
        <f t="shared" si="31"/>
        <v>25.152085383802721</v>
      </c>
      <c r="AR27" s="732">
        <f t="shared" si="32"/>
        <v>4.4614233917067363</v>
      </c>
      <c r="AS27" s="732">
        <f t="shared" si="33"/>
        <v>9.3651872119286786E-2</v>
      </c>
      <c r="AT27" s="737">
        <f t="shared" si="0"/>
        <v>54457</v>
      </c>
      <c r="AU27" s="738">
        <f>'RRT - Atividades '!L26</f>
        <v>26857.002230308721</v>
      </c>
      <c r="AV27" s="723">
        <f t="shared" si="34"/>
        <v>26857.002230308724</v>
      </c>
      <c r="AW27" s="723">
        <f>AU27-AV27</f>
        <v>0</v>
      </c>
      <c r="AX27" s="1173" t="s">
        <v>633</v>
      </c>
      <c r="AY27" s="1174">
        <v>5333.1460239436392</v>
      </c>
      <c r="AZ27" s="1175">
        <v>1.2010205062808874E-2</v>
      </c>
      <c r="BA27" s="1441"/>
    </row>
    <row r="28" spans="1:53" ht="24">
      <c r="A28" s="736" t="s">
        <v>112</v>
      </c>
      <c r="B28" s="730">
        <f>'RRT - Subgrupo - IGEO'!B27</f>
        <v>3573</v>
      </c>
      <c r="C28" s="731">
        <f t="shared" si="1"/>
        <v>2397.7266456444618</v>
      </c>
      <c r="D28" s="732">
        <f t="shared" si="2"/>
        <v>1.0210490096104785</v>
      </c>
      <c r="E28" s="732">
        <f t="shared" si="3"/>
        <v>55.326726540724678</v>
      </c>
      <c r="F28" s="730">
        <f>'RRT - Subgrupo - IGEO'!E27</f>
        <v>525</v>
      </c>
      <c r="G28" s="731">
        <f t="shared" si="4"/>
        <v>352.31080015766651</v>
      </c>
      <c r="H28" s="732">
        <f t="shared" si="5"/>
        <v>0.81025553878783652</v>
      </c>
      <c r="I28" s="732">
        <f t="shared" si="6"/>
        <v>8.1294518426757509</v>
      </c>
      <c r="J28" s="730">
        <f>'RRT - Subgrupo - IGEO'!H27</f>
        <v>74</v>
      </c>
      <c r="K28" s="731">
        <f t="shared" si="7"/>
        <v>49.659046117461564</v>
      </c>
      <c r="L28" s="732">
        <f t="shared" si="8"/>
        <v>1.0348643304024645</v>
      </c>
      <c r="M28" s="732">
        <f t="shared" si="9"/>
        <v>1.1458655930628678</v>
      </c>
      <c r="N28" s="730">
        <f>'RRT - Subgrupo - IGEO'!K27</f>
        <v>541</v>
      </c>
      <c r="O28" s="731">
        <f t="shared" si="10"/>
        <v>363.0478912100906</v>
      </c>
      <c r="P28" s="732">
        <f t="shared" si="11"/>
        <v>1.2110003249856234</v>
      </c>
      <c r="Q28" s="733">
        <f t="shared" si="12"/>
        <v>8.3772065655001544</v>
      </c>
      <c r="R28" s="730">
        <f>'RRT - Subgrupo - IGEO'!N27</f>
        <v>748</v>
      </c>
      <c r="S28" s="731">
        <f t="shared" si="13"/>
        <v>501.95900670082767</v>
      </c>
      <c r="T28" s="732">
        <f t="shared" si="14"/>
        <v>0.65697047233391981</v>
      </c>
      <c r="U28" s="732">
        <f t="shared" si="15"/>
        <v>11.58253329204088</v>
      </c>
      <c r="V28" s="730">
        <f>'RRT - Subgrupo - IGEO'!Q27</f>
        <v>59</v>
      </c>
      <c r="W28" s="731">
        <f t="shared" si="16"/>
        <v>39.593023255813947</v>
      </c>
      <c r="X28" s="732">
        <f t="shared" si="17"/>
        <v>1.1981659925114412</v>
      </c>
      <c r="Y28" s="732">
        <f t="shared" si="18"/>
        <v>0.91359554041498914</v>
      </c>
      <c r="Z28" s="730">
        <f>'RRT - Subgrupo - IGEO'!T27</f>
        <v>244</v>
      </c>
      <c r="AA28" s="731">
        <f t="shared" si="19"/>
        <v>163.74063854946783</v>
      </c>
      <c r="AB28" s="732">
        <f t="shared" si="20"/>
        <v>1.0942321850199386</v>
      </c>
      <c r="AC28" s="732">
        <f t="shared" si="21"/>
        <v>3.7782595230721583</v>
      </c>
      <c r="AD28" s="730">
        <f>'RRT - Subgrupo - IGEO'!W27</f>
        <v>535</v>
      </c>
      <c r="AE28" s="731">
        <f t="shared" si="22"/>
        <v>359.02148206543154</v>
      </c>
      <c r="AF28" s="732">
        <f t="shared" si="23"/>
        <v>1.3896201723415575</v>
      </c>
      <c r="AG28" s="732">
        <f t="shared" si="24"/>
        <v>8.2842985444410022</v>
      </c>
      <c r="AH28" s="730">
        <f>'RRT - Subgrupo - IGEO'!Z27</f>
        <v>34</v>
      </c>
      <c r="AI28" s="731">
        <f t="shared" si="25"/>
        <v>22.816318486401258</v>
      </c>
      <c r="AJ28" s="732">
        <f t="shared" si="26"/>
        <v>0.50081469633025599</v>
      </c>
      <c r="AK28" s="732">
        <f t="shared" si="27"/>
        <v>0.52647878600185816</v>
      </c>
      <c r="AL28" s="730">
        <f>'RRT - Subgrupo - IGEO'!AC27</f>
        <v>108</v>
      </c>
      <c r="AM28" s="731">
        <f t="shared" si="28"/>
        <v>72.475364603862829</v>
      </c>
      <c r="AN28" s="732">
        <f t="shared" si="29"/>
        <v>1.3589608137200473</v>
      </c>
      <c r="AO28" s="732">
        <f t="shared" si="30"/>
        <v>1.6723443790647261</v>
      </c>
      <c r="AP28" s="730">
        <f>'RRT - Subgrupo - IGEO'!AF27</f>
        <v>17</v>
      </c>
      <c r="AQ28" s="731">
        <f t="shared" si="31"/>
        <v>11.408159243200629</v>
      </c>
      <c r="AR28" s="732">
        <f t="shared" si="32"/>
        <v>2.0235550145160843</v>
      </c>
      <c r="AS28" s="732">
        <f t="shared" si="33"/>
        <v>0.26323939300092908</v>
      </c>
      <c r="AT28" s="737">
        <f t="shared" si="0"/>
        <v>6458</v>
      </c>
      <c r="AU28" s="738">
        <f>'RRT - Atividades '!L27</f>
        <v>4333.7583760346861</v>
      </c>
      <c r="AV28" s="723">
        <f t="shared" si="34"/>
        <v>4333.7583760346861</v>
      </c>
      <c r="AW28" s="723">
        <f t="shared" si="35"/>
        <v>0</v>
      </c>
      <c r="AX28" s="1173" t="s">
        <v>626</v>
      </c>
      <c r="AY28" s="1174">
        <v>4798.6044796953129</v>
      </c>
      <c r="AZ28" s="1175">
        <v>1.0806421492625354E-2</v>
      </c>
      <c r="BA28" s="1441"/>
    </row>
    <row r="29" spans="1:53" ht="21">
      <c r="A29" s="736" t="s">
        <v>111</v>
      </c>
      <c r="B29" s="730">
        <f>'RRT - Subgrupo - IGEO'!B28</f>
        <v>95093</v>
      </c>
      <c r="C29" s="731">
        <f t="shared" si="1"/>
        <v>84714.846520569699</v>
      </c>
      <c r="D29" s="732">
        <f t="shared" si="2"/>
        <v>36.07500892408126</v>
      </c>
      <c r="E29" s="732">
        <f t="shared" si="3"/>
        <v>63.954723985795759</v>
      </c>
      <c r="F29" s="730">
        <f>'RRT - Subgrupo - IGEO'!E28</f>
        <v>6844</v>
      </c>
      <c r="G29" s="731">
        <f t="shared" si="4"/>
        <v>6097.0671825137406</v>
      </c>
      <c r="H29" s="732">
        <f t="shared" si="5"/>
        <v>14.022228250687949</v>
      </c>
      <c r="I29" s="732">
        <f t="shared" si="6"/>
        <v>4.6029269342515873</v>
      </c>
      <c r="J29" s="730">
        <f>'RRT - Subgrupo - IGEO'!H28</f>
        <v>1613</v>
      </c>
      <c r="K29" s="731">
        <f t="shared" si="7"/>
        <v>1436.9622100225981</v>
      </c>
      <c r="L29" s="732">
        <f t="shared" si="8"/>
        <v>29.945418842142995</v>
      </c>
      <c r="M29" s="732">
        <f t="shared" si="9"/>
        <v>1.0848219089637361</v>
      </c>
      <c r="N29" s="730">
        <f>'RRT - Subgrupo - IGEO'!K28</f>
        <v>12603</v>
      </c>
      <c r="O29" s="731">
        <f t="shared" si="10"/>
        <v>11227.547881534287</v>
      </c>
      <c r="P29" s="732">
        <f t="shared" si="11"/>
        <v>37.45115854553066</v>
      </c>
      <c r="Q29" s="733">
        <f t="shared" si="12"/>
        <v>8.4761379532981813</v>
      </c>
      <c r="R29" s="730">
        <f>'RRT - Subgrupo - IGEO'!N28</f>
        <v>16058</v>
      </c>
      <c r="S29" s="731">
        <f t="shared" si="13"/>
        <v>14305.479955699246</v>
      </c>
      <c r="T29" s="732">
        <f t="shared" si="14"/>
        <v>18.723198105817872</v>
      </c>
      <c r="U29" s="732">
        <f t="shared" si="15"/>
        <v>10.799795545033897</v>
      </c>
      <c r="V29" s="730">
        <f>'RRT - Subgrupo - IGEO'!Q28</f>
        <v>965</v>
      </c>
      <c r="W29" s="731">
        <f t="shared" si="16"/>
        <v>859.68290928196359</v>
      </c>
      <c r="X29" s="732">
        <f t="shared" si="17"/>
        <v>26.015765949211588</v>
      </c>
      <c r="Y29" s="732">
        <f t="shared" si="18"/>
        <v>0.64901000753255134</v>
      </c>
      <c r="Z29" s="730">
        <f>'RRT - Subgrupo - IGEO'!T28</f>
        <v>3419</v>
      </c>
      <c r="AA29" s="731">
        <f t="shared" si="19"/>
        <v>3045.8610019015891</v>
      </c>
      <c r="AB29" s="732">
        <f t="shared" si="20"/>
        <v>20.354624049978263</v>
      </c>
      <c r="AC29" s="732">
        <f t="shared" si="21"/>
        <v>2.2994458194339824</v>
      </c>
      <c r="AD29" s="730">
        <f>'RRT - Subgrupo - IGEO'!W28</f>
        <v>9401</v>
      </c>
      <c r="AE29" s="731">
        <f t="shared" si="22"/>
        <v>8375.0041763313384</v>
      </c>
      <c r="AF29" s="732">
        <f t="shared" si="23"/>
        <v>32.416095772101414</v>
      </c>
      <c r="AG29" s="732">
        <f t="shared" si="24"/>
        <v>6.3226353169051981</v>
      </c>
      <c r="AH29" s="730">
        <f>'RRT - Subgrupo - IGEO'!Z28</f>
        <v>1309</v>
      </c>
      <c r="AI29" s="731">
        <f t="shared" si="25"/>
        <v>1166.1398220208189</v>
      </c>
      <c r="AJ29" s="732">
        <f t="shared" si="26"/>
        <v>25.596590492548422</v>
      </c>
      <c r="AK29" s="732">
        <f t="shared" si="27"/>
        <v>0.88036694286021733</v>
      </c>
      <c r="AL29" s="730">
        <f>'RRT - Subgrupo - IGEO'!AC28</f>
        <v>1223</v>
      </c>
      <c r="AM29" s="731">
        <f t="shared" si="28"/>
        <v>1089.5255938361051</v>
      </c>
      <c r="AN29" s="732">
        <f t="shared" si="29"/>
        <v>20.42932237265925</v>
      </c>
      <c r="AO29" s="732">
        <f t="shared" si="30"/>
        <v>0.82252770902830086</v>
      </c>
      <c r="AP29" s="730">
        <f>'RRT - Subgrupo - IGEO'!AF28</f>
        <v>160</v>
      </c>
      <c r="AQ29" s="731">
        <f t="shared" si="31"/>
        <v>142.53809894830485</v>
      </c>
      <c r="AR29" s="732">
        <f t="shared" si="32"/>
        <v>25.283104726850762</v>
      </c>
      <c r="AS29" s="732">
        <f t="shared" si="33"/>
        <v>0.10760787689658882</v>
      </c>
      <c r="AT29" s="737">
        <f t="shared" si="0"/>
        <v>148688</v>
      </c>
      <c r="AU29" s="738">
        <f>'RRT - Atividades '!L28</f>
        <v>132460.6553526597</v>
      </c>
      <c r="AV29" s="723">
        <f t="shared" si="34"/>
        <v>132460.65535265967</v>
      </c>
      <c r="AW29" s="723">
        <f t="shared" si="35"/>
        <v>0</v>
      </c>
      <c r="AX29" s="1173" t="s">
        <v>632</v>
      </c>
      <c r="AY29" s="1174">
        <v>4555.840444297849</v>
      </c>
      <c r="AZ29" s="1175">
        <v>1.0259718695831777E-2</v>
      </c>
      <c r="BA29" s="1441"/>
    </row>
    <row r="30" spans="1:53" ht="24">
      <c r="A30" s="736" t="s">
        <v>113</v>
      </c>
      <c r="B30" s="730">
        <f>'RRT - Subgrupo - IGEO'!B29</f>
        <v>2261</v>
      </c>
      <c r="C30" s="731">
        <f t="shared" si="1"/>
        <v>1173.9609872611466</v>
      </c>
      <c r="D30" s="732">
        <f t="shared" si="2"/>
        <v>0.49992008285921763</v>
      </c>
      <c r="E30" s="732">
        <f t="shared" si="3"/>
        <v>42.380506091846307</v>
      </c>
      <c r="F30" s="730">
        <f>'RRT - Subgrupo - IGEO'!E29</f>
        <v>885</v>
      </c>
      <c r="G30" s="731">
        <f t="shared" si="4"/>
        <v>459.51148771610553</v>
      </c>
      <c r="H30" s="732">
        <f t="shared" si="5"/>
        <v>1.0567990759635855</v>
      </c>
      <c r="I30" s="732">
        <f t="shared" si="6"/>
        <v>16.588566073102157</v>
      </c>
      <c r="J30" s="730">
        <f>'RRT - Subgrupo - IGEO'!H29</f>
        <v>62</v>
      </c>
      <c r="K30" s="731">
        <f t="shared" si="7"/>
        <v>32.191765241128294</v>
      </c>
      <c r="L30" s="732">
        <f t="shared" si="8"/>
        <v>0.67085681633782634</v>
      </c>
      <c r="M30" s="732">
        <f t="shared" si="9"/>
        <v>1.162136832239925</v>
      </c>
      <c r="N30" s="730">
        <f>'RRT - Subgrupo - IGEO'!K29</f>
        <v>191</v>
      </c>
      <c r="O30" s="731">
        <f t="shared" si="10"/>
        <v>99.171405823475894</v>
      </c>
      <c r="P30" s="732">
        <f t="shared" si="11"/>
        <v>0.33080099785516254</v>
      </c>
      <c r="Q30" s="733">
        <f t="shared" si="12"/>
        <v>3.5801312089971886</v>
      </c>
      <c r="R30" s="730">
        <f>'RRT - Subgrupo - IGEO'!N29</f>
        <v>1076</v>
      </c>
      <c r="S30" s="731">
        <f t="shared" si="13"/>
        <v>558.68289353958141</v>
      </c>
      <c r="T30" s="732">
        <f t="shared" si="14"/>
        <v>0.7312114327143413</v>
      </c>
      <c r="U30" s="732">
        <f t="shared" si="15"/>
        <v>20.168697282099345</v>
      </c>
      <c r="V30" s="730">
        <f>'RRT - Subgrupo - IGEO'!Q29</f>
        <v>72</v>
      </c>
      <c r="W30" s="731">
        <f t="shared" si="16"/>
        <v>37.38398544131028</v>
      </c>
      <c r="X30" s="732">
        <f t="shared" si="17"/>
        <v>1.1313159828920967</v>
      </c>
      <c r="Y30" s="732">
        <f t="shared" si="18"/>
        <v>1.3495782567947516</v>
      </c>
      <c r="Z30" s="730">
        <f>'RRT - Subgrupo - IGEO'!T29</f>
        <v>345</v>
      </c>
      <c r="AA30" s="731">
        <f t="shared" si="19"/>
        <v>179.13159690627845</v>
      </c>
      <c r="AB30" s="732">
        <f t="shared" si="20"/>
        <v>1.1970855886802392</v>
      </c>
      <c r="AC30" s="732">
        <f t="shared" si="21"/>
        <v>6.4667291471415185</v>
      </c>
      <c r="AD30" s="730">
        <f>'RRT - Subgrupo - IGEO'!W29</f>
        <v>310</v>
      </c>
      <c r="AE30" s="731">
        <f t="shared" si="22"/>
        <v>160.95882620564149</v>
      </c>
      <c r="AF30" s="732">
        <f t="shared" si="23"/>
        <v>0.62300347746604834</v>
      </c>
      <c r="AG30" s="732">
        <f t="shared" si="24"/>
        <v>5.8106841611996254</v>
      </c>
      <c r="AH30" s="730">
        <f>'RRT - Subgrupo - IGEO'!Z29</f>
        <v>33</v>
      </c>
      <c r="AI30" s="731">
        <f t="shared" si="25"/>
        <v>17.134326660600543</v>
      </c>
      <c r="AJ30" s="732">
        <f t="shared" si="26"/>
        <v>0.37609584598262424</v>
      </c>
      <c r="AK30" s="732">
        <f t="shared" si="27"/>
        <v>0.61855670103092775</v>
      </c>
      <c r="AL30" s="730">
        <f>'RRT - Subgrupo - IGEO'!AC29</f>
        <v>97</v>
      </c>
      <c r="AM30" s="731">
        <f t="shared" si="28"/>
        <v>50.364535941765233</v>
      </c>
      <c r="AN30" s="732">
        <f t="shared" si="29"/>
        <v>0.9443682156019938</v>
      </c>
      <c r="AO30" s="732">
        <f t="shared" si="30"/>
        <v>1.8181818181818181</v>
      </c>
      <c r="AP30" s="730">
        <f>'RRT - Subgrupo - IGEO'!AF29</f>
        <v>3</v>
      </c>
      <c r="AQ30" s="731">
        <f t="shared" si="31"/>
        <v>1.5576660600545951</v>
      </c>
      <c r="AR30" s="732">
        <f t="shared" si="32"/>
        <v>0.2762954916362711</v>
      </c>
      <c r="AS30" s="732">
        <f t="shared" si="33"/>
        <v>5.6232427366447985E-2</v>
      </c>
      <c r="AT30" s="737">
        <f t="shared" si="0"/>
        <v>5335</v>
      </c>
      <c r="AU30" s="738">
        <f>'RRT - Atividades '!L29</f>
        <v>2770.0494767970881</v>
      </c>
      <c r="AV30" s="723">
        <f t="shared" si="34"/>
        <v>2770.0494767970881</v>
      </c>
      <c r="AW30" s="723">
        <f t="shared" si="35"/>
        <v>0</v>
      </c>
      <c r="AX30" s="1173" t="s">
        <v>629</v>
      </c>
      <c r="AY30" s="1174">
        <v>3304.4689553259773</v>
      </c>
      <c r="AZ30" s="1175">
        <v>7.4416394373922768E-3</v>
      </c>
      <c r="BA30" s="1441"/>
    </row>
    <row r="31" spans="1:53" s="711" customFormat="1" ht="21">
      <c r="A31" s="745" t="s">
        <v>128</v>
      </c>
      <c r="B31" s="746">
        <f t="shared" ref="B31:AR31" si="37">SUM(B4:B30)</f>
        <v>328098</v>
      </c>
      <c r="C31" s="746">
        <f t="shared" si="37"/>
        <v>234829.73129362066</v>
      </c>
      <c r="D31" s="745">
        <f t="shared" si="37"/>
        <v>100.00000000000001</v>
      </c>
      <c r="E31" s="745">
        <f>IFERROR((C31/$AU31)*100,0)</f>
        <v>52.883480313842149</v>
      </c>
      <c r="F31" s="746">
        <f>SUM(F4:F30)</f>
        <v>72058</v>
      </c>
      <c r="G31" s="746">
        <f t="shared" si="37"/>
        <v>43481.442988311152</v>
      </c>
      <c r="H31" s="745">
        <f t="shared" si="37"/>
        <v>100</v>
      </c>
      <c r="I31" s="745">
        <f>IFERROR((G31/$AU31)*100,0)</f>
        <v>9.7919885255699253</v>
      </c>
      <c r="J31" s="746">
        <f>SUM(J4:J30)</f>
        <v>6708</v>
      </c>
      <c r="K31" s="746">
        <f t="shared" si="37"/>
        <v>4798.6044796953129</v>
      </c>
      <c r="L31" s="745">
        <f t="shared" si="37"/>
        <v>100.00000000000001</v>
      </c>
      <c r="M31" s="745">
        <f>IFERROR((K31/$AU31)*100,0)</f>
        <v>1.0806421492625351</v>
      </c>
      <c r="N31" s="746">
        <f>SUM(N4:N30)</f>
        <v>40539</v>
      </c>
      <c r="O31" s="746">
        <f t="shared" si="37"/>
        <v>29979.173722715605</v>
      </c>
      <c r="P31" s="745">
        <f t="shared" si="37"/>
        <v>100.00000000000001</v>
      </c>
      <c r="Q31" s="745">
        <f>IFERROR((O31/$AU31)*100,0)</f>
        <v>6.7512875591045445</v>
      </c>
      <c r="R31" s="746">
        <f t="shared" si="37"/>
        <v>121198</v>
      </c>
      <c r="S31" s="746">
        <f t="shared" si="37"/>
        <v>76405.109185134861</v>
      </c>
      <c r="T31" s="745">
        <f t="shared" si="37"/>
        <v>100.00000000000001</v>
      </c>
      <c r="U31" s="745">
        <f>IFERROR((S31/$AU31)*100,0)</f>
        <v>17.206373593371328</v>
      </c>
      <c r="V31" s="746">
        <f t="shared" si="37"/>
        <v>4750</v>
      </c>
      <c r="W31" s="746">
        <f t="shared" si="37"/>
        <v>3304.4689553259773</v>
      </c>
      <c r="X31" s="745">
        <f t="shared" si="37"/>
        <v>99.999999999999986</v>
      </c>
      <c r="Y31" s="745">
        <f>IFERROR((W31/$AU31)*100,0)</f>
        <v>0.74416394373922756</v>
      </c>
      <c r="Z31" s="746">
        <f t="shared" si="37"/>
        <v>22878</v>
      </c>
      <c r="AA31" s="746">
        <f t="shared" si="37"/>
        <v>14963.975725726274</v>
      </c>
      <c r="AB31" s="745">
        <f t="shared" si="37"/>
        <v>100</v>
      </c>
      <c r="AC31" s="745">
        <f>IFERROR((AA31/$AU31)*100,0)</f>
        <v>3.3698761709129235</v>
      </c>
      <c r="AD31" s="746">
        <f t="shared" si="37"/>
        <v>36690</v>
      </c>
      <c r="AE31" s="746">
        <f t="shared" si="37"/>
        <v>25835.943462195719</v>
      </c>
      <c r="AF31" s="745">
        <f t="shared" si="37"/>
        <v>99.999999999999986</v>
      </c>
      <c r="AG31" s="745">
        <f>IFERROR((AE31/$AU31)*100,0)</f>
        <v>5.8182351951176576</v>
      </c>
      <c r="AH31" s="746">
        <f t="shared" si="37"/>
        <v>6710</v>
      </c>
      <c r="AI31" s="746">
        <f t="shared" si="37"/>
        <v>4555.840444297849</v>
      </c>
      <c r="AJ31" s="745">
        <f t="shared" si="37"/>
        <v>100.00000000000001</v>
      </c>
      <c r="AK31" s="745">
        <f>IFERROR((AI31/$AU31)*100,0)</f>
        <v>1.0259718695831774</v>
      </c>
      <c r="AL31" s="746">
        <f t="shared" si="37"/>
        <v>8138</v>
      </c>
      <c r="AM31" s="746">
        <f t="shared" si="37"/>
        <v>5333.1460239436392</v>
      </c>
      <c r="AN31" s="745">
        <f t="shared" si="37"/>
        <v>100</v>
      </c>
      <c r="AO31" s="745">
        <f>IFERROR((AM31/$AU31)*100,0)</f>
        <v>1.201020506280887</v>
      </c>
      <c r="AP31" s="746">
        <f t="shared" si="37"/>
        <v>786</v>
      </c>
      <c r="AQ31" s="746">
        <f t="shared" si="37"/>
        <v>563.76817834768838</v>
      </c>
      <c r="AR31" s="745">
        <f t="shared" si="37"/>
        <v>100</v>
      </c>
      <c r="AS31" s="745">
        <f>IFERROR((AQ31/$AU31)*100,0)</f>
        <v>0.12696017321564149</v>
      </c>
      <c r="AT31" s="746">
        <f t="shared" si="0"/>
        <v>648553</v>
      </c>
      <c r="AU31" s="746">
        <f>SUM(AU4:AU30)</f>
        <v>444051.20445931476</v>
      </c>
      <c r="AV31" s="747">
        <f t="shared" si="34"/>
        <v>444051.20445931464</v>
      </c>
      <c r="AW31" s="723">
        <f>AU31-AV31</f>
        <v>0</v>
      </c>
      <c r="AX31" s="1176" t="s">
        <v>634</v>
      </c>
      <c r="AY31" s="1174">
        <v>563.76817834768838</v>
      </c>
      <c r="AZ31" s="1175">
        <v>1.2696017321564153E-3</v>
      </c>
      <c r="BA31" s="1441"/>
    </row>
    <row r="32" spans="1:53" s="723" customFormat="1" ht="15.75" thickBot="1">
      <c r="A32" s="748"/>
      <c r="B32" s="748">
        <f>'RRT - Subgrupo - IGEO'!B30</f>
        <v>328098</v>
      </c>
      <c r="C32" s="749"/>
      <c r="D32" s="749"/>
      <c r="E32" s="750"/>
      <c r="F32" s="748">
        <f>'RRT - Subgrupo - IGEO'!E30</f>
        <v>72058</v>
      </c>
      <c r="G32" s="749"/>
      <c r="H32" s="749"/>
      <c r="I32" s="750"/>
      <c r="J32" s="748">
        <f>'RRT - Subgrupo - IGEO'!H30</f>
        <v>6708</v>
      </c>
      <c r="K32" s="749"/>
      <c r="L32" s="749"/>
      <c r="M32" s="750"/>
      <c r="N32" s="748">
        <f>'RRT - Subgrupo - IGEO'!K30</f>
        <v>40539</v>
      </c>
      <c r="O32" s="749"/>
      <c r="P32" s="749"/>
      <c r="Q32" s="750"/>
      <c r="R32" s="748">
        <f>'RRT - Subgrupo - IGEO'!N30</f>
        <v>121198</v>
      </c>
      <c r="S32" s="749"/>
      <c r="T32" s="749"/>
      <c r="U32" s="750"/>
      <c r="V32" s="748">
        <f>'RRT - Subgrupo - IGEO'!Q30</f>
        <v>4750</v>
      </c>
      <c r="W32" s="749"/>
      <c r="X32" s="749"/>
      <c r="Y32" s="750"/>
      <c r="Z32" s="748">
        <f>'RRT - Subgrupo - IGEO'!T30</f>
        <v>22878</v>
      </c>
      <c r="AA32" s="749"/>
      <c r="AB32" s="749"/>
      <c r="AC32" s="750"/>
      <c r="AD32" s="748">
        <f>'RRT - Subgrupo - IGEO'!W30</f>
        <v>36690</v>
      </c>
      <c r="AE32" s="749"/>
      <c r="AF32" s="749"/>
      <c r="AG32" s="750"/>
      <c r="AH32" s="748">
        <f>'RRT - Subgrupo - IGEO'!Z30</f>
        <v>6710</v>
      </c>
      <c r="AI32" s="749"/>
      <c r="AJ32" s="749"/>
      <c r="AK32" s="750"/>
      <c r="AL32" s="748">
        <f>'RRT - Subgrupo - IGEO'!AC30</f>
        <v>8138</v>
      </c>
      <c r="AM32" s="749"/>
      <c r="AN32" s="749"/>
      <c r="AO32" s="750"/>
      <c r="AP32" s="748">
        <f>'RRT - Subgrupo - IGEO'!AF30</f>
        <v>786</v>
      </c>
      <c r="AQ32" s="749"/>
      <c r="AR32" s="749"/>
      <c r="AS32" s="750"/>
      <c r="AT32" s="748">
        <f>B32+F32+J32+N32+R32+V32+Z32+AD32+AH32+AL32+AP32</f>
        <v>648553</v>
      </c>
      <c r="AU32" s="749">
        <f>'RRT - Atividades '!L30</f>
        <v>444051.20445931476</v>
      </c>
      <c r="AX32" s="1177" t="s">
        <v>128</v>
      </c>
      <c r="AY32" s="1178">
        <f>SUM(AY21:AY31)</f>
        <v>444051.20445931464</v>
      </c>
      <c r="AZ32" s="1213">
        <f>SUM(AZ21:AZ31)</f>
        <v>1.0000000000000002</v>
      </c>
      <c r="BA32" s="1442"/>
    </row>
    <row r="33" spans="1:49" s="723" customFormat="1" ht="15.75" hidden="1">
      <c r="A33" s="748"/>
      <c r="B33" s="751">
        <f>B31-B32</f>
        <v>0</v>
      </c>
      <c r="C33" s="752"/>
      <c r="D33" s="753"/>
      <c r="E33" s="753"/>
      <c r="F33" s="751">
        <f>F31-F32</f>
        <v>0</v>
      </c>
      <c r="G33" s="752"/>
      <c r="H33" s="753"/>
      <c r="I33" s="753"/>
      <c r="J33" s="751">
        <f>J31-J32</f>
        <v>0</v>
      </c>
      <c r="K33" s="752"/>
      <c r="L33" s="753"/>
      <c r="M33" s="753"/>
      <c r="N33" s="751">
        <f>N31-N32</f>
        <v>0</v>
      </c>
      <c r="O33" s="752"/>
      <c r="P33" s="753"/>
      <c r="Q33" s="753"/>
      <c r="R33" s="751">
        <f>R31-R32</f>
        <v>0</v>
      </c>
      <c r="S33" s="752"/>
      <c r="T33" s="753"/>
      <c r="U33" s="753"/>
      <c r="V33" s="751">
        <f>V31-V32</f>
        <v>0</v>
      </c>
      <c r="W33" s="752"/>
      <c r="X33" s="753"/>
      <c r="Y33" s="753"/>
      <c r="Z33" s="751">
        <f>Z31-Z32</f>
        <v>0</v>
      </c>
      <c r="AA33" s="752"/>
      <c r="AB33" s="753"/>
      <c r="AC33" s="753"/>
      <c r="AD33" s="751">
        <f>AD31-AD32</f>
        <v>0</v>
      </c>
      <c r="AE33" s="752"/>
      <c r="AF33" s="753"/>
      <c r="AG33" s="753"/>
      <c r="AH33" s="751">
        <f>AH31-AH32</f>
        <v>0</v>
      </c>
      <c r="AI33" s="752"/>
      <c r="AJ33" s="753"/>
      <c r="AK33" s="753"/>
      <c r="AL33" s="751">
        <f>AL31-AL32</f>
        <v>0</v>
      </c>
      <c r="AM33" s="752"/>
      <c r="AN33" s="753"/>
      <c r="AO33" s="753"/>
      <c r="AP33" s="751">
        <f>AP31-AP32</f>
        <v>0</v>
      </c>
      <c r="AQ33" s="752"/>
      <c r="AR33" s="753"/>
      <c r="AS33" s="753"/>
      <c r="AT33" s="751">
        <f>AT31-AT32</f>
        <v>0</v>
      </c>
      <c r="AU33" s="752"/>
    </row>
    <row r="34" spans="1:49" hidden="1">
      <c r="AR34" s="754"/>
      <c r="AS34" s="754"/>
      <c r="AT34" s="755"/>
      <c r="AU34" s="755"/>
    </row>
    <row r="35" spans="1:49" s="274" customFormat="1" hidden="1">
      <c r="A35" s="274" t="s">
        <v>87</v>
      </c>
      <c r="B35" s="756">
        <f>B4/$AT4</f>
        <v>0.5139751552795031</v>
      </c>
      <c r="E35" s="274" t="s">
        <v>87</v>
      </c>
      <c r="F35" s="756">
        <f>F4/$AT4</f>
        <v>4.8913043478260872E-2</v>
      </c>
      <c r="I35" s="274" t="s">
        <v>87</v>
      </c>
      <c r="J35" s="756">
        <f>J4/$AT4</f>
        <v>2.4844720496894408E-2</v>
      </c>
      <c r="M35" s="274" t="s">
        <v>87</v>
      </c>
      <c r="N35" s="756">
        <f>N4/$AT4</f>
        <v>5.1630434782608696E-2</v>
      </c>
      <c r="Q35" s="274" t="s">
        <v>87</v>
      </c>
      <c r="R35" s="756">
        <f>R4/$AT4</f>
        <v>0.17934782608695651</v>
      </c>
      <c r="U35" s="274" t="s">
        <v>87</v>
      </c>
      <c r="V35" s="756">
        <f>V4/$AT4</f>
        <v>8.9285714285714281E-3</v>
      </c>
      <c r="Y35" s="274" t="s">
        <v>87</v>
      </c>
      <c r="Z35" s="756">
        <f>Z4/$AT4</f>
        <v>6.0559006211180127E-2</v>
      </c>
      <c r="AC35" s="274" t="s">
        <v>87</v>
      </c>
      <c r="AD35" s="756">
        <f>AD4/$AT4</f>
        <v>7.1040372670807456E-2</v>
      </c>
      <c r="AG35" s="274" t="s">
        <v>87</v>
      </c>
      <c r="AH35" s="756">
        <f>AH4/$AT4</f>
        <v>1.281055900621118E-2</v>
      </c>
      <c r="AK35" s="274" t="s">
        <v>87</v>
      </c>
      <c r="AL35" s="756">
        <f>AL4/$AT4</f>
        <v>2.717391304347826E-2</v>
      </c>
      <c r="AO35" s="274" t="s">
        <v>87</v>
      </c>
      <c r="AP35" s="756">
        <f>AP4/$AT4</f>
        <v>7.7639751552795026E-4</v>
      </c>
      <c r="AS35" s="274" t="s">
        <v>87</v>
      </c>
      <c r="AT35" s="756">
        <f>AT4/$AT4</f>
        <v>1</v>
      </c>
      <c r="AV35" s="748"/>
      <c r="AW35" s="757"/>
    </row>
    <row r="36" spans="1:49" s="274" customFormat="1" hidden="1">
      <c r="A36" s="758" t="s">
        <v>88</v>
      </c>
      <c r="B36" s="756">
        <f t="shared" ref="B36:B61" si="38">B5/$AT5</f>
        <v>0.51167883211678833</v>
      </c>
      <c r="C36" s="759"/>
      <c r="D36" s="759"/>
      <c r="E36" s="758" t="s">
        <v>88</v>
      </c>
      <c r="F36" s="756">
        <f t="shared" ref="F36:F61" si="39">F5/$AT5</f>
        <v>9.6496350364963498E-2</v>
      </c>
      <c r="G36" s="759"/>
      <c r="H36" s="282"/>
      <c r="I36" s="758" t="s">
        <v>88</v>
      </c>
      <c r="J36" s="756">
        <f t="shared" ref="J36:J61" si="40">J5/$AT5</f>
        <v>1.2408759124087591E-2</v>
      </c>
      <c r="M36" s="758" t="s">
        <v>88</v>
      </c>
      <c r="N36" s="756">
        <f t="shared" ref="N36:N61" si="41">N5/$AT5</f>
        <v>8.5985401459854019E-2</v>
      </c>
      <c r="Q36" s="758" t="s">
        <v>88</v>
      </c>
      <c r="R36" s="756">
        <f t="shared" ref="R36:R61" si="42">R5/$AT5</f>
        <v>0.17678832116788321</v>
      </c>
      <c r="U36" s="758" t="s">
        <v>88</v>
      </c>
      <c r="V36" s="756">
        <f t="shared" ref="V36:V61" si="43">V5/$AT5</f>
        <v>7.8832116788321166E-3</v>
      </c>
      <c r="Y36" s="758" t="s">
        <v>88</v>
      </c>
      <c r="Z36" s="756">
        <f t="shared" ref="Z36:Z61" si="44">Z5/$AT5</f>
        <v>3.9124087591240878E-2</v>
      </c>
      <c r="AC36" s="758" t="s">
        <v>88</v>
      </c>
      <c r="AD36" s="756">
        <f t="shared" ref="AD36:AD61" si="45">AD5/$AT5</f>
        <v>5.3722627737226275E-2</v>
      </c>
      <c r="AG36" s="758" t="s">
        <v>88</v>
      </c>
      <c r="AH36" s="756">
        <f t="shared" ref="AH36:AH61" si="46">AH5/$AT5</f>
        <v>5.1094890510948905E-3</v>
      </c>
      <c r="AK36" s="758" t="s">
        <v>88</v>
      </c>
      <c r="AL36" s="756">
        <f t="shared" ref="AL36:AL61" si="47">AL5/$AT5</f>
        <v>1.0656934306569343E-2</v>
      </c>
      <c r="AO36" s="758" t="s">
        <v>88</v>
      </c>
      <c r="AP36" s="756">
        <f t="shared" ref="AP36:AP61" si="48">AP5/$AT5</f>
        <v>1.4598540145985403E-4</v>
      </c>
      <c r="AS36" s="758" t="s">
        <v>88</v>
      </c>
      <c r="AT36" s="756">
        <f t="shared" ref="AT36:AT61" si="49">AT5/$AT5</f>
        <v>1</v>
      </c>
      <c r="AU36" s="755"/>
      <c r="AV36" s="748"/>
      <c r="AW36" s="757"/>
    </row>
    <row r="37" spans="1:49" s="274" customFormat="1" hidden="1">
      <c r="A37" s="758" t="s">
        <v>90</v>
      </c>
      <c r="B37" s="756">
        <f t="shared" si="38"/>
        <v>0.44713232938160846</v>
      </c>
      <c r="C37" s="759"/>
      <c r="D37" s="759"/>
      <c r="E37" s="758" t="s">
        <v>90</v>
      </c>
      <c r="F37" s="756">
        <f t="shared" si="39"/>
        <v>3.043896187119513E-2</v>
      </c>
      <c r="G37" s="759"/>
      <c r="H37" s="282"/>
      <c r="I37" s="758" t="s">
        <v>90</v>
      </c>
      <c r="J37" s="756">
        <f t="shared" si="40"/>
        <v>2.6754245434155718E-2</v>
      </c>
      <c r="M37" s="758" t="s">
        <v>90</v>
      </c>
      <c r="N37" s="756">
        <f t="shared" si="41"/>
        <v>0.11727010573534123</v>
      </c>
      <c r="Q37" s="758" t="s">
        <v>90</v>
      </c>
      <c r="R37" s="756">
        <f t="shared" si="42"/>
        <v>0.20778596603652674</v>
      </c>
      <c r="U37" s="758" t="s">
        <v>90</v>
      </c>
      <c r="V37" s="756">
        <f t="shared" si="43"/>
        <v>9.4520986863184872E-3</v>
      </c>
      <c r="Y37" s="758" t="s">
        <v>90</v>
      </c>
      <c r="Z37" s="756">
        <f t="shared" si="44"/>
        <v>7.6257609740467802E-2</v>
      </c>
      <c r="AC37" s="758" t="s">
        <v>90</v>
      </c>
      <c r="AD37" s="756">
        <f t="shared" si="45"/>
        <v>5.1425825056071774E-2</v>
      </c>
      <c r="AG37" s="758" t="s">
        <v>90</v>
      </c>
      <c r="AH37" s="756">
        <f t="shared" si="46"/>
        <v>1.1214354373598205E-2</v>
      </c>
      <c r="AK37" s="758" t="s">
        <v>90</v>
      </c>
      <c r="AL37" s="756">
        <f t="shared" si="47"/>
        <v>2.0346042934956746E-2</v>
      </c>
      <c r="AO37" s="758" t="s">
        <v>90</v>
      </c>
      <c r="AP37" s="756">
        <f t="shared" si="48"/>
        <v>1.9224607497596924E-3</v>
      </c>
      <c r="AS37" s="758" t="s">
        <v>90</v>
      </c>
      <c r="AT37" s="756">
        <f t="shared" si="49"/>
        <v>1</v>
      </c>
      <c r="AV37" s="748"/>
      <c r="AW37" s="757"/>
    </row>
    <row r="38" spans="1:49" s="274" customFormat="1" hidden="1">
      <c r="A38" s="758" t="s">
        <v>89</v>
      </c>
      <c r="B38" s="756">
        <f t="shared" si="38"/>
        <v>0.43374714973397516</v>
      </c>
      <c r="C38" s="759"/>
      <c r="D38" s="759"/>
      <c r="E38" s="758" t="s">
        <v>89</v>
      </c>
      <c r="F38" s="756">
        <f t="shared" si="39"/>
        <v>9.4248796554345066E-2</v>
      </c>
      <c r="G38" s="759"/>
      <c r="H38" s="282"/>
      <c r="I38" s="758" t="s">
        <v>89</v>
      </c>
      <c r="J38" s="756">
        <f t="shared" si="40"/>
        <v>6.0805675196351659E-3</v>
      </c>
      <c r="M38" s="758" t="s">
        <v>89</v>
      </c>
      <c r="N38" s="756">
        <f t="shared" si="41"/>
        <v>1.6468203699011908E-2</v>
      </c>
      <c r="Q38" s="758" t="s">
        <v>89</v>
      </c>
      <c r="R38" s="756">
        <f t="shared" si="42"/>
        <v>0.34735241955915885</v>
      </c>
      <c r="U38" s="758" t="s">
        <v>89</v>
      </c>
      <c r="V38" s="756">
        <f t="shared" si="43"/>
        <v>1.0134279199391943E-2</v>
      </c>
      <c r="Y38" s="758" t="s">
        <v>89</v>
      </c>
      <c r="Z38" s="756">
        <f t="shared" si="44"/>
        <v>5.5485178616670891E-2</v>
      </c>
      <c r="AC38" s="758" t="s">
        <v>89</v>
      </c>
      <c r="AD38" s="756">
        <f t="shared" si="45"/>
        <v>1.0894350139346339E-2</v>
      </c>
      <c r="AG38" s="758" t="s">
        <v>89</v>
      </c>
      <c r="AH38" s="756">
        <f t="shared" si="46"/>
        <v>8.8674942994679505E-3</v>
      </c>
      <c r="AK38" s="758" t="s">
        <v>89</v>
      </c>
      <c r="AL38" s="756">
        <f t="shared" si="47"/>
        <v>1.5708132759057511E-2</v>
      </c>
      <c r="AO38" s="758" t="s">
        <v>89</v>
      </c>
      <c r="AP38" s="756">
        <f t="shared" si="48"/>
        <v>1.0134279199391944E-3</v>
      </c>
      <c r="AS38" s="758" t="s">
        <v>89</v>
      </c>
      <c r="AT38" s="756">
        <f t="shared" si="49"/>
        <v>1</v>
      </c>
      <c r="AV38" s="748"/>
      <c r="AW38" s="757"/>
    </row>
    <row r="39" spans="1:49" s="274" customFormat="1" hidden="1">
      <c r="A39" s="758" t="s">
        <v>91</v>
      </c>
      <c r="B39" s="756">
        <f t="shared" si="38"/>
        <v>0.55802037118040371</v>
      </c>
      <c r="C39" s="759"/>
      <c r="D39" s="759"/>
      <c r="E39" s="758" t="s">
        <v>91</v>
      </c>
      <c r="F39" s="756">
        <f t="shared" si="39"/>
        <v>6.3300631131662816E-2</v>
      </c>
      <c r="G39" s="759"/>
      <c r="H39" s="282"/>
      <c r="I39" s="758" t="s">
        <v>91</v>
      </c>
      <c r="J39" s="756">
        <f t="shared" si="40"/>
        <v>1.5497094294819722E-2</v>
      </c>
      <c r="M39" s="758" t="s">
        <v>91</v>
      </c>
      <c r="N39" s="756">
        <f t="shared" si="41"/>
        <v>7.91101668437168E-2</v>
      </c>
      <c r="Q39" s="758" t="s">
        <v>91</v>
      </c>
      <c r="R39" s="756">
        <f t="shared" si="42"/>
        <v>0.12185215272136475</v>
      </c>
      <c r="U39" s="758" t="s">
        <v>91</v>
      </c>
      <c r="V39" s="756">
        <f t="shared" si="43"/>
        <v>1.1310379303880522E-2</v>
      </c>
      <c r="Y39" s="758" t="s">
        <v>91</v>
      </c>
      <c r="Z39" s="756">
        <f t="shared" si="44"/>
        <v>5.0553021308504656E-2</v>
      </c>
      <c r="AC39" s="758" t="s">
        <v>91</v>
      </c>
      <c r="AD39" s="756">
        <f t="shared" si="45"/>
        <v>7.0674248578391552E-2</v>
      </c>
      <c r="AG39" s="758" t="s">
        <v>91</v>
      </c>
      <c r="AH39" s="756">
        <f t="shared" si="46"/>
        <v>9.8731487846028861E-3</v>
      </c>
      <c r="AK39" s="758" t="s">
        <v>91</v>
      </c>
      <c r="AL39" s="756">
        <f t="shared" si="47"/>
        <v>1.7809160782353308E-2</v>
      </c>
      <c r="AO39" s="758" t="s">
        <v>91</v>
      </c>
      <c r="AP39" s="756">
        <f t="shared" si="48"/>
        <v>1.999625070299319E-3</v>
      </c>
      <c r="AS39" s="758" t="s">
        <v>91</v>
      </c>
      <c r="AT39" s="756">
        <f t="shared" si="49"/>
        <v>1</v>
      </c>
      <c r="AV39" s="748"/>
      <c r="AW39" s="757"/>
    </row>
    <row r="40" spans="1:49" s="274" customFormat="1" hidden="1">
      <c r="A40" s="758" t="s">
        <v>92</v>
      </c>
      <c r="B40" s="756">
        <f t="shared" si="38"/>
        <v>0.42730223816846064</v>
      </c>
      <c r="C40" s="759"/>
      <c r="D40" s="759"/>
      <c r="E40" s="758" t="s">
        <v>92</v>
      </c>
      <c r="F40" s="756">
        <f t="shared" si="39"/>
        <v>0.10020502306509482</v>
      </c>
      <c r="G40" s="759"/>
      <c r="H40" s="282"/>
      <c r="I40" s="758" t="s">
        <v>92</v>
      </c>
      <c r="J40" s="756">
        <f t="shared" si="40"/>
        <v>1.9306338629762516E-2</v>
      </c>
      <c r="M40" s="758" t="s">
        <v>92</v>
      </c>
      <c r="N40" s="756">
        <f t="shared" si="41"/>
        <v>0.10447633692123698</v>
      </c>
      <c r="Q40" s="758" t="s">
        <v>92</v>
      </c>
      <c r="R40" s="756">
        <f t="shared" si="42"/>
        <v>0.20562104903468306</v>
      </c>
      <c r="U40" s="758" t="s">
        <v>92</v>
      </c>
      <c r="V40" s="756">
        <f t="shared" si="43"/>
        <v>1.5205877327866052E-2</v>
      </c>
      <c r="Y40" s="758" t="s">
        <v>92</v>
      </c>
      <c r="Z40" s="756">
        <f t="shared" si="44"/>
        <v>4.3994532718264139E-2</v>
      </c>
      <c r="AC40" s="758" t="s">
        <v>92</v>
      </c>
      <c r="AD40" s="756">
        <f t="shared" si="45"/>
        <v>5.2110029044934225E-2</v>
      </c>
      <c r="AG40" s="758" t="s">
        <v>92</v>
      </c>
      <c r="AH40" s="756">
        <f t="shared" si="46"/>
        <v>1.2984794122672134E-2</v>
      </c>
      <c r="AK40" s="758" t="s">
        <v>92</v>
      </c>
      <c r="AL40" s="756">
        <f t="shared" si="47"/>
        <v>1.7341534255937128E-2</v>
      </c>
      <c r="AO40" s="758" t="s">
        <v>92</v>
      </c>
      <c r="AP40" s="756">
        <f t="shared" si="48"/>
        <v>1.4522467110883307E-3</v>
      </c>
      <c r="AS40" s="758" t="s">
        <v>92</v>
      </c>
      <c r="AT40" s="756">
        <f t="shared" si="49"/>
        <v>1</v>
      </c>
      <c r="AV40" s="748"/>
      <c r="AW40" s="757"/>
    </row>
    <row r="41" spans="1:49" s="274" customFormat="1" hidden="1">
      <c r="A41" s="758" t="s">
        <v>93</v>
      </c>
      <c r="B41" s="756">
        <f t="shared" si="38"/>
        <v>0.42012502824433229</v>
      </c>
      <c r="C41" s="759"/>
      <c r="D41" s="759"/>
      <c r="E41" s="758" t="s">
        <v>93</v>
      </c>
      <c r="F41" s="756">
        <f t="shared" si="39"/>
        <v>9.4449047224523616E-2</v>
      </c>
      <c r="G41" s="759"/>
      <c r="H41" s="282"/>
      <c r="I41" s="758" t="s">
        <v>93</v>
      </c>
      <c r="J41" s="756">
        <f t="shared" si="40"/>
        <v>2.2595465843187466E-2</v>
      </c>
      <c r="M41" s="758" t="s">
        <v>93</v>
      </c>
      <c r="N41" s="756">
        <f t="shared" si="41"/>
        <v>0.19755968968893575</v>
      </c>
      <c r="Q41" s="758" t="s">
        <v>93</v>
      </c>
      <c r="R41" s="756">
        <f t="shared" si="42"/>
        <v>0.18852150335166076</v>
      </c>
      <c r="U41" s="758" t="s">
        <v>93</v>
      </c>
      <c r="V41" s="756">
        <f t="shared" si="43"/>
        <v>1.0243277848911651E-2</v>
      </c>
      <c r="Y41" s="758" t="s">
        <v>93</v>
      </c>
      <c r="Z41" s="756">
        <f t="shared" si="44"/>
        <v>2.8771559840325374E-2</v>
      </c>
      <c r="AC41" s="758" t="s">
        <v>93</v>
      </c>
      <c r="AD41" s="756">
        <f t="shared" si="45"/>
        <v>2.4026512013256007E-2</v>
      </c>
      <c r="AG41" s="758" t="s">
        <v>93</v>
      </c>
      <c r="AH41" s="756">
        <f t="shared" si="46"/>
        <v>3.6905927543872865E-3</v>
      </c>
      <c r="AK41" s="758" t="s">
        <v>93</v>
      </c>
      <c r="AL41" s="756">
        <f t="shared" si="47"/>
        <v>8.8122316788431122E-3</v>
      </c>
      <c r="AO41" s="758" t="s">
        <v>93</v>
      </c>
      <c r="AP41" s="756">
        <f t="shared" si="48"/>
        <v>1.2050915116366648E-3</v>
      </c>
      <c r="AS41" s="758" t="s">
        <v>93</v>
      </c>
      <c r="AT41" s="756">
        <f t="shared" si="49"/>
        <v>1</v>
      </c>
      <c r="AV41" s="748"/>
      <c r="AW41" s="757"/>
    </row>
    <row r="42" spans="1:49" s="274" customFormat="1" hidden="1">
      <c r="A42" s="758" t="s">
        <v>94</v>
      </c>
      <c r="B42" s="756">
        <f t="shared" si="38"/>
        <v>0.48646346081029912</v>
      </c>
      <c r="C42" s="759"/>
      <c r="D42" s="759"/>
      <c r="E42" s="758" t="s">
        <v>94</v>
      </c>
      <c r="F42" s="756">
        <f t="shared" si="39"/>
        <v>6.5600151457781142E-2</v>
      </c>
      <c r="G42" s="759"/>
      <c r="H42" s="282"/>
      <c r="I42" s="758" t="s">
        <v>94</v>
      </c>
      <c r="J42" s="756">
        <f t="shared" si="40"/>
        <v>1.3915183642559637E-2</v>
      </c>
      <c r="M42" s="758" t="s">
        <v>94</v>
      </c>
      <c r="N42" s="756">
        <f t="shared" si="41"/>
        <v>0.12627792502839832</v>
      </c>
      <c r="Q42" s="758" t="s">
        <v>94</v>
      </c>
      <c r="R42" s="756">
        <f t="shared" si="42"/>
        <v>0.20655054903445663</v>
      </c>
      <c r="U42" s="758" t="s">
        <v>94</v>
      </c>
      <c r="V42" s="756">
        <f t="shared" si="43"/>
        <v>9.3714502082544483E-3</v>
      </c>
      <c r="Y42" s="758" t="s">
        <v>94</v>
      </c>
      <c r="Z42" s="756">
        <f t="shared" si="44"/>
        <v>2.9818250662627794E-2</v>
      </c>
      <c r="AC42" s="758" t="s">
        <v>94</v>
      </c>
      <c r="AD42" s="756">
        <f t="shared" si="45"/>
        <v>4.2502839833396443E-2</v>
      </c>
      <c r="AG42" s="758" t="s">
        <v>94</v>
      </c>
      <c r="AH42" s="756">
        <f t="shared" si="46"/>
        <v>9.1821279818250657E-3</v>
      </c>
      <c r="AK42" s="758" t="s">
        <v>94</v>
      </c>
      <c r="AL42" s="756">
        <f t="shared" si="47"/>
        <v>8.70882241575161E-3</v>
      </c>
      <c r="AO42" s="758" t="s">
        <v>94</v>
      </c>
      <c r="AP42" s="756">
        <f t="shared" si="48"/>
        <v>1.6092389246497539E-3</v>
      </c>
      <c r="AS42" s="758" t="s">
        <v>94</v>
      </c>
      <c r="AT42" s="756">
        <f t="shared" si="49"/>
        <v>1</v>
      </c>
      <c r="AV42" s="748"/>
      <c r="AW42" s="757"/>
    </row>
    <row r="43" spans="1:49" s="274" customFormat="1" hidden="1">
      <c r="A43" s="758" t="s">
        <v>95</v>
      </c>
      <c r="B43" s="756">
        <f t="shared" si="38"/>
        <v>0.44614967951611445</v>
      </c>
      <c r="C43" s="759"/>
      <c r="D43" s="759"/>
      <c r="E43" s="758" t="s">
        <v>95</v>
      </c>
      <c r="F43" s="756">
        <f t="shared" si="39"/>
        <v>0.16601968041888598</v>
      </c>
      <c r="G43" s="759"/>
      <c r="H43" s="282"/>
      <c r="I43" s="758" t="s">
        <v>95</v>
      </c>
      <c r="J43" s="756">
        <f t="shared" si="40"/>
        <v>8.3957750293400732E-3</v>
      </c>
      <c r="M43" s="758" t="s">
        <v>95</v>
      </c>
      <c r="N43" s="756">
        <f t="shared" si="41"/>
        <v>4.7455688965122929E-2</v>
      </c>
      <c r="Q43" s="758" t="s">
        <v>95</v>
      </c>
      <c r="R43" s="756">
        <f t="shared" si="42"/>
        <v>0.23011645752460053</v>
      </c>
      <c r="U43" s="758" t="s">
        <v>95</v>
      </c>
      <c r="V43" s="756">
        <f t="shared" si="43"/>
        <v>6.078661490776684E-3</v>
      </c>
      <c r="Y43" s="758" t="s">
        <v>95</v>
      </c>
      <c r="Z43" s="756">
        <f t="shared" si="44"/>
        <v>2.1185038066865277E-2</v>
      </c>
      <c r="AC43" s="758" t="s">
        <v>95</v>
      </c>
      <c r="AD43" s="756">
        <f t="shared" si="45"/>
        <v>5.196954650777888E-2</v>
      </c>
      <c r="AG43" s="758" t="s">
        <v>95</v>
      </c>
      <c r="AH43" s="756">
        <f t="shared" si="46"/>
        <v>1.5166561343324005E-2</v>
      </c>
      <c r="AK43" s="758" t="s">
        <v>95</v>
      </c>
      <c r="AL43" s="756">
        <f t="shared" si="47"/>
        <v>6.740693930366224E-3</v>
      </c>
      <c r="AO43" s="758" t="s">
        <v>95</v>
      </c>
      <c r="AP43" s="756">
        <f t="shared" si="48"/>
        <v>7.222172068249526E-4</v>
      </c>
      <c r="AS43" s="758" t="s">
        <v>95</v>
      </c>
      <c r="AT43" s="756">
        <f t="shared" si="49"/>
        <v>1</v>
      </c>
      <c r="AV43" s="748"/>
      <c r="AW43" s="757"/>
    </row>
    <row r="44" spans="1:49" s="274" customFormat="1" hidden="1">
      <c r="A44" s="758" t="s">
        <v>96</v>
      </c>
      <c r="B44" s="756">
        <f t="shared" si="38"/>
        <v>0.48645188820140817</v>
      </c>
      <c r="C44" s="759"/>
      <c r="D44" s="759"/>
      <c r="E44" s="758" t="s">
        <v>96</v>
      </c>
      <c r="F44" s="756">
        <f t="shared" si="39"/>
        <v>4.1604437806699382E-2</v>
      </c>
      <c r="G44" s="759"/>
      <c r="H44" s="282"/>
      <c r="I44" s="758" t="s">
        <v>96</v>
      </c>
      <c r="J44" s="756">
        <f t="shared" si="40"/>
        <v>1.4294858118199274E-2</v>
      </c>
      <c r="M44" s="758" t="s">
        <v>96</v>
      </c>
      <c r="N44" s="756">
        <f t="shared" si="41"/>
        <v>0.10113078728397695</v>
      </c>
      <c r="Q44" s="758" t="s">
        <v>96</v>
      </c>
      <c r="R44" s="756">
        <f t="shared" si="42"/>
        <v>0.13398762534670364</v>
      </c>
      <c r="U44" s="758" t="s">
        <v>96</v>
      </c>
      <c r="V44" s="756">
        <f t="shared" si="43"/>
        <v>2.11222530403243E-2</v>
      </c>
      <c r="Y44" s="758" t="s">
        <v>96</v>
      </c>
      <c r="Z44" s="756">
        <f t="shared" si="44"/>
        <v>5.8032856838062724E-2</v>
      </c>
      <c r="AC44" s="758" t="s">
        <v>96</v>
      </c>
      <c r="AD44" s="756">
        <f t="shared" si="45"/>
        <v>8.6409216983144868E-2</v>
      </c>
      <c r="AG44" s="758" t="s">
        <v>96</v>
      </c>
      <c r="AH44" s="756">
        <f t="shared" si="46"/>
        <v>1.9202048218476639E-2</v>
      </c>
      <c r="AK44" s="758" t="s">
        <v>96</v>
      </c>
      <c r="AL44" s="756">
        <f t="shared" si="47"/>
        <v>3.4777042884574352E-2</v>
      </c>
      <c r="AO44" s="758" t="s">
        <v>96</v>
      </c>
      <c r="AP44" s="756">
        <f t="shared" si="48"/>
        <v>2.9869852784296992E-3</v>
      </c>
      <c r="AS44" s="758" t="s">
        <v>96</v>
      </c>
      <c r="AT44" s="756">
        <f t="shared" si="49"/>
        <v>1</v>
      </c>
      <c r="AV44" s="748"/>
      <c r="AW44" s="757"/>
    </row>
    <row r="45" spans="1:49" s="274" customFormat="1" hidden="1">
      <c r="A45" s="758" t="s">
        <v>99</v>
      </c>
      <c r="B45" s="756">
        <f t="shared" si="38"/>
        <v>0.61449331860611178</v>
      </c>
      <c r="C45" s="759"/>
      <c r="D45" s="759"/>
      <c r="E45" s="758" t="s">
        <v>99</v>
      </c>
      <c r="F45" s="756">
        <f t="shared" si="39"/>
        <v>7.6754813419097748E-2</v>
      </c>
      <c r="G45" s="759"/>
      <c r="H45" s="282"/>
      <c r="I45" s="758" t="s">
        <v>99</v>
      </c>
      <c r="J45" s="756">
        <f t="shared" si="40"/>
        <v>8.6414138132674938E-3</v>
      </c>
      <c r="M45" s="758" t="s">
        <v>99</v>
      </c>
      <c r="N45" s="756">
        <f t="shared" si="41"/>
        <v>4.4744764256167024E-2</v>
      </c>
      <c r="Q45" s="758" t="s">
        <v>99</v>
      </c>
      <c r="R45" s="756">
        <f t="shared" si="42"/>
        <v>0.12214930803716458</v>
      </c>
      <c r="U45" s="758" t="s">
        <v>99</v>
      </c>
      <c r="V45" s="756">
        <f t="shared" si="43"/>
        <v>9.7026400710371868E-3</v>
      </c>
      <c r="Y45" s="758" t="s">
        <v>99</v>
      </c>
      <c r="Z45" s="756">
        <f t="shared" si="44"/>
        <v>3.6103350442899529E-2</v>
      </c>
      <c r="AC45" s="758" t="s">
        <v>99</v>
      </c>
      <c r="AD45" s="756">
        <f t="shared" si="45"/>
        <v>5.9212093647802826E-2</v>
      </c>
      <c r="AG45" s="758" t="s">
        <v>99</v>
      </c>
      <c r="AH45" s="756">
        <f t="shared" si="46"/>
        <v>1.2994607237996232E-2</v>
      </c>
      <c r="AK45" s="758" t="s">
        <v>99</v>
      </c>
      <c r="AL45" s="756">
        <f t="shared" si="47"/>
        <v>1.2258246161176446E-2</v>
      </c>
      <c r="AO45" s="758" t="s">
        <v>99</v>
      </c>
      <c r="AP45" s="756">
        <f t="shared" si="48"/>
        <v>2.9454443072791459E-3</v>
      </c>
      <c r="AS45" s="758" t="s">
        <v>99</v>
      </c>
      <c r="AT45" s="756">
        <f t="shared" si="49"/>
        <v>1</v>
      </c>
      <c r="AV45" s="748"/>
      <c r="AW45" s="757"/>
    </row>
    <row r="46" spans="1:49" s="274" customFormat="1" hidden="1">
      <c r="A46" s="758" t="s">
        <v>98</v>
      </c>
      <c r="B46" s="756">
        <f t="shared" si="38"/>
        <v>0.65609584214235372</v>
      </c>
      <c r="C46" s="759"/>
      <c r="D46" s="759"/>
      <c r="E46" s="758" t="s">
        <v>98</v>
      </c>
      <c r="F46" s="756">
        <f t="shared" si="39"/>
        <v>5.2619215409913087E-2</v>
      </c>
      <c r="G46" s="759"/>
      <c r="H46" s="282"/>
      <c r="I46" s="758" t="s">
        <v>98</v>
      </c>
      <c r="J46" s="756">
        <f t="shared" si="40"/>
        <v>8.926474042753112E-3</v>
      </c>
      <c r="M46" s="758" t="s">
        <v>98</v>
      </c>
      <c r="N46" s="756">
        <f t="shared" si="41"/>
        <v>2.9128494244773314E-2</v>
      </c>
      <c r="Q46" s="758" t="s">
        <v>98</v>
      </c>
      <c r="R46" s="756">
        <f t="shared" si="42"/>
        <v>9.8034609662516634E-2</v>
      </c>
      <c r="U46" s="758" t="s">
        <v>98</v>
      </c>
      <c r="V46" s="756">
        <f t="shared" si="43"/>
        <v>6.4990995223553364E-3</v>
      </c>
      <c r="Y46" s="758" t="s">
        <v>98</v>
      </c>
      <c r="Z46" s="756">
        <f t="shared" si="44"/>
        <v>3.492287213217446E-2</v>
      </c>
      <c r="AC46" s="758" t="s">
        <v>98</v>
      </c>
      <c r="AD46" s="756">
        <f t="shared" si="45"/>
        <v>9.6938376008143451E-2</v>
      </c>
      <c r="AG46" s="758" t="s">
        <v>98</v>
      </c>
      <c r="AH46" s="756">
        <f t="shared" si="46"/>
        <v>4.3849346174927566E-3</v>
      </c>
      <c r="AK46" s="758" t="s">
        <v>98</v>
      </c>
      <c r="AL46" s="756">
        <f t="shared" si="47"/>
        <v>1.1745360582569885E-2</v>
      </c>
      <c r="AO46" s="758" t="s">
        <v>98</v>
      </c>
      <c r="AP46" s="756">
        <f t="shared" si="48"/>
        <v>7.0472163495419312E-4</v>
      </c>
      <c r="AS46" s="758" t="s">
        <v>98</v>
      </c>
      <c r="AT46" s="756">
        <f t="shared" si="49"/>
        <v>1</v>
      </c>
      <c r="AV46" s="748"/>
      <c r="AW46" s="757"/>
    </row>
    <row r="47" spans="1:49" s="274" customFormat="1" hidden="1">
      <c r="A47" s="758" t="s">
        <v>97</v>
      </c>
      <c r="B47" s="756">
        <f t="shared" si="38"/>
        <v>0.42597749805057367</v>
      </c>
      <c r="C47" s="759"/>
      <c r="D47" s="759"/>
      <c r="E47" s="758" t="s">
        <v>97</v>
      </c>
      <c r="F47" s="756">
        <f t="shared" si="39"/>
        <v>0.20950763061156288</v>
      </c>
      <c r="G47" s="759"/>
      <c r="H47" s="282"/>
      <c r="I47" s="758" t="s">
        <v>97</v>
      </c>
      <c r="J47" s="756">
        <f t="shared" si="40"/>
        <v>4.0659463072295864E-3</v>
      </c>
      <c r="M47" s="758" t="s">
        <v>97</v>
      </c>
      <c r="N47" s="756">
        <f t="shared" si="41"/>
        <v>1.7043555753592513E-2</v>
      </c>
      <c r="Q47" s="758" t="s">
        <v>97</v>
      </c>
      <c r="R47" s="756">
        <f t="shared" si="42"/>
        <v>0.2379414058148602</v>
      </c>
      <c r="U47" s="758" t="s">
        <v>97</v>
      </c>
      <c r="V47" s="756">
        <f t="shared" si="43"/>
        <v>4.0937952545393782E-3</v>
      </c>
      <c r="Y47" s="758" t="s">
        <v>97</v>
      </c>
      <c r="Z47" s="756">
        <f t="shared" si="44"/>
        <v>3.7985964130555862E-2</v>
      </c>
      <c r="AC47" s="758" t="s">
        <v>97</v>
      </c>
      <c r="AD47" s="756">
        <f t="shared" si="45"/>
        <v>4.3694998329063164E-2</v>
      </c>
      <c r="AG47" s="758" t="s">
        <v>97</v>
      </c>
      <c r="AH47" s="756">
        <f t="shared" si="46"/>
        <v>6.4052578812520888E-3</v>
      </c>
      <c r="AK47" s="758" t="s">
        <v>97</v>
      </c>
      <c r="AL47" s="756">
        <f t="shared" si="47"/>
        <v>1.3116854182911886E-2</v>
      </c>
      <c r="AO47" s="758" t="s">
        <v>97</v>
      </c>
      <c r="AP47" s="756">
        <f t="shared" si="48"/>
        <v>1.6709368385875014E-4</v>
      </c>
      <c r="AS47" s="758" t="s">
        <v>97</v>
      </c>
      <c r="AT47" s="756">
        <f t="shared" si="49"/>
        <v>1</v>
      </c>
      <c r="AV47" s="748"/>
      <c r="AW47" s="757"/>
    </row>
    <row r="48" spans="1:49" s="707" customFormat="1" hidden="1">
      <c r="A48" s="707" t="s">
        <v>100</v>
      </c>
      <c r="B48" s="756">
        <f t="shared" si="38"/>
        <v>0.48626653102746692</v>
      </c>
      <c r="E48" s="707" t="s">
        <v>100</v>
      </c>
      <c r="F48" s="756">
        <f t="shared" si="39"/>
        <v>0.116353001017294</v>
      </c>
      <c r="I48" s="707" t="s">
        <v>100</v>
      </c>
      <c r="J48" s="756">
        <f t="shared" si="40"/>
        <v>1.5768056968463885E-2</v>
      </c>
      <c r="M48" s="707" t="s">
        <v>100</v>
      </c>
      <c r="N48" s="756">
        <f t="shared" si="41"/>
        <v>8.2782299084435407E-2</v>
      </c>
      <c r="Q48" s="707" t="s">
        <v>100</v>
      </c>
      <c r="R48" s="756">
        <f t="shared" si="42"/>
        <v>0.19277721261444558</v>
      </c>
      <c r="U48" s="707" t="s">
        <v>100</v>
      </c>
      <c r="V48" s="756">
        <f t="shared" si="43"/>
        <v>8.7741607324516788E-3</v>
      </c>
      <c r="Y48" s="707" t="s">
        <v>100</v>
      </c>
      <c r="Z48" s="756">
        <f t="shared" si="44"/>
        <v>3.2426246185147507E-2</v>
      </c>
      <c r="AC48" s="707" t="s">
        <v>100</v>
      </c>
      <c r="AD48" s="756">
        <f t="shared" si="45"/>
        <v>4.7304170905391657E-2</v>
      </c>
      <c r="AG48" s="707" t="s">
        <v>100</v>
      </c>
      <c r="AH48" s="756">
        <f t="shared" si="46"/>
        <v>6.2309257375381486E-3</v>
      </c>
      <c r="AK48" s="707" t="s">
        <v>100</v>
      </c>
      <c r="AL48" s="756">
        <f t="shared" si="47"/>
        <v>9.7914547304170912E-3</v>
      </c>
      <c r="AO48" s="707" t="s">
        <v>100</v>
      </c>
      <c r="AP48" s="756">
        <f t="shared" si="48"/>
        <v>1.525940996948118E-3</v>
      </c>
      <c r="AS48" s="707" t="s">
        <v>100</v>
      </c>
      <c r="AT48" s="756">
        <f t="shared" si="49"/>
        <v>1</v>
      </c>
      <c r="AV48" s="748"/>
      <c r="AW48" s="757"/>
    </row>
    <row r="49" spans="1:49" s="274" customFormat="1" hidden="1">
      <c r="A49" s="274" t="s">
        <v>101</v>
      </c>
      <c r="B49" s="756">
        <f t="shared" si="38"/>
        <v>0.4889253486464315</v>
      </c>
      <c r="E49" s="274" t="s">
        <v>101</v>
      </c>
      <c r="F49" s="756">
        <f t="shared" si="39"/>
        <v>0.13320344544708779</v>
      </c>
      <c r="I49" s="274" t="s">
        <v>101</v>
      </c>
      <c r="J49" s="756">
        <f t="shared" si="40"/>
        <v>9.0237899917965554E-3</v>
      </c>
      <c r="M49" s="274" t="s">
        <v>101</v>
      </c>
      <c r="N49" s="756">
        <f t="shared" si="41"/>
        <v>6.4602132895816247E-2</v>
      </c>
      <c r="Q49" s="274" t="s">
        <v>101</v>
      </c>
      <c r="R49" s="756">
        <f t="shared" si="42"/>
        <v>0.18488515176374076</v>
      </c>
      <c r="U49" s="274" t="s">
        <v>101</v>
      </c>
      <c r="V49" s="756">
        <f t="shared" si="43"/>
        <v>5.434782608695652E-3</v>
      </c>
      <c r="Y49" s="274" t="s">
        <v>101</v>
      </c>
      <c r="Z49" s="756">
        <f t="shared" si="44"/>
        <v>4.0196882690730108E-2</v>
      </c>
      <c r="AC49" s="274" t="s">
        <v>101</v>
      </c>
      <c r="AD49" s="756">
        <f t="shared" si="45"/>
        <v>5.5168170631665299E-2</v>
      </c>
      <c r="AG49" s="274" t="s">
        <v>101</v>
      </c>
      <c r="AH49" s="756">
        <f t="shared" si="46"/>
        <v>8.9212469237079581E-3</v>
      </c>
      <c r="AK49" s="274" t="s">
        <v>101</v>
      </c>
      <c r="AL49" s="756">
        <f t="shared" si="47"/>
        <v>8.9212469237079581E-3</v>
      </c>
      <c r="AO49" s="274" t="s">
        <v>101</v>
      </c>
      <c r="AP49" s="756">
        <f t="shared" si="48"/>
        <v>7.178014766201805E-4</v>
      </c>
      <c r="AS49" s="274" t="s">
        <v>101</v>
      </c>
      <c r="AT49" s="756">
        <f t="shared" si="49"/>
        <v>1</v>
      </c>
      <c r="AV49" s="748"/>
      <c r="AW49" s="757"/>
    </row>
    <row r="50" spans="1:49" s="274" customFormat="1" hidden="1">
      <c r="A50" s="274" t="s">
        <v>103</v>
      </c>
      <c r="B50" s="756">
        <f t="shared" si="38"/>
        <v>0.50873158462091272</v>
      </c>
      <c r="E50" s="274" t="s">
        <v>103</v>
      </c>
      <c r="F50" s="756">
        <f t="shared" si="39"/>
        <v>6.8630973769313694E-2</v>
      </c>
      <c r="I50" s="274" t="s">
        <v>103</v>
      </c>
      <c r="J50" s="756">
        <f t="shared" si="40"/>
        <v>1.9978440531800215E-2</v>
      </c>
      <c r="M50" s="274" t="s">
        <v>103</v>
      </c>
      <c r="N50" s="756">
        <f t="shared" si="41"/>
        <v>7.7039166367229614E-2</v>
      </c>
      <c r="Q50" s="274" t="s">
        <v>103</v>
      </c>
      <c r="R50" s="756">
        <f t="shared" si="42"/>
        <v>0.18390226374416097</v>
      </c>
      <c r="U50" s="274" t="s">
        <v>103</v>
      </c>
      <c r="V50" s="756">
        <f t="shared" si="43"/>
        <v>1.0923463887890766E-2</v>
      </c>
      <c r="Y50" s="274" t="s">
        <v>103</v>
      </c>
      <c r="Z50" s="756">
        <f t="shared" si="44"/>
        <v>4.4699964067553E-2</v>
      </c>
      <c r="AC50" s="274" t="s">
        <v>103</v>
      </c>
      <c r="AD50" s="756">
        <f t="shared" si="45"/>
        <v>6.4103485447358971E-2</v>
      </c>
      <c r="AG50" s="274" t="s">
        <v>103</v>
      </c>
      <c r="AH50" s="756">
        <f t="shared" si="46"/>
        <v>5.6773266259432268E-3</v>
      </c>
      <c r="AK50" s="274" t="s">
        <v>103</v>
      </c>
      <c r="AL50" s="756">
        <f t="shared" si="47"/>
        <v>1.4157384117858426E-2</v>
      </c>
      <c r="AO50" s="274" t="s">
        <v>103</v>
      </c>
      <c r="AP50" s="756">
        <f t="shared" si="48"/>
        <v>2.1559468199784403E-3</v>
      </c>
      <c r="AS50" s="274" t="s">
        <v>103</v>
      </c>
      <c r="AT50" s="756">
        <f t="shared" si="49"/>
        <v>1</v>
      </c>
      <c r="AV50" s="748"/>
      <c r="AW50" s="757"/>
    </row>
    <row r="51" spans="1:49" s="274" customFormat="1" hidden="1">
      <c r="A51" s="274" t="s">
        <v>104</v>
      </c>
      <c r="B51" s="756">
        <f t="shared" si="38"/>
        <v>0.59756442934013032</v>
      </c>
      <c r="E51" s="274" t="s">
        <v>104</v>
      </c>
      <c r="F51" s="756">
        <f t="shared" si="39"/>
        <v>8.4112149532710276E-2</v>
      </c>
      <c r="I51" s="274" t="s">
        <v>104</v>
      </c>
      <c r="J51" s="756">
        <f t="shared" si="40"/>
        <v>1.2177853299348626E-2</v>
      </c>
      <c r="M51" s="274" t="s">
        <v>104</v>
      </c>
      <c r="N51" s="756">
        <f t="shared" si="41"/>
        <v>7.4483149249504388E-2</v>
      </c>
      <c r="Q51" s="274" t="s">
        <v>104</v>
      </c>
      <c r="R51" s="756">
        <f t="shared" si="42"/>
        <v>0.13225715094873974</v>
      </c>
      <c r="U51" s="274" t="s">
        <v>104</v>
      </c>
      <c r="V51" s="756">
        <f t="shared" si="43"/>
        <v>1.3877088643443784E-2</v>
      </c>
      <c r="Y51" s="274" t="s">
        <v>104</v>
      </c>
      <c r="Z51" s="756">
        <f t="shared" si="44"/>
        <v>3.2568677428490511E-2</v>
      </c>
      <c r="AC51" s="274" t="s">
        <v>104</v>
      </c>
      <c r="AD51" s="756">
        <f t="shared" si="45"/>
        <v>4.0215236476918721E-2</v>
      </c>
      <c r="AG51" s="274" t="s">
        <v>104</v>
      </c>
      <c r="AH51" s="756">
        <f t="shared" si="46"/>
        <v>4.5312942509204189E-3</v>
      </c>
      <c r="AK51" s="274" t="s">
        <v>104</v>
      </c>
      <c r="AL51" s="756">
        <f t="shared" si="47"/>
        <v>7.6465590484282074E-3</v>
      </c>
      <c r="AO51" s="274" t="s">
        <v>104</v>
      </c>
      <c r="AP51" s="756">
        <f t="shared" si="48"/>
        <v>5.6641178136505237E-4</v>
      </c>
      <c r="AS51" s="274" t="s">
        <v>104</v>
      </c>
      <c r="AT51" s="756">
        <f t="shared" si="49"/>
        <v>1</v>
      </c>
      <c r="AV51" s="748"/>
      <c r="AW51" s="757"/>
    </row>
    <row r="52" spans="1:49" s="274" customFormat="1" hidden="1">
      <c r="A52" s="274" t="s">
        <v>102</v>
      </c>
      <c r="B52" s="756">
        <f t="shared" si="38"/>
        <v>0.49482148600836284</v>
      </c>
      <c r="E52" s="274" t="s">
        <v>102</v>
      </c>
      <c r="F52" s="756">
        <f t="shared" si="39"/>
        <v>0.13510775168864586</v>
      </c>
      <c r="I52" s="274" t="s">
        <v>102</v>
      </c>
      <c r="J52" s="756">
        <f t="shared" si="40"/>
        <v>9.3599228047603726E-3</v>
      </c>
      <c r="M52" s="274" t="s">
        <v>102</v>
      </c>
      <c r="N52" s="756">
        <f t="shared" si="41"/>
        <v>4.2039240913477001E-2</v>
      </c>
      <c r="Q52" s="274" t="s">
        <v>102</v>
      </c>
      <c r="R52" s="756">
        <f t="shared" si="42"/>
        <v>0.17458990028948215</v>
      </c>
      <c r="U52" s="274" t="s">
        <v>102</v>
      </c>
      <c r="V52" s="756">
        <f t="shared" si="43"/>
        <v>8.4271469926021237E-3</v>
      </c>
      <c r="Y52" s="274" t="s">
        <v>102</v>
      </c>
      <c r="Z52" s="756">
        <f t="shared" si="44"/>
        <v>3.0025731746542297E-2</v>
      </c>
      <c r="AC52" s="274" t="s">
        <v>102</v>
      </c>
      <c r="AD52" s="756">
        <f t="shared" si="45"/>
        <v>7.0488903184303633E-2</v>
      </c>
      <c r="AG52" s="274" t="s">
        <v>102</v>
      </c>
      <c r="AH52" s="756">
        <f t="shared" si="46"/>
        <v>1.9620456738501126E-2</v>
      </c>
      <c r="AK52" s="274" t="s">
        <v>102</v>
      </c>
      <c r="AL52" s="756">
        <f t="shared" si="47"/>
        <v>1.4586683821164362E-2</v>
      </c>
      <c r="AO52" s="274" t="s">
        <v>102</v>
      </c>
      <c r="AP52" s="756">
        <f t="shared" si="48"/>
        <v>9.3277581215825021E-4</v>
      </c>
      <c r="AS52" s="274" t="s">
        <v>102</v>
      </c>
      <c r="AT52" s="756">
        <f t="shared" si="49"/>
        <v>1</v>
      </c>
      <c r="AV52" s="748"/>
      <c r="AW52" s="757"/>
    </row>
    <row r="53" spans="1:49" s="274" customFormat="1" hidden="1">
      <c r="A53" s="274" t="s">
        <v>105</v>
      </c>
      <c r="B53" s="756">
        <f t="shared" si="38"/>
        <v>0.586349028922733</v>
      </c>
      <c r="E53" s="274" t="s">
        <v>105</v>
      </c>
      <c r="F53" s="756">
        <f t="shared" si="39"/>
        <v>2.1028363839597598E-2</v>
      </c>
      <c r="I53" s="274" t="s">
        <v>105</v>
      </c>
      <c r="J53" s="756">
        <f t="shared" si="40"/>
        <v>1.6662009221740954E-2</v>
      </c>
      <c r="M53" s="274" t="s">
        <v>105</v>
      </c>
      <c r="N53" s="756">
        <f t="shared" si="41"/>
        <v>0.10839038703367333</v>
      </c>
      <c r="Q53" s="274" t="s">
        <v>105</v>
      </c>
      <c r="R53" s="756">
        <f t="shared" si="42"/>
        <v>0.15439429928741091</v>
      </c>
      <c r="U53" s="274" t="s">
        <v>105</v>
      </c>
      <c r="V53" s="756">
        <f t="shared" si="43"/>
        <v>6.0430347911135949E-3</v>
      </c>
      <c r="Y53" s="274" t="s">
        <v>105</v>
      </c>
      <c r="Z53" s="756">
        <f t="shared" si="44"/>
        <v>2.9900796423082299E-2</v>
      </c>
      <c r="AC53" s="274" t="s">
        <v>105</v>
      </c>
      <c r="AD53" s="756">
        <f t="shared" si="45"/>
        <v>5.82297051837362E-2</v>
      </c>
      <c r="AG53" s="274" t="s">
        <v>105</v>
      </c>
      <c r="AH53" s="756">
        <f t="shared" si="46"/>
        <v>7.9292999860276648E-3</v>
      </c>
      <c r="AK53" s="274" t="s">
        <v>105</v>
      </c>
      <c r="AL53" s="756">
        <f t="shared" si="47"/>
        <v>8.8375017465418468E-3</v>
      </c>
      <c r="AO53" s="274" t="s">
        <v>105</v>
      </c>
      <c r="AP53" s="756">
        <f t="shared" si="48"/>
        <v>2.2355735643426015E-3</v>
      </c>
      <c r="AS53" s="274" t="s">
        <v>105</v>
      </c>
      <c r="AT53" s="756">
        <f t="shared" si="49"/>
        <v>1</v>
      </c>
      <c r="AV53" s="748"/>
      <c r="AW53" s="757"/>
    </row>
    <row r="54" spans="1:49" s="274" customFormat="1" hidden="1">
      <c r="A54" s="274" t="s">
        <v>106</v>
      </c>
      <c r="B54" s="756">
        <f t="shared" si="38"/>
        <v>0.57940594059405937</v>
      </c>
      <c r="E54" s="274" t="s">
        <v>106</v>
      </c>
      <c r="F54" s="756">
        <f t="shared" si="39"/>
        <v>6.0066006600660068E-2</v>
      </c>
      <c r="I54" s="274" t="s">
        <v>106</v>
      </c>
      <c r="J54" s="756">
        <f t="shared" si="40"/>
        <v>6.4686468646864689E-3</v>
      </c>
      <c r="M54" s="274" t="s">
        <v>106</v>
      </c>
      <c r="N54" s="756">
        <f t="shared" si="41"/>
        <v>9.9801980198019807E-2</v>
      </c>
      <c r="Q54" s="274" t="s">
        <v>106</v>
      </c>
      <c r="R54" s="756">
        <f t="shared" si="42"/>
        <v>0.13346534653465347</v>
      </c>
      <c r="U54" s="274" t="s">
        <v>106</v>
      </c>
      <c r="V54" s="756">
        <f t="shared" si="43"/>
        <v>8.1848184818481846E-3</v>
      </c>
      <c r="Y54" s="274" t="s">
        <v>106</v>
      </c>
      <c r="Z54" s="756">
        <f t="shared" si="44"/>
        <v>3.6567656765676568E-2</v>
      </c>
      <c r="AC54" s="274" t="s">
        <v>106</v>
      </c>
      <c r="AD54" s="756">
        <f t="shared" si="45"/>
        <v>5.0693069306930696E-2</v>
      </c>
      <c r="AG54" s="274" t="s">
        <v>106</v>
      </c>
      <c r="AH54" s="756">
        <f t="shared" si="46"/>
        <v>8.0528052805280536E-3</v>
      </c>
      <c r="AK54" s="274" t="s">
        <v>106</v>
      </c>
      <c r="AL54" s="756">
        <f t="shared" si="47"/>
        <v>1.6765676567656766E-2</v>
      </c>
      <c r="AO54" s="274" t="s">
        <v>106</v>
      </c>
      <c r="AP54" s="756">
        <f t="shared" si="48"/>
        <v>5.2805280528052802E-4</v>
      </c>
      <c r="AS54" s="274" t="s">
        <v>106</v>
      </c>
      <c r="AT54" s="756">
        <f t="shared" si="49"/>
        <v>1</v>
      </c>
      <c r="AV54" s="748"/>
      <c r="AW54" s="757"/>
    </row>
    <row r="55" spans="1:49" s="274" customFormat="1" hidden="1">
      <c r="A55" s="274" t="s">
        <v>108</v>
      </c>
      <c r="B55" s="756">
        <f t="shared" si="38"/>
        <v>0.39304238955464138</v>
      </c>
      <c r="E55" s="274" t="s">
        <v>108</v>
      </c>
      <c r="F55" s="756">
        <f t="shared" si="39"/>
        <v>0.16660704703988552</v>
      </c>
      <c r="I55" s="274" t="s">
        <v>108</v>
      </c>
      <c r="J55" s="756">
        <f t="shared" si="40"/>
        <v>7.51207297442318E-3</v>
      </c>
      <c r="M55" s="274" t="s">
        <v>108</v>
      </c>
      <c r="N55" s="756">
        <f t="shared" si="41"/>
        <v>2.7544267572884994E-2</v>
      </c>
      <c r="Q55" s="274" t="s">
        <v>108</v>
      </c>
      <c r="R55" s="756">
        <f t="shared" si="42"/>
        <v>0.23761402253621891</v>
      </c>
      <c r="U55" s="274" t="s">
        <v>108</v>
      </c>
      <c r="V55" s="756">
        <f t="shared" si="43"/>
        <v>5.0080486496154536E-3</v>
      </c>
      <c r="Y55" s="274" t="s">
        <v>108</v>
      </c>
      <c r="Z55" s="756">
        <f t="shared" si="44"/>
        <v>5.0527633697013054E-2</v>
      </c>
      <c r="AC55" s="274" t="s">
        <v>108</v>
      </c>
      <c r="AD55" s="756">
        <f t="shared" si="45"/>
        <v>9.6226077624754075E-2</v>
      </c>
      <c r="AG55" s="274" t="s">
        <v>108</v>
      </c>
      <c r="AH55" s="756">
        <f t="shared" si="46"/>
        <v>1.1625827222321587E-3</v>
      </c>
      <c r="AK55" s="274" t="s">
        <v>108</v>
      </c>
      <c r="AL55" s="756">
        <f t="shared" si="47"/>
        <v>1.4755857628331247E-2</v>
      </c>
      <c r="AO55" s="274" t="s">
        <v>108</v>
      </c>
      <c r="AP55" s="756">
        <f t="shared" si="48"/>
        <v>0</v>
      </c>
      <c r="AS55" s="274" t="s">
        <v>108</v>
      </c>
      <c r="AT55" s="756">
        <f t="shared" si="49"/>
        <v>1</v>
      </c>
      <c r="AV55" s="748"/>
      <c r="AW55" s="757"/>
    </row>
    <row r="56" spans="1:49" s="274" customFormat="1" hidden="1">
      <c r="A56" s="274" t="s">
        <v>109</v>
      </c>
      <c r="B56" s="756">
        <f t="shared" si="38"/>
        <v>0.49306930693069306</v>
      </c>
      <c r="E56" s="274" t="s">
        <v>109</v>
      </c>
      <c r="F56" s="756">
        <f t="shared" si="39"/>
        <v>3.8283828382838281E-2</v>
      </c>
      <c r="I56" s="274" t="s">
        <v>109</v>
      </c>
      <c r="J56" s="756">
        <f t="shared" si="40"/>
        <v>1.1881188118811881E-2</v>
      </c>
      <c r="M56" s="274" t="s">
        <v>109</v>
      </c>
      <c r="N56" s="756">
        <f t="shared" si="41"/>
        <v>2.3762376237623763E-2</v>
      </c>
      <c r="Q56" s="274" t="s">
        <v>109</v>
      </c>
      <c r="R56" s="756">
        <f t="shared" si="42"/>
        <v>0.29108910891089107</v>
      </c>
      <c r="U56" s="274" t="s">
        <v>109</v>
      </c>
      <c r="V56" s="756">
        <f t="shared" si="43"/>
        <v>1.9801980198019802E-3</v>
      </c>
      <c r="Y56" s="274" t="s">
        <v>109</v>
      </c>
      <c r="Z56" s="756">
        <f t="shared" si="44"/>
        <v>8.3168316831683173E-2</v>
      </c>
      <c r="AC56" s="274" t="s">
        <v>109</v>
      </c>
      <c r="AD56" s="756">
        <f t="shared" si="45"/>
        <v>3.3003300330033E-2</v>
      </c>
      <c r="AG56" s="274" t="s">
        <v>109</v>
      </c>
      <c r="AH56" s="756">
        <f t="shared" si="46"/>
        <v>6.6006600660066007E-3</v>
      </c>
      <c r="AK56" s="274" t="s">
        <v>109</v>
      </c>
      <c r="AL56" s="756">
        <f t="shared" si="47"/>
        <v>1.65016501650165E-2</v>
      </c>
      <c r="AO56" s="274" t="s">
        <v>109</v>
      </c>
      <c r="AP56" s="756">
        <f t="shared" si="48"/>
        <v>6.6006600660066007E-4</v>
      </c>
      <c r="AS56" s="274" t="s">
        <v>109</v>
      </c>
      <c r="AT56" s="756">
        <f t="shared" si="49"/>
        <v>1</v>
      </c>
      <c r="AV56" s="748"/>
      <c r="AW56" s="757"/>
    </row>
    <row r="57" spans="1:49" s="274" customFormat="1" hidden="1">
      <c r="A57" s="274" t="s">
        <v>107</v>
      </c>
      <c r="B57" s="756">
        <f t="shared" si="38"/>
        <v>0.3316813905049199</v>
      </c>
      <c r="E57" s="274" t="s">
        <v>107</v>
      </c>
      <c r="F57" s="756">
        <f t="shared" si="39"/>
        <v>0.19273863391510451</v>
      </c>
      <c r="I57" s="274" t="s">
        <v>107</v>
      </c>
      <c r="J57" s="756">
        <f t="shared" si="40"/>
        <v>6.5838301132418783E-3</v>
      </c>
      <c r="M57" s="274" t="s">
        <v>107</v>
      </c>
      <c r="N57" s="756">
        <f t="shared" si="41"/>
        <v>3.2452297158179509E-2</v>
      </c>
      <c r="Q57" s="274" t="s">
        <v>107</v>
      </c>
      <c r="R57" s="756">
        <f t="shared" si="42"/>
        <v>0.30064162417103596</v>
      </c>
      <c r="U57" s="274" t="s">
        <v>107</v>
      </c>
      <c r="V57" s="756">
        <f t="shared" si="43"/>
        <v>5.8655941008882188E-3</v>
      </c>
      <c r="Y57" s="274" t="s">
        <v>107</v>
      </c>
      <c r="Z57" s="756">
        <f t="shared" si="44"/>
        <v>5.1952404893581362E-2</v>
      </c>
      <c r="AC57" s="274" t="s">
        <v>107</v>
      </c>
      <c r="AD57" s="756">
        <f t="shared" si="45"/>
        <v>4.8492901434077904E-2</v>
      </c>
      <c r="AG57" s="274" t="s">
        <v>107</v>
      </c>
      <c r="AH57" s="756">
        <f t="shared" si="46"/>
        <v>8.8223323517441169E-3</v>
      </c>
      <c r="AK57" s="274" t="s">
        <v>107</v>
      </c>
      <c r="AL57" s="756">
        <f t="shared" si="47"/>
        <v>1.9727549139313846E-2</v>
      </c>
      <c r="AO57" s="274" t="s">
        <v>107</v>
      </c>
      <c r="AP57" s="756">
        <f t="shared" si="48"/>
        <v>1.0414422179128061E-3</v>
      </c>
      <c r="AS57" s="274" t="s">
        <v>107</v>
      </c>
      <c r="AT57" s="756">
        <f t="shared" si="49"/>
        <v>1</v>
      </c>
      <c r="AV57" s="748"/>
      <c r="AW57" s="757"/>
    </row>
    <row r="58" spans="1:49" s="274" customFormat="1" hidden="1">
      <c r="A58" s="274" t="s">
        <v>110</v>
      </c>
      <c r="B58" s="756">
        <f t="shared" si="38"/>
        <v>0.39410911361257506</v>
      </c>
      <c r="E58" s="274" t="s">
        <v>110</v>
      </c>
      <c r="F58" s="756">
        <f t="shared" si="39"/>
        <v>0.18225388838900416</v>
      </c>
      <c r="I58" s="274" t="s">
        <v>110</v>
      </c>
      <c r="J58" s="756">
        <f t="shared" si="40"/>
        <v>7.3452448721009235E-3</v>
      </c>
      <c r="M58" s="274" t="s">
        <v>110</v>
      </c>
      <c r="N58" s="756">
        <f t="shared" si="41"/>
        <v>3.6616045687423104E-2</v>
      </c>
      <c r="Q58" s="274" t="s">
        <v>110</v>
      </c>
      <c r="R58" s="756">
        <f t="shared" si="42"/>
        <v>0.28236957599573975</v>
      </c>
      <c r="U58" s="274" t="s">
        <v>110</v>
      </c>
      <c r="V58" s="756">
        <f t="shared" si="43"/>
        <v>5.0314927373891326E-3</v>
      </c>
      <c r="Y58" s="274" t="s">
        <v>110</v>
      </c>
      <c r="Z58" s="756">
        <f t="shared" si="44"/>
        <v>3.4192114879629802E-2</v>
      </c>
      <c r="AC58" s="274" t="s">
        <v>110</v>
      </c>
      <c r="AD58" s="756">
        <f t="shared" si="45"/>
        <v>3.2906697027012141E-2</v>
      </c>
      <c r="AG58" s="274" t="s">
        <v>110</v>
      </c>
      <c r="AH58" s="756">
        <f t="shared" si="46"/>
        <v>1.3331619442863176E-2</v>
      </c>
      <c r="AK58" s="274" t="s">
        <v>110</v>
      </c>
      <c r="AL58" s="756">
        <f t="shared" si="47"/>
        <v>1.0907688635069872E-2</v>
      </c>
      <c r="AO58" s="274" t="s">
        <v>110</v>
      </c>
      <c r="AP58" s="756">
        <f t="shared" si="48"/>
        <v>9.365187211928678E-4</v>
      </c>
      <c r="AS58" s="274" t="s">
        <v>110</v>
      </c>
      <c r="AT58" s="756">
        <f t="shared" si="49"/>
        <v>1</v>
      </c>
      <c r="AV58" s="748"/>
      <c r="AW58" s="757"/>
    </row>
    <row r="59" spans="1:49" s="274" customFormat="1" hidden="1">
      <c r="A59" s="274" t="s">
        <v>112</v>
      </c>
      <c r="B59" s="756">
        <f t="shared" si="38"/>
        <v>0.5532672654072468</v>
      </c>
      <c r="E59" s="274" t="s">
        <v>112</v>
      </c>
      <c r="F59" s="756">
        <f t="shared" si="39"/>
        <v>8.1294518426757514E-2</v>
      </c>
      <c r="I59" s="274" t="s">
        <v>112</v>
      </c>
      <c r="J59" s="756">
        <f t="shared" si="40"/>
        <v>1.1458655930628678E-2</v>
      </c>
      <c r="M59" s="274" t="s">
        <v>112</v>
      </c>
      <c r="N59" s="756">
        <f t="shared" si="41"/>
        <v>8.3772065655001546E-2</v>
      </c>
      <c r="Q59" s="274" t="s">
        <v>112</v>
      </c>
      <c r="R59" s="756">
        <f t="shared" si="42"/>
        <v>0.11582533292040879</v>
      </c>
      <c r="U59" s="274" t="s">
        <v>112</v>
      </c>
      <c r="V59" s="756">
        <f t="shared" si="43"/>
        <v>9.1359554041498918E-3</v>
      </c>
      <c r="Y59" s="274" t="s">
        <v>112</v>
      </c>
      <c r="Z59" s="756">
        <f t="shared" si="44"/>
        <v>3.7782595230721583E-2</v>
      </c>
      <c r="AC59" s="274" t="s">
        <v>112</v>
      </c>
      <c r="AD59" s="756">
        <f t="shared" si="45"/>
        <v>8.2842985444410031E-2</v>
      </c>
      <c r="AG59" s="274" t="s">
        <v>112</v>
      </c>
      <c r="AH59" s="756">
        <f t="shared" si="46"/>
        <v>5.2647878600185815E-3</v>
      </c>
      <c r="AK59" s="274" t="s">
        <v>112</v>
      </c>
      <c r="AL59" s="756">
        <f t="shared" si="47"/>
        <v>1.672344379064726E-2</v>
      </c>
      <c r="AO59" s="274" t="s">
        <v>112</v>
      </c>
      <c r="AP59" s="756">
        <f t="shared" si="48"/>
        <v>2.6323939300092907E-3</v>
      </c>
      <c r="AS59" s="274" t="s">
        <v>112</v>
      </c>
      <c r="AT59" s="756">
        <f t="shared" si="49"/>
        <v>1</v>
      </c>
      <c r="AV59" s="748"/>
      <c r="AW59" s="757"/>
    </row>
    <row r="60" spans="1:49" s="274" customFormat="1" hidden="1">
      <c r="A60" s="274" t="s">
        <v>111</v>
      </c>
      <c r="B60" s="756">
        <f t="shared" si="38"/>
        <v>0.63954723985795758</v>
      </c>
      <c r="E60" s="274" t="s">
        <v>111</v>
      </c>
      <c r="F60" s="756">
        <f t="shared" si="39"/>
        <v>4.6029269342515874E-2</v>
      </c>
      <c r="I60" s="274" t="s">
        <v>111</v>
      </c>
      <c r="J60" s="756">
        <f t="shared" si="40"/>
        <v>1.0848219089637361E-2</v>
      </c>
      <c r="M60" s="274" t="s">
        <v>111</v>
      </c>
      <c r="N60" s="756">
        <f t="shared" si="41"/>
        <v>8.4761379532981809E-2</v>
      </c>
      <c r="Q60" s="274" t="s">
        <v>111</v>
      </c>
      <c r="R60" s="756">
        <f t="shared" si="42"/>
        <v>0.10799795545033897</v>
      </c>
      <c r="U60" s="274" t="s">
        <v>111</v>
      </c>
      <c r="V60" s="756">
        <f t="shared" si="43"/>
        <v>6.4901000753255136E-3</v>
      </c>
      <c r="Y60" s="274" t="s">
        <v>111</v>
      </c>
      <c r="Z60" s="756">
        <f t="shared" si="44"/>
        <v>2.2994458194339824E-2</v>
      </c>
      <c r="AC60" s="274" t="s">
        <v>111</v>
      </c>
      <c r="AD60" s="756">
        <f t="shared" si="45"/>
        <v>6.322635316905198E-2</v>
      </c>
      <c r="AG60" s="274" t="s">
        <v>111</v>
      </c>
      <c r="AH60" s="756">
        <f t="shared" si="46"/>
        <v>8.8036694286021729E-3</v>
      </c>
      <c r="AK60" s="274" t="s">
        <v>111</v>
      </c>
      <c r="AL60" s="756">
        <f t="shared" si="47"/>
        <v>8.2252770902830081E-3</v>
      </c>
      <c r="AO60" s="274" t="s">
        <v>111</v>
      </c>
      <c r="AP60" s="756">
        <f t="shared" si="48"/>
        <v>1.0760787689658882E-3</v>
      </c>
      <c r="AS60" s="274" t="s">
        <v>111</v>
      </c>
      <c r="AT60" s="756">
        <f t="shared" si="49"/>
        <v>1</v>
      </c>
      <c r="AV60" s="748"/>
      <c r="AW60" s="757"/>
    </row>
    <row r="61" spans="1:49" s="274" customFormat="1" hidden="1">
      <c r="A61" s="274" t="s">
        <v>113</v>
      </c>
      <c r="B61" s="756">
        <f t="shared" si="38"/>
        <v>0.42380506091846298</v>
      </c>
      <c r="E61" s="274" t="s">
        <v>113</v>
      </c>
      <c r="F61" s="756">
        <f t="shared" si="39"/>
        <v>0.16588566073102157</v>
      </c>
      <c r="I61" s="274" t="s">
        <v>113</v>
      </c>
      <c r="J61" s="756">
        <f t="shared" si="40"/>
        <v>1.162136832239925E-2</v>
      </c>
      <c r="M61" s="274" t="s">
        <v>113</v>
      </c>
      <c r="N61" s="756">
        <f t="shared" si="41"/>
        <v>3.5801312089971886E-2</v>
      </c>
      <c r="Q61" s="274" t="s">
        <v>113</v>
      </c>
      <c r="R61" s="756">
        <f t="shared" si="42"/>
        <v>0.20168697282099343</v>
      </c>
      <c r="U61" s="274" t="s">
        <v>113</v>
      </c>
      <c r="V61" s="756">
        <f t="shared" si="43"/>
        <v>1.3495782567947517E-2</v>
      </c>
      <c r="Y61" s="274" t="s">
        <v>113</v>
      </c>
      <c r="Z61" s="756">
        <f t="shared" si="44"/>
        <v>6.4667291471415186E-2</v>
      </c>
      <c r="AC61" s="274" t="s">
        <v>113</v>
      </c>
      <c r="AD61" s="756">
        <f t="shared" si="45"/>
        <v>5.8106841611996252E-2</v>
      </c>
      <c r="AG61" s="274" t="s">
        <v>113</v>
      </c>
      <c r="AH61" s="756">
        <f t="shared" si="46"/>
        <v>6.1855670103092781E-3</v>
      </c>
      <c r="AK61" s="274" t="s">
        <v>113</v>
      </c>
      <c r="AL61" s="756">
        <f t="shared" si="47"/>
        <v>1.8181818181818181E-2</v>
      </c>
      <c r="AO61" s="274" t="s">
        <v>113</v>
      </c>
      <c r="AP61" s="756">
        <f t="shared" si="48"/>
        <v>5.6232427366447986E-4</v>
      </c>
      <c r="AS61" s="274" t="s">
        <v>113</v>
      </c>
      <c r="AT61" s="756">
        <f t="shared" si="49"/>
        <v>1</v>
      </c>
      <c r="AV61" s="748"/>
      <c r="AW61" s="757"/>
    </row>
    <row r="62" spans="1:49" ht="24" hidden="1" customHeight="1"/>
    <row r="63" spans="1:49" hidden="1"/>
    <row r="64" spans="1:49" hidden="1"/>
    <row r="65" hidden="1"/>
    <row r="66" hidden="1"/>
    <row r="67" hidden="1"/>
    <row r="68" hidden="1"/>
    <row r="69" hidden="1"/>
    <row r="70" hidden="1"/>
    <row r="71" hidden="1"/>
    <row r="72" hidden="1"/>
    <row r="73" hidden="1"/>
    <row r="74" hidden="1"/>
    <row r="75" hidden="1"/>
    <row r="76" hidden="1"/>
  </sheetData>
  <sortState ref="AX21:AZ31">
    <sortCondition descending="1" ref="AZ21:AZ31"/>
  </sortState>
  <mergeCells count="17">
    <mergeCell ref="A1:AR1"/>
    <mergeCell ref="A2:A3"/>
    <mergeCell ref="B2:E2"/>
    <mergeCell ref="F2:I2"/>
    <mergeCell ref="J2:M2"/>
    <mergeCell ref="N2:Q2"/>
    <mergeCell ref="R2:U2"/>
    <mergeCell ref="V2:Y2"/>
    <mergeCell ref="Z2:AC2"/>
    <mergeCell ref="AD2:AG2"/>
    <mergeCell ref="AH2:AK2"/>
    <mergeCell ref="AL2:AO2"/>
    <mergeCell ref="AP2:AS2"/>
    <mergeCell ref="AU2:AU3"/>
    <mergeCell ref="AX3:AZ3"/>
    <mergeCell ref="AX19:AZ19"/>
    <mergeCell ref="BA19:BA32"/>
  </mergeCells>
  <conditionalFormatting sqref="C33">
    <cfRule type="cellIs" dxfId="63" priority="24" operator="equal">
      <formula>TRUE</formula>
    </cfRule>
  </conditionalFormatting>
  <conditionalFormatting sqref="G33">
    <cfRule type="cellIs" dxfId="62" priority="23" operator="equal">
      <formula>TRUE</formula>
    </cfRule>
  </conditionalFormatting>
  <conditionalFormatting sqref="K33">
    <cfRule type="cellIs" dxfId="61" priority="22" operator="equal">
      <formula>TRUE</formula>
    </cfRule>
  </conditionalFormatting>
  <conditionalFormatting sqref="O33">
    <cfRule type="cellIs" dxfId="60" priority="21" operator="equal">
      <formula>TRUE</formula>
    </cfRule>
  </conditionalFormatting>
  <conditionalFormatting sqref="S33">
    <cfRule type="cellIs" dxfId="59" priority="20" operator="equal">
      <formula>TRUE</formula>
    </cfRule>
  </conditionalFormatting>
  <conditionalFormatting sqref="W33">
    <cfRule type="cellIs" dxfId="58" priority="19" operator="equal">
      <formula>TRUE</formula>
    </cfRule>
  </conditionalFormatting>
  <conditionalFormatting sqref="AA33">
    <cfRule type="cellIs" dxfId="57" priority="18" operator="equal">
      <formula>TRUE</formula>
    </cfRule>
  </conditionalFormatting>
  <conditionalFormatting sqref="AE33">
    <cfRule type="cellIs" dxfId="56" priority="17" operator="equal">
      <formula>TRUE</formula>
    </cfRule>
  </conditionalFormatting>
  <conditionalFormatting sqref="AI33">
    <cfRule type="cellIs" dxfId="55" priority="16" operator="equal">
      <formula>TRUE</formula>
    </cfRule>
  </conditionalFormatting>
  <conditionalFormatting sqref="AM33">
    <cfRule type="cellIs" dxfId="54" priority="15" operator="equal">
      <formula>TRUE</formula>
    </cfRule>
  </conditionalFormatting>
  <conditionalFormatting sqref="AQ33">
    <cfRule type="cellIs" dxfId="53" priority="14" operator="equal">
      <formula>TRUE</formula>
    </cfRule>
  </conditionalFormatting>
  <conditionalFormatting sqref="AT33">
    <cfRule type="cellIs" dxfId="52" priority="13" operator="equal">
      <formula>TRUE</formula>
    </cfRule>
  </conditionalFormatting>
  <conditionalFormatting sqref="AU33">
    <cfRule type="cellIs" dxfId="51" priority="12" operator="equal">
      <formula>TRUE</formula>
    </cfRule>
  </conditionalFormatting>
  <conditionalFormatting sqref="AP33">
    <cfRule type="cellIs" dxfId="50" priority="11" operator="equal">
      <formula>TRUE</formula>
    </cfRule>
  </conditionalFormatting>
  <conditionalFormatting sqref="AL33">
    <cfRule type="cellIs" dxfId="49" priority="10" operator="equal">
      <formula>TRUE</formula>
    </cfRule>
  </conditionalFormatting>
  <conditionalFormatting sqref="AH33">
    <cfRule type="cellIs" dxfId="48" priority="9" operator="equal">
      <formula>TRUE</formula>
    </cfRule>
  </conditionalFormatting>
  <conditionalFormatting sqref="AD33">
    <cfRule type="cellIs" dxfId="47" priority="8" operator="equal">
      <formula>TRUE</formula>
    </cfRule>
  </conditionalFormatting>
  <conditionalFormatting sqref="Z33">
    <cfRule type="cellIs" dxfId="46" priority="7" operator="equal">
      <formula>TRUE</formula>
    </cfRule>
  </conditionalFormatting>
  <conditionalFormatting sqref="V33">
    <cfRule type="cellIs" dxfId="45" priority="6" operator="equal">
      <formula>TRUE</formula>
    </cfRule>
  </conditionalFormatting>
  <conditionalFormatting sqref="R33">
    <cfRule type="cellIs" dxfId="44" priority="5" operator="equal">
      <formula>TRUE</formula>
    </cfRule>
  </conditionalFormatting>
  <conditionalFormatting sqref="N33">
    <cfRule type="cellIs" dxfId="43" priority="4" operator="equal">
      <formula>TRUE</formula>
    </cfRule>
  </conditionalFormatting>
  <conditionalFormatting sqref="J33">
    <cfRule type="cellIs" dxfId="42" priority="3" operator="equal">
      <formula>TRUE</formula>
    </cfRule>
  </conditionalFormatting>
  <conditionalFormatting sqref="F33">
    <cfRule type="cellIs" dxfId="41" priority="2" operator="equal">
      <formula>TRUE</formula>
    </cfRule>
  </conditionalFormatting>
  <conditionalFormatting sqref="B33">
    <cfRule type="cellIs" dxfId="40" priority="1" operator="equal">
      <formula>TRUE</formula>
    </cfRule>
  </conditionalFormatting>
  <pageMargins left="0.511811024" right="0.511811024" top="0.78740157499999996" bottom="0.78740157499999996" header="0.31496062000000002" footer="0.31496062000000002"/>
  <pageSetup paperSize="9" scale="69" fitToWidth="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theme="6" tint="0.39997558519241921"/>
  </sheetPr>
  <dimension ref="A1:AS118"/>
  <sheetViews>
    <sheetView showGridLines="0" topLeftCell="T1" zoomScaleNormal="100" workbookViewId="0">
      <selection sqref="A1:AC1"/>
    </sheetView>
  </sheetViews>
  <sheetFormatPr defaultRowHeight="15"/>
  <cols>
    <col min="1" max="1" width="12.42578125" style="253" customWidth="1"/>
    <col min="2" max="2" width="17" style="253" hidden="1" customWidth="1"/>
    <col min="3" max="3" width="13" style="253" customWidth="1"/>
    <col min="4" max="4" width="12.42578125" style="253" customWidth="1"/>
    <col min="5" max="5" width="11.5703125" style="253" customWidth="1"/>
    <col min="6" max="6" width="11.5703125" style="253" hidden="1" customWidth="1"/>
    <col min="7" max="7" width="11.5703125" style="253" customWidth="1"/>
    <col min="8" max="8" width="12.42578125" style="253" customWidth="1"/>
    <col min="9" max="9" width="11.5703125" style="253" customWidth="1"/>
    <col min="10" max="10" width="11.5703125" style="253" hidden="1" customWidth="1"/>
    <col min="11" max="11" width="11.5703125" style="253" customWidth="1"/>
    <col min="12" max="12" width="12.42578125" style="253" customWidth="1"/>
    <col min="13" max="13" width="11.5703125" style="253" customWidth="1"/>
    <col min="14" max="14" width="11.5703125" style="253" hidden="1" customWidth="1"/>
    <col min="15" max="15" width="11.5703125" style="253" customWidth="1"/>
    <col min="16" max="16" width="12.42578125" style="253" customWidth="1"/>
    <col min="17" max="17" width="11.5703125" style="253" customWidth="1"/>
    <col min="18" max="18" width="11.5703125" style="253" hidden="1" customWidth="1"/>
    <col min="19" max="19" width="11.5703125" style="253" customWidth="1"/>
    <col min="20" max="20" width="12.42578125" style="253" customWidth="1"/>
    <col min="21" max="21" width="11.5703125" style="253" customWidth="1"/>
    <col min="22" max="22" width="11.5703125" style="253" hidden="1" customWidth="1"/>
    <col min="23" max="23" width="11.5703125" style="253" customWidth="1"/>
    <col min="24" max="24" width="12.42578125" style="253" customWidth="1"/>
    <col min="25" max="25" width="11.5703125" style="253" customWidth="1"/>
    <col min="26" max="26" width="13.7109375" style="253" hidden="1" customWidth="1"/>
    <col min="27" max="27" width="11.5703125" style="253" customWidth="1"/>
    <col min="28" max="28" width="12.42578125" style="253" customWidth="1"/>
    <col min="29" max="29" width="11.5703125" style="253" customWidth="1"/>
    <col min="30" max="30" width="11.5703125" style="253" hidden="1" customWidth="1"/>
    <col min="31" max="31" width="11.5703125" style="253" customWidth="1"/>
    <col min="32" max="32" width="12.42578125" style="253" customWidth="1"/>
    <col min="33" max="33" width="11.5703125" style="253" customWidth="1"/>
    <col min="34" max="34" width="11.5703125" style="253" hidden="1" customWidth="1"/>
    <col min="35" max="35" width="11.5703125" style="253" customWidth="1"/>
    <col min="36" max="36" width="12.42578125" style="253" customWidth="1"/>
    <col min="37" max="37" width="11.5703125" style="253" customWidth="1"/>
    <col min="38" max="38" width="14.140625" style="253" hidden="1" customWidth="1"/>
    <col min="39" max="39" width="13.7109375" style="253" customWidth="1"/>
    <col min="40" max="40" width="12.85546875" style="723" customWidth="1"/>
    <col min="41" max="41" width="6.5703125" style="12" customWidth="1"/>
    <col min="42" max="42" width="70" style="253" bestFit="1" customWidth="1"/>
    <col min="43" max="43" width="12.85546875" style="253" bestFit="1" customWidth="1"/>
    <col min="44" max="44" width="12" style="253" customWidth="1"/>
    <col min="45" max="45" width="16.140625" style="253" customWidth="1"/>
    <col min="46" max="16384" width="9.140625" style="253"/>
  </cols>
  <sheetData>
    <row r="1" spans="1:44" ht="16.5" thickBot="1">
      <c r="A1" s="1460" t="s">
        <v>594</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760"/>
    </row>
    <row r="2" spans="1:44" ht="86.25" customHeight="1" thickTop="1" thickBot="1">
      <c r="A2" s="1455" t="s">
        <v>182</v>
      </c>
      <c r="B2" s="1461" t="s">
        <v>624</v>
      </c>
      <c r="C2" s="1461"/>
      <c r="D2" s="1461"/>
      <c r="E2" s="1462"/>
      <c r="F2" s="1461" t="s">
        <v>625</v>
      </c>
      <c r="G2" s="1461"/>
      <c r="H2" s="1461"/>
      <c r="I2" s="1462"/>
      <c r="J2" s="1461" t="s">
        <v>641</v>
      </c>
      <c r="K2" s="1461"/>
      <c r="L2" s="1461"/>
      <c r="M2" s="1462"/>
      <c r="N2" s="1461" t="s">
        <v>642</v>
      </c>
      <c r="O2" s="1461"/>
      <c r="P2" s="1461"/>
      <c r="Q2" s="1462"/>
      <c r="R2" s="1461" t="s">
        <v>628</v>
      </c>
      <c r="S2" s="1461"/>
      <c r="T2" s="1461"/>
      <c r="U2" s="1462"/>
      <c r="V2" s="1461" t="s">
        <v>643</v>
      </c>
      <c r="W2" s="1461"/>
      <c r="X2" s="1461"/>
      <c r="Y2" s="1462"/>
      <c r="Z2" s="1461" t="s">
        <v>644</v>
      </c>
      <c r="AA2" s="1461"/>
      <c r="AB2" s="1461"/>
      <c r="AC2" s="1462"/>
      <c r="AD2" s="1461" t="s">
        <v>632</v>
      </c>
      <c r="AE2" s="1461"/>
      <c r="AF2" s="1461"/>
      <c r="AG2" s="1462"/>
      <c r="AH2" s="1461" t="s">
        <v>645</v>
      </c>
      <c r="AI2" s="1461"/>
      <c r="AJ2" s="1461"/>
      <c r="AK2" s="1462"/>
      <c r="AL2" s="1463" t="s">
        <v>646</v>
      </c>
      <c r="AM2" s="1455" t="s">
        <v>34</v>
      </c>
    </row>
    <row r="3" spans="1:44" ht="33" customHeight="1" thickBot="1">
      <c r="A3" s="1455"/>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726" t="s">
        <v>636</v>
      </c>
      <c r="S3" s="727" t="s">
        <v>637</v>
      </c>
      <c r="T3" s="727" t="s">
        <v>638</v>
      </c>
      <c r="U3" s="727" t="s">
        <v>639</v>
      </c>
      <c r="V3" s="726" t="s">
        <v>636</v>
      </c>
      <c r="W3" s="727" t="s">
        <v>637</v>
      </c>
      <c r="X3" s="727" t="s">
        <v>638</v>
      </c>
      <c r="Y3" s="727" t="s">
        <v>639</v>
      </c>
      <c r="Z3" s="726" t="s">
        <v>636</v>
      </c>
      <c r="AA3" s="727" t="s">
        <v>637</v>
      </c>
      <c r="AB3" s="727" t="s">
        <v>638</v>
      </c>
      <c r="AC3" s="727" t="s">
        <v>639</v>
      </c>
      <c r="AD3" s="726" t="s">
        <v>636</v>
      </c>
      <c r="AE3" s="727" t="s">
        <v>637</v>
      </c>
      <c r="AF3" s="727" t="s">
        <v>638</v>
      </c>
      <c r="AG3" s="727" t="s">
        <v>639</v>
      </c>
      <c r="AH3" s="726" t="s">
        <v>636</v>
      </c>
      <c r="AI3" s="727" t="s">
        <v>637</v>
      </c>
      <c r="AJ3" s="727" t="s">
        <v>638</v>
      </c>
      <c r="AK3" s="727" t="s">
        <v>639</v>
      </c>
      <c r="AL3" s="1464" t="s">
        <v>637</v>
      </c>
      <c r="AM3" s="1455" t="s">
        <v>637</v>
      </c>
      <c r="AP3" s="1456" t="s">
        <v>640</v>
      </c>
      <c r="AQ3" s="1456"/>
      <c r="AR3" s="1456"/>
    </row>
    <row r="4" spans="1:44" ht="15.75">
      <c r="A4" s="761" t="s">
        <v>87</v>
      </c>
      <c r="B4" s="762">
        <f>'RRT - Subgrupo - IGEO'!AI3</f>
        <v>718</v>
      </c>
      <c r="C4" s="761">
        <f>$AM4*B35</f>
        <v>501.64715066354404</v>
      </c>
      <c r="D4" s="763">
        <f>IFERROR(C4/C$31*100,)</f>
        <v>0.36055155556564417</v>
      </c>
      <c r="E4" s="763">
        <f>IFERROR((C4/$AM4)*100,0)</f>
        <v>67.863894139886582</v>
      </c>
      <c r="F4" s="762">
        <f>'RRT - Subgrupo - IGEO'!AL3</f>
        <v>112</v>
      </c>
      <c r="G4" s="761">
        <f>$AM4*F35</f>
        <v>78.251366120218563</v>
      </c>
      <c r="H4" s="763">
        <f>IFERROR(G4/G$31*100,)</f>
        <v>0.2156298937813963</v>
      </c>
      <c r="I4" s="763">
        <f>IFERROR((G4/$AM4)*100,0)</f>
        <v>10.586011342155009</v>
      </c>
      <c r="J4" s="762">
        <f>'RRT - Subgrupo - IGEO'!AO3</f>
        <v>13</v>
      </c>
      <c r="K4" s="761">
        <f>$AM4*J35</f>
        <v>9.0827478532396544</v>
      </c>
      <c r="L4" s="763">
        <f>IFERROR(K4/K$31*100,)</f>
        <v>0.21888001735600732</v>
      </c>
      <c r="M4" s="763">
        <f>IFERROR((K4/$AM4)*100,0)</f>
        <v>1.2287334593572778</v>
      </c>
      <c r="N4" s="762">
        <f>'RRT - Subgrupo - IGEO'!AR3</f>
        <v>34</v>
      </c>
      <c r="O4" s="761">
        <f>$AM4*N35</f>
        <v>23.754879000780637</v>
      </c>
      <c r="P4" s="763">
        <f>IFERROR(O4/O$31*100,)</f>
        <v>7.3066277711683336E-2</v>
      </c>
      <c r="Q4" s="763">
        <f>IFERROR((O4/$AM4)*100,0)</f>
        <v>3.2136105860113422</v>
      </c>
      <c r="R4" s="762">
        <f>'RRT - Subgrupo - IGEO'!AU3</f>
        <v>159</v>
      </c>
      <c r="S4" s="761">
        <f>$AM4*R35</f>
        <v>111.08899297423885</v>
      </c>
      <c r="T4" s="763">
        <f>IFERROR(S4/S$31*100,)</f>
        <v>0.1843822144264102</v>
      </c>
      <c r="U4" s="763">
        <f>IFERROR((S4/$AM4)*100,0)</f>
        <v>15.028355387523629</v>
      </c>
      <c r="V4" s="762">
        <f>'RRT - Subgrupo - IGEO'!AX3</f>
        <v>3</v>
      </c>
      <c r="W4" s="761">
        <f>$AM4*V35</f>
        <v>2.0960187353629975</v>
      </c>
      <c r="X4" s="763">
        <f>IFERROR(W4/W$31*100,)</f>
        <v>0.38920947640726239</v>
      </c>
      <c r="Y4" s="763">
        <f>IFERROR((W4/$AM4)*100,0)</f>
        <v>0.28355387523629494</v>
      </c>
      <c r="Z4" s="762">
        <f>'RRT - Subgrupo - IGEO'!BA3</f>
        <v>6</v>
      </c>
      <c r="AA4" s="761">
        <f>$AM4*Z35</f>
        <v>4.1920374707259951</v>
      </c>
      <c r="AB4" s="763">
        <f>IFERROR(AA4/AA$31*100,)</f>
        <v>0.28240271485480273</v>
      </c>
      <c r="AC4" s="763">
        <f>IFERROR((AA4/$AM4)*100,0)</f>
        <v>0.56710775047258988</v>
      </c>
      <c r="AD4" s="762">
        <f>'RRT - Subgrupo - IGEO'!BD3</f>
        <v>12</v>
      </c>
      <c r="AE4" s="761">
        <f>$AM4*AD35</f>
        <v>8.3840749414519902</v>
      </c>
      <c r="AF4" s="763">
        <f>IFERROR(AE4/AE$31*100,)</f>
        <v>0.34511951523392376</v>
      </c>
      <c r="AG4" s="763">
        <f>IFERROR((AE4/$AM4)*100,0)</f>
        <v>1.1342155009451798</v>
      </c>
      <c r="AH4" s="762">
        <f>'RRT - Subgrupo - IGEO'!BG3</f>
        <v>1</v>
      </c>
      <c r="AI4" s="764">
        <f>$AM4*AH35</f>
        <v>0.69867291178766577</v>
      </c>
      <c r="AJ4" s="765">
        <f>IFERROR(AI4/AI$31*100,)</f>
        <v>0.27283306597747664</v>
      </c>
      <c r="AK4" s="766">
        <f>IFERROR((AI4/$AM4)*100,0)</f>
        <v>9.4517958412098299E-2</v>
      </c>
      <c r="AL4" s="762">
        <f t="shared" ref="AL4:AL30" si="0">AH4+AD4+Z4+V4+R4+N4+J4+F4+B4</f>
        <v>1058</v>
      </c>
      <c r="AM4" s="761">
        <f>'RRT - Atividades '!I3</f>
        <v>739.1959406713504</v>
      </c>
      <c r="AN4" s="723">
        <f>C4+G4+K4+O4+S4+W4+AA4+AE4+AI4</f>
        <v>739.1959406713504</v>
      </c>
      <c r="AO4" s="723">
        <f>AM4-AN4</f>
        <v>0</v>
      </c>
      <c r="AP4" s="767" t="s">
        <v>613</v>
      </c>
      <c r="AQ4" s="767" t="s">
        <v>614</v>
      </c>
      <c r="AR4" s="767" t="s">
        <v>423</v>
      </c>
    </row>
    <row r="5" spans="1:44" ht="15.75">
      <c r="A5" s="768" t="s">
        <v>88</v>
      </c>
      <c r="B5" s="762">
        <f>'RRT - Subgrupo - IGEO'!AI4</f>
        <v>1428</v>
      </c>
      <c r="C5" s="768">
        <f t="shared" ref="C5:C30" si="1">$AM5*B36</f>
        <v>895.44999527811876</v>
      </c>
      <c r="D5" s="765">
        <f t="shared" ref="D5:D30" si="2">IFERROR(C5/C$31*100,)</f>
        <v>0.64359159281922174</v>
      </c>
      <c r="E5" s="763">
        <f t="shared" ref="E5:E31" si="3">IFERROR((C5/$AM5)*100,0)</f>
        <v>49.173553719008268</v>
      </c>
      <c r="F5" s="762">
        <f>'RRT - Subgrupo - IGEO'!AL4</f>
        <v>581</v>
      </c>
      <c r="G5" s="768">
        <f t="shared" ref="G5:G30" si="4">$AM5*F36</f>
        <v>364.32524317688166</v>
      </c>
      <c r="H5" s="765">
        <f t="shared" ref="H5:H30" si="5">IFERROR(G5/G$31*100,)</f>
        <v>1.0039366388494808</v>
      </c>
      <c r="I5" s="765">
        <f t="shared" ref="I5:I31" si="6">IFERROR((G5/$AM5)*100,0)</f>
        <v>20.0068870523416</v>
      </c>
      <c r="J5" s="762">
        <f>'RRT - Subgrupo - IGEO'!AO4</f>
        <v>26</v>
      </c>
      <c r="K5" s="768">
        <f t="shared" ref="K5:K30" si="7">$AM5*J36</f>
        <v>16.303711398621207</v>
      </c>
      <c r="L5" s="765">
        <f t="shared" ref="L5:L30" si="8">IFERROR(K5/K$31*100,)</f>
        <v>0.39289394482361456</v>
      </c>
      <c r="M5" s="765">
        <f t="shared" ref="M5:M31" si="9">IFERROR((K5/$AM5)*100,0)</f>
        <v>0.89531680440771333</v>
      </c>
      <c r="N5" s="762">
        <f>'RRT - Subgrupo - IGEO'!AR4</f>
        <v>63</v>
      </c>
      <c r="O5" s="768">
        <f t="shared" ref="O5:O30" si="10">$AM5*N36</f>
        <v>39.505146850505234</v>
      </c>
      <c r="P5" s="765">
        <f t="shared" ref="P5:P30" si="11">IFERROR(O5/O$31*100,)</f>
        <v>0.12151162844167684</v>
      </c>
      <c r="Q5" s="765">
        <f t="shared" ref="Q5:Q31" si="12">IFERROR((O5/$AM5)*100,0)</f>
        <v>2.169421487603306</v>
      </c>
      <c r="R5" s="762">
        <f>'RRT - Subgrupo - IGEO'!AU4</f>
        <v>779</v>
      </c>
      <c r="S5" s="768">
        <f t="shared" ref="S5:S30" si="13">$AM5*R36</f>
        <v>488.48427613561233</v>
      </c>
      <c r="T5" s="765">
        <f t="shared" ref="T5:T30" si="14">IFERROR(S5/S$31*100,)</f>
        <v>0.81077170775373453</v>
      </c>
      <c r="U5" s="765">
        <f t="shared" ref="U5:U31" si="15">IFERROR((S5/$AM5)*100,0)</f>
        <v>26.825068870523417</v>
      </c>
      <c r="V5" s="762">
        <f>'RRT - Subgrupo - IGEO'!AX4</f>
        <v>6</v>
      </c>
      <c r="W5" s="768">
        <f t="shared" ref="W5:W30" si="16">$AM5*V36</f>
        <v>3.7623949381433559</v>
      </c>
      <c r="X5" s="765">
        <f t="shared" ref="X5:X30" si="17">IFERROR(W5/W$31*100,)</f>
        <v>0.6986386806597441</v>
      </c>
      <c r="Y5" s="765">
        <f t="shared" ref="Y5:Y31" si="18">IFERROR((W5/$AM5)*100,0)</f>
        <v>0.20661157024793389</v>
      </c>
      <c r="Z5" s="762">
        <f>'RRT - Subgrupo - IGEO'!BA4</f>
        <v>13</v>
      </c>
      <c r="AA5" s="768">
        <f t="shared" ref="AA5:AA30" si="19">$AM5*Z36</f>
        <v>8.1518556993106035</v>
      </c>
      <c r="AB5" s="765">
        <f t="shared" ref="AB5:AB30" si="20">IFERROR(AA5/AA$31*100,)</f>
        <v>0.54916164196195083</v>
      </c>
      <c r="AC5" s="765">
        <f t="shared" ref="AC5:AC31" si="21">IFERROR((AA5/$AM5)*100,0)</f>
        <v>0.44765840220385666</v>
      </c>
      <c r="AD5" s="762">
        <f>'RRT - Subgrupo - IGEO'!BD4</f>
        <v>8</v>
      </c>
      <c r="AE5" s="768">
        <f t="shared" ref="AE5:AE30" si="22">$AM5*AD36</f>
        <v>5.0165265841911415</v>
      </c>
      <c r="AF5" s="765">
        <f t="shared" ref="AF5:AF30" si="23">IFERROR(AE5/AE$31*100,)</f>
        <v>0.20649877714407741</v>
      </c>
      <c r="AG5" s="765">
        <f t="shared" ref="AG5:AG31" si="24">IFERROR((AE5/$AM5)*100,0)</f>
        <v>0.27548209366391191</v>
      </c>
      <c r="AH5" s="762">
        <f>'RRT - Subgrupo - IGEO'!BG4</f>
        <v>0</v>
      </c>
      <c r="AI5" s="768">
        <f t="shared" ref="AI5:AI30" si="25">$AM5*AH36</f>
        <v>0</v>
      </c>
      <c r="AJ5" s="763">
        <f t="shared" ref="AJ5:AJ30" si="26">IFERROR(AI5/AI$31*100,)</f>
        <v>0</v>
      </c>
      <c r="AK5" s="765">
        <f t="shared" ref="AK5:AK31" si="27">IFERROR((AI5/$AM5)*100,0)</f>
        <v>0</v>
      </c>
      <c r="AL5" s="769">
        <f t="shared" si="0"/>
        <v>2904</v>
      </c>
      <c r="AM5" s="761">
        <f>'RRT - Atividades '!I4</f>
        <v>1820.9991500613842</v>
      </c>
      <c r="AN5" s="723">
        <f t="shared" ref="AN5:AN31" si="28">C5+G5+K5+O5+S5+W5+AA5+AE5+AI5</f>
        <v>1820.9991500613844</v>
      </c>
      <c r="AO5" s="723">
        <f t="shared" ref="AO5:AO31" si="29">AM5-AN5</f>
        <v>0</v>
      </c>
      <c r="AP5" s="770" t="str">
        <f>B2</f>
        <v>ARQUITETURA DAS EDIFICAÇÕES</v>
      </c>
      <c r="AQ5" s="771">
        <f>C31</f>
        <v>139133.26483269359</v>
      </c>
      <c r="AR5" s="39">
        <f>AQ5/$AQ$14</f>
        <v>0.50221065007344379</v>
      </c>
    </row>
    <row r="6" spans="1:44" ht="15.75">
      <c r="A6" s="768" t="s">
        <v>90</v>
      </c>
      <c r="B6" s="762">
        <f>'RRT - Subgrupo - IGEO'!AI5</f>
        <v>1196</v>
      </c>
      <c r="C6" s="768">
        <f t="shared" si="1"/>
        <v>798.70923209663499</v>
      </c>
      <c r="D6" s="765">
        <f t="shared" si="2"/>
        <v>0.5740605836117445</v>
      </c>
      <c r="E6" s="763">
        <f t="shared" si="3"/>
        <v>52.204277608031425</v>
      </c>
      <c r="F6" s="762">
        <f>'RRT - Subgrupo - IGEO'!AL5</f>
        <v>171</v>
      </c>
      <c r="G6" s="768">
        <f t="shared" si="4"/>
        <v>114.1967213114754</v>
      </c>
      <c r="H6" s="765">
        <f t="shared" si="5"/>
        <v>0.31468111174885616</v>
      </c>
      <c r="I6" s="765">
        <f t="shared" si="6"/>
        <v>7.4639895242252283</v>
      </c>
      <c r="J6" s="762">
        <f>'RRT - Subgrupo - IGEO'!AO5</f>
        <v>51</v>
      </c>
      <c r="K6" s="768">
        <f t="shared" si="7"/>
        <v>34.058671268334777</v>
      </c>
      <c r="L6" s="765">
        <f t="shared" si="8"/>
        <v>0.82076070796974543</v>
      </c>
      <c r="M6" s="765">
        <f t="shared" si="9"/>
        <v>2.2261021388040163</v>
      </c>
      <c r="N6" s="762">
        <f>'RRT - Subgrupo - IGEO'!AR5</f>
        <v>226</v>
      </c>
      <c r="O6" s="768">
        <f t="shared" si="10"/>
        <v>150.92666091458153</v>
      </c>
      <c r="P6" s="765">
        <f t="shared" si="11"/>
        <v>0.46422670981062403</v>
      </c>
      <c r="Q6" s="765">
        <f t="shared" si="12"/>
        <v>9.8646879092099518</v>
      </c>
      <c r="R6" s="762">
        <f>'RRT - Subgrupo - IGEO'!AU5</f>
        <v>573</v>
      </c>
      <c r="S6" s="768">
        <f t="shared" si="13"/>
        <v>382.65918895599651</v>
      </c>
      <c r="T6" s="765">
        <f t="shared" si="14"/>
        <v>0.63512636798033051</v>
      </c>
      <c r="U6" s="765">
        <f t="shared" si="15"/>
        <v>25.010912265386292</v>
      </c>
      <c r="V6" s="762">
        <f>'RRT - Subgrupo - IGEO'!AX5</f>
        <v>13</v>
      </c>
      <c r="W6" s="768">
        <f t="shared" si="16"/>
        <v>8.6816220880069022</v>
      </c>
      <c r="X6" s="765">
        <f t="shared" si="17"/>
        <v>1.6120894008391131</v>
      </c>
      <c r="Y6" s="765">
        <f t="shared" si="18"/>
        <v>0.56743780008729805</v>
      </c>
      <c r="Z6" s="762">
        <f>'RRT - Subgrupo - IGEO'!BA5</f>
        <v>23</v>
      </c>
      <c r="AA6" s="768">
        <f t="shared" si="19"/>
        <v>15.35979292493529</v>
      </c>
      <c r="AB6" s="765">
        <f t="shared" si="20"/>
        <v>1.0347348400151837</v>
      </c>
      <c r="AC6" s="765">
        <f t="shared" si="21"/>
        <v>1.003928415539066</v>
      </c>
      <c r="AD6" s="762">
        <f>'RRT - Subgrupo - IGEO'!BD5</f>
        <v>31</v>
      </c>
      <c r="AE6" s="768">
        <f t="shared" si="22"/>
        <v>20.702329594477998</v>
      </c>
      <c r="AF6" s="765">
        <f t="shared" si="23"/>
        <v>0.8521844095804082</v>
      </c>
      <c r="AG6" s="765">
        <f t="shared" si="24"/>
        <v>1.35312090790048</v>
      </c>
      <c r="AH6" s="762">
        <f>'RRT - Subgrupo - IGEO'!BG5</f>
        <v>7</v>
      </c>
      <c r="AI6" s="768">
        <f t="shared" si="25"/>
        <v>4.6747195858498714</v>
      </c>
      <c r="AJ6" s="765">
        <f t="shared" si="26"/>
        <v>1.8254866557356864</v>
      </c>
      <c r="AK6" s="765">
        <f t="shared" si="27"/>
        <v>0.30554343081623753</v>
      </c>
      <c r="AL6" s="769">
        <f t="shared" si="0"/>
        <v>2291</v>
      </c>
      <c r="AM6" s="761">
        <f>'RRT - Atividades '!I5</f>
        <v>1529.9689387402934</v>
      </c>
      <c r="AN6" s="723">
        <f t="shared" si="28"/>
        <v>1529.9689387402934</v>
      </c>
      <c r="AO6" s="723">
        <f t="shared" si="29"/>
        <v>0</v>
      </c>
      <c r="AP6" s="770" t="str">
        <f>F2</f>
        <v>SISTEMAS CONSTRUTIVOS E ESTRUTURAIS</v>
      </c>
      <c r="AQ6" s="771">
        <f>G31</f>
        <v>36289.665012565056</v>
      </c>
      <c r="AR6" s="39">
        <f t="shared" ref="AR6:AR13" si="30">AQ6/$AQ$14</f>
        <v>0.13098992738237875</v>
      </c>
    </row>
    <row r="7" spans="1:44" ht="15.75">
      <c r="A7" s="768" t="s">
        <v>89</v>
      </c>
      <c r="B7" s="762">
        <f>'RRT - Subgrupo - IGEO'!AI6</f>
        <v>1025</v>
      </c>
      <c r="C7" s="768">
        <f t="shared" si="1"/>
        <v>524.3137700940249</v>
      </c>
      <c r="D7" s="765">
        <f t="shared" si="2"/>
        <v>0.37684285690018643</v>
      </c>
      <c r="E7" s="763">
        <f t="shared" si="3"/>
        <v>44.507164567954845</v>
      </c>
      <c r="F7" s="762">
        <f>'RRT - Subgrupo - IGEO'!AL6</f>
        <v>408</v>
      </c>
      <c r="G7" s="768">
        <f t="shared" si="4"/>
        <v>208.70245677888988</v>
      </c>
      <c r="H7" s="765">
        <f t="shared" si="5"/>
        <v>0.57510163487766575</v>
      </c>
      <c r="I7" s="765">
        <f t="shared" si="6"/>
        <v>17.716022579244463</v>
      </c>
      <c r="J7" s="762">
        <f>'RRT - Subgrupo - IGEO'!AO6</f>
        <v>24</v>
      </c>
      <c r="K7" s="768">
        <f t="shared" si="7"/>
        <v>12.27661510464058</v>
      </c>
      <c r="L7" s="765">
        <f t="shared" si="8"/>
        <v>0.29584722273428621</v>
      </c>
      <c r="M7" s="765">
        <f t="shared" si="9"/>
        <v>1.0421189752496742</v>
      </c>
      <c r="N7" s="762">
        <f>'RRT - Subgrupo - IGEO'!AR6</f>
        <v>16</v>
      </c>
      <c r="O7" s="768">
        <f t="shared" si="10"/>
        <v>8.1844100697603874</v>
      </c>
      <c r="P7" s="765">
        <f t="shared" si="11"/>
        <v>2.517396022281395E-2</v>
      </c>
      <c r="Q7" s="765">
        <f t="shared" si="12"/>
        <v>0.69474598349978278</v>
      </c>
      <c r="R7" s="762">
        <f>'RRT - Subgrupo - IGEO'!AU6</f>
        <v>775</v>
      </c>
      <c r="S7" s="768">
        <f t="shared" si="13"/>
        <v>396.43236275401881</v>
      </c>
      <c r="T7" s="765">
        <f t="shared" si="14"/>
        <v>0.65798667318759863</v>
      </c>
      <c r="U7" s="765">
        <f t="shared" si="15"/>
        <v>33.651758575770735</v>
      </c>
      <c r="V7" s="762">
        <f>'RRT - Subgrupo - IGEO'!AX6</f>
        <v>14</v>
      </c>
      <c r="W7" s="768">
        <f t="shared" si="16"/>
        <v>7.1613588110403397</v>
      </c>
      <c r="X7" s="765">
        <f t="shared" si="17"/>
        <v>1.3297918888720404</v>
      </c>
      <c r="Y7" s="765">
        <f t="shared" si="18"/>
        <v>0.60790273556231</v>
      </c>
      <c r="Z7" s="762">
        <f>'RRT - Subgrupo - IGEO'!BA6</f>
        <v>12</v>
      </c>
      <c r="AA7" s="768">
        <f t="shared" si="19"/>
        <v>6.1383075523202901</v>
      </c>
      <c r="AB7" s="765">
        <f t="shared" si="20"/>
        <v>0.41351603593580916</v>
      </c>
      <c r="AC7" s="765">
        <f t="shared" si="21"/>
        <v>0.52105948762483711</v>
      </c>
      <c r="AD7" s="762">
        <f>'RRT - Subgrupo - IGEO'!BD6</f>
        <v>28</v>
      </c>
      <c r="AE7" s="768">
        <f t="shared" si="22"/>
        <v>14.322717622080679</v>
      </c>
      <c r="AF7" s="765">
        <f t="shared" si="23"/>
        <v>0.58957599938971961</v>
      </c>
      <c r="AG7" s="765">
        <f t="shared" si="24"/>
        <v>1.21580547112462</v>
      </c>
      <c r="AH7" s="762">
        <f>'RRT - Subgrupo - IGEO'!BG6</f>
        <v>1</v>
      </c>
      <c r="AI7" s="768">
        <f t="shared" si="25"/>
        <v>0.51152562936002421</v>
      </c>
      <c r="AJ7" s="765">
        <f t="shared" si="26"/>
        <v>0.19975170559749406</v>
      </c>
      <c r="AK7" s="765">
        <f t="shared" si="27"/>
        <v>4.3421623968736424E-2</v>
      </c>
      <c r="AL7" s="769">
        <f t="shared" si="0"/>
        <v>2303</v>
      </c>
      <c r="AM7" s="761">
        <f>'RRT - Atividades '!I6</f>
        <v>1178.0435244161358</v>
      </c>
      <c r="AN7" s="723">
        <f t="shared" si="28"/>
        <v>1178.0435244161361</v>
      </c>
      <c r="AO7" s="723">
        <f t="shared" si="29"/>
        <v>0</v>
      </c>
      <c r="AP7" s="770" t="str">
        <f>J2</f>
        <v>CONFORTO AMBIENTAL</v>
      </c>
      <c r="AQ7" s="771">
        <f>K31</f>
        <v>4149.6468992263499</v>
      </c>
      <c r="AR7" s="39">
        <f t="shared" si="30"/>
        <v>1.4978422804508337E-2</v>
      </c>
    </row>
    <row r="8" spans="1:44" ht="15.75">
      <c r="A8" s="768" t="s">
        <v>91</v>
      </c>
      <c r="B8" s="762">
        <f>'RRT - Subgrupo - IGEO'!AI7</f>
        <v>3436</v>
      </c>
      <c r="C8" s="768">
        <f t="shared" si="1"/>
        <v>2380.4803754956711</v>
      </c>
      <c r="D8" s="765">
        <f t="shared" si="2"/>
        <v>1.7109354677748532</v>
      </c>
      <c r="E8" s="763">
        <f t="shared" si="3"/>
        <v>54.896948394312197</v>
      </c>
      <c r="F8" s="762">
        <f>'RRT - Subgrupo - IGEO'!AL7</f>
        <v>936</v>
      </c>
      <c r="G8" s="768">
        <f t="shared" si="4"/>
        <v>648.46613255644581</v>
      </c>
      <c r="H8" s="765">
        <f t="shared" si="5"/>
        <v>1.786916832469847</v>
      </c>
      <c r="I8" s="765">
        <f t="shared" si="6"/>
        <v>14.954465569579806</v>
      </c>
      <c r="J8" s="762">
        <f>'RRT - Subgrupo - IGEO'!AO7</f>
        <v>104</v>
      </c>
      <c r="K8" s="768">
        <f t="shared" si="7"/>
        <v>72.051792506271752</v>
      </c>
      <c r="L8" s="765">
        <f t="shared" si="8"/>
        <v>1.7363355065151427</v>
      </c>
      <c r="M8" s="765">
        <f t="shared" si="9"/>
        <v>1.6616072855088673</v>
      </c>
      <c r="N8" s="762">
        <f>'RRT - Subgrupo - IGEO'!AR7</f>
        <v>347</v>
      </c>
      <c r="O8" s="768">
        <f t="shared" si="10"/>
        <v>240.40357691996442</v>
      </c>
      <c r="P8" s="765">
        <f t="shared" si="11"/>
        <v>0.73944365338753826</v>
      </c>
      <c r="Q8" s="765">
        <f t="shared" si="12"/>
        <v>5.544016616072855</v>
      </c>
      <c r="R8" s="762">
        <f>'RRT - Subgrupo - IGEO'!AU7</f>
        <v>1304</v>
      </c>
      <c r="S8" s="768">
        <f t="shared" si="13"/>
        <v>903.41862911709973</v>
      </c>
      <c r="T8" s="765">
        <f t="shared" si="14"/>
        <v>1.4994674353498789</v>
      </c>
      <c r="U8" s="765">
        <f t="shared" si="15"/>
        <v>20.833999041380412</v>
      </c>
      <c r="V8" s="762">
        <f>'RRT - Subgrupo - IGEO'!AX7</f>
        <v>23</v>
      </c>
      <c r="W8" s="768">
        <f t="shared" si="16"/>
        <v>15.93453103504087</v>
      </c>
      <c r="X8" s="765">
        <f t="shared" si="17"/>
        <v>2.958881223869148</v>
      </c>
      <c r="Y8" s="765">
        <f t="shared" si="18"/>
        <v>0.36747084198753793</v>
      </c>
      <c r="Z8" s="762">
        <f>'RRT - Subgrupo - IGEO'!BA7</f>
        <v>45</v>
      </c>
      <c r="AA8" s="768">
        <f t="shared" si="19"/>
        <v>31.17625637290605</v>
      </c>
      <c r="AB8" s="765">
        <f t="shared" si="20"/>
        <v>2.1002339554930685</v>
      </c>
      <c r="AC8" s="765">
        <f t="shared" si="21"/>
        <v>0.718964690845183</v>
      </c>
      <c r="AD8" s="762">
        <f>'RRT - Subgrupo - IGEO'!BD7</f>
        <v>49</v>
      </c>
      <c r="AE8" s="768">
        <f t="shared" si="22"/>
        <v>33.947479161608804</v>
      </c>
      <c r="AF8" s="765">
        <f t="shared" si="23"/>
        <v>1.3974037247380739</v>
      </c>
      <c r="AG8" s="765">
        <f t="shared" si="24"/>
        <v>0.7828726633647547</v>
      </c>
      <c r="AH8" s="762">
        <f>'RRT - Subgrupo - IGEO'!BG7</f>
        <v>15</v>
      </c>
      <c r="AI8" s="768">
        <f t="shared" si="25"/>
        <v>10.39208545763535</v>
      </c>
      <c r="AJ8" s="765">
        <f t="shared" si="26"/>
        <v>4.0581286170835273</v>
      </c>
      <c r="AK8" s="765">
        <f t="shared" si="27"/>
        <v>0.23965489694839434</v>
      </c>
      <c r="AL8" s="769">
        <f t="shared" si="0"/>
        <v>6259</v>
      </c>
      <c r="AM8" s="761">
        <f>'RRT - Atividades '!I7</f>
        <v>4336.2708586226436</v>
      </c>
      <c r="AN8" s="723">
        <f t="shared" si="28"/>
        <v>4336.2708586226436</v>
      </c>
      <c r="AO8" s="723">
        <f t="shared" si="29"/>
        <v>0</v>
      </c>
      <c r="AP8" s="770" t="str">
        <f>N2</f>
        <v>ARQUITETURA DE INTERIORES</v>
      </c>
      <c r="AQ8" s="771">
        <f>O31</f>
        <v>32511.412576012772</v>
      </c>
      <c r="AR8" s="39">
        <f t="shared" si="30"/>
        <v>0.11735207726375907</v>
      </c>
    </row>
    <row r="9" spans="1:44" ht="15.75">
      <c r="A9" s="768" t="s">
        <v>92</v>
      </c>
      <c r="B9" s="762">
        <f>'RRT - Subgrupo - IGEO'!AI8</f>
        <v>2157</v>
      </c>
      <c r="C9" s="768">
        <f t="shared" si="1"/>
        <v>1343.6393388970707</v>
      </c>
      <c r="D9" s="765">
        <f t="shared" si="2"/>
        <v>0.96572113111324176</v>
      </c>
      <c r="E9" s="763">
        <f t="shared" si="3"/>
        <v>45.573631945911686</v>
      </c>
      <c r="F9" s="762">
        <f>'RRT - Subgrupo - IGEO'!AL8</f>
        <v>922</v>
      </c>
      <c r="G9" s="768">
        <f t="shared" si="4"/>
        <v>574.33262422953135</v>
      </c>
      <c r="H9" s="765">
        <f t="shared" si="5"/>
        <v>1.5826341302149591</v>
      </c>
      <c r="I9" s="765">
        <f t="shared" si="6"/>
        <v>19.480245087682231</v>
      </c>
      <c r="J9" s="762">
        <f>'RRT - Subgrupo - IGEO'!AO8</f>
        <v>125</v>
      </c>
      <c r="K9" s="768">
        <f t="shared" si="7"/>
        <v>77.865052091856199</v>
      </c>
      <c r="L9" s="765">
        <f t="shared" si="8"/>
        <v>1.8764259702764872</v>
      </c>
      <c r="M9" s="765">
        <f t="shared" si="9"/>
        <v>2.6410310585252481</v>
      </c>
      <c r="N9" s="762">
        <f>'RRT - Subgrupo - IGEO'!AR8</f>
        <v>270</v>
      </c>
      <c r="O9" s="768">
        <f t="shared" si="10"/>
        <v>168.1885125184094</v>
      </c>
      <c r="P9" s="765">
        <f t="shared" si="11"/>
        <v>0.51732145481276459</v>
      </c>
      <c r="Q9" s="765">
        <f t="shared" si="12"/>
        <v>5.7046270864145363</v>
      </c>
      <c r="R9" s="762">
        <f>'RRT - Subgrupo - IGEO'!AU8</f>
        <v>1207</v>
      </c>
      <c r="S9" s="768">
        <f t="shared" si="13"/>
        <v>751.86494299896344</v>
      </c>
      <c r="T9" s="765">
        <f t="shared" si="14"/>
        <v>1.2479231238677582</v>
      </c>
      <c r="U9" s="765">
        <f t="shared" si="15"/>
        <v>25.501795901119795</v>
      </c>
      <c r="V9" s="762">
        <f>'RRT - Subgrupo - IGEO'!AX8</f>
        <v>12</v>
      </c>
      <c r="W9" s="768">
        <f t="shared" si="16"/>
        <v>7.475045000818195</v>
      </c>
      <c r="X9" s="765">
        <f t="shared" si="17"/>
        <v>1.3880402411504775</v>
      </c>
      <c r="Y9" s="765">
        <f t="shared" si="18"/>
        <v>0.25353898161842381</v>
      </c>
      <c r="Z9" s="762">
        <f>'RRT - Subgrupo - IGEO'!BA8</f>
        <v>9</v>
      </c>
      <c r="AA9" s="768">
        <f t="shared" si="19"/>
        <v>5.6062837506136471</v>
      </c>
      <c r="AB9" s="765">
        <f t="shared" si="20"/>
        <v>0.377675477014634</v>
      </c>
      <c r="AC9" s="765">
        <f t="shared" si="21"/>
        <v>0.19015423621381791</v>
      </c>
      <c r="AD9" s="762">
        <f>'RRT - Subgrupo - IGEO'!BD8</f>
        <v>28</v>
      </c>
      <c r="AE9" s="768">
        <f t="shared" si="22"/>
        <v>17.44177166857579</v>
      </c>
      <c r="AF9" s="765">
        <f t="shared" si="23"/>
        <v>0.71796779312151282</v>
      </c>
      <c r="AG9" s="765">
        <f t="shared" si="24"/>
        <v>0.59159095710965559</v>
      </c>
      <c r="AH9" s="762">
        <f>'RRT - Subgrupo - IGEO'!BG8</f>
        <v>3</v>
      </c>
      <c r="AI9" s="768">
        <f t="shared" si="25"/>
        <v>1.8687612502045488</v>
      </c>
      <c r="AJ9" s="765">
        <f t="shared" si="26"/>
        <v>0.72975472910299599</v>
      </c>
      <c r="AK9" s="765">
        <f t="shared" si="27"/>
        <v>6.3384745404605952E-2</v>
      </c>
      <c r="AL9" s="769">
        <f t="shared" si="0"/>
        <v>4733</v>
      </c>
      <c r="AM9" s="761">
        <f>'RRT - Atividades '!I8</f>
        <v>2948.2823324060432</v>
      </c>
      <c r="AN9" s="723">
        <f t="shared" si="28"/>
        <v>2948.2823324060428</v>
      </c>
      <c r="AO9" s="723">
        <f t="shared" si="29"/>
        <v>0</v>
      </c>
      <c r="AP9" s="770" t="str">
        <f>R2</f>
        <v>INSTALAÇÕES E EQUIPAMENTOS REFERENTES À ARQUITETURA</v>
      </c>
      <c r="AQ9" s="771">
        <f>S31</f>
        <v>60249.29970595194</v>
      </c>
      <c r="AR9" s="39">
        <f t="shared" si="30"/>
        <v>0.21747380116595863</v>
      </c>
    </row>
    <row r="10" spans="1:44" ht="15.75">
      <c r="A10" s="768" t="s">
        <v>93</v>
      </c>
      <c r="B10" s="762">
        <f>'RRT - Subgrupo - IGEO'!AI9</f>
        <v>2886</v>
      </c>
      <c r="C10" s="768">
        <f t="shared" si="1"/>
        <v>2277.9888006609449</v>
      </c>
      <c r="D10" s="765">
        <f t="shared" si="2"/>
        <v>1.6372711467672409</v>
      </c>
      <c r="E10" s="763">
        <f t="shared" si="3"/>
        <v>42.248572683355292</v>
      </c>
      <c r="F10" s="762">
        <f>'RRT - Subgrupo - IGEO'!AL9</f>
        <v>854</v>
      </c>
      <c r="G10" s="768">
        <f t="shared" si="4"/>
        <v>674.082618074999</v>
      </c>
      <c r="H10" s="765">
        <f t="shared" si="5"/>
        <v>1.8575057605012399</v>
      </c>
      <c r="I10" s="765">
        <f t="shared" si="6"/>
        <v>12.501829893134243</v>
      </c>
      <c r="J10" s="762">
        <f>'RRT - Subgrupo - IGEO'!AO9</f>
        <v>244</v>
      </c>
      <c r="K10" s="768">
        <f t="shared" si="7"/>
        <v>192.595033735714</v>
      </c>
      <c r="L10" s="765">
        <f t="shared" si="8"/>
        <v>4.6412390840199187</v>
      </c>
      <c r="M10" s="765">
        <f t="shared" si="9"/>
        <v>3.5719513980383546</v>
      </c>
      <c r="N10" s="762">
        <f>'RRT - Subgrupo - IGEO'!AR9</f>
        <v>1587</v>
      </c>
      <c r="O10" s="768">
        <f t="shared" si="10"/>
        <v>1252.6570431908938</v>
      </c>
      <c r="P10" s="765">
        <f t="shared" si="11"/>
        <v>3.8529763671822614</v>
      </c>
      <c r="Q10" s="765">
        <f t="shared" si="12"/>
        <v>23.232323232323232</v>
      </c>
      <c r="R10" s="762">
        <f>'RRT - Subgrupo - IGEO'!AU9</f>
        <v>1211</v>
      </c>
      <c r="S10" s="768">
        <f t="shared" si="13"/>
        <v>955.87125349979362</v>
      </c>
      <c r="T10" s="765">
        <f t="shared" si="14"/>
        <v>1.5865267449828375</v>
      </c>
      <c r="U10" s="765">
        <f t="shared" si="15"/>
        <v>17.728004684526425</v>
      </c>
      <c r="V10" s="762">
        <f>'RRT - Subgrupo - IGEO'!AX9</f>
        <v>14</v>
      </c>
      <c r="W10" s="768">
        <f t="shared" si="16"/>
        <v>11.050534722540965</v>
      </c>
      <c r="X10" s="765">
        <f t="shared" si="17"/>
        <v>2.051972513802736</v>
      </c>
      <c r="Y10" s="765">
        <f t="shared" si="18"/>
        <v>0.20494803103498754</v>
      </c>
      <c r="Z10" s="762">
        <f>'RRT - Subgrupo - IGEO'!BA9</f>
        <v>6</v>
      </c>
      <c r="AA10" s="768">
        <f t="shared" si="19"/>
        <v>4.7359434525175574</v>
      </c>
      <c r="AB10" s="765">
        <f t="shared" si="20"/>
        <v>0.31904373415778692</v>
      </c>
      <c r="AC10" s="765">
        <f t="shared" si="21"/>
        <v>8.7834870443566096E-2</v>
      </c>
      <c r="AD10" s="762">
        <f>'RRT - Subgrupo - IGEO'!BD9</f>
        <v>26</v>
      </c>
      <c r="AE10" s="768">
        <f t="shared" si="22"/>
        <v>20.52242162757608</v>
      </c>
      <c r="AF10" s="765">
        <f t="shared" si="23"/>
        <v>0.84477873265629932</v>
      </c>
      <c r="AG10" s="765">
        <f t="shared" si="24"/>
        <v>0.38061777192211976</v>
      </c>
      <c r="AH10" s="762">
        <f>'RRT - Subgrupo - IGEO'!BG9</f>
        <v>3</v>
      </c>
      <c r="AI10" s="768">
        <f t="shared" si="25"/>
        <v>2.3679717262587787</v>
      </c>
      <c r="AJ10" s="765">
        <f t="shared" si="26"/>
        <v>0.92469734452722774</v>
      </c>
      <c r="AK10" s="765">
        <f t="shared" si="27"/>
        <v>4.3917435221783048E-2</v>
      </c>
      <c r="AL10" s="769">
        <f t="shared" si="0"/>
        <v>6831</v>
      </c>
      <c r="AM10" s="761">
        <f>'RRT - Atividades '!I9</f>
        <v>5391.8716206912386</v>
      </c>
      <c r="AN10" s="723">
        <f t="shared" si="28"/>
        <v>5391.8716206912395</v>
      </c>
      <c r="AO10" s="723">
        <f t="shared" si="29"/>
        <v>0</v>
      </c>
      <c r="AP10" s="770" t="str">
        <f>V2</f>
        <v>ARQUITETURA PAISAGÍSTICA</v>
      </c>
      <c r="AQ10" s="771">
        <f>W31</f>
        <v>538.53229749466789</v>
      </c>
      <c r="AR10" s="39">
        <f t="shared" si="30"/>
        <v>1.9438676691412647E-3</v>
      </c>
    </row>
    <row r="11" spans="1:44" ht="15.75">
      <c r="A11" s="768" t="s">
        <v>94</v>
      </c>
      <c r="B11" s="762">
        <f>'RRT - Subgrupo - IGEO'!AI10</f>
        <v>2905</v>
      </c>
      <c r="C11" s="768">
        <f t="shared" si="1"/>
        <v>2152.8692063839094</v>
      </c>
      <c r="D11" s="765">
        <f t="shared" si="2"/>
        <v>1.5473432676022616</v>
      </c>
      <c r="E11" s="763">
        <f t="shared" si="3"/>
        <v>57.2301024428684</v>
      </c>
      <c r="F11" s="762">
        <f>'RRT - Subgrupo - IGEO'!AL10</f>
        <v>393</v>
      </c>
      <c r="G11" s="768">
        <f t="shared" si="4"/>
        <v>291.24874289462178</v>
      </c>
      <c r="H11" s="765">
        <f t="shared" si="5"/>
        <v>0.80256663376137205</v>
      </c>
      <c r="I11" s="765">
        <f t="shared" si="6"/>
        <v>7.7423167848699768</v>
      </c>
      <c r="J11" s="762">
        <f>'RRT - Subgrupo - IGEO'!AO10</f>
        <v>99</v>
      </c>
      <c r="K11" s="768">
        <f t="shared" si="7"/>
        <v>73.36800393528641</v>
      </c>
      <c r="L11" s="765">
        <f t="shared" si="8"/>
        <v>1.7680541433287966</v>
      </c>
      <c r="M11" s="765">
        <f t="shared" si="9"/>
        <v>1.9503546099290781</v>
      </c>
      <c r="N11" s="762">
        <f>'RRT - Subgrupo - IGEO'!AR10</f>
        <v>765</v>
      </c>
      <c r="O11" s="768">
        <f t="shared" si="10"/>
        <v>566.9345758635767</v>
      </c>
      <c r="P11" s="765">
        <f t="shared" si="11"/>
        <v>1.7438017328163291</v>
      </c>
      <c r="Q11" s="765">
        <f t="shared" si="12"/>
        <v>15.070921985815602</v>
      </c>
      <c r="R11" s="762">
        <f>'RRT - Subgrupo - IGEO'!AU10</f>
        <v>865</v>
      </c>
      <c r="S11" s="768">
        <f t="shared" si="13"/>
        <v>641.04367074770437</v>
      </c>
      <c r="T11" s="765">
        <f t="shared" si="14"/>
        <v>1.0639852643538303</v>
      </c>
      <c r="U11" s="765">
        <f t="shared" si="15"/>
        <v>17.040977147360124</v>
      </c>
      <c r="V11" s="762">
        <f>'RRT - Subgrupo - IGEO'!AX10</f>
        <v>9</v>
      </c>
      <c r="W11" s="768">
        <f t="shared" si="16"/>
        <v>6.6698185395714908</v>
      </c>
      <c r="X11" s="765">
        <f t="shared" si="17"/>
        <v>1.2385178327466106</v>
      </c>
      <c r="Y11" s="765">
        <f t="shared" si="18"/>
        <v>0.1773049645390071</v>
      </c>
      <c r="Z11" s="762">
        <f>'RRT - Subgrupo - IGEO'!BA10</f>
        <v>13</v>
      </c>
      <c r="AA11" s="768">
        <f t="shared" si="19"/>
        <v>9.6341823349365985</v>
      </c>
      <c r="AB11" s="765">
        <f t="shared" si="20"/>
        <v>0.64902073652530878</v>
      </c>
      <c r="AC11" s="765">
        <f t="shared" si="21"/>
        <v>0.256107171000788</v>
      </c>
      <c r="AD11" s="762">
        <f>'RRT - Subgrupo - IGEO'!BD10</f>
        <v>20</v>
      </c>
      <c r="AE11" s="768">
        <f t="shared" si="22"/>
        <v>14.821818976825535</v>
      </c>
      <c r="AF11" s="765">
        <f t="shared" si="23"/>
        <v>0.6101208560143323</v>
      </c>
      <c r="AG11" s="765">
        <f t="shared" si="24"/>
        <v>0.39401103230890461</v>
      </c>
      <c r="AH11" s="762">
        <f>'RRT - Subgrupo - IGEO'!BG10</f>
        <v>7</v>
      </c>
      <c r="AI11" s="768">
        <f t="shared" si="25"/>
        <v>5.1876366418889379</v>
      </c>
      <c r="AJ11" s="765">
        <f t="shared" si="26"/>
        <v>2.0257817160282334</v>
      </c>
      <c r="AK11" s="765">
        <f t="shared" si="27"/>
        <v>0.13790386130811663</v>
      </c>
      <c r="AL11" s="769">
        <f t="shared" si="0"/>
        <v>5076</v>
      </c>
      <c r="AM11" s="761">
        <f>'RRT - Atividades '!I10</f>
        <v>3761.7776563183211</v>
      </c>
      <c r="AN11" s="723">
        <f t="shared" si="28"/>
        <v>3761.7776563183211</v>
      </c>
      <c r="AO11" s="723">
        <f t="shared" si="29"/>
        <v>0</v>
      </c>
      <c r="AP11" s="770" t="str">
        <f>Z2</f>
        <v>URBANISMO E DESENHO URBANO</v>
      </c>
      <c r="AQ11" s="771">
        <f>AA31</f>
        <v>1484.4182616591804</v>
      </c>
      <c r="AR11" s="39">
        <f t="shared" si="30"/>
        <v>5.3581051308268643E-3</v>
      </c>
    </row>
    <row r="12" spans="1:44" ht="15.75">
      <c r="A12" s="768" t="s">
        <v>95</v>
      </c>
      <c r="B12" s="762">
        <f>'RRT - Subgrupo - IGEO'!AI11</f>
        <v>7708</v>
      </c>
      <c r="C12" s="768">
        <f t="shared" si="1"/>
        <v>3931.516693863332</v>
      </c>
      <c r="D12" s="765">
        <f t="shared" si="2"/>
        <v>2.8257201457832122</v>
      </c>
      <c r="E12" s="763">
        <f t="shared" si="3"/>
        <v>39.719674327527571</v>
      </c>
      <c r="F12" s="762">
        <f>'RRT - Subgrupo - IGEO'!AL11</f>
        <v>4814</v>
      </c>
      <c r="G12" s="768">
        <f t="shared" si="4"/>
        <v>2455.4127353733884</v>
      </c>
      <c r="H12" s="765">
        <f t="shared" si="5"/>
        <v>6.766148804413648</v>
      </c>
      <c r="I12" s="765">
        <f t="shared" si="6"/>
        <v>24.806760795630215</v>
      </c>
      <c r="J12" s="762">
        <f>'RRT - Subgrupo - IGEO'!AO11</f>
        <v>182</v>
      </c>
      <c r="K12" s="768">
        <f t="shared" si="7"/>
        <v>92.830311142076596</v>
      </c>
      <c r="L12" s="765">
        <f t="shared" si="8"/>
        <v>2.237065306915238</v>
      </c>
      <c r="M12" s="765">
        <f t="shared" si="9"/>
        <v>0.93785427187467796</v>
      </c>
      <c r="N12" s="762">
        <f>'RRT - Subgrupo - IGEO'!AR11</f>
        <v>504</v>
      </c>
      <c r="O12" s="768">
        <f t="shared" si="10"/>
        <v>257.06855393190438</v>
      </c>
      <c r="P12" s="765">
        <f t="shared" si="11"/>
        <v>0.79070250586888369</v>
      </c>
      <c r="Q12" s="765">
        <f t="shared" si="12"/>
        <v>2.597134906729877</v>
      </c>
      <c r="R12" s="762">
        <f>'RRT - Subgrupo - IGEO'!AU11</f>
        <v>5709</v>
      </c>
      <c r="S12" s="768">
        <f t="shared" si="13"/>
        <v>2911.9134412643698</v>
      </c>
      <c r="T12" s="765">
        <f t="shared" si="14"/>
        <v>4.8331075306701141</v>
      </c>
      <c r="U12" s="765">
        <f t="shared" si="15"/>
        <v>29.418736473255695</v>
      </c>
      <c r="V12" s="762">
        <f>'RRT - Subgrupo - IGEO'!AX11</f>
        <v>40</v>
      </c>
      <c r="W12" s="768">
        <f t="shared" si="16"/>
        <v>20.402266185071781</v>
      </c>
      <c r="X12" s="765">
        <f t="shared" si="17"/>
        <v>3.7884944468486199</v>
      </c>
      <c r="Y12" s="765">
        <f t="shared" si="18"/>
        <v>0.20612181799443471</v>
      </c>
      <c r="Z12" s="762">
        <f>'RRT - Subgrupo - IGEO'!BA11</f>
        <v>91</v>
      </c>
      <c r="AA12" s="768">
        <f t="shared" si="19"/>
        <v>46.415155571038298</v>
      </c>
      <c r="AB12" s="765">
        <f t="shared" si="20"/>
        <v>3.1268246133780813</v>
      </c>
      <c r="AC12" s="765">
        <f t="shared" si="21"/>
        <v>0.46892713593733898</v>
      </c>
      <c r="AD12" s="762">
        <f>'RRT - Subgrupo - IGEO'!BD11</f>
        <v>348</v>
      </c>
      <c r="AE12" s="768">
        <f t="shared" si="22"/>
        <v>177.49971581012448</v>
      </c>
      <c r="AF12" s="765">
        <f t="shared" si="23"/>
        <v>7.3065444073834058</v>
      </c>
      <c r="AG12" s="765">
        <f t="shared" si="24"/>
        <v>1.7932598165515821</v>
      </c>
      <c r="AH12" s="762">
        <f>'RRT - Subgrupo - IGEO'!BG11</f>
        <v>10</v>
      </c>
      <c r="AI12" s="768">
        <f t="shared" si="25"/>
        <v>5.1005665462679453</v>
      </c>
      <c r="AJ12" s="765">
        <f t="shared" si="26"/>
        <v>1.9917806824366417</v>
      </c>
      <c r="AK12" s="765">
        <f t="shared" si="27"/>
        <v>5.1530454498608678E-2</v>
      </c>
      <c r="AL12" s="769">
        <f t="shared" si="0"/>
        <v>19406</v>
      </c>
      <c r="AM12" s="761">
        <f>'RRT - Atividades '!I11</f>
        <v>9898.1594396875735</v>
      </c>
      <c r="AN12" s="723">
        <f t="shared" si="28"/>
        <v>9898.1594396875735</v>
      </c>
      <c r="AO12" s="723">
        <f t="shared" si="29"/>
        <v>0</v>
      </c>
      <c r="AP12" s="770" t="str">
        <f>AD2</f>
        <v>INSTALAÇÕES E EQUIPAMENTOS REFERENTES AO URBANISMO</v>
      </c>
      <c r="AQ12" s="771">
        <f>AE31</f>
        <v>2429.3250805504931</v>
      </c>
      <c r="AR12" s="39">
        <f t="shared" si="30"/>
        <v>8.7688083033921633E-3</v>
      </c>
    </row>
    <row r="13" spans="1:44" ht="15.75">
      <c r="A13" s="768" t="s">
        <v>96</v>
      </c>
      <c r="B13" s="762">
        <f>'RRT - Subgrupo - IGEO'!AI12</f>
        <v>872</v>
      </c>
      <c r="C13" s="768">
        <f t="shared" si="1"/>
        <v>532.26435065816258</v>
      </c>
      <c r="D13" s="765">
        <f t="shared" si="2"/>
        <v>0.38255722044487733</v>
      </c>
      <c r="E13" s="763">
        <f t="shared" si="3"/>
        <v>50.375505488157138</v>
      </c>
      <c r="F13" s="762">
        <f>'RRT - Subgrupo - IGEO'!AL12</f>
        <v>164</v>
      </c>
      <c r="G13" s="768">
        <f t="shared" si="4"/>
        <v>100.10476319717736</v>
      </c>
      <c r="H13" s="765">
        <f t="shared" si="5"/>
        <v>0.27584923465817812</v>
      </c>
      <c r="I13" s="765">
        <f t="shared" si="6"/>
        <v>9.4742923165800121</v>
      </c>
      <c r="J13" s="762">
        <f>'RRT - Subgrupo - IGEO'!AO12</f>
        <v>51</v>
      </c>
      <c r="K13" s="768">
        <f t="shared" si="7"/>
        <v>31.130139774731983</v>
      </c>
      <c r="L13" s="765">
        <f t="shared" si="8"/>
        <v>0.75018767935497865</v>
      </c>
      <c r="M13" s="765">
        <f t="shared" si="9"/>
        <v>2.9462738301559792</v>
      </c>
      <c r="N13" s="762">
        <f>'RRT - Subgrupo - IGEO'!AR12</f>
        <v>232</v>
      </c>
      <c r="O13" s="768">
        <f t="shared" si="10"/>
        <v>141.61161623015332</v>
      </c>
      <c r="P13" s="765">
        <f t="shared" si="11"/>
        <v>0.43557509505027081</v>
      </c>
      <c r="Q13" s="765">
        <f t="shared" si="12"/>
        <v>13.40265742345465</v>
      </c>
      <c r="R13" s="762">
        <f>'RRT - Subgrupo - IGEO'!AU12</f>
        <v>348</v>
      </c>
      <c r="S13" s="768">
        <f t="shared" si="13"/>
        <v>212.41742434522999</v>
      </c>
      <c r="T13" s="765">
        <f t="shared" si="14"/>
        <v>0.35256413830855793</v>
      </c>
      <c r="U13" s="765">
        <f t="shared" si="15"/>
        <v>20.103986135181977</v>
      </c>
      <c r="V13" s="762">
        <f>'RRT - Subgrupo - IGEO'!AX12</f>
        <v>7</v>
      </c>
      <c r="W13" s="768">
        <f t="shared" si="16"/>
        <v>4.2727642828063503</v>
      </c>
      <c r="X13" s="765">
        <f t="shared" si="17"/>
        <v>0.79340910520759533</v>
      </c>
      <c r="Y13" s="765">
        <f t="shared" si="18"/>
        <v>0.40439052570768341</v>
      </c>
      <c r="Z13" s="762">
        <f>'RRT - Subgrupo - IGEO'!BA12</f>
        <v>32</v>
      </c>
      <c r="AA13" s="768">
        <f t="shared" si="19"/>
        <v>19.532636721400458</v>
      </c>
      <c r="AB13" s="765">
        <f t="shared" si="20"/>
        <v>1.3158445450252156</v>
      </c>
      <c r="AC13" s="765">
        <f t="shared" si="21"/>
        <v>1.8486424032351241</v>
      </c>
      <c r="AD13" s="762">
        <f>'RRT - Subgrupo - IGEO'!BD12</f>
        <v>19</v>
      </c>
      <c r="AE13" s="768">
        <f t="shared" si="22"/>
        <v>11.597503053331524</v>
      </c>
      <c r="AF13" s="765">
        <f t="shared" si="23"/>
        <v>0.47739609433841157</v>
      </c>
      <c r="AG13" s="765">
        <f t="shared" si="24"/>
        <v>1.0976314269208551</v>
      </c>
      <c r="AH13" s="762">
        <f>'RRT - Subgrupo - IGEO'!BG12</f>
        <v>6</v>
      </c>
      <c r="AI13" s="768">
        <f t="shared" si="25"/>
        <v>3.6623693852625858</v>
      </c>
      <c r="AJ13" s="765">
        <f t="shared" si="26"/>
        <v>1.4301620275596287</v>
      </c>
      <c r="AK13" s="765">
        <f t="shared" si="27"/>
        <v>0.34662045060658575</v>
      </c>
      <c r="AL13" s="769">
        <f t="shared" si="0"/>
        <v>1731</v>
      </c>
      <c r="AM13" s="761">
        <f>'RRT - Atividades '!I12</f>
        <v>1056.5935676482561</v>
      </c>
      <c r="AN13" s="723">
        <f t="shared" si="28"/>
        <v>1056.5935676482563</v>
      </c>
      <c r="AO13" s="723">
        <f t="shared" si="29"/>
        <v>0</v>
      </c>
      <c r="AP13" s="770" t="str">
        <f>AH2</f>
        <v>PATRIMÔNIO ARQUITETÔNICO,   URBANÍSTICO E PAISAGÍSTICO</v>
      </c>
      <c r="AQ13" s="771">
        <f>AI31</f>
        <v>256.0807317414172</v>
      </c>
      <c r="AR13" s="39">
        <f t="shared" si="30"/>
        <v>9.2434020659105747E-4</v>
      </c>
    </row>
    <row r="14" spans="1:44" ht="15.75">
      <c r="A14" s="768" t="s">
        <v>99</v>
      </c>
      <c r="B14" s="762">
        <f>'RRT - Subgrupo - IGEO'!AI13</f>
        <v>7421</v>
      </c>
      <c r="C14" s="768">
        <f t="shared" si="1"/>
        <v>5649.3750625407465</v>
      </c>
      <c r="D14" s="765">
        <f t="shared" si="2"/>
        <v>4.0604057335491017</v>
      </c>
      <c r="E14" s="763">
        <f t="shared" si="3"/>
        <v>62.116012388047203</v>
      </c>
      <c r="F14" s="762">
        <f>'RRT - Subgrupo - IGEO'!AL13</f>
        <v>1603</v>
      </c>
      <c r="G14" s="768">
        <f t="shared" si="4"/>
        <v>1220.3137347059449</v>
      </c>
      <c r="H14" s="765">
        <f t="shared" si="5"/>
        <v>3.3627032222078088</v>
      </c>
      <c r="I14" s="765">
        <f t="shared" si="6"/>
        <v>13.417594375156943</v>
      </c>
      <c r="J14" s="762">
        <f>'RRT - Subgrupo - IGEO'!AO13</f>
        <v>134</v>
      </c>
      <c r="K14" s="768">
        <f t="shared" si="7"/>
        <v>102.01000651939901</v>
      </c>
      <c r="L14" s="765">
        <f t="shared" si="8"/>
        <v>2.4582816079704881</v>
      </c>
      <c r="M14" s="765">
        <f t="shared" si="9"/>
        <v>1.1216204904997071</v>
      </c>
      <c r="N14" s="762">
        <f>'RRT - Subgrupo - IGEO'!AR13</f>
        <v>437</v>
      </c>
      <c r="O14" s="768">
        <f t="shared" si="10"/>
        <v>332.67442424609976</v>
      </c>
      <c r="P14" s="765">
        <f t="shared" si="11"/>
        <v>1.0232542909918043</v>
      </c>
      <c r="Q14" s="765">
        <f t="shared" si="12"/>
        <v>3.6578220473759102</v>
      </c>
      <c r="R14" s="762">
        <f>'RRT - Subgrupo - IGEO'!AU13</f>
        <v>2018</v>
      </c>
      <c r="S14" s="768">
        <f t="shared" si="13"/>
        <v>1536.2402474339342</v>
      </c>
      <c r="T14" s="765">
        <f t="shared" si="14"/>
        <v>2.5498059810347824</v>
      </c>
      <c r="U14" s="765">
        <f t="shared" si="15"/>
        <v>16.891269774838872</v>
      </c>
      <c r="V14" s="762">
        <f>'RRT - Subgrupo - IGEO'!AX13</f>
        <v>29</v>
      </c>
      <c r="W14" s="768">
        <f t="shared" si="16"/>
        <v>22.076792455690832</v>
      </c>
      <c r="X14" s="765">
        <f t="shared" si="17"/>
        <v>4.0994370362548995</v>
      </c>
      <c r="Y14" s="765">
        <f t="shared" si="18"/>
        <v>0.2427387628693396</v>
      </c>
      <c r="Z14" s="762">
        <f>'RRT - Subgrupo - IGEO'!BA13</f>
        <v>82</v>
      </c>
      <c r="AA14" s="768">
        <f t="shared" si="19"/>
        <v>62.424033840229249</v>
      </c>
      <c r="AB14" s="765">
        <f t="shared" si="20"/>
        <v>4.2052860337662494</v>
      </c>
      <c r="AC14" s="765">
        <f t="shared" si="21"/>
        <v>0.68636477776847749</v>
      </c>
      <c r="AD14" s="762">
        <f>'RRT - Subgrupo - IGEO'!BD13</f>
        <v>190</v>
      </c>
      <c r="AE14" s="768">
        <f t="shared" si="22"/>
        <v>144.64105402004336</v>
      </c>
      <c r="AF14" s="765">
        <f t="shared" si="23"/>
        <v>5.9539604303293654</v>
      </c>
      <c r="AG14" s="765">
        <f t="shared" si="24"/>
        <v>1.5903574119025696</v>
      </c>
      <c r="AH14" s="762">
        <f>'RRT - Subgrupo - IGEO'!BG13</f>
        <v>33</v>
      </c>
      <c r="AI14" s="768">
        <f t="shared" si="25"/>
        <v>25.121867277165425</v>
      </c>
      <c r="AJ14" s="765">
        <f t="shared" si="26"/>
        <v>9.8101356967898496</v>
      </c>
      <c r="AK14" s="765">
        <f t="shared" si="27"/>
        <v>0.27621997154097261</v>
      </c>
      <c r="AL14" s="769">
        <f t="shared" si="0"/>
        <v>11947</v>
      </c>
      <c r="AM14" s="761">
        <f>'RRT - Atividades '!I13</f>
        <v>9094.8772230392533</v>
      </c>
      <c r="AN14" s="723">
        <f t="shared" si="28"/>
        <v>9094.8772230392515</v>
      </c>
      <c r="AO14" s="723">
        <f t="shared" si="29"/>
        <v>0</v>
      </c>
      <c r="AP14" s="772" t="s">
        <v>128</v>
      </c>
      <c r="AQ14" s="772">
        <f>SUM(AQ5:AQ13)</f>
        <v>277041.64539789548</v>
      </c>
      <c r="AR14" s="773">
        <f>SUM(AR5:AR13)</f>
        <v>0.99999999999999989</v>
      </c>
    </row>
    <row r="15" spans="1:44" ht="15.75">
      <c r="A15" s="768" t="s">
        <v>98</v>
      </c>
      <c r="B15" s="762">
        <f>'RRT - Subgrupo - IGEO'!AI14</f>
        <v>5882</v>
      </c>
      <c r="C15" s="768">
        <f t="shared" si="1"/>
        <v>4664.5837912087909</v>
      </c>
      <c r="D15" s="765">
        <f t="shared" si="2"/>
        <v>3.3526014047164843</v>
      </c>
      <c r="E15" s="763">
        <f t="shared" si="3"/>
        <v>75.487679671457911</v>
      </c>
      <c r="F15" s="762">
        <f>'RRT - Subgrupo - IGEO'!AL14</f>
        <v>607</v>
      </c>
      <c r="G15" s="768">
        <f t="shared" si="4"/>
        <v>481.36728345184224</v>
      </c>
      <c r="H15" s="765">
        <f t="shared" si="5"/>
        <v>1.3264583271440284</v>
      </c>
      <c r="I15" s="765">
        <f t="shared" si="6"/>
        <v>7.7900410677618073</v>
      </c>
      <c r="J15" s="762">
        <f>'RRT - Subgrupo - IGEO'!AO14</f>
        <v>106</v>
      </c>
      <c r="K15" s="768">
        <f t="shared" si="7"/>
        <v>84.060843568196503</v>
      </c>
      <c r="L15" s="765">
        <f t="shared" si="8"/>
        <v>2.0257348543045577</v>
      </c>
      <c r="M15" s="765">
        <f t="shared" si="9"/>
        <v>1.3603696098562628</v>
      </c>
      <c r="N15" s="762">
        <f>'RRT - Subgrupo - IGEO'!AR14</f>
        <v>268</v>
      </c>
      <c r="O15" s="768">
        <f t="shared" si="10"/>
        <v>212.53118939883646</v>
      </c>
      <c r="P15" s="765">
        <f t="shared" si="11"/>
        <v>0.65371256601641481</v>
      </c>
      <c r="Q15" s="765">
        <f t="shared" si="12"/>
        <v>3.4394250513347027</v>
      </c>
      <c r="R15" s="762">
        <f>'RRT - Subgrupo - IGEO'!AU14</f>
        <v>829</v>
      </c>
      <c r="S15" s="768">
        <f t="shared" si="13"/>
        <v>657.41923884938581</v>
      </c>
      <c r="T15" s="765">
        <f t="shared" si="14"/>
        <v>1.0911649464108881</v>
      </c>
      <c r="U15" s="765">
        <f t="shared" si="15"/>
        <v>10.63911704312115</v>
      </c>
      <c r="V15" s="762">
        <f>'RRT - Subgrupo - IGEO'!AX14</f>
        <v>37</v>
      </c>
      <c r="W15" s="768">
        <f t="shared" si="16"/>
        <v>29.341992566257268</v>
      </c>
      <c r="X15" s="765">
        <f t="shared" si="17"/>
        <v>5.4485112040188808</v>
      </c>
      <c r="Y15" s="765">
        <f t="shared" si="18"/>
        <v>0.47484599589322385</v>
      </c>
      <c r="Z15" s="762">
        <f>'RRT - Subgrupo - IGEO'!BA14</f>
        <v>30</v>
      </c>
      <c r="AA15" s="768">
        <f t="shared" si="19"/>
        <v>23.790804783451836</v>
      </c>
      <c r="AB15" s="765">
        <f t="shared" si="20"/>
        <v>1.6027022435617382</v>
      </c>
      <c r="AC15" s="765">
        <f t="shared" si="21"/>
        <v>0.38501026694045171</v>
      </c>
      <c r="AD15" s="762">
        <f>'RRT - Subgrupo - IGEO'!BD14</f>
        <v>22</v>
      </c>
      <c r="AE15" s="768">
        <f t="shared" si="22"/>
        <v>17.446590174531352</v>
      </c>
      <c r="AF15" s="765">
        <f t="shared" si="23"/>
        <v>0.71816614063762496</v>
      </c>
      <c r="AG15" s="765">
        <f t="shared" si="24"/>
        <v>0.282340862422998</v>
      </c>
      <c r="AH15" s="762">
        <f>'RRT - Subgrupo - IGEO'!BG14</f>
        <v>11</v>
      </c>
      <c r="AI15" s="768">
        <f t="shared" si="25"/>
        <v>8.7232950872656758</v>
      </c>
      <c r="AJ15" s="765">
        <f t="shared" si="26"/>
        <v>3.406462886897013</v>
      </c>
      <c r="AK15" s="765">
        <f t="shared" si="27"/>
        <v>0.141170431211499</v>
      </c>
      <c r="AL15" s="769">
        <f t="shared" si="0"/>
        <v>7792</v>
      </c>
      <c r="AM15" s="761">
        <f>'RRT - Atividades '!I14</f>
        <v>6179.2650290885576</v>
      </c>
      <c r="AN15" s="723">
        <f t="shared" si="28"/>
        <v>6179.2650290885576</v>
      </c>
      <c r="AO15" s="723">
        <f t="shared" si="29"/>
        <v>0</v>
      </c>
    </row>
    <row r="16" spans="1:44" ht="15.75">
      <c r="A16" s="768" t="s">
        <v>97</v>
      </c>
      <c r="B16" s="762">
        <f>'RRT - Subgrupo - IGEO'!AI15</f>
        <v>10630</v>
      </c>
      <c r="C16" s="768">
        <f t="shared" si="1"/>
        <v>5054.9827650381103</v>
      </c>
      <c r="D16" s="765">
        <f t="shared" si="2"/>
        <v>3.6331949596070201</v>
      </c>
      <c r="E16" s="763">
        <f t="shared" si="3"/>
        <v>48.774892172157472</v>
      </c>
      <c r="F16" s="762">
        <f>'RRT - Subgrupo - IGEO'!AL15</f>
        <v>5042</v>
      </c>
      <c r="G16" s="768">
        <f t="shared" si="4"/>
        <v>2397.6691534639845</v>
      </c>
      <c r="H16" s="765">
        <f t="shared" si="5"/>
        <v>6.6070302733128221</v>
      </c>
      <c r="I16" s="765">
        <f t="shared" si="6"/>
        <v>23.134807745250988</v>
      </c>
      <c r="J16" s="762">
        <f>'RRT - Subgrupo - IGEO'!AO15</f>
        <v>76</v>
      </c>
      <c r="K16" s="768">
        <f t="shared" si="7"/>
        <v>36.140986843169934</v>
      </c>
      <c r="L16" s="765">
        <f t="shared" si="8"/>
        <v>0.87094125646950771</v>
      </c>
      <c r="M16" s="765">
        <f t="shared" si="9"/>
        <v>0.34871983114618699</v>
      </c>
      <c r="N16" s="762">
        <f>'RRT - Subgrupo - IGEO'!AR15</f>
        <v>233</v>
      </c>
      <c r="O16" s="768">
        <f t="shared" si="10"/>
        <v>110.80065703234993</v>
      </c>
      <c r="P16" s="765">
        <f t="shared" si="11"/>
        <v>0.34080542262903613</v>
      </c>
      <c r="Q16" s="765">
        <f t="shared" si="12"/>
        <v>1.0691015875929155</v>
      </c>
      <c r="R16" s="762">
        <f>'RRT - Subgrupo - IGEO'!AU15</f>
        <v>5349</v>
      </c>
      <c r="S16" s="768">
        <f t="shared" si="13"/>
        <v>2543.6597187383682</v>
      </c>
      <c r="T16" s="765">
        <f t="shared" si="14"/>
        <v>4.2218909284468973</v>
      </c>
      <c r="U16" s="765">
        <f t="shared" si="15"/>
        <v>24.543452326328346</v>
      </c>
      <c r="V16" s="762">
        <f>'RRT - Subgrupo - IGEO'!AX15</f>
        <v>37</v>
      </c>
      <c r="W16" s="768">
        <f t="shared" si="16"/>
        <v>17.59495412101694</v>
      </c>
      <c r="X16" s="765">
        <f t="shared" si="17"/>
        <v>3.2672049945511672</v>
      </c>
      <c r="Y16" s="765">
        <f t="shared" si="18"/>
        <v>0.16977149674222261</v>
      </c>
      <c r="Z16" s="762">
        <f>'RRT - Subgrupo - IGEO'!BA15</f>
        <v>71</v>
      </c>
      <c r="AA16" s="768">
        <f t="shared" si="19"/>
        <v>33.76329034032981</v>
      </c>
      <c r="AB16" s="765">
        <f t="shared" si="20"/>
        <v>2.2745132697701744</v>
      </c>
      <c r="AC16" s="765">
        <f t="shared" si="21"/>
        <v>0.32577773699183266</v>
      </c>
      <c r="AD16" s="762">
        <f>'RRT - Subgrupo - IGEO'!BD15</f>
        <v>348</v>
      </c>
      <c r="AE16" s="768">
        <f t="shared" si="22"/>
        <v>165.48767659767287</v>
      </c>
      <c r="AF16" s="765">
        <f t="shared" si="23"/>
        <v>6.8120844724565561</v>
      </c>
      <c r="AG16" s="765">
        <f t="shared" si="24"/>
        <v>1.5967697531430669</v>
      </c>
      <c r="AH16" s="762">
        <f>'RRT - Subgrupo - IGEO'!BG15</f>
        <v>8</v>
      </c>
      <c r="AI16" s="768">
        <f t="shared" si="25"/>
        <v>3.8043144045442037</v>
      </c>
      <c r="AJ16" s="765">
        <f t="shared" si="26"/>
        <v>1.4855918204676517</v>
      </c>
      <c r="AK16" s="765">
        <f t="shared" si="27"/>
        <v>3.6707350646967056E-2</v>
      </c>
      <c r="AL16" s="769">
        <f t="shared" si="0"/>
        <v>21794</v>
      </c>
      <c r="AM16" s="761">
        <f>'RRT - Atividades '!I15</f>
        <v>10363.903516579547</v>
      </c>
      <c r="AN16" s="723">
        <f t="shared" si="28"/>
        <v>10363.903516579549</v>
      </c>
      <c r="AO16" s="723">
        <f t="shared" si="29"/>
        <v>0</v>
      </c>
    </row>
    <row r="17" spans="1:45" ht="16.5" thickBot="1">
      <c r="A17" s="768" t="s">
        <v>100</v>
      </c>
      <c r="B17" s="762">
        <f>'RRT - Subgrupo - IGEO'!AI16</f>
        <v>1787</v>
      </c>
      <c r="C17" s="768">
        <f t="shared" si="1"/>
        <v>1031.0285928705441</v>
      </c>
      <c r="D17" s="765">
        <f t="shared" si="2"/>
        <v>0.74103672770875184</v>
      </c>
      <c r="E17" s="763">
        <f t="shared" si="3"/>
        <v>42.63898830827965</v>
      </c>
      <c r="F17" s="762">
        <f>'RRT - Subgrupo - IGEO'!AL16</f>
        <v>844</v>
      </c>
      <c r="G17" s="768">
        <f t="shared" si="4"/>
        <v>486.95474671669791</v>
      </c>
      <c r="H17" s="765">
        <f t="shared" si="5"/>
        <v>1.3418551715704541</v>
      </c>
      <c r="I17" s="765">
        <f t="shared" si="6"/>
        <v>20.138391791935099</v>
      </c>
      <c r="J17" s="762">
        <f>'RRT - Subgrupo - IGEO'!AO16</f>
        <v>80</v>
      </c>
      <c r="K17" s="768">
        <f t="shared" si="7"/>
        <v>46.156848030018757</v>
      </c>
      <c r="L17" s="765">
        <f t="shared" si="8"/>
        <v>1.1123078457259612</v>
      </c>
      <c r="M17" s="765">
        <f t="shared" si="9"/>
        <v>1.9088523025530899</v>
      </c>
      <c r="N17" s="762">
        <f>'RRT - Subgrupo - IGEO'!AR16</f>
        <v>434</v>
      </c>
      <c r="O17" s="768">
        <f t="shared" si="10"/>
        <v>250.40090056285177</v>
      </c>
      <c r="P17" s="765">
        <f t="shared" si="11"/>
        <v>0.77019385108969374</v>
      </c>
      <c r="Q17" s="765">
        <f t="shared" si="12"/>
        <v>10.355523741350513</v>
      </c>
      <c r="R17" s="762">
        <f>'RRT - Subgrupo - IGEO'!AU16</f>
        <v>977</v>
      </c>
      <c r="S17" s="768">
        <f t="shared" si="13"/>
        <v>563.69050656660409</v>
      </c>
      <c r="T17" s="765">
        <f t="shared" si="14"/>
        <v>0.93559677758531345</v>
      </c>
      <c r="U17" s="765">
        <f t="shared" si="15"/>
        <v>23.311858744929612</v>
      </c>
      <c r="V17" s="762">
        <f>'RRT - Subgrupo - IGEO'!AX16</f>
        <v>14</v>
      </c>
      <c r="W17" s="768">
        <f t="shared" si="16"/>
        <v>8.0774484052532838</v>
      </c>
      <c r="X17" s="765">
        <f t="shared" si="17"/>
        <v>1.4999004596067445</v>
      </c>
      <c r="Y17" s="765">
        <f t="shared" si="18"/>
        <v>0.33404915294679077</v>
      </c>
      <c r="Z17" s="762">
        <f>'RRT - Subgrupo - IGEO'!BA16</f>
        <v>18</v>
      </c>
      <c r="AA17" s="768">
        <f t="shared" si="19"/>
        <v>10.385290806754222</v>
      </c>
      <c r="AB17" s="765">
        <f t="shared" si="20"/>
        <v>0.69962025360333813</v>
      </c>
      <c r="AC17" s="765">
        <f t="shared" si="21"/>
        <v>0.42949176807444528</v>
      </c>
      <c r="AD17" s="762">
        <f>'RRT - Subgrupo - IGEO'!BD16</f>
        <v>26</v>
      </c>
      <c r="AE17" s="768">
        <f t="shared" si="22"/>
        <v>15.000975609756097</v>
      </c>
      <c r="AF17" s="765">
        <f t="shared" si="23"/>
        <v>0.61749560525497171</v>
      </c>
      <c r="AG17" s="765">
        <f t="shared" si="24"/>
        <v>0.62037699832975424</v>
      </c>
      <c r="AH17" s="762">
        <f>'RRT - Subgrupo - IGEO'!BG16</f>
        <v>11</v>
      </c>
      <c r="AI17" s="768">
        <f t="shared" si="25"/>
        <v>6.3465666041275792</v>
      </c>
      <c r="AJ17" s="765">
        <f t="shared" si="26"/>
        <v>2.4783460125911212</v>
      </c>
      <c r="AK17" s="765">
        <f t="shared" si="27"/>
        <v>0.26246719160104987</v>
      </c>
      <c r="AL17" s="769">
        <f t="shared" si="0"/>
        <v>4191</v>
      </c>
      <c r="AM17" s="761">
        <f>'RRT - Atividades '!I16</f>
        <v>2418.0418761726078</v>
      </c>
      <c r="AN17" s="723">
        <f t="shared" si="28"/>
        <v>2418.0418761726078</v>
      </c>
      <c r="AO17" s="723">
        <f t="shared" si="29"/>
        <v>0</v>
      </c>
    </row>
    <row r="18" spans="1:45" ht="15.75" customHeight="1">
      <c r="A18" s="768" t="s">
        <v>101</v>
      </c>
      <c r="B18" s="762">
        <f>'RRT - Subgrupo - IGEO'!AI17</f>
        <v>2252</v>
      </c>
      <c r="C18" s="768">
        <f t="shared" si="1"/>
        <v>1362.1337061514998</v>
      </c>
      <c r="D18" s="765">
        <f t="shared" si="2"/>
        <v>0.97901368719367898</v>
      </c>
      <c r="E18" s="763">
        <f t="shared" si="3"/>
        <v>43.224568138195778</v>
      </c>
      <c r="F18" s="762">
        <f>'RRT - Subgrupo - IGEO'!AL17</f>
        <v>1359</v>
      </c>
      <c r="G18" s="768">
        <f t="shared" si="4"/>
        <v>821.99809354346712</v>
      </c>
      <c r="H18" s="765">
        <f t="shared" si="5"/>
        <v>2.2651024561920199</v>
      </c>
      <c r="I18" s="765">
        <f t="shared" si="6"/>
        <v>26.084452975047984</v>
      </c>
      <c r="J18" s="762">
        <f>'RRT - Subgrupo - IGEO'!AO17</f>
        <v>25</v>
      </c>
      <c r="K18" s="768">
        <f t="shared" si="7"/>
        <v>15.121377732587694</v>
      </c>
      <c r="L18" s="765">
        <f t="shared" si="8"/>
        <v>0.36440155270577085</v>
      </c>
      <c r="M18" s="765">
        <f t="shared" si="9"/>
        <v>0.47984644913627633</v>
      </c>
      <c r="N18" s="762">
        <f>'RRT - Subgrupo - IGEO'!AR17</f>
        <v>83</v>
      </c>
      <c r="O18" s="768">
        <f t="shared" si="10"/>
        <v>50.202974072191154</v>
      </c>
      <c r="P18" s="765">
        <f t="shared" si="11"/>
        <v>0.15441646515608917</v>
      </c>
      <c r="Q18" s="765">
        <f t="shared" si="12"/>
        <v>1.5930902111324377</v>
      </c>
      <c r="R18" s="762">
        <f>'RRT - Subgrupo - IGEO'!AU17</f>
        <v>1411</v>
      </c>
      <c r="S18" s="768">
        <f t="shared" si="13"/>
        <v>853.45055922724964</v>
      </c>
      <c r="T18" s="765">
        <f t="shared" si="14"/>
        <v>1.4165319155451337</v>
      </c>
      <c r="U18" s="765">
        <f t="shared" si="15"/>
        <v>27.08253358925144</v>
      </c>
      <c r="V18" s="762">
        <f>'RRT - Subgrupo - IGEO'!AX17</f>
        <v>4</v>
      </c>
      <c r="W18" s="768">
        <f t="shared" si="16"/>
        <v>2.4194204372140313</v>
      </c>
      <c r="X18" s="765">
        <f t="shared" si="17"/>
        <v>0.44926190099823804</v>
      </c>
      <c r="Y18" s="765">
        <f t="shared" si="18"/>
        <v>7.6775431861804216E-2</v>
      </c>
      <c r="Z18" s="762">
        <f>'RRT - Subgrupo - IGEO'!BA17</f>
        <v>9</v>
      </c>
      <c r="AA18" s="768">
        <f t="shared" si="19"/>
        <v>5.4436959837315708</v>
      </c>
      <c r="AB18" s="765">
        <f t="shared" si="20"/>
        <v>0.3667225150980683</v>
      </c>
      <c r="AC18" s="765">
        <f t="shared" si="21"/>
        <v>0.17274472168905952</v>
      </c>
      <c r="AD18" s="762">
        <f>'RRT - Subgrupo - IGEO'!BD17</f>
        <v>65</v>
      </c>
      <c r="AE18" s="768">
        <f t="shared" si="22"/>
        <v>39.315582104728009</v>
      </c>
      <c r="AF18" s="765">
        <f t="shared" si="23"/>
        <v>1.6183746843719642</v>
      </c>
      <c r="AG18" s="765">
        <f t="shared" si="24"/>
        <v>1.2476007677543186</v>
      </c>
      <c r="AH18" s="762">
        <f>'RRT - Subgrupo - IGEO'!BG17</f>
        <v>2</v>
      </c>
      <c r="AI18" s="768">
        <f t="shared" si="25"/>
        <v>1.2097102186070157</v>
      </c>
      <c r="AJ18" s="765">
        <f t="shared" si="26"/>
        <v>0.47239408071847655</v>
      </c>
      <c r="AK18" s="765">
        <f t="shared" si="27"/>
        <v>3.8387715930902108E-2</v>
      </c>
      <c r="AL18" s="769">
        <f t="shared" si="0"/>
        <v>5210</v>
      </c>
      <c r="AM18" s="761">
        <f>'RRT - Atividades '!I17</f>
        <v>3151.2951194712759</v>
      </c>
      <c r="AN18" s="723">
        <f t="shared" si="28"/>
        <v>3151.2951194712764</v>
      </c>
      <c r="AO18" s="723">
        <f t="shared" si="29"/>
        <v>0</v>
      </c>
      <c r="AP18" s="1457" t="s">
        <v>640</v>
      </c>
      <c r="AQ18" s="1458"/>
      <c r="AR18" s="1459"/>
      <c r="AS18" s="1452" t="s">
        <v>1082</v>
      </c>
    </row>
    <row r="19" spans="1:45" ht="15.75" customHeight="1">
      <c r="A19" s="768" t="s">
        <v>103</v>
      </c>
      <c r="B19" s="762">
        <f>'RRT - Subgrupo - IGEO'!AI18</f>
        <v>1969</v>
      </c>
      <c r="C19" s="768">
        <f t="shared" si="1"/>
        <v>1442.3301055909687</v>
      </c>
      <c r="D19" s="765">
        <f t="shared" si="2"/>
        <v>1.0366536768366335</v>
      </c>
      <c r="E19" s="763">
        <f t="shared" si="3"/>
        <v>50.564971751412422</v>
      </c>
      <c r="F19" s="762">
        <f>'RRT - Subgrupo - IGEO'!AL18</f>
        <v>504</v>
      </c>
      <c r="G19" s="768">
        <f t="shared" si="4"/>
        <v>369.18962580896306</v>
      </c>
      <c r="H19" s="765">
        <f t="shared" si="5"/>
        <v>1.0173409583172885</v>
      </c>
      <c r="I19" s="765">
        <f t="shared" si="6"/>
        <v>12.942989214175654</v>
      </c>
      <c r="J19" s="762">
        <f>'RRT - Subgrupo - IGEO'!AO18</f>
        <v>108</v>
      </c>
      <c r="K19" s="768">
        <f t="shared" si="7"/>
        <v>79.112062673349229</v>
      </c>
      <c r="L19" s="765">
        <f t="shared" si="8"/>
        <v>1.9064769748987243</v>
      </c>
      <c r="M19" s="765">
        <f t="shared" si="9"/>
        <v>2.7734976887519256</v>
      </c>
      <c r="N19" s="762">
        <f>'RRT - Subgrupo - IGEO'!AR18</f>
        <v>255</v>
      </c>
      <c r="O19" s="768">
        <f t="shared" si="10"/>
        <v>186.79237020096346</v>
      </c>
      <c r="P19" s="765">
        <f t="shared" si="11"/>
        <v>0.57454399978541892</v>
      </c>
      <c r="Q19" s="765">
        <f t="shared" si="12"/>
        <v>6.5485362095531592</v>
      </c>
      <c r="R19" s="762">
        <f>'RRT - Subgrupo - IGEO'!AU18</f>
        <v>982</v>
      </c>
      <c r="S19" s="768">
        <f t="shared" si="13"/>
        <v>719.33375504841615</v>
      </c>
      <c r="T19" s="765">
        <f t="shared" si="14"/>
        <v>1.1939288233376</v>
      </c>
      <c r="U19" s="765">
        <f t="shared" si="15"/>
        <v>25.218284540318436</v>
      </c>
      <c r="V19" s="762">
        <f>'RRT - Subgrupo - IGEO'!AX18</f>
        <v>14</v>
      </c>
      <c r="W19" s="768">
        <f t="shared" si="16"/>
        <v>10.255267383582307</v>
      </c>
      <c r="X19" s="765">
        <f t="shared" si="17"/>
        <v>1.9042994136640143</v>
      </c>
      <c r="Y19" s="765">
        <f t="shared" si="18"/>
        <v>0.3595274781715459</v>
      </c>
      <c r="Z19" s="762">
        <f>'RRT - Subgrupo - IGEO'!BA18</f>
        <v>20</v>
      </c>
      <c r="AA19" s="768">
        <f t="shared" si="19"/>
        <v>14.650381976546154</v>
      </c>
      <c r="AB19" s="765">
        <f t="shared" si="20"/>
        <v>0.98694433738446241</v>
      </c>
      <c r="AC19" s="765">
        <f t="shared" si="21"/>
        <v>0.51361068310220848</v>
      </c>
      <c r="AD19" s="762">
        <f>'RRT - Subgrupo - IGEO'!BD18</f>
        <v>31</v>
      </c>
      <c r="AE19" s="768">
        <f t="shared" si="22"/>
        <v>22.708092063646539</v>
      </c>
      <c r="AF19" s="765">
        <f t="shared" si="23"/>
        <v>0.93474900685176365</v>
      </c>
      <c r="AG19" s="765">
        <f t="shared" si="24"/>
        <v>0.79609655880842323</v>
      </c>
      <c r="AH19" s="762">
        <f>'RRT - Subgrupo - IGEO'!BG18</f>
        <v>11</v>
      </c>
      <c r="AI19" s="768">
        <f t="shared" si="25"/>
        <v>8.0577100871003857</v>
      </c>
      <c r="AJ19" s="765">
        <f t="shared" si="26"/>
        <v>3.1465507116860412</v>
      </c>
      <c r="AK19" s="765">
        <f t="shared" si="27"/>
        <v>0.28248587570621475</v>
      </c>
      <c r="AL19" s="769">
        <f t="shared" si="0"/>
        <v>3894</v>
      </c>
      <c r="AM19" s="761">
        <f>'RRT - Atividades '!I18</f>
        <v>2852.4293708335363</v>
      </c>
      <c r="AN19" s="723">
        <f t="shared" si="28"/>
        <v>2852.4293708335363</v>
      </c>
      <c r="AO19" s="723">
        <f t="shared" si="29"/>
        <v>0</v>
      </c>
      <c r="AP19" s="1168" t="s">
        <v>613</v>
      </c>
      <c r="AQ19" s="1128" t="s">
        <v>527</v>
      </c>
      <c r="AR19" s="1128" t="s">
        <v>423</v>
      </c>
      <c r="AS19" s="1453"/>
    </row>
    <row r="20" spans="1:45" ht="15.75" customHeight="1">
      <c r="A20" s="768" t="s">
        <v>104</v>
      </c>
      <c r="B20" s="762">
        <f>'RRT - Subgrupo - IGEO'!AI19</f>
        <v>843</v>
      </c>
      <c r="C20" s="768">
        <f t="shared" si="1"/>
        <v>648.94618834080711</v>
      </c>
      <c r="D20" s="765">
        <f t="shared" si="2"/>
        <v>0.46642058541583042</v>
      </c>
      <c r="E20" s="763">
        <f t="shared" si="3"/>
        <v>50.059382422802848</v>
      </c>
      <c r="F20" s="762">
        <f>'RRT - Subgrupo - IGEO'!AL19</f>
        <v>291</v>
      </c>
      <c r="G20" s="768">
        <f t="shared" si="4"/>
        <v>224.01345291479822</v>
      </c>
      <c r="H20" s="765">
        <f t="shared" si="5"/>
        <v>0.6172926998285464</v>
      </c>
      <c r="I20" s="765">
        <f t="shared" si="6"/>
        <v>17.280285035629454</v>
      </c>
      <c r="J20" s="762">
        <f>'RRT - Subgrupo - IGEO'!AO19</f>
        <v>9</v>
      </c>
      <c r="K20" s="768">
        <f t="shared" si="7"/>
        <v>6.928251121076233</v>
      </c>
      <c r="L20" s="765">
        <f t="shared" si="8"/>
        <v>0.16696001585985348</v>
      </c>
      <c r="M20" s="765">
        <f t="shared" si="9"/>
        <v>0.53444180522565321</v>
      </c>
      <c r="N20" s="762">
        <f>'RRT - Subgrupo - IGEO'!AR19</f>
        <v>36</v>
      </c>
      <c r="O20" s="768">
        <f t="shared" si="10"/>
        <v>27.713004484304932</v>
      </c>
      <c r="P20" s="765">
        <f t="shared" si="11"/>
        <v>8.5240850176875577E-2</v>
      </c>
      <c r="Q20" s="765">
        <f t="shared" si="12"/>
        <v>2.1377672209026128</v>
      </c>
      <c r="R20" s="762">
        <f>'RRT - Subgrupo - IGEO'!AU19</f>
        <v>451</v>
      </c>
      <c r="S20" s="768">
        <f t="shared" si="13"/>
        <v>347.18236173393126</v>
      </c>
      <c r="T20" s="765">
        <f t="shared" si="14"/>
        <v>0.57624298278712383</v>
      </c>
      <c r="U20" s="765">
        <f t="shared" si="15"/>
        <v>26.781472684085511</v>
      </c>
      <c r="V20" s="762">
        <f>'RRT - Subgrupo - IGEO'!AX19</f>
        <v>2</v>
      </c>
      <c r="W20" s="768">
        <f t="shared" si="16"/>
        <v>1.539611360239163</v>
      </c>
      <c r="X20" s="765">
        <f t="shared" si="17"/>
        <v>0.28589025531090023</v>
      </c>
      <c r="Y20" s="765">
        <f t="shared" si="18"/>
        <v>0.11876484560570072</v>
      </c>
      <c r="Z20" s="762">
        <f>'RRT - Subgrupo - IGEO'!BA19</f>
        <v>26</v>
      </c>
      <c r="AA20" s="768">
        <f t="shared" si="19"/>
        <v>20.014947683109117</v>
      </c>
      <c r="AB20" s="765">
        <f t="shared" si="20"/>
        <v>1.3483361260146307</v>
      </c>
      <c r="AC20" s="765">
        <f t="shared" si="21"/>
        <v>1.5439429928741091</v>
      </c>
      <c r="AD20" s="762">
        <f>'RRT - Subgrupo - IGEO'!BD19</f>
        <v>26</v>
      </c>
      <c r="AE20" s="768">
        <f t="shared" si="22"/>
        <v>20.014947683109117</v>
      </c>
      <c r="AF20" s="765">
        <f t="shared" si="23"/>
        <v>0.82388922929053465</v>
      </c>
      <c r="AG20" s="765">
        <f t="shared" si="24"/>
        <v>1.5439429928741091</v>
      </c>
      <c r="AH20" s="762">
        <f>'RRT - Subgrupo - IGEO'!BG19</f>
        <v>0</v>
      </c>
      <c r="AI20" s="768">
        <f t="shared" si="25"/>
        <v>0</v>
      </c>
      <c r="AJ20" s="765">
        <f t="shared" si="26"/>
        <v>0</v>
      </c>
      <c r="AK20" s="765">
        <f t="shared" si="27"/>
        <v>0</v>
      </c>
      <c r="AL20" s="769">
        <f t="shared" si="0"/>
        <v>1684</v>
      </c>
      <c r="AM20" s="761">
        <f>'RRT - Atividades '!I19</f>
        <v>1296.3527653213753</v>
      </c>
      <c r="AN20" s="723">
        <f t="shared" si="28"/>
        <v>1296.352765321375</v>
      </c>
      <c r="AO20" s="723">
        <f t="shared" si="29"/>
        <v>0</v>
      </c>
      <c r="AP20" s="1169" t="s">
        <v>624</v>
      </c>
      <c r="AQ20" s="771">
        <v>139133.26483269359</v>
      </c>
      <c r="AR20" s="39">
        <v>0.50221065007344379</v>
      </c>
      <c r="AS20" s="1453"/>
    </row>
    <row r="21" spans="1:45" ht="15.75" customHeight="1">
      <c r="A21" s="768" t="s">
        <v>102</v>
      </c>
      <c r="B21" s="762">
        <f>'RRT - Subgrupo - IGEO'!AI20</f>
        <v>22547</v>
      </c>
      <c r="C21" s="768">
        <f t="shared" si="1"/>
        <v>16130.264806689771</v>
      </c>
      <c r="D21" s="765">
        <f t="shared" si="2"/>
        <v>11.593392008795494</v>
      </c>
      <c r="E21" s="763">
        <f t="shared" si="3"/>
        <v>70.119732545482819</v>
      </c>
      <c r="F21" s="762">
        <f>'RRT - Subgrupo - IGEO'!AL20</f>
        <v>3440</v>
      </c>
      <c r="G21" s="768">
        <f t="shared" si="4"/>
        <v>2460.9975134169872</v>
      </c>
      <c r="H21" s="765">
        <f t="shared" si="5"/>
        <v>6.781538249429647</v>
      </c>
      <c r="I21" s="765">
        <f t="shared" si="6"/>
        <v>10.69818068729591</v>
      </c>
      <c r="J21" s="762">
        <f>'RRT - Subgrupo - IGEO'!AO20</f>
        <v>326</v>
      </c>
      <c r="K21" s="768">
        <f t="shared" si="7"/>
        <v>233.22243877149359</v>
      </c>
      <c r="L21" s="765">
        <f t="shared" si="8"/>
        <v>5.6202960019315142</v>
      </c>
      <c r="M21" s="765">
        <f t="shared" si="9"/>
        <v>1.0138392162960661</v>
      </c>
      <c r="N21" s="762">
        <f>'RRT - Subgrupo - IGEO'!AR20</f>
        <v>1501</v>
      </c>
      <c r="O21" s="768">
        <f t="shared" si="10"/>
        <v>1073.8247871043309</v>
      </c>
      <c r="P21" s="765">
        <f t="shared" si="11"/>
        <v>3.3029164284808989</v>
      </c>
      <c r="Q21" s="765">
        <f t="shared" si="12"/>
        <v>4.6680143057067331</v>
      </c>
      <c r="R21" s="762">
        <f>'RRT - Subgrupo - IGEO'!AU20</f>
        <v>3338</v>
      </c>
      <c r="S21" s="768">
        <f t="shared" si="13"/>
        <v>2388.026075519158</v>
      </c>
      <c r="T21" s="765">
        <f t="shared" si="14"/>
        <v>3.9635748252244807</v>
      </c>
      <c r="U21" s="765">
        <f t="shared" si="15"/>
        <v>10.380967190172601</v>
      </c>
      <c r="V21" s="762">
        <f>'RRT - Subgrupo - IGEO'!AX20</f>
        <v>73</v>
      </c>
      <c r="W21" s="768">
        <f t="shared" si="16"/>
        <v>52.22465653472095</v>
      </c>
      <c r="X21" s="765">
        <f t="shared" si="17"/>
        <v>9.697590428220888</v>
      </c>
      <c r="Y21" s="765">
        <f t="shared" si="18"/>
        <v>0.22702534598040741</v>
      </c>
      <c r="Z21" s="762">
        <f>'RRT - Subgrupo - IGEO'!BA20</f>
        <v>459</v>
      </c>
      <c r="AA21" s="768">
        <f t="shared" si="19"/>
        <v>328.37147054023177</v>
      </c>
      <c r="AB21" s="765">
        <f t="shared" si="20"/>
        <v>22.121222772697553</v>
      </c>
      <c r="AC21" s="765">
        <f t="shared" si="21"/>
        <v>1.4274607370548906</v>
      </c>
      <c r="AD21" s="762">
        <f>'RRT - Subgrupo - IGEO'!BD20</f>
        <v>446</v>
      </c>
      <c r="AE21" s="768">
        <f t="shared" si="22"/>
        <v>319.071189239528</v>
      </c>
      <c r="AF21" s="765">
        <f t="shared" si="23"/>
        <v>13.134149554296185</v>
      </c>
      <c r="AG21" s="765">
        <f t="shared" si="24"/>
        <v>1.3870315658529</v>
      </c>
      <c r="AH21" s="762">
        <f>'RRT - Subgrupo - IGEO'!BG20</f>
        <v>25</v>
      </c>
      <c r="AI21" s="768">
        <f t="shared" si="25"/>
        <v>17.885156347507177</v>
      </c>
      <c r="AJ21" s="765">
        <f t="shared" si="26"/>
        <v>6.9841866765544411</v>
      </c>
      <c r="AK21" s="765">
        <f t="shared" si="27"/>
        <v>7.7748406157673783E-2</v>
      </c>
      <c r="AL21" s="769">
        <f t="shared" si="0"/>
        <v>32155</v>
      </c>
      <c r="AM21" s="761">
        <f>'RRT - Atividades '!I20</f>
        <v>23003.888094163729</v>
      </c>
      <c r="AN21" s="723">
        <f t="shared" si="28"/>
        <v>23003.888094163725</v>
      </c>
      <c r="AO21" s="723">
        <f t="shared" si="29"/>
        <v>0</v>
      </c>
      <c r="AP21" s="1169" t="s">
        <v>628</v>
      </c>
      <c r="AQ21" s="771">
        <v>60249.29970595194</v>
      </c>
      <c r="AR21" s="39">
        <v>0.21747380116595863</v>
      </c>
      <c r="AS21" s="1453"/>
    </row>
    <row r="22" spans="1:45" ht="15.75" customHeight="1">
      <c r="A22" s="768" t="s">
        <v>105</v>
      </c>
      <c r="B22" s="762">
        <f>'RRT - Subgrupo - IGEO'!AI21</f>
        <v>11756</v>
      </c>
      <c r="C22" s="768">
        <f t="shared" si="1"/>
        <v>10224.08758706912</v>
      </c>
      <c r="D22" s="765">
        <f t="shared" si="2"/>
        <v>7.3484134792376841</v>
      </c>
      <c r="E22" s="763">
        <f t="shared" si="3"/>
        <v>58.915505663024959</v>
      </c>
      <c r="F22" s="762">
        <f>'RRT - Subgrupo - IGEO'!AL21</f>
        <v>1085</v>
      </c>
      <c r="G22" s="768">
        <f t="shared" si="4"/>
        <v>943.614752634399</v>
      </c>
      <c r="H22" s="765">
        <f t="shared" si="5"/>
        <v>2.6002299891930076</v>
      </c>
      <c r="I22" s="765">
        <f t="shared" si="6"/>
        <v>5.4375062644081389</v>
      </c>
      <c r="J22" s="762">
        <f>'RRT - Subgrupo - IGEO'!AO21</f>
        <v>516</v>
      </c>
      <c r="K22" s="768">
        <f t="shared" si="7"/>
        <v>448.76056438649755</v>
      </c>
      <c r="L22" s="765">
        <f t="shared" si="8"/>
        <v>10.814427716010327</v>
      </c>
      <c r="M22" s="765">
        <f t="shared" si="9"/>
        <v>2.5859476796632253</v>
      </c>
      <c r="N22" s="762">
        <f>'RRT - Subgrupo - IGEO'!AR21</f>
        <v>3502</v>
      </c>
      <c r="O22" s="768">
        <f t="shared" si="10"/>
        <v>3045.6579389176636</v>
      </c>
      <c r="P22" s="765">
        <f t="shared" si="11"/>
        <v>9.367965577616209</v>
      </c>
      <c r="Q22" s="765">
        <f t="shared" si="12"/>
        <v>17.550365841435301</v>
      </c>
      <c r="R22" s="762">
        <f>'RRT - Subgrupo - IGEO'!AU21</f>
        <v>2762</v>
      </c>
      <c r="S22" s="768">
        <f t="shared" si="13"/>
        <v>2402.0865868905162</v>
      </c>
      <c r="T22" s="765">
        <f t="shared" si="14"/>
        <v>3.9869120448104018</v>
      </c>
      <c r="U22" s="765">
        <f t="shared" si="15"/>
        <v>13.841836223313623</v>
      </c>
      <c r="V22" s="762">
        <f>'RRT - Subgrupo - IGEO'!AX21</f>
        <v>52</v>
      </c>
      <c r="W22" s="768">
        <f t="shared" si="16"/>
        <v>45.223932845150927</v>
      </c>
      <c r="X22" s="765">
        <f t="shared" si="17"/>
        <v>8.3976268564651306</v>
      </c>
      <c r="Y22" s="765">
        <f t="shared" si="18"/>
        <v>0.26059937857071264</v>
      </c>
      <c r="Z22" s="762">
        <f>'RRT - Subgrupo - IGEO'!BA21</f>
        <v>86</v>
      </c>
      <c r="AA22" s="768">
        <f t="shared" si="19"/>
        <v>74.793427397749596</v>
      </c>
      <c r="AB22" s="765">
        <f t="shared" si="20"/>
        <v>5.0385682613571898</v>
      </c>
      <c r="AC22" s="765">
        <f t="shared" si="21"/>
        <v>0.43099127994387088</v>
      </c>
      <c r="AD22" s="762">
        <f>'RRT - Subgrupo - IGEO'!BD21</f>
        <v>141</v>
      </c>
      <c r="AE22" s="768">
        <f t="shared" si="22"/>
        <v>122.62643329165923</v>
      </c>
      <c r="AF22" s="765">
        <f t="shared" si="23"/>
        <v>5.0477572669636981</v>
      </c>
      <c r="AG22" s="765">
        <f t="shared" si="24"/>
        <v>0.70662523804750932</v>
      </c>
      <c r="AH22" s="762">
        <f>'RRT - Subgrupo - IGEO'!BG21</f>
        <v>54</v>
      </c>
      <c r="AI22" s="768">
        <f t="shared" si="25"/>
        <v>46.963314877656728</v>
      </c>
      <c r="AJ22" s="765">
        <f t="shared" si="26"/>
        <v>18.339261434584976</v>
      </c>
      <c r="AK22" s="765">
        <f t="shared" si="27"/>
        <v>0.27062243159266314</v>
      </c>
      <c r="AL22" s="769">
        <f t="shared" si="0"/>
        <v>19954</v>
      </c>
      <c r="AM22" s="761">
        <f>'RRT - Atividades '!I21</f>
        <v>17353.814538310413</v>
      </c>
      <c r="AN22" s="723">
        <f t="shared" si="28"/>
        <v>17353.814538310409</v>
      </c>
      <c r="AO22" s="723">
        <f t="shared" si="29"/>
        <v>0</v>
      </c>
      <c r="AP22" s="1169" t="s">
        <v>625</v>
      </c>
      <c r="AQ22" s="771">
        <v>36289.665012565056</v>
      </c>
      <c r="AR22" s="39">
        <v>0.13098992738237875</v>
      </c>
      <c r="AS22" s="1453"/>
    </row>
    <row r="23" spans="1:45" ht="15.75" customHeight="1">
      <c r="A23" s="768" t="s">
        <v>106</v>
      </c>
      <c r="B23" s="762">
        <f>'RRT - Subgrupo - IGEO'!AI22</f>
        <v>1296</v>
      </c>
      <c r="C23" s="768">
        <f t="shared" si="1"/>
        <v>885.95735971345721</v>
      </c>
      <c r="D23" s="765">
        <f t="shared" si="2"/>
        <v>0.6367688997874178</v>
      </c>
      <c r="E23" s="763">
        <f t="shared" si="3"/>
        <v>43.724696356275302</v>
      </c>
      <c r="F23" s="762">
        <f>'RRT - Subgrupo - IGEO'!AL22</f>
        <v>504</v>
      </c>
      <c r="G23" s="768">
        <f t="shared" si="4"/>
        <v>344.53897322189999</v>
      </c>
      <c r="H23" s="765">
        <f t="shared" si="5"/>
        <v>0.94941348481063592</v>
      </c>
      <c r="I23" s="765">
        <f t="shared" si="6"/>
        <v>17.004048582995949</v>
      </c>
      <c r="J23" s="762">
        <f>'RRT - Subgrupo - IGEO'!AO22</f>
        <v>46</v>
      </c>
      <c r="K23" s="768">
        <f t="shared" si="7"/>
        <v>31.446017397236908</v>
      </c>
      <c r="L23" s="765">
        <f t="shared" si="8"/>
        <v>0.7577998360077246</v>
      </c>
      <c r="M23" s="765">
        <f t="shared" si="9"/>
        <v>1.5519568151147098</v>
      </c>
      <c r="N23" s="762">
        <f>'RRT - Subgrupo - IGEO'!AR22</f>
        <v>118</v>
      </c>
      <c r="O23" s="768">
        <f t="shared" si="10"/>
        <v>80.665870714651192</v>
      </c>
      <c r="P23" s="765">
        <f t="shared" si="11"/>
        <v>0.24811555181138834</v>
      </c>
      <c r="Q23" s="765">
        <f t="shared" si="12"/>
        <v>3.9811066126855601</v>
      </c>
      <c r="R23" s="762">
        <f>'RRT - Subgrupo - IGEO'!AU22</f>
        <v>972</v>
      </c>
      <c r="S23" s="768">
        <f t="shared" si="13"/>
        <v>664.46801978509291</v>
      </c>
      <c r="T23" s="765">
        <f t="shared" si="14"/>
        <v>1.1028643038641843</v>
      </c>
      <c r="U23" s="765">
        <f t="shared" si="15"/>
        <v>32.793522267206477</v>
      </c>
      <c r="V23" s="762">
        <f>'RRT - Subgrupo - IGEO'!AX22</f>
        <v>7</v>
      </c>
      <c r="W23" s="768">
        <f t="shared" si="16"/>
        <v>4.7852635169708337</v>
      </c>
      <c r="X23" s="765">
        <f t="shared" si="17"/>
        <v>0.88857502869049632</v>
      </c>
      <c r="Y23" s="765">
        <f t="shared" si="18"/>
        <v>0.23616734143049933</v>
      </c>
      <c r="Z23" s="762">
        <f>'RRT - Subgrupo - IGEO'!BA22</f>
        <v>11</v>
      </c>
      <c r="AA23" s="768">
        <f t="shared" si="19"/>
        <v>7.5196998123827381</v>
      </c>
      <c r="AB23" s="765">
        <f t="shared" si="20"/>
        <v>0.50657553915954501</v>
      </c>
      <c r="AC23" s="765">
        <f t="shared" si="21"/>
        <v>0.37112010796221323</v>
      </c>
      <c r="AD23" s="762">
        <f>'RRT - Subgrupo - IGEO'!BD22</f>
        <v>10</v>
      </c>
      <c r="AE23" s="768">
        <f t="shared" si="22"/>
        <v>6.8360907385297622</v>
      </c>
      <c r="AF23" s="765">
        <f t="shared" si="23"/>
        <v>0.28139876351915333</v>
      </c>
      <c r="AG23" s="765">
        <f t="shared" si="24"/>
        <v>0.33738191632928477</v>
      </c>
      <c r="AH23" s="762">
        <f>'RRT - Subgrupo - IGEO'!BG22</f>
        <v>0</v>
      </c>
      <c r="AI23" s="768">
        <f t="shared" si="25"/>
        <v>0</v>
      </c>
      <c r="AJ23" s="765">
        <f t="shared" si="26"/>
        <v>0</v>
      </c>
      <c r="AK23" s="765">
        <f t="shared" si="27"/>
        <v>0</v>
      </c>
      <c r="AL23" s="769">
        <f t="shared" si="0"/>
        <v>2964</v>
      </c>
      <c r="AM23" s="761">
        <f>'RRT - Atividades '!I22</f>
        <v>2026.2172949002215</v>
      </c>
      <c r="AN23" s="723">
        <f t="shared" si="28"/>
        <v>2026.2172949002213</v>
      </c>
      <c r="AO23" s="723">
        <f t="shared" si="29"/>
        <v>0</v>
      </c>
      <c r="AP23" s="1169" t="s">
        <v>642</v>
      </c>
      <c r="AQ23" s="771">
        <v>32511.412576012772</v>
      </c>
      <c r="AR23" s="39">
        <v>0.11735207726375907</v>
      </c>
      <c r="AS23" s="1453"/>
    </row>
    <row r="24" spans="1:45" ht="15.75" customHeight="1">
      <c r="A24" s="768" t="s">
        <v>108</v>
      </c>
      <c r="B24" s="762">
        <f>'RRT - Subgrupo - IGEO'!AI23</f>
        <v>2698</v>
      </c>
      <c r="C24" s="768">
        <f t="shared" si="1"/>
        <v>1423.6461865561796</v>
      </c>
      <c r="D24" s="765">
        <f t="shared" si="2"/>
        <v>1.0232248831852688</v>
      </c>
      <c r="E24" s="763">
        <f t="shared" si="3"/>
        <v>47.151345683327513</v>
      </c>
      <c r="F24" s="762">
        <f>'RRT - Subgrupo - IGEO'!AL23</f>
        <v>1271</v>
      </c>
      <c r="G24" s="768">
        <f t="shared" si="4"/>
        <v>670.66504933762201</v>
      </c>
      <c r="H24" s="765">
        <f t="shared" si="5"/>
        <v>1.848088289339151</v>
      </c>
      <c r="I24" s="765">
        <f t="shared" si="6"/>
        <v>22.212513107305139</v>
      </c>
      <c r="J24" s="762">
        <f>'RRT - Subgrupo - IGEO'!AO23</f>
        <v>40</v>
      </c>
      <c r="K24" s="768">
        <f t="shared" si="7"/>
        <v>21.106689200239874</v>
      </c>
      <c r="L24" s="765">
        <f t="shared" si="8"/>
        <v>0.50863819772653307</v>
      </c>
      <c r="M24" s="765">
        <f t="shared" si="9"/>
        <v>0.69905627403005943</v>
      </c>
      <c r="N24" s="762">
        <f>'RRT - Subgrupo - IGEO'!AR23</f>
        <v>52</v>
      </c>
      <c r="O24" s="768">
        <f t="shared" si="10"/>
        <v>27.43869596031184</v>
      </c>
      <c r="P24" s="765">
        <f t="shared" si="11"/>
        <v>8.4397120230193773E-2</v>
      </c>
      <c r="Q24" s="765">
        <f t="shared" si="12"/>
        <v>0.90877315623907728</v>
      </c>
      <c r="R24" s="762">
        <f>'RRT - Subgrupo - IGEO'!AU23</f>
        <v>1606</v>
      </c>
      <c r="S24" s="768">
        <f t="shared" si="13"/>
        <v>847.43357138963086</v>
      </c>
      <c r="T24" s="765">
        <f t="shared" si="14"/>
        <v>1.4065450976617977</v>
      </c>
      <c r="U24" s="765">
        <f t="shared" si="15"/>
        <v>28.067109402306883</v>
      </c>
      <c r="V24" s="762">
        <f>'RRT - Subgrupo - IGEO'!AX23</f>
        <v>22</v>
      </c>
      <c r="W24" s="768">
        <f t="shared" si="16"/>
        <v>11.608679060131932</v>
      </c>
      <c r="X24" s="765">
        <f t="shared" si="17"/>
        <v>2.1556142712586093</v>
      </c>
      <c r="Y24" s="765">
        <f t="shared" si="18"/>
        <v>0.38448095071653271</v>
      </c>
      <c r="Z24" s="762">
        <f>'RRT - Subgrupo - IGEO'!BA23</f>
        <v>23</v>
      </c>
      <c r="AA24" s="768">
        <f t="shared" si="19"/>
        <v>12.136346290137928</v>
      </c>
      <c r="AB24" s="765">
        <f t="shared" si="20"/>
        <v>0.81758265871593061</v>
      </c>
      <c r="AC24" s="765">
        <f t="shared" si="21"/>
        <v>0.40195735756728412</v>
      </c>
      <c r="AD24" s="762">
        <f>'RRT - Subgrupo - IGEO'!BD23</f>
        <v>10</v>
      </c>
      <c r="AE24" s="768">
        <f t="shared" si="22"/>
        <v>5.2766723000599685</v>
      </c>
      <c r="AF24" s="765">
        <f t="shared" si="23"/>
        <v>0.21720733640407885</v>
      </c>
      <c r="AG24" s="765">
        <f t="shared" si="24"/>
        <v>0.17476406850751486</v>
      </c>
      <c r="AH24" s="762">
        <f>'RRT - Subgrupo - IGEO'!BG23</f>
        <v>0</v>
      </c>
      <c r="AI24" s="768">
        <f t="shared" si="25"/>
        <v>0</v>
      </c>
      <c r="AJ24" s="765">
        <f t="shared" si="26"/>
        <v>0</v>
      </c>
      <c r="AK24" s="765">
        <f t="shared" si="27"/>
        <v>0</v>
      </c>
      <c r="AL24" s="769">
        <f t="shared" si="0"/>
        <v>5722</v>
      </c>
      <c r="AM24" s="761">
        <f>'RRT - Atividades '!I23</f>
        <v>3019.3118900943141</v>
      </c>
      <c r="AN24" s="723">
        <f t="shared" si="28"/>
        <v>3019.3118900943141</v>
      </c>
      <c r="AO24" s="723">
        <f t="shared" si="29"/>
        <v>0</v>
      </c>
      <c r="AP24" s="1169" t="s">
        <v>641</v>
      </c>
      <c r="AQ24" s="771">
        <v>4149.6468992263499</v>
      </c>
      <c r="AR24" s="39">
        <v>1.4978422804508337E-2</v>
      </c>
      <c r="AS24" s="1453"/>
    </row>
    <row r="25" spans="1:45" ht="15.75" customHeight="1">
      <c r="A25" s="768" t="s">
        <v>109</v>
      </c>
      <c r="B25" s="762">
        <f>'RRT - Subgrupo - IGEO'!AI24</f>
        <v>339</v>
      </c>
      <c r="C25" s="768">
        <f t="shared" si="1"/>
        <v>168.6503759398496</v>
      </c>
      <c r="D25" s="765">
        <f t="shared" si="2"/>
        <v>0.12121499207443313</v>
      </c>
      <c r="E25" s="763">
        <f t="shared" si="3"/>
        <v>49.27325581395349</v>
      </c>
      <c r="F25" s="762">
        <f>'RRT - Subgrupo - IGEO'!AL24</f>
        <v>58</v>
      </c>
      <c r="G25" s="768">
        <f t="shared" si="4"/>
        <v>28.854636591478695</v>
      </c>
      <c r="H25" s="765">
        <f t="shared" si="5"/>
        <v>7.9511994893003188E-2</v>
      </c>
      <c r="I25" s="765">
        <f t="shared" si="6"/>
        <v>8.4302325581395348</v>
      </c>
      <c r="J25" s="762">
        <f>'RRT - Subgrupo - IGEO'!AO24</f>
        <v>6</v>
      </c>
      <c r="K25" s="768">
        <f t="shared" si="7"/>
        <v>2.9849624060150375</v>
      </c>
      <c r="L25" s="765">
        <f t="shared" si="8"/>
        <v>7.1932925342914025E-2</v>
      </c>
      <c r="M25" s="765">
        <f t="shared" si="9"/>
        <v>0.87209302325581395</v>
      </c>
      <c r="N25" s="762">
        <f>'RRT - Subgrupo - IGEO'!AR24</f>
        <v>4</v>
      </c>
      <c r="O25" s="768">
        <f t="shared" si="10"/>
        <v>1.9899749373433582</v>
      </c>
      <c r="P25" s="765">
        <f t="shared" si="11"/>
        <v>6.1208504327233699E-3</v>
      </c>
      <c r="Q25" s="765">
        <f t="shared" si="12"/>
        <v>0.58139534883720934</v>
      </c>
      <c r="R25" s="762">
        <f>'RRT - Subgrupo - IGEO'!AU24</f>
        <v>276</v>
      </c>
      <c r="S25" s="768">
        <f t="shared" si="13"/>
        <v>137.30827067669171</v>
      </c>
      <c r="T25" s="765">
        <f t="shared" si="14"/>
        <v>0.22790019360694283</v>
      </c>
      <c r="U25" s="765">
        <f t="shared" si="15"/>
        <v>40.116279069767444</v>
      </c>
      <c r="V25" s="762">
        <f>'RRT - Subgrupo - IGEO'!AX24</f>
        <v>0</v>
      </c>
      <c r="W25" s="768">
        <f t="shared" si="16"/>
        <v>0</v>
      </c>
      <c r="X25" s="765">
        <f t="shared" si="17"/>
        <v>0</v>
      </c>
      <c r="Y25" s="765">
        <f t="shared" si="18"/>
        <v>0</v>
      </c>
      <c r="Z25" s="762">
        <f>'RRT - Subgrupo - IGEO'!BA24</f>
        <v>1</v>
      </c>
      <c r="AA25" s="768">
        <f t="shared" si="19"/>
        <v>0.49749373433583954</v>
      </c>
      <c r="AB25" s="765">
        <f t="shared" si="20"/>
        <v>3.3514390599033411E-2</v>
      </c>
      <c r="AC25" s="765">
        <f t="shared" si="21"/>
        <v>0.14534883720930233</v>
      </c>
      <c r="AD25" s="762">
        <f>'RRT - Subgrupo - IGEO'!BD24</f>
        <v>4</v>
      </c>
      <c r="AE25" s="768">
        <f t="shared" si="22"/>
        <v>1.9899749373433582</v>
      </c>
      <c r="AF25" s="765">
        <f t="shared" si="23"/>
        <v>8.191472410487044E-2</v>
      </c>
      <c r="AG25" s="765">
        <f t="shared" si="24"/>
        <v>0.58139534883720934</v>
      </c>
      <c r="AH25" s="762">
        <f>'RRT - Subgrupo - IGEO'!BG24</f>
        <v>0</v>
      </c>
      <c r="AI25" s="768">
        <f t="shared" si="25"/>
        <v>0</v>
      </c>
      <c r="AJ25" s="765">
        <f t="shared" si="26"/>
        <v>0</v>
      </c>
      <c r="AK25" s="765">
        <f t="shared" si="27"/>
        <v>0</v>
      </c>
      <c r="AL25" s="769">
        <f t="shared" si="0"/>
        <v>688</v>
      </c>
      <c r="AM25" s="761">
        <f>'RRT - Atividades '!I24</f>
        <v>342.27568922305761</v>
      </c>
      <c r="AN25" s="723">
        <f t="shared" si="28"/>
        <v>342.27568922305755</v>
      </c>
      <c r="AO25" s="723">
        <f t="shared" si="29"/>
        <v>0</v>
      </c>
      <c r="AP25" s="1169" t="s">
        <v>632</v>
      </c>
      <c r="AQ25" s="771">
        <v>2429.3250805504931</v>
      </c>
      <c r="AR25" s="39">
        <v>8.7688083033921633E-3</v>
      </c>
      <c r="AS25" s="1453"/>
    </row>
    <row r="26" spans="1:45" ht="16.5" customHeight="1">
      <c r="A26" s="768" t="s">
        <v>107</v>
      </c>
      <c r="B26" s="762">
        <f>'RRT - Subgrupo - IGEO'!AI25</f>
        <v>22151</v>
      </c>
      <c r="C26" s="768">
        <f t="shared" si="1"/>
        <v>11119.386208782576</v>
      </c>
      <c r="D26" s="765">
        <f t="shared" si="2"/>
        <v>7.9918962745203537</v>
      </c>
      <c r="E26" s="763">
        <f t="shared" si="3"/>
        <v>33.687684399428171</v>
      </c>
      <c r="F26" s="762">
        <f>'RRT - Subgrupo - IGEO'!AL25</f>
        <v>16506</v>
      </c>
      <c r="G26" s="768">
        <f t="shared" si="4"/>
        <v>8285.7021697514901</v>
      </c>
      <c r="H26" s="765">
        <f t="shared" si="5"/>
        <v>22.832126355761677</v>
      </c>
      <c r="I26" s="765">
        <f t="shared" si="6"/>
        <v>25.102655351765673</v>
      </c>
      <c r="J26" s="762">
        <f>'RRT - Subgrupo - IGEO'!AO25</f>
        <v>734</v>
      </c>
      <c r="K26" s="768">
        <f t="shared" si="7"/>
        <v>368.4542222584268</v>
      </c>
      <c r="L26" s="765">
        <f t="shared" si="8"/>
        <v>8.8791704741702357</v>
      </c>
      <c r="M26" s="765">
        <f t="shared" si="9"/>
        <v>1.1162818992000487</v>
      </c>
      <c r="N26" s="762">
        <f>'RRT - Subgrupo - IGEO'!AR25</f>
        <v>2343</v>
      </c>
      <c r="O26" s="768">
        <f t="shared" si="10"/>
        <v>1176.1420200974035</v>
      </c>
      <c r="P26" s="765">
        <f t="shared" si="11"/>
        <v>3.6176281708693652</v>
      </c>
      <c r="Q26" s="765">
        <f t="shared" si="12"/>
        <v>3.5632813212884389</v>
      </c>
      <c r="R26" s="762">
        <f>'RRT - Subgrupo - IGEO'!AU25</f>
        <v>22911</v>
      </c>
      <c r="S26" s="768">
        <f t="shared" si="13"/>
        <v>11500.891943001114</v>
      </c>
      <c r="T26" s="765">
        <f t="shared" si="14"/>
        <v>19.088839204989061</v>
      </c>
      <c r="U26" s="765">
        <f t="shared" si="15"/>
        <v>34.843507619308333</v>
      </c>
      <c r="V26" s="762">
        <f>'RRT - Subgrupo - IGEO'!AX25</f>
        <v>139</v>
      </c>
      <c r="W26" s="768">
        <f t="shared" si="16"/>
        <v>69.775390863653044</v>
      </c>
      <c r="X26" s="765">
        <f t="shared" si="17"/>
        <v>12.956584254697168</v>
      </c>
      <c r="Y26" s="765">
        <f t="shared" si="18"/>
        <v>0.21139398363597653</v>
      </c>
      <c r="Z26" s="762">
        <f>'RRT - Subgrupo - IGEO'!BA25</f>
        <v>382</v>
      </c>
      <c r="AA26" s="768">
        <f t="shared" si="19"/>
        <v>191.75682956773713</v>
      </c>
      <c r="AB26" s="765">
        <f t="shared" si="20"/>
        <v>12.917978343476088</v>
      </c>
      <c r="AC26" s="765">
        <f t="shared" si="21"/>
        <v>0.58095324999239595</v>
      </c>
      <c r="AD26" s="762">
        <f>'RRT - Subgrupo - IGEO'!BD25</f>
        <v>547</v>
      </c>
      <c r="AE26" s="768">
        <f t="shared" si="22"/>
        <v>274.58373239149796</v>
      </c>
      <c r="AF26" s="765">
        <f t="shared" si="23"/>
        <v>11.302881388326851</v>
      </c>
      <c r="AG26" s="765">
        <f t="shared" si="24"/>
        <v>0.83188855430848319</v>
      </c>
      <c r="AH26" s="762">
        <f>'RRT - Subgrupo - IGEO'!BG25</f>
        <v>41</v>
      </c>
      <c r="AI26" s="768">
        <f t="shared" si="25"/>
        <v>20.581230398631472</v>
      </c>
      <c r="AJ26" s="765">
        <f t="shared" si="26"/>
        <v>8.0370085865787804</v>
      </c>
      <c r="AK26" s="765">
        <f t="shared" si="27"/>
        <v>6.2353621072482282E-2</v>
      </c>
      <c r="AL26" s="769">
        <f t="shared" si="0"/>
        <v>65754</v>
      </c>
      <c r="AM26" s="761">
        <f>'RRT - Atividades '!I25</f>
        <v>33007.273747112529</v>
      </c>
      <c r="AN26" s="723">
        <f t="shared" si="28"/>
        <v>33007.273747112529</v>
      </c>
      <c r="AO26" s="723">
        <f t="shared" si="29"/>
        <v>0</v>
      </c>
      <c r="AP26" s="1169" t="s">
        <v>644</v>
      </c>
      <c r="AQ26" s="771">
        <v>1484.4182616591804</v>
      </c>
      <c r="AR26" s="39">
        <v>5.3581051308268643E-3</v>
      </c>
      <c r="AS26" s="1453"/>
    </row>
    <row r="27" spans="1:45" ht="15.75">
      <c r="A27" s="768" t="s">
        <v>110</v>
      </c>
      <c r="B27" s="762">
        <f>'RRT - Subgrupo - IGEO'!AI26</f>
        <v>15323</v>
      </c>
      <c r="C27" s="768">
        <f t="shared" si="1"/>
        <v>7556.9687124707671</v>
      </c>
      <c r="D27" s="765">
        <f t="shared" si="2"/>
        <v>5.4314607808261739</v>
      </c>
      <c r="E27" s="763">
        <f t="shared" si="3"/>
        <v>36.991526446660068</v>
      </c>
      <c r="F27" s="762">
        <f>'RRT - Subgrupo - IGEO'!AL26</f>
        <v>10339</v>
      </c>
      <c r="G27" s="768">
        <f t="shared" si="4"/>
        <v>5098.9688388850263</v>
      </c>
      <c r="H27" s="765">
        <f t="shared" si="5"/>
        <v>14.050746506256099</v>
      </c>
      <c r="I27" s="765">
        <f t="shared" si="6"/>
        <v>24.95956352750887</v>
      </c>
      <c r="J27" s="762">
        <f>'RRT - Subgrupo - IGEO'!AO26</f>
        <v>450</v>
      </c>
      <c r="K27" s="768">
        <f t="shared" si="7"/>
        <v>221.9301651512005</v>
      </c>
      <c r="L27" s="765">
        <f t="shared" si="8"/>
        <v>5.3481698694068793</v>
      </c>
      <c r="M27" s="765">
        <f t="shared" si="9"/>
        <v>1.0863529922989643</v>
      </c>
      <c r="N27" s="762">
        <f>'RRT - Subgrupo - IGEO'!AR26</f>
        <v>1339</v>
      </c>
      <c r="O27" s="768">
        <f t="shared" si="10"/>
        <v>660.36553586101661</v>
      </c>
      <c r="P27" s="765">
        <f t="shared" si="11"/>
        <v>2.0311806948315763</v>
      </c>
      <c r="Q27" s="765">
        <f t="shared" si="12"/>
        <v>3.2325036815295851</v>
      </c>
      <c r="R27" s="762">
        <f>'RRT - Subgrupo - IGEO'!AU26</f>
        <v>12782</v>
      </c>
      <c r="S27" s="768">
        <f t="shared" si="13"/>
        <v>6303.8030465836546</v>
      </c>
      <c r="T27" s="765">
        <f t="shared" si="14"/>
        <v>10.462865257105904</v>
      </c>
      <c r="U27" s="765">
        <f t="shared" si="15"/>
        <v>30.857253216811912</v>
      </c>
      <c r="V27" s="762">
        <f>'RRT - Subgrupo - IGEO'!AX26</f>
        <v>76</v>
      </c>
      <c r="W27" s="768">
        <f t="shared" si="16"/>
        <v>37.481539003313863</v>
      </c>
      <c r="X27" s="765">
        <f t="shared" si="17"/>
        <v>6.9599426399648712</v>
      </c>
      <c r="Y27" s="765">
        <f t="shared" si="18"/>
        <v>0.18347294981049175</v>
      </c>
      <c r="Z27" s="762">
        <f>'RRT - Subgrupo - IGEO'!BA26</f>
        <v>389</v>
      </c>
      <c r="AA27" s="768">
        <f t="shared" si="19"/>
        <v>191.8462983195933</v>
      </c>
      <c r="AB27" s="765">
        <f t="shared" si="20"/>
        <v>12.924005536361479</v>
      </c>
      <c r="AC27" s="765">
        <f t="shared" si="21"/>
        <v>0.93909180889843802</v>
      </c>
      <c r="AD27" s="762">
        <f>'RRT - Subgrupo - IGEO'!BD26</f>
        <v>702</v>
      </c>
      <c r="AE27" s="768">
        <f t="shared" si="22"/>
        <v>346.21105763587275</v>
      </c>
      <c r="AF27" s="765">
        <f t="shared" si="23"/>
        <v>14.251326856487243</v>
      </c>
      <c r="AG27" s="765">
        <f t="shared" si="24"/>
        <v>1.6947106679863841</v>
      </c>
      <c r="AH27" s="762">
        <f>'RRT - Subgrupo - IGEO'!BG26</f>
        <v>23</v>
      </c>
      <c r="AI27" s="768">
        <f t="shared" si="25"/>
        <v>11.343097329950249</v>
      </c>
      <c r="AJ27" s="765">
        <f t="shared" si="26"/>
        <v>4.4295005144721999</v>
      </c>
      <c r="AK27" s="765">
        <f t="shared" si="27"/>
        <v>5.5524708495280406E-2</v>
      </c>
      <c r="AL27" s="769">
        <f t="shared" si="0"/>
        <v>41423</v>
      </c>
      <c r="AM27" s="761">
        <f>'RRT - Atividades '!I26</f>
        <v>20428.918291240396</v>
      </c>
      <c r="AN27" s="723">
        <f t="shared" si="28"/>
        <v>20428.918291240396</v>
      </c>
      <c r="AO27" s="723">
        <f t="shared" si="29"/>
        <v>0</v>
      </c>
      <c r="AP27" s="1169" t="s">
        <v>643</v>
      </c>
      <c r="AQ27" s="771">
        <v>538.53229749466789</v>
      </c>
      <c r="AR27" s="39">
        <v>1.9438676691412647E-3</v>
      </c>
      <c r="AS27" s="1453"/>
    </row>
    <row r="28" spans="1:45" ht="15.75">
      <c r="A28" s="768" t="s">
        <v>112</v>
      </c>
      <c r="B28" s="762">
        <f>'RRT - Subgrupo - IGEO'!AI27</f>
        <v>1646</v>
      </c>
      <c r="C28" s="768">
        <f t="shared" si="1"/>
        <v>1104.5782420181317</v>
      </c>
      <c r="D28" s="765">
        <f t="shared" si="2"/>
        <v>0.79389946275348067</v>
      </c>
      <c r="E28" s="763">
        <f t="shared" si="3"/>
        <v>57.794943820224717</v>
      </c>
      <c r="F28" s="762">
        <f>'RRT - Subgrupo - IGEO'!AL27</f>
        <v>478</v>
      </c>
      <c r="G28" s="768">
        <f t="shared" si="4"/>
        <v>320.77059519117068</v>
      </c>
      <c r="H28" s="765">
        <f t="shared" si="5"/>
        <v>0.88391721191172745</v>
      </c>
      <c r="I28" s="765">
        <f t="shared" si="6"/>
        <v>16.783707865168537</v>
      </c>
      <c r="J28" s="762">
        <f>'RRT - Subgrupo - IGEO'!AO27</f>
        <v>23</v>
      </c>
      <c r="K28" s="768">
        <f t="shared" si="7"/>
        <v>15.434568387859679</v>
      </c>
      <c r="L28" s="765">
        <f t="shared" si="8"/>
        <v>0.37194895765076452</v>
      </c>
      <c r="M28" s="765">
        <f t="shared" si="9"/>
        <v>0.80758426966292141</v>
      </c>
      <c r="N28" s="762">
        <f>'RRT - Subgrupo - IGEO'!AR27</f>
        <v>115</v>
      </c>
      <c r="O28" s="768">
        <f t="shared" si="10"/>
        <v>77.172841939298394</v>
      </c>
      <c r="P28" s="765">
        <f t="shared" si="11"/>
        <v>0.23737154378901779</v>
      </c>
      <c r="Q28" s="765">
        <f t="shared" si="12"/>
        <v>4.0379213483146073</v>
      </c>
      <c r="R28" s="762">
        <f>'RRT - Subgrupo - IGEO'!AU27</f>
        <v>531</v>
      </c>
      <c r="S28" s="768">
        <f t="shared" si="13"/>
        <v>356.33720930232562</v>
      </c>
      <c r="T28" s="765">
        <f t="shared" si="14"/>
        <v>0.59143792714842724</v>
      </c>
      <c r="U28" s="765">
        <f t="shared" si="15"/>
        <v>18.644662921348313</v>
      </c>
      <c r="V28" s="762">
        <f>'RRT - Subgrupo - IGEO'!AX27</f>
        <v>8</v>
      </c>
      <c r="W28" s="768">
        <f t="shared" si="16"/>
        <v>5.3685455262120616</v>
      </c>
      <c r="X28" s="765">
        <f t="shared" si="17"/>
        <v>0.99688459748604341</v>
      </c>
      <c r="Y28" s="765">
        <f t="shared" si="18"/>
        <v>0.2808988764044944</v>
      </c>
      <c r="Z28" s="762">
        <f>'RRT - Subgrupo - IGEO'!BA27</f>
        <v>15</v>
      </c>
      <c r="AA28" s="768">
        <f t="shared" si="19"/>
        <v>10.066022861647616</v>
      </c>
      <c r="AB28" s="765">
        <f t="shared" si="20"/>
        <v>0.6781123030914824</v>
      </c>
      <c r="AC28" s="765">
        <f t="shared" si="21"/>
        <v>0.526685393258427</v>
      </c>
      <c r="AD28" s="762">
        <f>'RRT - Subgrupo - IGEO'!BD27</f>
        <v>27</v>
      </c>
      <c r="AE28" s="768">
        <f t="shared" si="22"/>
        <v>18.118841150965711</v>
      </c>
      <c r="AF28" s="765">
        <f t="shared" si="23"/>
        <v>0.74583847571605866</v>
      </c>
      <c r="AG28" s="765">
        <f t="shared" si="24"/>
        <v>0.94803370786516861</v>
      </c>
      <c r="AH28" s="762">
        <f>'RRT - Subgrupo - IGEO'!BG27</f>
        <v>5</v>
      </c>
      <c r="AI28" s="768">
        <f t="shared" si="25"/>
        <v>3.3553409538825387</v>
      </c>
      <c r="AJ28" s="765">
        <f t="shared" si="26"/>
        <v>1.3102668564969049</v>
      </c>
      <c r="AK28" s="765">
        <f t="shared" si="27"/>
        <v>0.17556179775280897</v>
      </c>
      <c r="AL28" s="769">
        <f t="shared" si="0"/>
        <v>2848</v>
      </c>
      <c r="AM28" s="761">
        <f>'RRT - Atividades '!I27</f>
        <v>1911.202207331494</v>
      </c>
      <c r="AN28" s="723">
        <f t="shared" si="28"/>
        <v>1911.2022073314938</v>
      </c>
      <c r="AO28" s="723">
        <f t="shared" si="29"/>
        <v>0</v>
      </c>
      <c r="AP28" s="1169" t="s">
        <v>645</v>
      </c>
      <c r="AQ28" s="771">
        <v>256.0807317414172</v>
      </c>
      <c r="AR28" s="39">
        <v>9.2434020659105747E-4</v>
      </c>
      <c r="AS28" s="1453"/>
    </row>
    <row r="29" spans="1:45" ht="16.5" thickBot="1">
      <c r="A29" s="768" t="s">
        <v>111</v>
      </c>
      <c r="B29" s="762">
        <f>'RRT - Subgrupo - IGEO'!AI28</f>
        <v>61483</v>
      </c>
      <c r="C29" s="768">
        <f t="shared" si="1"/>
        <v>54772.937110241422</v>
      </c>
      <c r="D29" s="765">
        <f t="shared" si="2"/>
        <v>39.367247779390034</v>
      </c>
      <c r="E29" s="763">
        <f t="shared" si="3"/>
        <v>51.440308559858771</v>
      </c>
      <c r="F29" s="762">
        <f>'RRT - Subgrupo - IGEO'!AL28</f>
        <v>6979</v>
      </c>
      <c r="G29" s="768">
        <f t="shared" si="4"/>
        <v>6217.3337035013719</v>
      </c>
      <c r="H29" s="765">
        <f t="shared" si="5"/>
        <v>17.132518862735882</v>
      </c>
      <c r="I29" s="765">
        <f t="shared" si="6"/>
        <v>5.8390435313705309</v>
      </c>
      <c r="J29" s="762">
        <f>'RRT - Subgrupo - IGEO'!AO28</f>
        <v>2029</v>
      </c>
      <c r="K29" s="768">
        <f t="shared" si="7"/>
        <v>1807.5612672881909</v>
      </c>
      <c r="L29" s="765">
        <f t="shared" si="8"/>
        <v>43.559399418422522</v>
      </c>
      <c r="M29" s="765">
        <f t="shared" si="9"/>
        <v>1.6975812186775769</v>
      </c>
      <c r="N29" s="762">
        <f>'RRT - Subgrupo - IGEO'!AR28</f>
        <v>25064</v>
      </c>
      <c r="O29" s="768">
        <f t="shared" si="10"/>
        <v>22328.593200251955</v>
      </c>
      <c r="P29" s="765">
        <f t="shared" si="11"/>
        <v>68.679246550874879</v>
      </c>
      <c r="Q29" s="765">
        <f t="shared" si="12"/>
        <v>20.970022506128526</v>
      </c>
      <c r="R29" s="762">
        <f>'RRT - Subgrupo - IGEO'!AU28</f>
        <v>22721</v>
      </c>
      <c r="S29" s="768">
        <f t="shared" si="13"/>
        <v>20241.300913777715</v>
      </c>
      <c r="T29" s="765">
        <f t="shared" si="14"/>
        <v>33.595910678739571</v>
      </c>
      <c r="U29" s="765">
        <f t="shared" si="15"/>
        <v>19.009730344787197</v>
      </c>
      <c r="V29" s="762">
        <f>'RRT - Subgrupo - IGEO'!AX28</f>
        <v>142</v>
      </c>
      <c r="W29" s="768">
        <f t="shared" si="16"/>
        <v>126.50256281662057</v>
      </c>
      <c r="X29" s="765">
        <f t="shared" si="17"/>
        <v>23.49024624987754</v>
      </c>
      <c r="Y29" s="765">
        <f t="shared" si="18"/>
        <v>0.1188055855358383</v>
      </c>
      <c r="Z29" s="762">
        <f>'RRT - Subgrupo - IGEO'!BA28</f>
        <v>375</v>
      </c>
      <c r="AA29" s="768">
        <f t="shared" si="19"/>
        <v>334.07366941008951</v>
      </c>
      <c r="AB29" s="765">
        <f t="shared" si="20"/>
        <v>22.505359711533391</v>
      </c>
      <c r="AC29" s="765">
        <f t="shared" si="21"/>
        <v>0.31374714490098143</v>
      </c>
      <c r="AD29" s="762">
        <f>'RRT - Subgrupo - IGEO'!BD28</f>
        <v>654</v>
      </c>
      <c r="AE29" s="768">
        <f t="shared" si="22"/>
        <v>582.62447945119607</v>
      </c>
      <c r="AF29" s="765">
        <f t="shared" si="23"/>
        <v>23.982977169904796</v>
      </c>
      <c r="AG29" s="765">
        <f t="shared" si="24"/>
        <v>0.54717502070731161</v>
      </c>
      <c r="AH29" s="762">
        <f>'RRT - Subgrupo - IGEO'!BG28</f>
        <v>76</v>
      </c>
      <c r="AI29" s="768">
        <f t="shared" si="25"/>
        <v>67.705597000444811</v>
      </c>
      <c r="AJ29" s="765">
        <f t="shared" si="26"/>
        <v>26.439161017710592</v>
      </c>
      <c r="AK29" s="765">
        <f t="shared" si="27"/>
        <v>6.358608803326557E-2</v>
      </c>
      <c r="AL29" s="769">
        <f t="shared" si="0"/>
        <v>119523</v>
      </c>
      <c r="AM29" s="761">
        <f>'RRT - Atividades '!I28</f>
        <v>106478.63250373901</v>
      </c>
      <c r="AN29" s="723">
        <f t="shared" si="28"/>
        <v>106478.63250373902</v>
      </c>
      <c r="AO29" s="723">
        <f t="shared" si="29"/>
        <v>0</v>
      </c>
      <c r="AP29" s="1170" t="s">
        <v>128</v>
      </c>
      <c r="AQ29" s="1214">
        <f>SUM(AQ20:AQ28)</f>
        <v>277041.64539789548</v>
      </c>
      <c r="AR29" s="1212">
        <f>SUM(AR20:AR28)</f>
        <v>1</v>
      </c>
      <c r="AS29" s="1454"/>
    </row>
    <row r="30" spans="1:45" ht="15.75">
      <c r="A30" s="768" t="s">
        <v>113</v>
      </c>
      <c r="B30" s="762">
        <f>'RRT - Subgrupo - IGEO'!AI29</f>
        <v>1068</v>
      </c>
      <c r="C30" s="768">
        <f t="shared" si="1"/>
        <v>554.52911737943589</v>
      </c>
      <c r="D30" s="765">
        <f t="shared" si="2"/>
        <v>0.39855969601967711</v>
      </c>
      <c r="E30" s="763">
        <f t="shared" si="3"/>
        <v>38.170121515368123</v>
      </c>
      <c r="F30" s="762">
        <f>'RRT - Subgrupo - IGEO'!AL29</f>
        <v>785</v>
      </c>
      <c r="G30" s="768">
        <f t="shared" si="4"/>
        <v>407.58928571428572</v>
      </c>
      <c r="H30" s="765">
        <f t="shared" si="5"/>
        <v>1.1231552718195681</v>
      </c>
      <c r="I30" s="765">
        <f t="shared" si="6"/>
        <v>28.055754110078627</v>
      </c>
      <c r="J30" s="762">
        <f>'RRT - Subgrupo - IGEO'!AO29</f>
        <v>34</v>
      </c>
      <c r="K30" s="768">
        <f t="shared" si="7"/>
        <v>17.653548680618744</v>
      </c>
      <c r="L30" s="765">
        <f t="shared" si="8"/>
        <v>0.4254229121015099</v>
      </c>
      <c r="M30" s="765">
        <f t="shared" si="9"/>
        <v>1.2151536812008579</v>
      </c>
      <c r="N30" s="762">
        <f>'RRT - Subgrupo - IGEO'!AR29</f>
        <v>37</v>
      </c>
      <c r="O30" s="768">
        <f t="shared" si="10"/>
        <v>19.211214740673341</v>
      </c>
      <c r="P30" s="765">
        <f t="shared" si="11"/>
        <v>5.9090679913574584E-2</v>
      </c>
      <c r="Q30" s="765">
        <f t="shared" si="12"/>
        <v>1.3223731236597571</v>
      </c>
      <c r="R30" s="762">
        <f>'RRT - Subgrupo - IGEO'!AU29</f>
        <v>831</v>
      </c>
      <c r="S30" s="768">
        <f t="shared" si="13"/>
        <v>431.47349863512284</v>
      </c>
      <c r="T30" s="765">
        <f t="shared" si="14"/>
        <v>0.71614691082043924</v>
      </c>
      <c r="U30" s="765">
        <f t="shared" si="15"/>
        <v>29.699785561115082</v>
      </c>
      <c r="V30" s="762">
        <f>'RRT - Subgrupo - IGEO'!AX29</f>
        <v>13</v>
      </c>
      <c r="W30" s="768">
        <f t="shared" si="16"/>
        <v>6.7498862602365781</v>
      </c>
      <c r="X30" s="765">
        <f t="shared" si="17"/>
        <v>1.2533855985310538</v>
      </c>
      <c r="Y30" s="765">
        <f t="shared" si="18"/>
        <v>0.46461758398856323</v>
      </c>
      <c r="Z30" s="762">
        <f>'RRT - Subgrupo - IGEO'!BA29</f>
        <v>23</v>
      </c>
      <c r="AA30" s="768">
        <f t="shared" si="19"/>
        <v>11.942106460418563</v>
      </c>
      <c r="AB30" s="765">
        <f t="shared" si="20"/>
        <v>0.80449740944782633</v>
      </c>
      <c r="AC30" s="765">
        <f t="shared" si="21"/>
        <v>0.82201572551822732</v>
      </c>
      <c r="AD30" s="762">
        <f>'RRT - Subgrupo - IGEO'!BD29</f>
        <v>6</v>
      </c>
      <c r="AE30" s="768">
        <f t="shared" si="22"/>
        <v>3.1153321201091897</v>
      </c>
      <c r="AF30" s="765">
        <f t="shared" si="23"/>
        <v>0.12823858548413147</v>
      </c>
      <c r="AG30" s="765">
        <f t="shared" si="24"/>
        <v>0.21443888491779842</v>
      </c>
      <c r="AH30" s="762">
        <f>'RRT - Subgrupo - IGEO'!BG29</f>
        <v>1</v>
      </c>
      <c r="AI30" s="768">
        <f t="shared" si="25"/>
        <v>0.51922202001819839</v>
      </c>
      <c r="AJ30" s="765">
        <f t="shared" si="26"/>
        <v>0.20275716040303007</v>
      </c>
      <c r="AK30" s="765">
        <f t="shared" si="27"/>
        <v>3.5739814152966405E-2</v>
      </c>
      <c r="AL30" s="769">
        <f t="shared" si="0"/>
        <v>2798</v>
      </c>
      <c r="AM30" s="761">
        <f>'RRT - Atividades '!I29</f>
        <v>1452.783212010919</v>
      </c>
      <c r="AN30" s="723">
        <f t="shared" si="28"/>
        <v>1452.7832120109185</v>
      </c>
      <c r="AO30" s="723">
        <f t="shared" si="29"/>
        <v>0</v>
      </c>
    </row>
    <row r="31" spans="1:45" ht="15.75">
      <c r="A31" s="774" t="s">
        <v>128</v>
      </c>
      <c r="B31" s="774">
        <f>SUM(B4:B30)</f>
        <v>195422</v>
      </c>
      <c r="C31" s="774">
        <f>SUM(C4:C30)</f>
        <v>139133.26483269359</v>
      </c>
      <c r="D31" s="775">
        <f>SUM(D4:D30)</f>
        <v>100</v>
      </c>
      <c r="E31" s="775">
        <f t="shared" si="3"/>
        <v>50.221065007344379</v>
      </c>
      <c r="F31" s="774">
        <f>SUM(F4:F30)</f>
        <v>61050</v>
      </c>
      <c r="G31" s="774">
        <f t="shared" ref="G31:AJ31" si="31">SUM(G4:G30)</f>
        <v>36289.665012565056</v>
      </c>
      <c r="H31" s="775">
        <f t="shared" si="31"/>
        <v>100.00000000000001</v>
      </c>
      <c r="I31" s="775">
        <f t="shared" si="6"/>
        <v>13.098992738237875</v>
      </c>
      <c r="J31" s="774">
        <f t="shared" si="31"/>
        <v>5661</v>
      </c>
      <c r="K31" s="774">
        <f t="shared" si="31"/>
        <v>4149.6468992263499</v>
      </c>
      <c r="L31" s="775">
        <f t="shared" si="31"/>
        <v>100.00000000000001</v>
      </c>
      <c r="M31" s="775">
        <f t="shared" si="9"/>
        <v>1.4978422804508336</v>
      </c>
      <c r="N31" s="774">
        <f t="shared" si="31"/>
        <v>39865</v>
      </c>
      <c r="O31" s="774">
        <f t="shared" si="31"/>
        <v>32511.412576012772</v>
      </c>
      <c r="P31" s="775">
        <f t="shared" si="31"/>
        <v>100.00000000000001</v>
      </c>
      <c r="Q31" s="775">
        <f t="shared" si="12"/>
        <v>11.735207726375908</v>
      </c>
      <c r="R31" s="774">
        <f t="shared" si="31"/>
        <v>93677</v>
      </c>
      <c r="S31" s="774">
        <f t="shared" si="31"/>
        <v>60249.29970595194</v>
      </c>
      <c r="T31" s="775">
        <f t="shared" si="31"/>
        <v>100.00000000000001</v>
      </c>
      <c r="U31" s="775">
        <f t="shared" si="15"/>
        <v>21.747380116595863</v>
      </c>
      <c r="V31" s="774">
        <f t="shared" si="31"/>
        <v>810</v>
      </c>
      <c r="W31" s="774">
        <f t="shared" si="31"/>
        <v>538.53229749466789</v>
      </c>
      <c r="X31" s="775">
        <f t="shared" si="31"/>
        <v>99.999999999999986</v>
      </c>
      <c r="Y31" s="775">
        <f t="shared" si="18"/>
        <v>0.19438676691412646</v>
      </c>
      <c r="Z31" s="774">
        <f t="shared" si="31"/>
        <v>2270</v>
      </c>
      <c r="AA31" s="774">
        <f t="shared" si="31"/>
        <v>1484.4182616591804</v>
      </c>
      <c r="AB31" s="775">
        <f t="shared" si="31"/>
        <v>100</v>
      </c>
      <c r="AC31" s="775">
        <f t="shared" si="21"/>
        <v>0.53581051308268646</v>
      </c>
      <c r="AD31" s="774">
        <f t="shared" si="31"/>
        <v>3824</v>
      </c>
      <c r="AE31" s="774">
        <f t="shared" si="31"/>
        <v>2429.3250805504931</v>
      </c>
      <c r="AF31" s="775">
        <f t="shared" si="31"/>
        <v>100.00000000000001</v>
      </c>
      <c r="AG31" s="775">
        <f t="shared" si="24"/>
        <v>0.87688083033921638</v>
      </c>
      <c r="AH31" s="774">
        <f t="shared" si="31"/>
        <v>354</v>
      </c>
      <c r="AI31" s="774">
        <f t="shared" si="31"/>
        <v>256.0807317414172</v>
      </c>
      <c r="AJ31" s="775">
        <f t="shared" si="31"/>
        <v>99.999999999999986</v>
      </c>
      <c r="AK31" s="775">
        <f t="shared" si="27"/>
        <v>9.2434020659105748E-2</v>
      </c>
      <c r="AL31" s="774">
        <f t="shared" ref="AL31" si="32">AH31+AD31+Z31+V31+R31+N31+J31+F31+B31</f>
        <v>402933</v>
      </c>
      <c r="AM31" s="774">
        <f>SUM(AM4:AM30)</f>
        <v>277041.64539789548</v>
      </c>
      <c r="AN31" s="723">
        <f t="shared" si="28"/>
        <v>277041.64539789548</v>
      </c>
      <c r="AO31" s="723">
        <f t="shared" si="29"/>
        <v>0</v>
      </c>
    </row>
    <row r="32" spans="1:45" s="723" customFormat="1" ht="15.75">
      <c r="B32" s="776">
        <f>'RRT - Subgrupo - IGEO'!AI30</f>
        <v>195422</v>
      </c>
      <c r="C32" s="777"/>
      <c r="D32" s="776"/>
      <c r="E32" s="776"/>
      <c r="F32" s="776">
        <f>'RRT - Subgrupo - IGEO'!AL30</f>
        <v>61050</v>
      </c>
      <c r="G32" s="777"/>
      <c r="H32" s="776"/>
      <c r="I32" s="776"/>
      <c r="J32" s="776">
        <f>'RRT - Subgrupo - IGEO'!AO30</f>
        <v>5661</v>
      </c>
      <c r="K32" s="777"/>
      <c r="L32" s="776"/>
      <c r="M32" s="776"/>
      <c r="N32" s="776">
        <f>'RRT - Subgrupo - IGEO'!AR30</f>
        <v>39865</v>
      </c>
      <c r="O32" s="777"/>
      <c r="P32" s="776"/>
      <c r="Q32" s="776"/>
      <c r="R32" s="776">
        <f>'RRT - Subgrupo - IGEO'!AU30</f>
        <v>93677</v>
      </c>
      <c r="S32" s="777"/>
      <c r="T32" s="776"/>
      <c r="U32" s="776"/>
      <c r="V32" s="776">
        <f>'RRT - Subgrupo - IGEO'!AX30</f>
        <v>810</v>
      </c>
      <c r="W32" s="777"/>
      <c r="X32" s="776"/>
      <c r="Y32" s="776"/>
      <c r="Z32" s="776">
        <f>'RRT - Subgrupo - IGEO'!BA30</f>
        <v>2270</v>
      </c>
      <c r="AA32" s="777"/>
      <c r="AB32" s="776"/>
      <c r="AC32" s="776"/>
      <c r="AD32" s="776">
        <f>'RRT - Subgrupo - IGEO'!BD30</f>
        <v>3824</v>
      </c>
      <c r="AE32" s="777"/>
      <c r="AF32" s="776"/>
      <c r="AG32" s="776"/>
      <c r="AH32" s="776">
        <f>'RRT - Subgrupo - IGEO'!BG30</f>
        <v>354</v>
      </c>
      <c r="AI32" s="777"/>
      <c r="AJ32" s="776"/>
      <c r="AK32" s="776"/>
      <c r="AL32" s="776">
        <f>B32+F32+J32+N32+R32+V32+Z32+AD32+AH32</f>
        <v>402933</v>
      </c>
      <c r="AM32" s="777">
        <f>'RRT - Atividades '!I30</f>
        <v>277041.64539789548</v>
      </c>
    </row>
    <row r="33" spans="1:44" s="12" customFormat="1" ht="18" customHeight="1">
      <c r="B33" s="778">
        <f>B31-B32</f>
        <v>0</v>
      </c>
      <c r="C33" s="779"/>
      <c r="D33" s="779"/>
      <c r="E33" s="779"/>
      <c r="F33" s="778">
        <f>F31-F32</f>
        <v>0</v>
      </c>
      <c r="G33" s="779"/>
      <c r="H33" s="779"/>
      <c r="I33" s="779"/>
      <c r="J33" s="778">
        <f>J31-J32</f>
        <v>0</v>
      </c>
      <c r="K33" s="779"/>
      <c r="L33" s="779"/>
      <c r="M33" s="779"/>
      <c r="N33" s="778">
        <f>N31-N32</f>
        <v>0</v>
      </c>
      <c r="O33" s="779"/>
      <c r="P33" s="779"/>
      <c r="Q33" s="779"/>
      <c r="R33" s="778">
        <f>R31-R32</f>
        <v>0</v>
      </c>
      <c r="S33" s="779"/>
      <c r="T33" s="779"/>
      <c r="U33" s="779"/>
      <c r="V33" s="778">
        <f>V31-V32</f>
        <v>0</v>
      </c>
      <c r="W33" s="779"/>
      <c r="X33" s="779"/>
      <c r="Y33" s="779"/>
      <c r="Z33" s="778">
        <f>Z31-Z32</f>
        <v>0</v>
      </c>
      <c r="AA33" s="779"/>
      <c r="AB33" s="779"/>
      <c r="AC33" s="779"/>
      <c r="AD33" s="778">
        <f>AD31-AD32</f>
        <v>0</v>
      </c>
      <c r="AE33" s="779"/>
      <c r="AF33" s="779"/>
      <c r="AG33" s="779"/>
      <c r="AH33" s="778">
        <f>AH31-AH32</f>
        <v>0</v>
      </c>
      <c r="AI33" s="779"/>
      <c r="AJ33" s="779"/>
      <c r="AK33" s="779"/>
      <c r="AL33" s="778">
        <f t="shared" ref="AL33:AM33" si="33">AL31-AL32</f>
        <v>0</v>
      </c>
      <c r="AM33" s="778">
        <f t="shared" si="33"/>
        <v>0</v>
      </c>
      <c r="AN33" s="723"/>
    </row>
    <row r="34" spans="1:44" ht="18" customHeight="1">
      <c r="A34" s="780"/>
      <c r="B34" s="780"/>
      <c r="C34" s="780"/>
      <c r="D34" s="780"/>
      <c r="E34" s="780"/>
      <c r="F34" s="780"/>
      <c r="G34" s="780"/>
      <c r="AP34" s="12"/>
      <c r="AQ34" s="12"/>
      <c r="AR34" s="12"/>
    </row>
    <row r="35" spans="1:44" ht="18" hidden="1" customHeight="1">
      <c r="A35" s="274" t="s">
        <v>87</v>
      </c>
      <c r="B35" s="756">
        <f t="shared" ref="B35:B61" si="34">B4/$AL4</f>
        <v>0.67863894139886582</v>
      </c>
      <c r="C35" s="780"/>
      <c r="D35" s="780"/>
      <c r="E35" s="274" t="s">
        <v>87</v>
      </c>
      <c r="F35" s="756">
        <f>F4/$AL4</f>
        <v>0.10586011342155009</v>
      </c>
      <c r="I35" s="274" t="s">
        <v>87</v>
      </c>
      <c r="J35" s="756">
        <f>J4/$AL4</f>
        <v>1.2287334593572778E-2</v>
      </c>
      <c r="M35" s="274" t="s">
        <v>87</v>
      </c>
      <c r="N35" s="756">
        <f>N4/$AL4</f>
        <v>3.2136105860113423E-2</v>
      </c>
      <c r="Q35" s="274" t="s">
        <v>87</v>
      </c>
      <c r="R35" s="756">
        <f>R4/$AL4</f>
        <v>0.15028355387523629</v>
      </c>
      <c r="U35" s="274" t="s">
        <v>87</v>
      </c>
      <c r="V35" s="756">
        <f>V4/$AL4</f>
        <v>2.8355387523629491E-3</v>
      </c>
      <c r="Y35" s="274" t="s">
        <v>87</v>
      </c>
      <c r="Z35" s="756">
        <f>Z4/$AL4</f>
        <v>5.6710775047258983E-3</v>
      </c>
      <c r="AC35" s="274" t="s">
        <v>87</v>
      </c>
      <c r="AD35" s="756">
        <f>AD4/$AL4</f>
        <v>1.1342155009451797E-2</v>
      </c>
      <c r="AG35" s="274" t="s">
        <v>87</v>
      </c>
      <c r="AH35" s="756">
        <f>AH4/$AL4</f>
        <v>9.4517958412098301E-4</v>
      </c>
      <c r="AK35" s="274" t="s">
        <v>87</v>
      </c>
      <c r="AL35" s="756">
        <f>AL4/$AL4</f>
        <v>1</v>
      </c>
    </row>
    <row r="36" spans="1:44" ht="18" hidden="1" customHeight="1">
      <c r="A36" s="758" t="s">
        <v>88</v>
      </c>
      <c r="B36" s="756">
        <f t="shared" si="34"/>
        <v>0.49173553719008267</v>
      </c>
      <c r="C36" s="780"/>
      <c r="D36" s="780"/>
      <c r="E36" s="758" t="s">
        <v>88</v>
      </c>
      <c r="F36" s="756">
        <f t="shared" ref="F36:F61" si="35">F5/$AL5</f>
        <v>0.20006887052341599</v>
      </c>
      <c r="I36" s="758" t="s">
        <v>88</v>
      </c>
      <c r="J36" s="756">
        <f t="shared" ref="J36:J61" si="36">J5/$AL5</f>
        <v>8.9531680440771352E-3</v>
      </c>
      <c r="M36" s="758" t="s">
        <v>88</v>
      </c>
      <c r="N36" s="756">
        <f t="shared" ref="N36:N61" si="37">N5/$AL5</f>
        <v>2.1694214876033058E-2</v>
      </c>
      <c r="Q36" s="758" t="s">
        <v>88</v>
      </c>
      <c r="R36" s="756">
        <f t="shared" ref="R36:R61" si="38">R5/$AL5</f>
        <v>0.26825068870523416</v>
      </c>
      <c r="U36" s="758" t="s">
        <v>88</v>
      </c>
      <c r="V36" s="756">
        <f t="shared" ref="V36:V61" si="39">V5/$AL5</f>
        <v>2.0661157024793389E-3</v>
      </c>
      <c r="Y36" s="758" t="s">
        <v>88</v>
      </c>
      <c r="Z36" s="756">
        <f t="shared" ref="Z36:Z61" si="40">Z5/$AL5</f>
        <v>4.4765840220385676E-3</v>
      </c>
      <c r="AC36" s="758" t="s">
        <v>88</v>
      </c>
      <c r="AD36" s="756">
        <f t="shared" ref="AD36:AD61" si="41">AD5/$AL5</f>
        <v>2.7548209366391185E-3</v>
      </c>
      <c r="AG36" s="758" t="s">
        <v>88</v>
      </c>
      <c r="AH36" s="756">
        <f t="shared" ref="AH36:AH61" si="42">AH5/$AL5</f>
        <v>0</v>
      </c>
      <c r="AK36" s="758" t="s">
        <v>88</v>
      </c>
      <c r="AL36" s="756">
        <f t="shared" ref="AL36:AL61" si="43">AL5/$AL5</f>
        <v>1</v>
      </c>
    </row>
    <row r="37" spans="1:44" ht="18" hidden="1" customHeight="1">
      <c r="A37" s="758" t="s">
        <v>90</v>
      </c>
      <c r="B37" s="756">
        <f t="shared" si="34"/>
        <v>0.52204277608031424</v>
      </c>
      <c r="C37" s="780"/>
      <c r="D37" s="780"/>
      <c r="E37" s="758" t="s">
        <v>90</v>
      </c>
      <c r="F37" s="756">
        <f t="shared" si="35"/>
        <v>7.4639895242252285E-2</v>
      </c>
      <c r="I37" s="758" t="s">
        <v>90</v>
      </c>
      <c r="J37" s="756">
        <f t="shared" si="36"/>
        <v>2.2261021388040158E-2</v>
      </c>
      <c r="M37" s="758" t="s">
        <v>90</v>
      </c>
      <c r="N37" s="756">
        <f t="shared" si="37"/>
        <v>9.8646879092099515E-2</v>
      </c>
      <c r="Q37" s="758" t="s">
        <v>90</v>
      </c>
      <c r="R37" s="756">
        <f t="shared" si="38"/>
        <v>0.25010912265386293</v>
      </c>
      <c r="U37" s="758" t="s">
        <v>90</v>
      </c>
      <c r="V37" s="756">
        <f t="shared" si="39"/>
        <v>5.6743780008729813E-3</v>
      </c>
      <c r="Y37" s="758" t="s">
        <v>90</v>
      </c>
      <c r="Z37" s="756">
        <f t="shared" si="40"/>
        <v>1.0039284155390659E-2</v>
      </c>
      <c r="AC37" s="758" t="s">
        <v>90</v>
      </c>
      <c r="AD37" s="756">
        <f t="shared" si="41"/>
        <v>1.3531209079004802E-2</v>
      </c>
      <c r="AG37" s="758" t="s">
        <v>90</v>
      </c>
      <c r="AH37" s="756">
        <f t="shared" si="42"/>
        <v>3.0554343081623746E-3</v>
      </c>
      <c r="AK37" s="758" t="s">
        <v>90</v>
      </c>
      <c r="AL37" s="756">
        <f t="shared" si="43"/>
        <v>1</v>
      </c>
    </row>
    <row r="38" spans="1:44" ht="18" hidden="1" customHeight="1">
      <c r="A38" s="758" t="s">
        <v>89</v>
      </c>
      <c r="B38" s="756">
        <f t="shared" si="34"/>
        <v>0.44507164567954843</v>
      </c>
      <c r="C38" s="780"/>
      <c r="D38" s="780"/>
      <c r="E38" s="758" t="s">
        <v>89</v>
      </c>
      <c r="F38" s="756">
        <f t="shared" si="35"/>
        <v>0.17716022579244464</v>
      </c>
      <c r="I38" s="758" t="s">
        <v>89</v>
      </c>
      <c r="J38" s="756">
        <f t="shared" si="36"/>
        <v>1.0421189752496743E-2</v>
      </c>
      <c r="M38" s="758" t="s">
        <v>89</v>
      </c>
      <c r="N38" s="756">
        <f t="shared" si="37"/>
        <v>6.9474598349978291E-3</v>
      </c>
      <c r="Q38" s="758" t="s">
        <v>89</v>
      </c>
      <c r="R38" s="756">
        <f t="shared" si="38"/>
        <v>0.33651758575770735</v>
      </c>
      <c r="U38" s="758" t="s">
        <v>89</v>
      </c>
      <c r="V38" s="756">
        <f t="shared" si="39"/>
        <v>6.0790273556231003E-3</v>
      </c>
      <c r="Y38" s="758" t="s">
        <v>89</v>
      </c>
      <c r="Z38" s="756">
        <f t="shared" si="40"/>
        <v>5.2105948762483714E-3</v>
      </c>
      <c r="AC38" s="758" t="s">
        <v>89</v>
      </c>
      <c r="AD38" s="756">
        <f t="shared" si="41"/>
        <v>1.2158054711246201E-2</v>
      </c>
      <c r="AG38" s="758" t="s">
        <v>89</v>
      </c>
      <c r="AH38" s="756">
        <f t="shared" si="42"/>
        <v>4.3421623968736432E-4</v>
      </c>
      <c r="AK38" s="758" t="s">
        <v>89</v>
      </c>
      <c r="AL38" s="756">
        <f t="shared" si="43"/>
        <v>1</v>
      </c>
    </row>
    <row r="39" spans="1:44" ht="18" hidden="1" customHeight="1">
      <c r="A39" s="758" t="s">
        <v>91</v>
      </c>
      <c r="B39" s="756">
        <f t="shared" si="34"/>
        <v>0.54896948394312195</v>
      </c>
      <c r="C39" s="780"/>
      <c r="D39" s="780"/>
      <c r="E39" s="758" t="s">
        <v>91</v>
      </c>
      <c r="F39" s="756">
        <f t="shared" si="35"/>
        <v>0.14954465569579806</v>
      </c>
      <c r="I39" s="758" t="s">
        <v>91</v>
      </c>
      <c r="J39" s="756">
        <f t="shared" si="36"/>
        <v>1.6616072855088673E-2</v>
      </c>
      <c r="M39" s="758" t="s">
        <v>91</v>
      </c>
      <c r="N39" s="756">
        <f t="shared" si="37"/>
        <v>5.5440166160728548E-2</v>
      </c>
      <c r="Q39" s="758" t="s">
        <v>91</v>
      </c>
      <c r="R39" s="756">
        <f t="shared" si="38"/>
        <v>0.20833999041380413</v>
      </c>
      <c r="U39" s="758" t="s">
        <v>91</v>
      </c>
      <c r="V39" s="756">
        <f t="shared" si="39"/>
        <v>3.6747084198753793E-3</v>
      </c>
      <c r="Y39" s="758" t="s">
        <v>91</v>
      </c>
      <c r="Z39" s="756">
        <f t="shared" si="40"/>
        <v>7.1896469084518294E-3</v>
      </c>
      <c r="AC39" s="758" t="s">
        <v>91</v>
      </c>
      <c r="AD39" s="756">
        <f t="shared" si="41"/>
        <v>7.828726633647547E-3</v>
      </c>
      <c r="AG39" s="758" t="s">
        <v>91</v>
      </c>
      <c r="AH39" s="756">
        <f t="shared" si="42"/>
        <v>2.3965489694839433E-3</v>
      </c>
      <c r="AK39" s="758" t="s">
        <v>91</v>
      </c>
      <c r="AL39" s="756">
        <f t="shared" si="43"/>
        <v>1</v>
      </c>
    </row>
    <row r="40" spans="1:44" ht="18" hidden="1" customHeight="1">
      <c r="A40" s="758" t="s">
        <v>92</v>
      </c>
      <c r="B40" s="756">
        <f t="shared" si="34"/>
        <v>0.45573631945911686</v>
      </c>
      <c r="C40" s="780"/>
      <c r="D40" s="780"/>
      <c r="E40" s="758" t="s">
        <v>92</v>
      </c>
      <c r="F40" s="756">
        <f t="shared" si="35"/>
        <v>0.19480245087682233</v>
      </c>
      <c r="I40" s="758" t="s">
        <v>92</v>
      </c>
      <c r="J40" s="756">
        <f t="shared" si="36"/>
        <v>2.6410310585252481E-2</v>
      </c>
      <c r="M40" s="758" t="s">
        <v>92</v>
      </c>
      <c r="N40" s="756">
        <f t="shared" si="37"/>
        <v>5.7046270864145363E-2</v>
      </c>
      <c r="Q40" s="758" t="s">
        <v>92</v>
      </c>
      <c r="R40" s="756">
        <f t="shared" si="38"/>
        <v>0.25501795901119795</v>
      </c>
      <c r="U40" s="758" t="s">
        <v>92</v>
      </c>
      <c r="V40" s="756">
        <f t="shared" si="39"/>
        <v>2.5353898161842381E-3</v>
      </c>
      <c r="Y40" s="758" t="s">
        <v>92</v>
      </c>
      <c r="Z40" s="756">
        <f t="shared" si="40"/>
        <v>1.9015423621381788E-3</v>
      </c>
      <c r="AC40" s="758" t="s">
        <v>92</v>
      </c>
      <c r="AD40" s="756">
        <f t="shared" si="41"/>
        <v>5.9159095710965559E-3</v>
      </c>
      <c r="AG40" s="758" t="s">
        <v>92</v>
      </c>
      <c r="AH40" s="756">
        <f t="shared" si="42"/>
        <v>6.3384745404605953E-4</v>
      </c>
      <c r="AK40" s="758" t="s">
        <v>92</v>
      </c>
      <c r="AL40" s="756">
        <f t="shared" si="43"/>
        <v>1</v>
      </c>
    </row>
    <row r="41" spans="1:44" ht="18" hidden="1" customHeight="1">
      <c r="A41" s="758" t="s">
        <v>93</v>
      </c>
      <c r="B41" s="756">
        <f t="shared" si="34"/>
        <v>0.4224857268335529</v>
      </c>
      <c r="C41" s="780"/>
      <c r="D41" s="780"/>
      <c r="E41" s="758" t="s">
        <v>93</v>
      </c>
      <c r="F41" s="756">
        <f t="shared" si="35"/>
        <v>0.12501829893134242</v>
      </c>
      <c r="I41" s="758" t="s">
        <v>93</v>
      </c>
      <c r="J41" s="756">
        <f t="shared" si="36"/>
        <v>3.5719513980383547E-2</v>
      </c>
      <c r="M41" s="758" t="s">
        <v>93</v>
      </c>
      <c r="N41" s="756">
        <f t="shared" si="37"/>
        <v>0.23232323232323232</v>
      </c>
      <c r="Q41" s="758" t="s">
        <v>93</v>
      </c>
      <c r="R41" s="756">
        <f t="shared" si="38"/>
        <v>0.17728004684526424</v>
      </c>
      <c r="U41" s="758" t="s">
        <v>93</v>
      </c>
      <c r="V41" s="756">
        <f t="shared" si="39"/>
        <v>2.0494803103498754E-3</v>
      </c>
      <c r="Y41" s="758" t="s">
        <v>93</v>
      </c>
      <c r="Z41" s="756">
        <f t="shared" si="40"/>
        <v>8.7834870443566099E-4</v>
      </c>
      <c r="AC41" s="758" t="s">
        <v>93</v>
      </c>
      <c r="AD41" s="756">
        <f t="shared" si="41"/>
        <v>3.8061777192211974E-3</v>
      </c>
      <c r="AG41" s="758" t="s">
        <v>93</v>
      </c>
      <c r="AH41" s="756">
        <f t="shared" si="42"/>
        <v>4.391743522178305E-4</v>
      </c>
      <c r="AK41" s="758" t="s">
        <v>93</v>
      </c>
      <c r="AL41" s="756">
        <f t="shared" si="43"/>
        <v>1</v>
      </c>
    </row>
    <row r="42" spans="1:44" ht="18" hidden="1" customHeight="1">
      <c r="A42" s="758" t="s">
        <v>94</v>
      </c>
      <c r="B42" s="756">
        <f t="shared" si="34"/>
        <v>0.57230102442868402</v>
      </c>
      <c r="C42" s="780"/>
      <c r="D42" s="780"/>
      <c r="E42" s="758" t="s">
        <v>94</v>
      </c>
      <c r="F42" s="756">
        <f t="shared" si="35"/>
        <v>7.7423167848699764E-2</v>
      </c>
      <c r="I42" s="758" t="s">
        <v>94</v>
      </c>
      <c r="J42" s="756">
        <f t="shared" si="36"/>
        <v>1.9503546099290781E-2</v>
      </c>
      <c r="M42" s="758" t="s">
        <v>94</v>
      </c>
      <c r="N42" s="756">
        <f t="shared" si="37"/>
        <v>0.15070921985815602</v>
      </c>
      <c r="Q42" s="758" t="s">
        <v>94</v>
      </c>
      <c r="R42" s="756">
        <f t="shared" si="38"/>
        <v>0.17040977147360126</v>
      </c>
      <c r="U42" s="758" t="s">
        <v>94</v>
      </c>
      <c r="V42" s="756">
        <f t="shared" si="39"/>
        <v>1.7730496453900709E-3</v>
      </c>
      <c r="Y42" s="758" t="s">
        <v>94</v>
      </c>
      <c r="Z42" s="756">
        <f t="shared" si="40"/>
        <v>2.56107171000788E-3</v>
      </c>
      <c r="AC42" s="758" t="s">
        <v>94</v>
      </c>
      <c r="AD42" s="756">
        <f t="shared" si="41"/>
        <v>3.9401103230890461E-3</v>
      </c>
      <c r="AG42" s="758" t="s">
        <v>94</v>
      </c>
      <c r="AH42" s="756">
        <f t="shared" si="42"/>
        <v>1.3790386130811663E-3</v>
      </c>
      <c r="AK42" s="758" t="s">
        <v>94</v>
      </c>
      <c r="AL42" s="756">
        <f t="shared" si="43"/>
        <v>1</v>
      </c>
    </row>
    <row r="43" spans="1:44" ht="18" hidden="1" customHeight="1">
      <c r="A43" s="758" t="s">
        <v>95</v>
      </c>
      <c r="B43" s="756">
        <f t="shared" si="34"/>
        <v>0.39719674327527571</v>
      </c>
      <c r="C43" s="780"/>
      <c r="D43" s="780"/>
      <c r="E43" s="758" t="s">
        <v>95</v>
      </c>
      <c r="F43" s="756">
        <f t="shared" si="35"/>
        <v>0.24806760795630217</v>
      </c>
      <c r="I43" s="758" t="s">
        <v>95</v>
      </c>
      <c r="J43" s="756">
        <f t="shared" si="36"/>
        <v>9.3785427187467792E-3</v>
      </c>
      <c r="M43" s="758" t="s">
        <v>95</v>
      </c>
      <c r="N43" s="756">
        <f t="shared" si="37"/>
        <v>2.5971349067298772E-2</v>
      </c>
      <c r="Q43" s="758" t="s">
        <v>95</v>
      </c>
      <c r="R43" s="756">
        <f t="shared" si="38"/>
        <v>0.29418736473255697</v>
      </c>
      <c r="U43" s="758" t="s">
        <v>95</v>
      </c>
      <c r="V43" s="756">
        <f t="shared" si="39"/>
        <v>2.0612181799443473E-3</v>
      </c>
      <c r="Y43" s="758" t="s">
        <v>95</v>
      </c>
      <c r="Z43" s="756">
        <f t="shared" si="40"/>
        <v>4.6892713593733896E-3</v>
      </c>
      <c r="AC43" s="758" t="s">
        <v>95</v>
      </c>
      <c r="AD43" s="756">
        <f t="shared" si="41"/>
        <v>1.7932598165515821E-2</v>
      </c>
      <c r="AG43" s="758" t="s">
        <v>95</v>
      </c>
      <c r="AH43" s="756">
        <f t="shared" si="42"/>
        <v>5.1530454498608682E-4</v>
      </c>
      <c r="AK43" s="758" t="s">
        <v>95</v>
      </c>
      <c r="AL43" s="756">
        <f t="shared" si="43"/>
        <v>1</v>
      </c>
    </row>
    <row r="44" spans="1:44" ht="18" hidden="1" customHeight="1">
      <c r="A44" s="758" t="s">
        <v>96</v>
      </c>
      <c r="B44" s="756">
        <f t="shared" si="34"/>
        <v>0.50375505488157135</v>
      </c>
      <c r="E44" s="758" t="s">
        <v>96</v>
      </c>
      <c r="F44" s="756">
        <f t="shared" si="35"/>
        <v>9.4742923165800116E-2</v>
      </c>
      <c r="I44" s="758" t="s">
        <v>96</v>
      </c>
      <c r="J44" s="756">
        <f t="shared" si="36"/>
        <v>2.9462738301559793E-2</v>
      </c>
      <c r="M44" s="758" t="s">
        <v>96</v>
      </c>
      <c r="N44" s="756">
        <f t="shared" si="37"/>
        <v>0.1340265742345465</v>
      </c>
      <c r="Q44" s="758" t="s">
        <v>96</v>
      </c>
      <c r="R44" s="756">
        <f t="shared" si="38"/>
        <v>0.20103986135181975</v>
      </c>
      <c r="U44" s="758" t="s">
        <v>96</v>
      </c>
      <c r="V44" s="756">
        <f t="shared" si="39"/>
        <v>4.0439052570768342E-3</v>
      </c>
      <c r="Y44" s="758" t="s">
        <v>96</v>
      </c>
      <c r="Z44" s="756">
        <f t="shared" si="40"/>
        <v>1.8486424032351241E-2</v>
      </c>
      <c r="AC44" s="758" t="s">
        <v>96</v>
      </c>
      <c r="AD44" s="756">
        <f t="shared" si="41"/>
        <v>1.097631426920855E-2</v>
      </c>
      <c r="AG44" s="758" t="s">
        <v>96</v>
      </c>
      <c r="AH44" s="756">
        <f t="shared" si="42"/>
        <v>3.4662045060658577E-3</v>
      </c>
      <c r="AK44" s="758" t="s">
        <v>96</v>
      </c>
      <c r="AL44" s="756">
        <f t="shared" si="43"/>
        <v>1</v>
      </c>
    </row>
    <row r="45" spans="1:44" ht="18" hidden="1" customHeight="1">
      <c r="A45" s="758" t="s">
        <v>99</v>
      </c>
      <c r="B45" s="756">
        <f t="shared" si="34"/>
        <v>0.62116012388047204</v>
      </c>
      <c r="E45" s="758" t="s">
        <v>99</v>
      </c>
      <c r="F45" s="756">
        <f t="shared" si="35"/>
        <v>0.13417594375156944</v>
      </c>
      <c r="I45" s="758" t="s">
        <v>99</v>
      </c>
      <c r="J45" s="756">
        <f t="shared" si="36"/>
        <v>1.1216204904997071E-2</v>
      </c>
      <c r="M45" s="758" t="s">
        <v>99</v>
      </c>
      <c r="N45" s="756">
        <f t="shared" si="37"/>
        <v>3.6578220473759103E-2</v>
      </c>
      <c r="Q45" s="758" t="s">
        <v>99</v>
      </c>
      <c r="R45" s="756">
        <f t="shared" si="38"/>
        <v>0.16891269774838871</v>
      </c>
      <c r="U45" s="758" t="s">
        <v>99</v>
      </c>
      <c r="V45" s="756">
        <f t="shared" si="39"/>
        <v>2.427387628693396E-3</v>
      </c>
      <c r="Y45" s="758" t="s">
        <v>99</v>
      </c>
      <c r="Z45" s="756">
        <f t="shared" si="40"/>
        <v>6.8636477776847747E-3</v>
      </c>
      <c r="AC45" s="758" t="s">
        <v>99</v>
      </c>
      <c r="AD45" s="756">
        <f t="shared" si="41"/>
        <v>1.5903574119025696E-2</v>
      </c>
      <c r="AG45" s="758" t="s">
        <v>99</v>
      </c>
      <c r="AH45" s="756">
        <f t="shared" si="42"/>
        <v>2.7621997154097262E-3</v>
      </c>
      <c r="AK45" s="758" t="s">
        <v>99</v>
      </c>
      <c r="AL45" s="756">
        <f t="shared" si="43"/>
        <v>1</v>
      </c>
    </row>
    <row r="46" spans="1:44" ht="18" hidden="1" customHeight="1">
      <c r="A46" s="758" t="s">
        <v>98</v>
      </c>
      <c r="B46" s="756">
        <f t="shared" si="34"/>
        <v>0.75487679671457908</v>
      </c>
      <c r="E46" s="758" t="s">
        <v>98</v>
      </c>
      <c r="F46" s="756">
        <f t="shared" si="35"/>
        <v>7.7900410677618076E-2</v>
      </c>
      <c r="I46" s="758" t="s">
        <v>98</v>
      </c>
      <c r="J46" s="756">
        <f t="shared" si="36"/>
        <v>1.3603696098562629E-2</v>
      </c>
      <c r="M46" s="758" t="s">
        <v>98</v>
      </c>
      <c r="N46" s="756">
        <f t="shared" si="37"/>
        <v>3.4394250513347026E-2</v>
      </c>
      <c r="Q46" s="758" t="s">
        <v>98</v>
      </c>
      <c r="R46" s="756">
        <f t="shared" si="38"/>
        <v>0.1063911704312115</v>
      </c>
      <c r="U46" s="758" t="s">
        <v>98</v>
      </c>
      <c r="V46" s="756">
        <f t="shared" si="39"/>
        <v>4.7484599589322383E-3</v>
      </c>
      <c r="Y46" s="758" t="s">
        <v>98</v>
      </c>
      <c r="Z46" s="756">
        <f t="shared" si="40"/>
        <v>3.8501026694045173E-3</v>
      </c>
      <c r="AC46" s="758" t="s">
        <v>98</v>
      </c>
      <c r="AD46" s="756">
        <f t="shared" si="41"/>
        <v>2.8234086242299797E-3</v>
      </c>
      <c r="AG46" s="758" t="s">
        <v>98</v>
      </c>
      <c r="AH46" s="756">
        <f t="shared" si="42"/>
        <v>1.4117043121149898E-3</v>
      </c>
      <c r="AK46" s="758" t="s">
        <v>98</v>
      </c>
      <c r="AL46" s="756">
        <f t="shared" si="43"/>
        <v>1</v>
      </c>
    </row>
    <row r="47" spans="1:44" ht="18" hidden="1" customHeight="1">
      <c r="A47" s="758" t="s">
        <v>97</v>
      </c>
      <c r="B47" s="756">
        <f t="shared" si="34"/>
        <v>0.48774892172157475</v>
      </c>
      <c r="E47" s="758" t="s">
        <v>97</v>
      </c>
      <c r="F47" s="756">
        <f t="shared" si="35"/>
        <v>0.23134807745250988</v>
      </c>
      <c r="I47" s="758" t="s">
        <v>97</v>
      </c>
      <c r="J47" s="756">
        <f t="shared" si="36"/>
        <v>3.4871983114618701E-3</v>
      </c>
      <c r="M47" s="758" t="s">
        <v>97</v>
      </c>
      <c r="N47" s="756">
        <f t="shared" si="37"/>
        <v>1.0691015875929155E-2</v>
      </c>
      <c r="Q47" s="758" t="s">
        <v>97</v>
      </c>
      <c r="R47" s="756">
        <f t="shared" si="38"/>
        <v>0.24543452326328347</v>
      </c>
      <c r="U47" s="758" t="s">
        <v>97</v>
      </c>
      <c r="V47" s="756">
        <f t="shared" si="39"/>
        <v>1.6977149674222262E-3</v>
      </c>
      <c r="Y47" s="758" t="s">
        <v>97</v>
      </c>
      <c r="Z47" s="756">
        <f t="shared" si="40"/>
        <v>3.2577773699183263E-3</v>
      </c>
      <c r="AC47" s="758" t="s">
        <v>97</v>
      </c>
      <c r="AD47" s="756">
        <f t="shared" si="41"/>
        <v>1.596769753143067E-2</v>
      </c>
      <c r="AG47" s="758" t="s">
        <v>97</v>
      </c>
      <c r="AH47" s="756">
        <f t="shared" si="42"/>
        <v>3.6707350646967055E-4</v>
      </c>
      <c r="AK47" s="758" t="s">
        <v>97</v>
      </c>
      <c r="AL47" s="756">
        <f t="shared" si="43"/>
        <v>1</v>
      </c>
    </row>
    <row r="48" spans="1:44" ht="18" hidden="1" customHeight="1">
      <c r="A48" s="707" t="s">
        <v>100</v>
      </c>
      <c r="B48" s="756">
        <f t="shared" si="34"/>
        <v>0.42638988308279646</v>
      </c>
      <c r="E48" s="707" t="s">
        <v>100</v>
      </c>
      <c r="F48" s="756">
        <f t="shared" si="35"/>
        <v>0.20138391791935098</v>
      </c>
      <c r="I48" s="707" t="s">
        <v>100</v>
      </c>
      <c r="J48" s="756">
        <f t="shared" si="36"/>
        <v>1.90885230255309E-2</v>
      </c>
      <c r="M48" s="707" t="s">
        <v>100</v>
      </c>
      <c r="N48" s="756">
        <f t="shared" si="37"/>
        <v>0.10355523741350513</v>
      </c>
      <c r="Q48" s="707" t="s">
        <v>100</v>
      </c>
      <c r="R48" s="756">
        <f t="shared" si="38"/>
        <v>0.23311858744929612</v>
      </c>
      <c r="U48" s="707" t="s">
        <v>100</v>
      </c>
      <c r="V48" s="756">
        <f t="shared" si="39"/>
        <v>3.3404915294679076E-3</v>
      </c>
      <c r="Y48" s="707" t="s">
        <v>100</v>
      </c>
      <c r="Z48" s="756">
        <f t="shared" si="40"/>
        <v>4.2949176807444527E-3</v>
      </c>
      <c r="AC48" s="707" t="s">
        <v>100</v>
      </c>
      <c r="AD48" s="756">
        <f t="shared" si="41"/>
        <v>6.203769983297542E-3</v>
      </c>
      <c r="AG48" s="707" t="s">
        <v>100</v>
      </c>
      <c r="AH48" s="756">
        <f t="shared" si="42"/>
        <v>2.6246719160104987E-3</v>
      </c>
      <c r="AK48" s="707" t="s">
        <v>100</v>
      </c>
      <c r="AL48" s="756">
        <f t="shared" si="43"/>
        <v>1</v>
      </c>
    </row>
    <row r="49" spans="1:38" ht="18" hidden="1" customHeight="1">
      <c r="A49" s="274" t="s">
        <v>101</v>
      </c>
      <c r="B49" s="756">
        <f t="shared" si="34"/>
        <v>0.43224568138195779</v>
      </c>
      <c r="E49" s="274" t="s">
        <v>101</v>
      </c>
      <c r="F49" s="756">
        <f t="shared" si="35"/>
        <v>0.26084452975047984</v>
      </c>
      <c r="I49" s="274" t="s">
        <v>101</v>
      </c>
      <c r="J49" s="756">
        <f t="shared" si="36"/>
        <v>4.7984644913627635E-3</v>
      </c>
      <c r="M49" s="274" t="s">
        <v>101</v>
      </c>
      <c r="N49" s="756">
        <f t="shared" si="37"/>
        <v>1.5930902111324377E-2</v>
      </c>
      <c r="Q49" s="274" t="s">
        <v>101</v>
      </c>
      <c r="R49" s="756">
        <f t="shared" si="38"/>
        <v>0.2708253358925144</v>
      </c>
      <c r="U49" s="274" t="s">
        <v>101</v>
      </c>
      <c r="V49" s="756">
        <f t="shared" si="39"/>
        <v>7.6775431861804226E-4</v>
      </c>
      <c r="Y49" s="274" t="s">
        <v>101</v>
      </c>
      <c r="Z49" s="756">
        <f t="shared" si="40"/>
        <v>1.7274472168905949E-3</v>
      </c>
      <c r="AC49" s="274" t="s">
        <v>101</v>
      </c>
      <c r="AD49" s="756">
        <f t="shared" si="41"/>
        <v>1.2476007677543186E-2</v>
      </c>
      <c r="AG49" s="274" t="s">
        <v>101</v>
      </c>
      <c r="AH49" s="756">
        <f t="shared" si="42"/>
        <v>3.8387715930902113E-4</v>
      </c>
      <c r="AK49" s="274" t="s">
        <v>101</v>
      </c>
      <c r="AL49" s="756">
        <f t="shared" si="43"/>
        <v>1</v>
      </c>
    </row>
    <row r="50" spans="1:38" ht="18" hidden="1" customHeight="1">
      <c r="A50" s="274" t="s">
        <v>103</v>
      </c>
      <c r="B50" s="756">
        <f t="shared" si="34"/>
        <v>0.50564971751412424</v>
      </c>
      <c r="E50" s="274" t="s">
        <v>103</v>
      </c>
      <c r="F50" s="756">
        <f t="shared" si="35"/>
        <v>0.12942989214175654</v>
      </c>
      <c r="I50" s="274" t="s">
        <v>103</v>
      </c>
      <c r="J50" s="756">
        <f t="shared" si="36"/>
        <v>2.7734976887519261E-2</v>
      </c>
      <c r="M50" s="274" t="s">
        <v>103</v>
      </c>
      <c r="N50" s="756">
        <f t="shared" si="37"/>
        <v>6.5485362095531588E-2</v>
      </c>
      <c r="Q50" s="274" t="s">
        <v>103</v>
      </c>
      <c r="R50" s="756">
        <f t="shared" si="38"/>
        <v>0.25218284540318436</v>
      </c>
      <c r="U50" s="274" t="s">
        <v>103</v>
      </c>
      <c r="V50" s="756">
        <f t="shared" si="39"/>
        <v>3.5952747817154596E-3</v>
      </c>
      <c r="Y50" s="274" t="s">
        <v>103</v>
      </c>
      <c r="Z50" s="756">
        <f t="shared" si="40"/>
        <v>5.136106831022085E-3</v>
      </c>
      <c r="AC50" s="274" t="s">
        <v>103</v>
      </c>
      <c r="AD50" s="756">
        <f t="shared" si="41"/>
        <v>7.9609655880842328E-3</v>
      </c>
      <c r="AG50" s="274" t="s">
        <v>103</v>
      </c>
      <c r="AH50" s="756">
        <f t="shared" si="42"/>
        <v>2.8248587570621469E-3</v>
      </c>
      <c r="AK50" s="274" t="s">
        <v>103</v>
      </c>
      <c r="AL50" s="756">
        <f t="shared" si="43"/>
        <v>1</v>
      </c>
    </row>
    <row r="51" spans="1:38" ht="18" hidden="1" customHeight="1">
      <c r="A51" s="274" t="s">
        <v>104</v>
      </c>
      <c r="B51" s="756">
        <f t="shared" si="34"/>
        <v>0.50059382422802845</v>
      </c>
      <c r="E51" s="274" t="s">
        <v>104</v>
      </c>
      <c r="F51" s="756">
        <f t="shared" si="35"/>
        <v>0.17280285035629453</v>
      </c>
      <c r="I51" s="274" t="s">
        <v>104</v>
      </c>
      <c r="J51" s="756">
        <f t="shared" si="36"/>
        <v>5.3444180522565317E-3</v>
      </c>
      <c r="M51" s="274" t="s">
        <v>104</v>
      </c>
      <c r="N51" s="756">
        <f t="shared" si="37"/>
        <v>2.1377672209026127E-2</v>
      </c>
      <c r="Q51" s="274" t="s">
        <v>104</v>
      </c>
      <c r="R51" s="756">
        <f t="shared" si="38"/>
        <v>0.26781472684085511</v>
      </c>
      <c r="U51" s="274" t="s">
        <v>104</v>
      </c>
      <c r="V51" s="756">
        <f t="shared" si="39"/>
        <v>1.1876484560570072E-3</v>
      </c>
      <c r="Y51" s="274" t="s">
        <v>104</v>
      </c>
      <c r="Z51" s="756">
        <f t="shared" si="40"/>
        <v>1.5439429928741092E-2</v>
      </c>
      <c r="AC51" s="274" t="s">
        <v>104</v>
      </c>
      <c r="AD51" s="756">
        <f t="shared" si="41"/>
        <v>1.5439429928741092E-2</v>
      </c>
      <c r="AG51" s="274" t="s">
        <v>104</v>
      </c>
      <c r="AH51" s="756">
        <f t="shared" si="42"/>
        <v>0</v>
      </c>
      <c r="AK51" s="274" t="s">
        <v>104</v>
      </c>
      <c r="AL51" s="756">
        <f t="shared" si="43"/>
        <v>1</v>
      </c>
    </row>
    <row r="52" spans="1:38" ht="18" hidden="1" customHeight="1">
      <c r="A52" s="274" t="s">
        <v>102</v>
      </c>
      <c r="B52" s="756">
        <f t="shared" si="34"/>
        <v>0.70119732545482816</v>
      </c>
      <c r="E52" s="274" t="s">
        <v>102</v>
      </c>
      <c r="F52" s="756">
        <f t="shared" si="35"/>
        <v>0.10698180687295911</v>
      </c>
      <c r="I52" s="274" t="s">
        <v>102</v>
      </c>
      <c r="J52" s="756">
        <f t="shared" si="36"/>
        <v>1.013839216296066E-2</v>
      </c>
      <c r="M52" s="274" t="s">
        <v>102</v>
      </c>
      <c r="N52" s="756">
        <f t="shared" si="37"/>
        <v>4.668014305706733E-2</v>
      </c>
      <c r="Q52" s="274" t="s">
        <v>102</v>
      </c>
      <c r="R52" s="756">
        <f t="shared" si="38"/>
        <v>0.10380967190172602</v>
      </c>
      <c r="U52" s="274" t="s">
        <v>102</v>
      </c>
      <c r="V52" s="756">
        <f t="shared" si="39"/>
        <v>2.270253459804074E-3</v>
      </c>
      <c r="Y52" s="274" t="s">
        <v>102</v>
      </c>
      <c r="Z52" s="756">
        <f t="shared" si="40"/>
        <v>1.4274607370548904E-2</v>
      </c>
      <c r="AC52" s="274" t="s">
        <v>102</v>
      </c>
      <c r="AD52" s="756">
        <f t="shared" si="41"/>
        <v>1.3870315658529E-2</v>
      </c>
      <c r="AG52" s="274" t="s">
        <v>102</v>
      </c>
      <c r="AH52" s="756">
        <f t="shared" si="42"/>
        <v>7.7748406157673769E-4</v>
      </c>
      <c r="AK52" s="274" t="s">
        <v>102</v>
      </c>
      <c r="AL52" s="756">
        <f t="shared" si="43"/>
        <v>1</v>
      </c>
    </row>
    <row r="53" spans="1:38" ht="18" hidden="1" customHeight="1">
      <c r="A53" s="274" t="s">
        <v>105</v>
      </c>
      <c r="B53" s="756">
        <f t="shared" si="34"/>
        <v>0.58915505663024959</v>
      </c>
      <c r="E53" s="274" t="s">
        <v>105</v>
      </c>
      <c r="F53" s="756">
        <f t="shared" si="35"/>
        <v>5.4375062644081387E-2</v>
      </c>
      <c r="I53" s="274" t="s">
        <v>105</v>
      </c>
      <c r="J53" s="756">
        <f t="shared" si="36"/>
        <v>2.5859476796632253E-2</v>
      </c>
      <c r="M53" s="274" t="s">
        <v>105</v>
      </c>
      <c r="N53" s="756">
        <f t="shared" si="37"/>
        <v>0.175503658414353</v>
      </c>
      <c r="Q53" s="274" t="s">
        <v>105</v>
      </c>
      <c r="R53" s="756">
        <f t="shared" si="38"/>
        <v>0.13841836223313622</v>
      </c>
      <c r="U53" s="274" t="s">
        <v>105</v>
      </c>
      <c r="V53" s="756">
        <f t="shared" si="39"/>
        <v>2.6059937857071266E-3</v>
      </c>
      <c r="Y53" s="274" t="s">
        <v>105</v>
      </c>
      <c r="Z53" s="756">
        <f t="shared" si="40"/>
        <v>4.3099127994387088E-3</v>
      </c>
      <c r="AC53" s="274" t="s">
        <v>105</v>
      </c>
      <c r="AD53" s="756">
        <f t="shared" si="41"/>
        <v>7.0662523804750927E-3</v>
      </c>
      <c r="AG53" s="274" t="s">
        <v>105</v>
      </c>
      <c r="AH53" s="756">
        <f t="shared" si="42"/>
        <v>2.7062243159266313E-3</v>
      </c>
      <c r="AK53" s="274" t="s">
        <v>105</v>
      </c>
      <c r="AL53" s="756">
        <f t="shared" si="43"/>
        <v>1</v>
      </c>
    </row>
    <row r="54" spans="1:38" ht="18" hidden="1" customHeight="1">
      <c r="A54" s="274" t="s">
        <v>106</v>
      </c>
      <c r="B54" s="756">
        <f t="shared" si="34"/>
        <v>0.43724696356275305</v>
      </c>
      <c r="E54" s="274" t="s">
        <v>106</v>
      </c>
      <c r="F54" s="756">
        <f t="shared" si="35"/>
        <v>0.17004048582995951</v>
      </c>
      <c r="I54" s="274" t="s">
        <v>106</v>
      </c>
      <c r="J54" s="756">
        <f t="shared" si="36"/>
        <v>1.5519568151147099E-2</v>
      </c>
      <c r="M54" s="274" t="s">
        <v>106</v>
      </c>
      <c r="N54" s="756">
        <f t="shared" si="37"/>
        <v>3.9811066126855602E-2</v>
      </c>
      <c r="Q54" s="274" t="s">
        <v>106</v>
      </c>
      <c r="R54" s="756">
        <f t="shared" si="38"/>
        <v>0.32793522267206476</v>
      </c>
      <c r="U54" s="274" t="s">
        <v>106</v>
      </c>
      <c r="V54" s="756">
        <f t="shared" si="39"/>
        <v>2.3616734143049934E-3</v>
      </c>
      <c r="Y54" s="274" t="s">
        <v>106</v>
      </c>
      <c r="Z54" s="756">
        <f t="shared" si="40"/>
        <v>3.7112010796221321E-3</v>
      </c>
      <c r="AC54" s="274" t="s">
        <v>106</v>
      </c>
      <c r="AD54" s="756">
        <f t="shared" si="41"/>
        <v>3.3738191632928477E-3</v>
      </c>
      <c r="AG54" s="274" t="s">
        <v>106</v>
      </c>
      <c r="AH54" s="756">
        <f t="shared" si="42"/>
        <v>0</v>
      </c>
      <c r="AK54" s="274" t="s">
        <v>106</v>
      </c>
      <c r="AL54" s="756">
        <f t="shared" si="43"/>
        <v>1</v>
      </c>
    </row>
    <row r="55" spans="1:38" ht="18" hidden="1" customHeight="1">
      <c r="A55" s="274" t="s">
        <v>108</v>
      </c>
      <c r="B55" s="756">
        <f t="shared" si="34"/>
        <v>0.47151345683327506</v>
      </c>
      <c r="E55" s="274" t="s">
        <v>108</v>
      </c>
      <c r="F55" s="756">
        <f t="shared" si="35"/>
        <v>0.22212513107305137</v>
      </c>
      <c r="I55" s="274" t="s">
        <v>108</v>
      </c>
      <c r="J55" s="756">
        <f t="shared" si="36"/>
        <v>6.9905627403005939E-3</v>
      </c>
      <c r="M55" s="274" t="s">
        <v>108</v>
      </c>
      <c r="N55" s="756">
        <f t="shared" si="37"/>
        <v>9.0877315623907728E-3</v>
      </c>
      <c r="Q55" s="274" t="s">
        <v>108</v>
      </c>
      <c r="R55" s="756">
        <f t="shared" si="38"/>
        <v>0.28067109402306883</v>
      </c>
      <c r="U55" s="274" t="s">
        <v>108</v>
      </c>
      <c r="V55" s="756">
        <f t="shared" si="39"/>
        <v>3.8448095071653269E-3</v>
      </c>
      <c r="Y55" s="274" t="s">
        <v>108</v>
      </c>
      <c r="Z55" s="756">
        <f t="shared" si="40"/>
        <v>4.0195735756728412E-3</v>
      </c>
      <c r="AC55" s="274" t="s">
        <v>108</v>
      </c>
      <c r="AD55" s="756">
        <f t="shared" si="41"/>
        <v>1.7476406850751485E-3</v>
      </c>
      <c r="AG55" s="274" t="s">
        <v>108</v>
      </c>
      <c r="AH55" s="756">
        <f t="shared" si="42"/>
        <v>0</v>
      </c>
      <c r="AK55" s="274" t="s">
        <v>108</v>
      </c>
      <c r="AL55" s="756">
        <f t="shared" si="43"/>
        <v>1</v>
      </c>
    </row>
    <row r="56" spans="1:38" ht="18" hidden="1" customHeight="1">
      <c r="A56" s="274" t="s">
        <v>109</v>
      </c>
      <c r="B56" s="756">
        <f t="shared" si="34"/>
        <v>0.49273255813953487</v>
      </c>
      <c r="E56" s="274" t="s">
        <v>109</v>
      </c>
      <c r="F56" s="756">
        <f t="shared" si="35"/>
        <v>8.4302325581395346E-2</v>
      </c>
      <c r="I56" s="274" t="s">
        <v>109</v>
      </c>
      <c r="J56" s="756">
        <f t="shared" si="36"/>
        <v>8.7209302325581394E-3</v>
      </c>
      <c r="M56" s="274" t="s">
        <v>109</v>
      </c>
      <c r="N56" s="756">
        <f t="shared" si="37"/>
        <v>5.8139534883720929E-3</v>
      </c>
      <c r="Q56" s="274" t="s">
        <v>109</v>
      </c>
      <c r="R56" s="756">
        <f t="shared" si="38"/>
        <v>0.40116279069767441</v>
      </c>
      <c r="U56" s="274" t="s">
        <v>109</v>
      </c>
      <c r="V56" s="756">
        <f t="shared" si="39"/>
        <v>0</v>
      </c>
      <c r="Y56" s="274" t="s">
        <v>109</v>
      </c>
      <c r="Z56" s="756">
        <f t="shared" si="40"/>
        <v>1.4534883720930232E-3</v>
      </c>
      <c r="AC56" s="274" t="s">
        <v>109</v>
      </c>
      <c r="AD56" s="756">
        <f t="shared" si="41"/>
        <v>5.8139534883720929E-3</v>
      </c>
      <c r="AG56" s="274" t="s">
        <v>109</v>
      </c>
      <c r="AH56" s="756">
        <f t="shared" si="42"/>
        <v>0</v>
      </c>
      <c r="AK56" s="274" t="s">
        <v>109</v>
      </c>
      <c r="AL56" s="756">
        <f t="shared" si="43"/>
        <v>1</v>
      </c>
    </row>
    <row r="57" spans="1:38" ht="18" hidden="1" customHeight="1">
      <c r="A57" s="274" t="s">
        <v>107</v>
      </c>
      <c r="B57" s="756">
        <f t="shared" si="34"/>
        <v>0.33687684399428169</v>
      </c>
      <c r="E57" s="274" t="s">
        <v>107</v>
      </c>
      <c r="F57" s="756">
        <f t="shared" si="35"/>
        <v>0.25102655351765674</v>
      </c>
      <c r="I57" s="274" t="s">
        <v>107</v>
      </c>
      <c r="J57" s="756">
        <f t="shared" si="36"/>
        <v>1.1162818992000487E-2</v>
      </c>
      <c r="M57" s="274" t="s">
        <v>107</v>
      </c>
      <c r="N57" s="756">
        <f t="shared" si="37"/>
        <v>3.563281321288439E-2</v>
      </c>
      <c r="Q57" s="274" t="s">
        <v>107</v>
      </c>
      <c r="R57" s="756">
        <f t="shared" si="38"/>
        <v>0.34843507619308334</v>
      </c>
      <c r="U57" s="274" t="s">
        <v>107</v>
      </c>
      <c r="V57" s="756">
        <f t="shared" si="39"/>
        <v>2.1139398363597653E-3</v>
      </c>
      <c r="Y57" s="274" t="s">
        <v>107</v>
      </c>
      <c r="Z57" s="756">
        <f t="shared" si="40"/>
        <v>5.8095324999239591E-3</v>
      </c>
      <c r="AC57" s="274" t="s">
        <v>107</v>
      </c>
      <c r="AD57" s="756">
        <f t="shared" si="41"/>
        <v>8.3188855430848321E-3</v>
      </c>
      <c r="AG57" s="274" t="s">
        <v>107</v>
      </c>
      <c r="AH57" s="756">
        <f t="shared" si="42"/>
        <v>6.2353621072482285E-4</v>
      </c>
      <c r="AK57" s="274" t="s">
        <v>107</v>
      </c>
      <c r="AL57" s="756">
        <f t="shared" si="43"/>
        <v>1</v>
      </c>
    </row>
    <row r="58" spans="1:38" ht="18" hidden="1" customHeight="1">
      <c r="A58" s="274" t="s">
        <v>110</v>
      </c>
      <c r="B58" s="756">
        <f t="shared" si="34"/>
        <v>0.36991526446660067</v>
      </c>
      <c r="E58" s="274" t="s">
        <v>110</v>
      </c>
      <c r="F58" s="756">
        <f t="shared" si="35"/>
        <v>0.24959563527508871</v>
      </c>
      <c r="I58" s="274" t="s">
        <v>110</v>
      </c>
      <c r="J58" s="756">
        <f t="shared" si="36"/>
        <v>1.0863529922989643E-2</v>
      </c>
      <c r="M58" s="274" t="s">
        <v>110</v>
      </c>
      <c r="N58" s="756">
        <f t="shared" si="37"/>
        <v>3.2325036815295853E-2</v>
      </c>
      <c r="Q58" s="274" t="s">
        <v>110</v>
      </c>
      <c r="R58" s="756">
        <f t="shared" si="38"/>
        <v>0.30857253216811914</v>
      </c>
      <c r="U58" s="274" t="s">
        <v>110</v>
      </c>
      <c r="V58" s="756">
        <f t="shared" si="39"/>
        <v>1.8347294981049176E-3</v>
      </c>
      <c r="Y58" s="274" t="s">
        <v>110</v>
      </c>
      <c r="Z58" s="756">
        <f t="shared" si="40"/>
        <v>9.3909180889843805E-3</v>
      </c>
      <c r="AC58" s="274" t="s">
        <v>110</v>
      </c>
      <c r="AD58" s="756">
        <f t="shared" si="41"/>
        <v>1.6947106679863842E-2</v>
      </c>
      <c r="AG58" s="274" t="s">
        <v>110</v>
      </c>
      <c r="AH58" s="756">
        <f t="shared" si="42"/>
        <v>5.5524708495280405E-4</v>
      </c>
      <c r="AK58" s="274" t="s">
        <v>110</v>
      </c>
      <c r="AL58" s="756">
        <f t="shared" si="43"/>
        <v>1</v>
      </c>
    </row>
    <row r="59" spans="1:38" ht="18" hidden="1" customHeight="1">
      <c r="A59" s="274" t="s">
        <v>112</v>
      </c>
      <c r="B59" s="756">
        <f t="shared" si="34"/>
        <v>0.5779494382022472</v>
      </c>
      <c r="E59" s="274" t="s">
        <v>112</v>
      </c>
      <c r="F59" s="756">
        <f t="shared" si="35"/>
        <v>0.1678370786516854</v>
      </c>
      <c r="I59" s="274" t="s">
        <v>112</v>
      </c>
      <c r="J59" s="756">
        <f t="shared" si="36"/>
        <v>8.0758426966292141E-3</v>
      </c>
      <c r="M59" s="274" t="s">
        <v>112</v>
      </c>
      <c r="N59" s="756">
        <f t="shared" si="37"/>
        <v>4.0379213483146069E-2</v>
      </c>
      <c r="Q59" s="274" t="s">
        <v>112</v>
      </c>
      <c r="R59" s="756">
        <f t="shared" si="38"/>
        <v>0.18644662921348315</v>
      </c>
      <c r="U59" s="274" t="s">
        <v>112</v>
      </c>
      <c r="V59" s="756">
        <f t="shared" si="39"/>
        <v>2.8089887640449437E-3</v>
      </c>
      <c r="Y59" s="274" t="s">
        <v>112</v>
      </c>
      <c r="Z59" s="756">
        <f t="shared" si="40"/>
        <v>5.2668539325842695E-3</v>
      </c>
      <c r="AC59" s="274" t="s">
        <v>112</v>
      </c>
      <c r="AD59" s="756">
        <f t="shared" si="41"/>
        <v>9.480337078651686E-3</v>
      </c>
      <c r="AG59" s="274" t="s">
        <v>112</v>
      </c>
      <c r="AH59" s="756">
        <f t="shared" si="42"/>
        <v>1.7556179775280898E-3</v>
      </c>
      <c r="AK59" s="274" t="s">
        <v>112</v>
      </c>
      <c r="AL59" s="756">
        <f t="shared" si="43"/>
        <v>1</v>
      </c>
    </row>
    <row r="60" spans="1:38" ht="18" hidden="1" customHeight="1">
      <c r="A60" s="274" t="s">
        <v>111</v>
      </c>
      <c r="B60" s="756">
        <f t="shared" si="34"/>
        <v>0.51440308559858772</v>
      </c>
      <c r="E60" s="274" t="s">
        <v>111</v>
      </c>
      <c r="F60" s="756">
        <f t="shared" si="35"/>
        <v>5.8390435313705309E-2</v>
      </c>
      <c r="I60" s="274" t="s">
        <v>111</v>
      </c>
      <c r="J60" s="756">
        <f t="shared" si="36"/>
        <v>1.6975812186775768E-2</v>
      </c>
      <c r="M60" s="274" t="s">
        <v>111</v>
      </c>
      <c r="N60" s="756">
        <f t="shared" si="37"/>
        <v>0.20970022506128527</v>
      </c>
      <c r="Q60" s="274" t="s">
        <v>111</v>
      </c>
      <c r="R60" s="756">
        <f t="shared" si="38"/>
        <v>0.19009730344787196</v>
      </c>
      <c r="U60" s="274" t="s">
        <v>111</v>
      </c>
      <c r="V60" s="756">
        <f t="shared" si="39"/>
        <v>1.188055855358383E-3</v>
      </c>
      <c r="Y60" s="274" t="s">
        <v>111</v>
      </c>
      <c r="Z60" s="756">
        <f t="shared" si="40"/>
        <v>3.1374714490098139E-3</v>
      </c>
      <c r="AC60" s="274" t="s">
        <v>111</v>
      </c>
      <c r="AD60" s="756">
        <f t="shared" si="41"/>
        <v>5.4717502070731157E-3</v>
      </c>
      <c r="AG60" s="274" t="s">
        <v>111</v>
      </c>
      <c r="AH60" s="756">
        <f t="shared" si="42"/>
        <v>6.3586088033265565E-4</v>
      </c>
      <c r="AK60" s="274" t="s">
        <v>111</v>
      </c>
      <c r="AL60" s="756">
        <f t="shared" si="43"/>
        <v>1</v>
      </c>
    </row>
    <row r="61" spans="1:38" ht="18" hidden="1" customHeight="1">
      <c r="A61" s="274" t="s">
        <v>113</v>
      </c>
      <c r="B61" s="756">
        <f t="shared" si="34"/>
        <v>0.38170121515368122</v>
      </c>
      <c r="E61" s="274" t="s">
        <v>113</v>
      </c>
      <c r="F61" s="756">
        <f t="shared" si="35"/>
        <v>0.28055754110078629</v>
      </c>
      <c r="I61" s="274" t="s">
        <v>113</v>
      </c>
      <c r="J61" s="756">
        <f t="shared" si="36"/>
        <v>1.2151536812008578E-2</v>
      </c>
      <c r="M61" s="274" t="s">
        <v>113</v>
      </c>
      <c r="N61" s="756">
        <f t="shared" si="37"/>
        <v>1.322373123659757E-2</v>
      </c>
      <c r="Q61" s="274" t="s">
        <v>113</v>
      </c>
      <c r="R61" s="756">
        <f t="shared" si="38"/>
        <v>0.29699785561115083</v>
      </c>
      <c r="U61" s="274" t="s">
        <v>113</v>
      </c>
      <c r="V61" s="756">
        <f t="shared" si="39"/>
        <v>4.6461758398856322E-3</v>
      </c>
      <c r="Y61" s="274" t="s">
        <v>113</v>
      </c>
      <c r="Z61" s="756">
        <f t="shared" si="40"/>
        <v>8.2201572551822734E-3</v>
      </c>
      <c r="AC61" s="274" t="s">
        <v>113</v>
      </c>
      <c r="AD61" s="756">
        <f t="shared" si="41"/>
        <v>2.1443888491779841E-3</v>
      </c>
      <c r="AG61" s="274" t="s">
        <v>113</v>
      </c>
      <c r="AH61" s="756">
        <f t="shared" si="42"/>
        <v>3.5739814152966406E-4</v>
      </c>
      <c r="AK61" s="274" t="s">
        <v>113</v>
      </c>
      <c r="AL61" s="756">
        <f t="shared" si="43"/>
        <v>1</v>
      </c>
    </row>
    <row r="62" spans="1:38" ht="18" customHeight="1"/>
    <row r="63" spans="1:38" ht="18" customHeight="1"/>
    <row r="64" spans="1:38" ht="18" customHeight="1"/>
    <row r="65" spans="39:39" ht="18" customHeight="1"/>
    <row r="66" spans="39:39" ht="18" customHeight="1"/>
    <row r="67" spans="39:39" ht="18" customHeight="1"/>
    <row r="68" spans="39:39" ht="18" customHeight="1"/>
    <row r="69" spans="39:39" ht="18" customHeight="1">
      <c r="AM69" s="253" t="s">
        <v>647</v>
      </c>
    </row>
    <row r="70" spans="39:39" ht="18" customHeight="1"/>
    <row r="71" spans="39:39" ht="18" customHeight="1"/>
    <row r="72" spans="39:39" ht="18" customHeight="1"/>
    <row r="73" spans="39:39" ht="18" customHeight="1"/>
    <row r="74" spans="39:39" ht="18" customHeight="1"/>
    <row r="75" spans="39:39" ht="18" customHeight="1"/>
    <row r="76" spans="39:39" ht="18" customHeight="1"/>
    <row r="77" spans="39:39" ht="18" customHeight="1"/>
    <row r="78" spans="39:39" ht="18" customHeight="1"/>
    <row r="79" spans="39:39" ht="18" customHeight="1"/>
    <row r="80" spans="39:39"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sortState ref="AP20:AR28">
    <sortCondition descending="1" ref="AR20:AR28"/>
  </sortState>
  <mergeCells count="16">
    <mergeCell ref="AS18:AS29"/>
    <mergeCell ref="AM2:AM3"/>
    <mergeCell ref="AP3:AR3"/>
    <mergeCell ref="AP18:AR18"/>
    <mergeCell ref="A1:AL1"/>
    <mergeCell ref="A2:A3"/>
    <mergeCell ref="B2:E2"/>
    <mergeCell ref="F2:I2"/>
    <mergeCell ref="J2:M2"/>
    <mergeCell ref="N2:Q2"/>
    <mergeCell ref="R2:U2"/>
    <mergeCell ref="V2:Y2"/>
    <mergeCell ref="Z2:AC2"/>
    <mergeCell ref="AD2:AG2"/>
    <mergeCell ref="AH2:AK2"/>
    <mergeCell ref="AL2:AL3"/>
  </mergeCells>
  <conditionalFormatting sqref="B33">
    <cfRule type="cellIs" dxfId="39" priority="19" operator="equal">
      <formula>TRUE</formula>
    </cfRule>
  </conditionalFormatting>
  <conditionalFormatting sqref="C33">
    <cfRule type="cellIs" dxfId="38" priority="18" operator="equal">
      <formula>TRUE</formula>
    </cfRule>
  </conditionalFormatting>
  <conditionalFormatting sqref="G33">
    <cfRule type="cellIs" dxfId="37" priority="17" operator="equal">
      <formula>TRUE</formula>
    </cfRule>
  </conditionalFormatting>
  <conditionalFormatting sqref="K33">
    <cfRule type="cellIs" dxfId="36" priority="16" operator="equal">
      <formula>TRUE</formula>
    </cfRule>
  </conditionalFormatting>
  <conditionalFormatting sqref="O33">
    <cfRule type="cellIs" dxfId="35" priority="15" operator="equal">
      <formula>TRUE</formula>
    </cfRule>
  </conditionalFormatting>
  <conditionalFormatting sqref="S33">
    <cfRule type="cellIs" dxfId="34" priority="14" operator="equal">
      <formula>TRUE</formula>
    </cfRule>
  </conditionalFormatting>
  <conditionalFormatting sqref="W33">
    <cfRule type="cellIs" dxfId="33" priority="13" operator="equal">
      <formula>TRUE</formula>
    </cfRule>
  </conditionalFormatting>
  <conditionalFormatting sqref="AA33">
    <cfRule type="cellIs" dxfId="32" priority="12" operator="equal">
      <formula>TRUE</formula>
    </cfRule>
  </conditionalFormatting>
  <conditionalFormatting sqref="AE33">
    <cfRule type="cellIs" dxfId="31" priority="11" operator="equal">
      <formula>TRUE</formula>
    </cfRule>
  </conditionalFormatting>
  <conditionalFormatting sqref="AI33">
    <cfRule type="cellIs" dxfId="30" priority="10" operator="equal">
      <formula>TRUE</formula>
    </cfRule>
  </conditionalFormatting>
  <conditionalFormatting sqref="F33">
    <cfRule type="cellIs" dxfId="29" priority="9" operator="equal">
      <formula>TRUE</formula>
    </cfRule>
  </conditionalFormatting>
  <conditionalFormatting sqref="J33">
    <cfRule type="cellIs" dxfId="28" priority="8" operator="equal">
      <formula>TRUE</formula>
    </cfRule>
  </conditionalFormatting>
  <conditionalFormatting sqref="N33">
    <cfRule type="cellIs" dxfId="27" priority="7" operator="equal">
      <formula>TRUE</formula>
    </cfRule>
  </conditionalFormatting>
  <conditionalFormatting sqref="R33">
    <cfRule type="cellIs" dxfId="26" priority="6" operator="equal">
      <formula>TRUE</formula>
    </cfRule>
  </conditionalFormatting>
  <conditionalFormatting sqref="V33">
    <cfRule type="cellIs" dxfId="25" priority="5" operator="equal">
      <formula>TRUE</formula>
    </cfRule>
  </conditionalFormatting>
  <conditionalFormatting sqref="Z33">
    <cfRule type="cellIs" dxfId="24" priority="4" operator="equal">
      <formula>TRUE</formula>
    </cfRule>
  </conditionalFormatting>
  <conditionalFormatting sqref="AD33">
    <cfRule type="cellIs" dxfId="23" priority="3" operator="equal">
      <formula>TRUE</formula>
    </cfRule>
  </conditionalFormatting>
  <conditionalFormatting sqref="AH33">
    <cfRule type="cellIs" dxfId="22" priority="2" operator="equal">
      <formula>TRUE</formula>
    </cfRule>
  </conditionalFormatting>
  <conditionalFormatting sqref="AL33:AM33">
    <cfRule type="cellIs" dxfId="21" priority="1" operator="equal">
      <formula>TRUE</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theme="6" tint="0.39997558519241921"/>
  </sheetPr>
  <dimension ref="A1:AK61"/>
  <sheetViews>
    <sheetView showGridLines="0" topLeftCell="L1" zoomScaleNormal="100" workbookViewId="0">
      <selection sqref="A1:AC1"/>
    </sheetView>
  </sheetViews>
  <sheetFormatPr defaultRowHeight="15"/>
  <cols>
    <col min="1" max="1" width="11.5703125" style="253" customWidth="1"/>
    <col min="2" max="2" width="11.5703125" style="253" hidden="1" customWidth="1"/>
    <col min="3" max="3" width="11.5703125" style="253" customWidth="1"/>
    <col min="4" max="4" width="13.28515625" style="253" customWidth="1"/>
    <col min="5" max="5" width="11.5703125" style="253" customWidth="1"/>
    <col min="6" max="6" width="11.5703125" style="253" hidden="1" customWidth="1"/>
    <col min="7" max="7" width="11.5703125" style="253" customWidth="1"/>
    <col min="8" max="8" width="13.7109375" style="253" customWidth="1"/>
    <col min="9" max="9" width="11.5703125" style="253" customWidth="1"/>
    <col min="10" max="10" width="11.5703125" style="253" hidden="1" customWidth="1"/>
    <col min="11" max="11" width="11.5703125" style="253" customWidth="1"/>
    <col min="12" max="12" width="13.42578125" style="253" customWidth="1"/>
    <col min="13" max="13" width="11.5703125" style="253" customWidth="1"/>
    <col min="14" max="14" width="11.5703125" style="253" hidden="1" customWidth="1"/>
    <col min="15" max="15" width="11.5703125" style="253" customWidth="1"/>
    <col min="16" max="16" width="14.28515625" style="253" customWidth="1"/>
    <col min="17" max="17" width="11.5703125" style="253" customWidth="1"/>
    <col min="18" max="18" width="11.5703125" style="253" hidden="1" customWidth="1"/>
    <col min="19" max="19" width="11.5703125" style="253" customWidth="1"/>
    <col min="20" max="20" width="13.42578125" style="253" customWidth="1"/>
    <col min="21" max="21" width="11.5703125" style="253" customWidth="1"/>
    <col min="22" max="22" width="11.5703125" style="253" hidden="1" customWidth="1"/>
    <col min="23" max="23" width="11.5703125" style="253" customWidth="1"/>
    <col min="24" max="24" width="13.42578125" style="253" customWidth="1"/>
    <col min="25" max="25" width="11.5703125" style="253" customWidth="1"/>
    <col min="26" max="26" width="11.5703125" style="253" hidden="1" customWidth="1"/>
    <col min="27" max="27" width="11.5703125" style="253" customWidth="1"/>
    <col min="28" max="28" width="12.85546875" style="253" customWidth="1"/>
    <col min="29" max="29" width="11.5703125" style="253" customWidth="1"/>
    <col min="30" max="30" width="11.5703125" style="253" hidden="1" customWidth="1"/>
    <col min="31" max="31" width="12.5703125" style="253" customWidth="1"/>
    <col min="32" max="32" width="9.42578125" style="723" customWidth="1"/>
    <col min="33" max="33" width="6.140625" style="12" bestFit="1" customWidth="1"/>
    <col min="34" max="34" width="65.42578125" style="253" customWidth="1"/>
    <col min="35" max="35" width="12.28515625" style="253" bestFit="1" customWidth="1"/>
    <col min="36" max="36" width="10.7109375" style="253" customWidth="1"/>
    <col min="37" max="37" width="15" style="253" customWidth="1"/>
    <col min="38" max="16384" width="9.140625" style="253"/>
  </cols>
  <sheetData>
    <row r="1" spans="1:37" ht="15.75" customHeight="1" thickBot="1">
      <c r="A1" s="1469" t="s">
        <v>605</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781"/>
    </row>
    <row r="2" spans="1:37" ht="68.25" customHeight="1" thickTop="1" thickBot="1">
      <c r="A2" s="1465" t="s">
        <v>182</v>
      </c>
      <c r="B2" s="1461" t="s">
        <v>648</v>
      </c>
      <c r="C2" s="1461"/>
      <c r="D2" s="1461"/>
      <c r="E2" s="1462"/>
      <c r="F2" s="1461" t="s">
        <v>649</v>
      </c>
      <c r="G2" s="1461"/>
      <c r="H2" s="1461"/>
      <c r="I2" s="1462"/>
      <c r="J2" s="1461" t="s">
        <v>650</v>
      </c>
      <c r="K2" s="1461"/>
      <c r="L2" s="1461"/>
      <c r="M2" s="1462"/>
      <c r="N2" s="1461" t="s">
        <v>651</v>
      </c>
      <c r="O2" s="1461"/>
      <c r="P2" s="1461"/>
      <c r="Q2" s="1462"/>
      <c r="R2" s="1461" t="s">
        <v>652</v>
      </c>
      <c r="S2" s="1461"/>
      <c r="T2" s="1461"/>
      <c r="U2" s="1462"/>
      <c r="V2" s="1461" t="s">
        <v>653</v>
      </c>
      <c r="W2" s="1461"/>
      <c r="X2" s="1461"/>
      <c r="Y2" s="1462"/>
      <c r="Z2" s="1461" t="s">
        <v>654</v>
      </c>
      <c r="AA2" s="1461"/>
      <c r="AB2" s="1461"/>
      <c r="AC2" s="1462"/>
      <c r="AD2" s="1470" t="s">
        <v>646</v>
      </c>
      <c r="AE2" s="1465" t="s">
        <v>34</v>
      </c>
    </row>
    <row r="3" spans="1:37" ht="30.75" customHeight="1" thickBot="1">
      <c r="A3" s="1465"/>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726" t="s">
        <v>636</v>
      </c>
      <c r="S3" s="727" t="s">
        <v>637</v>
      </c>
      <c r="T3" s="727" t="s">
        <v>638</v>
      </c>
      <c r="U3" s="727" t="s">
        <v>639</v>
      </c>
      <c r="V3" s="726" t="s">
        <v>636</v>
      </c>
      <c r="W3" s="727" t="s">
        <v>637</v>
      </c>
      <c r="X3" s="727" t="s">
        <v>638</v>
      </c>
      <c r="Y3" s="727" t="s">
        <v>639</v>
      </c>
      <c r="Z3" s="726" t="s">
        <v>636</v>
      </c>
      <c r="AA3" s="727" t="s">
        <v>637</v>
      </c>
      <c r="AB3" s="727" t="s">
        <v>638</v>
      </c>
      <c r="AC3" s="727" t="s">
        <v>639</v>
      </c>
      <c r="AD3" s="1471" t="s">
        <v>637</v>
      </c>
      <c r="AE3" s="1465" t="s">
        <v>637</v>
      </c>
      <c r="AH3" s="1466" t="s">
        <v>640</v>
      </c>
      <c r="AI3" s="1466"/>
      <c r="AJ3" s="1466"/>
    </row>
    <row r="4" spans="1:37" ht="15.75">
      <c r="A4" s="782" t="s">
        <v>87</v>
      </c>
      <c r="B4" s="762">
        <f>'RRT - Subgrupo - IGEO'!BJ3</f>
        <v>4</v>
      </c>
      <c r="C4" s="783">
        <f>$AE4*B35</f>
        <v>2.7946916471506631</v>
      </c>
      <c r="D4" s="784">
        <f>IFERROR(C4/C$31*100,)</f>
        <v>0.12384422161925975</v>
      </c>
      <c r="E4" s="784">
        <f>IFERROR((C4/$AE4)*100,0)</f>
        <v>4.4943820224719104</v>
      </c>
      <c r="F4" s="762">
        <f>'RRT - Subgrupo - IGEO'!BM3</f>
        <v>2</v>
      </c>
      <c r="G4" s="783">
        <f>$AE4*F35</f>
        <v>1.3973458235753315</v>
      </c>
      <c r="H4" s="784">
        <f>IFERROR(G4/G$31*100,)</f>
        <v>6.2132663379286406E-2</v>
      </c>
      <c r="I4" s="784">
        <f>IFERROR((G4/$AE4)*100,0)</f>
        <v>2.2471910112359552</v>
      </c>
      <c r="J4" s="762">
        <f>'RRT - Subgrupo - IGEO'!BP3</f>
        <v>5</v>
      </c>
      <c r="K4" s="783">
        <f>$AE4*J35</f>
        <v>3.4933645589383286</v>
      </c>
      <c r="L4" s="784">
        <f>IFERROR(K4/K$31*100,)</f>
        <v>4.3936784912968513E-2</v>
      </c>
      <c r="M4" s="784">
        <f>IFERROR((K4/$AE4)*100,0)</f>
        <v>5.6179775280898872</v>
      </c>
      <c r="N4" s="762">
        <f>'RRT - Subgrupo - IGEO'!BS3</f>
        <v>0</v>
      </c>
      <c r="O4" s="783">
        <f>$AE4*N35</f>
        <v>0</v>
      </c>
      <c r="P4" s="784">
        <f>IFERROR(O4/O$31*100,)</f>
        <v>0</v>
      </c>
      <c r="Q4" s="784">
        <f>IFERROR((O4/$AE4)*100,0)</f>
        <v>0</v>
      </c>
      <c r="R4" s="762">
        <f>'RRT - Subgrupo - IGEO'!BV3</f>
        <v>14</v>
      </c>
      <c r="S4" s="783">
        <f>$AE4*R35</f>
        <v>9.7814207650273204</v>
      </c>
      <c r="T4" s="784">
        <f>IFERROR(S4/S$31*100,)</f>
        <v>0.42727046717592704</v>
      </c>
      <c r="U4" s="784">
        <f>IFERROR((S4/$AE4)*100,0)</f>
        <v>15.730337078651685</v>
      </c>
      <c r="V4" s="762">
        <f>'RRT - Subgrupo - IGEO'!BY3</f>
        <v>25</v>
      </c>
      <c r="W4" s="783">
        <f>$AE4*V35</f>
        <v>17.466822794691645</v>
      </c>
      <c r="X4" s="784">
        <f>IFERROR(W4/W$31*100,)</f>
        <v>0.36838762846582113</v>
      </c>
      <c r="Y4" s="784">
        <f>IFERROR((W4/$AE4)*100,0)</f>
        <v>28.08988764044944</v>
      </c>
      <c r="Z4" s="762">
        <f>'RRT - Subgrupo - IGEO'!CB3</f>
        <v>39</v>
      </c>
      <c r="AA4" s="783">
        <f>$AE4*Z35</f>
        <v>27.248243559718965</v>
      </c>
      <c r="AB4" s="784">
        <f>IFERROR(AA4/AA$31*100,)</f>
        <v>0.63901611499905175</v>
      </c>
      <c r="AC4" s="784">
        <f>IFERROR((AA4/$AE4)*100,0)</f>
        <v>43.820224719101127</v>
      </c>
      <c r="AD4" s="762">
        <f>Z4+V4+R4+N4+J4+F4+B4</f>
        <v>89</v>
      </c>
      <c r="AE4" s="783">
        <f>'RRT - Atividades '!U3</f>
        <v>62.181889149102254</v>
      </c>
      <c r="AF4" s="723">
        <f>C4+G4+K4+O4+S4+W4+AA4</f>
        <v>62.181889149102254</v>
      </c>
      <c r="AG4" s="723">
        <f>AE4-AF4</f>
        <v>0</v>
      </c>
      <c r="AH4" s="785" t="s">
        <v>613</v>
      </c>
      <c r="AI4" s="785" t="s">
        <v>614</v>
      </c>
      <c r="AJ4" s="785" t="s">
        <v>423</v>
      </c>
    </row>
    <row r="5" spans="1:37" ht="15.75">
      <c r="A5" s="786" t="s">
        <v>88</v>
      </c>
      <c r="B5" s="762">
        <f>'RRT - Subgrupo - IGEO'!BJ4</f>
        <v>12</v>
      </c>
      <c r="C5" s="783">
        <f t="shared" ref="C5:C30" si="0">$AE5*B36</f>
        <v>7.5247898762867136</v>
      </c>
      <c r="D5" s="784">
        <f t="shared" ref="D5:D30" si="1">IFERROR(C5/C$31*100,)</f>
        <v>0.33345422777762879</v>
      </c>
      <c r="E5" s="784">
        <f t="shared" ref="E5:E31" si="2">IFERROR((C5/$AE5)*100,0)</f>
        <v>12.5</v>
      </c>
      <c r="F5" s="762">
        <f>'RRT - Subgrupo - IGEO'!BM4</f>
        <v>6</v>
      </c>
      <c r="G5" s="783">
        <f t="shared" ref="G5:G30" si="3">$AE5*F36</f>
        <v>3.7623949381433568</v>
      </c>
      <c r="H5" s="784">
        <f t="shared" ref="H5:H30" si="4">IFERROR(G5/G$31*100,)</f>
        <v>0.167294032906944</v>
      </c>
      <c r="I5" s="784">
        <f t="shared" ref="I5:I31" si="5">IFERROR((G5/$AE5)*100,0)</f>
        <v>6.25</v>
      </c>
      <c r="J5" s="762">
        <f>'RRT - Subgrupo - IGEO'!BP4</f>
        <v>3</v>
      </c>
      <c r="K5" s="783">
        <f t="shared" ref="K5:K30" si="6">$AE5*J36</f>
        <v>1.8811974690716784</v>
      </c>
      <c r="L5" s="784">
        <f t="shared" ref="L5:L30" si="7">IFERROR(K5/K$31*100,)</f>
        <v>2.3660218446408712E-2</v>
      </c>
      <c r="M5" s="784">
        <f t="shared" ref="M5:M31" si="8">IFERROR((K5/$AE5)*100,0)</f>
        <v>3.125</v>
      </c>
      <c r="N5" s="762">
        <f>'RRT - Subgrupo - IGEO'!BS4</f>
        <v>9</v>
      </c>
      <c r="O5" s="783">
        <f t="shared" ref="O5:O30" si="9">$AE5*N36</f>
        <v>5.643592407215035</v>
      </c>
      <c r="P5" s="784">
        <f t="shared" ref="P5:P30" si="10">IFERROR(O5/O$31*100,)</f>
        <v>0.4206764693624781</v>
      </c>
      <c r="Q5" s="784">
        <f t="shared" ref="Q5:Q31" si="11">IFERROR((O5/$AE5)*100,0)</f>
        <v>9.375</v>
      </c>
      <c r="R5" s="762">
        <f>'RRT - Subgrupo - IGEO'!BV4</f>
        <v>7</v>
      </c>
      <c r="S5" s="783">
        <f t="shared" ref="S5:S30" si="12">$AE5*R36</f>
        <v>4.3894607611672498</v>
      </c>
      <c r="T5" s="784">
        <f t="shared" ref="T5:T30" si="13">IFERROR(S5/S$31*100,)</f>
        <v>0.19173972729810204</v>
      </c>
      <c r="U5" s="784">
        <f t="shared" ref="U5:U31" si="14">IFERROR((S5/$AE5)*100,0)</f>
        <v>7.291666666666667</v>
      </c>
      <c r="V5" s="762">
        <f>'RRT - Subgrupo - IGEO'!BY4</f>
        <v>26</v>
      </c>
      <c r="W5" s="783">
        <f t="shared" ref="W5:W30" si="15">$AE5*V36</f>
        <v>16.303711398621211</v>
      </c>
      <c r="X5" s="784">
        <f t="shared" ref="X5:X30" si="16">IFERROR(W5/W$31*100,)</f>
        <v>0.34385678768977707</v>
      </c>
      <c r="Y5" s="784">
        <f t="shared" ref="Y5:Y31" si="17">IFERROR((W5/$AE5)*100,0)</f>
        <v>27.083333333333332</v>
      </c>
      <c r="Z5" s="762">
        <f>'RRT - Subgrupo - IGEO'!CB4</f>
        <v>33</v>
      </c>
      <c r="AA5" s="783">
        <f t="shared" ref="AA5:AA30" si="18">$AE5*Z36</f>
        <v>20.693172159788464</v>
      </c>
      <c r="AB5" s="784">
        <f t="shared" ref="AB5:AB30" si="19">IFERROR(AA5/AA$31*100,)</f>
        <v>0.48528891235039096</v>
      </c>
      <c r="AC5" s="784">
        <f t="shared" ref="AC5:AC31" si="20">IFERROR((AA5/$AE5)*100,0)</f>
        <v>34.375</v>
      </c>
      <c r="AD5" s="762">
        <f t="shared" ref="AD5:AD30" si="21">Z5+V5+R5+N5+J5+F5+B5</f>
        <v>96</v>
      </c>
      <c r="AE5" s="783">
        <f>'RRT - Atividades '!U4</f>
        <v>60.198319010293709</v>
      </c>
      <c r="AF5" s="723">
        <f t="shared" ref="AF5:AF30" si="22">C5+G5+K5+O5+S5+W5+AA5</f>
        <v>60.198319010293702</v>
      </c>
      <c r="AG5" s="723">
        <f t="shared" ref="AG5:AG31" si="23">AE5-AF5</f>
        <v>0</v>
      </c>
      <c r="AH5" s="95" t="str">
        <f>B2</f>
        <v>COORDENAÇÃO E COMPATIBILIZAÇÃO DE PROJETOS</v>
      </c>
      <c r="AI5" s="771">
        <f>C31</f>
        <v>2256.6185249583291</v>
      </c>
      <c r="AJ5" s="39">
        <f t="shared" ref="AJ5:AJ11" si="24">AI5/$AI$12</f>
        <v>8.9930814644946552E-2</v>
      </c>
    </row>
    <row r="6" spans="1:37" ht="15.75">
      <c r="A6" s="786" t="s">
        <v>90</v>
      </c>
      <c r="B6" s="762">
        <f>'RRT - Subgrupo - IGEO'!BJ5</f>
        <v>37</v>
      </c>
      <c r="C6" s="783">
        <f t="shared" si="0"/>
        <v>24.709232096635027</v>
      </c>
      <c r="D6" s="784">
        <f t="shared" si="1"/>
        <v>1.0949671742631515</v>
      </c>
      <c r="E6" s="784">
        <f t="shared" si="2"/>
        <v>20.903954802259886</v>
      </c>
      <c r="F6" s="762">
        <f>'RRT - Subgrupo - IGEO'!BM5</f>
        <v>11</v>
      </c>
      <c r="G6" s="783">
        <f t="shared" si="3"/>
        <v>7.3459879206212246</v>
      </c>
      <c r="H6" s="784">
        <f t="shared" si="4"/>
        <v>0.32663767763117124</v>
      </c>
      <c r="I6" s="784">
        <f t="shared" si="5"/>
        <v>6.2146892655367232</v>
      </c>
      <c r="J6" s="762">
        <f>'RRT - Subgrupo - IGEO'!BP5</f>
        <v>0</v>
      </c>
      <c r="K6" s="783">
        <f t="shared" si="6"/>
        <v>0</v>
      </c>
      <c r="L6" s="784">
        <f t="shared" si="7"/>
        <v>0</v>
      </c>
      <c r="M6" s="784">
        <f t="shared" si="8"/>
        <v>0</v>
      </c>
      <c r="N6" s="762">
        <f>'RRT - Subgrupo - IGEO'!BS5</f>
        <v>9</v>
      </c>
      <c r="O6" s="783">
        <f t="shared" si="9"/>
        <v>6.010353753235548</v>
      </c>
      <c r="P6" s="784">
        <f t="shared" si="10"/>
        <v>0.44801506099168414</v>
      </c>
      <c r="Q6" s="784">
        <f t="shared" si="11"/>
        <v>5.0847457627118651</v>
      </c>
      <c r="R6" s="762">
        <f>'RRT - Subgrupo - IGEO'!BV5</f>
        <v>12</v>
      </c>
      <c r="S6" s="783">
        <f t="shared" si="12"/>
        <v>8.0138050043140634</v>
      </c>
      <c r="T6" s="784">
        <f t="shared" si="13"/>
        <v>0.35005775646545229</v>
      </c>
      <c r="U6" s="784">
        <f t="shared" si="14"/>
        <v>6.7796610169491522</v>
      </c>
      <c r="V6" s="762">
        <f>'RRT - Subgrupo - IGEO'!BY5</f>
        <v>45</v>
      </c>
      <c r="W6" s="783">
        <f t="shared" si="15"/>
        <v>30.051768766177737</v>
      </c>
      <c r="X6" s="784">
        <f t="shared" si="16"/>
        <v>0.63381302696561148</v>
      </c>
      <c r="Y6" s="784">
        <f t="shared" si="17"/>
        <v>25.423728813559322</v>
      </c>
      <c r="Z6" s="762">
        <f>'RRT - Subgrupo - IGEO'!CB5</f>
        <v>63</v>
      </c>
      <c r="AA6" s="783">
        <f t="shared" si="18"/>
        <v>42.072476272648828</v>
      </c>
      <c r="AB6" s="784">
        <f t="shared" si="19"/>
        <v>0.98666874718786934</v>
      </c>
      <c r="AC6" s="784">
        <f t="shared" si="20"/>
        <v>35.593220338983045</v>
      </c>
      <c r="AD6" s="762">
        <f t="shared" si="21"/>
        <v>177</v>
      </c>
      <c r="AE6" s="783">
        <f>'RRT - Atividades '!U5</f>
        <v>118.20362381363243</v>
      </c>
      <c r="AF6" s="723">
        <f t="shared" si="22"/>
        <v>118.20362381363243</v>
      </c>
      <c r="AG6" s="723">
        <f t="shared" si="23"/>
        <v>0</v>
      </c>
      <c r="AH6" s="95" t="str">
        <f>F2</f>
        <v>SUPERVISÃO DE OBRA OU SERVIÇO TÉCNICO</v>
      </c>
      <c r="AI6" s="771">
        <f>G31</f>
        <v>2248.9713905314002</v>
      </c>
      <c r="AJ6" s="39">
        <f t="shared" si="24"/>
        <v>8.9626060863522261E-2</v>
      </c>
    </row>
    <row r="7" spans="1:37" ht="15.75">
      <c r="A7" s="786" t="s">
        <v>89</v>
      </c>
      <c r="B7" s="762">
        <f>'RRT - Subgrupo - IGEO'!BJ6</f>
        <v>5</v>
      </c>
      <c r="C7" s="783">
        <f t="shared" si="0"/>
        <v>2.5576281468001216</v>
      </c>
      <c r="D7" s="784">
        <f t="shared" si="1"/>
        <v>0.11333896795194265</v>
      </c>
      <c r="E7" s="784">
        <f t="shared" si="2"/>
        <v>2.4390243902439024</v>
      </c>
      <c r="F7" s="762">
        <f>'RRT - Subgrupo - IGEO'!BM6</f>
        <v>2</v>
      </c>
      <c r="G7" s="783">
        <f t="shared" si="3"/>
        <v>1.0230512587200487</v>
      </c>
      <c r="H7" s="784">
        <f t="shared" si="4"/>
        <v>4.5489740911213467E-2</v>
      </c>
      <c r="I7" s="784">
        <f t="shared" si="5"/>
        <v>0.97560975609756095</v>
      </c>
      <c r="J7" s="762">
        <f>'RRT - Subgrupo - IGEO'!BP6</f>
        <v>6</v>
      </c>
      <c r="K7" s="783">
        <f t="shared" si="6"/>
        <v>3.069153776160146</v>
      </c>
      <c r="L7" s="784">
        <f t="shared" si="7"/>
        <v>3.8601396176342798E-2</v>
      </c>
      <c r="M7" s="784">
        <f t="shared" si="8"/>
        <v>2.9268292682926833</v>
      </c>
      <c r="N7" s="762">
        <f>'RRT - Subgrupo - IGEO'!BS6</f>
        <v>2</v>
      </c>
      <c r="O7" s="783">
        <f t="shared" si="9"/>
        <v>1.0230512587200487</v>
      </c>
      <c r="P7" s="784">
        <f t="shared" si="10"/>
        <v>7.6258801210551508E-2</v>
      </c>
      <c r="Q7" s="784">
        <f t="shared" si="11"/>
        <v>0.97560975609756095</v>
      </c>
      <c r="R7" s="762">
        <f>'RRT - Subgrupo - IGEO'!BV6</f>
        <v>2</v>
      </c>
      <c r="S7" s="783">
        <f t="shared" si="12"/>
        <v>1.0230512587200487</v>
      </c>
      <c r="T7" s="784">
        <f t="shared" si="13"/>
        <v>4.4688762477238596E-2</v>
      </c>
      <c r="U7" s="784">
        <f t="shared" si="14"/>
        <v>0.97560975609756095</v>
      </c>
      <c r="V7" s="762">
        <f>'RRT - Subgrupo - IGEO'!BY6</f>
        <v>115</v>
      </c>
      <c r="W7" s="783">
        <f t="shared" si="15"/>
        <v>58.825447376402799</v>
      </c>
      <c r="X7" s="784">
        <f t="shared" si="16"/>
        <v>1.2406702299069472</v>
      </c>
      <c r="Y7" s="784">
        <f t="shared" si="17"/>
        <v>56.09756097560976</v>
      </c>
      <c r="Z7" s="762">
        <f>'RRT - Subgrupo - IGEO'!CB6</f>
        <v>73</v>
      </c>
      <c r="AA7" s="783">
        <f t="shared" si="18"/>
        <v>37.341370943281774</v>
      </c>
      <c r="AB7" s="784">
        <f t="shared" si="19"/>
        <v>0.87571654799024046</v>
      </c>
      <c r="AC7" s="784">
        <f t="shared" si="20"/>
        <v>35.609756097560982</v>
      </c>
      <c r="AD7" s="762">
        <f t="shared" si="21"/>
        <v>205</v>
      </c>
      <c r="AE7" s="783">
        <f>'RRT - Atividades '!U6</f>
        <v>104.86275401880498</v>
      </c>
      <c r="AF7" s="723">
        <f t="shared" si="22"/>
        <v>104.86275401880499</v>
      </c>
      <c r="AG7" s="723">
        <f t="shared" si="23"/>
        <v>0</v>
      </c>
      <c r="AH7" s="95" t="str">
        <f>J2</f>
        <v>DIREÇÃO OU CONDUÇÃO DE OBRA OU SERVIÇO TÉCNICO</v>
      </c>
      <c r="AI7" s="771">
        <f>K31</f>
        <v>7950.887999333826</v>
      </c>
      <c r="AJ7" s="39">
        <f t="shared" si="24"/>
        <v>0.31685897595120732</v>
      </c>
    </row>
    <row r="8" spans="1:37" ht="15.75">
      <c r="A8" s="786" t="s">
        <v>91</v>
      </c>
      <c r="B8" s="762">
        <f>'RRT - Subgrupo - IGEO'!BJ7</f>
        <v>129</v>
      </c>
      <c r="C8" s="783">
        <f t="shared" si="0"/>
        <v>89.371934935663987</v>
      </c>
      <c r="D8" s="784">
        <f t="shared" si="1"/>
        <v>3.960436110366254</v>
      </c>
      <c r="E8" s="784">
        <f t="shared" si="2"/>
        <v>23.035714285714285</v>
      </c>
      <c r="F8" s="762">
        <f>'RRT - Subgrupo - IGEO'!BM7</f>
        <v>29</v>
      </c>
      <c r="G8" s="783">
        <f t="shared" si="3"/>
        <v>20.091365218095007</v>
      </c>
      <c r="H8" s="784">
        <f t="shared" si="4"/>
        <v>0.89335797256841509</v>
      </c>
      <c r="I8" s="784">
        <f t="shared" si="5"/>
        <v>5.1785714285714288</v>
      </c>
      <c r="J8" s="762">
        <f>'RRT - Subgrupo - IGEO'!BP7</f>
        <v>6</v>
      </c>
      <c r="K8" s="783">
        <f t="shared" si="6"/>
        <v>4.1568341830541389</v>
      </c>
      <c r="L8" s="784">
        <f t="shared" si="7"/>
        <v>5.2281382700931314E-2</v>
      </c>
      <c r="M8" s="784">
        <f t="shared" si="8"/>
        <v>1.0714285714285714</v>
      </c>
      <c r="N8" s="762">
        <f>'RRT - Subgrupo - IGEO'!BS7</f>
        <v>37</v>
      </c>
      <c r="O8" s="783">
        <f t="shared" si="9"/>
        <v>25.633810795500523</v>
      </c>
      <c r="P8" s="784">
        <f t="shared" si="10"/>
        <v>1.9107582978477942</v>
      </c>
      <c r="Q8" s="784">
        <f t="shared" si="11"/>
        <v>6.6071428571428577</v>
      </c>
      <c r="R8" s="762">
        <f>'RRT - Subgrupo - IGEO'!BV7</f>
        <v>78</v>
      </c>
      <c r="S8" s="783">
        <f t="shared" si="12"/>
        <v>54.038844379703811</v>
      </c>
      <c r="T8" s="784">
        <f t="shared" si="13"/>
        <v>2.3605162111333398</v>
      </c>
      <c r="U8" s="784">
        <f t="shared" si="14"/>
        <v>13.928571428571429</v>
      </c>
      <c r="V8" s="762">
        <f>'RRT - Subgrupo - IGEO'!BY7</f>
        <v>145</v>
      </c>
      <c r="W8" s="783">
        <f t="shared" si="15"/>
        <v>100.45682609047503</v>
      </c>
      <c r="X8" s="784">
        <f t="shared" si="16"/>
        <v>2.1187054086287729</v>
      </c>
      <c r="Y8" s="784">
        <f t="shared" si="17"/>
        <v>25.892857142857146</v>
      </c>
      <c r="Z8" s="762">
        <f>'RRT - Subgrupo - IGEO'!CB7</f>
        <v>136</v>
      </c>
      <c r="AA8" s="783">
        <f t="shared" si="18"/>
        <v>94.221574815893817</v>
      </c>
      <c r="AB8" s="784">
        <f t="shared" si="19"/>
        <v>2.2096508553289644</v>
      </c>
      <c r="AC8" s="784">
        <f t="shared" si="20"/>
        <v>24.285714285714285</v>
      </c>
      <c r="AD8" s="762">
        <f t="shared" si="21"/>
        <v>560</v>
      </c>
      <c r="AE8" s="783">
        <f>'RRT - Atividades '!U7</f>
        <v>387.9711904183863</v>
      </c>
      <c r="AF8" s="723">
        <f t="shared" si="22"/>
        <v>387.97119041838636</v>
      </c>
      <c r="AG8" s="723">
        <f t="shared" si="23"/>
        <v>0</v>
      </c>
      <c r="AH8" s="95" t="str">
        <f>N2</f>
        <v>GERENCIAMENTO DE OBRA OU SERVIÇO TÉCNICO</v>
      </c>
      <c r="AI8" s="771">
        <f>O31</f>
        <v>1341.5517192505968</v>
      </c>
      <c r="AJ8" s="39">
        <f t="shared" si="24"/>
        <v>5.346355073583501E-2</v>
      </c>
    </row>
    <row r="9" spans="1:37" ht="15.75">
      <c r="A9" s="786" t="s">
        <v>92</v>
      </c>
      <c r="B9" s="762">
        <f>'RRT - Subgrupo - IGEO'!BJ8</f>
        <v>101</v>
      </c>
      <c r="C9" s="783">
        <f t="shared" si="0"/>
        <v>62.914962090219824</v>
      </c>
      <c r="D9" s="784">
        <f t="shared" si="1"/>
        <v>2.7880193924837879</v>
      </c>
      <c r="E9" s="784">
        <f t="shared" si="2"/>
        <v>26.370757180156655</v>
      </c>
      <c r="F9" s="762">
        <f>'RRT - Subgrupo - IGEO'!BM8</f>
        <v>21</v>
      </c>
      <c r="G9" s="783">
        <f t="shared" si="3"/>
        <v>13.081328751431846</v>
      </c>
      <c r="H9" s="784">
        <f t="shared" si="4"/>
        <v>0.58165829972345329</v>
      </c>
      <c r="I9" s="784">
        <f t="shared" si="5"/>
        <v>5.4830287206266322</v>
      </c>
      <c r="J9" s="762">
        <f>'RRT - Subgrupo - IGEO'!BP8</f>
        <v>10</v>
      </c>
      <c r="K9" s="783">
        <f t="shared" si="6"/>
        <v>6.229204167348497</v>
      </c>
      <c r="L9" s="784">
        <f t="shared" si="7"/>
        <v>7.8346018304753101E-2</v>
      </c>
      <c r="M9" s="784">
        <f t="shared" si="8"/>
        <v>2.610966057441253</v>
      </c>
      <c r="N9" s="762">
        <f>'RRT - Subgrupo - IGEO'!BS8</f>
        <v>23</v>
      </c>
      <c r="O9" s="783">
        <f t="shared" si="9"/>
        <v>14.327169584901545</v>
      </c>
      <c r="P9" s="784">
        <f t="shared" si="10"/>
        <v>1.0679550686949912</v>
      </c>
      <c r="Q9" s="784">
        <f t="shared" si="11"/>
        <v>6.0052219321148828</v>
      </c>
      <c r="R9" s="762">
        <f>'RRT - Subgrupo - IGEO'!BV8</f>
        <v>23</v>
      </c>
      <c r="S9" s="783">
        <f t="shared" si="12"/>
        <v>14.327169584901545</v>
      </c>
      <c r="T9" s="784">
        <f t="shared" si="13"/>
        <v>0.6258371446136759</v>
      </c>
      <c r="U9" s="784">
        <f t="shared" si="14"/>
        <v>6.0052219321148828</v>
      </c>
      <c r="V9" s="762">
        <f>'RRT - Subgrupo - IGEO'!BY8</f>
        <v>62</v>
      </c>
      <c r="W9" s="783">
        <f t="shared" si="15"/>
        <v>38.621065837560685</v>
      </c>
      <c r="X9" s="784">
        <f t="shared" si="16"/>
        <v>0.81454555416026886</v>
      </c>
      <c r="Y9" s="784">
        <f t="shared" si="17"/>
        <v>16.187989556135772</v>
      </c>
      <c r="Z9" s="762">
        <f>'RRT - Subgrupo - IGEO'!CB8</f>
        <v>143</v>
      </c>
      <c r="AA9" s="783">
        <f t="shared" si="18"/>
        <v>89.077619593083512</v>
      </c>
      <c r="AB9" s="784">
        <f t="shared" si="19"/>
        <v>2.089016647292576</v>
      </c>
      <c r="AC9" s="784">
        <f t="shared" si="20"/>
        <v>37.336814621409921</v>
      </c>
      <c r="AD9" s="762">
        <f t="shared" si="21"/>
        <v>383</v>
      </c>
      <c r="AE9" s="783">
        <f>'RRT - Atividades '!U8</f>
        <v>238.57851960944745</v>
      </c>
      <c r="AF9" s="723">
        <f t="shared" si="22"/>
        <v>238.57851960944745</v>
      </c>
      <c r="AG9" s="723">
        <f t="shared" si="23"/>
        <v>0</v>
      </c>
      <c r="AH9" s="95" t="str">
        <f>R2</f>
        <v>ACOMPANHAMENTO DE OBRA OU SERVIÇO TÉCNICO</v>
      </c>
      <c r="AI9" s="771">
        <f>S31</f>
        <v>2289.2807990400743</v>
      </c>
      <c r="AJ9" s="39">
        <f t="shared" si="24"/>
        <v>9.1232472361499284E-2</v>
      </c>
    </row>
    <row r="10" spans="1:37" ht="15.75">
      <c r="A10" s="786" t="s">
        <v>93</v>
      </c>
      <c r="B10" s="762">
        <f>'RRT - Subgrupo - IGEO'!BJ9</f>
        <v>66</v>
      </c>
      <c r="C10" s="783">
        <f t="shared" si="0"/>
        <v>52.095377977693119</v>
      </c>
      <c r="D10" s="784">
        <f t="shared" si="1"/>
        <v>2.3085593511493094</v>
      </c>
      <c r="E10" s="784">
        <f t="shared" si="2"/>
        <v>17.837837837837839</v>
      </c>
      <c r="F10" s="762">
        <f>'RRT - Subgrupo - IGEO'!BM9</f>
        <v>26</v>
      </c>
      <c r="G10" s="783">
        <f t="shared" si="3"/>
        <v>20.52242162757608</v>
      </c>
      <c r="H10" s="784">
        <f t="shared" si="4"/>
        <v>0.91252479751318327</v>
      </c>
      <c r="I10" s="784">
        <f t="shared" si="5"/>
        <v>7.0270270270270272</v>
      </c>
      <c r="J10" s="762">
        <f>'RRT - Subgrupo - IGEO'!BP9</f>
        <v>5</v>
      </c>
      <c r="K10" s="783">
        <f t="shared" si="6"/>
        <v>3.9466195437646303</v>
      </c>
      <c r="L10" s="784">
        <f t="shared" si="7"/>
        <v>4.9637468721673635E-2</v>
      </c>
      <c r="M10" s="784">
        <f t="shared" si="8"/>
        <v>1.3513513513513513</v>
      </c>
      <c r="N10" s="762">
        <f>'RRT - Subgrupo - IGEO'!BS9</f>
        <v>34</v>
      </c>
      <c r="O10" s="783">
        <f t="shared" si="9"/>
        <v>26.837012897599486</v>
      </c>
      <c r="P10" s="784">
        <f t="shared" si="10"/>
        <v>2.0004456416030605</v>
      </c>
      <c r="Q10" s="784">
        <f t="shared" si="11"/>
        <v>9.1891891891891895</v>
      </c>
      <c r="R10" s="762">
        <f>'RRT - Subgrupo - IGEO'!BV9</f>
        <v>39</v>
      </c>
      <c r="S10" s="783">
        <f t="shared" si="12"/>
        <v>30.783632441364116</v>
      </c>
      <c r="T10" s="784">
        <f t="shared" si="13"/>
        <v>1.3446857394808056</v>
      </c>
      <c r="U10" s="784">
        <f t="shared" si="14"/>
        <v>10.54054054054054</v>
      </c>
      <c r="V10" s="762">
        <f>'RRT - Subgrupo - IGEO'!BY9</f>
        <v>37</v>
      </c>
      <c r="W10" s="783">
        <f t="shared" si="15"/>
        <v>29.204984623858266</v>
      </c>
      <c r="X10" s="784">
        <f t="shared" si="16"/>
        <v>0.61595375137335329</v>
      </c>
      <c r="Y10" s="784">
        <f t="shared" si="17"/>
        <v>10</v>
      </c>
      <c r="Z10" s="762">
        <f>'RRT - Subgrupo - IGEO'!CB9</f>
        <v>163</v>
      </c>
      <c r="AA10" s="783">
        <f t="shared" si="18"/>
        <v>128.65979712672694</v>
      </c>
      <c r="AB10" s="784">
        <f t="shared" si="19"/>
        <v>3.017283794322307</v>
      </c>
      <c r="AC10" s="784">
        <f t="shared" si="20"/>
        <v>44.054054054054056</v>
      </c>
      <c r="AD10" s="762">
        <f t="shared" si="21"/>
        <v>370</v>
      </c>
      <c r="AE10" s="783">
        <f>'RRT - Atividades '!U9</f>
        <v>292.04984623858263</v>
      </c>
      <c r="AF10" s="723">
        <f t="shared" si="22"/>
        <v>292.04984623858263</v>
      </c>
      <c r="AG10" s="723">
        <f t="shared" si="23"/>
        <v>0</v>
      </c>
      <c r="AH10" s="95" t="str">
        <f>V2</f>
        <v>FISCALIZAÇÃO DE OBRA OU SERVIÇO TÉCNICO</v>
      </c>
      <c r="AI10" s="771">
        <f>W31</f>
        <v>4741.424913598099</v>
      </c>
      <c r="AJ10" s="39">
        <f t="shared" si="24"/>
        <v>0.18895537741169446</v>
      </c>
    </row>
    <row r="11" spans="1:37" ht="15.75">
      <c r="A11" s="786" t="s">
        <v>94</v>
      </c>
      <c r="B11" s="762">
        <f>'RRT - Subgrupo - IGEO'!BJ10</f>
        <v>36</v>
      </c>
      <c r="C11" s="783">
        <f t="shared" si="0"/>
        <v>26.679274158285963</v>
      </c>
      <c r="D11" s="784">
        <f t="shared" si="1"/>
        <v>1.1822677986204435</v>
      </c>
      <c r="E11" s="784">
        <f t="shared" si="2"/>
        <v>9.94475138121547</v>
      </c>
      <c r="F11" s="762">
        <f>'RRT - Subgrupo - IGEO'!BM10</f>
        <v>9</v>
      </c>
      <c r="G11" s="783">
        <f t="shared" si="3"/>
        <v>6.6698185395714908</v>
      </c>
      <c r="H11" s="784">
        <f t="shared" si="4"/>
        <v>0.29657196030383948</v>
      </c>
      <c r="I11" s="784">
        <f t="shared" si="5"/>
        <v>2.4861878453038675</v>
      </c>
      <c r="J11" s="762">
        <f>'RRT - Subgrupo - IGEO'!BP10</f>
        <v>5</v>
      </c>
      <c r="K11" s="783">
        <f t="shared" si="6"/>
        <v>3.7054547442063841</v>
      </c>
      <c r="L11" s="784">
        <f t="shared" si="7"/>
        <v>4.6604288030680972E-2</v>
      </c>
      <c r="M11" s="784">
        <f t="shared" si="8"/>
        <v>1.3812154696132597</v>
      </c>
      <c r="N11" s="762">
        <f>'RRT - Subgrupo - IGEO'!BS10</f>
        <v>35</v>
      </c>
      <c r="O11" s="783">
        <f t="shared" si="9"/>
        <v>25.938183209444691</v>
      </c>
      <c r="P11" s="784">
        <f t="shared" si="10"/>
        <v>1.9334463843059293</v>
      </c>
      <c r="Q11" s="784">
        <f t="shared" si="11"/>
        <v>9.6685082872928181</v>
      </c>
      <c r="R11" s="762">
        <f>'RRT - Subgrupo - IGEO'!BV10</f>
        <v>16</v>
      </c>
      <c r="S11" s="783">
        <f t="shared" si="12"/>
        <v>11.857455181460429</v>
      </c>
      <c r="T11" s="784">
        <f t="shared" si="13"/>
        <v>0.51795547258477059</v>
      </c>
      <c r="U11" s="784">
        <f t="shared" si="14"/>
        <v>4.4198895027624303</v>
      </c>
      <c r="V11" s="762">
        <f>'RRT - Subgrupo - IGEO'!BY10</f>
        <v>128</v>
      </c>
      <c r="W11" s="783">
        <f t="shared" si="15"/>
        <v>94.85964145168343</v>
      </c>
      <c r="X11" s="784">
        <f t="shared" si="16"/>
        <v>2.0006568316548079</v>
      </c>
      <c r="Y11" s="784">
        <f t="shared" si="17"/>
        <v>35.359116022099442</v>
      </c>
      <c r="Z11" s="762">
        <f>'RRT - Subgrupo - IGEO'!CB10</f>
        <v>133</v>
      </c>
      <c r="AA11" s="783">
        <f t="shared" si="18"/>
        <v>98.565096195889822</v>
      </c>
      <c r="AB11" s="784">
        <f t="shared" si="19"/>
        <v>2.3115135736204104</v>
      </c>
      <c r="AC11" s="784">
        <f t="shared" si="20"/>
        <v>36.740331491712709</v>
      </c>
      <c r="AD11" s="762">
        <f t="shared" si="21"/>
        <v>362</v>
      </c>
      <c r="AE11" s="783">
        <f>'RRT - Atividades '!U10</f>
        <v>268.27492348054221</v>
      </c>
      <c r="AF11" s="723">
        <f t="shared" si="22"/>
        <v>268.27492348054221</v>
      </c>
      <c r="AG11" s="723">
        <f t="shared" si="23"/>
        <v>0</v>
      </c>
      <c r="AH11" s="95" t="str">
        <f>Z2</f>
        <v>DESEMPENHO DE CARGO OU FUNÇÃO TÉCNICA</v>
      </c>
      <c r="AI11" s="771">
        <f>AA31</f>
        <v>4264.0933335084046</v>
      </c>
      <c r="AJ11" s="39">
        <f t="shared" si="24"/>
        <v>0.1699327480312951</v>
      </c>
    </row>
    <row r="12" spans="1:37" ht="15.75">
      <c r="A12" s="786" t="s">
        <v>95</v>
      </c>
      <c r="B12" s="762">
        <f>'RRT - Subgrupo - IGEO'!BJ11</f>
        <v>53</v>
      </c>
      <c r="C12" s="783">
        <f t="shared" si="0"/>
        <v>27.033002695220112</v>
      </c>
      <c r="D12" s="784">
        <f t="shared" si="1"/>
        <v>1.197942957404345</v>
      </c>
      <c r="E12" s="784">
        <f t="shared" si="2"/>
        <v>14.363143631436316</v>
      </c>
      <c r="F12" s="762">
        <f>'RRT - Subgrupo - IGEO'!BM11</f>
        <v>11</v>
      </c>
      <c r="G12" s="783">
        <f t="shared" si="3"/>
        <v>5.6106232008947403</v>
      </c>
      <c r="H12" s="784">
        <f t="shared" si="4"/>
        <v>0.24947508112004171</v>
      </c>
      <c r="I12" s="784">
        <f t="shared" si="5"/>
        <v>2.9810298102981032</v>
      </c>
      <c r="J12" s="762">
        <f>'RRT - Subgrupo - IGEO'!BP11</f>
        <v>6</v>
      </c>
      <c r="K12" s="783">
        <f t="shared" si="6"/>
        <v>3.0603399277607677</v>
      </c>
      <c r="L12" s="784">
        <f t="shared" si="7"/>
        <v>3.8490542540873189E-2</v>
      </c>
      <c r="M12" s="784">
        <f t="shared" si="8"/>
        <v>1.6260162601626018</v>
      </c>
      <c r="N12" s="762">
        <f>'RRT - Subgrupo - IGEO'!BS11</f>
        <v>16</v>
      </c>
      <c r="O12" s="783">
        <f t="shared" si="9"/>
        <v>8.1609064740287121</v>
      </c>
      <c r="P12" s="784">
        <f t="shared" si="10"/>
        <v>0.60831843878426617</v>
      </c>
      <c r="Q12" s="784">
        <f t="shared" si="11"/>
        <v>4.3360433604336039</v>
      </c>
      <c r="R12" s="762">
        <f>'RRT - Subgrupo - IGEO'!BV11</f>
        <v>6</v>
      </c>
      <c r="S12" s="783">
        <f t="shared" si="12"/>
        <v>3.0603399277607677</v>
      </c>
      <c r="T12" s="784">
        <f t="shared" si="13"/>
        <v>0.13368128230682794</v>
      </c>
      <c r="U12" s="784">
        <f t="shared" si="14"/>
        <v>1.6260162601626018</v>
      </c>
      <c r="V12" s="762">
        <f>'RRT - Subgrupo - IGEO'!BY11</f>
        <v>84</v>
      </c>
      <c r="W12" s="783">
        <f t="shared" si="15"/>
        <v>42.844758988650739</v>
      </c>
      <c r="X12" s="784">
        <f t="shared" si="16"/>
        <v>0.90362622564737349</v>
      </c>
      <c r="Y12" s="784">
        <f t="shared" si="17"/>
        <v>22.76422764227642</v>
      </c>
      <c r="Z12" s="762">
        <f>'RRT - Subgrupo - IGEO'!CB11</f>
        <v>193</v>
      </c>
      <c r="AA12" s="783">
        <f t="shared" si="18"/>
        <v>98.440934342971346</v>
      </c>
      <c r="AB12" s="784">
        <f t="shared" si="19"/>
        <v>2.3086017740136153</v>
      </c>
      <c r="AC12" s="784">
        <f t="shared" si="20"/>
        <v>52.303523035230349</v>
      </c>
      <c r="AD12" s="762">
        <f t="shared" si="21"/>
        <v>369</v>
      </c>
      <c r="AE12" s="783">
        <f>'RRT - Atividades '!U11</f>
        <v>188.21090555728719</v>
      </c>
      <c r="AF12" s="723">
        <f t="shared" si="22"/>
        <v>188.21090555728716</v>
      </c>
      <c r="AG12" s="723">
        <f t="shared" si="23"/>
        <v>0</v>
      </c>
      <c r="AH12" s="785" t="s">
        <v>128</v>
      </c>
      <c r="AI12" s="787">
        <f>SUM(AI5:AI11)</f>
        <v>25092.828680220729</v>
      </c>
      <c r="AJ12" s="788">
        <f>SUM(AJ5:AJ11)</f>
        <v>0.99999999999999989</v>
      </c>
    </row>
    <row r="13" spans="1:37" ht="15.75">
      <c r="A13" s="786" t="s">
        <v>96</v>
      </c>
      <c r="B13" s="762">
        <f>'RRT - Subgrupo - IGEO'!BJ12</f>
        <v>23</v>
      </c>
      <c r="C13" s="783">
        <f t="shared" si="0"/>
        <v>14.039082643506582</v>
      </c>
      <c r="D13" s="784">
        <f t="shared" si="1"/>
        <v>0.62212919411205436</v>
      </c>
      <c r="E13" s="784">
        <f t="shared" si="2"/>
        <v>16.428571428571427</v>
      </c>
      <c r="F13" s="762">
        <f>'RRT - Subgrupo - IGEO'!BM12</f>
        <v>5</v>
      </c>
      <c r="G13" s="783">
        <f t="shared" si="3"/>
        <v>3.0519744877188217</v>
      </c>
      <c r="H13" s="784">
        <f t="shared" si="4"/>
        <v>0.13570534959084932</v>
      </c>
      <c r="I13" s="784">
        <f t="shared" si="5"/>
        <v>3.5714285714285712</v>
      </c>
      <c r="J13" s="762">
        <f>'RRT - Subgrupo - IGEO'!BP12</f>
        <v>4</v>
      </c>
      <c r="K13" s="783">
        <f t="shared" si="6"/>
        <v>2.4415795901750577</v>
      </c>
      <c r="L13" s="784">
        <f t="shared" si="7"/>
        <v>3.070826290572359E-2</v>
      </c>
      <c r="M13" s="784">
        <f t="shared" si="8"/>
        <v>2.8571428571428572</v>
      </c>
      <c r="N13" s="762">
        <f>'RRT - Subgrupo - IGEO'!BS12</f>
        <v>13</v>
      </c>
      <c r="O13" s="783">
        <f t="shared" si="9"/>
        <v>7.9351336680689375</v>
      </c>
      <c r="P13" s="784">
        <f t="shared" si="10"/>
        <v>0.59148921015893274</v>
      </c>
      <c r="Q13" s="784">
        <f t="shared" si="11"/>
        <v>9.2857142857142865</v>
      </c>
      <c r="R13" s="762">
        <f>'RRT - Subgrupo - IGEO'!BV12</f>
        <v>7</v>
      </c>
      <c r="S13" s="783">
        <f t="shared" si="12"/>
        <v>4.2727642828063512</v>
      </c>
      <c r="T13" s="784">
        <f t="shared" si="13"/>
        <v>0.1866422102783537</v>
      </c>
      <c r="U13" s="784">
        <f t="shared" si="14"/>
        <v>5</v>
      </c>
      <c r="V13" s="762">
        <f>'RRT - Subgrupo - IGEO'!BY12</f>
        <v>40</v>
      </c>
      <c r="W13" s="783">
        <f t="shared" si="15"/>
        <v>24.415795901750574</v>
      </c>
      <c r="X13" s="784">
        <f t="shared" si="16"/>
        <v>0.51494637891929185</v>
      </c>
      <c r="Y13" s="784">
        <f t="shared" si="17"/>
        <v>28.571428571428569</v>
      </c>
      <c r="Z13" s="762">
        <f>'RRT - Subgrupo - IGEO'!CB12</f>
        <v>48</v>
      </c>
      <c r="AA13" s="783">
        <f t="shared" si="18"/>
        <v>29.298955082100694</v>
      </c>
      <c r="AB13" s="784">
        <f t="shared" si="19"/>
        <v>0.68710867212641757</v>
      </c>
      <c r="AC13" s="784">
        <f t="shared" si="20"/>
        <v>34.285714285714285</v>
      </c>
      <c r="AD13" s="762">
        <f t="shared" si="21"/>
        <v>140</v>
      </c>
      <c r="AE13" s="783">
        <f>'RRT - Atividades '!U12</f>
        <v>85.455285656127018</v>
      </c>
      <c r="AF13" s="723">
        <f t="shared" si="22"/>
        <v>85.455285656127018</v>
      </c>
      <c r="AG13" s="723">
        <f t="shared" si="23"/>
        <v>0</v>
      </c>
    </row>
    <row r="14" spans="1:37" ht="15.75">
      <c r="A14" s="786" t="s">
        <v>99</v>
      </c>
      <c r="B14" s="762">
        <f>'RRT - Subgrupo - IGEO'!BJ13</f>
        <v>265</v>
      </c>
      <c r="C14" s="783">
        <f t="shared" si="0"/>
        <v>201.73620692269208</v>
      </c>
      <c r="D14" s="784">
        <f t="shared" si="1"/>
        <v>8.9397567507081135</v>
      </c>
      <c r="E14" s="784">
        <f t="shared" si="2"/>
        <v>22.572402044293018</v>
      </c>
      <c r="F14" s="762">
        <f>'RRT - Subgrupo - IGEO'!BM13</f>
        <v>48</v>
      </c>
      <c r="G14" s="783">
        <f t="shared" si="3"/>
        <v>36.540897857695164</v>
      </c>
      <c r="H14" s="784">
        <f t="shared" si="4"/>
        <v>1.6247826900573006</v>
      </c>
      <c r="I14" s="784">
        <f t="shared" si="5"/>
        <v>4.0885860306643949</v>
      </c>
      <c r="J14" s="762">
        <f>'RRT - Subgrupo - IGEO'!BP13</f>
        <v>25</v>
      </c>
      <c r="K14" s="783">
        <f t="shared" si="6"/>
        <v>19.031717634216232</v>
      </c>
      <c r="L14" s="784">
        <f t="shared" si="7"/>
        <v>0.23936593794065297</v>
      </c>
      <c r="M14" s="784">
        <f t="shared" si="8"/>
        <v>2.1294718909710393</v>
      </c>
      <c r="N14" s="762">
        <f>'RRT - Subgrupo - IGEO'!BS13</f>
        <v>61</v>
      </c>
      <c r="O14" s="783">
        <f t="shared" si="9"/>
        <v>46.437391027487607</v>
      </c>
      <c r="P14" s="784">
        <f t="shared" si="10"/>
        <v>3.4614685636889173</v>
      </c>
      <c r="Q14" s="784">
        <f t="shared" si="11"/>
        <v>5.1959114139693359</v>
      </c>
      <c r="R14" s="762">
        <f>'RRT - Subgrupo - IGEO'!BV13</f>
        <v>67</v>
      </c>
      <c r="S14" s="783">
        <f t="shared" si="12"/>
        <v>51.005003259699507</v>
      </c>
      <c r="T14" s="784">
        <f t="shared" si="13"/>
        <v>2.227992445535147</v>
      </c>
      <c r="U14" s="784">
        <f t="shared" si="14"/>
        <v>5.7069846678023852</v>
      </c>
      <c r="V14" s="762">
        <f>'RRT - Subgrupo - IGEO'!BY13</f>
        <v>285</v>
      </c>
      <c r="W14" s="783">
        <f t="shared" si="15"/>
        <v>216.96158103006505</v>
      </c>
      <c r="X14" s="784">
        <f t="shared" si="16"/>
        <v>4.5758729703350003</v>
      </c>
      <c r="Y14" s="784">
        <f t="shared" si="17"/>
        <v>24.275979557069846</v>
      </c>
      <c r="Z14" s="762">
        <f>'RRT - Subgrupo - IGEO'!CB13</f>
        <v>423</v>
      </c>
      <c r="AA14" s="783">
        <f t="shared" si="18"/>
        <v>322.01666237093866</v>
      </c>
      <c r="AB14" s="784">
        <f t="shared" si="19"/>
        <v>7.5518202155765257</v>
      </c>
      <c r="AC14" s="784">
        <f t="shared" si="20"/>
        <v>36.030664395229984</v>
      </c>
      <c r="AD14" s="762">
        <f t="shared" si="21"/>
        <v>1174</v>
      </c>
      <c r="AE14" s="783">
        <f>'RRT - Atividades '!U13</f>
        <v>893.72946010279429</v>
      </c>
      <c r="AF14" s="723">
        <f t="shared" si="22"/>
        <v>893.72946010279429</v>
      </c>
      <c r="AG14" s="723">
        <f t="shared" si="23"/>
        <v>0</v>
      </c>
    </row>
    <row r="15" spans="1:37" ht="16.5" thickBot="1">
      <c r="A15" s="786" t="s">
        <v>98</v>
      </c>
      <c r="B15" s="762">
        <f>'RRT - Subgrupo - IGEO'!BJ14</f>
        <v>23</v>
      </c>
      <c r="C15" s="783">
        <f t="shared" si="0"/>
        <v>18.239617000646412</v>
      </c>
      <c r="D15" s="784">
        <f t="shared" si="1"/>
        <v>0.80827205834372151</v>
      </c>
      <c r="E15" s="784">
        <f t="shared" si="2"/>
        <v>4.925053533190578</v>
      </c>
      <c r="F15" s="762">
        <f>'RRT - Subgrupo - IGEO'!BM14</f>
        <v>12</v>
      </c>
      <c r="G15" s="783">
        <f t="shared" si="3"/>
        <v>9.516321913380736</v>
      </c>
      <c r="H15" s="784">
        <f t="shared" si="4"/>
        <v>0.42314108367257458</v>
      </c>
      <c r="I15" s="784">
        <f t="shared" si="5"/>
        <v>2.5695931477516054</v>
      </c>
      <c r="J15" s="762">
        <f>'RRT - Subgrupo - IGEO'!BP14</f>
        <v>6</v>
      </c>
      <c r="K15" s="783">
        <f t="shared" si="6"/>
        <v>4.758160956690368</v>
      </c>
      <c r="L15" s="784">
        <f t="shared" si="7"/>
        <v>5.984439671504662E-2</v>
      </c>
      <c r="M15" s="784">
        <f t="shared" si="8"/>
        <v>1.2847965738758027</v>
      </c>
      <c r="N15" s="762">
        <f>'RRT - Subgrupo - IGEO'!BS14</f>
        <v>8</v>
      </c>
      <c r="O15" s="783">
        <f t="shared" si="9"/>
        <v>6.3442146089204918</v>
      </c>
      <c r="P15" s="784">
        <f t="shared" si="10"/>
        <v>0.47290123204973633</v>
      </c>
      <c r="Q15" s="784">
        <f t="shared" si="11"/>
        <v>1.7130620985010707</v>
      </c>
      <c r="R15" s="762">
        <f>'RRT - Subgrupo - IGEO'!BV14</f>
        <v>34</v>
      </c>
      <c r="S15" s="783">
        <f t="shared" si="12"/>
        <v>26.962912087912088</v>
      </c>
      <c r="T15" s="784">
        <f t="shared" si="13"/>
        <v>1.1777896402755832</v>
      </c>
      <c r="U15" s="784">
        <f t="shared" si="14"/>
        <v>7.2805139186295502</v>
      </c>
      <c r="V15" s="762">
        <f>'RRT - Subgrupo - IGEO'!BY14</f>
        <v>237</v>
      </c>
      <c r="W15" s="783">
        <f t="shared" si="15"/>
        <v>187.94735778926955</v>
      </c>
      <c r="X15" s="784">
        <f t="shared" si="16"/>
        <v>3.9639425112532884</v>
      </c>
      <c r="Y15" s="784">
        <f t="shared" si="17"/>
        <v>50.749464668094213</v>
      </c>
      <c r="Z15" s="762">
        <f>'RRT - Subgrupo - IGEO'!CB14</f>
        <v>147</v>
      </c>
      <c r="AA15" s="783">
        <f t="shared" si="18"/>
        <v>116.57494343891402</v>
      </c>
      <c r="AB15" s="784">
        <f t="shared" si="19"/>
        <v>2.7338741045566808</v>
      </c>
      <c r="AC15" s="784">
        <f t="shared" si="20"/>
        <v>31.477516059957171</v>
      </c>
      <c r="AD15" s="762">
        <f t="shared" si="21"/>
        <v>467</v>
      </c>
      <c r="AE15" s="783">
        <f>'RRT - Atividades '!U14</f>
        <v>370.34352779573368</v>
      </c>
      <c r="AF15" s="723">
        <f t="shared" si="22"/>
        <v>370.34352779573368</v>
      </c>
      <c r="AG15" s="723">
        <f t="shared" si="23"/>
        <v>0</v>
      </c>
    </row>
    <row r="16" spans="1:37" ht="15.75" customHeight="1">
      <c r="A16" s="786" t="s">
        <v>97</v>
      </c>
      <c r="B16" s="762">
        <f>'RRT - Subgrupo - IGEO'!BJ15</f>
        <v>26</v>
      </c>
      <c r="C16" s="783">
        <f t="shared" si="0"/>
        <v>12.364021814768664</v>
      </c>
      <c r="D16" s="784">
        <f t="shared" si="1"/>
        <v>0.54790039512757172</v>
      </c>
      <c r="E16" s="784">
        <f t="shared" si="2"/>
        <v>5.6892778993435451</v>
      </c>
      <c r="F16" s="762">
        <f>'RRT - Subgrupo - IGEO'!BM15</f>
        <v>17</v>
      </c>
      <c r="G16" s="783">
        <f t="shared" si="3"/>
        <v>8.0841681096564333</v>
      </c>
      <c r="H16" s="784">
        <f t="shared" si="4"/>
        <v>0.35946069139395581</v>
      </c>
      <c r="I16" s="784">
        <f t="shared" si="5"/>
        <v>3.7199124726477026</v>
      </c>
      <c r="J16" s="762">
        <f>'RRT - Subgrupo - IGEO'!BP15</f>
        <v>6</v>
      </c>
      <c r="K16" s="783">
        <f t="shared" si="6"/>
        <v>2.8532358034081531</v>
      </c>
      <c r="L16" s="784">
        <f t="shared" si="7"/>
        <v>3.5885750165858391E-2</v>
      </c>
      <c r="M16" s="784">
        <f t="shared" si="8"/>
        <v>1.3129102844638949</v>
      </c>
      <c r="N16" s="762">
        <f>'RRT - Subgrupo - IGEO'!BS15</f>
        <v>20</v>
      </c>
      <c r="O16" s="783">
        <f t="shared" si="9"/>
        <v>9.5107860113605103</v>
      </c>
      <c r="P16" s="784">
        <f t="shared" si="10"/>
        <v>0.70893919890567647</v>
      </c>
      <c r="Q16" s="784">
        <f t="shared" si="11"/>
        <v>4.3763676148796495</v>
      </c>
      <c r="R16" s="762">
        <f>'RRT - Subgrupo - IGEO'!BV15</f>
        <v>24</v>
      </c>
      <c r="S16" s="783">
        <f t="shared" si="12"/>
        <v>11.412943213632612</v>
      </c>
      <c r="T16" s="784">
        <f t="shared" si="13"/>
        <v>0.49853837145789243</v>
      </c>
      <c r="U16" s="784">
        <f t="shared" si="14"/>
        <v>5.2516411378555796</v>
      </c>
      <c r="V16" s="762">
        <f>'RRT - Subgrupo - IGEO'!BY15</f>
        <v>197</v>
      </c>
      <c r="W16" s="783">
        <f t="shared" si="15"/>
        <v>93.681242211901022</v>
      </c>
      <c r="X16" s="784">
        <f t="shared" si="16"/>
        <v>1.9758035594580292</v>
      </c>
      <c r="Y16" s="784">
        <f t="shared" si="17"/>
        <v>43.107221006564551</v>
      </c>
      <c r="Z16" s="762">
        <f>'RRT - Subgrupo - IGEO'!CB15</f>
        <v>167</v>
      </c>
      <c r="AA16" s="783">
        <f t="shared" si="18"/>
        <v>79.415063194860252</v>
      </c>
      <c r="AB16" s="784">
        <f t="shared" si="19"/>
        <v>1.8624138118834102</v>
      </c>
      <c r="AC16" s="784">
        <f t="shared" si="20"/>
        <v>36.542669584245075</v>
      </c>
      <c r="AD16" s="762">
        <f t="shared" si="21"/>
        <v>457</v>
      </c>
      <c r="AE16" s="783">
        <f>'RRT - Atividades '!U15</f>
        <v>217.32146035958766</v>
      </c>
      <c r="AF16" s="723">
        <f t="shared" si="22"/>
        <v>217.32146035958766</v>
      </c>
      <c r="AG16" s="723">
        <f t="shared" si="23"/>
        <v>0</v>
      </c>
      <c r="AH16" s="1467" t="s">
        <v>640</v>
      </c>
      <c r="AI16" s="1468"/>
      <c r="AJ16" s="1468"/>
      <c r="AK16" s="1452" t="s">
        <v>1082</v>
      </c>
    </row>
    <row r="17" spans="1:37" ht="15.75" customHeight="1">
      <c r="A17" s="786" t="s">
        <v>100</v>
      </c>
      <c r="B17" s="762">
        <f>'RRT - Subgrupo - IGEO'!BJ16</f>
        <v>36</v>
      </c>
      <c r="C17" s="783">
        <f t="shared" si="0"/>
        <v>20.770581613508444</v>
      </c>
      <c r="D17" s="784">
        <f t="shared" si="1"/>
        <v>0.92042945601060311</v>
      </c>
      <c r="E17" s="784">
        <f t="shared" si="2"/>
        <v>14.229249011857709</v>
      </c>
      <c r="F17" s="762">
        <f>'RRT - Subgrupo - IGEO'!BM16</f>
        <v>4</v>
      </c>
      <c r="G17" s="783">
        <f t="shared" si="3"/>
        <v>2.3078424015009378</v>
      </c>
      <c r="H17" s="784">
        <f t="shared" si="4"/>
        <v>0.10261768607717268</v>
      </c>
      <c r="I17" s="784">
        <f t="shared" si="5"/>
        <v>1.5810276679841897</v>
      </c>
      <c r="J17" s="762">
        <f>'RRT - Subgrupo - IGEO'!BP16</f>
        <v>2</v>
      </c>
      <c r="K17" s="783">
        <f t="shared" si="6"/>
        <v>1.1539212007504689</v>
      </c>
      <c r="L17" s="784">
        <f t="shared" si="7"/>
        <v>1.451311099901233E-2</v>
      </c>
      <c r="M17" s="784">
        <f t="shared" si="8"/>
        <v>0.79051383399209485</v>
      </c>
      <c r="N17" s="762">
        <f>'RRT - Subgrupo - IGEO'!BS16</f>
        <v>3</v>
      </c>
      <c r="O17" s="783">
        <f t="shared" si="9"/>
        <v>1.7308818011257034</v>
      </c>
      <c r="P17" s="784">
        <f t="shared" si="10"/>
        <v>0.12902087756203615</v>
      </c>
      <c r="Q17" s="784">
        <f t="shared" si="11"/>
        <v>1.1857707509881421</v>
      </c>
      <c r="R17" s="762">
        <f>'RRT - Subgrupo - IGEO'!BV16</f>
        <v>7</v>
      </c>
      <c r="S17" s="783">
        <f t="shared" si="12"/>
        <v>4.0387242026266419</v>
      </c>
      <c r="T17" s="784">
        <f t="shared" si="13"/>
        <v>0.17641890869482382</v>
      </c>
      <c r="U17" s="784">
        <f t="shared" si="14"/>
        <v>2.7667984189723325</v>
      </c>
      <c r="V17" s="762">
        <f>'RRT - Subgrupo - IGEO'!BY16</f>
        <v>94</v>
      </c>
      <c r="W17" s="783">
        <f t="shared" si="15"/>
        <v>54.234296435272043</v>
      </c>
      <c r="X17" s="784">
        <f t="shared" si="16"/>
        <v>1.1438396141154024</v>
      </c>
      <c r="Y17" s="784">
        <f t="shared" si="17"/>
        <v>37.154150197628461</v>
      </c>
      <c r="Z17" s="762">
        <f>'RRT - Subgrupo - IGEO'!CB16</f>
        <v>107</v>
      </c>
      <c r="AA17" s="783">
        <f t="shared" si="18"/>
        <v>61.734784240150091</v>
      </c>
      <c r="AB17" s="784">
        <f t="shared" si="19"/>
        <v>1.4477821992080091</v>
      </c>
      <c r="AC17" s="784">
        <f t="shared" si="20"/>
        <v>42.292490118577078</v>
      </c>
      <c r="AD17" s="762">
        <f t="shared" si="21"/>
        <v>253</v>
      </c>
      <c r="AE17" s="783">
        <f>'RRT - Atividades '!U16</f>
        <v>145.97103189493433</v>
      </c>
      <c r="AF17" s="723">
        <f t="shared" si="22"/>
        <v>145.97103189493433</v>
      </c>
      <c r="AG17" s="723">
        <f t="shared" si="23"/>
        <v>0</v>
      </c>
      <c r="AH17" s="1163" t="s">
        <v>613</v>
      </c>
      <c r="AI17" s="785" t="s">
        <v>527</v>
      </c>
      <c r="AJ17" s="785" t="s">
        <v>423</v>
      </c>
      <c r="AK17" s="1453"/>
    </row>
    <row r="18" spans="1:37" ht="15.75" customHeight="1">
      <c r="A18" s="786" t="s">
        <v>101</v>
      </c>
      <c r="B18" s="762">
        <f>'RRT - Subgrupo - IGEO'!BJ17</f>
        <v>12</v>
      </c>
      <c r="C18" s="783">
        <f t="shared" si="0"/>
        <v>7.2582613116420935</v>
      </c>
      <c r="D18" s="784">
        <f t="shared" si="1"/>
        <v>0.32164325655246162</v>
      </c>
      <c r="E18" s="784">
        <f t="shared" si="2"/>
        <v>6.7415730337078648</v>
      </c>
      <c r="F18" s="762">
        <f>'RRT - Subgrupo - IGEO'!BM17</f>
        <v>8</v>
      </c>
      <c r="G18" s="783">
        <f t="shared" si="3"/>
        <v>4.8388408744280627</v>
      </c>
      <c r="H18" s="784">
        <f t="shared" si="4"/>
        <v>0.21515795597936502</v>
      </c>
      <c r="I18" s="784">
        <f t="shared" si="5"/>
        <v>4.4943820224719104</v>
      </c>
      <c r="J18" s="762">
        <f>'RRT - Subgrupo - IGEO'!BP17</f>
        <v>3</v>
      </c>
      <c r="K18" s="783">
        <f t="shared" si="6"/>
        <v>1.8145653279105234</v>
      </c>
      <c r="L18" s="784">
        <f t="shared" si="7"/>
        <v>2.2822171914163029E-2</v>
      </c>
      <c r="M18" s="784">
        <f t="shared" si="8"/>
        <v>1.6853932584269662</v>
      </c>
      <c r="N18" s="762">
        <f>'RRT - Subgrupo - IGEO'!BS17</f>
        <v>12</v>
      </c>
      <c r="O18" s="783">
        <f t="shared" si="9"/>
        <v>7.2582613116420935</v>
      </c>
      <c r="P18" s="784">
        <f t="shared" si="10"/>
        <v>0.54103477394793431</v>
      </c>
      <c r="Q18" s="784">
        <f t="shared" si="11"/>
        <v>6.7415730337078648</v>
      </c>
      <c r="R18" s="762">
        <f>'RRT - Subgrupo - IGEO'!BV17</f>
        <v>8</v>
      </c>
      <c r="S18" s="783">
        <f t="shared" si="12"/>
        <v>4.8388408744280627</v>
      </c>
      <c r="T18" s="784">
        <f t="shared" si="13"/>
        <v>0.21136947798002992</v>
      </c>
      <c r="U18" s="784">
        <f t="shared" si="14"/>
        <v>4.4943820224719104</v>
      </c>
      <c r="V18" s="762">
        <f>'RRT - Subgrupo - IGEO'!BY17</f>
        <v>38</v>
      </c>
      <c r="W18" s="783">
        <f t="shared" si="15"/>
        <v>22.984494153533298</v>
      </c>
      <c r="X18" s="784">
        <f t="shared" si="16"/>
        <v>0.48475921421037926</v>
      </c>
      <c r="Y18" s="784">
        <f t="shared" si="17"/>
        <v>21.348314606741571</v>
      </c>
      <c r="Z18" s="762">
        <f>'RRT - Subgrupo - IGEO'!CB17</f>
        <v>97</v>
      </c>
      <c r="AA18" s="783">
        <f t="shared" si="18"/>
        <v>58.670945602440263</v>
      </c>
      <c r="AB18" s="784">
        <f t="shared" si="19"/>
        <v>1.3759301453696622</v>
      </c>
      <c r="AC18" s="784">
        <f t="shared" si="20"/>
        <v>54.49438202247191</v>
      </c>
      <c r="AD18" s="762">
        <f t="shared" si="21"/>
        <v>178</v>
      </c>
      <c r="AE18" s="783">
        <f>'RRT - Atividades '!U17</f>
        <v>107.66420945602439</v>
      </c>
      <c r="AF18" s="723">
        <f t="shared" si="22"/>
        <v>107.66420945602439</v>
      </c>
      <c r="AG18" s="723">
        <f t="shared" si="23"/>
        <v>0</v>
      </c>
      <c r="AH18" s="1164" t="s">
        <v>650</v>
      </c>
      <c r="AI18" s="771">
        <v>7950.887999333826</v>
      </c>
      <c r="AJ18" s="39">
        <v>0.31685897595120732</v>
      </c>
      <c r="AK18" s="1453"/>
    </row>
    <row r="19" spans="1:37" ht="15.75" customHeight="1">
      <c r="A19" s="786" t="s">
        <v>103</v>
      </c>
      <c r="B19" s="762">
        <f>'RRT - Subgrupo - IGEO'!BJ18</f>
        <v>61</v>
      </c>
      <c r="C19" s="783">
        <f t="shared" si="0"/>
        <v>44.683665028465775</v>
      </c>
      <c r="D19" s="784">
        <f t="shared" si="1"/>
        <v>1.9801160246741709</v>
      </c>
      <c r="E19" s="784">
        <f t="shared" si="2"/>
        <v>20.608108108108109</v>
      </c>
      <c r="F19" s="762">
        <f>'RRT - Subgrupo - IGEO'!BM18</f>
        <v>23</v>
      </c>
      <c r="G19" s="783">
        <f t="shared" si="3"/>
        <v>16.847939273028079</v>
      </c>
      <c r="H19" s="784">
        <f t="shared" si="4"/>
        <v>0.74913977758726169</v>
      </c>
      <c r="I19" s="784">
        <f t="shared" si="5"/>
        <v>7.7702702702702711</v>
      </c>
      <c r="J19" s="762">
        <f>'RRT - Subgrupo - IGEO'!BP18</f>
        <v>8</v>
      </c>
      <c r="K19" s="783">
        <f t="shared" si="6"/>
        <v>5.8601527906184625</v>
      </c>
      <c r="L19" s="784">
        <f t="shared" si="7"/>
        <v>7.3704381084345072E-2</v>
      </c>
      <c r="M19" s="784">
        <f t="shared" si="8"/>
        <v>2.7027027027027031</v>
      </c>
      <c r="N19" s="762">
        <f>'RRT - Subgrupo - IGEO'!BS18</f>
        <v>44</v>
      </c>
      <c r="O19" s="783">
        <f t="shared" si="9"/>
        <v>32.230840348401543</v>
      </c>
      <c r="P19" s="784">
        <f t="shared" si="10"/>
        <v>2.4025044943035061</v>
      </c>
      <c r="Q19" s="784">
        <f t="shared" si="11"/>
        <v>14.864864864864865</v>
      </c>
      <c r="R19" s="762">
        <f>'RRT - Subgrupo - IGEO'!BV18</f>
        <v>24</v>
      </c>
      <c r="S19" s="783">
        <f t="shared" si="12"/>
        <v>17.580458371855386</v>
      </c>
      <c r="T19" s="784">
        <f t="shared" si="13"/>
        <v>0.76794678832003072</v>
      </c>
      <c r="U19" s="784">
        <f t="shared" si="14"/>
        <v>8.1081081081081088</v>
      </c>
      <c r="V19" s="762">
        <f>'RRT - Subgrupo - IGEO'!BY18</f>
        <v>35</v>
      </c>
      <c r="W19" s="783">
        <f t="shared" si="15"/>
        <v>25.638168458955771</v>
      </c>
      <c r="X19" s="784">
        <f t="shared" si="16"/>
        <v>0.54072707943612408</v>
      </c>
      <c r="Y19" s="784">
        <f t="shared" si="17"/>
        <v>11.824324324324325</v>
      </c>
      <c r="Z19" s="762">
        <f>'RRT - Subgrupo - IGEO'!CB18</f>
        <v>101</v>
      </c>
      <c r="AA19" s="783">
        <f t="shared" si="18"/>
        <v>73.984428981558082</v>
      </c>
      <c r="AB19" s="784">
        <f t="shared" si="19"/>
        <v>1.7350565101417532</v>
      </c>
      <c r="AC19" s="784">
        <f t="shared" si="20"/>
        <v>34.121621621621621</v>
      </c>
      <c r="AD19" s="762">
        <f t="shared" si="21"/>
        <v>296</v>
      </c>
      <c r="AE19" s="783">
        <f>'RRT - Atividades '!U18</f>
        <v>216.82565325288309</v>
      </c>
      <c r="AF19" s="723">
        <f t="shared" si="22"/>
        <v>216.82565325288311</v>
      </c>
      <c r="AG19" s="723">
        <f t="shared" si="23"/>
        <v>0</v>
      </c>
      <c r="AH19" s="1164" t="s">
        <v>653</v>
      </c>
      <c r="AI19" s="771">
        <v>4741.424913598099</v>
      </c>
      <c r="AJ19" s="39">
        <v>0.18895537741169446</v>
      </c>
      <c r="AK19" s="1453"/>
    </row>
    <row r="20" spans="1:37" ht="15.75" customHeight="1">
      <c r="A20" s="786" t="s">
        <v>104</v>
      </c>
      <c r="B20" s="762">
        <f>'RRT - Subgrupo - IGEO'!BJ19</f>
        <v>11</v>
      </c>
      <c r="C20" s="783">
        <f t="shared" si="0"/>
        <v>8.4678624813153984</v>
      </c>
      <c r="D20" s="784">
        <f t="shared" si="1"/>
        <v>0.37524563357343554</v>
      </c>
      <c r="E20" s="784">
        <f t="shared" si="2"/>
        <v>9.3220338983050866</v>
      </c>
      <c r="F20" s="762">
        <f>'RRT - Subgrupo - IGEO'!BM19</f>
        <v>3</v>
      </c>
      <c r="G20" s="783">
        <f t="shared" si="3"/>
        <v>2.3094170403587451</v>
      </c>
      <c r="H20" s="784">
        <f t="shared" si="4"/>
        <v>0.10268770203488725</v>
      </c>
      <c r="I20" s="784">
        <f t="shared" si="5"/>
        <v>2.5423728813559325</v>
      </c>
      <c r="J20" s="762">
        <f>'RRT - Subgrupo - IGEO'!BP19</f>
        <v>1</v>
      </c>
      <c r="K20" s="783">
        <f t="shared" si="6"/>
        <v>0.76980568011958161</v>
      </c>
      <c r="L20" s="784">
        <f t="shared" si="7"/>
        <v>9.6820088546597637E-3</v>
      </c>
      <c r="M20" s="784">
        <f t="shared" si="8"/>
        <v>0.84745762711864403</v>
      </c>
      <c r="N20" s="762">
        <f>'RRT - Subgrupo - IGEO'!BS19</f>
        <v>8</v>
      </c>
      <c r="O20" s="783">
        <f t="shared" si="9"/>
        <v>6.1584454409566529</v>
      </c>
      <c r="P20" s="784">
        <f t="shared" si="10"/>
        <v>0.45905389651297362</v>
      </c>
      <c r="Q20" s="784">
        <f t="shared" si="11"/>
        <v>6.7796610169491522</v>
      </c>
      <c r="R20" s="762">
        <f>'RRT - Subgrupo - IGEO'!BV19</f>
        <v>2</v>
      </c>
      <c r="S20" s="783">
        <f t="shared" si="12"/>
        <v>1.5396113602391632</v>
      </c>
      <c r="T20" s="784">
        <f t="shared" si="13"/>
        <v>6.7253058728520443E-2</v>
      </c>
      <c r="U20" s="784">
        <f t="shared" si="14"/>
        <v>1.6949152542372881</v>
      </c>
      <c r="V20" s="762">
        <f>'RRT - Subgrupo - IGEO'!BY19</f>
        <v>23</v>
      </c>
      <c r="W20" s="783">
        <f t="shared" si="15"/>
        <v>17.705530642750379</v>
      </c>
      <c r="X20" s="784">
        <f t="shared" si="16"/>
        <v>0.37342214556582065</v>
      </c>
      <c r="Y20" s="784">
        <f t="shared" si="17"/>
        <v>19.491525423728817</v>
      </c>
      <c r="Z20" s="762">
        <f>'RRT - Subgrupo - IGEO'!CB19</f>
        <v>70</v>
      </c>
      <c r="AA20" s="783">
        <f t="shared" si="18"/>
        <v>53.886397608370707</v>
      </c>
      <c r="AB20" s="784">
        <f t="shared" si="19"/>
        <v>1.263724627810483</v>
      </c>
      <c r="AC20" s="784">
        <f t="shared" si="20"/>
        <v>59.322033898305079</v>
      </c>
      <c r="AD20" s="762">
        <f t="shared" si="21"/>
        <v>118</v>
      </c>
      <c r="AE20" s="783">
        <f>'RRT - Atividades '!U19</f>
        <v>90.837070254110628</v>
      </c>
      <c r="AF20" s="723">
        <f t="shared" si="22"/>
        <v>90.837070254110628</v>
      </c>
      <c r="AG20" s="723">
        <f t="shared" si="23"/>
        <v>0</v>
      </c>
      <c r="AH20" s="1164" t="s">
        <v>654</v>
      </c>
      <c r="AI20" s="771">
        <v>4264.0933335084046</v>
      </c>
      <c r="AJ20" s="39">
        <v>0.1699327480312951</v>
      </c>
      <c r="AK20" s="1453"/>
    </row>
    <row r="21" spans="1:37" ht="15.75" customHeight="1">
      <c r="A21" s="786" t="s">
        <v>102</v>
      </c>
      <c r="B21" s="762">
        <f>'RRT - Subgrupo - IGEO'!BJ20</f>
        <v>195</v>
      </c>
      <c r="C21" s="783">
        <f t="shared" si="0"/>
        <v>139.50421951055597</v>
      </c>
      <c r="D21" s="784">
        <f t="shared" si="1"/>
        <v>6.1820027606629733</v>
      </c>
      <c r="E21" s="784">
        <f t="shared" si="2"/>
        <v>12.645914396887159</v>
      </c>
      <c r="F21" s="762">
        <f>'RRT - Subgrupo - IGEO'!BM20</f>
        <v>40</v>
      </c>
      <c r="G21" s="783">
        <f t="shared" si="3"/>
        <v>28.616250156011485</v>
      </c>
      <c r="H21" s="784">
        <f t="shared" si="4"/>
        <v>1.2724150372250786</v>
      </c>
      <c r="I21" s="784">
        <f t="shared" si="5"/>
        <v>2.5940337224383918</v>
      </c>
      <c r="J21" s="762">
        <f>'RRT - Subgrupo - IGEO'!BP20</f>
        <v>50</v>
      </c>
      <c r="K21" s="783">
        <f t="shared" si="6"/>
        <v>35.770312695014361</v>
      </c>
      <c r="L21" s="784">
        <f t="shared" si="7"/>
        <v>0.44989078827435902</v>
      </c>
      <c r="M21" s="784">
        <f t="shared" si="8"/>
        <v>3.2425421530479901</v>
      </c>
      <c r="N21" s="762">
        <f>'RRT - Subgrupo - IGEO'!BS20</f>
        <v>95</v>
      </c>
      <c r="O21" s="783">
        <f t="shared" si="9"/>
        <v>67.963594120527276</v>
      </c>
      <c r="P21" s="784">
        <f t="shared" si="10"/>
        <v>5.0660435334160931</v>
      </c>
      <c r="Q21" s="784">
        <f t="shared" si="11"/>
        <v>6.1608300907911806</v>
      </c>
      <c r="R21" s="762">
        <f>'RRT - Subgrupo - IGEO'!BV20</f>
        <v>87</v>
      </c>
      <c r="S21" s="783">
        <f t="shared" si="12"/>
        <v>62.240344089324978</v>
      </c>
      <c r="T21" s="784">
        <f t="shared" si="13"/>
        <v>2.7187728178833797</v>
      </c>
      <c r="U21" s="784">
        <f t="shared" si="14"/>
        <v>5.6420233463035023</v>
      </c>
      <c r="V21" s="762">
        <f>'RRT - Subgrupo - IGEO'!BY20</f>
        <v>519</v>
      </c>
      <c r="W21" s="783">
        <f t="shared" si="15"/>
        <v>371.29584577424902</v>
      </c>
      <c r="X21" s="784">
        <f t="shared" si="16"/>
        <v>7.8308916104396511</v>
      </c>
      <c r="Y21" s="784">
        <f t="shared" si="17"/>
        <v>33.657587548638134</v>
      </c>
      <c r="Z21" s="762">
        <f>'RRT - Subgrupo - IGEO'!CB20</f>
        <v>556</v>
      </c>
      <c r="AA21" s="783">
        <f t="shared" si="18"/>
        <v>397.7658771685596</v>
      </c>
      <c r="AB21" s="784">
        <f t="shared" si="19"/>
        <v>9.3282638548928372</v>
      </c>
      <c r="AC21" s="784">
        <f t="shared" si="20"/>
        <v>36.057068741893644</v>
      </c>
      <c r="AD21" s="762">
        <f t="shared" si="21"/>
        <v>1542</v>
      </c>
      <c r="AE21" s="783">
        <f>'RRT - Atividades '!U20</f>
        <v>1103.1564435142427</v>
      </c>
      <c r="AF21" s="723">
        <f t="shared" si="22"/>
        <v>1103.1564435142427</v>
      </c>
      <c r="AG21" s="723">
        <f t="shared" si="23"/>
        <v>0</v>
      </c>
      <c r="AH21" s="1164" t="s">
        <v>652</v>
      </c>
      <c r="AI21" s="771">
        <v>2289.2807990400743</v>
      </c>
      <c r="AJ21" s="39">
        <v>9.1232472361499284E-2</v>
      </c>
      <c r="AK21" s="1453"/>
    </row>
    <row r="22" spans="1:37" ht="15.75" customHeight="1">
      <c r="A22" s="786" t="s">
        <v>105</v>
      </c>
      <c r="B22" s="762">
        <f>'RRT - Subgrupo - IGEO'!BJ21</f>
        <v>180</v>
      </c>
      <c r="C22" s="783">
        <f t="shared" si="0"/>
        <v>156.54438292552243</v>
      </c>
      <c r="D22" s="784">
        <f t="shared" si="1"/>
        <v>6.9371221229522249</v>
      </c>
      <c r="E22" s="784">
        <f t="shared" si="2"/>
        <v>12.847965738758029</v>
      </c>
      <c r="F22" s="762">
        <f>'RRT - Subgrupo - IGEO'!BM21</f>
        <v>209</v>
      </c>
      <c r="G22" s="783">
        <f t="shared" si="3"/>
        <v>181.76542239685662</v>
      </c>
      <c r="H22" s="784">
        <f t="shared" si="4"/>
        <v>8.0821580551057171</v>
      </c>
      <c r="I22" s="784">
        <f t="shared" si="5"/>
        <v>14.917915774446824</v>
      </c>
      <c r="J22" s="762">
        <f>'RRT - Subgrupo - IGEO'!BP21</f>
        <v>33</v>
      </c>
      <c r="K22" s="783">
        <f t="shared" si="6"/>
        <v>28.69980353634578</v>
      </c>
      <c r="L22" s="784">
        <f t="shared" si="7"/>
        <v>0.36096349915569714</v>
      </c>
      <c r="M22" s="784">
        <f t="shared" si="8"/>
        <v>2.3554603854389722</v>
      </c>
      <c r="N22" s="762">
        <f>'RRT - Subgrupo - IGEO'!BS21</f>
        <v>181</v>
      </c>
      <c r="O22" s="783">
        <f t="shared" si="9"/>
        <v>157.41407394177534</v>
      </c>
      <c r="P22" s="784">
        <f t="shared" si="10"/>
        <v>11.733731296599457</v>
      </c>
      <c r="Q22" s="784">
        <f t="shared" si="11"/>
        <v>12.919343326195577</v>
      </c>
      <c r="R22" s="762">
        <f>'RRT - Subgrupo - IGEO'!BV21</f>
        <v>237</v>
      </c>
      <c r="S22" s="783">
        <f t="shared" si="12"/>
        <v>206.11677085193787</v>
      </c>
      <c r="T22" s="784">
        <f t="shared" si="13"/>
        <v>9.0035600236705502</v>
      </c>
      <c r="U22" s="784">
        <f t="shared" si="14"/>
        <v>16.916488222698074</v>
      </c>
      <c r="V22" s="762">
        <f>'RRT - Subgrupo - IGEO'!BY21</f>
        <v>177</v>
      </c>
      <c r="W22" s="783">
        <f t="shared" si="15"/>
        <v>153.93530987676374</v>
      </c>
      <c r="X22" s="784">
        <f t="shared" si="16"/>
        <v>3.246604400193859</v>
      </c>
      <c r="Y22" s="784">
        <f t="shared" si="17"/>
        <v>12.633832976445397</v>
      </c>
      <c r="Z22" s="762">
        <f>'RRT - Subgrupo - IGEO'!CB21</f>
        <v>384</v>
      </c>
      <c r="AA22" s="783">
        <f t="shared" si="18"/>
        <v>333.96135024111453</v>
      </c>
      <c r="AB22" s="784">
        <f t="shared" si="19"/>
        <v>7.8319427864478346</v>
      </c>
      <c r="AC22" s="784">
        <f t="shared" si="20"/>
        <v>27.408993576017131</v>
      </c>
      <c r="AD22" s="762">
        <f t="shared" si="21"/>
        <v>1401</v>
      </c>
      <c r="AE22" s="783">
        <f>'RRT - Atividades '!U21</f>
        <v>1218.4371137703163</v>
      </c>
      <c r="AF22" s="723">
        <f t="shared" si="22"/>
        <v>1218.4371137703163</v>
      </c>
      <c r="AG22" s="723">
        <f t="shared" si="23"/>
        <v>0</v>
      </c>
      <c r="AH22" s="1164" t="s">
        <v>648</v>
      </c>
      <c r="AI22" s="771">
        <v>2256.6185249583291</v>
      </c>
      <c r="AJ22" s="39">
        <v>8.9930814644946552E-2</v>
      </c>
      <c r="AK22" s="1453"/>
    </row>
    <row r="23" spans="1:37" ht="15.75" customHeight="1">
      <c r="A23" s="786" t="s">
        <v>106</v>
      </c>
      <c r="B23" s="762">
        <f>'RRT - Subgrupo - IGEO'!BJ22</f>
        <v>18</v>
      </c>
      <c r="C23" s="783">
        <f t="shared" si="0"/>
        <v>12.304963329353573</v>
      </c>
      <c r="D23" s="784">
        <f t="shared" si="1"/>
        <v>0.54528327199568649</v>
      </c>
      <c r="E23" s="784">
        <f t="shared" si="2"/>
        <v>10.404624277456648</v>
      </c>
      <c r="F23" s="762">
        <f>'RRT - Subgrupo - IGEO'!BM22</f>
        <v>18</v>
      </c>
      <c r="G23" s="783">
        <f t="shared" si="3"/>
        <v>12.304963329353573</v>
      </c>
      <c r="H23" s="784">
        <f t="shared" si="4"/>
        <v>0.54713738828158609</v>
      </c>
      <c r="I23" s="784">
        <f t="shared" si="5"/>
        <v>10.404624277456648</v>
      </c>
      <c r="J23" s="762">
        <f>'RRT - Subgrupo - IGEO'!BP22</f>
        <v>0</v>
      </c>
      <c r="K23" s="783">
        <f t="shared" si="6"/>
        <v>0</v>
      </c>
      <c r="L23" s="784">
        <f t="shared" si="7"/>
        <v>0</v>
      </c>
      <c r="M23" s="784">
        <f t="shared" si="8"/>
        <v>0</v>
      </c>
      <c r="N23" s="762">
        <f>'RRT - Subgrupo - IGEO'!BS22</f>
        <v>10</v>
      </c>
      <c r="O23" s="783">
        <f t="shared" si="9"/>
        <v>6.8360907385297622</v>
      </c>
      <c r="P23" s="784">
        <f t="shared" si="10"/>
        <v>0.50956594818040013</v>
      </c>
      <c r="Q23" s="784">
        <f t="shared" si="11"/>
        <v>5.7803468208092488</v>
      </c>
      <c r="R23" s="762">
        <f>'RRT - Subgrupo - IGEO'!BV22</f>
        <v>7</v>
      </c>
      <c r="S23" s="783">
        <f t="shared" si="12"/>
        <v>4.7852635169708337</v>
      </c>
      <c r="T23" s="784">
        <f t="shared" si="13"/>
        <v>0.20902912036729429</v>
      </c>
      <c r="U23" s="784">
        <f t="shared" si="14"/>
        <v>4.0462427745664744</v>
      </c>
      <c r="V23" s="762">
        <f>'RRT - Subgrupo - IGEO'!BY22</f>
        <v>22</v>
      </c>
      <c r="W23" s="783">
        <f t="shared" si="15"/>
        <v>15.039399624765476</v>
      </c>
      <c r="X23" s="784">
        <f t="shared" si="16"/>
        <v>0.31719155947473626</v>
      </c>
      <c r="Y23" s="784">
        <f t="shared" si="17"/>
        <v>12.716763005780345</v>
      </c>
      <c r="Z23" s="762">
        <f>'RRT - Subgrupo - IGEO'!CB22</f>
        <v>98</v>
      </c>
      <c r="AA23" s="783">
        <f t="shared" si="18"/>
        <v>66.993689237591681</v>
      </c>
      <c r="AB23" s="784">
        <f t="shared" si="19"/>
        <v>1.5711121684681959</v>
      </c>
      <c r="AC23" s="784">
        <f t="shared" si="20"/>
        <v>56.647398843930638</v>
      </c>
      <c r="AD23" s="762">
        <f t="shared" si="21"/>
        <v>173</v>
      </c>
      <c r="AE23" s="783">
        <f>'RRT - Atividades '!U22</f>
        <v>118.26436977656489</v>
      </c>
      <c r="AF23" s="723">
        <f t="shared" si="22"/>
        <v>118.26436977656491</v>
      </c>
      <c r="AG23" s="723">
        <f t="shared" si="23"/>
        <v>0</v>
      </c>
      <c r="AH23" s="1164" t="s">
        <v>649</v>
      </c>
      <c r="AI23" s="771">
        <v>2248.9713905314002</v>
      </c>
      <c r="AJ23" s="39">
        <v>8.9626060863522261E-2</v>
      </c>
      <c r="AK23" s="1453"/>
    </row>
    <row r="24" spans="1:37" ht="16.5" customHeight="1">
      <c r="A24" s="786" t="s">
        <v>108</v>
      </c>
      <c r="B24" s="762">
        <f>'RRT - Subgrupo - IGEO'!BJ23</f>
        <v>9</v>
      </c>
      <c r="C24" s="783">
        <f t="shared" si="0"/>
        <v>4.7490050700539719</v>
      </c>
      <c r="D24" s="784">
        <f t="shared" si="1"/>
        <v>0.21044784563849431</v>
      </c>
      <c r="E24" s="784">
        <f t="shared" si="2"/>
        <v>5.027932960893855</v>
      </c>
      <c r="F24" s="762">
        <f>'RRT - Subgrupo - IGEO'!BM23</f>
        <v>5</v>
      </c>
      <c r="G24" s="783">
        <f t="shared" si="3"/>
        <v>2.6383361500299842</v>
      </c>
      <c r="H24" s="784">
        <f t="shared" si="4"/>
        <v>0.11731301523611568</v>
      </c>
      <c r="I24" s="784">
        <f t="shared" si="5"/>
        <v>2.7932960893854752</v>
      </c>
      <c r="J24" s="762">
        <f>'RRT - Subgrupo - IGEO'!BP23</f>
        <v>0</v>
      </c>
      <c r="K24" s="783">
        <f t="shared" si="6"/>
        <v>0</v>
      </c>
      <c r="L24" s="784">
        <f t="shared" si="7"/>
        <v>0</v>
      </c>
      <c r="M24" s="784">
        <f t="shared" si="8"/>
        <v>0</v>
      </c>
      <c r="N24" s="762">
        <f>'RRT - Subgrupo - IGEO'!BS23</f>
        <v>3</v>
      </c>
      <c r="O24" s="783">
        <f t="shared" si="9"/>
        <v>1.5830016900179904</v>
      </c>
      <c r="P24" s="784">
        <f t="shared" si="10"/>
        <v>0.11799781307740187</v>
      </c>
      <c r="Q24" s="784">
        <f t="shared" si="11"/>
        <v>1.6759776536312849</v>
      </c>
      <c r="R24" s="762">
        <f>'RRT - Subgrupo - IGEO'!BV23</f>
        <v>6</v>
      </c>
      <c r="S24" s="783">
        <f t="shared" si="12"/>
        <v>3.1660033800359808</v>
      </c>
      <c r="T24" s="784">
        <f t="shared" si="13"/>
        <v>0.13829685643471643</v>
      </c>
      <c r="U24" s="784">
        <f t="shared" si="14"/>
        <v>3.3519553072625698</v>
      </c>
      <c r="V24" s="762">
        <f>'RRT - Subgrupo - IGEO'!BY23</f>
        <v>78</v>
      </c>
      <c r="W24" s="783">
        <f t="shared" si="15"/>
        <v>41.158043940467749</v>
      </c>
      <c r="X24" s="784">
        <f t="shared" si="16"/>
        <v>0.8680522140597261</v>
      </c>
      <c r="Y24" s="784">
        <f t="shared" si="17"/>
        <v>43.575418994413404</v>
      </c>
      <c r="Z24" s="762">
        <f>'RRT - Subgrupo - IGEO'!CB23</f>
        <v>78</v>
      </c>
      <c r="AA24" s="783">
        <f t="shared" si="18"/>
        <v>41.158043940467749</v>
      </c>
      <c r="AB24" s="784">
        <f t="shared" si="19"/>
        <v>0.9652238054227531</v>
      </c>
      <c r="AC24" s="784">
        <f t="shared" si="20"/>
        <v>43.575418994413404</v>
      </c>
      <c r="AD24" s="762">
        <f t="shared" si="21"/>
        <v>179</v>
      </c>
      <c r="AE24" s="783">
        <f>'RRT - Atividades '!U23</f>
        <v>94.452434171073435</v>
      </c>
      <c r="AF24" s="723">
        <f t="shared" si="22"/>
        <v>94.452434171073435</v>
      </c>
      <c r="AG24" s="723">
        <f t="shared" si="23"/>
        <v>0</v>
      </c>
      <c r="AH24" s="1164" t="s">
        <v>651</v>
      </c>
      <c r="AI24" s="771">
        <v>1341.5517192505968</v>
      </c>
      <c r="AJ24" s="39">
        <v>5.346355073583501E-2</v>
      </c>
      <c r="AK24" s="1453"/>
    </row>
    <row r="25" spans="1:37" ht="16.5" thickBot="1">
      <c r="A25" s="786" t="s">
        <v>109</v>
      </c>
      <c r="B25" s="762">
        <f>'RRT - Subgrupo - IGEO'!BJ24</f>
        <v>4</v>
      </c>
      <c r="C25" s="783">
        <f t="shared" si="0"/>
        <v>1.9899749373433584</v>
      </c>
      <c r="D25" s="784">
        <f t="shared" si="1"/>
        <v>8.8183931636389698E-2</v>
      </c>
      <c r="E25" s="784">
        <f t="shared" si="2"/>
        <v>5.9701492537313428</v>
      </c>
      <c r="F25" s="762">
        <f>'RRT - Subgrupo - IGEO'!BM24</f>
        <v>21</v>
      </c>
      <c r="G25" s="783">
        <f t="shared" si="3"/>
        <v>10.447368421052632</v>
      </c>
      <c r="H25" s="784">
        <f t="shared" si="4"/>
        <v>0.4645398543101994</v>
      </c>
      <c r="I25" s="784">
        <f t="shared" si="5"/>
        <v>31.343283582089555</v>
      </c>
      <c r="J25" s="762">
        <f>'RRT - Subgrupo - IGEO'!BP24</f>
        <v>0</v>
      </c>
      <c r="K25" s="783">
        <f t="shared" si="6"/>
        <v>0</v>
      </c>
      <c r="L25" s="784">
        <f t="shared" si="7"/>
        <v>0</v>
      </c>
      <c r="M25" s="784">
        <f t="shared" si="8"/>
        <v>0</v>
      </c>
      <c r="N25" s="762">
        <f>'RRT - Subgrupo - IGEO'!BS24</f>
        <v>4</v>
      </c>
      <c r="O25" s="783">
        <f t="shared" si="9"/>
        <v>1.9899749373433584</v>
      </c>
      <c r="P25" s="784">
        <f t="shared" si="10"/>
        <v>0.14833382185630359</v>
      </c>
      <c r="Q25" s="784">
        <f t="shared" si="11"/>
        <v>5.9701492537313428</v>
      </c>
      <c r="R25" s="762">
        <f>'RRT - Subgrupo - IGEO'!BV24</f>
        <v>3</v>
      </c>
      <c r="S25" s="783">
        <f t="shared" si="12"/>
        <v>1.4924812030075187</v>
      </c>
      <c r="T25" s="784">
        <f t="shared" si="13"/>
        <v>6.5194326691305662E-2</v>
      </c>
      <c r="U25" s="784">
        <f t="shared" si="14"/>
        <v>4.4776119402985071</v>
      </c>
      <c r="V25" s="762">
        <f>'RRT - Subgrupo - IGEO'!BY24</f>
        <v>22</v>
      </c>
      <c r="W25" s="783">
        <f t="shared" si="15"/>
        <v>10.944862155388471</v>
      </c>
      <c r="X25" s="784">
        <f t="shared" si="16"/>
        <v>0.23083487252954943</v>
      </c>
      <c r="Y25" s="784">
        <f t="shared" si="17"/>
        <v>32.835820895522389</v>
      </c>
      <c r="Z25" s="762">
        <f>'RRT - Subgrupo - IGEO'!CB24</f>
        <v>13</v>
      </c>
      <c r="AA25" s="783">
        <f t="shared" si="18"/>
        <v>6.4674185463659146</v>
      </c>
      <c r="AB25" s="784">
        <f t="shared" si="19"/>
        <v>0.15167159910743935</v>
      </c>
      <c r="AC25" s="784">
        <f t="shared" si="20"/>
        <v>19.402985074626866</v>
      </c>
      <c r="AD25" s="762">
        <f t="shared" si="21"/>
        <v>67</v>
      </c>
      <c r="AE25" s="783">
        <f>'RRT - Atividades '!U24</f>
        <v>33.332080200501252</v>
      </c>
      <c r="AF25" s="723">
        <f t="shared" si="22"/>
        <v>33.332080200501252</v>
      </c>
      <c r="AG25" s="723">
        <f t="shared" si="23"/>
        <v>0</v>
      </c>
      <c r="AH25" s="1165" t="s">
        <v>128</v>
      </c>
      <c r="AI25" s="1166">
        <f>SUM(AI18:AI24)</f>
        <v>25092.828680220726</v>
      </c>
      <c r="AJ25" s="1167">
        <f>SUM(AJ18:AJ24)</f>
        <v>1</v>
      </c>
      <c r="AK25" s="1454"/>
    </row>
    <row r="26" spans="1:37" ht="15.75">
      <c r="A26" s="786" t="s">
        <v>107</v>
      </c>
      <c r="B26" s="762">
        <f>'RRT - Subgrupo - IGEO'!BJ25</f>
        <v>159</v>
      </c>
      <c r="C26" s="783">
        <f t="shared" si="0"/>
        <v>79.815015448351318</v>
      </c>
      <c r="D26" s="784">
        <f t="shared" si="1"/>
        <v>3.5369299048816942</v>
      </c>
      <c r="E26" s="784">
        <f t="shared" si="2"/>
        <v>10.557768924302788</v>
      </c>
      <c r="F26" s="762">
        <f>'RRT - Subgrupo - IGEO'!BM25</f>
        <v>65</v>
      </c>
      <c r="G26" s="783">
        <f t="shared" si="3"/>
        <v>32.628779900269407</v>
      </c>
      <c r="H26" s="784">
        <f t="shared" si="4"/>
        <v>1.450831257242436</v>
      </c>
      <c r="I26" s="784">
        <f t="shared" si="5"/>
        <v>4.3160690571049143</v>
      </c>
      <c r="J26" s="762">
        <f>'RRT - Subgrupo - IGEO'!BP25</f>
        <v>14</v>
      </c>
      <c r="K26" s="783">
        <f t="shared" si="6"/>
        <v>7.0277372092887953</v>
      </c>
      <c r="L26" s="784">
        <f t="shared" si="7"/>
        <v>8.8389337264939735E-2</v>
      </c>
      <c r="M26" s="784">
        <f t="shared" si="8"/>
        <v>0.92961487383798147</v>
      </c>
      <c r="N26" s="762">
        <f>'RRT - Subgrupo - IGEO'!BS25</f>
        <v>103</v>
      </c>
      <c r="O26" s="783">
        <f t="shared" si="9"/>
        <v>51.704066611196133</v>
      </c>
      <c r="P26" s="784">
        <f t="shared" si="10"/>
        <v>3.8540494465676289</v>
      </c>
      <c r="Q26" s="784">
        <f t="shared" si="11"/>
        <v>6.8393094289508625</v>
      </c>
      <c r="R26" s="762">
        <f>'RRT - Subgrupo - IGEO'!BV25</f>
        <v>96</v>
      </c>
      <c r="S26" s="783">
        <f t="shared" si="12"/>
        <v>48.190198006551739</v>
      </c>
      <c r="T26" s="784">
        <f t="shared" si="13"/>
        <v>2.1050365698589064</v>
      </c>
      <c r="U26" s="784">
        <f t="shared" si="14"/>
        <v>6.3745019920318722</v>
      </c>
      <c r="V26" s="762">
        <f>'RRT - Subgrupo - IGEO'!BY25</f>
        <v>608</v>
      </c>
      <c r="W26" s="783">
        <f t="shared" si="15"/>
        <v>305.20458737482767</v>
      </c>
      <c r="X26" s="784">
        <f t="shared" si="16"/>
        <v>6.4369802946688175</v>
      </c>
      <c r="Y26" s="784">
        <f t="shared" si="17"/>
        <v>40.371845949535192</v>
      </c>
      <c r="Z26" s="762">
        <f>'RRT - Subgrupo - IGEO'!CB25</f>
        <v>461</v>
      </c>
      <c r="AA26" s="783">
        <f t="shared" si="18"/>
        <v>231.41334667729532</v>
      </c>
      <c r="AB26" s="784">
        <f t="shared" si="19"/>
        <v>5.4270234860664592</v>
      </c>
      <c r="AC26" s="784">
        <f t="shared" si="20"/>
        <v>30.610889774236387</v>
      </c>
      <c r="AD26" s="762">
        <f t="shared" si="21"/>
        <v>1506</v>
      </c>
      <c r="AE26" s="783">
        <f>'RRT - Atividades '!U25</f>
        <v>755.98373122778037</v>
      </c>
      <c r="AF26" s="723">
        <f t="shared" si="22"/>
        <v>755.98373122778037</v>
      </c>
      <c r="AG26" s="723">
        <f t="shared" si="23"/>
        <v>0</v>
      </c>
    </row>
    <row r="27" spans="1:37" ht="15.75">
      <c r="A27" s="786" t="s">
        <v>110</v>
      </c>
      <c r="B27" s="762">
        <f>'RRT - Subgrupo - IGEO'!BJ26</f>
        <v>103</v>
      </c>
      <c r="C27" s="783">
        <f t="shared" si="0"/>
        <v>50.797348912385885</v>
      </c>
      <c r="D27" s="784">
        <f t="shared" si="1"/>
        <v>2.2510383722620513</v>
      </c>
      <c r="E27" s="784">
        <f t="shared" si="2"/>
        <v>10.969116080937168</v>
      </c>
      <c r="F27" s="762">
        <f>'RRT - Subgrupo - IGEO'!BM26</f>
        <v>40</v>
      </c>
      <c r="G27" s="783">
        <f t="shared" si="3"/>
        <v>19.727125791217819</v>
      </c>
      <c r="H27" s="784">
        <f t="shared" si="4"/>
        <v>0.87716214951745453</v>
      </c>
      <c r="I27" s="784">
        <f t="shared" si="5"/>
        <v>4.2598509052183173</v>
      </c>
      <c r="J27" s="762">
        <f>'RRT - Subgrupo - IGEO'!BP26</f>
        <v>14</v>
      </c>
      <c r="K27" s="783">
        <f t="shared" si="6"/>
        <v>6.9044940269262369</v>
      </c>
      <c r="L27" s="784">
        <f t="shared" si="7"/>
        <v>8.683928169412948E-2</v>
      </c>
      <c r="M27" s="784">
        <f t="shared" si="8"/>
        <v>1.4909478168264112</v>
      </c>
      <c r="N27" s="762">
        <f>'RRT - Subgrupo - IGEO'!BS26</f>
        <v>31</v>
      </c>
      <c r="O27" s="783">
        <f t="shared" si="9"/>
        <v>15.288522488193809</v>
      </c>
      <c r="P27" s="784">
        <f t="shared" si="10"/>
        <v>1.1396148406961246</v>
      </c>
      <c r="Q27" s="784">
        <f t="shared" si="11"/>
        <v>3.3013844515441959</v>
      </c>
      <c r="R27" s="762">
        <f>'RRT - Subgrupo - IGEO'!BV26</f>
        <v>79</v>
      </c>
      <c r="S27" s="783">
        <f t="shared" si="12"/>
        <v>38.961073437655195</v>
      </c>
      <c r="T27" s="784">
        <f t="shared" si="13"/>
        <v>1.7018914173391089</v>
      </c>
      <c r="U27" s="784">
        <f t="shared" si="14"/>
        <v>8.4132055378061779</v>
      </c>
      <c r="V27" s="762">
        <f>'RRT - Subgrupo - IGEO'!BY26</f>
        <v>359</v>
      </c>
      <c r="W27" s="783">
        <f t="shared" si="15"/>
        <v>177.05095397617993</v>
      </c>
      <c r="X27" s="784">
        <f t="shared" si="16"/>
        <v>3.7341296593859217</v>
      </c>
      <c r="Y27" s="784">
        <f t="shared" si="17"/>
        <v>38.232161874334395</v>
      </c>
      <c r="Z27" s="762">
        <f>'RRT - Subgrupo - IGEO'!CB26</f>
        <v>313</v>
      </c>
      <c r="AA27" s="783">
        <f t="shared" si="18"/>
        <v>154.36475931627942</v>
      </c>
      <c r="AB27" s="784">
        <f t="shared" si="19"/>
        <v>3.6201074236166262</v>
      </c>
      <c r="AC27" s="784">
        <f t="shared" si="20"/>
        <v>33.333333333333329</v>
      </c>
      <c r="AD27" s="762">
        <f t="shared" si="21"/>
        <v>939</v>
      </c>
      <c r="AE27" s="783">
        <f>'RRT - Atividades '!U26</f>
        <v>463.09427794883828</v>
      </c>
      <c r="AF27" s="723">
        <f t="shared" si="22"/>
        <v>463.09427794883834</v>
      </c>
      <c r="AG27" s="723">
        <f t="shared" si="23"/>
        <v>0</v>
      </c>
    </row>
    <row r="28" spans="1:37" ht="15.75">
      <c r="A28" s="786" t="s">
        <v>112</v>
      </c>
      <c r="B28" s="762">
        <f>'RRT - Subgrupo - IGEO'!BJ27</f>
        <v>28</v>
      </c>
      <c r="C28" s="783">
        <f t="shared" si="0"/>
        <v>18.789909341742216</v>
      </c>
      <c r="D28" s="784">
        <f t="shared" si="1"/>
        <v>0.83265776354863497</v>
      </c>
      <c r="E28" s="784">
        <f t="shared" si="2"/>
        <v>23.728813559322035</v>
      </c>
      <c r="F28" s="762">
        <f>'RRT - Subgrupo - IGEO'!BM27</f>
        <v>2</v>
      </c>
      <c r="G28" s="783">
        <f t="shared" si="3"/>
        <v>1.3421363815530154</v>
      </c>
      <c r="H28" s="784">
        <f t="shared" si="4"/>
        <v>5.9677788130327772E-2</v>
      </c>
      <c r="I28" s="784">
        <f t="shared" si="5"/>
        <v>1.6949152542372881</v>
      </c>
      <c r="J28" s="762">
        <f>'RRT - Subgrupo - IGEO'!BP27</f>
        <v>1</v>
      </c>
      <c r="K28" s="783">
        <f t="shared" si="6"/>
        <v>0.6710681907765077</v>
      </c>
      <c r="L28" s="784">
        <f t="shared" si="7"/>
        <v>8.4401665679699409E-3</v>
      </c>
      <c r="M28" s="784">
        <f t="shared" si="8"/>
        <v>0.84745762711864403</v>
      </c>
      <c r="N28" s="762">
        <f>'RRT - Subgrupo - IGEO'!BS27</f>
        <v>9</v>
      </c>
      <c r="O28" s="783">
        <f t="shared" si="9"/>
        <v>6.03961371698857</v>
      </c>
      <c r="P28" s="784">
        <f t="shared" si="10"/>
        <v>0.45019611471724352</v>
      </c>
      <c r="Q28" s="784">
        <f t="shared" si="11"/>
        <v>7.6271186440677967</v>
      </c>
      <c r="R28" s="762">
        <f>'RRT - Subgrupo - IGEO'!BV27</f>
        <v>3</v>
      </c>
      <c r="S28" s="783">
        <f t="shared" si="12"/>
        <v>2.0132045723295233</v>
      </c>
      <c r="T28" s="784">
        <f t="shared" si="13"/>
        <v>8.7940482145033791E-2</v>
      </c>
      <c r="U28" s="784">
        <f t="shared" si="14"/>
        <v>2.5423728813559325</v>
      </c>
      <c r="V28" s="762">
        <f>'RRT - Subgrupo - IGEO'!BY27</f>
        <v>42</v>
      </c>
      <c r="W28" s="783">
        <f t="shared" si="15"/>
        <v>28.184864012613321</v>
      </c>
      <c r="X28" s="784">
        <f t="shared" si="16"/>
        <v>0.59443868723473736</v>
      </c>
      <c r="Y28" s="784">
        <f t="shared" si="17"/>
        <v>35.593220338983052</v>
      </c>
      <c r="Z28" s="762">
        <f>'RRT - Subgrupo - IGEO'!CB27</f>
        <v>33</v>
      </c>
      <c r="AA28" s="783">
        <f t="shared" si="18"/>
        <v>22.145250295624752</v>
      </c>
      <c r="AB28" s="784">
        <f t="shared" si="19"/>
        <v>0.51934253224715687</v>
      </c>
      <c r="AC28" s="784">
        <f t="shared" si="20"/>
        <v>27.966101694915253</v>
      </c>
      <c r="AD28" s="762">
        <f t="shared" si="21"/>
        <v>118</v>
      </c>
      <c r="AE28" s="783">
        <f>'RRT - Atividades '!U27</f>
        <v>79.186046511627907</v>
      </c>
      <c r="AF28" s="723">
        <f t="shared" si="22"/>
        <v>79.186046511627907</v>
      </c>
      <c r="AG28" s="723">
        <f t="shared" si="23"/>
        <v>0</v>
      </c>
    </row>
    <row r="29" spans="1:37" ht="15.75">
      <c r="A29" s="786" t="s">
        <v>111</v>
      </c>
      <c r="B29" s="762">
        <f>'RRT - Subgrupo - IGEO'!BJ28</f>
        <v>1308</v>
      </c>
      <c r="C29" s="783">
        <f t="shared" si="0"/>
        <v>1165.2489589023921</v>
      </c>
      <c r="D29" s="784">
        <f t="shared" si="1"/>
        <v>51.636949090627084</v>
      </c>
      <c r="E29" s="784">
        <f t="shared" si="2"/>
        <v>6.7263190373341564</v>
      </c>
      <c r="F29" s="762">
        <f>'RRT - Subgrupo - IGEO'!BM28</f>
        <v>2016</v>
      </c>
      <c r="G29" s="783">
        <f t="shared" si="3"/>
        <v>1795.9800467486409</v>
      </c>
      <c r="H29" s="784">
        <f t="shared" si="4"/>
        <v>79.857843203789102</v>
      </c>
      <c r="I29" s="784">
        <f t="shared" si="5"/>
        <v>10.367170626349893</v>
      </c>
      <c r="J29" s="762">
        <f>'RRT - Subgrupo - IGEO'!BP28</f>
        <v>8759</v>
      </c>
      <c r="K29" s="783">
        <f t="shared" si="6"/>
        <v>7803.0700543012626</v>
      </c>
      <c r="L29" s="784">
        <f t="shared" si="7"/>
        <v>98.140862441466297</v>
      </c>
      <c r="M29" s="784">
        <f t="shared" si="8"/>
        <v>45.042682299701738</v>
      </c>
      <c r="N29" s="762">
        <f>'RRT - Subgrupo - IGEO'!BS28</f>
        <v>898</v>
      </c>
      <c r="O29" s="783">
        <f t="shared" si="9"/>
        <v>799.99508034736084</v>
      </c>
      <c r="P29" s="784">
        <f t="shared" si="10"/>
        <v>59.632071493616778</v>
      </c>
      <c r="Q29" s="784">
        <f t="shared" si="11"/>
        <v>4.6179162809832359</v>
      </c>
      <c r="R29" s="762">
        <f>'RRT - Subgrupo - IGEO'!BV28</f>
        <v>1866</v>
      </c>
      <c r="S29" s="783">
        <f t="shared" si="12"/>
        <v>1662.3505789846051</v>
      </c>
      <c r="T29" s="784">
        <f t="shared" si="13"/>
        <v>72.614533773299044</v>
      </c>
      <c r="U29" s="784">
        <f t="shared" si="14"/>
        <v>9.595803764270288</v>
      </c>
      <c r="V29" s="762">
        <f>'RRT - Subgrupo - IGEO'!BY28</f>
        <v>2854</v>
      </c>
      <c r="W29" s="783">
        <f t="shared" si="15"/>
        <v>2542.5233399903877</v>
      </c>
      <c r="X29" s="784">
        <f t="shared" si="16"/>
        <v>53.623612865798961</v>
      </c>
      <c r="Y29" s="784">
        <f t="shared" si="17"/>
        <v>14.676540162501286</v>
      </c>
      <c r="Z29" s="762">
        <f>'RRT - Subgrupo - IGEO'!CB28</f>
        <v>1745</v>
      </c>
      <c r="AA29" s="783">
        <f t="shared" si="18"/>
        <v>1554.5561416549494</v>
      </c>
      <c r="AB29" s="784">
        <f t="shared" si="19"/>
        <v>36.456897634928033</v>
      </c>
      <c r="AC29" s="784">
        <f t="shared" si="20"/>
        <v>8.9735678288594052</v>
      </c>
      <c r="AD29" s="762">
        <f t="shared" si="21"/>
        <v>19446</v>
      </c>
      <c r="AE29" s="783">
        <f>'RRT - Atividades '!U28</f>
        <v>17323.724200929599</v>
      </c>
      <c r="AF29" s="723">
        <f t="shared" si="22"/>
        <v>17323.724200929599</v>
      </c>
      <c r="AG29" s="723">
        <f t="shared" si="23"/>
        <v>0</v>
      </c>
    </row>
    <row r="30" spans="1:37" ht="15.75">
      <c r="A30" s="786" t="s">
        <v>113</v>
      </c>
      <c r="B30" s="762">
        <f>'RRT - Subgrupo - IGEO'!BJ29</f>
        <v>7</v>
      </c>
      <c r="C30" s="783">
        <f t="shared" si="0"/>
        <v>3.6345541401273884</v>
      </c>
      <c r="D30" s="784">
        <f t="shared" si="1"/>
        <v>0.16106196505652209</v>
      </c>
      <c r="E30" s="784">
        <f t="shared" si="2"/>
        <v>6.666666666666667</v>
      </c>
      <c r="F30" s="762">
        <f>'RRT - Subgrupo - IGEO'!BM29</f>
        <v>1</v>
      </c>
      <c r="G30" s="783">
        <f t="shared" si="3"/>
        <v>0.51922202001819839</v>
      </c>
      <c r="H30" s="784">
        <f t="shared" si="4"/>
        <v>2.3087088711053524E-2</v>
      </c>
      <c r="I30" s="784">
        <f t="shared" si="5"/>
        <v>0.95238095238095244</v>
      </c>
      <c r="J30" s="762">
        <f>'RRT - Subgrupo - IGEO'!BP29</f>
        <v>1</v>
      </c>
      <c r="K30" s="783">
        <f t="shared" si="6"/>
        <v>0.51922202001819839</v>
      </c>
      <c r="L30" s="784">
        <f t="shared" si="7"/>
        <v>6.530365162503886E-3</v>
      </c>
      <c r="M30" s="784">
        <f t="shared" si="8"/>
        <v>0.95238095238095244</v>
      </c>
      <c r="N30" s="762">
        <f>'RRT - Subgrupo - IGEO'!BS29</f>
        <v>3</v>
      </c>
      <c r="O30" s="783">
        <f t="shared" si="9"/>
        <v>1.5576660600545951</v>
      </c>
      <c r="P30" s="784">
        <f t="shared" si="10"/>
        <v>0.11610928134211045</v>
      </c>
      <c r="Q30" s="784">
        <f t="shared" si="11"/>
        <v>2.8571428571428572</v>
      </c>
      <c r="R30" s="762">
        <f>'RRT - Subgrupo - IGEO'!BV29</f>
        <v>2</v>
      </c>
      <c r="S30" s="783">
        <f t="shared" si="12"/>
        <v>1.0384440400363968</v>
      </c>
      <c r="T30" s="784">
        <f t="shared" si="13"/>
        <v>4.5361147504134489E-2</v>
      </c>
      <c r="U30" s="784">
        <f t="shared" si="14"/>
        <v>1.9047619047619049</v>
      </c>
      <c r="V30" s="762">
        <f>'RRT - Subgrupo - IGEO'!BY29</f>
        <v>46</v>
      </c>
      <c r="W30" s="783">
        <f t="shared" si="15"/>
        <v>23.884212920837125</v>
      </c>
      <c r="X30" s="784">
        <f t="shared" si="16"/>
        <v>0.50373491842797624</v>
      </c>
      <c r="Y30" s="784">
        <f t="shared" si="17"/>
        <v>43.80952380952381</v>
      </c>
      <c r="Z30" s="762">
        <f>'RRT - Subgrupo - IGEO'!CB29</f>
        <v>45</v>
      </c>
      <c r="AA30" s="783">
        <f t="shared" si="18"/>
        <v>23.364990900818924</v>
      </c>
      <c r="AB30" s="784">
        <f t="shared" si="19"/>
        <v>0.54794745502427145</v>
      </c>
      <c r="AC30" s="784">
        <f t="shared" si="20"/>
        <v>42.857142857142847</v>
      </c>
      <c r="AD30" s="762">
        <f t="shared" si="21"/>
        <v>105</v>
      </c>
      <c r="AE30" s="783">
        <f>'RRT - Atividades '!U29</f>
        <v>54.51831210191083</v>
      </c>
      <c r="AF30" s="723">
        <f t="shared" si="22"/>
        <v>54.518312101910823</v>
      </c>
      <c r="AG30" s="723">
        <f t="shared" si="23"/>
        <v>0</v>
      </c>
    </row>
    <row r="31" spans="1:37" ht="15.75">
      <c r="A31" s="789" t="s">
        <v>128</v>
      </c>
      <c r="B31" s="774">
        <f t="shared" ref="B31:AB31" si="25">SUM(B4:B30)</f>
        <v>2911</v>
      </c>
      <c r="C31" s="774">
        <f t="shared" si="25"/>
        <v>2256.6185249583291</v>
      </c>
      <c r="D31" s="775">
        <f t="shared" si="25"/>
        <v>100</v>
      </c>
      <c r="E31" s="775">
        <f t="shared" si="2"/>
        <v>8.9930814644946544</v>
      </c>
      <c r="F31" s="774">
        <f t="shared" si="25"/>
        <v>2654</v>
      </c>
      <c r="G31" s="774">
        <f t="shared" si="25"/>
        <v>2248.9713905314002</v>
      </c>
      <c r="H31" s="775">
        <f t="shared" si="25"/>
        <v>99.999999999999986</v>
      </c>
      <c r="I31" s="775">
        <f t="shared" si="5"/>
        <v>8.9626060863522259</v>
      </c>
      <c r="J31" s="774">
        <f t="shared" si="25"/>
        <v>8973</v>
      </c>
      <c r="K31" s="774">
        <f t="shared" si="25"/>
        <v>7950.887999333826</v>
      </c>
      <c r="L31" s="775">
        <f t="shared" si="25"/>
        <v>99.999999999999986</v>
      </c>
      <c r="M31" s="775">
        <f t="shared" si="8"/>
        <v>31.685897595120732</v>
      </c>
      <c r="N31" s="774">
        <f t="shared" si="25"/>
        <v>1671</v>
      </c>
      <c r="O31" s="774">
        <f t="shared" si="25"/>
        <v>1341.5517192505968</v>
      </c>
      <c r="P31" s="775">
        <f t="shared" si="25"/>
        <v>100.00000000000001</v>
      </c>
      <c r="Q31" s="775">
        <f t="shared" si="11"/>
        <v>5.346355073583501</v>
      </c>
      <c r="R31" s="774">
        <f t="shared" si="25"/>
        <v>2756</v>
      </c>
      <c r="S31" s="774">
        <f t="shared" si="25"/>
        <v>2289.2807990400743</v>
      </c>
      <c r="T31" s="775">
        <f t="shared" si="25"/>
        <v>100</v>
      </c>
      <c r="U31" s="775">
        <f t="shared" si="14"/>
        <v>9.1232472361499291</v>
      </c>
      <c r="V31" s="774">
        <f t="shared" si="25"/>
        <v>6343</v>
      </c>
      <c r="W31" s="774">
        <f t="shared" si="25"/>
        <v>4741.424913598099</v>
      </c>
      <c r="X31" s="775">
        <f t="shared" si="25"/>
        <v>100</v>
      </c>
      <c r="Y31" s="775">
        <f t="shared" si="17"/>
        <v>18.895537741169445</v>
      </c>
      <c r="Z31" s="774">
        <f t="shared" si="25"/>
        <v>5862</v>
      </c>
      <c r="AA31" s="774">
        <f t="shared" si="25"/>
        <v>4264.0933335084046</v>
      </c>
      <c r="AB31" s="775">
        <f t="shared" si="25"/>
        <v>99.999999999999972</v>
      </c>
      <c r="AC31" s="775">
        <f t="shared" si="20"/>
        <v>16.993274803129509</v>
      </c>
      <c r="AD31" s="774">
        <f>+Z31+V31+R31+N31+J31+F31+B31</f>
        <v>31170</v>
      </c>
      <c r="AE31" s="774">
        <f>SUM(AE4:AE30)</f>
        <v>25092.828680220729</v>
      </c>
      <c r="AF31" s="723">
        <f>C31+G31+K31+O31+S31+W31+AA31</f>
        <v>25092.828680220729</v>
      </c>
      <c r="AG31" s="723">
        <f t="shared" si="23"/>
        <v>0</v>
      </c>
    </row>
    <row r="32" spans="1:37" s="776" customFormat="1" ht="15.75">
      <c r="B32" s="776">
        <f>'RRT - Subgrupo - IGEO'!BJ30</f>
        <v>2911</v>
      </c>
      <c r="C32" s="777"/>
      <c r="F32" s="776">
        <f>'RRT - Subgrupo - IGEO'!BM30</f>
        <v>2654</v>
      </c>
      <c r="G32" s="777"/>
      <c r="H32" s="777"/>
      <c r="I32" s="790"/>
      <c r="J32" s="776">
        <f>'RRT - Subgrupo - IGEO'!BP30</f>
        <v>8973</v>
      </c>
      <c r="K32" s="777"/>
      <c r="L32" s="777"/>
      <c r="M32" s="790"/>
      <c r="N32" s="776">
        <f>'RRT - Subgrupo - IGEO'!BS30</f>
        <v>1671</v>
      </c>
      <c r="O32" s="777"/>
      <c r="P32" s="777"/>
      <c r="Q32" s="790"/>
      <c r="R32" s="776">
        <f>'RRT - Subgrupo - IGEO'!BV30</f>
        <v>2756</v>
      </c>
      <c r="S32" s="777"/>
      <c r="T32" s="777"/>
      <c r="U32" s="790"/>
      <c r="V32" s="776">
        <f>'RRT - Subgrupo - IGEO'!BY30</f>
        <v>6343</v>
      </c>
      <c r="W32" s="777"/>
      <c r="X32" s="777"/>
      <c r="Y32" s="790"/>
      <c r="Z32" s="776">
        <f>'RRT - Subgrupo - IGEO'!CB30</f>
        <v>5862</v>
      </c>
      <c r="AA32" s="777"/>
      <c r="AB32" s="777"/>
      <c r="AC32" s="790"/>
      <c r="AD32" s="776">
        <f>B32+F32+J32+N32+R32+V32+Z32</f>
        <v>31170</v>
      </c>
      <c r="AE32" s="777">
        <f>'RRT - Atividades '!U30</f>
        <v>25092.828680220729</v>
      </c>
    </row>
    <row r="33" spans="1:32" s="779" customFormat="1" ht="15.75">
      <c r="B33" s="778">
        <f>B31-B32</f>
        <v>0</v>
      </c>
      <c r="F33" s="778">
        <f>F31-F32</f>
        <v>0</v>
      </c>
      <c r="J33" s="778">
        <f>J31-J32</f>
        <v>0</v>
      </c>
      <c r="N33" s="778">
        <f>N31-N32</f>
        <v>0</v>
      </c>
      <c r="R33" s="778">
        <f>R31-R32</f>
        <v>0</v>
      </c>
      <c r="V33" s="778">
        <f>V31-V32</f>
        <v>0</v>
      </c>
      <c r="Z33" s="778">
        <f>Z31-Z32</f>
        <v>0</v>
      </c>
      <c r="AD33" s="778">
        <f>AD31-AD32</f>
        <v>0</v>
      </c>
      <c r="AF33" s="776"/>
    </row>
    <row r="34" spans="1:32" s="12" customFormat="1">
      <c r="AF34" s="723"/>
    </row>
    <row r="35" spans="1:32" hidden="1">
      <c r="A35" s="274" t="s">
        <v>87</v>
      </c>
      <c r="B35" s="756">
        <f>B4/$AD4</f>
        <v>4.49438202247191E-2</v>
      </c>
      <c r="C35" s="791"/>
      <c r="D35" s="791"/>
      <c r="E35" s="274" t="s">
        <v>87</v>
      </c>
      <c r="F35" s="756">
        <f>F4/$AD4</f>
        <v>2.247191011235955E-2</v>
      </c>
      <c r="G35" s="61"/>
      <c r="I35" s="274" t="s">
        <v>87</v>
      </c>
      <c r="J35" s="756">
        <f>J4/$AD4</f>
        <v>5.6179775280898875E-2</v>
      </c>
      <c r="M35" s="274" t="s">
        <v>87</v>
      </c>
      <c r="N35" s="756">
        <f>N4/$AD4</f>
        <v>0</v>
      </c>
      <c r="Q35" s="274" t="s">
        <v>87</v>
      </c>
      <c r="R35" s="756">
        <f>R4/$AD4</f>
        <v>0.15730337078651685</v>
      </c>
      <c r="U35" s="274" t="s">
        <v>87</v>
      </c>
      <c r="V35" s="756">
        <f>V4/$AD4</f>
        <v>0.2808988764044944</v>
      </c>
      <c r="Y35" s="274" t="s">
        <v>87</v>
      </c>
      <c r="Z35" s="756">
        <f>Z4/$AD4</f>
        <v>0.43820224719101125</v>
      </c>
      <c r="AC35" s="274" t="s">
        <v>87</v>
      </c>
      <c r="AD35" s="756">
        <f>AD4/$AD4</f>
        <v>1</v>
      </c>
    </row>
    <row r="36" spans="1:32" hidden="1">
      <c r="A36" s="758" t="s">
        <v>88</v>
      </c>
      <c r="B36" s="756">
        <f t="shared" ref="B36:B61" si="26">B5/$AD5</f>
        <v>0.125</v>
      </c>
      <c r="C36" s="791"/>
      <c r="D36" s="791"/>
      <c r="E36" s="758" t="s">
        <v>88</v>
      </c>
      <c r="F36" s="756">
        <f t="shared" ref="F36:F61" si="27">F5/$AD5</f>
        <v>6.25E-2</v>
      </c>
      <c r="G36" s="61"/>
      <c r="I36" s="758" t="s">
        <v>88</v>
      </c>
      <c r="J36" s="756">
        <f t="shared" ref="J36:J61" si="28">J5/$AD5</f>
        <v>3.125E-2</v>
      </c>
      <c r="M36" s="758" t="s">
        <v>88</v>
      </c>
      <c r="N36" s="756">
        <f t="shared" ref="N36:N61" si="29">N5/$AD5</f>
        <v>9.375E-2</v>
      </c>
      <c r="Q36" s="758" t="s">
        <v>88</v>
      </c>
      <c r="R36" s="756">
        <f t="shared" ref="R36:R61" si="30">R5/$AD5</f>
        <v>7.2916666666666671E-2</v>
      </c>
      <c r="U36" s="758" t="s">
        <v>88</v>
      </c>
      <c r="V36" s="756">
        <f t="shared" ref="V36:V61" si="31">V5/$AD5</f>
        <v>0.27083333333333331</v>
      </c>
      <c r="Y36" s="758" t="s">
        <v>88</v>
      </c>
      <c r="Z36" s="756">
        <f t="shared" ref="Z36:Z61" si="32">Z5/$AD5</f>
        <v>0.34375</v>
      </c>
      <c r="AC36" s="758" t="s">
        <v>88</v>
      </c>
      <c r="AD36" s="756">
        <f t="shared" ref="AD36:AD61" si="33">AD5/$AD5</f>
        <v>1</v>
      </c>
    </row>
    <row r="37" spans="1:32" ht="15" hidden="1" customHeight="1">
      <c r="A37" s="758" t="s">
        <v>90</v>
      </c>
      <c r="B37" s="756">
        <f t="shared" si="26"/>
        <v>0.20903954802259886</v>
      </c>
      <c r="C37" s="791"/>
      <c r="D37" s="791"/>
      <c r="E37" s="758" t="s">
        <v>90</v>
      </c>
      <c r="F37" s="756">
        <f t="shared" si="27"/>
        <v>6.2146892655367235E-2</v>
      </c>
      <c r="G37" s="61"/>
      <c r="I37" s="758" t="s">
        <v>90</v>
      </c>
      <c r="J37" s="756">
        <f t="shared" si="28"/>
        <v>0</v>
      </c>
      <c r="M37" s="758" t="s">
        <v>90</v>
      </c>
      <c r="N37" s="756">
        <f t="shared" si="29"/>
        <v>5.0847457627118647E-2</v>
      </c>
      <c r="Q37" s="758" t="s">
        <v>90</v>
      </c>
      <c r="R37" s="756">
        <f t="shared" si="30"/>
        <v>6.7796610169491525E-2</v>
      </c>
      <c r="U37" s="758" t="s">
        <v>90</v>
      </c>
      <c r="V37" s="756">
        <f t="shared" si="31"/>
        <v>0.25423728813559321</v>
      </c>
      <c r="Y37" s="758" t="s">
        <v>90</v>
      </c>
      <c r="Z37" s="756">
        <f t="shared" si="32"/>
        <v>0.3559322033898305</v>
      </c>
      <c r="AC37" s="758" t="s">
        <v>90</v>
      </c>
      <c r="AD37" s="756">
        <f t="shared" si="33"/>
        <v>1</v>
      </c>
    </row>
    <row r="38" spans="1:32" hidden="1">
      <c r="A38" s="758" t="s">
        <v>89</v>
      </c>
      <c r="B38" s="756">
        <f t="shared" si="26"/>
        <v>2.4390243902439025E-2</v>
      </c>
      <c r="C38" s="791"/>
      <c r="D38" s="791"/>
      <c r="E38" s="758" t="s">
        <v>89</v>
      </c>
      <c r="F38" s="756">
        <f t="shared" si="27"/>
        <v>9.7560975609756097E-3</v>
      </c>
      <c r="G38" s="61"/>
      <c r="I38" s="758" t="s">
        <v>89</v>
      </c>
      <c r="J38" s="756">
        <f t="shared" si="28"/>
        <v>2.9268292682926831E-2</v>
      </c>
      <c r="M38" s="758" t="s">
        <v>89</v>
      </c>
      <c r="N38" s="756">
        <f t="shared" si="29"/>
        <v>9.7560975609756097E-3</v>
      </c>
      <c r="Q38" s="758" t="s">
        <v>89</v>
      </c>
      <c r="R38" s="756">
        <f t="shared" si="30"/>
        <v>9.7560975609756097E-3</v>
      </c>
      <c r="U38" s="758" t="s">
        <v>89</v>
      </c>
      <c r="V38" s="756">
        <f t="shared" si="31"/>
        <v>0.56097560975609762</v>
      </c>
      <c r="Y38" s="758" t="s">
        <v>89</v>
      </c>
      <c r="Z38" s="756">
        <f t="shared" si="32"/>
        <v>0.35609756097560974</v>
      </c>
      <c r="AC38" s="758" t="s">
        <v>89</v>
      </c>
      <c r="AD38" s="756">
        <f t="shared" si="33"/>
        <v>1</v>
      </c>
    </row>
    <row r="39" spans="1:32" hidden="1">
      <c r="A39" s="758" t="s">
        <v>91</v>
      </c>
      <c r="B39" s="756">
        <f t="shared" si="26"/>
        <v>0.23035714285714284</v>
      </c>
      <c r="C39" s="791"/>
      <c r="D39" s="791"/>
      <c r="E39" s="758" t="s">
        <v>91</v>
      </c>
      <c r="F39" s="756">
        <f t="shared" si="27"/>
        <v>5.1785714285714289E-2</v>
      </c>
      <c r="G39" s="61"/>
      <c r="I39" s="758" t="s">
        <v>91</v>
      </c>
      <c r="J39" s="756">
        <f t="shared" si="28"/>
        <v>1.0714285714285714E-2</v>
      </c>
      <c r="M39" s="758" t="s">
        <v>91</v>
      </c>
      <c r="N39" s="756">
        <f t="shared" si="29"/>
        <v>6.6071428571428573E-2</v>
      </c>
      <c r="Q39" s="758" t="s">
        <v>91</v>
      </c>
      <c r="R39" s="756">
        <f t="shared" si="30"/>
        <v>0.13928571428571429</v>
      </c>
      <c r="U39" s="758" t="s">
        <v>91</v>
      </c>
      <c r="V39" s="756">
        <f t="shared" si="31"/>
        <v>0.25892857142857145</v>
      </c>
      <c r="Y39" s="758" t="s">
        <v>91</v>
      </c>
      <c r="Z39" s="756">
        <f t="shared" si="32"/>
        <v>0.24285714285714285</v>
      </c>
      <c r="AC39" s="758" t="s">
        <v>91</v>
      </c>
      <c r="AD39" s="756">
        <f t="shared" si="33"/>
        <v>1</v>
      </c>
    </row>
    <row r="40" spans="1:32" hidden="1">
      <c r="A40" s="758" t="s">
        <v>92</v>
      </c>
      <c r="B40" s="756">
        <f t="shared" si="26"/>
        <v>0.26370757180156656</v>
      </c>
      <c r="C40" s="791"/>
      <c r="D40" s="791"/>
      <c r="E40" s="758" t="s">
        <v>92</v>
      </c>
      <c r="F40" s="756">
        <f t="shared" si="27"/>
        <v>5.4830287206266322E-2</v>
      </c>
      <c r="G40" s="61"/>
      <c r="I40" s="758" t="s">
        <v>92</v>
      </c>
      <c r="J40" s="756">
        <f t="shared" si="28"/>
        <v>2.6109660574412531E-2</v>
      </c>
      <c r="M40" s="758" t="s">
        <v>92</v>
      </c>
      <c r="N40" s="756">
        <f t="shared" si="29"/>
        <v>6.0052219321148827E-2</v>
      </c>
      <c r="Q40" s="758" t="s">
        <v>92</v>
      </c>
      <c r="R40" s="756">
        <f t="shared" si="30"/>
        <v>6.0052219321148827E-2</v>
      </c>
      <c r="U40" s="758" t="s">
        <v>92</v>
      </c>
      <c r="V40" s="756">
        <f t="shared" si="31"/>
        <v>0.16187989556135771</v>
      </c>
      <c r="Y40" s="758" t="s">
        <v>92</v>
      </c>
      <c r="Z40" s="756">
        <f t="shared" si="32"/>
        <v>0.37336814621409919</v>
      </c>
      <c r="AC40" s="758" t="s">
        <v>92</v>
      </c>
      <c r="AD40" s="756">
        <f t="shared" si="33"/>
        <v>1</v>
      </c>
    </row>
    <row r="41" spans="1:32" hidden="1">
      <c r="A41" s="758" t="s">
        <v>93</v>
      </c>
      <c r="B41" s="756">
        <f t="shared" si="26"/>
        <v>0.17837837837837839</v>
      </c>
      <c r="C41" s="791"/>
      <c r="D41" s="791"/>
      <c r="E41" s="758" t="s">
        <v>93</v>
      </c>
      <c r="F41" s="756">
        <f t="shared" si="27"/>
        <v>7.0270270270270274E-2</v>
      </c>
      <c r="G41" s="61"/>
      <c r="I41" s="758" t="s">
        <v>93</v>
      </c>
      <c r="J41" s="756">
        <f t="shared" si="28"/>
        <v>1.3513513513513514E-2</v>
      </c>
      <c r="M41" s="758" t="s">
        <v>93</v>
      </c>
      <c r="N41" s="756">
        <f t="shared" si="29"/>
        <v>9.1891891891891897E-2</v>
      </c>
      <c r="Q41" s="758" t="s">
        <v>93</v>
      </c>
      <c r="R41" s="756">
        <f t="shared" si="30"/>
        <v>0.10540540540540541</v>
      </c>
      <c r="U41" s="758" t="s">
        <v>93</v>
      </c>
      <c r="V41" s="756">
        <f t="shared" si="31"/>
        <v>0.1</v>
      </c>
      <c r="Y41" s="758" t="s">
        <v>93</v>
      </c>
      <c r="Z41" s="756">
        <f t="shared" si="32"/>
        <v>0.44054054054054054</v>
      </c>
      <c r="AC41" s="758" t="s">
        <v>93</v>
      </c>
      <c r="AD41" s="756">
        <f t="shared" si="33"/>
        <v>1</v>
      </c>
    </row>
    <row r="42" spans="1:32" hidden="1">
      <c r="A42" s="758" t="s">
        <v>94</v>
      </c>
      <c r="B42" s="756">
        <f t="shared" si="26"/>
        <v>9.9447513812154692E-2</v>
      </c>
      <c r="C42" s="791"/>
      <c r="D42" s="791"/>
      <c r="E42" s="758" t="s">
        <v>94</v>
      </c>
      <c r="F42" s="756">
        <f t="shared" si="27"/>
        <v>2.4861878453038673E-2</v>
      </c>
      <c r="G42" s="61"/>
      <c r="I42" s="758" t="s">
        <v>94</v>
      </c>
      <c r="J42" s="756">
        <f t="shared" si="28"/>
        <v>1.3812154696132596E-2</v>
      </c>
      <c r="M42" s="758" t="s">
        <v>94</v>
      </c>
      <c r="N42" s="756">
        <f t="shared" si="29"/>
        <v>9.668508287292818E-2</v>
      </c>
      <c r="Q42" s="758" t="s">
        <v>94</v>
      </c>
      <c r="R42" s="756">
        <f t="shared" si="30"/>
        <v>4.4198895027624308E-2</v>
      </c>
      <c r="U42" s="758" t="s">
        <v>94</v>
      </c>
      <c r="V42" s="756">
        <f t="shared" si="31"/>
        <v>0.35359116022099446</v>
      </c>
      <c r="Y42" s="758" t="s">
        <v>94</v>
      </c>
      <c r="Z42" s="756">
        <f t="shared" si="32"/>
        <v>0.36740331491712708</v>
      </c>
      <c r="AC42" s="758" t="s">
        <v>94</v>
      </c>
      <c r="AD42" s="756">
        <f t="shared" si="33"/>
        <v>1</v>
      </c>
    </row>
    <row r="43" spans="1:32" hidden="1">
      <c r="A43" s="758" t="s">
        <v>95</v>
      </c>
      <c r="B43" s="756">
        <f t="shared" si="26"/>
        <v>0.14363143631436315</v>
      </c>
      <c r="D43" s="530"/>
      <c r="E43" s="758" t="s">
        <v>95</v>
      </c>
      <c r="F43" s="756">
        <f t="shared" si="27"/>
        <v>2.9810298102981029E-2</v>
      </c>
      <c r="I43" s="758" t="s">
        <v>95</v>
      </c>
      <c r="J43" s="756">
        <f t="shared" si="28"/>
        <v>1.6260162601626018E-2</v>
      </c>
      <c r="M43" s="758" t="s">
        <v>95</v>
      </c>
      <c r="N43" s="756">
        <f t="shared" si="29"/>
        <v>4.3360433604336043E-2</v>
      </c>
      <c r="Q43" s="758" t="s">
        <v>95</v>
      </c>
      <c r="R43" s="756">
        <f t="shared" si="30"/>
        <v>1.6260162601626018E-2</v>
      </c>
      <c r="U43" s="758" t="s">
        <v>95</v>
      </c>
      <c r="V43" s="756">
        <f t="shared" si="31"/>
        <v>0.22764227642276422</v>
      </c>
      <c r="Y43" s="758" t="s">
        <v>95</v>
      </c>
      <c r="Z43" s="756">
        <f t="shared" si="32"/>
        <v>0.52303523035230348</v>
      </c>
      <c r="AC43" s="758" t="s">
        <v>95</v>
      </c>
      <c r="AD43" s="756">
        <f t="shared" si="33"/>
        <v>1</v>
      </c>
    </row>
    <row r="44" spans="1:32" hidden="1">
      <c r="A44" s="758" t="s">
        <v>96</v>
      </c>
      <c r="B44" s="756">
        <f t="shared" si="26"/>
        <v>0.16428571428571428</v>
      </c>
      <c r="E44" s="758" t="s">
        <v>96</v>
      </c>
      <c r="F44" s="756">
        <f t="shared" si="27"/>
        <v>3.5714285714285712E-2</v>
      </c>
      <c r="I44" s="758" t="s">
        <v>96</v>
      </c>
      <c r="J44" s="756">
        <f t="shared" si="28"/>
        <v>2.8571428571428571E-2</v>
      </c>
      <c r="M44" s="758" t="s">
        <v>96</v>
      </c>
      <c r="N44" s="756">
        <f t="shared" si="29"/>
        <v>9.285714285714286E-2</v>
      </c>
      <c r="Q44" s="758" t="s">
        <v>96</v>
      </c>
      <c r="R44" s="756">
        <f t="shared" si="30"/>
        <v>0.05</v>
      </c>
      <c r="U44" s="758" t="s">
        <v>96</v>
      </c>
      <c r="V44" s="756">
        <f t="shared" si="31"/>
        <v>0.2857142857142857</v>
      </c>
      <c r="Y44" s="758" t="s">
        <v>96</v>
      </c>
      <c r="Z44" s="756">
        <f t="shared" si="32"/>
        <v>0.34285714285714286</v>
      </c>
      <c r="AC44" s="758" t="s">
        <v>96</v>
      </c>
      <c r="AD44" s="756">
        <f t="shared" si="33"/>
        <v>1</v>
      </c>
    </row>
    <row r="45" spans="1:32" hidden="1">
      <c r="A45" s="758" t="s">
        <v>99</v>
      </c>
      <c r="B45" s="756">
        <f t="shared" si="26"/>
        <v>0.22572402044293016</v>
      </c>
      <c r="E45" s="758" t="s">
        <v>99</v>
      </c>
      <c r="F45" s="756">
        <f t="shared" si="27"/>
        <v>4.0885860306643949E-2</v>
      </c>
      <c r="I45" s="758" t="s">
        <v>99</v>
      </c>
      <c r="J45" s="756">
        <f t="shared" si="28"/>
        <v>2.1294718909710391E-2</v>
      </c>
      <c r="M45" s="758" t="s">
        <v>99</v>
      </c>
      <c r="N45" s="756">
        <f t="shared" si="29"/>
        <v>5.1959114139693355E-2</v>
      </c>
      <c r="Q45" s="758" t="s">
        <v>99</v>
      </c>
      <c r="R45" s="756">
        <f t="shared" si="30"/>
        <v>5.7069846678023853E-2</v>
      </c>
      <c r="U45" s="758" t="s">
        <v>99</v>
      </c>
      <c r="V45" s="756">
        <f t="shared" si="31"/>
        <v>0.24275979557069846</v>
      </c>
      <c r="Y45" s="758" t="s">
        <v>99</v>
      </c>
      <c r="Z45" s="756">
        <f t="shared" si="32"/>
        <v>0.36030664395229983</v>
      </c>
      <c r="AC45" s="758" t="s">
        <v>99</v>
      </c>
      <c r="AD45" s="756">
        <f t="shared" si="33"/>
        <v>1</v>
      </c>
    </row>
    <row r="46" spans="1:32" hidden="1">
      <c r="A46" s="758" t="s">
        <v>98</v>
      </c>
      <c r="B46" s="756">
        <f t="shared" si="26"/>
        <v>4.9250535331905779E-2</v>
      </c>
      <c r="E46" s="758" t="s">
        <v>98</v>
      </c>
      <c r="F46" s="756">
        <f t="shared" si="27"/>
        <v>2.569593147751606E-2</v>
      </c>
      <c r="I46" s="758" t="s">
        <v>98</v>
      </c>
      <c r="J46" s="756">
        <f t="shared" si="28"/>
        <v>1.284796573875803E-2</v>
      </c>
      <c r="M46" s="758" t="s">
        <v>98</v>
      </c>
      <c r="N46" s="756">
        <f t="shared" si="29"/>
        <v>1.7130620985010708E-2</v>
      </c>
      <c r="Q46" s="758" t="s">
        <v>98</v>
      </c>
      <c r="R46" s="756">
        <f t="shared" si="30"/>
        <v>7.2805139186295498E-2</v>
      </c>
      <c r="U46" s="758" t="s">
        <v>98</v>
      </c>
      <c r="V46" s="756">
        <f t="shared" si="31"/>
        <v>0.50749464668094213</v>
      </c>
      <c r="Y46" s="758" t="s">
        <v>98</v>
      </c>
      <c r="Z46" s="756">
        <f t="shared" si="32"/>
        <v>0.31477516059957172</v>
      </c>
      <c r="AC46" s="758" t="s">
        <v>98</v>
      </c>
      <c r="AD46" s="756">
        <f t="shared" si="33"/>
        <v>1</v>
      </c>
    </row>
    <row r="47" spans="1:32" hidden="1">
      <c r="A47" s="758" t="s">
        <v>97</v>
      </c>
      <c r="B47" s="756">
        <f t="shared" si="26"/>
        <v>5.689277899343545E-2</v>
      </c>
      <c r="E47" s="758" t="s">
        <v>97</v>
      </c>
      <c r="F47" s="756">
        <f t="shared" si="27"/>
        <v>3.7199124726477024E-2</v>
      </c>
      <c r="I47" s="758" t="s">
        <v>97</v>
      </c>
      <c r="J47" s="756">
        <f t="shared" si="28"/>
        <v>1.3129102844638949E-2</v>
      </c>
      <c r="M47" s="758" t="s">
        <v>97</v>
      </c>
      <c r="N47" s="756">
        <f t="shared" si="29"/>
        <v>4.3763676148796497E-2</v>
      </c>
      <c r="Q47" s="758" t="s">
        <v>97</v>
      </c>
      <c r="R47" s="756">
        <f t="shared" si="30"/>
        <v>5.2516411378555797E-2</v>
      </c>
      <c r="U47" s="758" t="s">
        <v>97</v>
      </c>
      <c r="V47" s="756">
        <f t="shared" si="31"/>
        <v>0.4310722100656455</v>
      </c>
      <c r="Y47" s="758" t="s">
        <v>97</v>
      </c>
      <c r="Z47" s="756">
        <f t="shared" si="32"/>
        <v>0.36542669584245074</v>
      </c>
      <c r="AC47" s="758" t="s">
        <v>97</v>
      </c>
      <c r="AD47" s="756">
        <f t="shared" si="33"/>
        <v>1</v>
      </c>
    </row>
    <row r="48" spans="1:32" hidden="1">
      <c r="A48" s="707" t="s">
        <v>100</v>
      </c>
      <c r="B48" s="756">
        <f t="shared" si="26"/>
        <v>0.14229249011857709</v>
      </c>
      <c r="E48" s="707" t="s">
        <v>100</v>
      </c>
      <c r="F48" s="756">
        <f t="shared" si="27"/>
        <v>1.5810276679841896E-2</v>
      </c>
      <c r="I48" s="707" t="s">
        <v>100</v>
      </c>
      <c r="J48" s="756">
        <f t="shared" si="28"/>
        <v>7.9051383399209481E-3</v>
      </c>
      <c r="M48" s="707" t="s">
        <v>100</v>
      </c>
      <c r="N48" s="756">
        <f t="shared" si="29"/>
        <v>1.1857707509881422E-2</v>
      </c>
      <c r="Q48" s="707" t="s">
        <v>100</v>
      </c>
      <c r="R48" s="756">
        <f t="shared" si="30"/>
        <v>2.766798418972332E-2</v>
      </c>
      <c r="U48" s="707" t="s">
        <v>100</v>
      </c>
      <c r="V48" s="756">
        <f t="shared" si="31"/>
        <v>0.3715415019762846</v>
      </c>
      <c r="Y48" s="707" t="s">
        <v>100</v>
      </c>
      <c r="Z48" s="756">
        <f t="shared" si="32"/>
        <v>0.42292490118577075</v>
      </c>
      <c r="AC48" s="707" t="s">
        <v>100</v>
      </c>
      <c r="AD48" s="756">
        <f t="shared" si="33"/>
        <v>1</v>
      </c>
    </row>
    <row r="49" spans="1:30" hidden="1">
      <c r="A49" s="274" t="s">
        <v>101</v>
      </c>
      <c r="B49" s="756">
        <f t="shared" si="26"/>
        <v>6.741573033707865E-2</v>
      </c>
      <c r="E49" s="274" t="s">
        <v>101</v>
      </c>
      <c r="F49" s="756">
        <f t="shared" si="27"/>
        <v>4.49438202247191E-2</v>
      </c>
      <c r="I49" s="274" t="s">
        <v>101</v>
      </c>
      <c r="J49" s="756">
        <f t="shared" si="28"/>
        <v>1.6853932584269662E-2</v>
      </c>
      <c r="M49" s="274" t="s">
        <v>101</v>
      </c>
      <c r="N49" s="756">
        <f t="shared" si="29"/>
        <v>6.741573033707865E-2</v>
      </c>
      <c r="Q49" s="274" t="s">
        <v>101</v>
      </c>
      <c r="R49" s="756">
        <f t="shared" si="30"/>
        <v>4.49438202247191E-2</v>
      </c>
      <c r="U49" s="274" t="s">
        <v>101</v>
      </c>
      <c r="V49" s="756">
        <f t="shared" si="31"/>
        <v>0.21348314606741572</v>
      </c>
      <c r="Y49" s="274" t="s">
        <v>101</v>
      </c>
      <c r="Z49" s="756">
        <f t="shared" si="32"/>
        <v>0.5449438202247191</v>
      </c>
      <c r="AC49" s="274" t="s">
        <v>101</v>
      </c>
      <c r="AD49" s="756">
        <f t="shared" si="33"/>
        <v>1</v>
      </c>
    </row>
    <row r="50" spans="1:30" hidden="1">
      <c r="A50" s="274" t="s">
        <v>103</v>
      </c>
      <c r="B50" s="756">
        <f t="shared" si="26"/>
        <v>0.20608108108108109</v>
      </c>
      <c r="E50" s="274" t="s">
        <v>103</v>
      </c>
      <c r="F50" s="756">
        <f t="shared" si="27"/>
        <v>7.77027027027027E-2</v>
      </c>
      <c r="I50" s="274" t="s">
        <v>103</v>
      </c>
      <c r="J50" s="756">
        <f t="shared" si="28"/>
        <v>2.7027027027027029E-2</v>
      </c>
      <c r="M50" s="274" t="s">
        <v>103</v>
      </c>
      <c r="N50" s="756">
        <f t="shared" si="29"/>
        <v>0.14864864864864866</v>
      </c>
      <c r="Q50" s="274" t="s">
        <v>103</v>
      </c>
      <c r="R50" s="756">
        <f t="shared" si="30"/>
        <v>8.1081081081081086E-2</v>
      </c>
      <c r="U50" s="274" t="s">
        <v>103</v>
      </c>
      <c r="V50" s="756">
        <f t="shared" si="31"/>
        <v>0.11824324324324324</v>
      </c>
      <c r="Y50" s="274" t="s">
        <v>103</v>
      </c>
      <c r="Z50" s="756">
        <f t="shared" si="32"/>
        <v>0.34121621621621623</v>
      </c>
      <c r="AC50" s="274" t="s">
        <v>103</v>
      </c>
      <c r="AD50" s="756">
        <f t="shared" si="33"/>
        <v>1</v>
      </c>
    </row>
    <row r="51" spans="1:30" hidden="1">
      <c r="A51" s="274" t="s">
        <v>104</v>
      </c>
      <c r="B51" s="756">
        <f t="shared" si="26"/>
        <v>9.3220338983050849E-2</v>
      </c>
      <c r="E51" s="274" t="s">
        <v>104</v>
      </c>
      <c r="F51" s="756">
        <f t="shared" si="27"/>
        <v>2.5423728813559324E-2</v>
      </c>
      <c r="I51" s="274" t="s">
        <v>104</v>
      </c>
      <c r="J51" s="756">
        <f t="shared" si="28"/>
        <v>8.4745762711864406E-3</v>
      </c>
      <c r="M51" s="274" t="s">
        <v>104</v>
      </c>
      <c r="N51" s="756">
        <f t="shared" si="29"/>
        <v>6.7796610169491525E-2</v>
      </c>
      <c r="Q51" s="274" t="s">
        <v>104</v>
      </c>
      <c r="R51" s="756">
        <f t="shared" si="30"/>
        <v>1.6949152542372881E-2</v>
      </c>
      <c r="U51" s="274" t="s">
        <v>104</v>
      </c>
      <c r="V51" s="756">
        <f t="shared" si="31"/>
        <v>0.19491525423728814</v>
      </c>
      <c r="Y51" s="274" t="s">
        <v>104</v>
      </c>
      <c r="Z51" s="756">
        <f t="shared" si="32"/>
        <v>0.59322033898305082</v>
      </c>
      <c r="AC51" s="274" t="s">
        <v>104</v>
      </c>
      <c r="AD51" s="756">
        <f t="shared" si="33"/>
        <v>1</v>
      </c>
    </row>
    <row r="52" spans="1:30" hidden="1">
      <c r="A52" s="274" t="s">
        <v>102</v>
      </c>
      <c r="B52" s="756">
        <f t="shared" si="26"/>
        <v>0.12645914396887159</v>
      </c>
      <c r="E52" s="274" t="s">
        <v>102</v>
      </c>
      <c r="F52" s="756">
        <f t="shared" si="27"/>
        <v>2.5940337224383919E-2</v>
      </c>
      <c r="I52" s="274" t="s">
        <v>102</v>
      </c>
      <c r="J52" s="756">
        <f t="shared" si="28"/>
        <v>3.2425421530479899E-2</v>
      </c>
      <c r="M52" s="274" t="s">
        <v>102</v>
      </c>
      <c r="N52" s="756">
        <f t="shared" si="29"/>
        <v>6.1608300907911806E-2</v>
      </c>
      <c r="Q52" s="274" t="s">
        <v>102</v>
      </c>
      <c r="R52" s="756">
        <f t="shared" si="30"/>
        <v>5.642023346303502E-2</v>
      </c>
      <c r="U52" s="274" t="s">
        <v>102</v>
      </c>
      <c r="V52" s="756">
        <f t="shared" si="31"/>
        <v>0.33657587548638135</v>
      </c>
      <c r="Y52" s="274" t="s">
        <v>102</v>
      </c>
      <c r="Z52" s="756">
        <f t="shared" si="32"/>
        <v>0.36057068741893644</v>
      </c>
      <c r="AC52" s="274" t="s">
        <v>102</v>
      </c>
      <c r="AD52" s="756">
        <f t="shared" si="33"/>
        <v>1</v>
      </c>
    </row>
    <row r="53" spans="1:30" hidden="1">
      <c r="A53" s="274" t="s">
        <v>105</v>
      </c>
      <c r="B53" s="756">
        <f t="shared" si="26"/>
        <v>0.1284796573875803</v>
      </c>
      <c r="E53" s="274" t="s">
        <v>105</v>
      </c>
      <c r="F53" s="756">
        <f t="shared" si="27"/>
        <v>0.14917915774446824</v>
      </c>
      <c r="I53" s="274" t="s">
        <v>105</v>
      </c>
      <c r="J53" s="756">
        <f t="shared" si="28"/>
        <v>2.3554603854389723E-2</v>
      </c>
      <c r="M53" s="274" t="s">
        <v>105</v>
      </c>
      <c r="N53" s="756">
        <f t="shared" si="29"/>
        <v>0.12919343326195576</v>
      </c>
      <c r="Q53" s="274" t="s">
        <v>105</v>
      </c>
      <c r="R53" s="756">
        <f t="shared" si="30"/>
        <v>0.16916488222698073</v>
      </c>
      <c r="U53" s="274" t="s">
        <v>105</v>
      </c>
      <c r="V53" s="756">
        <f t="shared" si="31"/>
        <v>0.12633832976445397</v>
      </c>
      <c r="Y53" s="274" t="s">
        <v>105</v>
      </c>
      <c r="Z53" s="756">
        <f t="shared" si="32"/>
        <v>0.27408993576017132</v>
      </c>
      <c r="AC53" s="274" t="s">
        <v>105</v>
      </c>
      <c r="AD53" s="756">
        <f t="shared" si="33"/>
        <v>1</v>
      </c>
    </row>
    <row r="54" spans="1:30" hidden="1">
      <c r="A54" s="274" t="s">
        <v>106</v>
      </c>
      <c r="B54" s="756">
        <f t="shared" si="26"/>
        <v>0.10404624277456648</v>
      </c>
      <c r="E54" s="274" t="s">
        <v>106</v>
      </c>
      <c r="F54" s="756">
        <f t="shared" si="27"/>
        <v>0.10404624277456648</v>
      </c>
      <c r="I54" s="274" t="s">
        <v>106</v>
      </c>
      <c r="J54" s="756">
        <f t="shared" si="28"/>
        <v>0</v>
      </c>
      <c r="M54" s="274" t="s">
        <v>106</v>
      </c>
      <c r="N54" s="756">
        <f t="shared" si="29"/>
        <v>5.7803468208092484E-2</v>
      </c>
      <c r="Q54" s="274" t="s">
        <v>106</v>
      </c>
      <c r="R54" s="756">
        <f t="shared" si="30"/>
        <v>4.046242774566474E-2</v>
      </c>
      <c r="U54" s="274" t="s">
        <v>106</v>
      </c>
      <c r="V54" s="756">
        <f t="shared" si="31"/>
        <v>0.12716763005780346</v>
      </c>
      <c r="Y54" s="274" t="s">
        <v>106</v>
      </c>
      <c r="Z54" s="756">
        <f t="shared" si="32"/>
        <v>0.56647398843930641</v>
      </c>
      <c r="AC54" s="274" t="s">
        <v>106</v>
      </c>
      <c r="AD54" s="756">
        <f t="shared" si="33"/>
        <v>1</v>
      </c>
    </row>
    <row r="55" spans="1:30" hidden="1">
      <c r="A55" s="274" t="s">
        <v>108</v>
      </c>
      <c r="B55" s="756">
        <f t="shared" si="26"/>
        <v>5.027932960893855E-2</v>
      </c>
      <c r="E55" s="274" t="s">
        <v>108</v>
      </c>
      <c r="F55" s="756">
        <f t="shared" si="27"/>
        <v>2.7932960893854747E-2</v>
      </c>
      <c r="I55" s="274" t="s">
        <v>108</v>
      </c>
      <c r="J55" s="756">
        <f t="shared" si="28"/>
        <v>0</v>
      </c>
      <c r="M55" s="274" t="s">
        <v>108</v>
      </c>
      <c r="N55" s="756">
        <f t="shared" si="29"/>
        <v>1.6759776536312849E-2</v>
      </c>
      <c r="Q55" s="274" t="s">
        <v>108</v>
      </c>
      <c r="R55" s="756">
        <f t="shared" si="30"/>
        <v>3.3519553072625698E-2</v>
      </c>
      <c r="U55" s="274" t="s">
        <v>108</v>
      </c>
      <c r="V55" s="756">
        <f t="shared" si="31"/>
        <v>0.43575418994413406</v>
      </c>
      <c r="Y55" s="274" t="s">
        <v>108</v>
      </c>
      <c r="Z55" s="756">
        <f t="shared" si="32"/>
        <v>0.43575418994413406</v>
      </c>
      <c r="AC55" s="274" t="s">
        <v>108</v>
      </c>
      <c r="AD55" s="756">
        <f t="shared" si="33"/>
        <v>1</v>
      </c>
    </row>
    <row r="56" spans="1:30" hidden="1">
      <c r="A56" s="274" t="s">
        <v>109</v>
      </c>
      <c r="B56" s="756">
        <f t="shared" si="26"/>
        <v>5.9701492537313432E-2</v>
      </c>
      <c r="E56" s="274" t="s">
        <v>109</v>
      </c>
      <c r="F56" s="756">
        <f t="shared" si="27"/>
        <v>0.31343283582089554</v>
      </c>
      <c r="I56" s="274" t="s">
        <v>109</v>
      </c>
      <c r="J56" s="756">
        <f t="shared" si="28"/>
        <v>0</v>
      </c>
      <c r="M56" s="274" t="s">
        <v>109</v>
      </c>
      <c r="N56" s="756">
        <f t="shared" si="29"/>
        <v>5.9701492537313432E-2</v>
      </c>
      <c r="Q56" s="274" t="s">
        <v>109</v>
      </c>
      <c r="R56" s="756">
        <f t="shared" si="30"/>
        <v>4.4776119402985072E-2</v>
      </c>
      <c r="U56" s="274" t="s">
        <v>109</v>
      </c>
      <c r="V56" s="756">
        <f t="shared" si="31"/>
        <v>0.32835820895522388</v>
      </c>
      <c r="Y56" s="274" t="s">
        <v>109</v>
      </c>
      <c r="Z56" s="756">
        <f t="shared" si="32"/>
        <v>0.19402985074626866</v>
      </c>
      <c r="AC56" s="274" t="s">
        <v>109</v>
      </c>
      <c r="AD56" s="756">
        <f t="shared" si="33"/>
        <v>1</v>
      </c>
    </row>
    <row r="57" spans="1:30" hidden="1">
      <c r="A57" s="274" t="s">
        <v>107</v>
      </c>
      <c r="B57" s="756">
        <f t="shared" si="26"/>
        <v>0.10557768924302789</v>
      </c>
      <c r="E57" s="274" t="s">
        <v>107</v>
      </c>
      <c r="F57" s="756">
        <f t="shared" si="27"/>
        <v>4.316069057104914E-2</v>
      </c>
      <c r="I57" s="274" t="s">
        <v>107</v>
      </c>
      <c r="J57" s="756">
        <f t="shared" si="28"/>
        <v>9.2961487383798145E-3</v>
      </c>
      <c r="M57" s="274" t="s">
        <v>107</v>
      </c>
      <c r="N57" s="756">
        <f t="shared" si="29"/>
        <v>6.8393094289508627E-2</v>
      </c>
      <c r="Q57" s="274" t="s">
        <v>107</v>
      </c>
      <c r="R57" s="756">
        <f t="shared" si="30"/>
        <v>6.3745019920318724E-2</v>
      </c>
      <c r="U57" s="274" t="s">
        <v>107</v>
      </c>
      <c r="V57" s="756">
        <f t="shared" si="31"/>
        <v>0.4037184594953519</v>
      </c>
      <c r="Y57" s="274" t="s">
        <v>107</v>
      </c>
      <c r="Z57" s="756">
        <f t="shared" si="32"/>
        <v>0.30610889774236388</v>
      </c>
      <c r="AC57" s="274" t="s">
        <v>107</v>
      </c>
      <c r="AD57" s="756">
        <f t="shared" si="33"/>
        <v>1</v>
      </c>
    </row>
    <row r="58" spans="1:30" hidden="1">
      <c r="A58" s="274" t="s">
        <v>110</v>
      </c>
      <c r="B58" s="756">
        <f t="shared" si="26"/>
        <v>0.10969116080937168</v>
      </c>
      <c r="E58" s="274" t="s">
        <v>110</v>
      </c>
      <c r="F58" s="756">
        <f t="shared" si="27"/>
        <v>4.2598509052183174E-2</v>
      </c>
      <c r="I58" s="274" t="s">
        <v>110</v>
      </c>
      <c r="J58" s="756">
        <f t="shared" si="28"/>
        <v>1.4909478168264111E-2</v>
      </c>
      <c r="M58" s="274" t="s">
        <v>110</v>
      </c>
      <c r="N58" s="756">
        <f t="shared" si="29"/>
        <v>3.301384451544196E-2</v>
      </c>
      <c r="Q58" s="274" t="s">
        <v>110</v>
      </c>
      <c r="R58" s="756">
        <f t="shared" si="30"/>
        <v>8.4132055378061774E-2</v>
      </c>
      <c r="U58" s="274" t="s">
        <v>110</v>
      </c>
      <c r="V58" s="756">
        <f t="shared" si="31"/>
        <v>0.38232161874334397</v>
      </c>
      <c r="Y58" s="274" t="s">
        <v>110</v>
      </c>
      <c r="Z58" s="756">
        <f t="shared" si="32"/>
        <v>0.33333333333333331</v>
      </c>
      <c r="AC58" s="274" t="s">
        <v>110</v>
      </c>
      <c r="AD58" s="756">
        <f t="shared" si="33"/>
        <v>1</v>
      </c>
    </row>
    <row r="59" spans="1:30" hidden="1">
      <c r="A59" s="274" t="s">
        <v>112</v>
      </c>
      <c r="B59" s="756">
        <f t="shared" si="26"/>
        <v>0.23728813559322035</v>
      </c>
      <c r="E59" s="274" t="s">
        <v>112</v>
      </c>
      <c r="F59" s="756">
        <f t="shared" si="27"/>
        <v>1.6949152542372881E-2</v>
      </c>
      <c r="I59" s="274" t="s">
        <v>112</v>
      </c>
      <c r="J59" s="756">
        <f t="shared" si="28"/>
        <v>8.4745762711864406E-3</v>
      </c>
      <c r="M59" s="274" t="s">
        <v>112</v>
      </c>
      <c r="N59" s="756">
        <f t="shared" si="29"/>
        <v>7.6271186440677971E-2</v>
      </c>
      <c r="Q59" s="274" t="s">
        <v>112</v>
      </c>
      <c r="R59" s="756">
        <f t="shared" si="30"/>
        <v>2.5423728813559324E-2</v>
      </c>
      <c r="U59" s="274" t="s">
        <v>112</v>
      </c>
      <c r="V59" s="756">
        <f t="shared" si="31"/>
        <v>0.3559322033898305</v>
      </c>
      <c r="Y59" s="274" t="s">
        <v>112</v>
      </c>
      <c r="Z59" s="756">
        <f t="shared" si="32"/>
        <v>0.27966101694915252</v>
      </c>
      <c r="AC59" s="274" t="s">
        <v>112</v>
      </c>
      <c r="AD59" s="756">
        <f t="shared" si="33"/>
        <v>1</v>
      </c>
    </row>
    <row r="60" spans="1:30" hidden="1">
      <c r="A60" s="274" t="s">
        <v>111</v>
      </c>
      <c r="B60" s="756">
        <f t="shared" si="26"/>
        <v>6.7263190373341566E-2</v>
      </c>
      <c r="E60" s="274" t="s">
        <v>111</v>
      </c>
      <c r="F60" s="756">
        <f t="shared" si="27"/>
        <v>0.10367170626349892</v>
      </c>
      <c r="I60" s="274" t="s">
        <v>111</v>
      </c>
      <c r="J60" s="756">
        <f t="shared" si="28"/>
        <v>0.45042682299701736</v>
      </c>
      <c r="M60" s="274" t="s">
        <v>111</v>
      </c>
      <c r="N60" s="756">
        <f t="shared" si="29"/>
        <v>4.6179162809832357E-2</v>
      </c>
      <c r="Q60" s="274" t="s">
        <v>111</v>
      </c>
      <c r="R60" s="756">
        <f t="shared" si="30"/>
        <v>9.5958037642702873E-2</v>
      </c>
      <c r="U60" s="274" t="s">
        <v>111</v>
      </c>
      <c r="V60" s="756">
        <f t="shared" si="31"/>
        <v>0.14676540162501286</v>
      </c>
      <c r="Y60" s="274" t="s">
        <v>111</v>
      </c>
      <c r="Z60" s="756">
        <f t="shared" si="32"/>
        <v>8.9735678288594051E-2</v>
      </c>
      <c r="AC60" s="274" t="s">
        <v>111</v>
      </c>
      <c r="AD60" s="756">
        <f t="shared" si="33"/>
        <v>1</v>
      </c>
    </row>
    <row r="61" spans="1:30" hidden="1">
      <c r="A61" s="274" t="s">
        <v>113</v>
      </c>
      <c r="B61" s="756">
        <f t="shared" si="26"/>
        <v>6.6666666666666666E-2</v>
      </c>
      <c r="E61" s="274" t="s">
        <v>113</v>
      </c>
      <c r="F61" s="756">
        <f t="shared" si="27"/>
        <v>9.5238095238095247E-3</v>
      </c>
      <c r="I61" s="274" t="s">
        <v>113</v>
      </c>
      <c r="J61" s="756">
        <f t="shared" si="28"/>
        <v>9.5238095238095247E-3</v>
      </c>
      <c r="M61" s="274" t="s">
        <v>113</v>
      </c>
      <c r="N61" s="756">
        <f t="shared" si="29"/>
        <v>2.8571428571428571E-2</v>
      </c>
      <c r="Q61" s="274" t="s">
        <v>113</v>
      </c>
      <c r="R61" s="756">
        <f t="shared" si="30"/>
        <v>1.9047619047619049E-2</v>
      </c>
      <c r="U61" s="274" t="s">
        <v>113</v>
      </c>
      <c r="V61" s="756">
        <f t="shared" si="31"/>
        <v>0.43809523809523809</v>
      </c>
      <c r="Y61" s="274" t="s">
        <v>113</v>
      </c>
      <c r="Z61" s="756">
        <f t="shared" si="32"/>
        <v>0.42857142857142855</v>
      </c>
      <c r="AC61" s="274" t="s">
        <v>113</v>
      </c>
      <c r="AD61" s="756">
        <f t="shared" si="33"/>
        <v>1</v>
      </c>
    </row>
  </sheetData>
  <sortState ref="AH18:AJ24">
    <sortCondition descending="1" ref="AJ18:AJ24"/>
  </sortState>
  <mergeCells count="14">
    <mergeCell ref="AK16:AK25"/>
    <mergeCell ref="AE2:AE3"/>
    <mergeCell ref="AH3:AJ3"/>
    <mergeCell ref="AH16:AJ16"/>
    <mergeCell ref="A1:AD1"/>
    <mergeCell ref="A2:A3"/>
    <mergeCell ref="B2:E2"/>
    <mergeCell ref="F2:I2"/>
    <mergeCell ref="J2:M2"/>
    <mergeCell ref="N2:Q2"/>
    <mergeCell ref="R2:U2"/>
    <mergeCell ref="V2:Y2"/>
    <mergeCell ref="Z2:AC2"/>
    <mergeCell ref="AD2:AD3"/>
  </mergeCells>
  <pageMargins left="0.511811024" right="0.511811024" top="0.78740157499999996" bottom="0.78740157499999996" header="0.31496062000000002" footer="0.31496062000000002"/>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theme="6" tint="0.39997558519241921"/>
  </sheetPr>
  <dimension ref="A1:Y65"/>
  <sheetViews>
    <sheetView showGridLines="0" zoomScaleNormal="100" workbookViewId="0">
      <selection sqref="A1:AC1"/>
    </sheetView>
  </sheetViews>
  <sheetFormatPr defaultRowHeight="15"/>
  <cols>
    <col min="1" max="1" width="11.7109375" style="253" customWidth="1"/>
    <col min="2" max="2" width="11.7109375" style="253" hidden="1" customWidth="1"/>
    <col min="3" max="3" width="11.7109375" style="253" customWidth="1"/>
    <col min="4" max="4" width="13" style="253" customWidth="1"/>
    <col min="5" max="5" width="11.7109375" style="253" customWidth="1"/>
    <col min="6" max="6" width="11.7109375" style="253" hidden="1" customWidth="1"/>
    <col min="7" max="7" width="11.7109375" style="253" customWidth="1"/>
    <col min="8" max="8" width="12.5703125" style="253" customWidth="1"/>
    <col min="9" max="9" width="11.7109375" style="253" customWidth="1"/>
    <col min="10" max="10" width="11.7109375" style="253" hidden="1" customWidth="1"/>
    <col min="11" max="11" width="11.7109375" style="253" customWidth="1"/>
    <col min="12" max="12" width="12.42578125" style="253" customWidth="1"/>
    <col min="13" max="13" width="11.7109375" style="253" customWidth="1"/>
    <col min="14" max="14" width="11.7109375" style="253" hidden="1" customWidth="1"/>
    <col min="15" max="15" width="11.7109375" style="253" customWidth="1"/>
    <col min="16" max="16" width="13" style="253" customWidth="1"/>
    <col min="17" max="17" width="11.7109375" style="253" customWidth="1"/>
    <col min="18" max="18" width="11.7109375" style="253" hidden="1" customWidth="1"/>
    <col min="19" max="19" width="11.7109375" style="253" customWidth="1"/>
    <col min="20" max="20" width="9.28515625" style="723" bestFit="1" customWidth="1"/>
    <col min="21" max="21" width="9.42578125" style="723" bestFit="1" customWidth="1"/>
    <col min="22" max="22" width="49.85546875" style="253" bestFit="1" customWidth="1"/>
    <col min="23" max="23" width="11.85546875" style="253" customWidth="1"/>
    <col min="24" max="24" width="9.85546875" style="253" bestFit="1" customWidth="1"/>
    <col min="25" max="25" width="17.5703125" style="253" customWidth="1"/>
    <col min="26" max="16384" width="9.140625" style="253"/>
  </cols>
  <sheetData>
    <row r="1" spans="1:25" ht="16.5" thickBot="1">
      <c r="A1" s="1460" t="s">
        <v>655</v>
      </c>
      <c r="B1" s="1460"/>
      <c r="C1" s="1460"/>
      <c r="D1" s="1460"/>
      <c r="E1" s="1460"/>
      <c r="F1" s="1460"/>
      <c r="G1" s="1460"/>
      <c r="H1" s="1460"/>
      <c r="I1" s="1460"/>
      <c r="J1" s="1460"/>
      <c r="K1" s="1460"/>
      <c r="L1" s="1460"/>
      <c r="M1" s="1460"/>
      <c r="N1" s="1460"/>
      <c r="O1" s="1460"/>
      <c r="P1" s="1460"/>
      <c r="Q1" s="1460"/>
      <c r="R1" s="1460"/>
      <c r="S1" s="1460"/>
    </row>
    <row r="2" spans="1:25" ht="53.25" customHeight="1" thickTop="1" thickBot="1">
      <c r="A2" s="1475" t="s">
        <v>182</v>
      </c>
      <c r="B2" s="1477" t="s">
        <v>656</v>
      </c>
      <c r="C2" s="1477"/>
      <c r="D2" s="1477"/>
      <c r="E2" s="1478"/>
      <c r="F2" s="1477" t="s">
        <v>1104</v>
      </c>
      <c r="G2" s="1477"/>
      <c r="H2" s="1477"/>
      <c r="I2" s="1478"/>
      <c r="J2" s="1477" t="s">
        <v>657</v>
      </c>
      <c r="K2" s="1477"/>
      <c r="L2" s="1477"/>
      <c r="M2" s="1478"/>
      <c r="N2" s="1479" t="s">
        <v>658</v>
      </c>
      <c r="O2" s="1477"/>
      <c r="P2" s="1477"/>
      <c r="Q2" s="1478"/>
      <c r="R2" s="1480" t="s">
        <v>659</v>
      </c>
      <c r="S2" s="1482" t="s">
        <v>128</v>
      </c>
    </row>
    <row r="3" spans="1:25" ht="37.5" customHeight="1" thickBot="1">
      <c r="A3" s="1476"/>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1481" t="s">
        <v>637</v>
      </c>
      <c r="S3" s="1483"/>
      <c r="V3" s="1472" t="s">
        <v>640</v>
      </c>
      <c r="W3" s="1472"/>
      <c r="X3" s="1472"/>
    </row>
    <row r="4" spans="1:25">
      <c r="A4" s="792" t="s">
        <v>87</v>
      </c>
      <c r="B4" s="793">
        <f>'RRT - Subgrupo - IGEO'!CE3</f>
        <v>16</v>
      </c>
      <c r="C4" s="794">
        <f>$S4*B35</f>
        <v>11.178766588602654</v>
      </c>
      <c r="D4" s="795">
        <f>IFERROR(C4/C$31*100,)</f>
        <v>0.1590746502561971</v>
      </c>
      <c r="E4" s="795">
        <f>IFERROR((C4/$S4)*100,0)</f>
        <v>72.727272727272734</v>
      </c>
      <c r="F4" s="793">
        <f>'RRT - Subgrupo - IGEO'!CH3</f>
        <v>2</v>
      </c>
      <c r="G4" s="792">
        <f>$S4*F35</f>
        <v>1.3973458235753318</v>
      </c>
      <c r="H4" s="795">
        <f>IFERROR(G4/G$31*100,)</f>
        <v>2.7772325233894262E-2</v>
      </c>
      <c r="I4" s="795">
        <f>IFERROR((G4/$S4)*100,0)</f>
        <v>9.0909090909090917</v>
      </c>
      <c r="J4" s="793">
        <f>'RRT - Subgrupo - IGEO'!CK3</f>
        <v>0</v>
      </c>
      <c r="K4" s="794">
        <f>$S4*J35</f>
        <v>0</v>
      </c>
      <c r="L4" s="795">
        <f>IFERROR(K4/K$31*100,)</f>
        <v>0</v>
      </c>
      <c r="M4" s="795">
        <f>IFERROR((K4/$S4)*100,0)</f>
        <v>0</v>
      </c>
      <c r="N4" s="793">
        <f>'RRT - Subgrupo - IGEO'!CN3</f>
        <v>4</v>
      </c>
      <c r="O4" s="794">
        <f>$S4*N35</f>
        <v>2.7946916471506635</v>
      </c>
      <c r="P4" s="795">
        <f>IFERROR(O4/O$31*100,)</f>
        <v>0.3621836355568252</v>
      </c>
      <c r="Q4" s="795">
        <f>IFERROR((O4/$S4)*100,0)</f>
        <v>18.181818181818183</v>
      </c>
      <c r="R4" s="793">
        <f>N4+J4+F4+B4</f>
        <v>22</v>
      </c>
      <c r="S4" s="792">
        <f>'RRT - Atividades '!AA3</f>
        <v>15.37080405932865</v>
      </c>
      <c r="T4" s="723">
        <f>C4+G4+K4+O4</f>
        <v>15.37080405932865</v>
      </c>
      <c r="U4" s="723">
        <f>S4-T4</f>
        <v>0</v>
      </c>
      <c r="V4" s="796" t="s">
        <v>613</v>
      </c>
      <c r="W4" s="796" t="s">
        <v>614</v>
      </c>
      <c r="X4" s="796" t="s">
        <v>423</v>
      </c>
    </row>
    <row r="5" spans="1:25">
      <c r="A5" s="797" t="s">
        <v>88</v>
      </c>
      <c r="B5" s="793">
        <f>'RRT - Subgrupo - IGEO'!CE4</f>
        <v>237</v>
      </c>
      <c r="C5" s="792">
        <f t="shared" ref="C5:C30" si="0">$S5*B36</f>
        <v>148.61460005666257</v>
      </c>
      <c r="D5" s="795">
        <f t="shared" ref="D5:D30" si="1">IFERROR(C5/C$31*100,)</f>
        <v>2.1147964169035673</v>
      </c>
      <c r="E5" s="795">
        <f t="shared" ref="E5:E31" si="2">IFERROR((C5/$S5)*100,0)</f>
        <v>85.559566787003604</v>
      </c>
      <c r="F5" s="793">
        <f>'RRT - Subgrupo - IGEO'!CH4</f>
        <v>28</v>
      </c>
      <c r="G5" s="792">
        <f t="shared" ref="G5:G30" si="3">$S5*F36</f>
        <v>17.557843044668996</v>
      </c>
      <c r="H5" s="795">
        <f t="shared" ref="H5:H30" si="4">IFERROR(G5/G$31*100,)</f>
        <v>0.34896309790697105</v>
      </c>
      <c r="I5" s="795">
        <f t="shared" ref="I5:I31" si="5">IFERROR((G5/$S5)*100,0)</f>
        <v>10.108303249097473</v>
      </c>
      <c r="J5" s="793">
        <f>'RRT - Subgrupo - IGEO'!CK4</f>
        <v>3</v>
      </c>
      <c r="K5" s="792">
        <f t="shared" ref="K5:K30" si="6">$S5*J36</f>
        <v>1.8811974690716782</v>
      </c>
      <c r="L5" s="795">
        <f t="shared" ref="L5:L30" si="7">IFERROR(K5/K$31*100,)</f>
        <v>1.2100745859006126</v>
      </c>
      <c r="M5" s="795">
        <f t="shared" ref="M5:M31" si="8">IFERROR((K5/$S5)*100,0)</f>
        <v>1.0830324909747291</v>
      </c>
      <c r="N5" s="793">
        <f>'RRT - Subgrupo - IGEO'!CN4</f>
        <v>9</v>
      </c>
      <c r="O5" s="792">
        <f t="shared" ref="O5:O30" si="9">$S5*N36</f>
        <v>5.6435924072150341</v>
      </c>
      <c r="P5" s="795">
        <f t="shared" ref="P5:P30" si="10">IFERROR(O5/O$31*100,)</f>
        <v>0.73139260917390281</v>
      </c>
      <c r="Q5" s="795">
        <f t="shared" ref="Q5:Q31" si="11">IFERROR((O5/$S5)*100,0)</f>
        <v>3.2490974729241873</v>
      </c>
      <c r="R5" s="793">
        <f t="shared" ref="R5:R31" si="12">N5+J5+F5+B5</f>
        <v>277</v>
      </c>
      <c r="S5" s="792">
        <f>'RRT - Atividades '!AA4</f>
        <v>173.69723297761828</v>
      </c>
      <c r="T5" s="723">
        <f t="shared" ref="T5:T31" si="13">C5+G5+K5+O5</f>
        <v>173.69723297761828</v>
      </c>
      <c r="U5" s="723">
        <f t="shared" ref="U5:U31" si="14">S5-T5</f>
        <v>0</v>
      </c>
      <c r="V5" s="798" t="str">
        <f>B2</f>
        <v>GEORREFERENCIAMENTO E TOPOGRAFIA</v>
      </c>
      <c r="W5" s="799">
        <f>C31</f>
        <v>7027.3714703120404</v>
      </c>
      <c r="X5" s="800">
        <f>W5/$W$9</f>
        <v>0.54115447253957427</v>
      </c>
    </row>
    <row r="6" spans="1:25">
      <c r="A6" s="797" t="s">
        <v>90</v>
      </c>
      <c r="B6" s="793">
        <f>'RRT - Subgrupo - IGEO'!CE5</f>
        <v>35</v>
      </c>
      <c r="C6" s="792">
        <f t="shared" si="0"/>
        <v>23.37359792924935</v>
      </c>
      <c r="D6" s="795">
        <f t="shared" si="1"/>
        <v>0.33260797480244031</v>
      </c>
      <c r="E6" s="795">
        <f t="shared" si="2"/>
        <v>40.697674418604649</v>
      </c>
      <c r="F6" s="793">
        <f>'RRT - Subgrupo - IGEO'!CH5</f>
        <v>49</v>
      </c>
      <c r="G6" s="792">
        <f t="shared" si="3"/>
        <v>32.723037100949092</v>
      </c>
      <c r="H6" s="795">
        <f t="shared" si="4"/>
        <v>0.65037216534061004</v>
      </c>
      <c r="I6" s="795">
        <f t="shared" si="5"/>
        <v>56.97674418604651</v>
      </c>
      <c r="J6" s="793">
        <f>'RRT - Subgrupo - IGEO'!CK5</f>
        <v>0</v>
      </c>
      <c r="K6" s="792">
        <f t="shared" si="6"/>
        <v>0</v>
      </c>
      <c r="L6" s="795">
        <f t="shared" si="7"/>
        <v>0</v>
      </c>
      <c r="M6" s="795">
        <f t="shared" si="8"/>
        <v>0</v>
      </c>
      <c r="N6" s="793">
        <f>'RRT - Subgrupo - IGEO'!CN5</f>
        <v>2</v>
      </c>
      <c r="O6" s="792">
        <f t="shared" si="9"/>
        <v>1.3356341673856771</v>
      </c>
      <c r="P6" s="795">
        <f t="shared" si="10"/>
        <v>0.1730941726651172</v>
      </c>
      <c r="Q6" s="795">
        <f t="shared" si="11"/>
        <v>2.3255813953488373</v>
      </c>
      <c r="R6" s="793">
        <f t="shared" si="12"/>
        <v>86</v>
      </c>
      <c r="S6" s="792">
        <f>'RRT - Atividades '!AA5</f>
        <v>57.43226919758412</v>
      </c>
      <c r="T6" s="723">
        <f t="shared" si="13"/>
        <v>57.43226919758412</v>
      </c>
      <c r="U6" s="723">
        <f t="shared" si="14"/>
        <v>0</v>
      </c>
      <c r="V6" s="798" t="str">
        <f>F2</f>
        <v>MEIO AMBIENTE</v>
      </c>
      <c r="W6" s="799">
        <f>G31</f>
        <v>5031.4325927235104</v>
      </c>
      <c r="X6" s="800">
        <f>W6/$W$9</f>
        <v>0.38745386697379364</v>
      </c>
    </row>
    <row r="7" spans="1:25">
      <c r="A7" s="797" t="s">
        <v>89</v>
      </c>
      <c r="B7" s="793">
        <f>'RRT - Subgrupo - IGEO'!CE6</f>
        <v>11</v>
      </c>
      <c r="C7" s="792">
        <f t="shared" si="0"/>
        <v>5.6267819229602667</v>
      </c>
      <c r="D7" s="795">
        <f t="shared" si="1"/>
        <v>8.0069510296008548E-2</v>
      </c>
      <c r="E7" s="795">
        <f t="shared" si="2"/>
        <v>15.068493150684931</v>
      </c>
      <c r="F7" s="793">
        <f>'RRT - Subgrupo - IGEO'!CH6</f>
        <v>62</v>
      </c>
      <c r="G7" s="792">
        <f t="shared" si="3"/>
        <v>31.714589020321505</v>
      </c>
      <c r="H7" s="795">
        <f t="shared" si="4"/>
        <v>0.63032920417511595</v>
      </c>
      <c r="I7" s="795">
        <f t="shared" si="5"/>
        <v>84.93150684931507</v>
      </c>
      <c r="J7" s="793">
        <f>'RRT - Subgrupo - IGEO'!CK6</f>
        <v>0</v>
      </c>
      <c r="K7" s="792">
        <f t="shared" si="6"/>
        <v>0</v>
      </c>
      <c r="L7" s="795">
        <f t="shared" si="7"/>
        <v>0</v>
      </c>
      <c r="M7" s="795">
        <f t="shared" si="8"/>
        <v>0</v>
      </c>
      <c r="N7" s="793">
        <f>'RRT - Subgrupo - IGEO'!CN6</f>
        <v>0</v>
      </c>
      <c r="O7" s="792">
        <f t="shared" si="9"/>
        <v>0</v>
      </c>
      <c r="P7" s="795">
        <f t="shared" si="10"/>
        <v>0</v>
      </c>
      <c r="Q7" s="795">
        <f t="shared" si="11"/>
        <v>0</v>
      </c>
      <c r="R7" s="793">
        <f t="shared" si="12"/>
        <v>73</v>
      </c>
      <c r="S7" s="792">
        <f>'RRT - Atividades '!AA6</f>
        <v>37.341370943281774</v>
      </c>
      <c r="T7" s="723">
        <f t="shared" si="13"/>
        <v>37.341370943281774</v>
      </c>
      <c r="U7" s="723">
        <f t="shared" si="14"/>
        <v>0</v>
      </c>
      <c r="V7" s="798" t="str">
        <f>J2</f>
        <v>PLANEJAMENTO REGIONAL</v>
      </c>
      <c r="W7" s="799">
        <f>K31</f>
        <v>155.46128238628978</v>
      </c>
      <c r="X7" s="800">
        <f>W7/$W$9</f>
        <v>1.1971555598773952E-2</v>
      </c>
    </row>
    <row r="8" spans="1:25">
      <c r="A8" s="797" t="s">
        <v>91</v>
      </c>
      <c r="B8" s="793">
        <f>'RRT - Subgrupo - IGEO'!CE7</f>
        <v>157</v>
      </c>
      <c r="C8" s="792">
        <f t="shared" si="0"/>
        <v>108.77049445658331</v>
      </c>
      <c r="D8" s="795">
        <f t="shared" si="1"/>
        <v>1.5478119367404597</v>
      </c>
      <c r="E8" s="795">
        <f t="shared" si="2"/>
        <v>49.683544303797461</v>
      </c>
      <c r="F8" s="793">
        <f>'RRT - Subgrupo - IGEO'!CH7</f>
        <v>136</v>
      </c>
      <c r="G8" s="792">
        <f t="shared" si="3"/>
        <v>94.221574815893831</v>
      </c>
      <c r="H8" s="795">
        <f t="shared" si="4"/>
        <v>1.8726589908440325</v>
      </c>
      <c r="I8" s="795">
        <f t="shared" si="5"/>
        <v>43.037974683544306</v>
      </c>
      <c r="J8" s="793">
        <f>'RRT - Subgrupo - IGEO'!CK7</f>
        <v>10</v>
      </c>
      <c r="K8" s="792">
        <f t="shared" si="6"/>
        <v>6.9280569717568996</v>
      </c>
      <c r="L8" s="795">
        <f t="shared" si="7"/>
        <v>4.4564517064397302</v>
      </c>
      <c r="M8" s="795">
        <f t="shared" si="8"/>
        <v>3.1645569620253164</v>
      </c>
      <c r="N8" s="793">
        <f>'RRT - Subgrupo - IGEO'!CN7</f>
        <v>13</v>
      </c>
      <c r="O8" s="792">
        <f t="shared" si="9"/>
        <v>9.006474063283969</v>
      </c>
      <c r="P8" s="795">
        <f t="shared" si="10"/>
        <v>1.1672119616896623</v>
      </c>
      <c r="Q8" s="795">
        <f t="shared" si="11"/>
        <v>4.1139240506329111</v>
      </c>
      <c r="R8" s="793">
        <f t="shared" si="12"/>
        <v>316</v>
      </c>
      <c r="S8" s="792">
        <f>'RRT - Atividades '!AA7</f>
        <v>218.92660030751802</v>
      </c>
      <c r="T8" s="723">
        <f t="shared" si="13"/>
        <v>218.92660030751799</v>
      </c>
      <c r="U8" s="723">
        <f t="shared" si="14"/>
        <v>0</v>
      </c>
      <c r="V8" s="798" t="str">
        <f>N2</f>
        <v>PLANEJAMENTO URBANO</v>
      </c>
      <c r="W8" s="799">
        <f>O31</f>
        <v>771.62283791592984</v>
      </c>
      <c r="X8" s="800">
        <f>W8/$W$9</f>
        <v>5.9420104887858295E-2</v>
      </c>
    </row>
    <row r="9" spans="1:25">
      <c r="A9" s="797" t="s">
        <v>92</v>
      </c>
      <c r="B9" s="793">
        <f>'RRT - Subgrupo - IGEO'!CE8</f>
        <v>451</v>
      </c>
      <c r="C9" s="792">
        <f t="shared" si="0"/>
        <v>280.9371079474173</v>
      </c>
      <c r="D9" s="795">
        <f t="shared" si="1"/>
        <v>3.9977551938768183</v>
      </c>
      <c r="E9" s="795">
        <f t="shared" si="2"/>
        <v>51.660939289805277</v>
      </c>
      <c r="F9" s="793">
        <f>'RRT - Subgrupo - IGEO'!CH8</f>
        <v>335</v>
      </c>
      <c r="G9" s="792">
        <f t="shared" si="3"/>
        <v>208.67833960617469</v>
      </c>
      <c r="H9" s="795">
        <f t="shared" si="4"/>
        <v>4.1474934973384441</v>
      </c>
      <c r="I9" s="795">
        <f t="shared" si="5"/>
        <v>38.373424971363121</v>
      </c>
      <c r="J9" s="793">
        <f>'RRT - Subgrupo - IGEO'!CK8</f>
        <v>4</v>
      </c>
      <c r="K9" s="792">
        <f t="shared" si="6"/>
        <v>2.4916816669393991</v>
      </c>
      <c r="L9" s="795">
        <f t="shared" si="7"/>
        <v>1.6027667009384854</v>
      </c>
      <c r="M9" s="795">
        <f t="shared" si="8"/>
        <v>0.45819014891179843</v>
      </c>
      <c r="N9" s="793">
        <f>'RRT - Subgrupo - IGEO'!CN8</f>
        <v>83</v>
      </c>
      <c r="O9" s="792">
        <f t="shared" si="9"/>
        <v>51.702394588992526</v>
      </c>
      <c r="P9" s="795">
        <f t="shared" si="10"/>
        <v>6.7004749015250926</v>
      </c>
      <c r="Q9" s="795">
        <f t="shared" si="11"/>
        <v>9.5074455899198167</v>
      </c>
      <c r="R9" s="793">
        <f t="shared" si="12"/>
        <v>873</v>
      </c>
      <c r="S9" s="792">
        <f>'RRT - Atividades '!AA8</f>
        <v>543.80952380952385</v>
      </c>
      <c r="T9" s="723">
        <f t="shared" si="13"/>
        <v>543.80952380952385</v>
      </c>
      <c r="U9" s="723">
        <f t="shared" si="14"/>
        <v>0</v>
      </c>
      <c r="V9" s="801" t="s">
        <v>128</v>
      </c>
      <c r="W9" s="802">
        <f>SUM(W5:W8)</f>
        <v>12985.888183337769</v>
      </c>
      <c r="X9" s="803">
        <f>SUM(X5:X8)</f>
        <v>1.0000000000000002</v>
      </c>
    </row>
    <row r="10" spans="1:25">
      <c r="A10" s="797" t="s">
        <v>93</v>
      </c>
      <c r="B10" s="793">
        <f>'RRT - Subgrupo - IGEO'!CE9</f>
        <v>176</v>
      </c>
      <c r="C10" s="792">
        <f t="shared" si="0"/>
        <v>138.92100794051501</v>
      </c>
      <c r="D10" s="795">
        <f t="shared" si="1"/>
        <v>1.9768559059017043</v>
      </c>
      <c r="E10" s="795">
        <f t="shared" si="2"/>
        <v>84.615384615384599</v>
      </c>
      <c r="F10" s="793">
        <f>'RRT - Subgrupo - IGEO'!CH9</f>
        <v>15</v>
      </c>
      <c r="G10" s="792">
        <f t="shared" si="3"/>
        <v>11.839858631293893</v>
      </c>
      <c r="H10" s="795">
        <f t="shared" si="4"/>
        <v>0.23531784264419581</v>
      </c>
      <c r="I10" s="795">
        <f t="shared" si="5"/>
        <v>7.2115384615384608</v>
      </c>
      <c r="J10" s="793">
        <f>'RRT - Subgrupo - IGEO'!CK9</f>
        <v>0</v>
      </c>
      <c r="K10" s="792">
        <f t="shared" si="6"/>
        <v>0</v>
      </c>
      <c r="L10" s="795">
        <f t="shared" si="7"/>
        <v>0</v>
      </c>
      <c r="M10" s="795">
        <f t="shared" si="8"/>
        <v>0</v>
      </c>
      <c r="N10" s="793">
        <f>'RRT - Subgrupo - IGEO'!CN9</f>
        <v>17</v>
      </c>
      <c r="O10" s="792">
        <f t="shared" si="9"/>
        <v>13.418506448799747</v>
      </c>
      <c r="P10" s="795">
        <f t="shared" si="10"/>
        <v>1.7389980945926493</v>
      </c>
      <c r="Q10" s="795">
        <f t="shared" si="11"/>
        <v>8.1730769230769234</v>
      </c>
      <c r="R10" s="793">
        <f t="shared" si="12"/>
        <v>208</v>
      </c>
      <c r="S10" s="792">
        <f>'RRT - Atividades '!AA9</f>
        <v>164.17937302060867</v>
      </c>
      <c r="T10" s="723">
        <f t="shared" si="13"/>
        <v>164.17937302060864</v>
      </c>
      <c r="U10" s="723">
        <f t="shared" si="14"/>
        <v>0</v>
      </c>
    </row>
    <row r="11" spans="1:25">
      <c r="A11" s="797" t="s">
        <v>94</v>
      </c>
      <c r="B11" s="793">
        <f>'RRT - Subgrupo - IGEO'!CE10</f>
        <v>183</v>
      </c>
      <c r="C11" s="792">
        <f t="shared" si="0"/>
        <v>135.61964363795366</v>
      </c>
      <c r="D11" s="795">
        <f t="shared" si="1"/>
        <v>1.9298772551144454</v>
      </c>
      <c r="E11" s="795">
        <f t="shared" si="2"/>
        <v>43.571428571428569</v>
      </c>
      <c r="F11" s="793">
        <f>'RRT - Subgrupo - IGEO'!CH10</f>
        <v>166</v>
      </c>
      <c r="G11" s="792">
        <f t="shared" si="3"/>
        <v>123.02109750765194</v>
      </c>
      <c r="H11" s="795">
        <f t="shared" si="4"/>
        <v>2.4450510911259316</v>
      </c>
      <c r="I11" s="795">
        <f t="shared" si="5"/>
        <v>39.523809523809526</v>
      </c>
      <c r="J11" s="793">
        <f>'RRT - Subgrupo - IGEO'!CK10</f>
        <v>3</v>
      </c>
      <c r="K11" s="792">
        <f t="shared" si="6"/>
        <v>2.2232728465238303</v>
      </c>
      <c r="L11" s="795">
        <f t="shared" si="7"/>
        <v>1.4301135384947152</v>
      </c>
      <c r="M11" s="795">
        <f t="shared" si="8"/>
        <v>0.7142857142857143</v>
      </c>
      <c r="N11" s="793">
        <f>'RRT - Subgrupo - IGEO'!CN10</f>
        <v>68</v>
      </c>
      <c r="O11" s="792">
        <f t="shared" si="9"/>
        <v>50.394184521206824</v>
      </c>
      <c r="P11" s="795">
        <f t="shared" si="10"/>
        <v>6.5309348097207813</v>
      </c>
      <c r="Q11" s="795">
        <f t="shared" si="11"/>
        <v>16.19047619047619</v>
      </c>
      <c r="R11" s="793">
        <f t="shared" si="12"/>
        <v>420</v>
      </c>
      <c r="S11" s="792">
        <f>'RRT - Atividades '!AA10</f>
        <v>311.25819851333625</v>
      </c>
      <c r="T11" s="723">
        <f t="shared" si="13"/>
        <v>311.25819851333631</v>
      </c>
      <c r="U11" s="723">
        <f t="shared" si="14"/>
        <v>0</v>
      </c>
    </row>
    <row r="12" spans="1:25" ht="15.75" thickBot="1">
      <c r="A12" s="797" t="s">
        <v>95</v>
      </c>
      <c r="B12" s="793">
        <f>'RRT - Subgrupo - IGEO'!CE11</f>
        <v>118</v>
      </c>
      <c r="C12" s="792">
        <f t="shared" si="0"/>
        <v>60.186685245961755</v>
      </c>
      <c r="D12" s="795">
        <f t="shared" si="1"/>
        <v>0.85646084741965756</v>
      </c>
      <c r="E12" s="795">
        <f t="shared" si="2"/>
        <v>50.643776824034333</v>
      </c>
      <c r="F12" s="793">
        <f>'RRT - Subgrupo - IGEO'!CH11</f>
        <v>94</v>
      </c>
      <c r="G12" s="792">
        <f t="shared" si="3"/>
        <v>47.945325534918688</v>
      </c>
      <c r="H12" s="795">
        <f t="shared" si="4"/>
        <v>0.95291598667658839</v>
      </c>
      <c r="I12" s="795">
        <f t="shared" si="5"/>
        <v>40.343347639484975</v>
      </c>
      <c r="J12" s="793">
        <f>'RRT - Subgrupo - IGEO'!CK11</f>
        <v>1</v>
      </c>
      <c r="K12" s="792">
        <f t="shared" si="6"/>
        <v>0.5100566546267945</v>
      </c>
      <c r="L12" s="795">
        <f t="shared" si="7"/>
        <v>0.32809240139895868</v>
      </c>
      <c r="M12" s="795">
        <f t="shared" si="8"/>
        <v>0.42918454935622319</v>
      </c>
      <c r="N12" s="793">
        <f>'RRT - Subgrupo - IGEO'!CN11</f>
        <v>20</v>
      </c>
      <c r="O12" s="792">
        <f t="shared" si="9"/>
        <v>10.201133092535891</v>
      </c>
      <c r="P12" s="795">
        <f t="shared" si="10"/>
        <v>1.3220361802779259</v>
      </c>
      <c r="Q12" s="795">
        <f t="shared" si="11"/>
        <v>8.5836909871244629</v>
      </c>
      <c r="R12" s="793">
        <f t="shared" si="12"/>
        <v>233</v>
      </c>
      <c r="S12" s="792">
        <f>'RRT - Atividades '!AA11</f>
        <v>118.84320052804313</v>
      </c>
      <c r="T12" s="723">
        <f t="shared" si="13"/>
        <v>118.84320052804313</v>
      </c>
      <c r="U12" s="723">
        <f t="shared" si="14"/>
        <v>0</v>
      </c>
    </row>
    <row r="13" spans="1:25" ht="15" customHeight="1">
      <c r="A13" s="797" t="s">
        <v>96</v>
      </c>
      <c r="B13" s="793">
        <f>'RRT - Subgrupo - IGEO'!CE12</f>
        <v>206</v>
      </c>
      <c r="C13" s="792">
        <f t="shared" si="0"/>
        <v>125.74134889401546</v>
      </c>
      <c r="D13" s="795">
        <f t="shared" si="1"/>
        <v>1.7893084124729226</v>
      </c>
      <c r="E13" s="795">
        <f t="shared" si="2"/>
        <v>67.100977198697066</v>
      </c>
      <c r="F13" s="793">
        <f>'RRT - Subgrupo - IGEO'!CH12</f>
        <v>93</v>
      </c>
      <c r="G13" s="792">
        <f t="shared" si="3"/>
        <v>56.766725471570098</v>
      </c>
      <c r="H13" s="795">
        <f t="shared" si="4"/>
        <v>1.128241796455079</v>
      </c>
      <c r="I13" s="795">
        <f t="shared" si="5"/>
        <v>30.293159609120522</v>
      </c>
      <c r="J13" s="793">
        <f>'RRT - Subgrupo - IGEO'!CK12</f>
        <v>0</v>
      </c>
      <c r="K13" s="792">
        <f t="shared" si="6"/>
        <v>0</v>
      </c>
      <c r="L13" s="795">
        <f t="shared" si="7"/>
        <v>0</v>
      </c>
      <c r="M13" s="795">
        <f t="shared" si="8"/>
        <v>0</v>
      </c>
      <c r="N13" s="793">
        <f>'RRT - Subgrupo - IGEO'!CN12</f>
        <v>8</v>
      </c>
      <c r="O13" s="792">
        <f t="shared" si="9"/>
        <v>4.8831591803501153</v>
      </c>
      <c r="P13" s="795">
        <f t="shared" si="10"/>
        <v>0.63284274912585559</v>
      </c>
      <c r="Q13" s="795">
        <f t="shared" si="11"/>
        <v>2.6058631921824107</v>
      </c>
      <c r="R13" s="793">
        <f t="shared" si="12"/>
        <v>307</v>
      </c>
      <c r="S13" s="792">
        <f>'RRT - Atividades '!AA12</f>
        <v>187.39123354593568</v>
      </c>
      <c r="T13" s="723">
        <f t="shared" si="13"/>
        <v>187.39123354593568</v>
      </c>
      <c r="U13" s="723">
        <f t="shared" si="14"/>
        <v>0</v>
      </c>
      <c r="V13" s="1473" t="s">
        <v>640</v>
      </c>
      <c r="W13" s="1474"/>
      <c r="X13" s="1474"/>
      <c r="Y13" s="1452" t="s">
        <v>1082</v>
      </c>
    </row>
    <row r="14" spans="1:25" ht="15" customHeight="1">
      <c r="A14" s="797" t="s">
        <v>99</v>
      </c>
      <c r="B14" s="793">
        <f>'RRT - Subgrupo - IGEO'!CE13</f>
        <v>808</v>
      </c>
      <c r="C14" s="792">
        <f t="shared" si="0"/>
        <v>615.10511393786851</v>
      </c>
      <c r="D14" s="795">
        <f t="shared" si="1"/>
        <v>8.7529898844319334</v>
      </c>
      <c r="E14" s="795">
        <f t="shared" si="2"/>
        <v>61.119515885022693</v>
      </c>
      <c r="F14" s="793">
        <f>'RRT - Subgrupo - IGEO'!CH13</f>
        <v>404</v>
      </c>
      <c r="G14" s="792">
        <f t="shared" si="3"/>
        <v>307.55255696893425</v>
      </c>
      <c r="H14" s="795">
        <f t="shared" si="4"/>
        <v>6.112624015150649</v>
      </c>
      <c r="I14" s="795">
        <f t="shared" si="5"/>
        <v>30.559757942511347</v>
      </c>
      <c r="J14" s="793">
        <f>'RRT - Subgrupo - IGEO'!CK13</f>
        <v>21</v>
      </c>
      <c r="K14" s="792">
        <f t="shared" si="6"/>
        <v>15.986642812741632</v>
      </c>
      <c r="L14" s="795">
        <f t="shared" si="7"/>
        <v>10.283359668305106</v>
      </c>
      <c r="M14" s="795">
        <f t="shared" si="8"/>
        <v>1.5885022692889561</v>
      </c>
      <c r="N14" s="793">
        <f>'RRT - Subgrupo - IGEO'!CN13</f>
        <v>89</v>
      </c>
      <c r="O14" s="792">
        <f t="shared" si="9"/>
        <v>67.752914777809792</v>
      </c>
      <c r="P14" s="795">
        <f t="shared" si="10"/>
        <v>8.7805740639822325</v>
      </c>
      <c r="Q14" s="795">
        <f t="shared" si="11"/>
        <v>6.7322239031770055</v>
      </c>
      <c r="R14" s="793">
        <f t="shared" si="12"/>
        <v>1322</v>
      </c>
      <c r="S14" s="792">
        <f>'RRT - Atividades '!AA13</f>
        <v>1006.3972284973543</v>
      </c>
      <c r="T14" s="723">
        <f t="shared" si="13"/>
        <v>1006.3972284973541</v>
      </c>
      <c r="U14" s="723">
        <f t="shared" si="14"/>
        <v>0</v>
      </c>
      <c r="V14" s="1158" t="s">
        <v>613</v>
      </c>
      <c r="W14" s="1129" t="s">
        <v>527</v>
      </c>
      <c r="X14" s="1129" t="s">
        <v>423</v>
      </c>
      <c r="Y14" s="1453"/>
    </row>
    <row r="15" spans="1:25" ht="15" customHeight="1">
      <c r="A15" s="797" t="s">
        <v>98</v>
      </c>
      <c r="B15" s="793">
        <f>'RRT - Subgrupo - IGEO'!CE14</f>
        <v>95</v>
      </c>
      <c r="C15" s="792">
        <f t="shared" si="0"/>
        <v>75.337548480930835</v>
      </c>
      <c r="D15" s="795">
        <f t="shared" si="1"/>
        <v>1.0720587178179379</v>
      </c>
      <c r="E15" s="795">
        <f t="shared" si="2"/>
        <v>24.675324675324674</v>
      </c>
      <c r="F15" s="793">
        <f>'RRT - Subgrupo - IGEO'!CH14</f>
        <v>274</v>
      </c>
      <c r="G15" s="792">
        <f t="shared" si="3"/>
        <v>217.28935035552686</v>
      </c>
      <c r="H15" s="795">
        <f t="shared" si="4"/>
        <v>4.3186378104274334</v>
      </c>
      <c r="I15" s="795">
        <f t="shared" si="5"/>
        <v>71.168831168831176</v>
      </c>
      <c r="J15" s="793">
        <f>'RRT - Subgrupo - IGEO'!CK14</f>
        <v>4</v>
      </c>
      <c r="K15" s="792">
        <f t="shared" si="6"/>
        <v>3.1721073044602459</v>
      </c>
      <c r="L15" s="795">
        <f t="shared" si="7"/>
        <v>2.0404484356292665</v>
      </c>
      <c r="M15" s="795">
        <f t="shared" si="8"/>
        <v>1.0389610389610389</v>
      </c>
      <c r="N15" s="793">
        <f>'RRT - Subgrupo - IGEO'!CN14</f>
        <v>12</v>
      </c>
      <c r="O15" s="792">
        <f t="shared" si="9"/>
        <v>9.5163219133807377</v>
      </c>
      <c r="P15" s="795">
        <f t="shared" si="10"/>
        <v>1.2332867102642138</v>
      </c>
      <c r="Q15" s="795">
        <f t="shared" si="11"/>
        <v>3.116883116883117</v>
      </c>
      <c r="R15" s="793">
        <f t="shared" si="12"/>
        <v>385</v>
      </c>
      <c r="S15" s="792">
        <f>'RRT - Atividades '!AA14</f>
        <v>305.31532805429867</v>
      </c>
      <c r="T15" s="723">
        <f t="shared" si="13"/>
        <v>305.31532805429873</v>
      </c>
      <c r="U15" s="723">
        <f t="shared" si="14"/>
        <v>0</v>
      </c>
      <c r="V15" s="1159" t="s">
        <v>656</v>
      </c>
      <c r="W15" s="799">
        <v>7027.3714703120404</v>
      </c>
      <c r="X15" s="800">
        <v>0.54115447253957427</v>
      </c>
      <c r="Y15" s="1453"/>
    </row>
    <row r="16" spans="1:25" ht="15" customHeight="1">
      <c r="A16" s="797" t="s">
        <v>97</v>
      </c>
      <c r="B16" s="793">
        <f>'RRT - Subgrupo - IGEO'!CE15</f>
        <v>47</v>
      </c>
      <c r="C16" s="792">
        <f t="shared" si="0"/>
        <v>22.350347126697201</v>
      </c>
      <c r="D16" s="795">
        <f t="shared" si="1"/>
        <v>0.31804704249830651</v>
      </c>
      <c r="E16" s="795">
        <f t="shared" si="2"/>
        <v>11.190476190476192</v>
      </c>
      <c r="F16" s="793">
        <f>'RRT - Subgrupo - IGEO'!CH15</f>
        <v>358</v>
      </c>
      <c r="G16" s="792">
        <f t="shared" si="3"/>
        <v>170.24306960335312</v>
      </c>
      <c r="H16" s="795">
        <f t="shared" si="4"/>
        <v>3.3835903883430682</v>
      </c>
      <c r="I16" s="795">
        <f t="shared" si="5"/>
        <v>85.238095238095227</v>
      </c>
      <c r="J16" s="793">
        <f>'RRT - Subgrupo - IGEO'!CK15</f>
        <v>6</v>
      </c>
      <c r="K16" s="792">
        <f t="shared" si="6"/>
        <v>2.8532358034081531</v>
      </c>
      <c r="L16" s="795">
        <f t="shared" si="7"/>
        <v>1.8353353063938069</v>
      </c>
      <c r="M16" s="795">
        <f t="shared" si="8"/>
        <v>1.4285714285714286</v>
      </c>
      <c r="N16" s="793">
        <f>'RRT - Subgrupo - IGEO'!CN15</f>
        <v>9</v>
      </c>
      <c r="O16" s="792">
        <f t="shared" si="9"/>
        <v>4.2798537051122301</v>
      </c>
      <c r="P16" s="795">
        <f t="shared" si="10"/>
        <v>0.55465617330244577</v>
      </c>
      <c r="Q16" s="795">
        <f t="shared" si="11"/>
        <v>2.1428571428571428</v>
      </c>
      <c r="R16" s="793">
        <f t="shared" si="12"/>
        <v>420</v>
      </c>
      <c r="S16" s="792">
        <f>'RRT - Atividades '!AA15</f>
        <v>199.72650623857072</v>
      </c>
      <c r="T16" s="723">
        <f t="shared" si="13"/>
        <v>199.72650623857069</v>
      </c>
      <c r="U16" s="723">
        <f t="shared" si="14"/>
        <v>0</v>
      </c>
      <c r="V16" s="1159" t="s">
        <v>1104</v>
      </c>
      <c r="W16" s="799">
        <v>5031.4325927235104</v>
      </c>
      <c r="X16" s="800">
        <v>0.38745386697379364</v>
      </c>
      <c r="Y16" s="1453"/>
    </row>
    <row r="17" spans="1:25" ht="15" customHeight="1">
      <c r="A17" s="797" t="s">
        <v>100</v>
      </c>
      <c r="B17" s="793">
        <f>'RRT - Subgrupo - IGEO'!CE16</f>
        <v>113</v>
      </c>
      <c r="C17" s="792">
        <f t="shared" si="0"/>
        <v>65.196547842401486</v>
      </c>
      <c r="D17" s="795">
        <f t="shared" si="1"/>
        <v>0.92775155145607413</v>
      </c>
      <c r="E17" s="795">
        <f t="shared" si="2"/>
        <v>53.051643192488264</v>
      </c>
      <c r="F17" s="793">
        <f>'RRT - Subgrupo - IGEO'!CH16</f>
        <v>66</v>
      </c>
      <c r="G17" s="792">
        <f t="shared" si="3"/>
        <v>38.079399624765472</v>
      </c>
      <c r="H17" s="795">
        <f t="shared" si="4"/>
        <v>0.75683016562392469</v>
      </c>
      <c r="I17" s="795">
        <f t="shared" si="5"/>
        <v>30.985915492957744</v>
      </c>
      <c r="J17" s="793">
        <f>'RRT - Subgrupo - IGEO'!CK16</f>
        <v>3</v>
      </c>
      <c r="K17" s="792">
        <f t="shared" si="6"/>
        <v>1.7308818011257034</v>
      </c>
      <c r="L17" s="795">
        <f t="shared" si="7"/>
        <v>1.113384486836287</v>
      </c>
      <c r="M17" s="795">
        <f t="shared" si="8"/>
        <v>1.4084507042253522</v>
      </c>
      <c r="N17" s="793">
        <f>'RRT - Subgrupo - IGEO'!CN16</f>
        <v>31</v>
      </c>
      <c r="O17" s="792">
        <f t="shared" si="9"/>
        <v>17.885778611632269</v>
      </c>
      <c r="P17" s="795">
        <f t="shared" si="10"/>
        <v>2.31794313656395</v>
      </c>
      <c r="Q17" s="795">
        <f t="shared" si="11"/>
        <v>14.553990610328638</v>
      </c>
      <c r="R17" s="793">
        <f t="shared" si="12"/>
        <v>213</v>
      </c>
      <c r="S17" s="792">
        <f>'RRT - Atividades '!AA16</f>
        <v>122.89260787992494</v>
      </c>
      <c r="T17" s="723">
        <f t="shared" si="13"/>
        <v>122.89260787992492</v>
      </c>
      <c r="U17" s="723">
        <f t="shared" si="14"/>
        <v>0</v>
      </c>
      <c r="V17" s="1159" t="s">
        <v>658</v>
      </c>
      <c r="W17" s="799">
        <v>771.62283791592984</v>
      </c>
      <c r="X17" s="800">
        <v>5.9420104887858295E-2</v>
      </c>
      <c r="Y17" s="1453"/>
    </row>
    <row r="18" spans="1:25" ht="15" customHeight="1">
      <c r="A18" s="797" t="s">
        <v>101</v>
      </c>
      <c r="B18" s="793">
        <f>'RRT - Subgrupo - IGEO'!CE17</f>
        <v>52</v>
      </c>
      <c r="C18" s="792">
        <f t="shared" si="0"/>
        <v>31.45246568378241</v>
      </c>
      <c r="D18" s="795">
        <f t="shared" si="1"/>
        <v>0.44757084233638511</v>
      </c>
      <c r="E18" s="795">
        <f t="shared" si="2"/>
        <v>52.525252525252533</v>
      </c>
      <c r="F18" s="793">
        <f>'RRT - Subgrupo - IGEO'!CH17</f>
        <v>39</v>
      </c>
      <c r="G18" s="792">
        <f t="shared" si="3"/>
        <v>23.589349262836805</v>
      </c>
      <c r="H18" s="795">
        <f t="shared" si="4"/>
        <v>0.46883961631428533</v>
      </c>
      <c r="I18" s="795">
        <f t="shared" si="5"/>
        <v>39.393939393939391</v>
      </c>
      <c r="J18" s="793">
        <f>'RRT - Subgrupo - IGEO'!CK17</f>
        <v>0</v>
      </c>
      <c r="K18" s="792">
        <f t="shared" si="6"/>
        <v>0</v>
      </c>
      <c r="L18" s="795">
        <f t="shared" si="7"/>
        <v>0</v>
      </c>
      <c r="M18" s="795">
        <f t="shared" si="8"/>
        <v>0</v>
      </c>
      <c r="N18" s="793">
        <f>'RRT - Subgrupo - IGEO'!CN17</f>
        <v>8</v>
      </c>
      <c r="O18" s="792">
        <f t="shared" si="9"/>
        <v>4.8388408744280635</v>
      </c>
      <c r="P18" s="795">
        <f t="shared" si="10"/>
        <v>0.62709922991616618</v>
      </c>
      <c r="Q18" s="795">
        <f t="shared" si="11"/>
        <v>8.0808080808080813</v>
      </c>
      <c r="R18" s="793">
        <f t="shared" si="12"/>
        <v>99</v>
      </c>
      <c r="S18" s="792">
        <f>'RRT - Atividades '!AA17</f>
        <v>59.880655821047277</v>
      </c>
      <c r="T18" s="723">
        <f t="shared" si="13"/>
        <v>59.880655821047277</v>
      </c>
      <c r="U18" s="723">
        <f t="shared" si="14"/>
        <v>0</v>
      </c>
      <c r="V18" s="1159" t="s">
        <v>657</v>
      </c>
      <c r="W18" s="799">
        <v>155.46128238628978</v>
      </c>
      <c r="X18" s="800">
        <v>1.1971555598773952E-2</v>
      </c>
      <c r="Y18" s="1453"/>
    </row>
    <row r="19" spans="1:25" ht="15" customHeight="1" thickBot="1">
      <c r="A19" s="797" t="s">
        <v>103</v>
      </c>
      <c r="B19" s="793">
        <f>'RRT - Subgrupo - IGEO'!CE18</f>
        <v>183</v>
      </c>
      <c r="C19" s="792">
        <f t="shared" si="0"/>
        <v>134.05099508539729</v>
      </c>
      <c r="D19" s="795">
        <f t="shared" si="1"/>
        <v>1.9075552737138135</v>
      </c>
      <c r="E19" s="795">
        <f t="shared" si="2"/>
        <v>53.508771929824562</v>
      </c>
      <c r="F19" s="793">
        <f>'RRT - Subgrupo - IGEO'!CH18</f>
        <v>140</v>
      </c>
      <c r="G19" s="792">
        <f t="shared" si="3"/>
        <v>102.55267383582304</v>
      </c>
      <c r="H19" s="795">
        <f t="shared" si="4"/>
        <v>2.0382400428882894</v>
      </c>
      <c r="I19" s="795">
        <f t="shared" si="5"/>
        <v>40.935672514619881</v>
      </c>
      <c r="J19" s="793">
        <f>'RRT - Subgrupo - IGEO'!CK18</f>
        <v>0</v>
      </c>
      <c r="K19" s="792">
        <f t="shared" si="6"/>
        <v>0</v>
      </c>
      <c r="L19" s="795">
        <f t="shared" si="7"/>
        <v>0</v>
      </c>
      <c r="M19" s="795">
        <f t="shared" si="8"/>
        <v>0</v>
      </c>
      <c r="N19" s="793">
        <f>'RRT - Subgrupo - IGEO'!CN18</f>
        <v>19</v>
      </c>
      <c r="O19" s="792">
        <f t="shared" si="9"/>
        <v>13.917862877718843</v>
      </c>
      <c r="P19" s="795">
        <f t="shared" si="10"/>
        <v>1.8037131865238063</v>
      </c>
      <c r="Q19" s="795">
        <f t="shared" si="11"/>
        <v>5.5555555555555554</v>
      </c>
      <c r="R19" s="793">
        <f t="shared" si="12"/>
        <v>342</v>
      </c>
      <c r="S19" s="792">
        <f>'RRT - Atividades '!AA18</f>
        <v>250.52153179893918</v>
      </c>
      <c r="T19" s="723">
        <f t="shared" si="13"/>
        <v>250.52153179893918</v>
      </c>
      <c r="U19" s="723">
        <f t="shared" si="14"/>
        <v>0</v>
      </c>
      <c r="V19" s="1160" t="s">
        <v>128</v>
      </c>
      <c r="W19" s="1161">
        <f>SUM(W15:W18)</f>
        <v>12985.888183337769</v>
      </c>
      <c r="X19" s="1162">
        <f>SUM(X15:X18)</f>
        <v>1.0000000000000002</v>
      </c>
      <c r="Y19" s="1454"/>
    </row>
    <row r="20" spans="1:25" ht="15" customHeight="1">
      <c r="A20" s="797" t="s">
        <v>104</v>
      </c>
      <c r="B20" s="793">
        <f>'RRT - Subgrupo - IGEO'!CE19</f>
        <v>147</v>
      </c>
      <c r="C20" s="792">
        <f t="shared" si="0"/>
        <v>113.16143497757848</v>
      </c>
      <c r="D20" s="795">
        <f t="shared" si="1"/>
        <v>1.6102953352564655</v>
      </c>
      <c r="E20" s="795">
        <f t="shared" si="2"/>
        <v>59.274193548387103</v>
      </c>
      <c r="F20" s="793">
        <f>'RRT - Subgrupo - IGEO'!CH19</f>
        <v>18</v>
      </c>
      <c r="G20" s="792">
        <f t="shared" si="3"/>
        <v>13.856502242152468</v>
      </c>
      <c r="H20" s="795">
        <f t="shared" si="4"/>
        <v>0.27539874552213672</v>
      </c>
      <c r="I20" s="795">
        <f t="shared" si="5"/>
        <v>7.2580645161290329</v>
      </c>
      <c r="J20" s="793">
        <f>'RRT - Subgrupo - IGEO'!CK19</f>
        <v>25</v>
      </c>
      <c r="K20" s="792">
        <f t="shared" si="6"/>
        <v>19.245142002989535</v>
      </c>
      <c r="L20" s="795">
        <f t="shared" si="7"/>
        <v>12.379379423340442</v>
      </c>
      <c r="M20" s="795">
        <f t="shared" si="8"/>
        <v>10.080645161290322</v>
      </c>
      <c r="N20" s="793">
        <f>'RRT - Subgrupo - IGEO'!CN19</f>
        <v>58</v>
      </c>
      <c r="O20" s="792">
        <f t="shared" si="9"/>
        <v>44.648729446935725</v>
      </c>
      <c r="P20" s="795">
        <f t="shared" si="10"/>
        <v>5.7863411051346185</v>
      </c>
      <c r="Q20" s="795">
        <f t="shared" si="11"/>
        <v>23.387096774193548</v>
      </c>
      <c r="R20" s="793">
        <f t="shared" si="12"/>
        <v>248</v>
      </c>
      <c r="S20" s="792">
        <f>'RRT - Atividades '!AA19</f>
        <v>190.91180866965621</v>
      </c>
      <c r="T20" s="723">
        <f t="shared" si="13"/>
        <v>190.91180866965621</v>
      </c>
      <c r="U20" s="723">
        <f t="shared" si="14"/>
        <v>0</v>
      </c>
    </row>
    <row r="21" spans="1:25" ht="15.75" customHeight="1">
      <c r="A21" s="797" t="s">
        <v>102</v>
      </c>
      <c r="B21" s="793">
        <f>'RRT - Subgrupo - IGEO'!CE20</f>
        <v>1613</v>
      </c>
      <c r="C21" s="792">
        <f t="shared" si="0"/>
        <v>1153.9502875411629</v>
      </c>
      <c r="D21" s="795">
        <f t="shared" si="1"/>
        <v>16.420795348818004</v>
      </c>
      <c r="E21" s="795">
        <f t="shared" si="2"/>
        <v>45.131505316172358</v>
      </c>
      <c r="F21" s="793">
        <f>'RRT - Subgrupo - IGEO'!CH20</f>
        <v>1836</v>
      </c>
      <c r="G21" s="792">
        <f t="shared" si="3"/>
        <v>1313.4858821609266</v>
      </c>
      <c r="H21" s="795">
        <f t="shared" si="4"/>
        <v>26.105604277805455</v>
      </c>
      <c r="I21" s="795">
        <f t="shared" si="5"/>
        <v>51.371012870733068</v>
      </c>
      <c r="J21" s="793">
        <f>'RRT - Subgrupo - IGEO'!CK20</f>
        <v>11</v>
      </c>
      <c r="K21" s="792">
        <f t="shared" si="6"/>
        <v>7.8694687929031568</v>
      </c>
      <c r="L21" s="795">
        <f t="shared" si="7"/>
        <v>5.0620120148945649</v>
      </c>
      <c r="M21" s="795">
        <f t="shared" si="8"/>
        <v>0.30777839955232233</v>
      </c>
      <c r="N21" s="793">
        <f>'RRT - Subgrupo - IGEO'!CN20</f>
        <v>114</v>
      </c>
      <c r="O21" s="792">
        <f t="shared" si="9"/>
        <v>81.556312944632708</v>
      </c>
      <c r="P21" s="795">
        <f t="shared" si="10"/>
        <v>10.569452968098705</v>
      </c>
      <c r="Q21" s="795">
        <f t="shared" si="11"/>
        <v>3.18970341354225</v>
      </c>
      <c r="R21" s="793">
        <f t="shared" si="12"/>
        <v>3574</v>
      </c>
      <c r="S21" s="792">
        <f>'RRT - Atividades '!AA20</f>
        <v>2556.8619514396255</v>
      </c>
      <c r="T21" s="723">
        <f t="shared" si="13"/>
        <v>2556.8619514396255</v>
      </c>
      <c r="U21" s="723">
        <f t="shared" si="14"/>
        <v>0</v>
      </c>
    </row>
    <row r="22" spans="1:25">
      <c r="A22" s="797" t="s">
        <v>105</v>
      </c>
      <c r="B22" s="793">
        <f>'RRT - Subgrupo - IGEO'!CE21</f>
        <v>217</v>
      </c>
      <c r="C22" s="792">
        <f t="shared" si="0"/>
        <v>188.72295052687977</v>
      </c>
      <c r="D22" s="795">
        <f t="shared" si="1"/>
        <v>2.6855411205194168</v>
      </c>
      <c r="E22" s="795">
        <f t="shared" si="2"/>
        <v>56.806282722513089</v>
      </c>
      <c r="F22" s="793">
        <f>'RRT - Subgrupo - IGEO'!CH21</f>
        <v>123</v>
      </c>
      <c r="G22" s="792">
        <f t="shared" si="3"/>
        <v>106.97199499910697</v>
      </c>
      <c r="H22" s="795">
        <f t="shared" si="4"/>
        <v>2.1260742945023359</v>
      </c>
      <c r="I22" s="795">
        <f t="shared" si="5"/>
        <v>32.198952879581149</v>
      </c>
      <c r="J22" s="793">
        <f>'RRT - Subgrupo - IGEO'!CK21</f>
        <v>3</v>
      </c>
      <c r="K22" s="792">
        <f t="shared" si="6"/>
        <v>2.6090730487587064</v>
      </c>
      <c r="L22" s="795">
        <f t="shared" si="7"/>
        <v>1.6782783524682943</v>
      </c>
      <c r="M22" s="795">
        <f t="shared" si="8"/>
        <v>0.78534031413612559</v>
      </c>
      <c r="N22" s="793">
        <f>'RRT - Subgrupo - IGEO'!CN21</f>
        <v>39</v>
      </c>
      <c r="O22" s="792">
        <f t="shared" si="9"/>
        <v>33.917949633863188</v>
      </c>
      <c r="P22" s="795">
        <f t="shared" si="10"/>
        <v>4.3956643021961241</v>
      </c>
      <c r="Q22" s="795">
        <f t="shared" si="11"/>
        <v>10.209424083769635</v>
      </c>
      <c r="R22" s="793">
        <f t="shared" si="12"/>
        <v>382</v>
      </c>
      <c r="S22" s="792">
        <f>'RRT - Atividades '!AA21</f>
        <v>332.22196820860864</v>
      </c>
      <c r="T22" s="723">
        <f t="shared" si="13"/>
        <v>332.22196820860864</v>
      </c>
      <c r="U22" s="723">
        <f t="shared" si="14"/>
        <v>0</v>
      </c>
    </row>
    <row r="23" spans="1:25">
      <c r="A23" s="797" t="s">
        <v>106</v>
      </c>
      <c r="B23" s="793">
        <f>'RRT - Subgrupo - IGEO'!CE22</f>
        <v>69</v>
      </c>
      <c r="C23" s="792">
        <f t="shared" si="0"/>
        <v>47.169026095855365</v>
      </c>
      <c r="D23" s="795">
        <f t="shared" si="1"/>
        <v>0.67121862413459255</v>
      </c>
      <c r="E23" s="795">
        <f t="shared" si="2"/>
        <v>29.741379310344829</v>
      </c>
      <c r="F23" s="793">
        <f>'RRT - Subgrupo - IGEO'!CH22</f>
        <v>149</v>
      </c>
      <c r="G23" s="792">
        <f t="shared" si="3"/>
        <v>101.85775200409347</v>
      </c>
      <c r="H23" s="795">
        <f t="shared" si="4"/>
        <v>2.024428433194172</v>
      </c>
      <c r="I23" s="795">
        <f t="shared" si="5"/>
        <v>64.224137931034491</v>
      </c>
      <c r="J23" s="793">
        <f>'RRT - Subgrupo - IGEO'!CK22</f>
        <v>2</v>
      </c>
      <c r="K23" s="792">
        <f t="shared" si="6"/>
        <v>1.3672181477059526</v>
      </c>
      <c r="L23" s="795">
        <f t="shared" si="7"/>
        <v>0.87945894097843125</v>
      </c>
      <c r="M23" s="795">
        <f t="shared" si="8"/>
        <v>0.86206896551724133</v>
      </c>
      <c r="N23" s="793">
        <f>'RRT - Subgrupo - IGEO'!CN22</f>
        <v>12</v>
      </c>
      <c r="O23" s="792">
        <f t="shared" si="9"/>
        <v>8.2033088862357157</v>
      </c>
      <c r="P23" s="795">
        <f t="shared" si="10"/>
        <v>1.0631241693664706</v>
      </c>
      <c r="Q23" s="795">
        <f t="shared" si="11"/>
        <v>5.1724137931034484</v>
      </c>
      <c r="R23" s="793">
        <f t="shared" si="12"/>
        <v>232</v>
      </c>
      <c r="S23" s="792">
        <f>'RRT - Atividades '!AA22</f>
        <v>158.5973051338905</v>
      </c>
      <c r="T23" s="723">
        <f t="shared" si="13"/>
        <v>158.5973051338905</v>
      </c>
      <c r="U23" s="723">
        <f t="shared" si="14"/>
        <v>0</v>
      </c>
    </row>
    <row r="24" spans="1:25">
      <c r="A24" s="797" t="s">
        <v>108</v>
      </c>
      <c r="B24" s="793">
        <f>'RRT - Subgrupo - IGEO'!CE23</f>
        <v>17</v>
      </c>
      <c r="C24" s="792">
        <f t="shared" si="0"/>
        <v>8.9703429101019445</v>
      </c>
      <c r="D24" s="795">
        <f t="shared" si="1"/>
        <v>0.12764862293103782</v>
      </c>
      <c r="E24" s="795">
        <f t="shared" si="2"/>
        <v>18.478260869565215</v>
      </c>
      <c r="F24" s="793">
        <f>'RRT - Subgrupo - IGEO'!CH23</f>
        <v>68</v>
      </c>
      <c r="G24" s="792">
        <f t="shared" si="3"/>
        <v>35.881371640407778</v>
      </c>
      <c r="H24" s="795">
        <f t="shared" si="4"/>
        <v>0.71314423832885376</v>
      </c>
      <c r="I24" s="795">
        <f t="shared" si="5"/>
        <v>73.91304347826086</v>
      </c>
      <c r="J24" s="793">
        <f>'RRT - Subgrupo - IGEO'!CK23</f>
        <v>1</v>
      </c>
      <c r="K24" s="792">
        <f t="shared" si="6"/>
        <v>0.5276672300059968</v>
      </c>
      <c r="L24" s="795">
        <f t="shared" si="7"/>
        <v>0.33942035078216493</v>
      </c>
      <c r="M24" s="795">
        <f t="shared" si="8"/>
        <v>1.0869565217391306</v>
      </c>
      <c r="N24" s="793">
        <f>'RRT - Subgrupo - IGEO'!CN23</f>
        <v>6</v>
      </c>
      <c r="O24" s="792">
        <f t="shared" si="9"/>
        <v>3.1660033800359804</v>
      </c>
      <c r="P24" s="795">
        <f t="shared" si="10"/>
        <v>0.41030451983342203</v>
      </c>
      <c r="Q24" s="795">
        <f t="shared" si="11"/>
        <v>6.5217391304347823</v>
      </c>
      <c r="R24" s="793">
        <f t="shared" si="12"/>
        <v>92</v>
      </c>
      <c r="S24" s="792">
        <f>'RRT - Atividades '!AA23</f>
        <v>48.545385160551703</v>
      </c>
      <c r="T24" s="723">
        <f t="shared" si="13"/>
        <v>48.545385160551703</v>
      </c>
      <c r="U24" s="723">
        <f t="shared" si="14"/>
        <v>0</v>
      </c>
    </row>
    <row r="25" spans="1:25">
      <c r="A25" s="797" t="s">
        <v>109</v>
      </c>
      <c r="B25" s="793">
        <f>'RRT - Subgrupo - IGEO'!CE24</f>
        <v>11</v>
      </c>
      <c r="C25" s="792">
        <f t="shared" si="0"/>
        <v>5.4724310776942362</v>
      </c>
      <c r="D25" s="795">
        <f t="shared" si="1"/>
        <v>7.7873086698393088E-2</v>
      </c>
      <c r="E25" s="795">
        <f t="shared" si="2"/>
        <v>64.705882352941174</v>
      </c>
      <c r="F25" s="793">
        <f>'RRT - Subgrupo - IGEO'!CH24</f>
        <v>3</v>
      </c>
      <c r="G25" s="792">
        <f t="shared" si="3"/>
        <v>1.492481203007519</v>
      </c>
      <c r="H25" s="795">
        <f t="shared" si="4"/>
        <v>2.9663146141835524E-2</v>
      </c>
      <c r="I25" s="795">
        <f t="shared" si="5"/>
        <v>17.647058823529413</v>
      </c>
      <c r="J25" s="793">
        <f>'RRT - Subgrupo - IGEO'!CK24</f>
        <v>1</v>
      </c>
      <c r="K25" s="792">
        <f t="shared" si="6"/>
        <v>0.4974937343358396</v>
      </c>
      <c r="L25" s="795">
        <f t="shared" si="7"/>
        <v>0.32001134089429961</v>
      </c>
      <c r="M25" s="795">
        <f t="shared" si="8"/>
        <v>5.8823529411764701</v>
      </c>
      <c r="N25" s="793">
        <f>'RRT - Subgrupo - IGEO'!CN24</f>
        <v>2</v>
      </c>
      <c r="O25" s="792">
        <f t="shared" si="9"/>
        <v>0.9949874686716792</v>
      </c>
      <c r="P25" s="795">
        <f t="shared" si="10"/>
        <v>0.12894738462628105</v>
      </c>
      <c r="Q25" s="795">
        <f t="shared" si="11"/>
        <v>11.76470588235294</v>
      </c>
      <c r="R25" s="793">
        <f t="shared" si="12"/>
        <v>17</v>
      </c>
      <c r="S25" s="792">
        <f>'RRT - Atividades '!AA24</f>
        <v>8.4573934837092732</v>
      </c>
      <c r="T25" s="723">
        <f t="shared" si="13"/>
        <v>8.4573934837092732</v>
      </c>
      <c r="U25" s="723">
        <f t="shared" si="14"/>
        <v>0</v>
      </c>
    </row>
    <row r="26" spans="1:25">
      <c r="A26" s="797" t="s">
        <v>107</v>
      </c>
      <c r="B26" s="793">
        <f>'RRT - Subgrupo - IGEO'!CE25</f>
        <v>1138</v>
      </c>
      <c r="C26" s="792">
        <f t="shared" si="0"/>
        <v>571.25463886933187</v>
      </c>
      <c r="D26" s="795">
        <f t="shared" si="1"/>
        <v>8.1289944794104656</v>
      </c>
      <c r="E26" s="795">
        <f t="shared" si="2"/>
        <v>53.603391427225624</v>
      </c>
      <c r="F26" s="793">
        <f>'RRT - Subgrupo - IGEO'!CH25</f>
        <v>886</v>
      </c>
      <c r="G26" s="792">
        <f t="shared" si="3"/>
        <v>444.75536910213367</v>
      </c>
      <c r="H26" s="795">
        <f t="shared" si="4"/>
        <v>8.8395374658371004</v>
      </c>
      <c r="I26" s="795">
        <f t="shared" si="5"/>
        <v>41.73339613754122</v>
      </c>
      <c r="J26" s="793">
        <f>'RRT - Subgrupo - IGEO'!CK25</f>
        <v>12</v>
      </c>
      <c r="K26" s="792">
        <f t="shared" si="6"/>
        <v>6.0237747508189656</v>
      </c>
      <c r="L26" s="795">
        <f t="shared" si="7"/>
        <v>3.8747749010915182</v>
      </c>
      <c r="M26" s="795">
        <f t="shared" si="8"/>
        <v>0.56523787093735278</v>
      </c>
      <c r="N26" s="793">
        <f>'RRT - Subgrupo - IGEO'!CN25</f>
        <v>87</v>
      </c>
      <c r="O26" s="792">
        <f t="shared" si="9"/>
        <v>43.672366943437503</v>
      </c>
      <c r="P26" s="795">
        <f t="shared" si="10"/>
        <v>5.6598074600010362</v>
      </c>
      <c r="Q26" s="795">
        <f t="shared" si="11"/>
        <v>4.0979745642958081</v>
      </c>
      <c r="R26" s="793">
        <f t="shared" si="12"/>
        <v>2123</v>
      </c>
      <c r="S26" s="792">
        <f>'RRT - Atividades '!AA25</f>
        <v>1065.706149665722</v>
      </c>
      <c r="T26" s="723">
        <f t="shared" si="13"/>
        <v>1065.7061496657218</v>
      </c>
      <c r="U26" s="723">
        <f t="shared" si="14"/>
        <v>0</v>
      </c>
    </row>
    <row r="27" spans="1:25">
      <c r="A27" s="797" t="s">
        <v>110</v>
      </c>
      <c r="B27" s="793">
        <f>'RRT - Subgrupo - IGEO'!CE26</f>
        <v>1237</v>
      </c>
      <c r="C27" s="792">
        <f t="shared" si="0"/>
        <v>610.06136509341104</v>
      </c>
      <c r="D27" s="795">
        <f t="shared" si="1"/>
        <v>8.6812169766560245</v>
      </c>
      <c r="E27" s="795">
        <f t="shared" si="2"/>
        <v>43.818632660290461</v>
      </c>
      <c r="F27" s="793">
        <f>'RRT - Subgrupo - IGEO'!CH26</f>
        <v>1200</v>
      </c>
      <c r="G27" s="792">
        <f t="shared" si="3"/>
        <v>591.81377373653459</v>
      </c>
      <c r="H27" s="795">
        <f t="shared" si="4"/>
        <v>11.762331360503953</v>
      </c>
      <c r="I27" s="795">
        <f t="shared" si="5"/>
        <v>42.507970244420825</v>
      </c>
      <c r="J27" s="793">
        <f>'RRT - Subgrupo - IGEO'!CK26</f>
        <v>136</v>
      </c>
      <c r="K27" s="792">
        <f t="shared" si="6"/>
        <v>67.072227690140593</v>
      </c>
      <c r="L27" s="795">
        <f t="shared" si="7"/>
        <v>43.144007730156055</v>
      </c>
      <c r="M27" s="795">
        <f t="shared" si="8"/>
        <v>4.8175699610343603</v>
      </c>
      <c r="N27" s="793">
        <f>'RRT - Subgrupo - IGEO'!CN26</f>
        <v>250</v>
      </c>
      <c r="O27" s="792">
        <f t="shared" si="9"/>
        <v>123.29453619511138</v>
      </c>
      <c r="P27" s="795">
        <f t="shared" si="10"/>
        <v>15.978601220269301</v>
      </c>
      <c r="Q27" s="795">
        <f t="shared" si="11"/>
        <v>8.8558271342543389</v>
      </c>
      <c r="R27" s="793">
        <f t="shared" si="12"/>
        <v>2823</v>
      </c>
      <c r="S27" s="792">
        <f>'RRT - Atividades '!AA26</f>
        <v>1392.2419027151977</v>
      </c>
      <c r="T27" s="723">
        <f t="shared" si="13"/>
        <v>1392.2419027151975</v>
      </c>
      <c r="U27" s="723">
        <f t="shared" si="14"/>
        <v>0</v>
      </c>
    </row>
    <row r="28" spans="1:25">
      <c r="A28" s="797" t="s">
        <v>112</v>
      </c>
      <c r="B28" s="793">
        <f>'RRT - Subgrupo - IGEO'!CE27</f>
        <v>97</v>
      </c>
      <c r="C28" s="792">
        <f t="shared" si="0"/>
        <v>65.093614505321241</v>
      </c>
      <c r="D28" s="795">
        <f t="shared" si="1"/>
        <v>0.9262868026874187</v>
      </c>
      <c r="E28" s="795">
        <f t="shared" si="2"/>
        <v>64.238410596026483</v>
      </c>
      <c r="F28" s="793">
        <f>'RRT - Subgrupo - IGEO'!CH27</f>
        <v>50</v>
      </c>
      <c r="G28" s="792">
        <f t="shared" si="3"/>
        <v>33.553409538825385</v>
      </c>
      <c r="H28" s="795">
        <f t="shared" si="4"/>
        <v>0.66687586329489024</v>
      </c>
      <c r="I28" s="795">
        <f t="shared" si="5"/>
        <v>33.112582781456958</v>
      </c>
      <c r="J28" s="793">
        <f>'RRT - Subgrupo - IGEO'!CK27</f>
        <v>0</v>
      </c>
      <c r="K28" s="792">
        <f t="shared" si="6"/>
        <v>0</v>
      </c>
      <c r="L28" s="795">
        <f t="shared" si="7"/>
        <v>0</v>
      </c>
      <c r="M28" s="795">
        <f t="shared" si="8"/>
        <v>0</v>
      </c>
      <c r="N28" s="793">
        <f>'RRT - Subgrupo - IGEO'!CN27</f>
        <v>4</v>
      </c>
      <c r="O28" s="792">
        <f t="shared" si="9"/>
        <v>2.6842727631060308</v>
      </c>
      <c r="P28" s="795">
        <f t="shared" si="10"/>
        <v>0.34787368014611419</v>
      </c>
      <c r="Q28" s="795">
        <f t="shared" si="11"/>
        <v>2.6490066225165565</v>
      </c>
      <c r="R28" s="793">
        <f t="shared" si="12"/>
        <v>151</v>
      </c>
      <c r="S28" s="792">
        <f>'RRT - Atividades '!AA27</f>
        <v>101.33129680725266</v>
      </c>
      <c r="T28" s="723">
        <f t="shared" si="13"/>
        <v>101.33129680725267</v>
      </c>
      <c r="U28" s="723">
        <f t="shared" si="14"/>
        <v>0</v>
      </c>
    </row>
    <row r="29" spans="1:25">
      <c r="A29" s="797" t="s">
        <v>111</v>
      </c>
      <c r="B29" s="793">
        <f>'RRT - Subgrupo - IGEO'!CE28</f>
        <v>2557</v>
      </c>
      <c r="C29" s="792">
        <f t="shared" si="0"/>
        <v>2277.9369938175964</v>
      </c>
      <c r="D29" s="795">
        <f t="shared" si="1"/>
        <v>32.415206787360106</v>
      </c>
      <c r="E29" s="795">
        <f t="shared" si="2"/>
        <v>67.951102843475951</v>
      </c>
      <c r="F29" s="793">
        <f>'RRT - Subgrupo - IGEO'!CH28</f>
        <v>1012</v>
      </c>
      <c r="G29" s="792">
        <f t="shared" si="3"/>
        <v>901.55347584802803</v>
      </c>
      <c r="H29" s="795">
        <f t="shared" si="4"/>
        <v>17.91842500586931</v>
      </c>
      <c r="I29" s="795">
        <f t="shared" si="5"/>
        <v>26.893436088227478</v>
      </c>
      <c r="J29" s="793">
        <f>'RRT - Subgrupo - IGEO'!CK28</f>
        <v>14</v>
      </c>
      <c r="K29" s="792">
        <f t="shared" si="6"/>
        <v>12.472083657976672</v>
      </c>
      <c r="L29" s="795">
        <f t="shared" si="7"/>
        <v>8.0226301150572468</v>
      </c>
      <c r="M29" s="795">
        <f t="shared" si="8"/>
        <v>0.37204358224820622</v>
      </c>
      <c r="N29" s="793">
        <f>'RRT - Subgrupo - IGEO'!CN28</f>
        <v>180</v>
      </c>
      <c r="O29" s="792">
        <f t="shared" si="9"/>
        <v>160.35536131684293</v>
      </c>
      <c r="P29" s="795">
        <f t="shared" si="10"/>
        <v>20.781572737005231</v>
      </c>
      <c r="Q29" s="795">
        <f t="shared" si="11"/>
        <v>4.783417486048366</v>
      </c>
      <c r="R29" s="793">
        <f t="shared" si="12"/>
        <v>3763</v>
      </c>
      <c r="S29" s="792">
        <f>'RRT - Atividades '!AA28</f>
        <v>3352.3179146404441</v>
      </c>
      <c r="T29" s="723">
        <f t="shared" si="13"/>
        <v>3352.3179146404441</v>
      </c>
      <c r="U29" s="723">
        <f t="shared" si="14"/>
        <v>0</v>
      </c>
    </row>
    <row r="30" spans="1:25">
      <c r="A30" s="797" t="s">
        <v>113</v>
      </c>
      <c r="B30" s="793">
        <f>'RRT - Subgrupo - IGEO'!CE29</f>
        <v>6</v>
      </c>
      <c r="C30" s="792">
        <f t="shared" si="0"/>
        <v>3.1153321201091901</v>
      </c>
      <c r="D30" s="795">
        <f t="shared" si="1"/>
        <v>4.4331399489414759E-2</v>
      </c>
      <c r="E30" s="795">
        <f t="shared" si="2"/>
        <v>54.54545454545454</v>
      </c>
      <c r="F30" s="793">
        <f>'RRT - Subgrupo - IGEO'!CH29</f>
        <v>2</v>
      </c>
      <c r="G30" s="792">
        <f t="shared" si="3"/>
        <v>1.0384440400363968</v>
      </c>
      <c r="H30" s="795">
        <f t="shared" si="4"/>
        <v>2.0639132511448152E-2</v>
      </c>
      <c r="I30" s="795">
        <f t="shared" si="5"/>
        <v>18.181818181818183</v>
      </c>
      <c r="J30" s="793">
        <f>'RRT - Subgrupo - IGEO'!CK29</f>
        <v>0</v>
      </c>
      <c r="K30" s="792">
        <f t="shared" si="6"/>
        <v>0</v>
      </c>
      <c r="L30" s="795">
        <f t="shared" si="7"/>
        <v>0</v>
      </c>
      <c r="M30" s="795">
        <f t="shared" si="8"/>
        <v>0</v>
      </c>
      <c r="N30" s="793">
        <f>'RRT - Subgrupo - IGEO'!CN29</f>
        <v>3</v>
      </c>
      <c r="O30" s="792">
        <f t="shared" si="9"/>
        <v>1.5576660600545951</v>
      </c>
      <c r="P30" s="795">
        <f t="shared" si="10"/>
        <v>0.20186883844206621</v>
      </c>
      <c r="Q30" s="795">
        <f t="shared" si="11"/>
        <v>27.27272727272727</v>
      </c>
      <c r="R30" s="793">
        <f t="shared" si="12"/>
        <v>11</v>
      </c>
      <c r="S30" s="792">
        <f>'RRT - Atividades '!AA29</f>
        <v>5.7114422202001824</v>
      </c>
      <c r="T30" s="723">
        <f t="shared" si="13"/>
        <v>5.7114422202001824</v>
      </c>
      <c r="U30" s="723">
        <f t="shared" si="14"/>
        <v>0</v>
      </c>
    </row>
    <row r="31" spans="1:25" ht="16.5" customHeight="1">
      <c r="A31" s="804" t="s">
        <v>128</v>
      </c>
      <c r="B31" s="804">
        <f t="shared" ref="B31:P31" si="15">SUM(B4:B30)</f>
        <v>9997</v>
      </c>
      <c r="C31" s="804">
        <f t="shared" si="15"/>
        <v>7027.3714703120404</v>
      </c>
      <c r="D31" s="805">
        <f t="shared" si="15"/>
        <v>100</v>
      </c>
      <c r="E31" s="805">
        <f t="shared" si="2"/>
        <v>54.115447253957413</v>
      </c>
      <c r="F31" s="804">
        <f t="shared" si="15"/>
        <v>7608</v>
      </c>
      <c r="G31" s="804">
        <f t="shared" si="15"/>
        <v>5031.4325927235104</v>
      </c>
      <c r="H31" s="805">
        <f t="shared" si="15"/>
        <v>100</v>
      </c>
      <c r="I31" s="805">
        <f t="shared" si="5"/>
        <v>38.745386697379359</v>
      </c>
      <c r="J31" s="804">
        <f t="shared" si="15"/>
        <v>260</v>
      </c>
      <c r="K31" s="804">
        <f t="shared" si="15"/>
        <v>155.46128238628978</v>
      </c>
      <c r="L31" s="805">
        <f t="shared" si="15"/>
        <v>99.999999999999972</v>
      </c>
      <c r="M31" s="805">
        <f t="shared" si="8"/>
        <v>1.1971555598773951</v>
      </c>
      <c r="N31" s="804">
        <f t="shared" si="15"/>
        <v>1147</v>
      </c>
      <c r="O31" s="804">
        <f t="shared" si="15"/>
        <v>771.62283791592984</v>
      </c>
      <c r="P31" s="805">
        <f t="shared" si="15"/>
        <v>100</v>
      </c>
      <c r="Q31" s="805">
        <f t="shared" si="11"/>
        <v>5.9420104887858285</v>
      </c>
      <c r="R31" s="804">
        <f t="shared" si="12"/>
        <v>19012</v>
      </c>
      <c r="S31" s="804">
        <f>SUM(S4:S30)</f>
        <v>12985.888183337771</v>
      </c>
      <c r="T31" s="723">
        <f t="shared" si="13"/>
        <v>12985.888183337769</v>
      </c>
      <c r="U31" s="723">
        <f t="shared" si="14"/>
        <v>0</v>
      </c>
    </row>
    <row r="32" spans="1:25" s="776" customFormat="1" ht="15.75">
      <c r="B32" s="776">
        <f>'RRT - Subgrupo - IGEO'!CE30</f>
        <v>9997</v>
      </c>
      <c r="C32" s="777"/>
      <c r="D32" s="777"/>
      <c r="E32" s="790"/>
      <c r="F32" s="776">
        <f>'RRT - Subgrupo - IGEO'!CH30</f>
        <v>7608</v>
      </c>
      <c r="G32" s="777"/>
      <c r="H32" s="777"/>
      <c r="I32" s="790"/>
      <c r="J32" s="776">
        <f>'RRT - Subgrupo - IGEO'!CK30</f>
        <v>260</v>
      </c>
      <c r="K32" s="777"/>
      <c r="L32" s="777"/>
      <c r="M32" s="790"/>
      <c r="N32" s="776">
        <f>'RRT - Subgrupo - IGEO'!CN30</f>
        <v>1147</v>
      </c>
      <c r="O32" s="777"/>
      <c r="P32" s="777"/>
      <c r="Q32" s="790"/>
      <c r="R32" s="776">
        <f>B32+F32+J32+N32</f>
        <v>19012</v>
      </c>
      <c r="S32" s="777">
        <f>'RRT - Atividades '!AA30</f>
        <v>12985.888183337771</v>
      </c>
    </row>
    <row r="33" spans="1:21" s="806" customFormat="1" ht="15.75" hidden="1">
      <c r="B33" s="807">
        <f>B31-B32</f>
        <v>0</v>
      </c>
      <c r="C33" s="808"/>
      <c r="D33" s="809"/>
      <c r="E33" s="810"/>
      <c r="F33" s="807">
        <f>F31-F32</f>
        <v>0</v>
      </c>
      <c r="H33" s="809"/>
      <c r="I33" s="810"/>
      <c r="J33" s="807">
        <f>J31-J32</f>
        <v>0</v>
      </c>
      <c r="L33" s="809"/>
      <c r="M33" s="810"/>
      <c r="N33" s="807">
        <f>N31-N32</f>
        <v>0</v>
      </c>
      <c r="P33" s="809"/>
      <c r="Q33" s="810"/>
      <c r="R33" s="807">
        <f t="shared" ref="R33:S33" si="16">R31-R32</f>
        <v>0</v>
      </c>
      <c r="S33" s="807">
        <f t="shared" si="16"/>
        <v>0</v>
      </c>
    </row>
    <row r="34" spans="1:21" s="12" customFormat="1" hidden="1">
      <c r="B34" s="811"/>
      <c r="C34" s="812"/>
      <c r="T34" s="723"/>
      <c r="U34" s="723"/>
    </row>
    <row r="35" spans="1:21" s="12" customFormat="1" hidden="1">
      <c r="A35" s="274" t="s">
        <v>87</v>
      </c>
      <c r="B35" s="756">
        <f>IFERROR(B4/$R4,0)</f>
        <v>0.72727272727272729</v>
      </c>
      <c r="C35" s="812"/>
      <c r="D35" s="530"/>
      <c r="E35" s="274" t="s">
        <v>87</v>
      </c>
      <c r="F35" s="756">
        <f>IFERROR(F4/$R4,0)</f>
        <v>9.0909090909090912E-2</v>
      </c>
      <c r="G35" s="813"/>
      <c r="I35" s="274" t="s">
        <v>87</v>
      </c>
      <c r="J35" s="756">
        <f>IFERROR(J4/$R4,0)</f>
        <v>0</v>
      </c>
      <c r="M35" s="274" t="s">
        <v>87</v>
      </c>
      <c r="N35" s="756">
        <f>IFERROR(N4/$R4,0)</f>
        <v>0.18181818181818182</v>
      </c>
      <c r="O35" s="756"/>
      <c r="Q35" s="274" t="s">
        <v>87</v>
      </c>
      <c r="R35" s="756">
        <f>IFERROR(R4/$R4,0)</f>
        <v>1</v>
      </c>
      <c r="S35" s="756"/>
      <c r="T35" s="723"/>
      <c r="U35" s="723"/>
    </row>
    <row r="36" spans="1:21" s="12" customFormat="1" hidden="1">
      <c r="A36" s="758" t="s">
        <v>88</v>
      </c>
      <c r="B36" s="756">
        <f t="shared" ref="B36:B60" si="17">B5/$R5</f>
        <v>0.85559566787003605</v>
      </c>
      <c r="C36" s="814"/>
      <c r="D36" s="530"/>
      <c r="E36" s="758" t="s">
        <v>88</v>
      </c>
      <c r="F36" s="756">
        <f t="shared" ref="F36:F60" si="18">F5/$R5</f>
        <v>0.10108303249097472</v>
      </c>
      <c r="G36" s="813"/>
      <c r="I36" s="758" t="s">
        <v>88</v>
      </c>
      <c r="J36" s="756">
        <f t="shared" ref="J36:J60" si="19">J5/$R5</f>
        <v>1.0830324909747292E-2</v>
      </c>
      <c r="M36" s="758" t="s">
        <v>88</v>
      </c>
      <c r="N36" s="756">
        <f t="shared" ref="N36:N60" si="20">N5/$R5</f>
        <v>3.2490974729241874E-2</v>
      </c>
      <c r="O36" s="756"/>
      <c r="Q36" s="758" t="s">
        <v>88</v>
      </c>
      <c r="R36" s="756">
        <f t="shared" ref="R36:R60" si="21">R5/$R5</f>
        <v>1</v>
      </c>
      <c r="S36" s="756"/>
      <c r="T36" s="723"/>
      <c r="U36" s="723"/>
    </row>
    <row r="37" spans="1:21" s="12" customFormat="1" hidden="1">
      <c r="A37" s="758" t="s">
        <v>90</v>
      </c>
      <c r="B37" s="756">
        <f t="shared" si="17"/>
        <v>0.40697674418604651</v>
      </c>
      <c r="D37" s="530"/>
      <c r="E37" s="758" t="s">
        <v>90</v>
      </c>
      <c r="F37" s="756">
        <f t="shared" si="18"/>
        <v>0.56976744186046513</v>
      </c>
      <c r="G37" s="813"/>
      <c r="I37" s="758" t="s">
        <v>90</v>
      </c>
      <c r="J37" s="756">
        <f t="shared" si="19"/>
        <v>0</v>
      </c>
      <c r="M37" s="758" t="s">
        <v>90</v>
      </c>
      <c r="N37" s="756">
        <f t="shared" si="20"/>
        <v>2.3255813953488372E-2</v>
      </c>
      <c r="O37" s="756"/>
      <c r="Q37" s="758" t="s">
        <v>90</v>
      </c>
      <c r="R37" s="756">
        <f t="shared" si="21"/>
        <v>1</v>
      </c>
      <c r="S37" s="756"/>
      <c r="T37" s="723"/>
      <c r="U37" s="723"/>
    </row>
    <row r="38" spans="1:21" s="12" customFormat="1" hidden="1">
      <c r="A38" s="758" t="s">
        <v>89</v>
      </c>
      <c r="B38" s="756">
        <f t="shared" si="17"/>
        <v>0.15068493150684931</v>
      </c>
      <c r="D38" s="530"/>
      <c r="E38" s="758" t="s">
        <v>89</v>
      </c>
      <c r="F38" s="756">
        <f t="shared" si="18"/>
        <v>0.84931506849315064</v>
      </c>
      <c r="G38" s="813"/>
      <c r="I38" s="758" t="s">
        <v>89</v>
      </c>
      <c r="J38" s="756">
        <f t="shared" si="19"/>
        <v>0</v>
      </c>
      <c r="M38" s="758" t="s">
        <v>89</v>
      </c>
      <c r="N38" s="756">
        <f t="shared" si="20"/>
        <v>0</v>
      </c>
      <c r="O38" s="756"/>
      <c r="Q38" s="758" t="s">
        <v>89</v>
      </c>
      <c r="R38" s="756">
        <f t="shared" si="21"/>
        <v>1</v>
      </c>
      <c r="S38" s="756"/>
      <c r="T38" s="723"/>
      <c r="U38" s="723"/>
    </row>
    <row r="39" spans="1:21" s="12" customFormat="1" hidden="1">
      <c r="A39" s="758" t="s">
        <v>91</v>
      </c>
      <c r="B39" s="756">
        <f t="shared" si="17"/>
        <v>0.49683544303797467</v>
      </c>
      <c r="C39" s="815"/>
      <c r="D39" s="530"/>
      <c r="E39" s="758" t="s">
        <v>91</v>
      </c>
      <c r="F39" s="756">
        <f t="shared" si="18"/>
        <v>0.43037974683544306</v>
      </c>
      <c r="G39" s="813"/>
      <c r="I39" s="758" t="s">
        <v>91</v>
      </c>
      <c r="J39" s="756">
        <f t="shared" si="19"/>
        <v>3.1645569620253167E-2</v>
      </c>
      <c r="M39" s="758" t="s">
        <v>91</v>
      </c>
      <c r="N39" s="756">
        <f t="shared" si="20"/>
        <v>4.1139240506329111E-2</v>
      </c>
      <c r="O39" s="756"/>
      <c r="Q39" s="758" t="s">
        <v>91</v>
      </c>
      <c r="R39" s="756">
        <f t="shared" si="21"/>
        <v>1</v>
      </c>
      <c r="S39" s="756"/>
      <c r="T39" s="723"/>
      <c r="U39" s="723"/>
    </row>
    <row r="40" spans="1:21" hidden="1">
      <c r="A40" s="758" t="s">
        <v>92</v>
      </c>
      <c r="B40" s="756">
        <f t="shared" si="17"/>
        <v>0.51660939289805274</v>
      </c>
      <c r="D40" s="12"/>
      <c r="E40" s="758" t="s">
        <v>92</v>
      </c>
      <c r="F40" s="756">
        <f t="shared" si="18"/>
        <v>0.38373424971363118</v>
      </c>
      <c r="G40" s="12"/>
      <c r="I40" s="758" t="s">
        <v>92</v>
      </c>
      <c r="J40" s="756">
        <f t="shared" si="19"/>
        <v>4.5819014891179842E-3</v>
      </c>
      <c r="M40" s="758" t="s">
        <v>92</v>
      </c>
      <c r="N40" s="756">
        <f t="shared" si="20"/>
        <v>9.5074455899198163E-2</v>
      </c>
      <c r="O40" s="756"/>
      <c r="Q40" s="758" t="s">
        <v>92</v>
      </c>
      <c r="R40" s="756">
        <f t="shared" si="21"/>
        <v>1</v>
      </c>
      <c r="S40" s="756"/>
    </row>
    <row r="41" spans="1:21" hidden="1">
      <c r="A41" s="758" t="s">
        <v>93</v>
      </c>
      <c r="B41" s="756">
        <f t="shared" si="17"/>
        <v>0.84615384615384615</v>
      </c>
      <c r="D41" s="12"/>
      <c r="E41" s="758" t="s">
        <v>93</v>
      </c>
      <c r="F41" s="756">
        <f t="shared" si="18"/>
        <v>7.2115384615384609E-2</v>
      </c>
      <c r="G41" s="813"/>
      <c r="I41" s="758" t="s">
        <v>93</v>
      </c>
      <c r="J41" s="756">
        <f t="shared" si="19"/>
        <v>0</v>
      </c>
      <c r="M41" s="758" t="s">
        <v>93</v>
      </c>
      <c r="N41" s="756">
        <f t="shared" si="20"/>
        <v>8.1730769230769232E-2</v>
      </c>
      <c r="O41" s="756"/>
      <c r="Q41" s="758" t="s">
        <v>93</v>
      </c>
      <c r="R41" s="756">
        <f t="shared" si="21"/>
        <v>1</v>
      </c>
      <c r="S41" s="756"/>
    </row>
    <row r="42" spans="1:21" hidden="1">
      <c r="A42" s="758" t="s">
        <v>94</v>
      </c>
      <c r="B42" s="756">
        <f t="shared" si="17"/>
        <v>0.43571428571428572</v>
      </c>
      <c r="C42" s="815"/>
      <c r="D42" s="12"/>
      <c r="E42" s="758" t="s">
        <v>94</v>
      </c>
      <c r="F42" s="756">
        <f t="shared" si="18"/>
        <v>0.39523809523809522</v>
      </c>
      <c r="G42" s="813"/>
      <c r="I42" s="758" t="s">
        <v>94</v>
      </c>
      <c r="J42" s="756">
        <f t="shared" si="19"/>
        <v>7.1428571428571426E-3</v>
      </c>
      <c r="M42" s="758" t="s">
        <v>94</v>
      </c>
      <c r="N42" s="756">
        <f t="shared" si="20"/>
        <v>0.16190476190476191</v>
      </c>
      <c r="O42" s="756"/>
      <c r="Q42" s="758" t="s">
        <v>94</v>
      </c>
      <c r="R42" s="756">
        <f t="shared" si="21"/>
        <v>1</v>
      </c>
      <c r="S42" s="756"/>
    </row>
    <row r="43" spans="1:21" hidden="1">
      <c r="A43" s="758" t="s">
        <v>95</v>
      </c>
      <c r="B43" s="756">
        <f t="shared" si="17"/>
        <v>0.50643776824034337</v>
      </c>
      <c r="C43" s="815"/>
      <c r="D43" s="12"/>
      <c r="E43" s="758" t="s">
        <v>95</v>
      </c>
      <c r="F43" s="756">
        <f t="shared" si="18"/>
        <v>0.40343347639484978</v>
      </c>
      <c r="G43" s="813"/>
      <c r="I43" s="758" t="s">
        <v>95</v>
      </c>
      <c r="J43" s="756">
        <f t="shared" si="19"/>
        <v>4.2918454935622317E-3</v>
      </c>
      <c r="M43" s="758" t="s">
        <v>95</v>
      </c>
      <c r="N43" s="756">
        <f t="shared" si="20"/>
        <v>8.5836909871244635E-2</v>
      </c>
      <c r="O43" s="756"/>
      <c r="Q43" s="758" t="s">
        <v>95</v>
      </c>
      <c r="R43" s="756">
        <f t="shared" si="21"/>
        <v>1</v>
      </c>
      <c r="S43" s="756"/>
    </row>
    <row r="44" spans="1:21" hidden="1">
      <c r="A44" s="758" t="s">
        <v>96</v>
      </c>
      <c r="B44" s="756">
        <f t="shared" si="17"/>
        <v>0.67100977198697065</v>
      </c>
      <c r="C44" s="815"/>
      <c r="D44" s="12"/>
      <c r="E44" s="758" t="s">
        <v>96</v>
      </c>
      <c r="F44" s="756">
        <f t="shared" si="18"/>
        <v>0.30293159609120524</v>
      </c>
      <c r="G44" s="813"/>
      <c r="I44" s="758" t="s">
        <v>96</v>
      </c>
      <c r="J44" s="756">
        <f t="shared" si="19"/>
        <v>0</v>
      </c>
      <c r="M44" s="758" t="s">
        <v>96</v>
      </c>
      <c r="N44" s="756">
        <f t="shared" si="20"/>
        <v>2.6058631921824105E-2</v>
      </c>
      <c r="O44" s="756"/>
      <c r="Q44" s="758" t="s">
        <v>96</v>
      </c>
      <c r="R44" s="756">
        <f t="shared" si="21"/>
        <v>1</v>
      </c>
      <c r="S44" s="756"/>
    </row>
    <row r="45" spans="1:21" hidden="1">
      <c r="A45" s="758" t="s">
        <v>99</v>
      </c>
      <c r="B45" s="756">
        <f t="shared" si="17"/>
        <v>0.61119515885022691</v>
      </c>
      <c r="C45" s="815"/>
      <c r="D45" s="12"/>
      <c r="E45" s="758" t="s">
        <v>99</v>
      </c>
      <c r="F45" s="756">
        <f t="shared" si="18"/>
        <v>0.30559757942511345</v>
      </c>
      <c r="G45" s="12"/>
      <c r="I45" s="758" t="s">
        <v>99</v>
      </c>
      <c r="J45" s="756">
        <f t="shared" si="19"/>
        <v>1.588502269288956E-2</v>
      </c>
      <c r="M45" s="758" t="s">
        <v>99</v>
      </c>
      <c r="N45" s="756">
        <f t="shared" si="20"/>
        <v>6.7322239031770051E-2</v>
      </c>
      <c r="O45" s="756"/>
      <c r="Q45" s="758" t="s">
        <v>99</v>
      </c>
      <c r="R45" s="756">
        <f t="shared" si="21"/>
        <v>1</v>
      </c>
      <c r="S45" s="756"/>
    </row>
    <row r="46" spans="1:21" hidden="1">
      <c r="A46" s="758" t="s">
        <v>98</v>
      </c>
      <c r="B46" s="756">
        <f t="shared" si="17"/>
        <v>0.24675324675324675</v>
      </c>
      <c r="C46" s="815"/>
      <c r="D46" s="12"/>
      <c r="E46" s="758" t="s">
        <v>98</v>
      </c>
      <c r="F46" s="756">
        <f t="shared" si="18"/>
        <v>0.7116883116883117</v>
      </c>
      <c r="G46" s="12"/>
      <c r="I46" s="758" t="s">
        <v>98</v>
      </c>
      <c r="J46" s="756">
        <f t="shared" si="19"/>
        <v>1.038961038961039E-2</v>
      </c>
      <c r="M46" s="758" t="s">
        <v>98</v>
      </c>
      <c r="N46" s="756">
        <f t="shared" si="20"/>
        <v>3.1168831168831169E-2</v>
      </c>
      <c r="O46" s="756"/>
      <c r="Q46" s="758" t="s">
        <v>98</v>
      </c>
      <c r="R46" s="756">
        <f t="shared" si="21"/>
        <v>1</v>
      </c>
      <c r="S46" s="756"/>
    </row>
    <row r="47" spans="1:21" hidden="1">
      <c r="A47" s="758" t="s">
        <v>97</v>
      </c>
      <c r="B47" s="756">
        <f t="shared" si="17"/>
        <v>0.11190476190476191</v>
      </c>
      <c r="C47" s="815"/>
      <c r="D47" s="12"/>
      <c r="E47" s="758" t="s">
        <v>97</v>
      </c>
      <c r="F47" s="756">
        <f t="shared" si="18"/>
        <v>0.85238095238095235</v>
      </c>
      <c r="G47" s="12"/>
      <c r="I47" s="758" t="s">
        <v>97</v>
      </c>
      <c r="J47" s="756">
        <f t="shared" si="19"/>
        <v>1.4285714285714285E-2</v>
      </c>
      <c r="M47" s="758" t="s">
        <v>97</v>
      </c>
      <c r="N47" s="756">
        <f t="shared" si="20"/>
        <v>2.1428571428571429E-2</v>
      </c>
      <c r="O47" s="756"/>
      <c r="Q47" s="758" t="s">
        <v>97</v>
      </c>
      <c r="R47" s="756">
        <f t="shared" si="21"/>
        <v>1</v>
      </c>
      <c r="S47" s="756"/>
    </row>
    <row r="48" spans="1:21" hidden="1">
      <c r="A48" s="707" t="s">
        <v>100</v>
      </c>
      <c r="B48" s="756">
        <f t="shared" si="17"/>
        <v>0.53051643192488263</v>
      </c>
      <c r="E48" s="707" t="s">
        <v>100</v>
      </c>
      <c r="F48" s="756">
        <f t="shared" si="18"/>
        <v>0.30985915492957744</v>
      </c>
      <c r="I48" s="707" t="s">
        <v>100</v>
      </c>
      <c r="J48" s="756">
        <f t="shared" si="19"/>
        <v>1.4084507042253521E-2</v>
      </c>
      <c r="M48" s="707" t="s">
        <v>100</v>
      </c>
      <c r="N48" s="756">
        <f t="shared" si="20"/>
        <v>0.14553990610328638</v>
      </c>
      <c r="O48" s="756"/>
      <c r="Q48" s="707" t="s">
        <v>100</v>
      </c>
      <c r="R48" s="756">
        <f t="shared" si="21"/>
        <v>1</v>
      </c>
      <c r="S48" s="756"/>
    </row>
    <row r="49" spans="1:19" hidden="1">
      <c r="A49" s="274" t="s">
        <v>101</v>
      </c>
      <c r="B49" s="756">
        <f t="shared" si="17"/>
        <v>0.5252525252525253</v>
      </c>
      <c r="E49" s="274" t="s">
        <v>101</v>
      </c>
      <c r="F49" s="756">
        <f t="shared" si="18"/>
        <v>0.39393939393939392</v>
      </c>
      <c r="I49" s="274" t="s">
        <v>101</v>
      </c>
      <c r="J49" s="756">
        <f t="shared" si="19"/>
        <v>0</v>
      </c>
      <c r="M49" s="274" t="s">
        <v>101</v>
      </c>
      <c r="N49" s="756">
        <f t="shared" si="20"/>
        <v>8.0808080808080815E-2</v>
      </c>
      <c r="O49" s="756"/>
      <c r="Q49" s="274" t="s">
        <v>101</v>
      </c>
      <c r="R49" s="756">
        <f t="shared" si="21"/>
        <v>1</v>
      </c>
      <c r="S49" s="756"/>
    </row>
    <row r="50" spans="1:19" hidden="1">
      <c r="A50" s="274" t="s">
        <v>103</v>
      </c>
      <c r="B50" s="756">
        <f t="shared" si="17"/>
        <v>0.53508771929824561</v>
      </c>
      <c r="E50" s="274" t="s">
        <v>103</v>
      </c>
      <c r="F50" s="756">
        <f t="shared" si="18"/>
        <v>0.40935672514619881</v>
      </c>
      <c r="I50" s="274" t="s">
        <v>103</v>
      </c>
      <c r="J50" s="756">
        <f t="shared" si="19"/>
        <v>0</v>
      </c>
      <c r="M50" s="274" t="s">
        <v>103</v>
      </c>
      <c r="N50" s="756">
        <f t="shared" si="20"/>
        <v>5.5555555555555552E-2</v>
      </c>
      <c r="O50" s="756"/>
      <c r="Q50" s="274" t="s">
        <v>103</v>
      </c>
      <c r="R50" s="756">
        <f t="shared" si="21"/>
        <v>1</v>
      </c>
      <c r="S50" s="756"/>
    </row>
    <row r="51" spans="1:19" hidden="1">
      <c r="A51" s="274" t="s">
        <v>104</v>
      </c>
      <c r="B51" s="756">
        <f t="shared" si="17"/>
        <v>0.592741935483871</v>
      </c>
      <c r="E51" s="274" t="s">
        <v>104</v>
      </c>
      <c r="F51" s="756">
        <f t="shared" si="18"/>
        <v>7.2580645161290328E-2</v>
      </c>
      <c r="I51" s="274" t="s">
        <v>104</v>
      </c>
      <c r="J51" s="756">
        <f t="shared" si="19"/>
        <v>0.10080645161290322</v>
      </c>
      <c r="M51" s="274" t="s">
        <v>104</v>
      </c>
      <c r="N51" s="756">
        <f t="shared" si="20"/>
        <v>0.23387096774193547</v>
      </c>
      <c r="O51" s="756"/>
      <c r="Q51" s="274" t="s">
        <v>104</v>
      </c>
      <c r="R51" s="756">
        <f t="shared" si="21"/>
        <v>1</v>
      </c>
      <c r="S51" s="756"/>
    </row>
    <row r="52" spans="1:19" hidden="1">
      <c r="A52" s="274" t="s">
        <v>102</v>
      </c>
      <c r="B52" s="756">
        <f t="shared" si="17"/>
        <v>0.45131505316172355</v>
      </c>
      <c r="E52" s="274" t="s">
        <v>102</v>
      </c>
      <c r="F52" s="756">
        <f t="shared" si="18"/>
        <v>0.51371012870733068</v>
      </c>
      <c r="I52" s="274" t="s">
        <v>102</v>
      </c>
      <c r="J52" s="756">
        <f t="shared" si="19"/>
        <v>3.0777839955232235E-3</v>
      </c>
      <c r="M52" s="274" t="s">
        <v>102</v>
      </c>
      <c r="N52" s="756">
        <f t="shared" si="20"/>
        <v>3.1897034135422497E-2</v>
      </c>
      <c r="O52" s="756"/>
      <c r="Q52" s="274" t="s">
        <v>102</v>
      </c>
      <c r="R52" s="756">
        <f t="shared" si="21"/>
        <v>1</v>
      </c>
      <c r="S52" s="756"/>
    </row>
    <row r="53" spans="1:19" hidden="1">
      <c r="A53" s="274" t="s">
        <v>105</v>
      </c>
      <c r="B53" s="756">
        <f t="shared" si="17"/>
        <v>0.56806282722513091</v>
      </c>
      <c r="E53" s="274" t="s">
        <v>105</v>
      </c>
      <c r="F53" s="756">
        <f t="shared" si="18"/>
        <v>0.3219895287958115</v>
      </c>
      <c r="I53" s="274" t="s">
        <v>105</v>
      </c>
      <c r="J53" s="756">
        <f t="shared" si="19"/>
        <v>7.8534031413612562E-3</v>
      </c>
      <c r="M53" s="274" t="s">
        <v>105</v>
      </c>
      <c r="N53" s="756">
        <f t="shared" si="20"/>
        <v>0.10209424083769633</v>
      </c>
      <c r="O53" s="756"/>
      <c r="Q53" s="274" t="s">
        <v>105</v>
      </c>
      <c r="R53" s="756">
        <f t="shared" si="21"/>
        <v>1</v>
      </c>
      <c r="S53" s="756"/>
    </row>
    <row r="54" spans="1:19" hidden="1">
      <c r="A54" s="274" t="s">
        <v>106</v>
      </c>
      <c r="B54" s="756">
        <f t="shared" si="17"/>
        <v>0.29741379310344829</v>
      </c>
      <c r="E54" s="274" t="s">
        <v>106</v>
      </c>
      <c r="F54" s="756">
        <f t="shared" si="18"/>
        <v>0.64224137931034486</v>
      </c>
      <c r="I54" s="274" t="s">
        <v>106</v>
      </c>
      <c r="J54" s="756">
        <f t="shared" si="19"/>
        <v>8.6206896551724137E-3</v>
      </c>
      <c r="M54" s="274" t="s">
        <v>106</v>
      </c>
      <c r="N54" s="756">
        <f t="shared" si="20"/>
        <v>5.1724137931034482E-2</v>
      </c>
      <c r="O54" s="756"/>
      <c r="Q54" s="274" t="s">
        <v>106</v>
      </c>
      <c r="R54" s="756">
        <f t="shared" si="21"/>
        <v>1</v>
      </c>
      <c r="S54" s="756"/>
    </row>
    <row r="55" spans="1:19" hidden="1">
      <c r="A55" s="274" t="s">
        <v>108</v>
      </c>
      <c r="B55" s="756">
        <f t="shared" si="17"/>
        <v>0.18478260869565216</v>
      </c>
      <c r="E55" s="274" t="s">
        <v>108</v>
      </c>
      <c r="F55" s="756">
        <f t="shared" si="18"/>
        <v>0.73913043478260865</v>
      </c>
      <c r="I55" s="274" t="s">
        <v>108</v>
      </c>
      <c r="J55" s="756">
        <f t="shared" si="19"/>
        <v>1.0869565217391304E-2</v>
      </c>
      <c r="M55" s="274" t="s">
        <v>108</v>
      </c>
      <c r="N55" s="756">
        <f t="shared" si="20"/>
        <v>6.5217391304347824E-2</v>
      </c>
      <c r="O55" s="756"/>
      <c r="Q55" s="274" t="s">
        <v>108</v>
      </c>
      <c r="R55" s="756">
        <f t="shared" si="21"/>
        <v>1</v>
      </c>
      <c r="S55" s="756"/>
    </row>
    <row r="56" spans="1:19" hidden="1">
      <c r="A56" s="274" t="s">
        <v>109</v>
      </c>
      <c r="B56" s="756">
        <f>IFERROR(B25/$R25,0)</f>
        <v>0.6470588235294118</v>
      </c>
      <c r="E56" s="274" t="s">
        <v>109</v>
      </c>
      <c r="F56" s="756">
        <f>IFERROR(F25/$R25,0)</f>
        <v>0.17647058823529413</v>
      </c>
      <c r="I56" s="274" t="s">
        <v>109</v>
      </c>
      <c r="J56" s="756">
        <f>IFERROR(J25/$R25,0)</f>
        <v>5.8823529411764705E-2</v>
      </c>
      <c r="M56" s="274" t="s">
        <v>109</v>
      </c>
      <c r="N56" s="756">
        <f>IFERROR(N25/$R25,0)</f>
        <v>0.11764705882352941</v>
      </c>
      <c r="O56" s="756"/>
      <c r="Q56" s="274" t="s">
        <v>109</v>
      </c>
      <c r="R56" s="756">
        <f>IFERROR(R25/$R25,0)</f>
        <v>1</v>
      </c>
      <c r="S56" s="756"/>
    </row>
    <row r="57" spans="1:19" hidden="1">
      <c r="A57" s="274" t="s">
        <v>107</v>
      </c>
      <c r="B57" s="756">
        <f t="shared" si="17"/>
        <v>0.53603391427225622</v>
      </c>
      <c r="E57" s="274" t="s">
        <v>107</v>
      </c>
      <c r="F57" s="756">
        <f t="shared" si="18"/>
        <v>0.41733396137541218</v>
      </c>
      <c r="I57" s="274" t="s">
        <v>107</v>
      </c>
      <c r="J57" s="756">
        <f t="shared" si="19"/>
        <v>5.6523787093735282E-3</v>
      </c>
      <c r="M57" s="274" t="s">
        <v>107</v>
      </c>
      <c r="N57" s="756">
        <f t="shared" si="20"/>
        <v>4.0979745642958081E-2</v>
      </c>
      <c r="O57" s="756"/>
      <c r="Q57" s="274" t="s">
        <v>107</v>
      </c>
      <c r="R57" s="756">
        <f t="shared" si="21"/>
        <v>1</v>
      </c>
      <c r="S57" s="756"/>
    </row>
    <row r="58" spans="1:19" hidden="1">
      <c r="A58" s="274" t="s">
        <v>110</v>
      </c>
      <c r="B58" s="756">
        <f t="shared" si="17"/>
        <v>0.43818632660290469</v>
      </c>
      <c r="E58" s="274" t="s">
        <v>110</v>
      </c>
      <c r="F58" s="756">
        <f t="shared" si="18"/>
        <v>0.42507970244420828</v>
      </c>
      <c r="I58" s="274" t="s">
        <v>110</v>
      </c>
      <c r="J58" s="756">
        <f t="shared" si="19"/>
        <v>4.8175699610343604E-2</v>
      </c>
      <c r="M58" s="274" t="s">
        <v>110</v>
      </c>
      <c r="N58" s="756">
        <f t="shared" si="20"/>
        <v>8.855827134254339E-2</v>
      </c>
      <c r="O58" s="756"/>
      <c r="Q58" s="274" t="s">
        <v>110</v>
      </c>
      <c r="R58" s="756">
        <f t="shared" si="21"/>
        <v>1</v>
      </c>
      <c r="S58" s="756"/>
    </row>
    <row r="59" spans="1:19" hidden="1">
      <c r="A59" s="274" t="s">
        <v>112</v>
      </c>
      <c r="B59" s="756">
        <f t="shared" si="17"/>
        <v>0.64238410596026485</v>
      </c>
      <c r="E59" s="274" t="s">
        <v>112</v>
      </c>
      <c r="F59" s="756">
        <f t="shared" si="18"/>
        <v>0.33112582781456956</v>
      </c>
      <c r="I59" s="274" t="s">
        <v>112</v>
      </c>
      <c r="J59" s="756">
        <f t="shared" si="19"/>
        <v>0</v>
      </c>
      <c r="M59" s="274" t="s">
        <v>112</v>
      </c>
      <c r="N59" s="756">
        <f t="shared" si="20"/>
        <v>2.6490066225165563E-2</v>
      </c>
      <c r="O59" s="756"/>
      <c r="Q59" s="274" t="s">
        <v>112</v>
      </c>
      <c r="R59" s="756">
        <f t="shared" si="21"/>
        <v>1</v>
      </c>
      <c r="S59" s="756"/>
    </row>
    <row r="60" spans="1:19" hidden="1">
      <c r="A60" s="274" t="s">
        <v>111</v>
      </c>
      <c r="B60" s="756">
        <f t="shared" si="17"/>
        <v>0.67951102843475952</v>
      </c>
      <c r="E60" s="274" t="s">
        <v>111</v>
      </c>
      <c r="F60" s="756">
        <f t="shared" si="18"/>
        <v>0.26893436088227479</v>
      </c>
      <c r="I60" s="274" t="s">
        <v>111</v>
      </c>
      <c r="J60" s="756">
        <f t="shared" si="19"/>
        <v>3.7204358224820623E-3</v>
      </c>
      <c r="M60" s="274" t="s">
        <v>111</v>
      </c>
      <c r="N60" s="756">
        <f t="shared" si="20"/>
        <v>4.7834174860483657E-2</v>
      </c>
      <c r="O60" s="756"/>
      <c r="Q60" s="274" t="s">
        <v>111</v>
      </c>
      <c r="R60" s="756">
        <f t="shared" si="21"/>
        <v>1</v>
      </c>
      <c r="S60" s="756"/>
    </row>
    <row r="61" spans="1:19" hidden="1">
      <c r="A61" s="274" t="s">
        <v>113</v>
      </c>
      <c r="B61" s="756">
        <f>IFERROR(B30/$R30,0)</f>
        <v>0.54545454545454541</v>
      </c>
      <c r="E61" s="274" t="s">
        <v>113</v>
      </c>
      <c r="F61" s="756">
        <f>IFERROR(F30/$R30,0)</f>
        <v>0.18181818181818182</v>
      </c>
      <c r="I61" s="274" t="s">
        <v>113</v>
      </c>
      <c r="J61" s="756">
        <f>IFERROR(J30/$R30,0)</f>
        <v>0</v>
      </c>
      <c r="M61" s="274" t="s">
        <v>113</v>
      </c>
      <c r="N61" s="756">
        <f>IFERROR(N30/$R30,0)</f>
        <v>0.27272727272727271</v>
      </c>
      <c r="O61" s="756"/>
      <c r="Q61" s="274" t="s">
        <v>113</v>
      </c>
      <c r="R61" s="756">
        <f>IFERROR(R30/$R30,0)</f>
        <v>1</v>
      </c>
      <c r="S61" s="756"/>
    </row>
    <row r="62" spans="1:19" hidden="1"/>
    <row r="63" spans="1:19" hidden="1"/>
    <row r="64" spans="1:19" hidden="1"/>
    <row r="65" spans="2:14">
      <c r="B65" s="816">
        <f>B31-B32</f>
        <v>0</v>
      </c>
      <c r="F65" s="816">
        <f>F31-F32</f>
        <v>0</v>
      </c>
      <c r="J65" s="816">
        <f>J31-J32</f>
        <v>0</v>
      </c>
      <c r="N65" s="816">
        <f>N31-N32</f>
        <v>0</v>
      </c>
    </row>
  </sheetData>
  <sortState ref="V15:X18">
    <sortCondition descending="1" ref="X15:X18"/>
  </sortState>
  <mergeCells count="11">
    <mergeCell ref="Y13:Y19"/>
    <mergeCell ref="V3:X3"/>
    <mergeCell ref="V13:X13"/>
    <mergeCell ref="A1:S1"/>
    <mergeCell ref="A2:A3"/>
    <mergeCell ref="B2:E2"/>
    <mergeCell ref="F2:I2"/>
    <mergeCell ref="J2:M2"/>
    <mergeCell ref="N2:Q2"/>
    <mergeCell ref="R2:R3"/>
    <mergeCell ref="S2:S3"/>
  </mergeCells>
  <conditionalFormatting sqref="G33">
    <cfRule type="cellIs" dxfId="20" priority="3" operator="equal">
      <formula>TRUE</formula>
    </cfRule>
  </conditionalFormatting>
  <conditionalFormatting sqref="K33">
    <cfRule type="cellIs" dxfId="19" priority="2" operator="equal">
      <formula>TRUE</formula>
    </cfRule>
  </conditionalFormatting>
  <conditionalFormatting sqref="O33">
    <cfRule type="cellIs" dxfId="18" priority="1" operator="equal">
      <formula>TRUE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theme="6" tint="0.39997558519241921"/>
  </sheetPr>
  <dimension ref="A1:BB61"/>
  <sheetViews>
    <sheetView showGridLines="0" topLeftCell="O1" zoomScale="80" zoomScaleNormal="80" workbookViewId="0">
      <selection sqref="A1:AC1"/>
    </sheetView>
  </sheetViews>
  <sheetFormatPr defaultRowHeight="15"/>
  <cols>
    <col min="1" max="1" width="8.5703125" style="253" bestFit="1" customWidth="1"/>
    <col min="2" max="2" width="12.5703125" style="253" hidden="1" customWidth="1"/>
    <col min="3" max="3" width="7.7109375" style="253" bestFit="1" customWidth="1"/>
    <col min="4" max="4" width="12.5703125" style="253" customWidth="1"/>
    <col min="5" max="5" width="9.7109375" style="253" bestFit="1" customWidth="1"/>
    <col min="6" max="6" width="12.5703125" style="253" hidden="1" customWidth="1"/>
    <col min="7" max="7" width="7.7109375" style="253" bestFit="1" customWidth="1"/>
    <col min="8" max="8" width="12.5703125" style="253" customWidth="1"/>
    <col min="9" max="9" width="9.7109375" style="253" bestFit="1" customWidth="1"/>
    <col min="10" max="10" width="12.5703125" style="253" hidden="1" customWidth="1"/>
    <col min="11" max="11" width="8.7109375" style="253" bestFit="1" customWidth="1"/>
    <col min="12" max="12" width="12.5703125" style="253" customWidth="1"/>
    <col min="13" max="13" width="9.7109375" style="253" bestFit="1" customWidth="1"/>
    <col min="14" max="14" width="12.5703125" style="253" hidden="1" customWidth="1"/>
    <col min="15" max="15" width="9.7109375" style="253" bestFit="1" customWidth="1"/>
    <col min="16" max="16" width="12.5703125" style="253" customWidth="1"/>
    <col min="17" max="17" width="9.7109375" style="253" bestFit="1" customWidth="1"/>
    <col min="18" max="18" width="12.5703125" style="253" hidden="1" customWidth="1"/>
    <col min="19" max="19" width="7.7109375" style="253" bestFit="1" customWidth="1"/>
    <col min="20" max="20" width="12.5703125" style="253" customWidth="1"/>
    <col min="21" max="21" width="9.7109375" style="253" bestFit="1" customWidth="1"/>
    <col min="22" max="22" width="12.5703125" style="253" hidden="1" customWidth="1"/>
    <col min="23" max="23" width="7.7109375" style="253" bestFit="1" customWidth="1"/>
    <col min="24" max="24" width="12.5703125" style="253" customWidth="1"/>
    <col min="25" max="25" width="9.7109375" style="253" bestFit="1" customWidth="1"/>
    <col min="26" max="26" width="13.42578125" style="253" hidden="1" customWidth="1"/>
    <col min="27" max="27" width="9.140625" style="253" bestFit="1" customWidth="1"/>
    <col min="28" max="28" width="12.5703125" style="253" customWidth="1"/>
    <col min="29" max="29" width="9.7109375" style="253" bestFit="1" customWidth="1"/>
    <col min="30" max="30" width="12.5703125" style="253" hidden="1" customWidth="1"/>
    <col min="31" max="31" width="7.7109375" style="253" bestFit="1" customWidth="1"/>
    <col min="32" max="32" width="12.5703125" style="253" customWidth="1"/>
    <col min="33" max="33" width="9.7109375" style="253" bestFit="1" customWidth="1"/>
    <col min="34" max="34" width="12.5703125" style="253" hidden="1" customWidth="1"/>
    <col min="35" max="35" width="7.7109375" style="253" bestFit="1" customWidth="1"/>
    <col min="36" max="36" width="12.5703125" style="253" customWidth="1"/>
    <col min="37" max="37" width="9.7109375" style="253" bestFit="1" customWidth="1"/>
    <col min="38" max="38" width="12.5703125" style="253" hidden="1" customWidth="1"/>
    <col min="39" max="39" width="7.7109375" style="253" bestFit="1" customWidth="1"/>
    <col min="40" max="40" width="12.5703125" style="253" customWidth="1"/>
    <col min="41" max="41" width="9.7109375" style="253" bestFit="1" customWidth="1"/>
    <col min="42" max="42" width="12.5703125" style="253" hidden="1" customWidth="1"/>
    <col min="43" max="43" width="7.7109375" style="253" bestFit="1" customWidth="1"/>
    <col min="44" max="44" width="12.5703125" style="253" customWidth="1"/>
    <col min="45" max="45" width="9.7109375" style="253" bestFit="1" customWidth="1"/>
    <col min="46" max="46" width="14.140625" style="253" hidden="1" customWidth="1"/>
    <col min="47" max="47" width="11.28515625" style="253" bestFit="1" customWidth="1"/>
    <col min="48" max="48" width="10.28515625" style="723" bestFit="1" customWidth="1"/>
    <col min="49" max="49" width="6.140625" style="12" bestFit="1" customWidth="1"/>
    <col min="50" max="50" width="27" style="253" bestFit="1" customWidth="1"/>
    <col min="51" max="51" width="12.28515625" style="253" customWidth="1"/>
    <col min="52" max="52" width="11.42578125" style="253" customWidth="1"/>
    <col min="53" max="53" width="0" style="253" hidden="1" customWidth="1"/>
    <col min="54" max="54" width="16.42578125" style="253" customWidth="1"/>
    <col min="55" max="16384" width="9.140625" style="253"/>
  </cols>
  <sheetData>
    <row r="1" spans="1:52" ht="15.75" customHeight="1" thickBot="1">
      <c r="A1" s="1489" t="s">
        <v>660</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1489"/>
      <c r="AO1" s="1489"/>
      <c r="AP1" s="1489"/>
      <c r="AQ1" s="1489"/>
      <c r="AR1" s="1489"/>
      <c r="AS1" s="1489"/>
      <c r="AT1" s="1489"/>
      <c r="AU1" s="817"/>
    </row>
    <row r="2" spans="1:52" ht="34.5" customHeight="1" thickTop="1" thickBot="1">
      <c r="A2" s="1490" t="s">
        <v>182</v>
      </c>
      <c r="B2" s="1492" t="s">
        <v>661</v>
      </c>
      <c r="C2" s="1492"/>
      <c r="D2" s="1492"/>
      <c r="E2" s="1493"/>
      <c r="F2" s="1492" t="s">
        <v>662</v>
      </c>
      <c r="G2" s="1492"/>
      <c r="H2" s="1492"/>
      <c r="I2" s="1493"/>
      <c r="J2" s="1492" t="s">
        <v>663</v>
      </c>
      <c r="K2" s="1492"/>
      <c r="L2" s="1492"/>
      <c r="M2" s="1493"/>
      <c r="N2" s="1492" t="s">
        <v>664</v>
      </c>
      <c r="O2" s="1492"/>
      <c r="P2" s="1492"/>
      <c r="Q2" s="1493"/>
      <c r="R2" s="1492" t="s">
        <v>665</v>
      </c>
      <c r="S2" s="1492"/>
      <c r="T2" s="1492"/>
      <c r="U2" s="1493"/>
      <c r="V2" s="1492" t="s">
        <v>666</v>
      </c>
      <c r="W2" s="1492"/>
      <c r="X2" s="1492"/>
      <c r="Y2" s="1493"/>
      <c r="Z2" s="1492" t="s">
        <v>667</v>
      </c>
      <c r="AA2" s="1492"/>
      <c r="AB2" s="1492"/>
      <c r="AC2" s="1493"/>
      <c r="AD2" s="1492" t="s">
        <v>668</v>
      </c>
      <c r="AE2" s="1492"/>
      <c r="AF2" s="1492"/>
      <c r="AG2" s="1493"/>
      <c r="AH2" s="1492" t="s">
        <v>669</v>
      </c>
      <c r="AI2" s="1492"/>
      <c r="AJ2" s="1492"/>
      <c r="AK2" s="1493"/>
      <c r="AL2" s="1492" t="s">
        <v>670</v>
      </c>
      <c r="AM2" s="1492"/>
      <c r="AN2" s="1492"/>
      <c r="AO2" s="1493"/>
      <c r="AP2" s="1492" t="s">
        <v>671</v>
      </c>
      <c r="AQ2" s="1492"/>
      <c r="AR2" s="1492"/>
      <c r="AS2" s="1493"/>
      <c r="AT2" s="1470" t="s">
        <v>646</v>
      </c>
      <c r="AU2" s="1484" t="s">
        <v>34</v>
      </c>
    </row>
    <row r="3" spans="1:52" s="820" customFormat="1" ht="45" customHeight="1" thickBot="1">
      <c r="A3" s="1491"/>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726" t="s">
        <v>636</v>
      </c>
      <c r="S3" s="727" t="s">
        <v>637</v>
      </c>
      <c r="T3" s="727" t="s">
        <v>638</v>
      </c>
      <c r="U3" s="727" t="s">
        <v>639</v>
      </c>
      <c r="V3" s="726" t="s">
        <v>636</v>
      </c>
      <c r="W3" s="727" t="s">
        <v>637</v>
      </c>
      <c r="X3" s="727" t="s">
        <v>638</v>
      </c>
      <c r="Y3" s="727" t="s">
        <v>639</v>
      </c>
      <c r="Z3" s="726" t="s">
        <v>636</v>
      </c>
      <c r="AA3" s="727" t="s">
        <v>637</v>
      </c>
      <c r="AB3" s="727" t="s">
        <v>638</v>
      </c>
      <c r="AC3" s="727" t="s">
        <v>639</v>
      </c>
      <c r="AD3" s="726" t="s">
        <v>636</v>
      </c>
      <c r="AE3" s="727" t="s">
        <v>637</v>
      </c>
      <c r="AF3" s="727" t="s">
        <v>638</v>
      </c>
      <c r="AG3" s="727" t="s">
        <v>639</v>
      </c>
      <c r="AH3" s="726" t="s">
        <v>636</v>
      </c>
      <c r="AI3" s="727" t="s">
        <v>637</v>
      </c>
      <c r="AJ3" s="727" t="s">
        <v>638</v>
      </c>
      <c r="AK3" s="727" t="s">
        <v>639</v>
      </c>
      <c r="AL3" s="726" t="s">
        <v>636</v>
      </c>
      <c r="AM3" s="727" t="s">
        <v>637</v>
      </c>
      <c r="AN3" s="727" t="s">
        <v>638</v>
      </c>
      <c r="AO3" s="727" t="s">
        <v>639</v>
      </c>
      <c r="AP3" s="726" t="s">
        <v>636</v>
      </c>
      <c r="AQ3" s="727" t="s">
        <v>637</v>
      </c>
      <c r="AR3" s="727" t="s">
        <v>638</v>
      </c>
      <c r="AS3" s="727" t="s">
        <v>639</v>
      </c>
      <c r="AT3" s="1471" t="s">
        <v>637</v>
      </c>
      <c r="AU3" s="1485" t="s">
        <v>637</v>
      </c>
      <c r="AV3" s="818"/>
      <c r="AW3" s="819"/>
      <c r="AX3" s="1486" t="s">
        <v>640</v>
      </c>
      <c r="AY3" s="1486"/>
      <c r="AZ3" s="1486"/>
    </row>
    <row r="4" spans="1:52" s="323" customFormat="1" ht="16.5" thickTop="1">
      <c r="A4" s="821" t="s">
        <v>87</v>
      </c>
      <c r="B4" s="822">
        <f>'RRT - Subgrupo - IGEO'!CQ3</f>
        <v>5</v>
      </c>
      <c r="C4" s="823">
        <f>$AU4*B35</f>
        <v>3.4933645589383291</v>
      </c>
      <c r="D4" s="824">
        <f>IFERROR(C4/C$31*100,)</f>
        <v>0.14808730271286208</v>
      </c>
      <c r="E4" s="825">
        <f>IFERROR((C4/$AU4)*100,0)</f>
        <v>6.8493150684931505</v>
      </c>
      <c r="F4" s="822">
        <f>'RRT - Subgrupo - IGEO'!CT3</f>
        <v>9</v>
      </c>
      <c r="G4" s="823">
        <f>$AU4*F35</f>
        <v>6.2880562060889922</v>
      </c>
      <c r="H4" s="824">
        <f>IFERROR(G4/G$31*100,)</f>
        <v>0.44270941501870509</v>
      </c>
      <c r="I4" s="824">
        <f>IFERROR((G4/$AU4)*100,0)</f>
        <v>12.328767123287671</v>
      </c>
      <c r="J4" s="822">
        <f>'RRT - Subgrupo - IGEO'!CW3</f>
        <v>10</v>
      </c>
      <c r="K4" s="823">
        <f>$AU4*J35</f>
        <v>6.9867291178766582</v>
      </c>
      <c r="L4" s="824">
        <f>IFERROR(K4/K$31*100,)</f>
        <v>0.55735343819181693</v>
      </c>
      <c r="M4" s="824">
        <f>IFERROR((K4/$AU4)*100,0)</f>
        <v>13.698630136986301</v>
      </c>
      <c r="N4" s="822">
        <f>'RRT - Subgrupo - IGEO'!CZ3</f>
        <v>16</v>
      </c>
      <c r="O4" s="823">
        <f>$AU4*N35</f>
        <v>11.178766588602652</v>
      </c>
      <c r="P4" s="824">
        <f>IFERROR(O4/O$31*100,)</f>
        <v>6.5645524985362413E-2</v>
      </c>
      <c r="Q4" s="824">
        <f>IFERROR((O4/$AU4)*100,0)</f>
        <v>21.917808219178081</v>
      </c>
      <c r="R4" s="822">
        <f>'RRT - Subgrupo - IGEO'!DC3</f>
        <v>1</v>
      </c>
      <c r="S4" s="823">
        <f>$AU4*R35</f>
        <v>0.69867291178766577</v>
      </c>
      <c r="T4" s="824">
        <f>IFERROR(S4/S$31*100,)</f>
        <v>0.12636683683722436</v>
      </c>
      <c r="U4" s="824">
        <f>IFERROR((S4/$AU4)*100,0)</f>
        <v>1.3698630136986301</v>
      </c>
      <c r="V4" s="822">
        <f>'RRT - Subgrupo - IGEO'!DF3</f>
        <v>9</v>
      </c>
      <c r="W4" s="823">
        <f>$AU4*V35</f>
        <v>6.2880562060889922</v>
      </c>
      <c r="X4" s="824">
        <f>IFERROR(W4/W$31*100,)</f>
        <v>8.1793660497107623E-2</v>
      </c>
      <c r="Y4" s="824">
        <f>IFERROR((W4/$AU4)*100,0)</f>
        <v>12.328767123287671</v>
      </c>
      <c r="Z4" s="822">
        <f>'RRT - Subgrupo - IGEO'!DI3</f>
        <v>17</v>
      </c>
      <c r="AA4" s="823">
        <f>$AU4*Z35</f>
        <v>11.877439500390318</v>
      </c>
      <c r="AB4" s="824">
        <f>IFERROR(AA4/AA$31*100,)</f>
        <v>3.144371713431876E-2</v>
      </c>
      <c r="AC4" s="824">
        <f>IFERROR((AA4/$AU4)*100,0)</f>
        <v>23.287671232876711</v>
      </c>
      <c r="AD4" s="822">
        <f>'RRT - Subgrupo - IGEO'!DL3</f>
        <v>4</v>
      </c>
      <c r="AE4" s="823">
        <f>$AU4*AD35</f>
        <v>2.7946916471506631</v>
      </c>
      <c r="AF4" s="824">
        <f>IFERROR(AE4/AE$31*100,)</f>
        <v>7.3877732443719354E-2</v>
      </c>
      <c r="AG4" s="824">
        <f>IFERROR((AE4/$AU4)*100,0)</f>
        <v>5.4794520547945202</v>
      </c>
      <c r="AH4" s="822">
        <f>'RRT - Subgrupo - IGEO'!DO3</f>
        <v>0</v>
      </c>
      <c r="AI4" s="823">
        <f>$AU4*AH35</f>
        <v>0</v>
      </c>
      <c r="AJ4" s="824">
        <f>IFERROR(AI4/AI$31*100,)</f>
        <v>0</v>
      </c>
      <c r="AK4" s="824">
        <f>IFERROR((AI4/$AU4)*100,0)</f>
        <v>0</v>
      </c>
      <c r="AL4" s="822">
        <f>'RRT - Subgrupo - IGEO'!DR3</f>
        <v>0</v>
      </c>
      <c r="AM4" s="823">
        <f>$AU4*AL35</f>
        <v>0</v>
      </c>
      <c r="AN4" s="824">
        <f>IFERROR(AM4/AM$31*100,)</f>
        <v>0</v>
      </c>
      <c r="AO4" s="824">
        <f>IFERROR((AM4/$AU4)*100,0)</f>
        <v>0</v>
      </c>
      <c r="AP4" s="822">
        <f>'RRT - Subgrupo - IGEO'!DU3</f>
        <v>2</v>
      </c>
      <c r="AQ4" s="823">
        <f>$AU4*AP35</f>
        <v>1.3973458235753315</v>
      </c>
      <c r="AR4" s="824">
        <f>IFERROR(AQ4/AQ$31*100,)</f>
        <v>5.0120009287901508E-2</v>
      </c>
      <c r="AS4" s="824">
        <f>IFERROR((AQ4/$AU4)*100,0)</f>
        <v>2.7397260273972601</v>
      </c>
      <c r="AT4" s="822">
        <f>Z4+V4+R4+N4+J4+F4+B4+AD4+AH4+AL4+AP4</f>
        <v>73</v>
      </c>
      <c r="AU4" s="823">
        <f>'RRT - Atividades '!X3</f>
        <v>51.003122560499605</v>
      </c>
      <c r="AV4" s="826">
        <f>C4+G4+K4+O4+S4+W4+AA4+AE4+AI4+AM4+AQ4</f>
        <v>51.003122560499598</v>
      </c>
      <c r="AW4" s="826">
        <f>AU4-AV4</f>
        <v>0</v>
      </c>
      <c r="AX4" s="827" t="s">
        <v>613</v>
      </c>
      <c r="AY4" s="827" t="s">
        <v>614</v>
      </c>
      <c r="AZ4" s="1068" t="s">
        <v>423</v>
      </c>
    </row>
    <row r="5" spans="1:52" s="323" customFormat="1" ht="15.75">
      <c r="A5" s="828" t="s">
        <v>88</v>
      </c>
      <c r="B5" s="822">
        <f>'RRT - Subgrupo - IGEO'!CQ4</f>
        <v>5</v>
      </c>
      <c r="C5" s="823">
        <f t="shared" ref="C5:C30" si="0">$AU5*B36</f>
        <v>3.1353291151194642</v>
      </c>
      <c r="D5" s="824">
        <f t="shared" ref="D5:D30" si="1">IFERROR(C5/C$31*100,)</f>
        <v>0.13290981343105301</v>
      </c>
      <c r="E5" s="825">
        <f t="shared" ref="E5:E31" si="2">IFERROR((C5/$AU5)*100,0)</f>
        <v>1.179245283018868</v>
      </c>
      <c r="F5" s="822">
        <f>'RRT - Subgrupo - IGEO'!CT4</f>
        <v>27</v>
      </c>
      <c r="G5" s="823">
        <f t="shared" ref="G5:G30" si="3">$AU5*F36</f>
        <v>16.930777221645105</v>
      </c>
      <c r="H5" s="824">
        <f t="shared" ref="H5:H30" si="4">IFERROR(G5/G$31*100,)</f>
        <v>1.1920081872595847</v>
      </c>
      <c r="I5" s="824">
        <f t="shared" ref="I5:I31" si="5">IFERROR((G5/$AU5)*100,0)</f>
        <v>6.367924528301887</v>
      </c>
      <c r="J5" s="822">
        <f>'RRT - Subgrupo - IGEO'!CW4</f>
        <v>4</v>
      </c>
      <c r="K5" s="823">
        <f t="shared" ref="K5:K30" si="6">$AU5*J36</f>
        <v>2.5082632920955712</v>
      </c>
      <c r="L5" s="824">
        <f t="shared" ref="L5:L30" si="7">IFERROR(K5/K$31*100,)</f>
        <v>0.20009208116610883</v>
      </c>
      <c r="M5" s="824">
        <f t="shared" ref="M5:M31" si="8">IFERROR((K5/$AU5)*100,0)</f>
        <v>0.94339622641509435</v>
      </c>
      <c r="N5" s="822">
        <f>'RRT - Subgrupo - IGEO'!CZ4</f>
        <v>58</v>
      </c>
      <c r="O5" s="823">
        <f t="shared" ref="O5:O30" si="9">$AU5*N36</f>
        <v>36.36981773538578</v>
      </c>
      <c r="P5" s="824">
        <f t="shared" ref="P5:P30" si="10">IFERROR(O5/O$31*100,)</f>
        <v>0.21357595759227532</v>
      </c>
      <c r="Q5" s="824">
        <f t="shared" ref="Q5:Q31" si="11">IFERROR((O5/$AU5)*100,0)</f>
        <v>13.679245283018867</v>
      </c>
      <c r="R5" s="822">
        <f>'RRT - Subgrupo - IGEO'!DC4</f>
        <v>0</v>
      </c>
      <c r="S5" s="823">
        <f t="shared" ref="S5:S30" si="12">$AU5*R36</f>
        <v>0</v>
      </c>
      <c r="T5" s="824">
        <f t="shared" ref="T5:T30" si="13">IFERROR(S5/S$31*100,)</f>
        <v>0</v>
      </c>
      <c r="U5" s="824">
        <f t="shared" ref="U5:U31" si="14">IFERROR((S5/$AU5)*100,0)</f>
        <v>0</v>
      </c>
      <c r="V5" s="822">
        <f>'RRT - Subgrupo - IGEO'!DF4</f>
        <v>114</v>
      </c>
      <c r="W5" s="823">
        <f t="shared" ref="W5:W30" si="15">$AU5*V36</f>
        <v>71.485503824723779</v>
      </c>
      <c r="X5" s="824">
        <f t="shared" ref="X5:X30" si="16">IFERROR(W5/W$31*100,)</f>
        <v>0.92986780630907662</v>
      </c>
      <c r="Y5" s="824">
        <f t="shared" ref="Y5:Y31" si="17">IFERROR((W5/$AU5)*100,0)</f>
        <v>26.886792452830189</v>
      </c>
      <c r="Z5" s="822">
        <f>'RRT - Subgrupo - IGEO'!DI4</f>
        <v>150</v>
      </c>
      <c r="AA5" s="823">
        <f t="shared" ref="AA5:AA30" si="18">$AU5*Z36</f>
        <v>94.059873453583918</v>
      </c>
      <c r="AB5" s="824">
        <f t="shared" ref="AB5:AB30" si="19">IFERROR(AA5/AA$31*100,)</f>
        <v>0.24900922917495122</v>
      </c>
      <c r="AC5" s="824">
        <f t="shared" ref="AC5:AC31" si="20">IFERROR((AA5/$AU5)*100,0)</f>
        <v>35.377358490566039</v>
      </c>
      <c r="AD5" s="822">
        <f>'RRT - Subgrupo - IGEO'!DL4</f>
        <v>13</v>
      </c>
      <c r="AE5" s="823">
        <f t="shared" ref="AE5:AE30" si="21">$AU5*AD36</f>
        <v>8.1518556993106071</v>
      </c>
      <c r="AF5" s="824">
        <f t="shared" ref="AF5:AF30" si="22">IFERROR(AE5/AE$31*100,)</f>
        <v>0.21549447678333106</v>
      </c>
      <c r="AG5" s="824">
        <f t="shared" ref="AG5:AG31" si="23">IFERROR((AE5/$AU5)*100,0)</f>
        <v>3.0660377358490569</v>
      </c>
      <c r="AH5" s="822">
        <f>'RRT - Subgrupo - IGEO'!DO4</f>
        <v>0</v>
      </c>
      <c r="AI5" s="823">
        <f t="shared" ref="AI5:AI30" si="24">$AU5*AH36</f>
        <v>0</v>
      </c>
      <c r="AJ5" s="824">
        <f t="shared" ref="AJ5:AJ30" si="25">IFERROR(AI5/AI$31*100,)</f>
        <v>0</v>
      </c>
      <c r="AK5" s="824">
        <f t="shared" ref="AK5:AK31" si="26">IFERROR((AI5/$AU5)*100,0)</f>
        <v>0</v>
      </c>
      <c r="AL5" s="822">
        <f>'RRT - Subgrupo - IGEO'!DR4</f>
        <v>0</v>
      </c>
      <c r="AM5" s="823">
        <f t="shared" ref="AM5:AM30" si="27">$AU5*AL36</f>
        <v>0</v>
      </c>
      <c r="AN5" s="824">
        <f t="shared" ref="AN5:AN30" si="28">IFERROR(AM5/AM$31*100,)</f>
        <v>0</v>
      </c>
      <c r="AO5" s="824">
        <f t="shared" ref="AO5:AO31" si="29">IFERROR((AM5/$AU5)*100,0)</f>
        <v>0</v>
      </c>
      <c r="AP5" s="822">
        <f>'RRT - Subgrupo - IGEO'!DU4</f>
        <v>53</v>
      </c>
      <c r="AQ5" s="823">
        <f t="shared" ref="AQ5:AQ30" si="30">$AU5*AP36</f>
        <v>33.234488620266319</v>
      </c>
      <c r="AR5" s="824">
        <f t="shared" ref="AR5:AR30" si="31">IFERROR(AQ5/AQ$31*100,)</f>
        <v>1.1920548587352653</v>
      </c>
      <c r="AS5" s="824">
        <f t="shared" ref="AS5:AS31" si="32">IFERROR((AQ5/$AU5)*100,0)</f>
        <v>12.5</v>
      </c>
      <c r="AT5" s="822">
        <f t="shared" ref="AT5:AT30" si="33">Z5+V5+R5+N5+J5+F5+B5+AD5+AH5+AL5+AP5</f>
        <v>424</v>
      </c>
      <c r="AU5" s="823">
        <f>'RRT - Atividades '!X4</f>
        <v>265.87590896213055</v>
      </c>
      <c r="AV5" s="826">
        <f t="shared" ref="AV5:AV31" si="34">C5+G5+K5+O5+S5+W5+AA5+AE5+AI5+AM5+AQ5</f>
        <v>265.87590896213055</v>
      </c>
      <c r="AW5" s="826">
        <f t="shared" ref="AW5:AW31" si="35">AU5-AV5</f>
        <v>0</v>
      </c>
      <c r="AX5" s="829" t="str">
        <f>B2</f>
        <v>ASSESSORIA</v>
      </c>
      <c r="AY5" s="771">
        <f>C31</f>
        <v>2358.9899302250669</v>
      </c>
      <c r="AZ5" s="39">
        <f t="shared" ref="AZ5:AZ15" si="36">AY5/$AY$16</f>
        <v>3.157779124693192E-2</v>
      </c>
    </row>
    <row r="6" spans="1:52" s="323" customFormat="1" ht="15.75">
      <c r="A6" s="828" t="s">
        <v>90</v>
      </c>
      <c r="B6" s="822">
        <f>'RRT - Subgrupo - IGEO'!CQ5</f>
        <v>11</v>
      </c>
      <c r="C6" s="823">
        <f t="shared" si="0"/>
        <v>7.3459879206212264</v>
      </c>
      <c r="D6" s="824">
        <f t="shared" si="1"/>
        <v>0.31140395414576266</v>
      </c>
      <c r="E6" s="825">
        <f t="shared" si="2"/>
        <v>3.0303030303030303</v>
      </c>
      <c r="F6" s="822">
        <f>'RRT - Subgrupo - IGEO'!CT5</f>
        <v>13</v>
      </c>
      <c r="G6" s="823">
        <f t="shared" si="3"/>
        <v>8.6816220880069039</v>
      </c>
      <c r="H6" s="824">
        <f t="shared" si="4"/>
        <v>0.61122797093849812</v>
      </c>
      <c r="I6" s="824">
        <f t="shared" si="5"/>
        <v>3.5812672176308542</v>
      </c>
      <c r="J6" s="822">
        <f>'RRT - Subgrupo - IGEO'!CW5</f>
        <v>6</v>
      </c>
      <c r="K6" s="823">
        <f t="shared" si="6"/>
        <v>4.0069025021570326</v>
      </c>
      <c r="L6" s="824">
        <f t="shared" si="7"/>
        <v>0.31964326201834026</v>
      </c>
      <c r="M6" s="824">
        <f t="shared" si="8"/>
        <v>1.6528925619834711</v>
      </c>
      <c r="N6" s="822">
        <f>'RRT - Subgrupo - IGEO'!CZ5</f>
        <v>32</v>
      </c>
      <c r="O6" s="823">
        <f t="shared" si="9"/>
        <v>21.37014667817084</v>
      </c>
      <c r="P6" s="824">
        <f t="shared" si="10"/>
        <v>0.12549278013667522</v>
      </c>
      <c r="Q6" s="824">
        <f t="shared" si="11"/>
        <v>8.8154269972451793</v>
      </c>
      <c r="R6" s="822">
        <f>'RRT - Subgrupo - IGEO'!DC5</f>
        <v>4</v>
      </c>
      <c r="S6" s="823">
        <f t="shared" si="12"/>
        <v>2.6712683347713551</v>
      </c>
      <c r="T6" s="824">
        <f t="shared" si="13"/>
        <v>0.48314414959182489</v>
      </c>
      <c r="U6" s="824">
        <f t="shared" si="14"/>
        <v>1.1019283746556474</v>
      </c>
      <c r="V6" s="822">
        <f>'RRT - Subgrupo - IGEO'!DF5</f>
        <v>59</v>
      </c>
      <c r="W6" s="823">
        <f t="shared" si="15"/>
        <v>39.401207937877487</v>
      </c>
      <c r="X6" s="824">
        <f t="shared" si="16"/>
        <v>0.51252229935953009</v>
      </c>
      <c r="Y6" s="824">
        <f t="shared" si="17"/>
        <v>16.253443526170798</v>
      </c>
      <c r="Z6" s="822">
        <f>'RRT - Subgrupo - IGEO'!DI5</f>
        <v>203</v>
      </c>
      <c r="AA6" s="823">
        <f t="shared" si="18"/>
        <v>135.56686798964625</v>
      </c>
      <c r="AB6" s="824">
        <f t="shared" si="19"/>
        <v>0.3588926931357459</v>
      </c>
      <c r="AC6" s="824">
        <f t="shared" si="20"/>
        <v>55.9228650137741</v>
      </c>
      <c r="AD6" s="822">
        <f>'RRT - Subgrupo - IGEO'!DL5</f>
        <v>16</v>
      </c>
      <c r="AE6" s="823">
        <f t="shared" si="21"/>
        <v>10.68507333908542</v>
      </c>
      <c r="AF6" s="824">
        <f t="shared" si="22"/>
        <v>0.28246013834524314</v>
      </c>
      <c r="AG6" s="824">
        <f t="shared" si="23"/>
        <v>4.4077134986225897</v>
      </c>
      <c r="AH6" s="822">
        <f>'RRT - Subgrupo - IGEO'!DO5</f>
        <v>0</v>
      </c>
      <c r="AI6" s="823">
        <f t="shared" si="24"/>
        <v>0</v>
      </c>
      <c r="AJ6" s="824">
        <f t="shared" si="25"/>
        <v>0</v>
      </c>
      <c r="AK6" s="824">
        <f t="shared" si="26"/>
        <v>0</v>
      </c>
      <c r="AL6" s="822">
        <f>'RRT - Subgrupo - IGEO'!DR5</f>
        <v>0</v>
      </c>
      <c r="AM6" s="823">
        <f t="shared" si="27"/>
        <v>0</v>
      </c>
      <c r="AN6" s="824">
        <f t="shared" si="28"/>
        <v>0</v>
      </c>
      <c r="AO6" s="824">
        <f t="shared" si="29"/>
        <v>0</v>
      </c>
      <c r="AP6" s="822">
        <f>'RRT - Subgrupo - IGEO'!DU5</f>
        <v>19</v>
      </c>
      <c r="AQ6" s="823">
        <f t="shared" si="30"/>
        <v>12.688524590163937</v>
      </c>
      <c r="AR6" s="824">
        <f t="shared" si="31"/>
        <v>0.45511208433829681</v>
      </c>
      <c r="AS6" s="824">
        <f t="shared" si="32"/>
        <v>5.2341597796143251</v>
      </c>
      <c r="AT6" s="822">
        <f t="shared" si="33"/>
        <v>363</v>
      </c>
      <c r="AU6" s="823">
        <f>'RRT - Atividades '!X5</f>
        <v>242.41760138050046</v>
      </c>
      <c r="AV6" s="826">
        <f t="shared" si="34"/>
        <v>242.41760138050046</v>
      </c>
      <c r="AW6" s="826">
        <f t="shared" si="35"/>
        <v>0</v>
      </c>
      <c r="AX6" s="829" t="str">
        <f>F2</f>
        <v>CONSULTORIA</v>
      </c>
      <c r="AY6" s="771">
        <f>G31</f>
        <v>1420.3574608467077</v>
      </c>
      <c r="AZ6" s="39">
        <f t="shared" si="36"/>
        <v>1.901311693617971E-2</v>
      </c>
    </row>
    <row r="7" spans="1:52" s="323" customFormat="1" ht="15.75">
      <c r="A7" s="828" t="s">
        <v>89</v>
      </c>
      <c r="B7" s="822">
        <f>'RRT - Subgrupo - IGEO'!CQ6</f>
        <v>0</v>
      </c>
      <c r="C7" s="823">
        <f>IFERROR($AU7*B38,)</f>
        <v>0</v>
      </c>
      <c r="D7" s="824">
        <f t="shared" si="1"/>
        <v>0</v>
      </c>
      <c r="E7" s="825">
        <f t="shared" si="2"/>
        <v>0</v>
      </c>
      <c r="F7" s="822">
        <f>'RRT - Subgrupo - IGEO'!CT6</f>
        <v>2</v>
      </c>
      <c r="G7" s="823">
        <f>IFERROR($AU7*F38,)</f>
        <v>1.0230512587200487</v>
      </c>
      <c r="H7" s="824">
        <f t="shared" si="4"/>
        <v>7.2027731533876288E-2</v>
      </c>
      <c r="I7" s="824">
        <f t="shared" si="5"/>
        <v>4.255319148936171</v>
      </c>
      <c r="J7" s="822">
        <f>'RRT - Subgrupo - IGEO'!CW6</f>
        <v>3</v>
      </c>
      <c r="K7" s="823">
        <f>IFERROR($AU7*J38,)</f>
        <v>1.5345768880800728</v>
      </c>
      <c r="L7" s="824">
        <f t="shared" si="7"/>
        <v>0.12241804287970778</v>
      </c>
      <c r="M7" s="824">
        <f t="shared" si="8"/>
        <v>6.3829787234042552</v>
      </c>
      <c r="N7" s="822">
        <f>'RRT - Subgrupo - IGEO'!CZ6</f>
        <v>10</v>
      </c>
      <c r="O7" s="823">
        <f>IFERROR($AU7*N38,)</f>
        <v>5.1152562936002433</v>
      </c>
      <c r="P7" s="824">
        <f t="shared" si="10"/>
        <v>3.003852725312528E-2</v>
      </c>
      <c r="Q7" s="824">
        <f t="shared" si="11"/>
        <v>21.276595744680854</v>
      </c>
      <c r="R7" s="822">
        <f>'RRT - Subgrupo - IGEO'!DC6</f>
        <v>0</v>
      </c>
      <c r="S7" s="823">
        <f>IFERROR($AU7*R38,)</f>
        <v>0</v>
      </c>
      <c r="T7" s="824">
        <f t="shared" si="13"/>
        <v>0</v>
      </c>
      <c r="U7" s="824">
        <f t="shared" si="14"/>
        <v>0</v>
      </c>
      <c r="V7" s="822">
        <f>'RRT - Subgrupo - IGEO'!DF6</f>
        <v>13</v>
      </c>
      <c r="W7" s="823">
        <f>IFERROR($AU7*V38,)</f>
        <v>6.6498331816803162</v>
      </c>
      <c r="X7" s="824">
        <f t="shared" si="16"/>
        <v>8.6499576307550424E-2</v>
      </c>
      <c r="Y7" s="824">
        <f t="shared" si="17"/>
        <v>27.659574468085108</v>
      </c>
      <c r="Z7" s="822">
        <f>'RRT - Subgrupo - IGEO'!DI6</f>
        <v>9</v>
      </c>
      <c r="AA7" s="823">
        <f>IFERROR($AU7*Z38,)</f>
        <v>4.6037306642402189</v>
      </c>
      <c r="AB7" s="824">
        <f t="shared" si="19"/>
        <v>1.2187677719949809E-2</v>
      </c>
      <c r="AC7" s="824">
        <f t="shared" si="20"/>
        <v>19.148936170212767</v>
      </c>
      <c r="AD7" s="822">
        <f>'RRT - Subgrupo - IGEO'!DL6</f>
        <v>5</v>
      </c>
      <c r="AE7" s="823">
        <f>IFERROR($AU7*AD38,)</f>
        <v>2.5576281468001216</v>
      </c>
      <c r="AF7" s="824">
        <f t="shared" si="22"/>
        <v>6.761095382829499E-2</v>
      </c>
      <c r="AG7" s="824">
        <f t="shared" si="23"/>
        <v>10.638297872340427</v>
      </c>
      <c r="AH7" s="822">
        <f>'RRT - Subgrupo - IGEO'!DO6</f>
        <v>0</v>
      </c>
      <c r="AI7" s="823">
        <f>IFERROR($AU7*AH38,)</f>
        <v>0</v>
      </c>
      <c r="AJ7" s="824">
        <f t="shared" si="25"/>
        <v>0</v>
      </c>
      <c r="AK7" s="824">
        <f t="shared" si="26"/>
        <v>0</v>
      </c>
      <c r="AL7" s="822">
        <f>'RRT - Subgrupo - IGEO'!DR6</f>
        <v>0</v>
      </c>
      <c r="AM7" s="823">
        <f>IFERROR($AU7*AL38,)</f>
        <v>0</v>
      </c>
      <c r="AN7" s="824">
        <f t="shared" si="28"/>
        <v>0</v>
      </c>
      <c r="AO7" s="824">
        <f t="shared" si="29"/>
        <v>0</v>
      </c>
      <c r="AP7" s="822">
        <f>'RRT - Subgrupo - IGEO'!DU6</f>
        <v>5</v>
      </c>
      <c r="AQ7" s="823">
        <f>IFERROR($AU7*AP38,)</f>
        <v>2.5576281468001216</v>
      </c>
      <c r="AR7" s="824">
        <f t="shared" si="31"/>
        <v>9.1737023369512158E-2</v>
      </c>
      <c r="AS7" s="824">
        <f t="shared" si="32"/>
        <v>10.638297872340427</v>
      </c>
      <c r="AT7" s="822">
        <f t="shared" si="33"/>
        <v>47</v>
      </c>
      <c r="AU7" s="823">
        <f>'RRT - Atividades '!X6</f>
        <v>24.041704579921142</v>
      </c>
      <c r="AV7" s="826">
        <f t="shared" si="34"/>
        <v>24.041704579921138</v>
      </c>
      <c r="AW7" s="826">
        <f t="shared" si="35"/>
        <v>0</v>
      </c>
      <c r="AX7" s="829" t="str">
        <f>J2</f>
        <v>ASSISTÊNCIA TÉCNICA</v>
      </c>
      <c r="AY7" s="771">
        <f>K31</f>
        <v>1253.5545022460467</v>
      </c>
      <c r="AZ7" s="39">
        <f t="shared" si="36"/>
        <v>1.6780267639718422E-2</v>
      </c>
    </row>
    <row r="8" spans="1:52" s="323" customFormat="1" ht="15.75">
      <c r="A8" s="828" t="s">
        <v>91</v>
      </c>
      <c r="B8" s="822">
        <f>'RRT - Subgrupo - IGEO'!CQ7</f>
        <v>27</v>
      </c>
      <c r="C8" s="823">
        <f t="shared" si="0"/>
        <v>18.705753823743624</v>
      </c>
      <c r="D8" s="824">
        <f t="shared" si="1"/>
        <v>0.79295606920877959</v>
      </c>
      <c r="E8" s="825">
        <f t="shared" si="2"/>
        <v>1.9809244314013204</v>
      </c>
      <c r="F8" s="822">
        <f>'RRT - Subgrupo - IGEO'!CT7</f>
        <v>93</v>
      </c>
      <c r="G8" s="823">
        <f t="shared" si="3"/>
        <v>64.43092983733915</v>
      </c>
      <c r="H8" s="824">
        <f t="shared" si="4"/>
        <v>4.536247502014767</v>
      </c>
      <c r="I8" s="824">
        <f t="shared" si="5"/>
        <v>6.8231841526045489</v>
      </c>
      <c r="J8" s="822">
        <f>'RRT - Subgrupo - IGEO'!CW7</f>
        <v>51</v>
      </c>
      <c r="K8" s="823">
        <f t="shared" si="6"/>
        <v>35.333090555960183</v>
      </c>
      <c r="L8" s="824">
        <f t="shared" si="7"/>
        <v>2.818632176953805</v>
      </c>
      <c r="M8" s="824">
        <f t="shared" si="8"/>
        <v>3.7417461482024947</v>
      </c>
      <c r="N8" s="822">
        <f>'RRT - Subgrupo - IGEO'!CZ7</f>
        <v>267</v>
      </c>
      <c r="O8" s="823">
        <f t="shared" si="9"/>
        <v>184.97912114590918</v>
      </c>
      <c r="P8" s="824">
        <f t="shared" si="10"/>
        <v>1.08626040473326</v>
      </c>
      <c r="Q8" s="824">
        <f t="shared" si="11"/>
        <v>19.589141599413061</v>
      </c>
      <c r="R8" s="822">
        <f>'RRT - Subgrupo - IGEO'!DC7</f>
        <v>15</v>
      </c>
      <c r="S8" s="823">
        <f t="shared" si="12"/>
        <v>10.392085457635346</v>
      </c>
      <c r="T8" s="824">
        <f t="shared" si="13"/>
        <v>1.8795847746027945</v>
      </c>
      <c r="U8" s="824">
        <f t="shared" si="14"/>
        <v>1.1005135730007336</v>
      </c>
      <c r="V8" s="822">
        <f>'RRT - Subgrupo - IGEO'!DF7</f>
        <v>230</v>
      </c>
      <c r="W8" s="823">
        <f t="shared" si="15"/>
        <v>159.34531035040865</v>
      </c>
      <c r="X8" s="824">
        <f t="shared" si="16"/>
        <v>2.072728962566643</v>
      </c>
      <c r="Y8" s="824">
        <f t="shared" si="17"/>
        <v>16.874541452677917</v>
      </c>
      <c r="Z8" s="822">
        <f>'RRT - Subgrupo - IGEO'!DI7</f>
        <v>506</v>
      </c>
      <c r="AA8" s="823">
        <f t="shared" si="18"/>
        <v>350.55968277089903</v>
      </c>
      <c r="AB8" s="824">
        <f t="shared" si="19"/>
        <v>0.92805351720650164</v>
      </c>
      <c r="AC8" s="824">
        <f t="shared" si="20"/>
        <v>37.123991195891413</v>
      </c>
      <c r="AD8" s="822">
        <f>'RRT - Subgrupo - IGEO'!DL7</f>
        <v>57</v>
      </c>
      <c r="AE8" s="823">
        <f t="shared" si="21"/>
        <v>39.48992473901432</v>
      </c>
      <c r="AF8" s="824">
        <f t="shared" si="22"/>
        <v>1.0439169906511816</v>
      </c>
      <c r="AG8" s="824">
        <f t="shared" si="23"/>
        <v>4.1819515774027876</v>
      </c>
      <c r="AH8" s="822">
        <f>'RRT - Subgrupo - IGEO'!DO7</f>
        <v>0</v>
      </c>
      <c r="AI8" s="823">
        <f t="shared" si="24"/>
        <v>0</v>
      </c>
      <c r="AJ8" s="824">
        <f t="shared" si="25"/>
        <v>0</v>
      </c>
      <c r="AK8" s="824">
        <f t="shared" si="26"/>
        <v>0</v>
      </c>
      <c r="AL8" s="822">
        <f>'RRT - Subgrupo - IGEO'!DR7</f>
        <v>2</v>
      </c>
      <c r="AM8" s="823">
        <f t="shared" si="27"/>
        <v>1.3856113943513797</v>
      </c>
      <c r="AN8" s="824">
        <f t="shared" si="28"/>
        <v>9.1117055495967456</v>
      </c>
      <c r="AO8" s="824">
        <f t="shared" si="29"/>
        <v>0.1467351430667645</v>
      </c>
      <c r="AP8" s="822">
        <f>'RRT - Subgrupo - IGEO'!DU7</f>
        <v>115</v>
      </c>
      <c r="AQ8" s="823">
        <f t="shared" si="30"/>
        <v>79.672655175204326</v>
      </c>
      <c r="AR8" s="824">
        <f t="shared" si="31"/>
        <v>2.857699325393761</v>
      </c>
      <c r="AS8" s="824">
        <f t="shared" si="32"/>
        <v>8.4372707263389586</v>
      </c>
      <c r="AT8" s="822">
        <f t="shared" si="33"/>
        <v>1363</v>
      </c>
      <c r="AU8" s="823">
        <f>'RRT - Atividades '!X7</f>
        <v>944.2941652504652</v>
      </c>
      <c r="AV8" s="826">
        <f t="shared" si="34"/>
        <v>944.2941652504652</v>
      </c>
      <c r="AW8" s="826">
        <f t="shared" si="35"/>
        <v>0</v>
      </c>
      <c r="AX8" s="829" t="str">
        <f>N2</f>
        <v>VISTORIA</v>
      </c>
      <c r="AY8" s="771">
        <f>O31</f>
        <v>17028.984978176784</v>
      </c>
      <c r="AZ8" s="39">
        <f t="shared" si="36"/>
        <v>0.22795253421734676</v>
      </c>
    </row>
    <row r="9" spans="1:52" s="323" customFormat="1" ht="15.75">
      <c r="A9" s="828" t="s">
        <v>92</v>
      </c>
      <c r="B9" s="822">
        <f>'RRT - Subgrupo - IGEO'!CQ8</f>
        <v>21</v>
      </c>
      <c r="C9" s="823">
        <f t="shared" si="0"/>
        <v>13.081328751431842</v>
      </c>
      <c r="D9" s="824">
        <f t="shared" si="1"/>
        <v>0.55453092799695747</v>
      </c>
      <c r="E9" s="825">
        <f t="shared" si="2"/>
        <v>3.4596375617792421</v>
      </c>
      <c r="F9" s="822">
        <f>'RRT - Subgrupo - IGEO'!CT8</f>
        <v>22</v>
      </c>
      <c r="G9" s="823">
        <f t="shared" si="3"/>
        <v>13.704249168166692</v>
      </c>
      <c r="H9" s="824">
        <f t="shared" si="4"/>
        <v>0.96484508625013843</v>
      </c>
      <c r="I9" s="824">
        <f t="shared" si="5"/>
        <v>3.6243822075782535</v>
      </c>
      <c r="J9" s="822">
        <f>'RRT - Subgrupo - IGEO'!CW8</f>
        <v>42</v>
      </c>
      <c r="K9" s="823">
        <f t="shared" si="6"/>
        <v>26.162657502863684</v>
      </c>
      <c r="L9" s="824">
        <f t="shared" si="7"/>
        <v>2.0870777820977819</v>
      </c>
      <c r="M9" s="824">
        <f t="shared" si="8"/>
        <v>6.9192751235584842</v>
      </c>
      <c r="N9" s="822">
        <f>'RRT - Subgrupo - IGEO'!CZ8</f>
        <v>44</v>
      </c>
      <c r="O9" s="823">
        <f t="shared" si="9"/>
        <v>27.408498336333384</v>
      </c>
      <c r="P9" s="824">
        <f t="shared" si="10"/>
        <v>0.16095203778415623</v>
      </c>
      <c r="Q9" s="824">
        <f t="shared" si="11"/>
        <v>7.2487644151565069</v>
      </c>
      <c r="R9" s="822">
        <f>'RRT - Subgrupo - IGEO'!DC8</f>
        <v>3</v>
      </c>
      <c r="S9" s="823">
        <f t="shared" si="12"/>
        <v>1.8687612502045488</v>
      </c>
      <c r="T9" s="824">
        <f t="shared" si="13"/>
        <v>0.33799714288063598</v>
      </c>
      <c r="U9" s="824">
        <f t="shared" si="14"/>
        <v>0.49423393739703458</v>
      </c>
      <c r="V9" s="822">
        <f>'RRT - Subgrupo - IGEO'!DF8</f>
        <v>177</v>
      </c>
      <c r="W9" s="823">
        <f t="shared" si="15"/>
        <v>110.25691376206839</v>
      </c>
      <c r="X9" s="824">
        <f t="shared" si="16"/>
        <v>1.434197830957789</v>
      </c>
      <c r="Y9" s="824">
        <f t="shared" si="17"/>
        <v>29.159802306425043</v>
      </c>
      <c r="Z9" s="822">
        <f>'RRT - Subgrupo - IGEO'!DI8</f>
        <v>193</v>
      </c>
      <c r="AA9" s="823">
        <f t="shared" si="18"/>
        <v>120.22364042982599</v>
      </c>
      <c r="AB9" s="824">
        <f t="shared" si="19"/>
        <v>0.31827382849723368</v>
      </c>
      <c r="AC9" s="824">
        <f t="shared" si="20"/>
        <v>31.795716639209225</v>
      </c>
      <c r="AD9" s="822">
        <f>'RRT - Subgrupo - IGEO'!DL8</f>
        <v>55</v>
      </c>
      <c r="AE9" s="823">
        <f t="shared" si="21"/>
        <v>34.260622920416736</v>
      </c>
      <c r="AF9" s="824">
        <f t="shared" si="22"/>
        <v>0.90568028714376936</v>
      </c>
      <c r="AG9" s="824">
        <f t="shared" si="23"/>
        <v>9.0609555189456366</v>
      </c>
      <c r="AH9" s="822">
        <f>'RRT - Subgrupo - IGEO'!DO8</f>
        <v>1</v>
      </c>
      <c r="AI9" s="823">
        <f t="shared" si="24"/>
        <v>0.62292041673484966</v>
      </c>
      <c r="AJ9" s="824">
        <f t="shared" si="25"/>
        <v>1.4873866246119709</v>
      </c>
      <c r="AK9" s="824">
        <f t="shared" si="26"/>
        <v>0.16474464579901155</v>
      </c>
      <c r="AL9" s="822">
        <f>'RRT - Subgrupo - IGEO'!DR8</f>
        <v>0</v>
      </c>
      <c r="AM9" s="823">
        <f t="shared" si="27"/>
        <v>0</v>
      </c>
      <c r="AN9" s="824">
        <f t="shared" si="28"/>
        <v>0</v>
      </c>
      <c r="AO9" s="824">
        <f t="shared" si="29"/>
        <v>0</v>
      </c>
      <c r="AP9" s="822">
        <f>'RRT - Subgrupo - IGEO'!DU8</f>
        <v>49</v>
      </c>
      <c r="AQ9" s="823">
        <f t="shared" si="30"/>
        <v>30.52310042000763</v>
      </c>
      <c r="AR9" s="824">
        <f t="shared" si="31"/>
        <v>1.0948027687462862</v>
      </c>
      <c r="AS9" s="824">
        <f t="shared" si="32"/>
        <v>8.0724876441515647</v>
      </c>
      <c r="AT9" s="822">
        <f t="shared" si="33"/>
        <v>607</v>
      </c>
      <c r="AU9" s="823">
        <f>'RRT - Atividades '!X8</f>
        <v>378.11269295805374</v>
      </c>
      <c r="AV9" s="826">
        <f t="shared" si="34"/>
        <v>378.11269295805374</v>
      </c>
      <c r="AW9" s="826">
        <f t="shared" si="35"/>
        <v>0</v>
      </c>
      <c r="AX9" s="829" t="str">
        <f>R2</f>
        <v>PERÍCIA</v>
      </c>
      <c r="AY9" s="771">
        <f>S31</f>
        <v>552.89261745756937</v>
      </c>
      <c r="AZ9" s="39">
        <f t="shared" si="36"/>
        <v>7.4011030875316911E-3</v>
      </c>
    </row>
    <row r="10" spans="1:52" s="323" customFormat="1" ht="15.75">
      <c r="A10" s="828" t="s">
        <v>93</v>
      </c>
      <c r="B10" s="822">
        <f>'RRT - Subgrupo - IGEO'!CQ9</f>
        <v>24</v>
      </c>
      <c r="C10" s="823">
        <f t="shared" si="0"/>
        <v>18.943773810070226</v>
      </c>
      <c r="D10" s="824">
        <f t="shared" si="1"/>
        <v>0.80304598028796315</v>
      </c>
      <c r="E10" s="825">
        <f t="shared" si="2"/>
        <v>2.2201665124884369</v>
      </c>
      <c r="F10" s="822">
        <f>'RRT - Subgrupo - IGEO'!CT9</f>
        <v>64</v>
      </c>
      <c r="G10" s="823">
        <f t="shared" si="3"/>
        <v>50.516730160187272</v>
      </c>
      <c r="H10" s="824">
        <f t="shared" si="4"/>
        <v>3.5566208896507709</v>
      </c>
      <c r="I10" s="824">
        <f t="shared" si="5"/>
        <v>5.9204440333024984</v>
      </c>
      <c r="J10" s="822">
        <f>'RRT - Subgrupo - IGEO'!CW9</f>
        <v>18</v>
      </c>
      <c r="K10" s="823">
        <f t="shared" si="6"/>
        <v>14.20783035755267</v>
      </c>
      <c r="L10" s="824">
        <f t="shared" si="7"/>
        <v>1.1334034804307189</v>
      </c>
      <c r="M10" s="824">
        <f t="shared" si="8"/>
        <v>1.6651248843663276</v>
      </c>
      <c r="N10" s="822">
        <f>'RRT - Subgrupo - IGEO'!CZ9</f>
        <v>46</v>
      </c>
      <c r="O10" s="823">
        <f t="shared" si="9"/>
        <v>36.308899802634599</v>
      </c>
      <c r="P10" s="824">
        <f t="shared" si="10"/>
        <v>0.21321822674202645</v>
      </c>
      <c r="Q10" s="824">
        <f t="shared" si="11"/>
        <v>4.2553191489361701</v>
      </c>
      <c r="R10" s="822">
        <f>'RRT - Subgrupo - IGEO'!DC9</f>
        <v>12</v>
      </c>
      <c r="S10" s="823">
        <f t="shared" si="12"/>
        <v>9.4718869050351131</v>
      </c>
      <c r="T10" s="824">
        <f t="shared" si="13"/>
        <v>1.7131512713247639</v>
      </c>
      <c r="U10" s="824">
        <f t="shared" si="14"/>
        <v>1.1100832562442184</v>
      </c>
      <c r="V10" s="822">
        <f>'RRT - Subgrupo - IGEO'!DF9</f>
        <v>228</v>
      </c>
      <c r="W10" s="823">
        <f t="shared" si="15"/>
        <v>179.96585119566714</v>
      </c>
      <c r="X10" s="824">
        <f t="shared" si="16"/>
        <v>2.3409564500262139</v>
      </c>
      <c r="Y10" s="824">
        <f t="shared" si="17"/>
        <v>21.091581868640148</v>
      </c>
      <c r="Z10" s="822">
        <f>'RRT - Subgrupo - IGEO'!DI9</f>
        <v>610</v>
      </c>
      <c r="AA10" s="823">
        <f t="shared" si="18"/>
        <v>481.48758433928492</v>
      </c>
      <c r="AB10" s="824">
        <f t="shared" si="19"/>
        <v>1.2746652513071859</v>
      </c>
      <c r="AC10" s="824">
        <f t="shared" si="20"/>
        <v>56.429232192414439</v>
      </c>
      <c r="AD10" s="822">
        <f>'RRT - Subgrupo - IGEO'!DL9</f>
        <v>42</v>
      </c>
      <c r="AE10" s="823">
        <f t="shared" si="21"/>
        <v>33.151604167622892</v>
      </c>
      <c r="AF10" s="824">
        <f t="shared" si="22"/>
        <v>0.87636335309936253</v>
      </c>
      <c r="AG10" s="824">
        <f t="shared" si="23"/>
        <v>3.8852913968547642</v>
      </c>
      <c r="AH10" s="822">
        <f>'RRT - Subgrupo - IGEO'!DO9</f>
        <v>0</v>
      </c>
      <c r="AI10" s="823">
        <f t="shared" si="24"/>
        <v>0</v>
      </c>
      <c r="AJ10" s="824">
        <f t="shared" si="25"/>
        <v>0</v>
      </c>
      <c r="AK10" s="824">
        <f t="shared" si="26"/>
        <v>0</v>
      </c>
      <c r="AL10" s="822">
        <f>'RRT - Subgrupo - IGEO'!DR9</f>
        <v>0</v>
      </c>
      <c r="AM10" s="823">
        <f t="shared" si="27"/>
        <v>0</v>
      </c>
      <c r="AN10" s="824">
        <f t="shared" si="28"/>
        <v>0</v>
      </c>
      <c r="AO10" s="824">
        <f t="shared" si="29"/>
        <v>0</v>
      </c>
      <c r="AP10" s="822">
        <f>'RRT - Subgrupo - IGEO'!DU9</f>
        <v>37</v>
      </c>
      <c r="AQ10" s="823">
        <f t="shared" si="30"/>
        <v>29.204984623858262</v>
      </c>
      <c r="AR10" s="824">
        <f t="shared" si="31"/>
        <v>1.0475245826087267</v>
      </c>
      <c r="AS10" s="824">
        <f t="shared" si="32"/>
        <v>3.4227567067530065</v>
      </c>
      <c r="AT10" s="822">
        <f t="shared" si="33"/>
        <v>1081</v>
      </c>
      <c r="AU10" s="823">
        <f>'RRT - Atividades '!X9</f>
        <v>853.25914536191306</v>
      </c>
      <c r="AV10" s="826">
        <f t="shared" si="34"/>
        <v>853.25914536191306</v>
      </c>
      <c r="AW10" s="826">
        <f t="shared" si="35"/>
        <v>0</v>
      </c>
      <c r="AX10" s="829" t="str">
        <f>V2</f>
        <v>AVALIAÇÃO</v>
      </c>
      <c r="AY10" s="771">
        <f>W31</f>
        <v>7687.7060738849668</v>
      </c>
      <c r="AZ10" s="39">
        <f t="shared" si="36"/>
        <v>0.10290878077031414</v>
      </c>
    </row>
    <row r="11" spans="1:52" s="323" customFormat="1" ht="15.75">
      <c r="A11" s="828" t="s">
        <v>94</v>
      </c>
      <c r="B11" s="822">
        <f>'RRT - Subgrupo - IGEO'!CQ10</f>
        <v>13</v>
      </c>
      <c r="C11" s="823">
        <f t="shared" si="0"/>
        <v>9.6341823349365985</v>
      </c>
      <c r="D11" s="824">
        <f t="shared" si="1"/>
        <v>0.40840285969416662</v>
      </c>
      <c r="E11" s="825">
        <f t="shared" si="2"/>
        <v>0.72747621712367094</v>
      </c>
      <c r="F11" s="822">
        <f>'RRT - Subgrupo - IGEO'!CT10</f>
        <v>28</v>
      </c>
      <c r="G11" s="823">
        <f t="shared" si="3"/>
        <v>20.750546567555748</v>
      </c>
      <c r="H11" s="824">
        <f t="shared" si="4"/>
        <v>1.4609383299318097</v>
      </c>
      <c r="I11" s="824">
        <f t="shared" si="5"/>
        <v>1.566871852266368</v>
      </c>
      <c r="J11" s="822">
        <f>'RRT - Subgrupo - IGEO'!CW10</f>
        <v>20</v>
      </c>
      <c r="K11" s="823">
        <f t="shared" si="6"/>
        <v>14.821818976825536</v>
      </c>
      <c r="L11" s="824">
        <f t="shared" si="7"/>
        <v>1.1823832908955021</v>
      </c>
      <c r="M11" s="824">
        <f t="shared" si="8"/>
        <v>1.119194180190263</v>
      </c>
      <c r="N11" s="822">
        <f>'RRT - Subgrupo - IGEO'!CZ10</f>
        <v>578</v>
      </c>
      <c r="O11" s="823">
        <f t="shared" si="9"/>
        <v>428.35056843025797</v>
      </c>
      <c r="P11" s="824">
        <f t="shared" si="10"/>
        <v>2.5154204374435918</v>
      </c>
      <c r="Q11" s="824">
        <f t="shared" si="11"/>
        <v>32.344711807498598</v>
      </c>
      <c r="R11" s="822">
        <f>'RRT - Subgrupo - IGEO'!DC10</f>
        <v>8</v>
      </c>
      <c r="S11" s="823">
        <f t="shared" si="12"/>
        <v>5.9287275907302153</v>
      </c>
      <c r="T11" s="824">
        <f t="shared" si="13"/>
        <v>1.0723108617353176</v>
      </c>
      <c r="U11" s="824">
        <f t="shared" si="14"/>
        <v>0.44767767207610526</v>
      </c>
      <c r="V11" s="822">
        <f>'RRT - Subgrupo - IGEO'!DF10</f>
        <v>287</v>
      </c>
      <c r="W11" s="823">
        <f t="shared" si="15"/>
        <v>212.69310231744643</v>
      </c>
      <c r="X11" s="824">
        <f t="shared" si="16"/>
        <v>2.7666653781153525</v>
      </c>
      <c r="Y11" s="824">
        <f t="shared" si="17"/>
        <v>16.060436485730271</v>
      </c>
      <c r="Z11" s="822">
        <f>'RRT - Subgrupo - IGEO'!DI10</f>
        <v>774</v>
      </c>
      <c r="AA11" s="823">
        <f t="shared" si="18"/>
        <v>573.60439440314826</v>
      </c>
      <c r="AB11" s="824">
        <f t="shared" si="19"/>
        <v>1.5185305152699029</v>
      </c>
      <c r="AC11" s="824">
        <f t="shared" si="20"/>
        <v>43.312814773363179</v>
      </c>
      <c r="AD11" s="822">
        <f>'RRT - Subgrupo - IGEO'!DL10</f>
        <v>38</v>
      </c>
      <c r="AE11" s="823">
        <f t="shared" si="21"/>
        <v>28.161456055968518</v>
      </c>
      <c r="AF11" s="824">
        <f t="shared" si="22"/>
        <v>0.74444868286259325</v>
      </c>
      <c r="AG11" s="824">
        <f t="shared" si="23"/>
        <v>2.1264689423614995</v>
      </c>
      <c r="AH11" s="822">
        <f>'RRT - Subgrupo - IGEO'!DO10</f>
        <v>1</v>
      </c>
      <c r="AI11" s="823">
        <f t="shared" si="24"/>
        <v>0.74109094884127691</v>
      </c>
      <c r="AJ11" s="824">
        <f t="shared" si="25"/>
        <v>1.7695499060784621</v>
      </c>
      <c r="AK11" s="824">
        <f t="shared" si="26"/>
        <v>5.5959709009513157E-2</v>
      </c>
      <c r="AL11" s="822">
        <f>'RRT - Subgrupo - IGEO'!DR10</f>
        <v>0</v>
      </c>
      <c r="AM11" s="823">
        <f t="shared" si="27"/>
        <v>0</v>
      </c>
      <c r="AN11" s="824">
        <f t="shared" si="28"/>
        <v>0</v>
      </c>
      <c r="AO11" s="824">
        <f t="shared" si="29"/>
        <v>0</v>
      </c>
      <c r="AP11" s="822">
        <f>'RRT - Subgrupo - IGEO'!DU10</f>
        <v>40</v>
      </c>
      <c r="AQ11" s="823">
        <f t="shared" si="30"/>
        <v>29.643637953651073</v>
      </c>
      <c r="AR11" s="824">
        <f t="shared" si="31"/>
        <v>1.0632582031573836</v>
      </c>
      <c r="AS11" s="824">
        <f t="shared" si="32"/>
        <v>2.2383883603805259</v>
      </c>
      <c r="AT11" s="822">
        <f t="shared" si="33"/>
        <v>1787</v>
      </c>
      <c r="AU11" s="823">
        <f>'RRT - Atividades '!X10</f>
        <v>1324.3295255793616</v>
      </c>
      <c r="AV11" s="826">
        <f t="shared" si="34"/>
        <v>1324.3295255793614</v>
      </c>
      <c r="AW11" s="826">
        <f t="shared" si="35"/>
        <v>0</v>
      </c>
      <c r="AX11" s="829" t="str">
        <f>Z2</f>
        <v>LAUDO TÉCNICO</v>
      </c>
      <c r="AY11" s="771">
        <f>AA31</f>
        <v>37773.649500958236</v>
      </c>
      <c r="AZ11" s="39">
        <f t="shared" si="36"/>
        <v>0.50564370932360425</v>
      </c>
    </row>
    <row r="12" spans="1:52" s="323" customFormat="1" ht="15.75">
      <c r="A12" s="828" t="s">
        <v>95</v>
      </c>
      <c r="B12" s="822">
        <f>'RRT - Subgrupo - IGEO'!CQ11</f>
        <v>18</v>
      </c>
      <c r="C12" s="823">
        <f t="shared" si="0"/>
        <v>9.1810197832823022</v>
      </c>
      <c r="D12" s="824">
        <f t="shared" si="1"/>
        <v>0.38919283485056494</v>
      </c>
      <c r="E12" s="825">
        <f t="shared" si="2"/>
        <v>1.4527845036319611</v>
      </c>
      <c r="F12" s="822">
        <f>'RRT - Subgrupo - IGEO'!CT11</f>
        <v>20</v>
      </c>
      <c r="G12" s="823">
        <f t="shared" si="3"/>
        <v>10.201133092535891</v>
      </c>
      <c r="H12" s="824">
        <f t="shared" si="4"/>
        <v>0.71820885754032382</v>
      </c>
      <c r="I12" s="824">
        <f t="shared" si="5"/>
        <v>1.6142050040355123</v>
      </c>
      <c r="J12" s="822">
        <f>'RRT - Subgrupo - IGEO'!CW11</f>
        <v>28</v>
      </c>
      <c r="K12" s="823">
        <f t="shared" si="6"/>
        <v>14.281586329550247</v>
      </c>
      <c r="L12" s="824">
        <f t="shared" si="7"/>
        <v>1.1392872271577601</v>
      </c>
      <c r="M12" s="824">
        <f t="shared" si="8"/>
        <v>2.2598870056497176</v>
      </c>
      <c r="N12" s="822">
        <f>'RRT - Subgrupo - IGEO'!CZ11</f>
        <v>149</v>
      </c>
      <c r="O12" s="823">
        <f t="shared" si="9"/>
        <v>75.998441539392402</v>
      </c>
      <c r="P12" s="824">
        <f t="shared" si="10"/>
        <v>0.44628873439483896</v>
      </c>
      <c r="Q12" s="824">
        <f t="shared" si="11"/>
        <v>12.02582728006457</v>
      </c>
      <c r="R12" s="822">
        <f>'RRT - Subgrupo - IGEO'!DC11</f>
        <v>6</v>
      </c>
      <c r="S12" s="823">
        <f t="shared" si="12"/>
        <v>3.0603399277607677</v>
      </c>
      <c r="T12" s="824">
        <f t="shared" si="13"/>
        <v>0.55351434096434238</v>
      </c>
      <c r="U12" s="824">
        <f t="shared" si="14"/>
        <v>0.48426150121065376</v>
      </c>
      <c r="V12" s="822">
        <f>'RRT - Subgrupo - IGEO'!DF11</f>
        <v>273</v>
      </c>
      <c r="W12" s="823">
        <f t="shared" si="15"/>
        <v>139.24546671311492</v>
      </c>
      <c r="X12" s="824">
        <f t="shared" si="16"/>
        <v>1.8112745905586827</v>
      </c>
      <c r="Y12" s="824">
        <f t="shared" si="17"/>
        <v>22.033898305084744</v>
      </c>
      <c r="Z12" s="822">
        <f>'RRT - Subgrupo - IGEO'!DI11</f>
        <v>611</v>
      </c>
      <c r="AA12" s="823">
        <f t="shared" si="18"/>
        <v>311.64461597697147</v>
      </c>
      <c r="AB12" s="824">
        <f t="shared" si="19"/>
        <v>0.82503178828157897</v>
      </c>
      <c r="AC12" s="824">
        <f t="shared" si="20"/>
        <v>49.313962873284908</v>
      </c>
      <c r="AD12" s="822">
        <f>'RRT - Subgrupo - IGEO'!DL11</f>
        <v>78</v>
      </c>
      <c r="AE12" s="823">
        <f t="shared" si="21"/>
        <v>39.784419060889981</v>
      </c>
      <c r="AF12" s="824">
        <f t="shared" si="22"/>
        <v>1.0517019542409596</v>
      </c>
      <c r="AG12" s="824">
        <f t="shared" si="23"/>
        <v>6.2953995157384997</v>
      </c>
      <c r="AH12" s="822">
        <f>'RRT - Subgrupo - IGEO'!DO11</f>
        <v>0</v>
      </c>
      <c r="AI12" s="823">
        <f t="shared" si="24"/>
        <v>0</v>
      </c>
      <c r="AJ12" s="824">
        <f t="shared" si="25"/>
        <v>0</v>
      </c>
      <c r="AK12" s="824">
        <f t="shared" si="26"/>
        <v>0</v>
      </c>
      <c r="AL12" s="822">
        <f>'RRT - Subgrupo - IGEO'!DR11</f>
        <v>0</v>
      </c>
      <c r="AM12" s="823">
        <f t="shared" si="27"/>
        <v>0</v>
      </c>
      <c r="AN12" s="824">
        <f t="shared" si="28"/>
        <v>0</v>
      </c>
      <c r="AO12" s="824">
        <f t="shared" si="29"/>
        <v>0</v>
      </c>
      <c r="AP12" s="822">
        <f>'RRT - Subgrupo - IGEO'!DU11</f>
        <v>56</v>
      </c>
      <c r="AQ12" s="823">
        <f t="shared" si="30"/>
        <v>28.563172659100495</v>
      </c>
      <c r="AR12" s="824">
        <f t="shared" si="31"/>
        <v>1.0245040667907885</v>
      </c>
      <c r="AS12" s="824">
        <f t="shared" si="32"/>
        <v>4.5197740112994351</v>
      </c>
      <c r="AT12" s="822">
        <f t="shared" si="33"/>
        <v>1239</v>
      </c>
      <c r="AU12" s="823">
        <f>'RRT - Atividades '!X11</f>
        <v>631.96019508259849</v>
      </c>
      <c r="AV12" s="826">
        <f t="shared" si="34"/>
        <v>631.96019508259849</v>
      </c>
      <c r="AW12" s="826">
        <f t="shared" si="35"/>
        <v>0</v>
      </c>
      <c r="AX12" s="829" t="str">
        <f>AD2</f>
        <v>PARECER TÉCNICO</v>
      </c>
      <c r="AY12" s="771">
        <f>AE31</f>
        <v>3782.8606194426466</v>
      </c>
      <c r="AZ12" s="39">
        <f t="shared" si="36"/>
        <v>5.0637936782376401E-2</v>
      </c>
    </row>
    <row r="13" spans="1:52" s="323" customFormat="1" ht="15.75">
      <c r="A13" s="828" t="s">
        <v>96</v>
      </c>
      <c r="B13" s="822">
        <f>'RRT - Subgrupo - IGEO'!CQ12</f>
        <v>18</v>
      </c>
      <c r="C13" s="823">
        <f t="shared" si="0"/>
        <v>10.987108155787759</v>
      </c>
      <c r="D13" s="824">
        <f t="shared" si="1"/>
        <v>0.46575477135417437</v>
      </c>
      <c r="E13" s="825">
        <f t="shared" si="2"/>
        <v>4.1189931350114417</v>
      </c>
      <c r="F13" s="822">
        <f>'RRT - Subgrupo - IGEO'!CT12</f>
        <v>18</v>
      </c>
      <c r="G13" s="823">
        <f t="shared" si="3"/>
        <v>10.987108155787759</v>
      </c>
      <c r="H13" s="824">
        <f t="shared" si="4"/>
        <v>0.77354528410320678</v>
      </c>
      <c r="I13" s="824">
        <f t="shared" si="5"/>
        <v>4.1189931350114417</v>
      </c>
      <c r="J13" s="822">
        <f>'RRT - Subgrupo - IGEO'!CW12</f>
        <v>16</v>
      </c>
      <c r="K13" s="823">
        <f t="shared" si="6"/>
        <v>9.7663183607002306</v>
      </c>
      <c r="L13" s="824">
        <f t="shared" si="7"/>
        <v>0.77909004699847551</v>
      </c>
      <c r="M13" s="824">
        <f t="shared" si="8"/>
        <v>3.6613272311212817</v>
      </c>
      <c r="N13" s="822">
        <f>'RRT - Subgrupo - IGEO'!CZ12</f>
        <v>79</v>
      </c>
      <c r="O13" s="823">
        <f t="shared" si="9"/>
        <v>48.221196905957392</v>
      </c>
      <c r="P13" s="824">
        <f t="shared" si="10"/>
        <v>0.28317129275617114</v>
      </c>
      <c r="Q13" s="824">
        <f t="shared" si="11"/>
        <v>18.077803203661329</v>
      </c>
      <c r="R13" s="822">
        <f>'RRT - Subgrupo - IGEO'!DC12</f>
        <v>3</v>
      </c>
      <c r="S13" s="823">
        <f t="shared" si="12"/>
        <v>1.8311846926312931</v>
      </c>
      <c r="T13" s="824">
        <f t="shared" si="13"/>
        <v>0.33120078561581151</v>
      </c>
      <c r="U13" s="824">
        <f t="shared" si="14"/>
        <v>0.68649885583524028</v>
      </c>
      <c r="V13" s="822">
        <f>'RRT - Subgrupo - IGEO'!DF12</f>
        <v>137</v>
      </c>
      <c r="W13" s="823">
        <f t="shared" si="15"/>
        <v>83.624100963495721</v>
      </c>
      <c r="X13" s="824">
        <f t="shared" si="16"/>
        <v>1.0877640242720212</v>
      </c>
      <c r="Y13" s="824">
        <f t="shared" si="17"/>
        <v>31.350114416475972</v>
      </c>
      <c r="Z13" s="822">
        <f>'RRT - Subgrupo - IGEO'!DI12</f>
        <v>103</v>
      </c>
      <c r="AA13" s="823">
        <f t="shared" si="18"/>
        <v>62.87067444700773</v>
      </c>
      <c r="AB13" s="824">
        <f t="shared" si="19"/>
        <v>0.16644056181389844</v>
      </c>
      <c r="AC13" s="824">
        <f t="shared" si="20"/>
        <v>23.569794050343248</v>
      </c>
      <c r="AD13" s="822">
        <f>'RRT - Subgrupo - IGEO'!DL12</f>
        <v>47</v>
      </c>
      <c r="AE13" s="823">
        <f t="shared" si="21"/>
        <v>28.688560184556927</v>
      </c>
      <c r="AF13" s="824">
        <f t="shared" si="22"/>
        <v>0.75838269158285299</v>
      </c>
      <c r="AG13" s="824">
        <f t="shared" si="23"/>
        <v>10.755148741418765</v>
      </c>
      <c r="AH13" s="822">
        <f>'RRT - Subgrupo - IGEO'!DO12</f>
        <v>0</v>
      </c>
      <c r="AI13" s="823">
        <f t="shared" si="24"/>
        <v>0</v>
      </c>
      <c r="AJ13" s="824">
        <f t="shared" si="25"/>
        <v>0</v>
      </c>
      <c r="AK13" s="824">
        <f t="shared" si="26"/>
        <v>0</v>
      </c>
      <c r="AL13" s="822">
        <f>'RRT - Subgrupo - IGEO'!DR12</f>
        <v>0</v>
      </c>
      <c r="AM13" s="823">
        <f t="shared" si="27"/>
        <v>0</v>
      </c>
      <c r="AN13" s="824">
        <f t="shared" si="28"/>
        <v>0</v>
      </c>
      <c r="AO13" s="824">
        <f t="shared" si="29"/>
        <v>0</v>
      </c>
      <c r="AP13" s="822">
        <f>'RRT - Subgrupo - IGEO'!DU12</f>
        <v>16</v>
      </c>
      <c r="AQ13" s="823">
        <f t="shared" si="30"/>
        <v>9.7663183607002306</v>
      </c>
      <c r="AR13" s="824">
        <f t="shared" si="31"/>
        <v>0.35029837187652352</v>
      </c>
      <c r="AS13" s="824">
        <f t="shared" si="32"/>
        <v>3.6613272311212817</v>
      </c>
      <c r="AT13" s="822">
        <f t="shared" si="33"/>
        <v>437</v>
      </c>
      <c r="AU13" s="823">
        <f>'RRT - Atividades '!X12</f>
        <v>266.74257022662505</v>
      </c>
      <c r="AV13" s="826">
        <f t="shared" si="34"/>
        <v>266.74257022662505</v>
      </c>
      <c r="AW13" s="826">
        <f t="shared" si="35"/>
        <v>0</v>
      </c>
      <c r="AX13" s="829" t="str">
        <f>AH2</f>
        <v>AUDITORIA</v>
      </c>
      <c r="AY13" s="771">
        <f>AI31</f>
        <v>41.880194861733209</v>
      </c>
      <c r="AZ13" s="39">
        <f t="shared" si="36"/>
        <v>5.6061453835814644E-4</v>
      </c>
    </row>
    <row r="14" spans="1:52" s="323" customFormat="1" ht="15.75">
      <c r="A14" s="828" t="s">
        <v>99</v>
      </c>
      <c r="B14" s="822">
        <f>'RRT - Subgrupo - IGEO'!CQ13</f>
        <v>187</v>
      </c>
      <c r="C14" s="823">
        <f t="shared" si="0"/>
        <v>142.35724790393741</v>
      </c>
      <c r="D14" s="824">
        <f t="shared" si="1"/>
        <v>6.0346695880281001</v>
      </c>
      <c r="E14" s="825">
        <f t="shared" si="2"/>
        <v>3.6673857619141006</v>
      </c>
      <c r="F14" s="822">
        <f>'RRT - Subgrupo - IGEO'!CT13</f>
        <v>182</v>
      </c>
      <c r="G14" s="823">
        <f t="shared" si="3"/>
        <v>138.55090437709418</v>
      </c>
      <c r="H14" s="824">
        <f t="shared" si="4"/>
        <v>9.7546503747374143</v>
      </c>
      <c r="I14" s="824">
        <f t="shared" si="5"/>
        <v>3.569327319082173</v>
      </c>
      <c r="J14" s="822">
        <f>'RRT - Subgrupo - IGEO'!CW13</f>
        <v>92</v>
      </c>
      <c r="K14" s="823">
        <f t="shared" si="6"/>
        <v>70.036720893915728</v>
      </c>
      <c r="L14" s="824">
        <f t="shared" si="7"/>
        <v>5.5870503251695851</v>
      </c>
      <c r="M14" s="824">
        <f t="shared" si="8"/>
        <v>1.804275348107472</v>
      </c>
      <c r="N14" s="822">
        <f>'RRT - Subgrupo - IGEO'!CZ13</f>
        <v>711</v>
      </c>
      <c r="O14" s="823">
        <f t="shared" si="9"/>
        <v>541.26204951710963</v>
      </c>
      <c r="P14" s="824">
        <f t="shared" si="10"/>
        <v>3.178475112936884</v>
      </c>
      <c r="Q14" s="824">
        <f t="shared" si="11"/>
        <v>13.943910570700139</v>
      </c>
      <c r="R14" s="822">
        <f>'RRT - Subgrupo - IGEO'!DC13</f>
        <v>48</v>
      </c>
      <c r="S14" s="823">
        <f t="shared" si="12"/>
        <v>36.540897857695171</v>
      </c>
      <c r="T14" s="824">
        <f t="shared" si="13"/>
        <v>6.6090406534501112</v>
      </c>
      <c r="U14" s="824">
        <f t="shared" si="14"/>
        <v>0.94136105118650726</v>
      </c>
      <c r="V14" s="822">
        <f>'RRT - Subgrupo - IGEO'!DF13</f>
        <v>445</v>
      </c>
      <c r="W14" s="823">
        <f t="shared" si="15"/>
        <v>338.76457388904896</v>
      </c>
      <c r="X14" s="824">
        <f t="shared" si="16"/>
        <v>4.4065755198397563</v>
      </c>
      <c r="Y14" s="824">
        <f t="shared" si="17"/>
        <v>8.7272014120415768</v>
      </c>
      <c r="Z14" s="822">
        <f>'RRT - Subgrupo - IGEO'!DI13</f>
        <v>2714</v>
      </c>
      <c r="AA14" s="823">
        <f t="shared" si="18"/>
        <v>2066.0832663705141</v>
      </c>
      <c r="AB14" s="824">
        <f t="shared" si="19"/>
        <v>5.4696416514324415</v>
      </c>
      <c r="AC14" s="824">
        <f t="shared" si="20"/>
        <v>53.226122769170424</v>
      </c>
      <c r="AD14" s="822">
        <f>'RRT - Subgrupo - IGEO'!DL13</f>
        <v>197</v>
      </c>
      <c r="AE14" s="823">
        <f t="shared" si="21"/>
        <v>149.96993495762391</v>
      </c>
      <c r="AF14" s="824">
        <f t="shared" si="22"/>
        <v>3.9644583833416505</v>
      </c>
      <c r="AG14" s="824">
        <f t="shared" si="23"/>
        <v>3.8635026475779566</v>
      </c>
      <c r="AH14" s="822">
        <f>'RRT - Subgrupo - IGEO'!DO13</f>
        <v>11</v>
      </c>
      <c r="AI14" s="823">
        <f t="shared" si="24"/>
        <v>8.3739557590551428</v>
      </c>
      <c r="AJ14" s="824">
        <f t="shared" si="25"/>
        <v>19.99502577937286</v>
      </c>
      <c r="AK14" s="824">
        <f t="shared" si="26"/>
        <v>0.21572857423024122</v>
      </c>
      <c r="AL14" s="822">
        <f>'RRT - Subgrupo - IGEO'!DR13</f>
        <v>3</v>
      </c>
      <c r="AM14" s="823">
        <f t="shared" si="27"/>
        <v>2.2838061161059482</v>
      </c>
      <c r="AN14" s="824">
        <f t="shared" si="28"/>
        <v>15.018185435799374</v>
      </c>
      <c r="AO14" s="824">
        <f t="shared" si="29"/>
        <v>5.8835065699156704E-2</v>
      </c>
      <c r="AP14" s="822">
        <f>'RRT - Subgrupo - IGEO'!DU13</f>
        <v>509</v>
      </c>
      <c r="AQ14" s="823">
        <f t="shared" si="30"/>
        <v>387.4857710326425</v>
      </c>
      <c r="AR14" s="824">
        <f t="shared" si="31"/>
        <v>13.898342210945703</v>
      </c>
      <c r="AS14" s="824">
        <f t="shared" si="32"/>
        <v>9.982349480290253</v>
      </c>
      <c r="AT14" s="822">
        <f t="shared" si="33"/>
        <v>5099</v>
      </c>
      <c r="AU14" s="823">
        <f>'RRT - Atividades '!X13</f>
        <v>3881.7091286747427</v>
      </c>
      <c r="AV14" s="826">
        <f t="shared" si="34"/>
        <v>3881.7091286747427</v>
      </c>
      <c r="AW14" s="826">
        <f t="shared" si="35"/>
        <v>0</v>
      </c>
      <c r="AX14" s="829" t="str">
        <f>AL2</f>
        <v>ARBITRAGEM</v>
      </c>
      <c r="AY14" s="771">
        <f>AM31</f>
        <v>15.20693778798309</v>
      </c>
      <c r="AZ14" s="39">
        <f t="shared" si="36"/>
        <v>2.0356233861845927E-4</v>
      </c>
    </row>
    <row r="15" spans="1:52" s="323" customFormat="1" ht="15.75">
      <c r="A15" s="828" t="s">
        <v>98</v>
      </c>
      <c r="B15" s="822">
        <f>'RRT - Subgrupo - IGEO'!CQ14</f>
        <v>18</v>
      </c>
      <c r="C15" s="823">
        <f t="shared" si="0"/>
        <v>14.274482870071106</v>
      </c>
      <c r="D15" s="824">
        <f t="shared" si="1"/>
        <v>0.60510995350917851</v>
      </c>
      <c r="E15" s="825">
        <f t="shared" si="2"/>
        <v>0.55248618784530379</v>
      </c>
      <c r="F15" s="822">
        <f>'RRT - Subgrupo - IGEO'!CT14</f>
        <v>14</v>
      </c>
      <c r="G15" s="823">
        <f t="shared" si="3"/>
        <v>11.102375565610862</v>
      </c>
      <c r="H15" s="824">
        <f t="shared" si="4"/>
        <v>0.78166066442122828</v>
      </c>
      <c r="I15" s="824">
        <f t="shared" si="5"/>
        <v>0.42971147943523635</v>
      </c>
      <c r="J15" s="822">
        <f>'RRT - Subgrupo - IGEO'!CW14</f>
        <v>27</v>
      </c>
      <c r="K15" s="823">
        <f t="shared" si="6"/>
        <v>21.411724305106659</v>
      </c>
      <c r="L15" s="824">
        <f t="shared" si="7"/>
        <v>1.708080842655215</v>
      </c>
      <c r="M15" s="824">
        <f t="shared" si="8"/>
        <v>0.82872928176795579</v>
      </c>
      <c r="N15" s="822">
        <f>'RRT - Subgrupo - IGEO'!CZ14</f>
        <v>1248</v>
      </c>
      <c r="O15" s="823">
        <f t="shared" si="9"/>
        <v>989.69747899159677</v>
      </c>
      <c r="P15" s="824">
        <f t="shared" si="10"/>
        <v>5.8118406954961044</v>
      </c>
      <c r="Q15" s="824">
        <f t="shared" si="11"/>
        <v>38.30570902394107</v>
      </c>
      <c r="R15" s="822">
        <f>'RRT - Subgrupo - IGEO'!DC14</f>
        <v>13</v>
      </c>
      <c r="S15" s="823">
        <f t="shared" si="12"/>
        <v>10.3093487394958</v>
      </c>
      <c r="T15" s="824">
        <f t="shared" si="13"/>
        <v>1.864620436948947</v>
      </c>
      <c r="U15" s="824">
        <f t="shared" si="14"/>
        <v>0.3990178023327195</v>
      </c>
      <c r="V15" s="822">
        <f>'RRT - Subgrupo - IGEO'!DF14</f>
        <v>291</v>
      </c>
      <c r="W15" s="823">
        <f t="shared" si="15"/>
        <v>230.77080639948289</v>
      </c>
      <c r="X15" s="824">
        <f t="shared" si="16"/>
        <v>3.0018162008483671</v>
      </c>
      <c r="Y15" s="824">
        <f t="shared" si="17"/>
        <v>8.9318600368324113</v>
      </c>
      <c r="Z15" s="822">
        <f>'RRT - Subgrupo - IGEO'!DI14</f>
        <v>1496</v>
      </c>
      <c r="AA15" s="823">
        <f t="shared" si="18"/>
        <v>1186.368131868132</v>
      </c>
      <c r="AB15" s="824">
        <f t="shared" si="19"/>
        <v>3.1407294437833877</v>
      </c>
      <c r="AC15" s="824">
        <f t="shared" si="20"/>
        <v>45.917740945365253</v>
      </c>
      <c r="AD15" s="822">
        <f>'RRT - Subgrupo - IGEO'!DL14</f>
        <v>79</v>
      </c>
      <c r="AE15" s="823">
        <f t="shared" si="21"/>
        <v>62.649119263089858</v>
      </c>
      <c r="AF15" s="824">
        <f t="shared" si="22"/>
        <v>1.6561307847583442</v>
      </c>
      <c r="AG15" s="824">
        <f t="shared" si="23"/>
        <v>2.4248004910988339</v>
      </c>
      <c r="AH15" s="822">
        <f>'RRT - Subgrupo - IGEO'!DO14</f>
        <v>2</v>
      </c>
      <c r="AI15" s="823">
        <f t="shared" si="24"/>
        <v>1.586053652230123</v>
      </c>
      <c r="AJ15" s="824">
        <f t="shared" si="25"/>
        <v>3.7871209947003681</v>
      </c>
      <c r="AK15" s="824">
        <f t="shared" si="26"/>
        <v>6.1387354205033759E-2</v>
      </c>
      <c r="AL15" s="822">
        <f>'RRT - Subgrupo - IGEO'!DR14</f>
        <v>0</v>
      </c>
      <c r="AM15" s="823">
        <f t="shared" si="27"/>
        <v>0</v>
      </c>
      <c r="AN15" s="824">
        <f t="shared" si="28"/>
        <v>0</v>
      </c>
      <c r="AO15" s="824">
        <f t="shared" si="29"/>
        <v>0</v>
      </c>
      <c r="AP15" s="822">
        <f>'RRT - Subgrupo - IGEO'!DU14</f>
        <v>70</v>
      </c>
      <c r="AQ15" s="823">
        <f t="shared" si="30"/>
        <v>55.51187782805431</v>
      </c>
      <c r="AR15" s="824">
        <f t="shared" si="31"/>
        <v>1.9911004029139268</v>
      </c>
      <c r="AS15" s="824">
        <f t="shared" si="32"/>
        <v>2.148557397176182</v>
      </c>
      <c r="AT15" s="822">
        <f t="shared" si="33"/>
        <v>3258</v>
      </c>
      <c r="AU15" s="823">
        <f>'RRT - Atividades '!X14</f>
        <v>2583.6813994828703</v>
      </c>
      <c r="AV15" s="826">
        <f t="shared" si="34"/>
        <v>2583.6813994828703</v>
      </c>
      <c r="AW15" s="826">
        <f t="shared" si="35"/>
        <v>0</v>
      </c>
      <c r="AX15" s="829" t="str">
        <f>AP2</f>
        <v>MENSURAÇÃO</v>
      </c>
      <c r="AY15" s="771">
        <f>AQ31</f>
        <v>2787.9999294266645</v>
      </c>
      <c r="AZ15" s="39">
        <f t="shared" si="36"/>
        <v>3.7320583119020138E-2</v>
      </c>
    </row>
    <row r="16" spans="1:52" s="323" customFormat="1" ht="15.75">
      <c r="A16" s="828" t="s">
        <v>97</v>
      </c>
      <c r="B16" s="822">
        <f>'RRT - Subgrupo - IGEO'!CQ15</f>
        <v>9</v>
      </c>
      <c r="C16" s="823">
        <f t="shared" si="0"/>
        <v>4.2798537051122292</v>
      </c>
      <c r="D16" s="824">
        <f t="shared" si="1"/>
        <v>0.18142738340150083</v>
      </c>
      <c r="E16" s="825">
        <f t="shared" si="2"/>
        <v>0.31077348066298338</v>
      </c>
      <c r="F16" s="822">
        <f>'RRT - Subgrupo - IGEO'!CT15</f>
        <v>20</v>
      </c>
      <c r="G16" s="823">
        <f t="shared" si="3"/>
        <v>9.5107860113605103</v>
      </c>
      <c r="H16" s="824">
        <f t="shared" si="4"/>
        <v>0.66960510107722548</v>
      </c>
      <c r="I16" s="824">
        <f t="shared" si="5"/>
        <v>0.69060773480662985</v>
      </c>
      <c r="J16" s="822">
        <f>'RRT - Subgrupo - IGEO'!CW15</f>
        <v>19</v>
      </c>
      <c r="K16" s="823">
        <f t="shared" si="6"/>
        <v>9.0352467107924852</v>
      </c>
      <c r="L16" s="824">
        <f t="shared" si="7"/>
        <v>0.72077015355962992</v>
      </c>
      <c r="M16" s="824">
        <f t="shared" si="8"/>
        <v>0.65607734806629836</v>
      </c>
      <c r="N16" s="822">
        <f>'RRT - Subgrupo - IGEO'!CZ15</f>
        <v>1035</v>
      </c>
      <c r="O16" s="823">
        <f t="shared" si="9"/>
        <v>492.18317608790642</v>
      </c>
      <c r="P16" s="824">
        <f t="shared" si="10"/>
        <v>2.8902672515047469</v>
      </c>
      <c r="Q16" s="824">
        <f t="shared" si="11"/>
        <v>35.738950276243095</v>
      </c>
      <c r="R16" s="822">
        <f>'RRT - Subgrupo - IGEO'!DC15</f>
        <v>8</v>
      </c>
      <c r="S16" s="823">
        <f t="shared" si="12"/>
        <v>3.8043144045442041</v>
      </c>
      <c r="T16" s="824">
        <f t="shared" si="13"/>
        <v>0.68807473357810911</v>
      </c>
      <c r="U16" s="824">
        <f t="shared" si="14"/>
        <v>0.27624309392265189</v>
      </c>
      <c r="V16" s="822">
        <f>'RRT - Subgrupo - IGEO'!DF15</f>
        <v>189</v>
      </c>
      <c r="W16" s="823">
        <f t="shared" si="15"/>
        <v>89.876927807356836</v>
      </c>
      <c r="X16" s="824">
        <f t="shared" si="16"/>
        <v>1.169099428926758</v>
      </c>
      <c r="Y16" s="824">
        <f t="shared" si="17"/>
        <v>6.5262430939226528</v>
      </c>
      <c r="Z16" s="822">
        <f>'RRT - Subgrupo - IGEO'!DI15</f>
        <v>1531</v>
      </c>
      <c r="AA16" s="823">
        <f t="shared" si="18"/>
        <v>728.05066916964711</v>
      </c>
      <c r="AB16" s="824">
        <f t="shared" si="19"/>
        <v>1.9274035704471129</v>
      </c>
      <c r="AC16" s="824">
        <f t="shared" si="20"/>
        <v>52.86602209944752</v>
      </c>
      <c r="AD16" s="822">
        <f>'RRT - Subgrupo - IGEO'!DL15</f>
        <v>36</v>
      </c>
      <c r="AE16" s="823">
        <f t="shared" si="21"/>
        <v>17.119414820448917</v>
      </c>
      <c r="AF16" s="824">
        <f t="shared" si="22"/>
        <v>0.4525520906707694</v>
      </c>
      <c r="AG16" s="824">
        <f t="shared" si="23"/>
        <v>1.2430939226519335</v>
      </c>
      <c r="AH16" s="822">
        <f>'RRT - Subgrupo - IGEO'!DO15</f>
        <v>22</v>
      </c>
      <c r="AI16" s="823">
        <f t="shared" si="24"/>
        <v>10.46186461249656</v>
      </c>
      <c r="AJ16" s="824">
        <f t="shared" si="25"/>
        <v>24.980458297857112</v>
      </c>
      <c r="AK16" s="824">
        <f t="shared" si="26"/>
        <v>0.75966850828729271</v>
      </c>
      <c r="AL16" s="822">
        <f>'RRT - Subgrupo - IGEO'!DR15</f>
        <v>1</v>
      </c>
      <c r="AM16" s="823">
        <f t="shared" si="27"/>
        <v>0.47553930056802551</v>
      </c>
      <c r="AN16" s="824">
        <f t="shared" si="28"/>
        <v>3.1271207076536398</v>
      </c>
      <c r="AO16" s="824">
        <f t="shared" si="29"/>
        <v>3.4530386740331487E-2</v>
      </c>
      <c r="AP16" s="822">
        <f>'RRT - Subgrupo - IGEO'!DU15</f>
        <v>26</v>
      </c>
      <c r="AQ16" s="823">
        <f t="shared" si="30"/>
        <v>12.364021814768662</v>
      </c>
      <c r="AR16" s="824">
        <f t="shared" si="31"/>
        <v>0.44347281663350868</v>
      </c>
      <c r="AS16" s="824">
        <f t="shared" si="32"/>
        <v>0.89779005524861877</v>
      </c>
      <c r="AT16" s="822">
        <f t="shared" si="33"/>
        <v>2896</v>
      </c>
      <c r="AU16" s="823">
        <f>'RRT - Atividades '!X15</f>
        <v>1377.1618144450019</v>
      </c>
      <c r="AV16" s="826">
        <f t="shared" si="34"/>
        <v>1377.1618144450019</v>
      </c>
      <c r="AW16" s="826">
        <f t="shared" si="35"/>
        <v>0</v>
      </c>
      <c r="AX16" s="827" t="s">
        <v>128</v>
      </c>
      <c r="AY16" s="830">
        <f>SUM(AY5:AY15)</f>
        <v>74704.082745314401</v>
      </c>
      <c r="AZ16" s="831">
        <f>SUM(AZ5:AZ15)</f>
        <v>0.99999999999999989</v>
      </c>
    </row>
    <row r="17" spans="1:54" s="323" customFormat="1" ht="15.75">
      <c r="A17" s="828" t="s">
        <v>100</v>
      </c>
      <c r="B17" s="822">
        <f>'RRT - Subgrupo - IGEO'!CQ16</f>
        <v>8</v>
      </c>
      <c r="C17" s="823">
        <f t="shared" si="0"/>
        <v>4.6156848030018756</v>
      </c>
      <c r="D17" s="824">
        <f t="shared" si="1"/>
        <v>0.19566360771033478</v>
      </c>
      <c r="E17" s="825">
        <f t="shared" si="2"/>
        <v>1.2618296529968451</v>
      </c>
      <c r="F17" s="822">
        <f>'RRT - Subgrupo - IGEO'!CT16</f>
        <v>11</v>
      </c>
      <c r="G17" s="823">
        <f t="shared" si="3"/>
        <v>6.3465666041275792</v>
      </c>
      <c r="H17" s="824">
        <f t="shared" si="4"/>
        <v>0.44682882859250417</v>
      </c>
      <c r="I17" s="824">
        <f t="shared" si="5"/>
        <v>1.7350157728706623</v>
      </c>
      <c r="J17" s="822">
        <f>'RRT - Subgrupo - IGEO'!CW16</f>
        <v>14</v>
      </c>
      <c r="K17" s="823">
        <f t="shared" si="6"/>
        <v>8.0774484052532838</v>
      </c>
      <c r="L17" s="824">
        <f t="shared" si="7"/>
        <v>0.64436355904594322</v>
      </c>
      <c r="M17" s="824">
        <f t="shared" si="8"/>
        <v>2.2082018927444795</v>
      </c>
      <c r="N17" s="822">
        <f>'RRT - Subgrupo - IGEO'!CZ16</f>
        <v>115</v>
      </c>
      <c r="O17" s="823">
        <f t="shared" si="9"/>
        <v>66.350469043151975</v>
      </c>
      <c r="P17" s="824">
        <f t="shared" si="10"/>
        <v>0.38963255372050848</v>
      </c>
      <c r="Q17" s="824">
        <f t="shared" si="11"/>
        <v>18.138801261829656</v>
      </c>
      <c r="R17" s="822">
        <f>'RRT - Subgrupo - IGEO'!DC16</f>
        <v>1</v>
      </c>
      <c r="S17" s="823">
        <f t="shared" si="12"/>
        <v>0.57696060037523444</v>
      </c>
      <c r="T17" s="824">
        <f t="shared" si="13"/>
        <v>0.10435310260215441</v>
      </c>
      <c r="U17" s="824">
        <f t="shared" si="14"/>
        <v>0.15772870662460564</v>
      </c>
      <c r="V17" s="822">
        <f>'RRT - Subgrupo - IGEO'!DF16</f>
        <v>173</v>
      </c>
      <c r="W17" s="823">
        <f t="shared" si="15"/>
        <v>99.814183864915577</v>
      </c>
      <c r="X17" s="824">
        <f t="shared" si="16"/>
        <v>1.2983610833403607</v>
      </c>
      <c r="Y17" s="824">
        <f t="shared" si="17"/>
        <v>27.287066246056785</v>
      </c>
      <c r="Z17" s="822">
        <f>'RRT - Subgrupo - IGEO'!DI16</f>
        <v>205</v>
      </c>
      <c r="AA17" s="823">
        <f t="shared" si="18"/>
        <v>118.27692307692307</v>
      </c>
      <c r="AB17" s="824">
        <f t="shared" si="19"/>
        <v>0.31312018997243735</v>
      </c>
      <c r="AC17" s="824">
        <f t="shared" si="20"/>
        <v>32.33438485804416</v>
      </c>
      <c r="AD17" s="822">
        <f>'RRT - Subgrupo - IGEO'!DL16</f>
        <v>26</v>
      </c>
      <c r="AE17" s="823">
        <f t="shared" si="21"/>
        <v>15.000975609756098</v>
      </c>
      <c r="AF17" s="824">
        <f t="shared" si="22"/>
        <v>0.39655110560130258</v>
      </c>
      <c r="AG17" s="824">
        <f t="shared" si="23"/>
        <v>4.1009463722397479</v>
      </c>
      <c r="AH17" s="822">
        <f>'RRT - Subgrupo - IGEO'!DO16</f>
        <v>0</v>
      </c>
      <c r="AI17" s="823">
        <f t="shared" si="24"/>
        <v>0</v>
      </c>
      <c r="AJ17" s="824">
        <f t="shared" si="25"/>
        <v>0</v>
      </c>
      <c r="AK17" s="824">
        <f t="shared" si="26"/>
        <v>0</v>
      </c>
      <c r="AL17" s="822">
        <f>'RRT - Subgrupo - IGEO'!DR16</f>
        <v>0</v>
      </c>
      <c r="AM17" s="823">
        <f t="shared" si="27"/>
        <v>0</v>
      </c>
      <c r="AN17" s="824">
        <f t="shared" si="28"/>
        <v>0</v>
      </c>
      <c r="AO17" s="824">
        <f t="shared" si="29"/>
        <v>0</v>
      </c>
      <c r="AP17" s="822">
        <f>'RRT - Subgrupo - IGEO'!DU16</f>
        <v>81</v>
      </c>
      <c r="AQ17" s="823">
        <f t="shared" si="30"/>
        <v>46.733808630394002</v>
      </c>
      <c r="AR17" s="824">
        <f t="shared" si="31"/>
        <v>1.6762485585860303</v>
      </c>
      <c r="AS17" s="824">
        <f t="shared" si="32"/>
        <v>12.77602523659306</v>
      </c>
      <c r="AT17" s="822">
        <f t="shared" si="33"/>
        <v>634</v>
      </c>
      <c r="AU17" s="823">
        <f>'RRT - Atividades '!X16</f>
        <v>365.79302063789868</v>
      </c>
      <c r="AV17" s="826">
        <f t="shared" si="34"/>
        <v>365.79302063789868</v>
      </c>
      <c r="AW17" s="826">
        <f t="shared" si="35"/>
        <v>0</v>
      </c>
    </row>
    <row r="18" spans="1:54" s="323" customFormat="1" ht="15.75">
      <c r="A18" s="828" t="s">
        <v>101</v>
      </c>
      <c r="B18" s="822">
        <f>'RRT - Subgrupo - IGEO'!CQ17</f>
        <v>17</v>
      </c>
      <c r="C18" s="823">
        <f t="shared" si="0"/>
        <v>10.282536858159634</v>
      </c>
      <c r="D18" s="824">
        <f t="shared" si="1"/>
        <v>0.43588727219274714</v>
      </c>
      <c r="E18" s="825">
        <f t="shared" si="2"/>
        <v>4.1975308641975309</v>
      </c>
      <c r="F18" s="822">
        <f>'RRT - Subgrupo - IGEO'!CT17</f>
        <v>22</v>
      </c>
      <c r="G18" s="823">
        <f t="shared" si="3"/>
        <v>13.306812404677174</v>
      </c>
      <c r="H18" s="824">
        <f t="shared" si="4"/>
        <v>0.93686362563580849</v>
      </c>
      <c r="I18" s="824">
        <f t="shared" si="5"/>
        <v>5.4320987654320989</v>
      </c>
      <c r="J18" s="822">
        <f>'RRT - Subgrupo - IGEO'!CW17</f>
        <v>4</v>
      </c>
      <c r="K18" s="823">
        <f t="shared" si="6"/>
        <v>2.4194204372140318</v>
      </c>
      <c r="L18" s="824">
        <f t="shared" si="7"/>
        <v>0.19300480616351773</v>
      </c>
      <c r="M18" s="824">
        <f t="shared" si="8"/>
        <v>0.98765432098765427</v>
      </c>
      <c r="N18" s="822">
        <f>'RRT - Subgrupo - IGEO'!CZ17</f>
        <v>66</v>
      </c>
      <c r="O18" s="823">
        <f t="shared" si="9"/>
        <v>39.920437214031523</v>
      </c>
      <c r="P18" s="824">
        <f t="shared" si="10"/>
        <v>0.23442640454020544</v>
      </c>
      <c r="Q18" s="824">
        <f t="shared" si="11"/>
        <v>16.296296296296294</v>
      </c>
      <c r="R18" s="822">
        <f>'RRT - Subgrupo - IGEO'!DC17</f>
        <v>2</v>
      </c>
      <c r="S18" s="823">
        <f t="shared" si="12"/>
        <v>1.2097102186070159</v>
      </c>
      <c r="T18" s="824">
        <f t="shared" si="13"/>
        <v>0.21879659456654849</v>
      </c>
      <c r="U18" s="824">
        <f t="shared" si="14"/>
        <v>0.49382716049382713</v>
      </c>
      <c r="V18" s="822">
        <f>'RRT - Subgrupo - IGEO'!DF17</f>
        <v>141</v>
      </c>
      <c r="W18" s="823">
        <f t="shared" si="15"/>
        <v>85.284570411794618</v>
      </c>
      <c r="X18" s="824">
        <f t="shared" si="16"/>
        <v>1.1093630478603382</v>
      </c>
      <c r="Y18" s="824">
        <f t="shared" si="17"/>
        <v>34.814814814814817</v>
      </c>
      <c r="Z18" s="822">
        <f>'RRT - Subgrupo - IGEO'!DI17</f>
        <v>76</v>
      </c>
      <c r="AA18" s="823">
        <f t="shared" si="18"/>
        <v>45.968988307066603</v>
      </c>
      <c r="AB18" s="824">
        <f t="shared" si="19"/>
        <v>0.12169591478287124</v>
      </c>
      <c r="AC18" s="824">
        <f t="shared" si="20"/>
        <v>18.765432098765434</v>
      </c>
      <c r="AD18" s="822">
        <f>'RRT - Subgrupo - IGEO'!DL17</f>
        <v>31</v>
      </c>
      <c r="AE18" s="823">
        <f t="shared" si="21"/>
        <v>18.750508388408747</v>
      </c>
      <c r="AF18" s="824">
        <f t="shared" si="22"/>
        <v>0.49567008342938584</v>
      </c>
      <c r="AG18" s="824">
        <f t="shared" si="23"/>
        <v>7.6543209876543212</v>
      </c>
      <c r="AH18" s="822">
        <f>'RRT - Subgrupo - IGEO'!DO17</f>
        <v>1</v>
      </c>
      <c r="AI18" s="823">
        <f t="shared" si="24"/>
        <v>0.60485510930350794</v>
      </c>
      <c r="AJ18" s="824">
        <f t="shared" si="25"/>
        <v>1.4442509431974406</v>
      </c>
      <c r="AK18" s="824">
        <f t="shared" si="26"/>
        <v>0.24691358024691357</v>
      </c>
      <c r="AL18" s="822">
        <f>'RRT - Subgrupo - IGEO'!DR17</f>
        <v>0</v>
      </c>
      <c r="AM18" s="823">
        <f t="shared" si="27"/>
        <v>0</v>
      </c>
      <c r="AN18" s="824">
        <f t="shared" si="28"/>
        <v>0</v>
      </c>
      <c r="AO18" s="824">
        <f t="shared" si="29"/>
        <v>0</v>
      </c>
      <c r="AP18" s="822">
        <f>'RRT - Subgrupo - IGEO'!DU17</f>
        <v>45</v>
      </c>
      <c r="AQ18" s="823">
        <f t="shared" si="30"/>
        <v>27.218479918657856</v>
      </c>
      <c r="AR18" s="824">
        <f t="shared" si="31"/>
        <v>0.97627261863866588</v>
      </c>
      <c r="AS18" s="824">
        <f t="shared" si="32"/>
        <v>11.111111111111111</v>
      </c>
      <c r="AT18" s="822">
        <f t="shared" si="33"/>
        <v>405</v>
      </c>
      <c r="AU18" s="823">
        <f>'RRT - Atividades '!X17</f>
        <v>244.96631926792071</v>
      </c>
      <c r="AV18" s="826">
        <f t="shared" si="34"/>
        <v>244.96631926792071</v>
      </c>
      <c r="AW18" s="826">
        <f t="shared" si="35"/>
        <v>0</v>
      </c>
    </row>
    <row r="19" spans="1:54" s="323" customFormat="1" ht="16.5" thickBot="1">
      <c r="A19" s="828" t="s">
        <v>103</v>
      </c>
      <c r="B19" s="822">
        <f>'RRT - Subgrupo - IGEO'!CQ18</f>
        <v>68</v>
      </c>
      <c r="C19" s="823">
        <f t="shared" si="0"/>
        <v>49.811298720256922</v>
      </c>
      <c r="D19" s="824">
        <f t="shared" si="1"/>
        <v>2.1115519859597076</v>
      </c>
      <c r="E19" s="825">
        <f t="shared" si="2"/>
        <v>3.4535297105129508</v>
      </c>
      <c r="F19" s="822">
        <f>'RRT - Subgrupo - IGEO'!CT18</f>
        <v>72</v>
      </c>
      <c r="G19" s="823">
        <f t="shared" si="3"/>
        <v>52.74137511556615</v>
      </c>
      <c r="H19" s="824">
        <f t="shared" si="4"/>
        <v>3.7132465994951582</v>
      </c>
      <c r="I19" s="824">
        <f t="shared" si="5"/>
        <v>3.6566785170137126</v>
      </c>
      <c r="J19" s="822">
        <f>'RRT - Subgrupo - IGEO'!CW18</f>
        <v>35</v>
      </c>
      <c r="K19" s="823">
        <f t="shared" si="6"/>
        <v>25.638168458955764</v>
      </c>
      <c r="L19" s="824">
        <f t="shared" si="7"/>
        <v>2.0452376353017576</v>
      </c>
      <c r="M19" s="824">
        <f t="shared" si="8"/>
        <v>1.7775520568816656</v>
      </c>
      <c r="N19" s="822">
        <f>'RRT - Subgrupo - IGEO'!CZ18</f>
        <v>224</v>
      </c>
      <c r="O19" s="823">
        <f t="shared" si="9"/>
        <v>164.08427813731691</v>
      </c>
      <c r="P19" s="824">
        <f t="shared" si="10"/>
        <v>0.96355876963657217</v>
      </c>
      <c r="Q19" s="824">
        <f t="shared" si="11"/>
        <v>11.376333164042661</v>
      </c>
      <c r="R19" s="822">
        <f>'RRT - Subgrupo - IGEO'!DC18</f>
        <v>4</v>
      </c>
      <c r="S19" s="823">
        <f t="shared" si="12"/>
        <v>2.9300763953092304</v>
      </c>
      <c r="T19" s="824">
        <f t="shared" si="13"/>
        <v>0.52995397348276096</v>
      </c>
      <c r="U19" s="824">
        <f t="shared" si="14"/>
        <v>0.20314880650076178</v>
      </c>
      <c r="V19" s="822">
        <f>'RRT - Subgrupo - IGEO'!DF18</f>
        <v>136</v>
      </c>
      <c r="W19" s="823">
        <f t="shared" si="15"/>
        <v>99.622597440513843</v>
      </c>
      <c r="X19" s="824">
        <f t="shared" si="16"/>
        <v>1.2958689690144432</v>
      </c>
      <c r="Y19" s="824">
        <f t="shared" si="17"/>
        <v>6.9070594210259015</v>
      </c>
      <c r="Z19" s="822">
        <f>'RRT - Subgrupo - IGEO'!DI18</f>
        <v>1260</v>
      </c>
      <c r="AA19" s="823">
        <f t="shared" si="18"/>
        <v>922.97406452240762</v>
      </c>
      <c r="AB19" s="824">
        <f t="shared" si="19"/>
        <v>2.4434336547200548</v>
      </c>
      <c r="AC19" s="824">
        <f t="shared" si="20"/>
        <v>63.991874047739969</v>
      </c>
      <c r="AD19" s="822">
        <f>'RRT - Subgrupo - IGEO'!DL18</f>
        <v>130</v>
      </c>
      <c r="AE19" s="823">
        <f t="shared" si="21"/>
        <v>95.227482847549993</v>
      </c>
      <c r="AF19" s="824">
        <f t="shared" si="22"/>
        <v>2.5173405109908722</v>
      </c>
      <c r="AG19" s="824">
        <f t="shared" si="23"/>
        <v>6.6023362112747588</v>
      </c>
      <c r="AH19" s="822">
        <f>'RRT - Subgrupo - IGEO'!DO18</f>
        <v>0</v>
      </c>
      <c r="AI19" s="823">
        <f t="shared" si="24"/>
        <v>0</v>
      </c>
      <c r="AJ19" s="824">
        <f t="shared" si="25"/>
        <v>0</v>
      </c>
      <c r="AK19" s="824">
        <f t="shared" si="26"/>
        <v>0</v>
      </c>
      <c r="AL19" s="822">
        <f>'RRT - Subgrupo - IGEO'!DR18</f>
        <v>0</v>
      </c>
      <c r="AM19" s="823">
        <f t="shared" si="27"/>
        <v>0</v>
      </c>
      <c r="AN19" s="824">
        <f t="shared" si="28"/>
        <v>0</v>
      </c>
      <c r="AO19" s="824">
        <f t="shared" si="29"/>
        <v>0</v>
      </c>
      <c r="AP19" s="822">
        <f>'RRT - Subgrupo - IGEO'!DU18</f>
        <v>40</v>
      </c>
      <c r="AQ19" s="823">
        <f t="shared" si="30"/>
        <v>29.300763953092307</v>
      </c>
      <c r="AR19" s="824">
        <f t="shared" si="31"/>
        <v>1.0509599962263212</v>
      </c>
      <c r="AS19" s="824">
        <f t="shared" si="32"/>
        <v>2.0314880650076179</v>
      </c>
      <c r="AT19" s="822">
        <f t="shared" si="33"/>
        <v>1969</v>
      </c>
      <c r="AU19" s="823">
        <f>'RRT - Atividades '!X18</f>
        <v>1442.3301055909687</v>
      </c>
      <c r="AV19" s="826">
        <f t="shared" si="34"/>
        <v>1442.3301055909685</v>
      </c>
      <c r="AW19" s="826">
        <f t="shared" si="35"/>
        <v>0</v>
      </c>
    </row>
    <row r="20" spans="1:54" s="323" customFormat="1" ht="15.75" customHeight="1">
      <c r="A20" s="828" t="s">
        <v>104</v>
      </c>
      <c r="B20" s="822">
        <f>'RRT - Subgrupo - IGEO'!CQ19</f>
        <v>4</v>
      </c>
      <c r="C20" s="823">
        <f t="shared" si="0"/>
        <v>3.0792227204783256</v>
      </c>
      <c r="D20" s="824">
        <f t="shared" si="1"/>
        <v>0.13053140587948769</v>
      </c>
      <c r="E20" s="825">
        <f t="shared" si="2"/>
        <v>1.0050251256281406</v>
      </c>
      <c r="F20" s="822">
        <f>'RRT - Subgrupo - IGEO'!CT19</f>
        <v>19</v>
      </c>
      <c r="G20" s="823">
        <f t="shared" si="3"/>
        <v>14.626307922272046</v>
      </c>
      <c r="H20" s="824">
        <f t="shared" si="4"/>
        <v>1.0297624594834718</v>
      </c>
      <c r="I20" s="824">
        <f t="shared" si="5"/>
        <v>4.7738693467336679</v>
      </c>
      <c r="J20" s="822">
        <f>'RRT - Subgrupo - IGEO'!CW19</f>
        <v>4</v>
      </c>
      <c r="K20" s="823">
        <f t="shared" si="6"/>
        <v>3.0792227204783256</v>
      </c>
      <c r="L20" s="824">
        <f t="shared" si="7"/>
        <v>0.24563931723440438</v>
      </c>
      <c r="M20" s="824">
        <f t="shared" si="8"/>
        <v>1.0050251256281406</v>
      </c>
      <c r="N20" s="822">
        <f>'RRT - Subgrupo - IGEO'!CZ19</f>
        <v>77</v>
      </c>
      <c r="O20" s="823">
        <f t="shared" si="9"/>
        <v>59.275037369207766</v>
      </c>
      <c r="P20" s="824">
        <f t="shared" si="10"/>
        <v>0.34808320898263001</v>
      </c>
      <c r="Q20" s="824">
        <f t="shared" si="11"/>
        <v>19.346733668341709</v>
      </c>
      <c r="R20" s="822">
        <f>'RRT - Subgrupo - IGEO'!DC19</f>
        <v>0</v>
      </c>
      <c r="S20" s="823">
        <f t="shared" si="12"/>
        <v>0</v>
      </c>
      <c r="T20" s="824">
        <f t="shared" si="13"/>
        <v>0</v>
      </c>
      <c r="U20" s="824">
        <f t="shared" si="14"/>
        <v>0</v>
      </c>
      <c r="V20" s="822">
        <f>'RRT - Subgrupo - IGEO'!DF19</f>
        <v>149</v>
      </c>
      <c r="W20" s="823">
        <f t="shared" si="15"/>
        <v>114.70104633781763</v>
      </c>
      <c r="X20" s="824">
        <f t="shared" si="16"/>
        <v>1.4920061359715031</v>
      </c>
      <c r="Y20" s="824">
        <f t="shared" si="17"/>
        <v>37.437185929648244</v>
      </c>
      <c r="Z20" s="822">
        <f>'RRT - Subgrupo - IGEO'!DI19</f>
        <v>98</v>
      </c>
      <c r="AA20" s="823">
        <f t="shared" si="18"/>
        <v>75.440956651718977</v>
      </c>
      <c r="AB20" s="824">
        <f t="shared" si="19"/>
        <v>0.19971847477910548</v>
      </c>
      <c r="AC20" s="824">
        <f t="shared" si="20"/>
        <v>24.623115577889447</v>
      </c>
      <c r="AD20" s="822">
        <f>'RRT - Subgrupo - IGEO'!DL19</f>
        <v>4</v>
      </c>
      <c r="AE20" s="823">
        <f t="shared" si="21"/>
        <v>3.0792227204783256</v>
      </c>
      <c r="AF20" s="824">
        <f t="shared" si="22"/>
        <v>8.1399317348679043E-2</v>
      </c>
      <c r="AG20" s="824">
        <f t="shared" si="23"/>
        <v>1.0050251256281406</v>
      </c>
      <c r="AH20" s="822">
        <f>'RRT - Subgrupo - IGEO'!DO19</f>
        <v>0</v>
      </c>
      <c r="AI20" s="823">
        <f t="shared" si="24"/>
        <v>0</v>
      </c>
      <c r="AJ20" s="824">
        <f t="shared" si="25"/>
        <v>0</v>
      </c>
      <c r="AK20" s="824">
        <f t="shared" si="26"/>
        <v>0</v>
      </c>
      <c r="AL20" s="822">
        <f>'RRT - Subgrupo - IGEO'!DR19</f>
        <v>0</v>
      </c>
      <c r="AM20" s="823">
        <f t="shared" si="27"/>
        <v>0</v>
      </c>
      <c r="AN20" s="824">
        <f t="shared" si="28"/>
        <v>0</v>
      </c>
      <c r="AO20" s="824">
        <f t="shared" si="29"/>
        <v>0</v>
      </c>
      <c r="AP20" s="822">
        <f>'RRT - Subgrupo - IGEO'!DU19</f>
        <v>43</v>
      </c>
      <c r="AQ20" s="823">
        <f t="shared" si="30"/>
        <v>33.101644245141998</v>
      </c>
      <c r="AR20" s="824">
        <f t="shared" si="31"/>
        <v>1.1872899958053138</v>
      </c>
      <c r="AS20" s="824">
        <f t="shared" si="32"/>
        <v>10.804020100502512</v>
      </c>
      <c r="AT20" s="822">
        <f t="shared" si="33"/>
        <v>398</v>
      </c>
      <c r="AU20" s="823">
        <f>'RRT - Atividades '!X19</f>
        <v>306.38266068759339</v>
      </c>
      <c r="AV20" s="826">
        <f t="shared" si="34"/>
        <v>306.38266068759333</v>
      </c>
      <c r="AW20" s="826">
        <f t="shared" si="35"/>
        <v>0</v>
      </c>
      <c r="AX20" s="1487" t="s">
        <v>640</v>
      </c>
      <c r="AY20" s="1488"/>
      <c r="AZ20" s="1488"/>
      <c r="BA20" s="1149"/>
      <c r="BB20" s="1440" t="s">
        <v>1082</v>
      </c>
    </row>
    <row r="21" spans="1:54" s="323" customFormat="1" ht="15.75" customHeight="1">
      <c r="A21" s="828" t="s">
        <v>102</v>
      </c>
      <c r="B21" s="822">
        <f>'RRT - Subgrupo - IGEO'!CQ20</f>
        <v>53</v>
      </c>
      <c r="C21" s="823">
        <f t="shared" si="0"/>
        <v>37.916531456715212</v>
      </c>
      <c r="D21" s="824">
        <f t="shared" si="1"/>
        <v>1.6073206151031627</v>
      </c>
      <c r="E21" s="825">
        <f t="shared" si="2"/>
        <v>1.3216957605985038</v>
      </c>
      <c r="F21" s="822">
        <f>'RRT - Subgrupo - IGEO'!CT20</f>
        <v>48</v>
      </c>
      <c r="G21" s="823">
        <f t="shared" si="3"/>
        <v>34.33950018721378</v>
      </c>
      <c r="H21" s="824">
        <f t="shared" si="4"/>
        <v>2.4176660547650601</v>
      </c>
      <c r="I21" s="824">
        <f t="shared" si="5"/>
        <v>1.1970074812967584</v>
      </c>
      <c r="J21" s="822">
        <f>'RRT - Subgrupo - IGEO'!CW20</f>
        <v>50</v>
      </c>
      <c r="K21" s="823">
        <f t="shared" si="6"/>
        <v>35.770312695014354</v>
      </c>
      <c r="L21" s="824">
        <f t="shared" si="7"/>
        <v>2.853510767256084</v>
      </c>
      <c r="M21" s="824">
        <f t="shared" si="8"/>
        <v>1.2468827930174564</v>
      </c>
      <c r="N21" s="822">
        <f>'RRT - Subgrupo - IGEO'!CZ20</f>
        <v>916</v>
      </c>
      <c r="O21" s="823">
        <f t="shared" si="9"/>
        <v>655.31212857266291</v>
      </c>
      <c r="P21" s="824">
        <f t="shared" si="10"/>
        <v>3.8482160235179452</v>
      </c>
      <c r="Q21" s="824">
        <f t="shared" si="11"/>
        <v>22.8428927680798</v>
      </c>
      <c r="R21" s="822">
        <f>'RRT - Subgrupo - IGEO'!DC20</f>
        <v>54</v>
      </c>
      <c r="S21" s="823">
        <f t="shared" si="12"/>
        <v>38.631937710615496</v>
      </c>
      <c r="T21" s="824">
        <f t="shared" si="13"/>
        <v>6.9872406486925511</v>
      </c>
      <c r="U21" s="824">
        <f t="shared" si="14"/>
        <v>1.3466334164588529</v>
      </c>
      <c r="V21" s="822">
        <f>'RRT - Subgrupo - IGEO'!DF20</f>
        <v>538</v>
      </c>
      <c r="W21" s="823">
        <f t="shared" si="15"/>
        <v>384.88856459835438</v>
      </c>
      <c r="X21" s="824">
        <f t="shared" si="16"/>
        <v>5.0065463078227666</v>
      </c>
      <c r="Y21" s="824">
        <f t="shared" si="17"/>
        <v>13.41645885286783</v>
      </c>
      <c r="Z21" s="822">
        <f>'RRT - Subgrupo - IGEO'!DI20</f>
        <v>2033</v>
      </c>
      <c r="AA21" s="823">
        <f t="shared" si="18"/>
        <v>1454.4209141792835</v>
      </c>
      <c r="AB21" s="824">
        <f t="shared" si="19"/>
        <v>3.8503584731530585</v>
      </c>
      <c r="AC21" s="824">
        <f t="shared" si="20"/>
        <v>50.698254364089777</v>
      </c>
      <c r="AD21" s="822">
        <f>'RRT - Subgrupo - IGEO'!DL20</f>
        <v>234</v>
      </c>
      <c r="AE21" s="823">
        <f t="shared" si="21"/>
        <v>167.40506341266715</v>
      </c>
      <c r="AF21" s="824">
        <f t="shared" si="22"/>
        <v>4.4253563705799985</v>
      </c>
      <c r="AG21" s="824">
        <f t="shared" si="23"/>
        <v>5.835411471321696</v>
      </c>
      <c r="AH21" s="822">
        <f>'RRT - Subgrupo - IGEO'!DO20</f>
        <v>0</v>
      </c>
      <c r="AI21" s="823">
        <f t="shared" si="24"/>
        <v>0</v>
      </c>
      <c r="AJ21" s="824">
        <f t="shared" si="25"/>
        <v>0</v>
      </c>
      <c r="AK21" s="824">
        <f t="shared" si="26"/>
        <v>0</v>
      </c>
      <c r="AL21" s="822">
        <f>'RRT - Subgrupo - IGEO'!DR20</f>
        <v>3</v>
      </c>
      <c r="AM21" s="823">
        <f t="shared" si="27"/>
        <v>2.1462187617008612</v>
      </c>
      <c r="AN21" s="824">
        <f t="shared" si="28"/>
        <v>14.113418438502839</v>
      </c>
      <c r="AO21" s="824">
        <f t="shared" si="29"/>
        <v>7.4812967581047399E-2</v>
      </c>
      <c r="AP21" s="822">
        <f>'RRT - Subgrupo - IGEO'!DU20</f>
        <v>81</v>
      </c>
      <c r="AQ21" s="823">
        <f t="shared" si="30"/>
        <v>57.947906565923248</v>
      </c>
      <c r="AR21" s="824">
        <f t="shared" si="31"/>
        <v>2.0784758978756463</v>
      </c>
      <c r="AS21" s="824">
        <f t="shared" si="32"/>
        <v>2.0199501246882794</v>
      </c>
      <c r="AT21" s="822">
        <f t="shared" si="33"/>
        <v>4010</v>
      </c>
      <c r="AU21" s="823">
        <f>'RRT - Atividades '!X20</f>
        <v>2868.7790781401509</v>
      </c>
      <c r="AV21" s="826">
        <f t="shared" si="34"/>
        <v>2868.7790781401509</v>
      </c>
      <c r="AW21" s="826">
        <f t="shared" si="35"/>
        <v>0</v>
      </c>
      <c r="AX21" s="1150" t="s">
        <v>613</v>
      </c>
      <c r="AY21" s="827" t="s">
        <v>527</v>
      </c>
      <c r="AZ21" s="1130" t="s">
        <v>423</v>
      </c>
      <c r="BA21" s="1151"/>
      <c r="BB21" s="1441"/>
    </row>
    <row r="22" spans="1:54" s="323" customFormat="1" ht="15.75" customHeight="1">
      <c r="A22" s="828" t="s">
        <v>105</v>
      </c>
      <c r="B22" s="822">
        <f>'RRT - Subgrupo - IGEO'!CQ21</f>
        <v>119</v>
      </c>
      <c r="C22" s="823">
        <f t="shared" si="0"/>
        <v>103.49323093409537</v>
      </c>
      <c r="D22" s="824">
        <f t="shared" si="1"/>
        <v>4.387184091295433</v>
      </c>
      <c r="E22" s="825">
        <f t="shared" si="2"/>
        <v>2.3429809017523135</v>
      </c>
      <c r="F22" s="822">
        <f>'RRT - Subgrupo - IGEO'!CT21</f>
        <v>156</v>
      </c>
      <c r="G22" s="823">
        <f t="shared" si="3"/>
        <v>135.67179853545275</v>
      </c>
      <c r="H22" s="824">
        <f t="shared" si="4"/>
        <v>9.5519474692360653</v>
      </c>
      <c r="I22" s="824">
        <f t="shared" si="5"/>
        <v>3.0714707619610158</v>
      </c>
      <c r="J22" s="822">
        <f>'RRT - Subgrupo - IGEO'!CW21</f>
        <v>129</v>
      </c>
      <c r="K22" s="823">
        <f t="shared" si="6"/>
        <v>112.19014109662439</v>
      </c>
      <c r="L22" s="824">
        <f t="shared" si="7"/>
        <v>8.9497617291955454</v>
      </c>
      <c r="M22" s="824">
        <f t="shared" si="8"/>
        <v>2.5398700531600706</v>
      </c>
      <c r="N22" s="822">
        <f>'RRT - Subgrupo - IGEO'!CZ21</f>
        <v>1240</v>
      </c>
      <c r="O22" s="823">
        <f t="shared" si="9"/>
        <v>1078.4168601535987</v>
      </c>
      <c r="P22" s="824">
        <f t="shared" si="10"/>
        <v>6.3328311202084331</v>
      </c>
      <c r="Q22" s="824">
        <f t="shared" si="11"/>
        <v>24.414254774561918</v>
      </c>
      <c r="R22" s="822">
        <f>'RRT - Subgrupo - IGEO'!DC21</f>
        <v>67</v>
      </c>
      <c r="S22" s="823">
        <f t="shared" si="12"/>
        <v>58.269298088944453</v>
      </c>
      <c r="T22" s="824">
        <f t="shared" si="13"/>
        <v>10.538990076751425</v>
      </c>
      <c r="U22" s="824">
        <f t="shared" si="14"/>
        <v>1.3191573144319748</v>
      </c>
      <c r="V22" s="822">
        <f>'RRT - Subgrupo - IGEO'!DF21</f>
        <v>975</v>
      </c>
      <c r="W22" s="823">
        <f t="shared" si="15"/>
        <v>847.94874084657965</v>
      </c>
      <c r="X22" s="824">
        <f t="shared" si="16"/>
        <v>11.029931850894378</v>
      </c>
      <c r="Y22" s="824">
        <f t="shared" si="17"/>
        <v>19.196692262256349</v>
      </c>
      <c r="Z22" s="822">
        <f>'RRT - Subgrupo - IGEO'!DI21</f>
        <v>1886</v>
      </c>
      <c r="AA22" s="823">
        <f t="shared" si="18"/>
        <v>1640.2372566529734</v>
      </c>
      <c r="AB22" s="824">
        <f t="shared" si="19"/>
        <v>4.3422790181058994</v>
      </c>
      <c r="AC22" s="824">
        <f t="shared" si="20"/>
        <v>37.133293955503049</v>
      </c>
      <c r="AD22" s="822">
        <f>'RRT - Subgrupo - IGEO'!DL21</f>
        <v>362</v>
      </c>
      <c r="AE22" s="823">
        <f t="shared" si="21"/>
        <v>314.82814788355057</v>
      </c>
      <c r="AF22" s="824">
        <f t="shared" si="22"/>
        <v>8.3224887077636041</v>
      </c>
      <c r="AG22" s="824">
        <f t="shared" si="23"/>
        <v>7.1273872809608187</v>
      </c>
      <c r="AH22" s="822">
        <f>'RRT - Subgrupo - IGEO'!DO21</f>
        <v>2</v>
      </c>
      <c r="AI22" s="823">
        <f t="shared" si="24"/>
        <v>1.7393820325058045</v>
      </c>
      <c r="AJ22" s="824">
        <f t="shared" si="25"/>
        <v>4.1532329022067502</v>
      </c>
      <c r="AK22" s="824">
        <f t="shared" si="26"/>
        <v>3.9377830281551486E-2</v>
      </c>
      <c r="AL22" s="822">
        <f>'RRT - Subgrupo - IGEO'!DR21</f>
        <v>1</v>
      </c>
      <c r="AM22" s="823">
        <f t="shared" si="27"/>
        <v>0.86969101625290224</v>
      </c>
      <c r="AN22" s="824">
        <f t="shared" si="28"/>
        <v>5.7190410612460996</v>
      </c>
      <c r="AO22" s="824">
        <f t="shared" si="29"/>
        <v>1.9688915140775743E-2</v>
      </c>
      <c r="AP22" s="822">
        <f>'RRT - Subgrupo - IGEO'!DU21</f>
        <v>142</v>
      </c>
      <c r="AQ22" s="823">
        <f t="shared" si="30"/>
        <v>123.49612430791213</v>
      </c>
      <c r="AR22" s="824">
        <f t="shared" si="31"/>
        <v>4.4295598075322893</v>
      </c>
      <c r="AS22" s="824">
        <f t="shared" si="32"/>
        <v>2.7958259499901557</v>
      </c>
      <c r="AT22" s="822">
        <f t="shared" si="33"/>
        <v>5079</v>
      </c>
      <c r="AU22" s="823">
        <f>'RRT - Atividades '!X21</f>
        <v>4417.1606715484904</v>
      </c>
      <c r="AV22" s="826">
        <f t="shared" si="34"/>
        <v>4417.1606715484904</v>
      </c>
      <c r="AW22" s="826">
        <f t="shared" si="35"/>
        <v>0</v>
      </c>
      <c r="AX22" s="1152" t="s">
        <v>667</v>
      </c>
      <c r="AY22" s="771">
        <v>37773.649500958236</v>
      </c>
      <c r="AZ22" s="832">
        <v>0.50564370932360425</v>
      </c>
      <c r="BA22" s="1151"/>
      <c r="BB22" s="1441"/>
    </row>
    <row r="23" spans="1:54" s="323" customFormat="1" ht="15.75" customHeight="1">
      <c r="A23" s="828" t="s">
        <v>106</v>
      </c>
      <c r="B23" s="822">
        <f>'RRT - Subgrupo - IGEO'!CQ22</f>
        <v>24</v>
      </c>
      <c r="C23" s="823">
        <f t="shared" si="0"/>
        <v>16.406617772471431</v>
      </c>
      <c r="D23" s="824">
        <f t="shared" si="1"/>
        <v>0.69549333645973244</v>
      </c>
      <c r="E23" s="825">
        <f t="shared" si="2"/>
        <v>3.1088082901554404</v>
      </c>
      <c r="F23" s="822">
        <f>'RRT - Subgrupo - IGEO'!CT22</f>
        <v>14</v>
      </c>
      <c r="G23" s="823">
        <f t="shared" si="3"/>
        <v>9.5705270339416675</v>
      </c>
      <c r="H23" s="824">
        <f t="shared" si="4"/>
        <v>0.67381115654058354</v>
      </c>
      <c r="I23" s="824">
        <f t="shared" si="5"/>
        <v>1.8134715025906734</v>
      </c>
      <c r="J23" s="822">
        <f>'RRT - Subgrupo - IGEO'!CW22</f>
        <v>27</v>
      </c>
      <c r="K23" s="823">
        <f t="shared" si="6"/>
        <v>18.457444994030361</v>
      </c>
      <c r="L23" s="824">
        <f t="shared" si="7"/>
        <v>1.4724086556236187</v>
      </c>
      <c r="M23" s="824">
        <f t="shared" si="8"/>
        <v>3.4974093264248705</v>
      </c>
      <c r="N23" s="822">
        <f>'RRT - Subgrupo - IGEO'!CZ22</f>
        <v>256</v>
      </c>
      <c r="O23" s="823">
        <f t="shared" si="9"/>
        <v>175.00392290636194</v>
      </c>
      <c r="P23" s="824">
        <f t="shared" si="10"/>
        <v>1.0276826430385331</v>
      </c>
      <c r="Q23" s="824">
        <f t="shared" si="11"/>
        <v>33.160621761658035</v>
      </c>
      <c r="R23" s="822">
        <f>'RRT - Subgrupo - IGEO'!DC22</f>
        <v>1</v>
      </c>
      <c r="S23" s="823">
        <f t="shared" si="12"/>
        <v>0.68360907385297631</v>
      </c>
      <c r="T23" s="824">
        <f t="shared" si="13"/>
        <v>0.12364228645274659</v>
      </c>
      <c r="U23" s="824">
        <f t="shared" si="14"/>
        <v>0.1295336787564767</v>
      </c>
      <c r="V23" s="822">
        <f>'RRT - Subgrupo - IGEO'!DF22</f>
        <v>164</v>
      </c>
      <c r="W23" s="823">
        <f t="shared" si="15"/>
        <v>112.11188811188812</v>
      </c>
      <c r="X23" s="824">
        <f t="shared" si="16"/>
        <v>1.4583269317843808</v>
      </c>
      <c r="Y23" s="824">
        <f t="shared" si="17"/>
        <v>21.243523316062177</v>
      </c>
      <c r="Z23" s="822">
        <f>'RRT - Subgrupo - IGEO'!DI22</f>
        <v>242</v>
      </c>
      <c r="AA23" s="823">
        <f t="shared" si="18"/>
        <v>165.43339587242028</v>
      </c>
      <c r="AB23" s="824">
        <f t="shared" si="19"/>
        <v>0.43795978958353921</v>
      </c>
      <c r="AC23" s="824">
        <f t="shared" si="20"/>
        <v>31.347150259067359</v>
      </c>
      <c r="AD23" s="822">
        <f>'RRT - Subgrupo - IGEO'!DL22</f>
        <v>26</v>
      </c>
      <c r="AE23" s="823">
        <f t="shared" si="21"/>
        <v>17.773835920177387</v>
      </c>
      <c r="AF23" s="824">
        <f t="shared" si="22"/>
        <v>0.4698517261996325</v>
      </c>
      <c r="AG23" s="824">
        <f t="shared" si="23"/>
        <v>3.3678756476683938</v>
      </c>
      <c r="AH23" s="822">
        <f>'RRT - Subgrupo - IGEO'!DO22</f>
        <v>0</v>
      </c>
      <c r="AI23" s="823">
        <f t="shared" si="24"/>
        <v>0</v>
      </c>
      <c r="AJ23" s="824">
        <f t="shared" si="25"/>
        <v>0</v>
      </c>
      <c r="AK23" s="824">
        <f t="shared" si="26"/>
        <v>0</v>
      </c>
      <c r="AL23" s="822">
        <f>'RRT - Subgrupo - IGEO'!DR22</f>
        <v>0</v>
      </c>
      <c r="AM23" s="823">
        <f t="shared" si="27"/>
        <v>0</v>
      </c>
      <c r="AN23" s="824">
        <f t="shared" si="28"/>
        <v>0</v>
      </c>
      <c r="AO23" s="824">
        <f t="shared" si="29"/>
        <v>0</v>
      </c>
      <c r="AP23" s="822">
        <f>'RRT - Subgrupo - IGEO'!DU22</f>
        <v>18</v>
      </c>
      <c r="AQ23" s="823">
        <f t="shared" si="30"/>
        <v>12.304963329353573</v>
      </c>
      <c r="AR23" s="824">
        <f t="shared" si="31"/>
        <v>0.44135450648608932</v>
      </c>
      <c r="AS23" s="824">
        <f t="shared" si="32"/>
        <v>2.3316062176165802</v>
      </c>
      <c r="AT23" s="822">
        <f t="shared" si="33"/>
        <v>772</v>
      </c>
      <c r="AU23" s="823">
        <f>'RRT - Atividades '!X22</f>
        <v>527.74620501449772</v>
      </c>
      <c r="AV23" s="826">
        <f t="shared" si="34"/>
        <v>527.74620501449772</v>
      </c>
      <c r="AW23" s="826">
        <f t="shared" si="35"/>
        <v>0</v>
      </c>
      <c r="AX23" s="1152" t="s">
        <v>664</v>
      </c>
      <c r="AY23" s="771">
        <v>17028.984978176784</v>
      </c>
      <c r="AZ23" s="832">
        <v>0.22795253421734676</v>
      </c>
      <c r="BA23" s="1151"/>
      <c r="BB23" s="1441"/>
    </row>
    <row r="24" spans="1:54" s="323" customFormat="1" ht="15.75" customHeight="1">
      <c r="A24" s="828" t="s">
        <v>108</v>
      </c>
      <c r="B24" s="822">
        <f>'RRT - Subgrupo - IGEO'!CQ23</f>
        <v>10</v>
      </c>
      <c r="C24" s="823">
        <f t="shared" si="0"/>
        <v>5.2766723000599685</v>
      </c>
      <c r="D24" s="824">
        <f t="shared" si="1"/>
        <v>0.2236835449126538</v>
      </c>
      <c r="E24" s="825">
        <f t="shared" si="2"/>
        <v>0.88809946714031962</v>
      </c>
      <c r="F24" s="822">
        <f>'RRT - Subgrupo - IGEO'!CT23</f>
        <v>5</v>
      </c>
      <c r="G24" s="823">
        <f t="shared" si="3"/>
        <v>2.6383361500299842</v>
      </c>
      <c r="H24" s="824">
        <f t="shared" si="4"/>
        <v>0.18575156062877379</v>
      </c>
      <c r="I24" s="824">
        <f t="shared" si="5"/>
        <v>0.44404973357015981</v>
      </c>
      <c r="J24" s="822">
        <f>'RRT - Subgrupo - IGEO'!CW23</f>
        <v>7</v>
      </c>
      <c r="K24" s="823">
        <f t="shared" si="6"/>
        <v>3.6936706100419778</v>
      </c>
      <c r="L24" s="824">
        <f t="shared" si="7"/>
        <v>0.29465576514015718</v>
      </c>
      <c r="M24" s="824">
        <f t="shared" si="8"/>
        <v>0.62166962699822381</v>
      </c>
      <c r="N24" s="822">
        <f>'RRT - Subgrupo - IGEO'!CZ23</f>
        <v>119</v>
      </c>
      <c r="O24" s="823">
        <f t="shared" si="9"/>
        <v>62.792400370713622</v>
      </c>
      <c r="P24" s="824">
        <f t="shared" si="10"/>
        <v>0.36873836256937326</v>
      </c>
      <c r="Q24" s="824">
        <f t="shared" si="11"/>
        <v>10.568383658969804</v>
      </c>
      <c r="R24" s="822">
        <f>'RRT - Subgrupo - IGEO'!DC23</f>
        <v>0</v>
      </c>
      <c r="S24" s="823">
        <f t="shared" si="12"/>
        <v>0</v>
      </c>
      <c r="T24" s="824">
        <f t="shared" si="13"/>
        <v>0</v>
      </c>
      <c r="U24" s="824">
        <f t="shared" si="14"/>
        <v>0</v>
      </c>
      <c r="V24" s="822">
        <f>'RRT - Subgrupo - IGEO'!DF23</f>
        <v>59</v>
      </c>
      <c r="W24" s="823">
        <f t="shared" si="15"/>
        <v>31.132366570353817</v>
      </c>
      <c r="X24" s="824">
        <f t="shared" si="16"/>
        <v>0.40496301850183947</v>
      </c>
      <c r="Y24" s="824">
        <f t="shared" si="17"/>
        <v>5.2397868561278864</v>
      </c>
      <c r="Z24" s="822">
        <f>'RRT - Subgrupo - IGEO'!DI23</f>
        <v>841</v>
      </c>
      <c r="AA24" s="823">
        <f t="shared" si="18"/>
        <v>443.76814043504334</v>
      </c>
      <c r="AB24" s="824">
        <f t="shared" si="19"/>
        <v>1.174808752391759</v>
      </c>
      <c r="AC24" s="824">
        <f t="shared" si="20"/>
        <v>74.689165186500887</v>
      </c>
      <c r="AD24" s="822">
        <f>'RRT - Subgrupo - IGEO'!DL23</f>
        <v>78</v>
      </c>
      <c r="AE24" s="823">
        <f t="shared" si="21"/>
        <v>41.158043940467756</v>
      </c>
      <c r="AF24" s="824">
        <f t="shared" si="22"/>
        <v>1.0880137568095714</v>
      </c>
      <c r="AG24" s="824">
        <f t="shared" si="23"/>
        <v>6.9271758436944939</v>
      </c>
      <c r="AH24" s="822">
        <f>'RRT - Subgrupo - IGEO'!DO23</f>
        <v>0</v>
      </c>
      <c r="AI24" s="823">
        <f t="shared" si="24"/>
        <v>0</v>
      </c>
      <c r="AJ24" s="824">
        <f t="shared" si="25"/>
        <v>0</v>
      </c>
      <c r="AK24" s="824">
        <f t="shared" si="26"/>
        <v>0</v>
      </c>
      <c r="AL24" s="822">
        <f>'RRT - Subgrupo - IGEO'!DR23</f>
        <v>0</v>
      </c>
      <c r="AM24" s="823">
        <f t="shared" si="27"/>
        <v>0</v>
      </c>
      <c r="AN24" s="824">
        <f t="shared" si="28"/>
        <v>0</v>
      </c>
      <c r="AO24" s="824">
        <f t="shared" si="29"/>
        <v>0</v>
      </c>
      <c r="AP24" s="822">
        <f>'RRT - Subgrupo - IGEO'!DU23</f>
        <v>7</v>
      </c>
      <c r="AQ24" s="823">
        <f t="shared" si="30"/>
        <v>3.6936706100419778</v>
      </c>
      <c r="AR24" s="824">
        <f t="shared" si="31"/>
        <v>0.13248460199213702</v>
      </c>
      <c r="AS24" s="824">
        <f t="shared" si="32"/>
        <v>0.62166962699822381</v>
      </c>
      <c r="AT24" s="822">
        <f t="shared" si="33"/>
        <v>1126</v>
      </c>
      <c r="AU24" s="823">
        <f>'RRT - Atividades '!X23</f>
        <v>594.15330098675247</v>
      </c>
      <c r="AV24" s="826">
        <f t="shared" si="34"/>
        <v>594.15330098675247</v>
      </c>
      <c r="AW24" s="826">
        <f t="shared" si="35"/>
        <v>0</v>
      </c>
      <c r="AX24" s="1152" t="s">
        <v>666</v>
      </c>
      <c r="AY24" s="771">
        <v>7687.7060738849668</v>
      </c>
      <c r="AZ24" s="832">
        <v>0.10290878077031414</v>
      </c>
      <c r="BA24" s="1151"/>
      <c r="BB24" s="1441"/>
    </row>
    <row r="25" spans="1:54" s="323" customFormat="1" ht="15.75" customHeight="1">
      <c r="A25" s="828" t="s">
        <v>109</v>
      </c>
      <c r="B25" s="822">
        <f>'RRT - Subgrupo - IGEO'!CQ24</f>
        <v>0</v>
      </c>
      <c r="C25" s="823">
        <f t="shared" si="0"/>
        <v>0</v>
      </c>
      <c r="D25" s="824">
        <f t="shared" si="1"/>
        <v>0</v>
      </c>
      <c r="E25" s="825">
        <f t="shared" si="2"/>
        <v>0</v>
      </c>
      <c r="F25" s="822">
        <f>'RRT - Subgrupo - IGEO'!CT24</f>
        <v>1</v>
      </c>
      <c r="G25" s="823">
        <f t="shared" si="3"/>
        <v>0.49749373433583954</v>
      </c>
      <c r="H25" s="824">
        <f t="shared" si="4"/>
        <v>3.5025952835793329E-2</v>
      </c>
      <c r="I25" s="824">
        <f t="shared" si="5"/>
        <v>1.1494252873563218</v>
      </c>
      <c r="J25" s="822">
        <f>'RRT - Subgrupo - IGEO'!CW24</f>
        <v>7</v>
      </c>
      <c r="K25" s="823">
        <f t="shared" si="6"/>
        <v>3.4824561403508767</v>
      </c>
      <c r="L25" s="824">
        <f t="shared" si="7"/>
        <v>0.27780652010831697</v>
      </c>
      <c r="M25" s="824">
        <f t="shared" si="8"/>
        <v>8.0459770114942533</v>
      </c>
      <c r="N25" s="822">
        <f>'RRT - Subgrupo - IGEO'!CZ24</f>
        <v>24</v>
      </c>
      <c r="O25" s="823">
        <f t="shared" si="9"/>
        <v>11.93984962406015</v>
      </c>
      <c r="P25" s="824">
        <f t="shared" si="10"/>
        <v>7.0114863800522856E-2</v>
      </c>
      <c r="Q25" s="824">
        <f t="shared" si="11"/>
        <v>27.586206896551722</v>
      </c>
      <c r="R25" s="822">
        <f>'RRT - Subgrupo - IGEO'!DC24</f>
        <v>2</v>
      </c>
      <c r="S25" s="823">
        <f t="shared" si="12"/>
        <v>0.99498746867167909</v>
      </c>
      <c r="T25" s="824">
        <f t="shared" si="13"/>
        <v>0.17996034623269994</v>
      </c>
      <c r="U25" s="824">
        <f t="shared" si="14"/>
        <v>2.2988505747126435</v>
      </c>
      <c r="V25" s="822">
        <f>'RRT - Subgrupo - IGEO'!DF24</f>
        <v>35</v>
      </c>
      <c r="W25" s="823">
        <f t="shared" si="15"/>
        <v>17.412280701754383</v>
      </c>
      <c r="X25" s="824">
        <f t="shared" si="16"/>
        <v>0.22649514087048234</v>
      </c>
      <c r="Y25" s="824">
        <f t="shared" si="17"/>
        <v>40.229885057471257</v>
      </c>
      <c r="Z25" s="822">
        <f>'RRT - Subgrupo - IGEO'!DI24</f>
        <v>8</v>
      </c>
      <c r="AA25" s="823">
        <f t="shared" si="18"/>
        <v>3.9799498746867163</v>
      </c>
      <c r="AB25" s="824">
        <f t="shared" si="19"/>
        <v>1.053631281929948E-2</v>
      </c>
      <c r="AC25" s="824">
        <f t="shared" si="20"/>
        <v>9.1954022988505741</v>
      </c>
      <c r="AD25" s="822">
        <f>'RRT - Subgrupo - IGEO'!DL24</f>
        <v>4</v>
      </c>
      <c r="AE25" s="823">
        <f t="shared" si="21"/>
        <v>1.9899749373433582</v>
      </c>
      <c r="AF25" s="824">
        <f t="shared" si="22"/>
        <v>5.2605029302838925E-2</v>
      </c>
      <c r="AG25" s="824">
        <f t="shared" si="23"/>
        <v>4.5977011494252871</v>
      </c>
      <c r="AH25" s="822">
        <f>'RRT - Subgrupo - IGEO'!DO24</f>
        <v>0</v>
      </c>
      <c r="AI25" s="823">
        <f t="shared" si="24"/>
        <v>0</v>
      </c>
      <c r="AJ25" s="824">
        <f t="shared" si="25"/>
        <v>0</v>
      </c>
      <c r="AK25" s="824">
        <f t="shared" si="26"/>
        <v>0</v>
      </c>
      <c r="AL25" s="822">
        <f>'RRT - Subgrupo - IGEO'!DR24</f>
        <v>0</v>
      </c>
      <c r="AM25" s="823">
        <f t="shared" si="27"/>
        <v>0</v>
      </c>
      <c r="AN25" s="824">
        <f t="shared" si="28"/>
        <v>0</v>
      </c>
      <c r="AO25" s="824">
        <f t="shared" si="29"/>
        <v>0</v>
      </c>
      <c r="AP25" s="822">
        <f>'RRT - Subgrupo - IGEO'!DU24</f>
        <v>6</v>
      </c>
      <c r="AQ25" s="823">
        <f t="shared" si="30"/>
        <v>2.9849624060150375</v>
      </c>
      <c r="AR25" s="824">
        <f t="shared" si="31"/>
        <v>0.10706465141944524</v>
      </c>
      <c r="AS25" s="824">
        <f t="shared" si="32"/>
        <v>6.8965517241379306</v>
      </c>
      <c r="AT25" s="822">
        <f t="shared" si="33"/>
        <v>87</v>
      </c>
      <c r="AU25" s="823">
        <f>'RRT - Atividades '!X24</f>
        <v>43.281954887218042</v>
      </c>
      <c r="AV25" s="826">
        <f t="shared" si="34"/>
        <v>43.281954887218035</v>
      </c>
      <c r="AW25" s="826">
        <f t="shared" si="35"/>
        <v>0</v>
      </c>
      <c r="AX25" s="1152" t="s">
        <v>668</v>
      </c>
      <c r="AY25" s="771">
        <v>3782.8606194426466</v>
      </c>
      <c r="AZ25" s="832">
        <v>5.0637936782376401E-2</v>
      </c>
      <c r="BA25" s="1151"/>
      <c r="BB25" s="1441"/>
    </row>
    <row r="26" spans="1:54" s="323" customFormat="1" ht="15.75" customHeight="1">
      <c r="A26" s="828" t="s">
        <v>107</v>
      </c>
      <c r="B26" s="822">
        <f>'RRT - Subgrupo - IGEO'!CQ25</f>
        <v>141</v>
      </c>
      <c r="C26" s="823">
        <f t="shared" si="0"/>
        <v>70.779353322122844</v>
      </c>
      <c r="D26" s="824">
        <f t="shared" si="1"/>
        <v>3.0004093029498398</v>
      </c>
      <c r="E26" s="825">
        <f t="shared" si="2"/>
        <v>0.76568015204995921</v>
      </c>
      <c r="F26" s="822">
        <f>'RRT - Subgrupo - IGEO'!CT25</f>
        <v>97</v>
      </c>
      <c r="G26" s="823">
        <f t="shared" si="3"/>
        <v>48.692179235786639</v>
      </c>
      <c r="H26" s="824">
        <f t="shared" si="4"/>
        <v>3.4281637248386834</v>
      </c>
      <c r="I26" s="824">
        <f t="shared" si="5"/>
        <v>0.52674450176486554</v>
      </c>
      <c r="J26" s="822">
        <f>'RRT - Subgrupo - IGEO'!CW25</f>
        <v>181</v>
      </c>
      <c r="K26" s="823">
        <f t="shared" si="6"/>
        <v>90.858602491519406</v>
      </c>
      <c r="L26" s="824">
        <f t="shared" si="7"/>
        <v>7.2480775529683159</v>
      </c>
      <c r="M26" s="824">
        <f t="shared" si="8"/>
        <v>0.98289437958186254</v>
      </c>
      <c r="N26" s="822">
        <f>'RRT - Subgrupo - IGEO'!CZ25</f>
        <v>3151</v>
      </c>
      <c r="O26" s="823">
        <f t="shared" si="9"/>
        <v>1581.7428533192135</v>
      </c>
      <c r="P26" s="824">
        <f t="shared" si="10"/>
        <v>9.2885327889258829</v>
      </c>
      <c r="Q26" s="824">
        <f t="shared" si="11"/>
        <v>17.111050773825689</v>
      </c>
      <c r="R26" s="822">
        <f>'RRT - Subgrupo - IGEO'!DC25</f>
        <v>56</v>
      </c>
      <c r="S26" s="823">
        <f t="shared" si="12"/>
        <v>28.110948837155174</v>
      </c>
      <c r="T26" s="824">
        <f t="shared" si="13"/>
        <v>5.0843415067506292</v>
      </c>
      <c r="U26" s="824">
        <f t="shared" si="14"/>
        <v>0.30409991854466467</v>
      </c>
      <c r="V26" s="822">
        <f>'RRT - Subgrupo - IGEO'!DF25</f>
        <v>922</v>
      </c>
      <c r="W26" s="823">
        <f t="shared" si="15"/>
        <v>462.82669335459053</v>
      </c>
      <c r="X26" s="824">
        <f t="shared" si="16"/>
        <v>6.0203484486328964</v>
      </c>
      <c r="Y26" s="824">
        <f t="shared" si="17"/>
        <v>5.0067879446103722</v>
      </c>
      <c r="Z26" s="822">
        <f>'RRT - Subgrupo - IGEO'!DI25</f>
        <v>12329</v>
      </c>
      <c r="AA26" s="823">
        <f t="shared" si="18"/>
        <v>6188.9265752372521</v>
      </c>
      <c r="AB26" s="824">
        <f t="shared" si="19"/>
        <v>16.384243135099382</v>
      </c>
      <c r="AC26" s="824">
        <f t="shared" si="20"/>
        <v>66.950855281020907</v>
      </c>
      <c r="AD26" s="822">
        <f>'RRT - Subgrupo - IGEO'!DL25</f>
        <v>515</v>
      </c>
      <c r="AE26" s="823">
        <f t="shared" si="21"/>
        <v>258.52033305598059</v>
      </c>
      <c r="AF26" s="824">
        <f t="shared" si="22"/>
        <v>6.8339904390680424</v>
      </c>
      <c r="AG26" s="824">
        <f t="shared" si="23"/>
        <v>2.7966331794732553</v>
      </c>
      <c r="AH26" s="822">
        <f>'RRT - Subgrupo - IGEO'!DO25</f>
        <v>5</v>
      </c>
      <c r="AI26" s="823">
        <f t="shared" si="24"/>
        <v>2.5099061461745689</v>
      </c>
      <c r="AJ26" s="824">
        <f t="shared" si="25"/>
        <v>5.9930622444833022</v>
      </c>
      <c r="AK26" s="824">
        <f t="shared" si="26"/>
        <v>2.7151778441487917E-2</v>
      </c>
      <c r="AL26" s="822">
        <f>'RRT - Subgrupo - IGEO'!DR25</f>
        <v>5</v>
      </c>
      <c r="AM26" s="823">
        <f t="shared" si="27"/>
        <v>2.5099061461745689</v>
      </c>
      <c r="AN26" s="824">
        <f t="shared" si="28"/>
        <v>16.505006998568515</v>
      </c>
      <c r="AO26" s="824">
        <f t="shared" si="29"/>
        <v>2.7151778441487917E-2</v>
      </c>
      <c r="AP26" s="822">
        <f>'RRT - Subgrupo - IGEO'!DU25</f>
        <v>1013</v>
      </c>
      <c r="AQ26" s="823">
        <f t="shared" si="30"/>
        <v>508.5069852149677</v>
      </c>
      <c r="AR26" s="824">
        <f t="shared" si="31"/>
        <v>18.239131925643164</v>
      </c>
      <c r="AS26" s="824">
        <f t="shared" si="32"/>
        <v>5.5009503122454522</v>
      </c>
      <c r="AT26" s="822">
        <f t="shared" si="33"/>
        <v>18415</v>
      </c>
      <c r="AU26" s="823">
        <f>'RRT - Atividades '!X25</f>
        <v>9243.984336360938</v>
      </c>
      <c r="AV26" s="826">
        <f t="shared" si="34"/>
        <v>9243.984336360938</v>
      </c>
      <c r="AW26" s="826">
        <f t="shared" si="35"/>
        <v>0</v>
      </c>
      <c r="AX26" s="1152" t="s">
        <v>671</v>
      </c>
      <c r="AY26" s="771">
        <v>2787.9999294266645</v>
      </c>
      <c r="AZ26" s="832">
        <v>3.7320583119020138E-2</v>
      </c>
      <c r="BA26" s="1151"/>
      <c r="BB26" s="1441"/>
    </row>
    <row r="27" spans="1:54" s="323" customFormat="1" ht="15.75" customHeight="1">
      <c r="A27" s="828" t="s">
        <v>110</v>
      </c>
      <c r="B27" s="822">
        <f>'RRT - Subgrupo - IGEO'!CQ26</f>
        <v>178</v>
      </c>
      <c r="C27" s="823">
        <f t="shared" si="0"/>
        <v>87.785709770919297</v>
      </c>
      <c r="D27" s="824">
        <f t="shared" si="1"/>
        <v>3.7213261763497152</v>
      </c>
      <c r="E27" s="825">
        <f t="shared" si="2"/>
        <v>1.8628990057561485</v>
      </c>
      <c r="F27" s="822">
        <f>'RRT - Subgrupo - IGEO'!CT26</f>
        <v>100</v>
      </c>
      <c r="G27" s="823">
        <f t="shared" si="3"/>
        <v>49.317814478044554</v>
      </c>
      <c r="H27" s="824">
        <f t="shared" si="4"/>
        <v>3.4722114564487918</v>
      </c>
      <c r="I27" s="824">
        <f t="shared" si="5"/>
        <v>1.0465724751439036</v>
      </c>
      <c r="J27" s="822">
        <f>'RRT - Subgrupo - IGEO'!CW26</f>
        <v>88</v>
      </c>
      <c r="K27" s="823">
        <f t="shared" si="6"/>
        <v>43.399676740679205</v>
      </c>
      <c r="L27" s="824">
        <f t="shared" si="7"/>
        <v>3.4621292223767028</v>
      </c>
      <c r="M27" s="824">
        <f t="shared" si="8"/>
        <v>0.92098377812663523</v>
      </c>
      <c r="N27" s="822">
        <f>'RRT - Subgrupo - IGEO'!CZ26</f>
        <v>2770</v>
      </c>
      <c r="O27" s="823">
        <f t="shared" si="9"/>
        <v>1366.103461041834</v>
      </c>
      <c r="P27" s="824">
        <f t="shared" si="10"/>
        <v>8.0222248289756628</v>
      </c>
      <c r="Q27" s="824">
        <f t="shared" si="11"/>
        <v>28.990057561486132</v>
      </c>
      <c r="R27" s="822">
        <f>'RRT - Subgrupo - IGEO'!DC26</f>
        <v>33</v>
      </c>
      <c r="S27" s="823">
        <f t="shared" si="12"/>
        <v>16.274878777754701</v>
      </c>
      <c r="T27" s="824">
        <f t="shared" si="13"/>
        <v>2.9435876450283192</v>
      </c>
      <c r="U27" s="824">
        <f t="shared" si="14"/>
        <v>0.34536891679748821</v>
      </c>
      <c r="V27" s="822">
        <f>'RRT - Subgrupo - IGEO'!DF26</f>
        <v>1171</v>
      </c>
      <c r="W27" s="823">
        <f t="shared" si="15"/>
        <v>577.51160753790168</v>
      </c>
      <c r="X27" s="824">
        <f t="shared" si="16"/>
        <v>7.512144741065228</v>
      </c>
      <c r="Y27" s="824">
        <f t="shared" si="17"/>
        <v>12.255363683935112</v>
      </c>
      <c r="Z27" s="822">
        <f>'RRT - Subgrupo - IGEO'!DI26</f>
        <v>4374</v>
      </c>
      <c r="AA27" s="823">
        <f t="shared" si="18"/>
        <v>2157.1612052696687</v>
      </c>
      <c r="AB27" s="824">
        <f t="shared" si="19"/>
        <v>5.7107566617701213</v>
      </c>
      <c r="AC27" s="824">
        <f t="shared" si="20"/>
        <v>45.777080062794354</v>
      </c>
      <c r="AD27" s="822">
        <f>'RRT - Subgrupo - IGEO'!DL26</f>
        <v>257</v>
      </c>
      <c r="AE27" s="823">
        <f t="shared" si="21"/>
        <v>126.7467832085745</v>
      </c>
      <c r="AF27" s="824">
        <f t="shared" si="22"/>
        <v>3.3505538786477662</v>
      </c>
      <c r="AG27" s="824">
        <f t="shared" si="23"/>
        <v>2.6896912611198327</v>
      </c>
      <c r="AH27" s="822">
        <f>'RRT - Subgrupo - IGEO'!DO26</f>
        <v>2</v>
      </c>
      <c r="AI27" s="823">
        <f t="shared" si="24"/>
        <v>0.98635628956089105</v>
      </c>
      <c r="AJ27" s="824">
        <f t="shared" si="25"/>
        <v>2.3551855305767573</v>
      </c>
      <c r="AK27" s="824">
        <f t="shared" si="26"/>
        <v>2.0931449502878074E-2</v>
      </c>
      <c r="AL27" s="822">
        <f>'RRT - Subgrupo - IGEO'!DR26</f>
        <v>4</v>
      </c>
      <c r="AM27" s="823">
        <f t="shared" si="27"/>
        <v>1.9727125791217821</v>
      </c>
      <c r="AN27" s="824">
        <f t="shared" si="28"/>
        <v>12.972451170811455</v>
      </c>
      <c r="AO27" s="824">
        <f t="shared" si="29"/>
        <v>4.1862899005756148E-2</v>
      </c>
      <c r="AP27" s="822">
        <f>'RRT - Subgrupo - IGEO'!DU26</f>
        <v>578</v>
      </c>
      <c r="AQ27" s="823">
        <f t="shared" si="30"/>
        <v>285.05696768309753</v>
      </c>
      <c r="AR27" s="824">
        <f t="shared" si="31"/>
        <v>10.224425211578746</v>
      </c>
      <c r="AS27" s="824">
        <f t="shared" si="32"/>
        <v>6.0491889063317634</v>
      </c>
      <c r="AT27" s="822">
        <f t="shared" si="33"/>
        <v>9555</v>
      </c>
      <c r="AU27" s="823">
        <f>'RRT - Atividades '!X26</f>
        <v>4712.3171733771569</v>
      </c>
      <c r="AV27" s="826">
        <f t="shared" si="34"/>
        <v>4712.3171733771569</v>
      </c>
      <c r="AW27" s="826">
        <f t="shared" si="35"/>
        <v>0</v>
      </c>
      <c r="AX27" s="1153" t="s">
        <v>661</v>
      </c>
      <c r="AY27" s="771">
        <v>2358.9899302250669</v>
      </c>
      <c r="AZ27" s="832">
        <v>3.157779124693192E-2</v>
      </c>
      <c r="BA27" s="1151"/>
      <c r="BB27" s="1441"/>
    </row>
    <row r="28" spans="1:54" s="323" customFormat="1" ht="16.5" customHeight="1">
      <c r="A28" s="828" t="s">
        <v>112</v>
      </c>
      <c r="B28" s="822">
        <f>'RRT - Subgrupo - IGEO'!CQ27</f>
        <v>10</v>
      </c>
      <c r="C28" s="823">
        <f t="shared" si="0"/>
        <v>6.7106819077650757</v>
      </c>
      <c r="D28" s="824">
        <f t="shared" si="1"/>
        <v>0.28447268137023463</v>
      </c>
      <c r="E28" s="825">
        <f t="shared" si="2"/>
        <v>1.7889087656529516</v>
      </c>
      <c r="F28" s="822">
        <f>'RRT - Subgrupo - IGEO'!CT27</f>
        <v>11</v>
      </c>
      <c r="G28" s="823">
        <f t="shared" si="3"/>
        <v>7.381750098541584</v>
      </c>
      <c r="H28" s="824">
        <f t="shared" si="4"/>
        <v>0.51971072789952133</v>
      </c>
      <c r="I28" s="824">
        <f t="shared" si="5"/>
        <v>1.9677996422182469</v>
      </c>
      <c r="J28" s="822">
        <f>'RRT - Subgrupo - IGEO'!CW27</f>
        <v>28</v>
      </c>
      <c r="K28" s="823">
        <f t="shared" si="6"/>
        <v>18.789909341742213</v>
      </c>
      <c r="L28" s="824">
        <f t="shared" si="7"/>
        <v>1.4989303861998451</v>
      </c>
      <c r="M28" s="824">
        <f t="shared" si="8"/>
        <v>5.0089445438282638</v>
      </c>
      <c r="N28" s="822">
        <f>'RRT - Subgrupo - IGEO'!CZ27</f>
        <v>115</v>
      </c>
      <c r="O28" s="823">
        <f t="shared" si="9"/>
        <v>77.17284193929838</v>
      </c>
      <c r="P28" s="824">
        <f t="shared" si="10"/>
        <v>0.45318521355323271</v>
      </c>
      <c r="Q28" s="824">
        <f t="shared" si="11"/>
        <v>20.572450805008945</v>
      </c>
      <c r="R28" s="822">
        <f>'RRT - Subgrupo - IGEO'!DC27</f>
        <v>1</v>
      </c>
      <c r="S28" s="823">
        <f t="shared" si="12"/>
        <v>0.67106819077650759</v>
      </c>
      <c r="T28" s="824">
        <f t="shared" si="13"/>
        <v>0.12137405521208779</v>
      </c>
      <c r="U28" s="824">
        <f t="shared" si="14"/>
        <v>0.17889087656529515</v>
      </c>
      <c r="V28" s="822">
        <f>'RRT - Subgrupo - IGEO'!DF27</f>
        <v>138</v>
      </c>
      <c r="W28" s="823">
        <f t="shared" si="15"/>
        <v>92.60741032715805</v>
      </c>
      <c r="X28" s="824">
        <f t="shared" si="16"/>
        <v>1.2046169486336653</v>
      </c>
      <c r="Y28" s="824">
        <f t="shared" si="17"/>
        <v>24.686940966010731</v>
      </c>
      <c r="Z28" s="822">
        <f>'RRT - Subgrupo - IGEO'!DI27</f>
        <v>220</v>
      </c>
      <c r="AA28" s="823">
        <f t="shared" si="18"/>
        <v>147.63500197083169</v>
      </c>
      <c r="AB28" s="824">
        <f t="shared" si="19"/>
        <v>0.3908412449453329</v>
      </c>
      <c r="AC28" s="824">
        <f t="shared" si="20"/>
        <v>39.355992844364941</v>
      </c>
      <c r="AD28" s="822">
        <f>'RRT - Subgrupo - IGEO'!DL27</f>
        <v>16</v>
      </c>
      <c r="AE28" s="823">
        <f t="shared" si="21"/>
        <v>10.737091052424121</v>
      </c>
      <c r="AF28" s="824">
        <f t="shared" si="22"/>
        <v>0.28383522769089198</v>
      </c>
      <c r="AG28" s="824">
        <f t="shared" si="23"/>
        <v>2.8622540250447224</v>
      </c>
      <c r="AH28" s="822">
        <f>'RRT - Subgrupo - IGEO'!DO27</f>
        <v>0</v>
      </c>
      <c r="AI28" s="823">
        <f t="shared" si="24"/>
        <v>0</v>
      </c>
      <c r="AJ28" s="824">
        <f t="shared" si="25"/>
        <v>0</v>
      </c>
      <c r="AK28" s="824">
        <f t="shared" si="26"/>
        <v>0</v>
      </c>
      <c r="AL28" s="822">
        <f>'RRT - Subgrupo - IGEO'!DR27</f>
        <v>0</v>
      </c>
      <c r="AM28" s="823">
        <f t="shared" si="27"/>
        <v>0</v>
      </c>
      <c r="AN28" s="824">
        <f t="shared" si="28"/>
        <v>0</v>
      </c>
      <c r="AO28" s="824">
        <f t="shared" si="29"/>
        <v>0</v>
      </c>
      <c r="AP28" s="822">
        <f>'RRT - Subgrupo - IGEO'!DU27</f>
        <v>20</v>
      </c>
      <c r="AQ28" s="823">
        <f t="shared" si="30"/>
        <v>13.421363815530151</v>
      </c>
      <c r="AR28" s="824">
        <f t="shared" si="31"/>
        <v>0.48139756654478016</v>
      </c>
      <c r="AS28" s="824">
        <f t="shared" si="32"/>
        <v>3.5778175313059033</v>
      </c>
      <c r="AT28" s="822">
        <f t="shared" si="33"/>
        <v>559</v>
      </c>
      <c r="AU28" s="823">
        <f>'RRT - Atividades '!X27</f>
        <v>375.12711864406776</v>
      </c>
      <c r="AV28" s="826">
        <f t="shared" si="34"/>
        <v>375.12711864406776</v>
      </c>
      <c r="AW28" s="826">
        <f t="shared" si="35"/>
        <v>0</v>
      </c>
      <c r="AX28" s="1152" t="s">
        <v>662</v>
      </c>
      <c r="AY28" s="771">
        <v>1420.3574608467077</v>
      </c>
      <c r="AZ28" s="832">
        <v>1.901311693617971E-2</v>
      </c>
      <c r="BA28" s="1151"/>
      <c r="BB28" s="1441"/>
    </row>
    <row r="29" spans="1:54" s="323" customFormat="1" ht="15.75">
      <c r="A29" s="828" t="s">
        <v>111</v>
      </c>
      <c r="B29" s="822">
        <f>'RRT - Subgrupo - IGEO'!CQ28</f>
        <v>1916</v>
      </c>
      <c r="C29" s="823">
        <f t="shared" si="0"/>
        <v>1706.8937349059506</v>
      </c>
      <c r="D29" s="824">
        <f t="shared" si="1"/>
        <v>72.356974187808376</v>
      </c>
      <c r="E29" s="825">
        <f t="shared" si="2"/>
        <v>4.6813917122752153</v>
      </c>
      <c r="F29" s="822">
        <f>'RRT - Subgrupo - IGEO'!CT28</f>
        <v>765</v>
      </c>
      <c r="G29" s="823">
        <f t="shared" si="3"/>
        <v>681.51028559658255</v>
      </c>
      <c r="H29" s="824">
        <f t="shared" si="4"/>
        <v>47.981603531713674</v>
      </c>
      <c r="I29" s="824">
        <f t="shared" si="5"/>
        <v>1.8691360437842066</v>
      </c>
      <c r="J29" s="822">
        <f>'RRT - Subgrupo - IGEO'!CW28</f>
        <v>737</v>
      </c>
      <c r="K29" s="823">
        <f t="shared" si="6"/>
        <v>656.56611828062921</v>
      </c>
      <c r="L29" s="824">
        <f t="shared" si="7"/>
        <v>52.376351973865667</v>
      </c>
      <c r="M29" s="824">
        <f t="shared" si="8"/>
        <v>1.8007232212666147</v>
      </c>
      <c r="N29" s="822">
        <f>'RRT - Subgrupo - IGEO'!CZ28</f>
        <v>9746</v>
      </c>
      <c r="O29" s="823">
        <f t="shared" si="9"/>
        <v>8682.3519521886174</v>
      </c>
      <c r="P29" s="824">
        <f t="shared" si="10"/>
        <v>50.985727941596892</v>
      </c>
      <c r="Q29" s="824">
        <f t="shared" si="11"/>
        <v>23.812548866301793</v>
      </c>
      <c r="R29" s="822">
        <f>'RRT - Subgrupo - IGEO'!DC28</f>
        <v>354</v>
      </c>
      <c r="S29" s="823">
        <f t="shared" si="12"/>
        <v>315.36554392312445</v>
      </c>
      <c r="T29" s="824">
        <f t="shared" si="13"/>
        <v>57.03920326759048</v>
      </c>
      <c r="U29" s="824">
        <f t="shared" si="14"/>
        <v>0.86493354182955429</v>
      </c>
      <c r="V29" s="822">
        <f>'RRT - Subgrupo - IGEO'!DF28</f>
        <v>3413</v>
      </c>
      <c r="W29" s="823">
        <f t="shared" si="15"/>
        <v>3040.5158231910277</v>
      </c>
      <c r="X29" s="824">
        <f t="shared" si="16"/>
        <v>39.550365141034966</v>
      </c>
      <c r="Y29" s="824">
        <f t="shared" si="17"/>
        <v>8.3390344018764662</v>
      </c>
      <c r="Z29" s="822">
        <f>'RRT - Subgrupo - IGEO'!DI28</f>
        <v>20405</v>
      </c>
      <c r="AA29" s="823">
        <f t="shared" si="18"/>
        <v>18178.061931501004</v>
      </c>
      <c r="AB29" s="824">
        <f t="shared" si="19"/>
        <v>48.123658083500423</v>
      </c>
      <c r="AC29" s="824">
        <f t="shared" si="20"/>
        <v>49.855844409695081</v>
      </c>
      <c r="AD29" s="822">
        <f>'RRT - Subgrupo - IGEO'!DL28</f>
        <v>2528</v>
      </c>
      <c r="AE29" s="823">
        <f t="shared" si="21"/>
        <v>2252.1019633832166</v>
      </c>
      <c r="AF29" s="824">
        <f t="shared" si="22"/>
        <v>59.534362746757331</v>
      </c>
      <c r="AG29" s="824">
        <f t="shared" si="23"/>
        <v>6.1767005473025804</v>
      </c>
      <c r="AH29" s="822">
        <f>'RRT - Subgrupo - IGEO'!DO28</f>
        <v>16</v>
      </c>
      <c r="AI29" s="823">
        <f t="shared" si="24"/>
        <v>14.253809894830484</v>
      </c>
      <c r="AJ29" s="824">
        <f t="shared" si="25"/>
        <v>34.034726776914979</v>
      </c>
      <c r="AK29" s="824">
        <f t="shared" si="26"/>
        <v>3.9093041438623924E-2</v>
      </c>
      <c r="AL29" s="822">
        <f>'RRT - Subgrupo - IGEO'!DR28</f>
        <v>4</v>
      </c>
      <c r="AM29" s="823">
        <f t="shared" si="27"/>
        <v>3.563452473707621</v>
      </c>
      <c r="AN29" s="824">
        <f t="shared" si="28"/>
        <v>23.433070637821324</v>
      </c>
      <c r="AO29" s="824">
        <f t="shared" si="29"/>
        <v>9.773260359655981E-3</v>
      </c>
      <c r="AP29" s="822">
        <f>'RRT - Subgrupo - IGEO'!DU28</f>
        <v>1044</v>
      </c>
      <c r="AQ29" s="823">
        <f t="shared" si="30"/>
        <v>930.06109563768905</v>
      </c>
      <c r="AR29" s="824">
        <f t="shared" si="31"/>
        <v>33.359437560278224</v>
      </c>
      <c r="AS29" s="824">
        <f t="shared" si="32"/>
        <v>2.5508209538702111</v>
      </c>
      <c r="AT29" s="822">
        <f t="shared" si="33"/>
        <v>40928</v>
      </c>
      <c r="AU29" s="823">
        <f>'RRT - Atividades '!X28</f>
        <v>36461.245710976378</v>
      </c>
      <c r="AV29" s="826">
        <f t="shared" si="34"/>
        <v>36461.245710976385</v>
      </c>
      <c r="AW29" s="826">
        <f t="shared" si="35"/>
        <v>0</v>
      </c>
      <c r="AX29" s="1152" t="s">
        <v>663</v>
      </c>
      <c r="AY29" s="771">
        <v>1253.5545022460467</v>
      </c>
      <c r="AZ29" s="832">
        <v>1.6780267639718422E-2</v>
      </c>
      <c r="BA29" s="1151"/>
      <c r="BB29" s="1441"/>
    </row>
    <row r="30" spans="1:54" s="323" customFormat="1" ht="15.75">
      <c r="A30" s="828" t="s">
        <v>113</v>
      </c>
      <c r="B30" s="822">
        <f>'RRT - Subgrupo - IGEO'!CQ29</f>
        <v>1</v>
      </c>
      <c r="C30" s="823">
        <f t="shared" si="0"/>
        <v>0.51922202001819828</v>
      </c>
      <c r="D30" s="824">
        <f t="shared" si="1"/>
        <v>2.2010353387505146E-2</v>
      </c>
      <c r="E30" s="825">
        <f t="shared" si="2"/>
        <v>0.18796992481203006</v>
      </c>
      <c r="F30" s="822">
        <f>'RRT - Subgrupo - IGEO'!CT29</f>
        <v>2</v>
      </c>
      <c r="G30" s="823">
        <f t="shared" si="3"/>
        <v>1.0384440400363966</v>
      </c>
      <c r="H30" s="824">
        <f t="shared" si="4"/>
        <v>7.3111457408570682E-2</v>
      </c>
      <c r="I30" s="824">
        <f t="shared" si="5"/>
        <v>0.37593984962406013</v>
      </c>
      <c r="J30" s="822">
        <f>'RRT - Subgrupo - IGEO'!CW29</f>
        <v>2</v>
      </c>
      <c r="K30" s="823">
        <f t="shared" si="6"/>
        <v>1.0384440400363966</v>
      </c>
      <c r="L30" s="824">
        <f t="shared" si="7"/>
        <v>8.2839959345666458E-2</v>
      </c>
      <c r="M30" s="824">
        <f t="shared" si="8"/>
        <v>0.37593984962406013</v>
      </c>
      <c r="N30" s="822">
        <f>'RRT - Subgrupo - IGEO'!CZ29</f>
        <v>212</v>
      </c>
      <c r="O30" s="823">
        <f t="shared" si="9"/>
        <v>110.07506824385804</v>
      </c>
      <c r="P30" s="824">
        <f t="shared" si="10"/>
        <v>0.64639829317439024</v>
      </c>
      <c r="Q30" s="824">
        <f t="shared" si="11"/>
        <v>39.849624060150376</v>
      </c>
      <c r="R30" s="822">
        <f>'RRT - Subgrupo - IGEO'!DC29</f>
        <v>5</v>
      </c>
      <c r="S30" s="823">
        <f t="shared" si="12"/>
        <v>2.5961101000909914</v>
      </c>
      <c r="T30" s="824">
        <f t="shared" si="13"/>
        <v>0.46955050910771562</v>
      </c>
      <c r="U30" s="824">
        <f t="shared" si="14"/>
        <v>0.93984962406015038</v>
      </c>
      <c r="V30" s="822">
        <f>'RRT - Subgrupo - IGEO'!DF29</f>
        <v>102</v>
      </c>
      <c r="W30" s="823">
        <f t="shared" si="15"/>
        <v>52.960646041856222</v>
      </c>
      <c r="X30" s="824">
        <f t="shared" si="16"/>
        <v>0.68890050598790209</v>
      </c>
      <c r="Y30" s="824">
        <f t="shared" si="17"/>
        <v>19.172932330827066</v>
      </c>
      <c r="Z30" s="822">
        <f>'RRT - Subgrupo - IGEO'!DI29</f>
        <v>201</v>
      </c>
      <c r="AA30" s="823">
        <f t="shared" si="18"/>
        <v>104.36362602365786</v>
      </c>
      <c r="AB30" s="824">
        <f t="shared" si="19"/>
        <v>0.27628684917249097</v>
      </c>
      <c r="AC30" s="824">
        <f t="shared" si="20"/>
        <v>37.781954887218042</v>
      </c>
      <c r="AD30" s="822">
        <f>'RRT - Subgrupo - IGEO'!DL29</f>
        <v>4</v>
      </c>
      <c r="AE30" s="823">
        <f t="shared" si="21"/>
        <v>2.0768880800727931</v>
      </c>
      <c r="AF30" s="824">
        <f t="shared" si="22"/>
        <v>5.490258005801954E-2</v>
      </c>
      <c r="AG30" s="824">
        <f t="shared" si="23"/>
        <v>0.75187969924812026</v>
      </c>
      <c r="AH30" s="822">
        <f>'RRT - Subgrupo - IGEO'!DO29</f>
        <v>0</v>
      </c>
      <c r="AI30" s="823">
        <f t="shared" si="24"/>
        <v>0</v>
      </c>
      <c r="AJ30" s="824">
        <f t="shared" si="25"/>
        <v>0</v>
      </c>
      <c r="AK30" s="824">
        <f t="shared" si="26"/>
        <v>0</v>
      </c>
      <c r="AL30" s="822">
        <f>'RRT - Subgrupo - IGEO'!DR29</f>
        <v>0</v>
      </c>
      <c r="AM30" s="823">
        <f t="shared" si="27"/>
        <v>0</v>
      </c>
      <c r="AN30" s="824">
        <f t="shared" si="28"/>
        <v>0</v>
      </c>
      <c r="AO30" s="824">
        <f t="shared" si="29"/>
        <v>0</v>
      </c>
      <c r="AP30" s="822">
        <f>'RRT - Subgrupo - IGEO'!DU29</f>
        <v>3</v>
      </c>
      <c r="AQ30" s="823">
        <f t="shared" si="30"/>
        <v>1.5576660600545948</v>
      </c>
      <c r="AR30" s="824">
        <f t="shared" si="31"/>
        <v>5.5870376595558935E-2</v>
      </c>
      <c r="AS30" s="824">
        <f t="shared" si="32"/>
        <v>0.56390977443609014</v>
      </c>
      <c r="AT30" s="822">
        <f t="shared" si="33"/>
        <v>532</v>
      </c>
      <c r="AU30" s="823">
        <f>'RRT - Atividades '!X29</f>
        <v>276.22611464968151</v>
      </c>
      <c r="AV30" s="826">
        <f t="shared" si="34"/>
        <v>276.22611464968151</v>
      </c>
      <c r="AW30" s="826">
        <f t="shared" si="35"/>
        <v>0</v>
      </c>
      <c r="AX30" s="1152" t="s">
        <v>665</v>
      </c>
      <c r="AY30" s="771">
        <v>552.89261745756937</v>
      </c>
      <c r="AZ30" s="832">
        <v>7.4011030875316911E-3</v>
      </c>
      <c r="BA30" s="1151"/>
      <c r="BB30" s="1441"/>
    </row>
    <row r="31" spans="1:54" ht="15.75">
      <c r="A31" s="789" t="s">
        <v>128</v>
      </c>
      <c r="B31" s="774">
        <f>SUM(B4:B30)</f>
        <v>2905</v>
      </c>
      <c r="C31" s="774">
        <f>SUM(C4:C30)</f>
        <v>2358.9899302250669</v>
      </c>
      <c r="D31" s="833">
        <f t="shared" ref="D31:AR31" si="37">SUM(D4:D30)</f>
        <v>99.999999999999986</v>
      </c>
      <c r="E31" s="775">
        <f t="shared" si="2"/>
        <v>3.1577791246931928</v>
      </c>
      <c r="F31" s="774">
        <f t="shared" si="37"/>
        <v>1835</v>
      </c>
      <c r="G31" s="774">
        <f t="shared" si="37"/>
        <v>1420.3574608467077</v>
      </c>
      <c r="H31" s="833">
        <f t="shared" si="37"/>
        <v>100.00000000000001</v>
      </c>
      <c r="I31" s="833">
        <f t="shared" si="5"/>
        <v>1.9013116936179713</v>
      </c>
      <c r="J31" s="774">
        <f t="shared" si="37"/>
        <v>1649</v>
      </c>
      <c r="K31" s="774">
        <f t="shared" si="37"/>
        <v>1253.5545022460467</v>
      </c>
      <c r="L31" s="833">
        <f t="shared" si="37"/>
        <v>99.999999999999986</v>
      </c>
      <c r="M31" s="833">
        <f t="shared" si="8"/>
        <v>1.6780267639718425</v>
      </c>
      <c r="N31" s="774">
        <f t="shared" si="37"/>
        <v>23304</v>
      </c>
      <c r="O31" s="774">
        <f t="shared" si="37"/>
        <v>17028.984978176784</v>
      </c>
      <c r="P31" s="833">
        <f t="shared" si="37"/>
        <v>99.999999999999986</v>
      </c>
      <c r="Q31" s="833">
        <f t="shared" si="11"/>
        <v>22.795253421734678</v>
      </c>
      <c r="R31" s="774">
        <f t="shared" si="37"/>
        <v>701</v>
      </c>
      <c r="S31" s="774">
        <f t="shared" si="37"/>
        <v>552.89261745756937</v>
      </c>
      <c r="T31" s="833">
        <f t="shared" si="37"/>
        <v>100</v>
      </c>
      <c r="U31" s="833">
        <f t="shared" si="14"/>
        <v>0.7401103087531693</v>
      </c>
      <c r="V31" s="774">
        <f t="shared" si="37"/>
        <v>10568</v>
      </c>
      <c r="W31" s="774">
        <f t="shared" si="37"/>
        <v>7687.7060738849668</v>
      </c>
      <c r="X31" s="833">
        <f t="shared" si="37"/>
        <v>100</v>
      </c>
      <c r="Y31" s="833">
        <f t="shared" si="17"/>
        <v>10.290878077031415</v>
      </c>
      <c r="Z31" s="774">
        <f t="shared" si="37"/>
        <v>53095</v>
      </c>
      <c r="AA31" s="774">
        <f t="shared" si="37"/>
        <v>37773.649500958236</v>
      </c>
      <c r="AB31" s="833">
        <f t="shared" si="37"/>
        <v>99.999999999999986</v>
      </c>
      <c r="AC31" s="833">
        <f t="shared" si="20"/>
        <v>50.564370932360433</v>
      </c>
      <c r="AD31" s="774">
        <f t="shared" si="37"/>
        <v>4882</v>
      </c>
      <c r="AE31" s="774">
        <f t="shared" si="37"/>
        <v>3782.8606194426466</v>
      </c>
      <c r="AF31" s="833">
        <f t="shared" si="37"/>
        <v>100</v>
      </c>
      <c r="AG31" s="833">
        <f t="shared" si="23"/>
        <v>5.0637936782376416</v>
      </c>
      <c r="AH31" s="774">
        <f t="shared" si="37"/>
        <v>63</v>
      </c>
      <c r="AI31" s="774">
        <f t="shared" si="37"/>
        <v>41.880194861733209</v>
      </c>
      <c r="AJ31" s="833">
        <f t="shared" si="37"/>
        <v>100</v>
      </c>
      <c r="AK31" s="833">
        <f t="shared" si="26"/>
        <v>5.6061453835814658E-2</v>
      </c>
      <c r="AL31" s="774">
        <f t="shared" si="37"/>
        <v>23</v>
      </c>
      <c r="AM31" s="774">
        <f t="shared" si="37"/>
        <v>15.20693778798309</v>
      </c>
      <c r="AN31" s="833">
        <f t="shared" si="37"/>
        <v>100</v>
      </c>
      <c r="AO31" s="833">
        <f t="shared" si="29"/>
        <v>2.0356233861845929E-2</v>
      </c>
      <c r="AP31" s="774">
        <f t="shared" si="37"/>
        <v>4118</v>
      </c>
      <c r="AQ31" s="774">
        <f t="shared" si="37"/>
        <v>2787.9999294266645</v>
      </c>
      <c r="AR31" s="833">
        <f t="shared" si="37"/>
        <v>100.00000000000001</v>
      </c>
      <c r="AS31" s="833">
        <f t="shared" si="32"/>
        <v>3.7320583119020152</v>
      </c>
      <c r="AT31" s="774">
        <f>+Z31+V31+R31+N31+J31+F31+B31+AD31+AH31+AL31+AP31</f>
        <v>103143</v>
      </c>
      <c r="AU31" s="774">
        <f>SUM(AU4:AU30)</f>
        <v>74704.082745314387</v>
      </c>
      <c r="AV31" s="826">
        <f t="shared" si="34"/>
        <v>74704.082745314401</v>
      </c>
      <c r="AW31" s="826">
        <f t="shared" si="35"/>
        <v>0</v>
      </c>
      <c r="AX31" s="1152" t="s">
        <v>669</v>
      </c>
      <c r="AY31" s="771">
        <v>41.880194861733209</v>
      </c>
      <c r="AZ31" s="832">
        <v>5.6061453835814644E-4</v>
      </c>
      <c r="BA31" s="180"/>
      <c r="BB31" s="1441"/>
    </row>
    <row r="32" spans="1:54" s="684" customFormat="1">
      <c r="B32" s="684">
        <f>'RRT - Subgrupo - IGEO'!CQ30</f>
        <v>2905</v>
      </c>
      <c r="F32" s="684">
        <f>'RRT - Subgrupo - IGEO'!CT30</f>
        <v>1835</v>
      </c>
      <c r="J32" s="684">
        <f>'RRT - Subgrupo - IGEO'!CW30</f>
        <v>1649</v>
      </c>
      <c r="N32" s="684">
        <f>'RRT - Subgrupo - IGEO'!CZ30</f>
        <v>23304</v>
      </c>
      <c r="R32" s="684">
        <f>'RRT - Subgrupo - IGEO'!DC30</f>
        <v>701</v>
      </c>
      <c r="V32" s="684">
        <f>'RRT - Subgrupo - IGEO'!DF30</f>
        <v>10568</v>
      </c>
      <c r="Z32" s="684">
        <f>'RRT - Subgrupo - IGEO'!DI30</f>
        <v>53095</v>
      </c>
      <c r="AD32" s="684">
        <f>'RRT - Subgrupo - IGEO'!DL30</f>
        <v>4882</v>
      </c>
      <c r="AH32" s="684">
        <f>'RRT - Subgrupo - IGEO'!DO30</f>
        <v>63</v>
      </c>
      <c r="AL32" s="684">
        <f>'RRT - Subgrupo - IGEO'!DR30</f>
        <v>23</v>
      </c>
      <c r="AP32" s="684">
        <f>'RRT - Subgrupo - IGEO'!DU30</f>
        <v>4118</v>
      </c>
      <c r="AT32" s="834">
        <f>B32+F32+J32+N32+R32+V32+Z32+AD32+AH32+AL32+AP32</f>
        <v>103143</v>
      </c>
      <c r="AU32" s="684">
        <f>'RRT - Atividades '!X30</f>
        <v>74704.082745314387</v>
      </c>
      <c r="AV32" s="826"/>
      <c r="AW32" s="826"/>
      <c r="AX32" s="1152" t="s">
        <v>670</v>
      </c>
      <c r="AY32" s="771">
        <v>15.20693778798309</v>
      </c>
      <c r="AZ32" s="832">
        <v>2.0356233861845927E-4</v>
      </c>
      <c r="BA32" s="1154"/>
      <c r="BB32" s="1441"/>
    </row>
    <row r="33" spans="1:54" ht="15.75" thickBot="1">
      <c r="B33" s="816">
        <f>B31-B32</f>
        <v>0</v>
      </c>
      <c r="F33" s="816">
        <f>F31-F32</f>
        <v>0</v>
      </c>
      <c r="J33" s="816">
        <f>J31-J32</f>
        <v>0</v>
      </c>
      <c r="N33" s="816">
        <f>N31-N32</f>
        <v>0</v>
      </c>
      <c r="R33" s="816">
        <f>R31-R32</f>
        <v>0</v>
      </c>
      <c r="V33" s="816">
        <f>V31-V32</f>
        <v>0</v>
      </c>
      <c r="Z33" s="816">
        <f>Z31-Z32</f>
        <v>0</v>
      </c>
      <c r="AD33" s="816">
        <f>AD31-AD32</f>
        <v>0</v>
      </c>
      <c r="AH33" s="816">
        <f>AH31-AH32</f>
        <v>0</v>
      </c>
      <c r="AL33" s="816">
        <f>AL31-AL32</f>
        <v>0</v>
      </c>
      <c r="AP33" s="816">
        <f>AP31-AP32</f>
        <v>0</v>
      </c>
      <c r="AT33" s="816">
        <f t="shared" ref="AT33:AU33" si="38">AT31-AT32</f>
        <v>0</v>
      </c>
      <c r="AU33" s="816">
        <f t="shared" si="38"/>
        <v>0</v>
      </c>
      <c r="AX33" s="1155" t="s">
        <v>128</v>
      </c>
      <c r="AY33" s="1156">
        <f>SUM(AY22:AY32)</f>
        <v>74704.082745314401</v>
      </c>
      <c r="AZ33" s="1157">
        <f>SUM(AZ22:AZ32)</f>
        <v>1</v>
      </c>
      <c r="BA33" s="182"/>
      <c r="BB33" s="1442"/>
    </row>
    <row r="35" spans="1:54" hidden="1">
      <c r="A35" s="274" t="s">
        <v>87</v>
      </c>
      <c r="B35" s="756">
        <f>B4/$AT4</f>
        <v>6.8493150684931503E-2</v>
      </c>
      <c r="E35" s="274" t="s">
        <v>87</v>
      </c>
      <c r="F35" s="756">
        <f>F4/$AT4</f>
        <v>0.12328767123287671</v>
      </c>
      <c r="I35" s="274" t="s">
        <v>87</v>
      </c>
      <c r="J35" s="756">
        <f>J4/$AT4</f>
        <v>0.13698630136986301</v>
      </c>
      <c r="M35" s="274" t="s">
        <v>87</v>
      </c>
      <c r="N35" s="756">
        <f>N4/$AT4</f>
        <v>0.21917808219178081</v>
      </c>
      <c r="Q35" s="274" t="s">
        <v>87</v>
      </c>
      <c r="R35" s="756">
        <f>R4/$AT4</f>
        <v>1.3698630136986301E-2</v>
      </c>
      <c r="U35" s="274" t="s">
        <v>87</v>
      </c>
      <c r="V35" s="756">
        <f>V4/$AT4</f>
        <v>0.12328767123287671</v>
      </c>
      <c r="Y35" s="274" t="s">
        <v>87</v>
      </c>
      <c r="Z35" s="756">
        <f>Z4/$AT4</f>
        <v>0.23287671232876711</v>
      </c>
      <c r="AC35" s="274" t="s">
        <v>87</v>
      </c>
      <c r="AD35" s="756">
        <f>AD4/$AT4</f>
        <v>5.4794520547945202E-2</v>
      </c>
      <c r="AG35" s="274" t="s">
        <v>87</v>
      </c>
      <c r="AH35" s="756">
        <f>AH4/$AT4</f>
        <v>0</v>
      </c>
      <c r="AK35" s="274" t="s">
        <v>87</v>
      </c>
      <c r="AL35" s="756">
        <f>AL4/$AT4</f>
        <v>0</v>
      </c>
      <c r="AO35" s="274" t="s">
        <v>87</v>
      </c>
      <c r="AP35" s="756">
        <f>AP4/$AT4</f>
        <v>2.7397260273972601E-2</v>
      </c>
      <c r="AS35" s="274" t="s">
        <v>87</v>
      </c>
      <c r="AT35" s="756">
        <f>AT4/$AT4</f>
        <v>1</v>
      </c>
    </row>
    <row r="36" spans="1:54" hidden="1">
      <c r="A36" s="758" t="s">
        <v>88</v>
      </c>
      <c r="B36" s="756">
        <f t="shared" ref="B36:B61" si="39">B5/$AT5</f>
        <v>1.179245283018868E-2</v>
      </c>
      <c r="E36" s="758" t="s">
        <v>88</v>
      </c>
      <c r="F36" s="756">
        <f t="shared" ref="F36:F61" si="40">F5/$AT5</f>
        <v>6.3679245283018868E-2</v>
      </c>
      <c r="I36" s="758" t="s">
        <v>88</v>
      </c>
      <c r="J36" s="756">
        <f t="shared" ref="J36:J61" si="41">J5/$AT5</f>
        <v>9.433962264150943E-3</v>
      </c>
      <c r="M36" s="758" t="s">
        <v>88</v>
      </c>
      <c r="N36" s="756">
        <f t="shared" ref="N36:N61" si="42">N5/$AT5</f>
        <v>0.13679245283018868</v>
      </c>
      <c r="Q36" s="758" t="s">
        <v>88</v>
      </c>
      <c r="R36" s="756">
        <f t="shared" ref="R36:R61" si="43">R5/$AT5</f>
        <v>0</v>
      </c>
      <c r="U36" s="758" t="s">
        <v>88</v>
      </c>
      <c r="V36" s="756">
        <f t="shared" ref="V36:V61" si="44">V5/$AT5</f>
        <v>0.26886792452830188</v>
      </c>
      <c r="Y36" s="758" t="s">
        <v>88</v>
      </c>
      <c r="Z36" s="756">
        <f t="shared" ref="Z36:Z61" si="45">Z5/$AT5</f>
        <v>0.35377358490566035</v>
      </c>
      <c r="AC36" s="758" t="s">
        <v>88</v>
      </c>
      <c r="AD36" s="756">
        <f t="shared" ref="AD36:AD61" si="46">AD5/$AT5</f>
        <v>3.0660377358490566E-2</v>
      </c>
      <c r="AG36" s="758" t="s">
        <v>88</v>
      </c>
      <c r="AH36" s="756">
        <f t="shared" ref="AH36:AH61" si="47">AH5/$AT5</f>
        <v>0</v>
      </c>
      <c r="AK36" s="758" t="s">
        <v>88</v>
      </c>
      <c r="AL36" s="756">
        <f t="shared" ref="AL36:AL61" si="48">AL5/$AT5</f>
        <v>0</v>
      </c>
      <c r="AO36" s="758" t="s">
        <v>88</v>
      </c>
      <c r="AP36" s="756">
        <f t="shared" ref="AP36:AP61" si="49">AP5/$AT5</f>
        <v>0.125</v>
      </c>
      <c r="AS36" s="758" t="s">
        <v>88</v>
      </c>
      <c r="AT36" s="756">
        <f t="shared" ref="AT36:AT61" si="50">AT5/$AT5</f>
        <v>1</v>
      </c>
    </row>
    <row r="37" spans="1:54" hidden="1">
      <c r="A37" s="758" t="s">
        <v>90</v>
      </c>
      <c r="B37" s="756">
        <f t="shared" si="39"/>
        <v>3.0303030303030304E-2</v>
      </c>
      <c r="E37" s="758" t="s">
        <v>90</v>
      </c>
      <c r="F37" s="756">
        <f t="shared" si="40"/>
        <v>3.5812672176308541E-2</v>
      </c>
      <c r="I37" s="758" t="s">
        <v>90</v>
      </c>
      <c r="J37" s="756">
        <f t="shared" si="41"/>
        <v>1.6528925619834711E-2</v>
      </c>
      <c r="M37" s="758" t="s">
        <v>90</v>
      </c>
      <c r="N37" s="756">
        <f t="shared" si="42"/>
        <v>8.8154269972451793E-2</v>
      </c>
      <c r="Q37" s="758" t="s">
        <v>90</v>
      </c>
      <c r="R37" s="756">
        <f t="shared" si="43"/>
        <v>1.1019283746556474E-2</v>
      </c>
      <c r="U37" s="758" t="s">
        <v>90</v>
      </c>
      <c r="V37" s="756">
        <f t="shared" si="44"/>
        <v>0.16253443526170799</v>
      </c>
      <c r="Y37" s="758" t="s">
        <v>90</v>
      </c>
      <c r="Z37" s="756">
        <f t="shared" si="45"/>
        <v>0.55922865013774103</v>
      </c>
      <c r="AC37" s="758" t="s">
        <v>90</v>
      </c>
      <c r="AD37" s="756">
        <f t="shared" si="46"/>
        <v>4.4077134986225897E-2</v>
      </c>
      <c r="AG37" s="758" t="s">
        <v>90</v>
      </c>
      <c r="AH37" s="756">
        <f t="shared" si="47"/>
        <v>0</v>
      </c>
      <c r="AK37" s="758" t="s">
        <v>90</v>
      </c>
      <c r="AL37" s="756">
        <f t="shared" si="48"/>
        <v>0</v>
      </c>
      <c r="AO37" s="758" t="s">
        <v>90</v>
      </c>
      <c r="AP37" s="756">
        <f t="shared" si="49"/>
        <v>5.2341597796143252E-2</v>
      </c>
      <c r="AS37" s="758" t="s">
        <v>90</v>
      </c>
      <c r="AT37" s="756">
        <f t="shared" si="50"/>
        <v>1</v>
      </c>
    </row>
    <row r="38" spans="1:54" hidden="1">
      <c r="A38" s="758" t="s">
        <v>89</v>
      </c>
      <c r="B38" s="756">
        <f t="shared" si="39"/>
        <v>0</v>
      </c>
      <c r="E38" s="758" t="s">
        <v>89</v>
      </c>
      <c r="F38" s="756">
        <f t="shared" si="40"/>
        <v>4.2553191489361701E-2</v>
      </c>
      <c r="I38" s="758" t="s">
        <v>89</v>
      </c>
      <c r="J38" s="756">
        <f t="shared" si="41"/>
        <v>6.3829787234042548E-2</v>
      </c>
      <c r="M38" s="758" t="s">
        <v>89</v>
      </c>
      <c r="N38" s="756">
        <f t="shared" si="42"/>
        <v>0.21276595744680851</v>
      </c>
      <c r="Q38" s="758" t="s">
        <v>89</v>
      </c>
      <c r="R38" s="756">
        <f t="shared" si="43"/>
        <v>0</v>
      </c>
      <c r="U38" s="758" t="s">
        <v>89</v>
      </c>
      <c r="V38" s="756">
        <f t="shared" si="44"/>
        <v>0.27659574468085107</v>
      </c>
      <c r="Y38" s="758" t="s">
        <v>89</v>
      </c>
      <c r="Z38" s="756">
        <f t="shared" si="45"/>
        <v>0.19148936170212766</v>
      </c>
      <c r="AC38" s="758" t="s">
        <v>89</v>
      </c>
      <c r="AD38" s="756">
        <f t="shared" si="46"/>
        <v>0.10638297872340426</v>
      </c>
      <c r="AG38" s="758" t="s">
        <v>89</v>
      </c>
      <c r="AH38" s="756">
        <f t="shared" si="47"/>
        <v>0</v>
      </c>
      <c r="AK38" s="758" t="s">
        <v>89</v>
      </c>
      <c r="AL38" s="756">
        <f t="shared" si="48"/>
        <v>0</v>
      </c>
      <c r="AO38" s="758" t="s">
        <v>89</v>
      </c>
      <c r="AP38" s="756">
        <f t="shared" si="49"/>
        <v>0.10638297872340426</v>
      </c>
      <c r="AS38" s="758" t="s">
        <v>89</v>
      </c>
      <c r="AT38" s="756">
        <f t="shared" si="50"/>
        <v>1</v>
      </c>
    </row>
    <row r="39" spans="1:54" hidden="1">
      <c r="A39" s="758" t="s">
        <v>91</v>
      </c>
      <c r="B39" s="756">
        <f t="shared" si="39"/>
        <v>1.9809244314013204E-2</v>
      </c>
      <c r="E39" s="758" t="s">
        <v>91</v>
      </c>
      <c r="F39" s="756">
        <f t="shared" si="40"/>
        <v>6.8231841526045486E-2</v>
      </c>
      <c r="I39" s="758" t="s">
        <v>91</v>
      </c>
      <c r="J39" s="756">
        <f t="shared" si="41"/>
        <v>3.7417461482024947E-2</v>
      </c>
      <c r="M39" s="758" t="s">
        <v>91</v>
      </c>
      <c r="N39" s="756">
        <f t="shared" si="42"/>
        <v>0.1958914159941306</v>
      </c>
      <c r="Q39" s="758" t="s">
        <v>91</v>
      </c>
      <c r="R39" s="756">
        <f t="shared" si="43"/>
        <v>1.1005135730007337E-2</v>
      </c>
      <c r="U39" s="758" t="s">
        <v>91</v>
      </c>
      <c r="V39" s="756">
        <f t="shared" si="44"/>
        <v>0.16874541452677916</v>
      </c>
      <c r="Y39" s="758" t="s">
        <v>91</v>
      </c>
      <c r="Z39" s="756">
        <f t="shared" si="45"/>
        <v>0.37123991195891415</v>
      </c>
      <c r="AC39" s="758" t="s">
        <v>91</v>
      </c>
      <c r="AD39" s="756">
        <f t="shared" si="46"/>
        <v>4.1819515774027878E-2</v>
      </c>
      <c r="AG39" s="758" t="s">
        <v>91</v>
      </c>
      <c r="AH39" s="756">
        <f t="shared" si="47"/>
        <v>0</v>
      </c>
      <c r="AK39" s="758" t="s">
        <v>91</v>
      </c>
      <c r="AL39" s="756">
        <f t="shared" si="48"/>
        <v>1.467351430667645E-3</v>
      </c>
      <c r="AO39" s="758" t="s">
        <v>91</v>
      </c>
      <c r="AP39" s="756">
        <f t="shared" si="49"/>
        <v>8.4372707263389579E-2</v>
      </c>
      <c r="AS39" s="758" t="s">
        <v>91</v>
      </c>
      <c r="AT39" s="756">
        <f t="shared" si="50"/>
        <v>1</v>
      </c>
    </row>
    <row r="40" spans="1:54" hidden="1">
      <c r="A40" s="758" t="s">
        <v>92</v>
      </c>
      <c r="B40" s="756">
        <f t="shared" si="39"/>
        <v>3.459637561779242E-2</v>
      </c>
      <c r="E40" s="758" t="s">
        <v>92</v>
      </c>
      <c r="F40" s="756">
        <f t="shared" si="40"/>
        <v>3.6243822075782535E-2</v>
      </c>
      <c r="I40" s="758" t="s">
        <v>92</v>
      </c>
      <c r="J40" s="756">
        <f t="shared" si="41"/>
        <v>6.919275123558484E-2</v>
      </c>
      <c r="M40" s="758" t="s">
        <v>92</v>
      </c>
      <c r="N40" s="756">
        <f t="shared" si="42"/>
        <v>7.248764415156507E-2</v>
      </c>
      <c r="Q40" s="758" t="s">
        <v>92</v>
      </c>
      <c r="R40" s="756">
        <f t="shared" si="43"/>
        <v>4.9423393739703456E-3</v>
      </c>
      <c r="U40" s="758" t="s">
        <v>92</v>
      </c>
      <c r="V40" s="756">
        <f t="shared" si="44"/>
        <v>0.29159802306425042</v>
      </c>
      <c r="Y40" s="758" t="s">
        <v>92</v>
      </c>
      <c r="Z40" s="756">
        <f t="shared" si="45"/>
        <v>0.31795716639209226</v>
      </c>
      <c r="AC40" s="758" t="s">
        <v>92</v>
      </c>
      <c r="AD40" s="756">
        <f t="shared" si="46"/>
        <v>9.0609555189456348E-2</v>
      </c>
      <c r="AG40" s="758" t="s">
        <v>92</v>
      </c>
      <c r="AH40" s="756">
        <f t="shared" si="47"/>
        <v>1.6474464579901153E-3</v>
      </c>
      <c r="AK40" s="758" t="s">
        <v>92</v>
      </c>
      <c r="AL40" s="756">
        <f t="shared" si="48"/>
        <v>0</v>
      </c>
      <c r="AO40" s="758" t="s">
        <v>92</v>
      </c>
      <c r="AP40" s="756">
        <f t="shared" si="49"/>
        <v>8.0724876441515644E-2</v>
      </c>
      <c r="AS40" s="758" t="s">
        <v>92</v>
      </c>
      <c r="AT40" s="756">
        <f t="shared" si="50"/>
        <v>1</v>
      </c>
    </row>
    <row r="41" spans="1:54" hidden="1">
      <c r="A41" s="758" t="s">
        <v>93</v>
      </c>
      <c r="B41" s="756">
        <f t="shared" si="39"/>
        <v>2.2201665124884366E-2</v>
      </c>
      <c r="E41" s="758" t="s">
        <v>93</v>
      </c>
      <c r="F41" s="756">
        <f t="shared" si="40"/>
        <v>5.920444033302498E-2</v>
      </c>
      <c r="I41" s="758" t="s">
        <v>93</v>
      </c>
      <c r="J41" s="756">
        <f t="shared" si="41"/>
        <v>1.6651248843663275E-2</v>
      </c>
      <c r="M41" s="758" t="s">
        <v>93</v>
      </c>
      <c r="N41" s="756">
        <f t="shared" si="42"/>
        <v>4.2553191489361701E-2</v>
      </c>
      <c r="Q41" s="758" t="s">
        <v>93</v>
      </c>
      <c r="R41" s="756">
        <f t="shared" si="43"/>
        <v>1.1100832562442183E-2</v>
      </c>
      <c r="U41" s="758" t="s">
        <v>93</v>
      </c>
      <c r="V41" s="756">
        <f t="shared" si="44"/>
        <v>0.21091581868640147</v>
      </c>
      <c r="Y41" s="758" t="s">
        <v>93</v>
      </c>
      <c r="Z41" s="756">
        <f t="shared" si="45"/>
        <v>0.56429232192414436</v>
      </c>
      <c r="AC41" s="758" t="s">
        <v>93</v>
      </c>
      <c r="AD41" s="756">
        <f t="shared" si="46"/>
        <v>3.8852913968547641E-2</v>
      </c>
      <c r="AG41" s="758" t="s">
        <v>93</v>
      </c>
      <c r="AH41" s="756">
        <f t="shared" si="47"/>
        <v>0</v>
      </c>
      <c r="AK41" s="758" t="s">
        <v>93</v>
      </c>
      <c r="AL41" s="756">
        <f t="shared" si="48"/>
        <v>0</v>
      </c>
      <c r="AO41" s="758" t="s">
        <v>93</v>
      </c>
      <c r="AP41" s="756">
        <f t="shared" si="49"/>
        <v>3.4227567067530065E-2</v>
      </c>
      <c r="AS41" s="758" t="s">
        <v>93</v>
      </c>
      <c r="AT41" s="756">
        <f t="shared" si="50"/>
        <v>1</v>
      </c>
    </row>
    <row r="42" spans="1:54" hidden="1">
      <c r="A42" s="758" t="s">
        <v>94</v>
      </c>
      <c r="B42" s="756">
        <f t="shared" si="39"/>
        <v>7.2747621712367094E-3</v>
      </c>
      <c r="E42" s="758" t="s">
        <v>94</v>
      </c>
      <c r="F42" s="756">
        <f t="shared" si="40"/>
        <v>1.5668718522663681E-2</v>
      </c>
      <c r="I42" s="758" t="s">
        <v>94</v>
      </c>
      <c r="J42" s="756">
        <f t="shared" si="41"/>
        <v>1.119194180190263E-2</v>
      </c>
      <c r="M42" s="758" t="s">
        <v>94</v>
      </c>
      <c r="N42" s="756">
        <f t="shared" si="42"/>
        <v>0.323447118074986</v>
      </c>
      <c r="Q42" s="758" t="s">
        <v>94</v>
      </c>
      <c r="R42" s="756">
        <f t="shared" si="43"/>
        <v>4.4767767207610524E-3</v>
      </c>
      <c r="U42" s="758" t="s">
        <v>94</v>
      </c>
      <c r="V42" s="756">
        <f t="shared" si="44"/>
        <v>0.16060436485730273</v>
      </c>
      <c r="Y42" s="758" t="s">
        <v>94</v>
      </c>
      <c r="Z42" s="756">
        <f t="shared" si="45"/>
        <v>0.43312814773363179</v>
      </c>
      <c r="AC42" s="758" t="s">
        <v>94</v>
      </c>
      <c r="AD42" s="756">
        <f t="shared" si="46"/>
        <v>2.1264689423614997E-2</v>
      </c>
      <c r="AG42" s="758" t="s">
        <v>94</v>
      </c>
      <c r="AH42" s="756">
        <f t="shared" si="47"/>
        <v>5.5959709009513155E-4</v>
      </c>
      <c r="AK42" s="758" t="s">
        <v>94</v>
      </c>
      <c r="AL42" s="756">
        <f t="shared" si="48"/>
        <v>0</v>
      </c>
      <c r="AO42" s="758" t="s">
        <v>94</v>
      </c>
      <c r="AP42" s="756">
        <f t="shared" si="49"/>
        <v>2.238388360380526E-2</v>
      </c>
      <c r="AS42" s="758" t="s">
        <v>94</v>
      </c>
      <c r="AT42" s="756">
        <f t="shared" si="50"/>
        <v>1</v>
      </c>
    </row>
    <row r="43" spans="1:54" hidden="1">
      <c r="A43" s="758" t="s">
        <v>95</v>
      </c>
      <c r="B43" s="756">
        <f t="shared" si="39"/>
        <v>1.4527845036319613E-2</v>
      </c>
      <c r="E43" s="758" t="s">
        <v>95</v>
      </c>
      <c r="F43" s="756">
        <f t="shared" si="40"/>
        <v>1.6142050040355124E-2</v>
      </c>
      <c r="I43" s="758" t="s">
        <v>95</v>
      </c>
      <c r="J43" s="756">
        <f t="shared" si="41"/>
        <v>2.2598870056497175E-2</v>
      </c>
      <c r="M43" s="758" t="s">
        <v>95</v>
      </c>
      <c r="N43" s="756">
        <f t="shared" si="42"/>
        <v>0.12025827280064569</v>
      </c>
      <c r="Q43" s="758" t="s">
        <v>95</v>
      </c>
      <c r="R43" s="756">
        <f t="shared" si="43"/>
        <v>4.8426150121065378E-3</v>
      </c>
      <c r="U43" s="758" t="s">
        <v>95</v>
      </c>
      <c r="V43" s="756">
        <f t="shared" si="44"/>
        <v>0.22033898305084745</v>
      </c>
      <c r="Y43" s="758" t="s">
        <v>95</v>
      </c>
      <c r="Z43" s="756">
        <f t="shared" si="45"/>
        <v>0.49313962873284906</v>
      </c>
      <c r="AC43" s="758" t="s">
        <v>95</v>
      </c>
      <c r="AD43" s="756">
        <f t="shared" si="46"/>
        <v>6.2953995157384993E-2</v>
      </c>
      <c r="AG43" s="758" t="s">
        <v>95</v>
      </c>
      <c r="AH43" s="756">
        <f t="shared" si="47"/>
        <v>0</v>
      </c>
      <c r="AK43" s="758" t="s">
        <v>95</v>
      </c>
      <c r="AL43" s="756">
        <f t="shared" si="48"/>
        <v>0</v>
      </c>
      <c r="AO43" s="758" t="s">
        <v>95</v>
      </c>
      <c r="AP43" s="756">
        <f t="shared" si="49"/>
        <v>4.519774011299435E-2</v>
      </c>
      <c r="AS43" s="758" t="s">
        <v>95</v>
      </c>
      <c r="AT43" s="756">
        <f t="shared" si="50"/>
        <v>1</v>
      </c>
    </row>
    <row r="44" spans="1:54" hidden="1">
      <c r="A44" s="758" t="s">
        <v>96</v>
      </c>
      <c r="B44" s="756">
        <f t="shared" si="39"/>
        <v>4.1189931350114416E-2</v>
      </c>
      <c r="E44" s="758" t="s">
        <v>96</v>
      </c>
      <c r="F44" s="756">
        <f t="shared" si="40"/>
        <v>4.1189931350114416E-2</v>
      </c>
      <c r="I44" s="758" t="s">
        <v>96</v>
      </c>
      <c r="J44" s="756">
        <f t="shared" si="41"/>
        <v>3.6613272311212815E-2</v>
      </c>
      <c r="M44" s="758" t="s">
        <v>96</v>
      </c>
      <c r="N44" s="756">
        <f t="shared" si="42"/>
        <v>0.18077803203661327</v>
      </c>
      <c r="Q44" s="758" t="s">
        <v>96</v>
      </c>
      <c r="R44" s="756">
        <f t="shared" si="43"/>
        <v>6.8649885583524023E-3</v>
      </c>
      <c r="U44" s="758" t="s">
        <v>96</v>
      </c>
      <c r="V44" s="756">
        <f t="shared" si="44"/>
        <v>0.31350114416475972</v>
      </c>
      <c r="Y44" s="758" t="s">
        <v>96</v>
      </c>
      <c r="Z44" s="756">
        <f t="shared" si="45"/>
        <v>0.23569794050343248</v>
      </c>
      <c r="AC44" s="758" t="s">
        <v>96</v>
      </c>
      <c r="AD44" s="756">
        <f t="shared" si="46"/>
        <v>0.10755148741418764</v>
      </c>
      <c r="AG44" s="758" t="s">
        <v>96</v>
      </c>
      <c r="AH44" s="756">
        <f t="shared" si="47"/>
        <v>0</v>
      </c>
      <c r="AK44" s="758" t="s">
        <v>96</v>
      </c>
      <c r="AL44" s="756">
        <f t="shared" si="48"/>
        <v>0</v>
      </c>
      <c r="AO44" s="758" t="s">
        <v>96</v>
      </c>
      <c r="AP44" s="756">
        <f t="shared" si="49"/>
        <v>3.6613272311212815E-2</v>
      </c>
      <c r="AS44" s="758" t="s">
        <v>96</v>
      </c>
      <c r="AT44" s="756">
        <f t="shared" si="50"/>
        <v>1</v>
      </c>
    </row>
    <row r="45" spans="1:54" hidden="1">
      <c r="A45" s="758" t="s">
        <v>99</v>
      </c>
      <c r="B45" s="756">
        <f t="shared" si="39"/>
        <v>3.6673857619141007E-2</v>
      </c>
      <c r="E45" s="758" t="s">
        <v>99</v>
      </c>
      <c r="F45" s="756">
        <f t="shared" si="40"/>
        <v>3.5693273190821731E-2</v>
      </c>
      <c r="I45" s="758" t="s">
        <v>99</v>
      </c>
      <c r="J45" s="756">
        <f t="shared" si="41"/>
        <v>1.804275348107472E-2</v>
      </c>
      <c r="M45" s="758" t="s">
        <v>99</v>
      </c>
      <c r="N45" s="756">
        <f t="shared" si="42"/>
        <v>0.13943910570700138</v>
      </c>
      <c r="Q45" s="758" t="s">
        <v>99</v>
      </c>
      <c r="R45" s="756">
        <f t="shared" si="43"/>
        <v>9.4136105118650722E-3</v>
      </c>
      <c r="U45" s="758" t="s">
        <v>99</v>
      </c>
      <c r="V45" s="756">
        <f t="shared" si="44"/>
        <v>8.727201412041577E-2</v>
      </c>
      <c r="Y45" s="758" t="s">
        <v>99</v>
      </c>
      <c r="Z45" s="756">
        <f t="shared" si="45"/>
        <v>0.53226122769170425</v>
      </c>
      <c r="AC45" s="758" t="s">
        <v>99</v>
      </c>
      <c r="AD45" s="756">
        <f t="shared" si="46"/>
        <v>3.8635026475779564E-2</v>
      </c>
      <c r="AG45" s="758" t="s">
        <v>99</v>
      </c>
      <c r="AH45" s="756">
        <f t="shared" si="47"/>
        <v>2.1572857423024124E-3</v>
      </c>
      <c r="AK45" s="758" t="s">
        <v>99</v>
      </c>
      <c r="AL45" s="756">
        <f t="shared" si="48"/>
        <v>5.8835065699156701E-4</v>
      </c>
      <c r="AO45" s="758" t="s">
        <v>99</v>
      </c>
      <c r="AP45" s="756">
        <f t="shared" si="49"/>
        <v>9.9823494802902535E-2</v>
      </c>
      <c r="AS45" s="758" t="s">
        <v>99</v>
      </c>
      <c r="AT45" s="756">
        <f t="shared" si="50"/>
        <v>1</v>
      </c>
    </row>
    <row r="46" spans="1:54" hidden="1">
      <c r="A46" s="758" t="s">
        <v>98</v>
      </c>
      <c r="B46" s="756">
        <f t="shared" si="39"/>
        <v>5.5248618784530384E-3</v>
      </c>
      <c r="E46" s="758" t="s">
        <v>98</v>
      </c>
      <c r="F46" s="756">
        <f t="shared" si="40"/>
        <v>4.2971147943523637E-3</v>
      </c>
      <c r="I46" s="758" t="s">
        <v>98</v>
      </c>
      <c r="J46" s="756">
        <f t="shared" si="41"/>
        <v>8.2872928176795577E-3</v>
      </c>
      <c r="M46" s="758" t="s">
        <v>98</v>
      </c>
      <c r="N46" s="756">
        <f t="shared" si="42"/>
        <v>0.3830570902394107</v>
      </c>
      <c r="Q46" s="758" t="s">
        <v>98</v>
      </c>
      <c r="R46" s="756">
        <f t="shared" si="43"/>
        <v>3.9901780233271948E-3</v>
      </c>
      <c r="U46" s="758" t="s">
        <v>98</v>
      </c>
      <c r="V46" s="756">
        <f t="shared" si="44"/>
        <v>8.9318600368324119E-2</v>
      </c>
      <c r="Y46" s="758" t="s">
        <v>98</v>
      </c>
      <c r="Z46" s="756">
        <f t="shared" si="45"/>
        <v>0.45917740945365254</v>
      </c>
      <c r="AC46" s="758" t="s">
        <v>98</v>
      </c>
      <c r="AD46" s="756">
        <f t="shared" si="46"/>
        <v>2.4248004910988337E-2</v>
      </c>
      <c r="AG46" s="758" t="s">
        <v>98</v>
      </c>
      <c r="AH46" s="756">
        <f t="shared" si="47"/>
        <v>6.1387354205033758E-4</v>
      </c>
      <c r="AK46" s="758" t="s">
        <v>98</v>
      </c>
      <c r="AL46" s="756">
        <f t="shared" si="48"/>
        <v>0</v>
      </c>
      <c r="AO46" s="758" t="s">
        <v>98</v>
      </c>
      <c r="AP46" s="756">
        <f t="shared" si="49"/>
        <v>2.1485573971761818E-2</v>
      </c>
      <c r="AS46" s="758" t="s">
        <v>98</v>
      </c>
      <c r="AT46" s="756">
        <f t="shared" si="50"/>
        <v>1</v>
      </c>
    </row>
    <row r="47" spans="1:54" hidden="1">
      <c r="A47" s="758" t="s">
        <v>97</v>
      </c>
      <c r="B47" s="756">
        <f t="shared" si="39"/>
        <v>3.1077348066298341E-3</v>
      </c>
      <c r="E47" s="758" t="s">
        <v>97</v>
      </c>
      <c r="F47" s="756">
        <f t="shared" si="40"/>
        <v>6.9060773480662981E-3</v>
      </c>
      <c r="I47" s="758" t="s">
        <v>97</v>
      </c>
      <c r="J47" s="756">
        <f t="shared" si="41"/>
        <v>6.5607734806629832E-3</v>
      </c>
      <c r="M47" s="758" t="s">
        <v>97</v>
      </c>
      <c r="N47" s="756">
        <f t="shared" si="42"/>
        <v>0.35738950276243092</v>
      </c>
      <c r="Q47" s="758" t="s">
        <v>97</v>
      </c>
      <c r="R47" s="756">
        <f t="shared" si="43"/>
        <v>2.7624309392265192E-3</v>
      </c>
      <c r="U47" s="758" t="s">
        <v>97</v>
      </c>
      <c r="V47" s="756">
        <f t="shared" si="44"/>
        <v>6.5262430939226526E-2</v>
      </c>
      <c r="Y47" s="758" t="s">
        <v>97</v>
      </c>
      <c r="Z47" s="756">
        <f t="shared" si="45"/>
        <v>0.52866022099447518</v>
      </c>
      <c r="AC47" s="758" t="s">
        <v>97</v>
      </c>
      <c r="AD47" s="756">
        <f t="shared" si="46"/>
        <v>1.2430939226519336E-2</v>
      </c>
      <c r="AG47" s="758" t="s">
        <v>97</v>
      </c>
      <c r="AH47" s="756">
        <f t="shared" si="47"/>
        <v>7.5966850828729279E-3</v>
      </c>
      <c r="AK47" s="758" t="s">
        <v>97</v>
      </c>
      <c r="AL47" s="756">
        <f t="shared" si="48"/>
        <v>3.453038674033149E-4</v>
      </c>
      <c r="AO47" s="758" t="s">
        <v>97</v>
      </c>
      <c r="AP47" s="756">
        <f t="shared" si="49"/>
        <v>8.9779005524861875E-3</v>
      </c>
      <c r="AS47" s="758" t="s">
        <v>97</v>
      </c>
      <c r="AT47" s="756">
        <f t="shared" si="50"/>
        <v>1</v>
      </c>
    </row>
    <row r="48" spans="1:54" hidden="1">
      <c r="A48" s="707" t="s">
        <v>100</v>
      </c>
      <c r="B48" s="756">
        <f t="shared" si="39"/>
        <v>1.2618296529968454E-2</v>
      </c>
      <c r="E48" s="707" t="s">
        <v>100</v>
      </c>
      <c r="F48" s="756">
        <f t="shared" si="40"/>
        <v>1.7350157728706624E-2</v>
      </c>
      <c r="I48" s="707" t="s">
        <v>100</v>
      </c>
      <c r="J48" s="756">
        <f t="shared" si="41"/>
        <v>2.2082018927444796E-2</v>
      </c>
      <c r="M48" s="707" t="s">
        <v>100</v>
      </c>
      <c r="N48" s="756">
        <f t="shared" si="42"/>
        <v>0.18138801261829654</v>
      </c>
      <c r="Q48" s="707" t="s">
        <v>100</v>
      </c>
      <c r="R48" s="756">
        <f t="shared" si="43"/>
        <v>1.5772870662460567E-3</v>
      </c>
      <c r="U48" s="707" t="s">
        <v>100</v>
      </c>
      <c r="V48" s="756">
        <f t="shared" si="44"/>
        <v>0.27287066246056785</v>
      </c>
      <c r="Y48" s="707" t="s">
        <v>100</v>
      </c>
      <c r="Z48" s="756">
        <f t="shared" si="45"/>
        <v>0.32334384858044163</v>
      </c>
      <c r="AC48" s="707" t="s">
        <v>100</v>
      </c>
      <c r="AD48" s="756">
        <f t="shared" si="46"/>
        <v>4.1009463722397478E-2</v>
      </c>
      <c r="AG48" s="707" t="s">
        <v>100</v>
      </c>
      <c r="AH48" s="756">
        <f t="shared" si="47"/>
        <v>0</v>
      </c>
      <c r="AK48" s="707" t="s">
        <v>100</v>
      </c>
      <c r="AL48" s="756">
        <f t="shared" si="48"/>
        <v>0</v>
      </c>
      <c r="AO48" s="707" t="s">
        <v>100</v>
      </c>
      <c r="AP48" s="756">
        <f t="shared" si="49"/>
        <v>0.12776025236593061</v>
      </c>
      <c r="AS48" s="707" t="s">
        <v>100</v>
      </c>
      <c r="AT48" s="756">
        <f t="shared" si="50"/>
        <v>1</v>
      </c>
    </row>
    <row r="49" spans="1:46" hidden="1">
      <c r="A49" s="274" t="s">
        <v>101</v>
      </c>
      <c r="B49" s="756">
        <f t="shared" si="39"/>
        <v>4.1975308641975309E-2</v>
      </c>
      <c r="E49" s="274" t="s">
        <v>101</v>
      </c>
      <c r="F49" s="756">
        <f t="shared" si="40"/>
        <v>5.4320987654320987E-2</v>
      </c>
      <c r="I49" s="274" t="s">
        <v>101</v>
      </c>
      <c r="J49" s="756">
        <f t="shared" si="41"/>
        <v>9.876543209876543E-3</v>
      </c>
      <c r="M49" s="274" t="s">
        <v>101</v>
      </c>
      <c r="N49" s="756">
        <f t="shared" si="42"/>
        <v>0.16296296296296298</v>
      </c>
      <c r="Q49" s="274" t="s">
        <v>101</v>
      </c>
      <c r="R49" s="756">
        <f t="shared" si="43"/>
        <v>4.9382716049382715E-3</v>
      </c>
      <c r="U49" s="274" t="s">
        <v>101</v>
      </c>
      <c r="V49" s="756">
        <f t="shared" si="44"/>
        <v>0.34814814814814815</v>
      </c>
      <c r="Y49" s="274" t="s">
        <v>101</v>
      </c>
      <c r="Z49" s="756">
        <f t="shared" si="45"/>
        <v>0.18765432098765433</v>
      </c>
      <c r="AC49" s="274" t="s">
        <v>101</v>
      </c>
      <c r="AD49" s="756">
        <f t="shared" si="46"/>
        <v>7.6543209876543214E-2</v>
      </c>
      <c r="AG49" s="274" t="s">
        <v>101</v>
      </c>
      <c r="AH49" s="756">
        <f t="shared" si="47"/>
        <v>2.4691358024691358E-3</v>
      </c>
      <c r="AK49" s="274" t="s">
        <v>101</v>
      </c>
      <c r="AL49" s="756">
        <f t="shared" si="48"/>
        <v>0</v>
      </c>
      <c r="AO49" s="274" t="s">
        <v>101</v>
      </c>
      <c r="AP49" s="756">
        <f t="shared" si="49"/>
        <v>0.1111111111111111</v>
      </c>
      <c r="AS49" s="274" t="s">
        <v>101</v>
      </c>
      <c r="AT49" s="756">
        <f t="shared" si="50"/>
        <v>1</v>
      </c>
    </row>
    <row r="50" spans="1:46" hidden="1">
      <c r="A50" s="274" t="s">
        <v>103</v>
      </c>
      <c r="B50" s="756">
        <f t="shared" si="39"/>
        <v>3.4535297105129509E-2</v>
      </c>
      <c r="E50" s="274" t="s">
        <v>103</v>
      </c>
      <c r="F50" s="756">
        <f t="shared" si="40"/>
        <v>3.6566785170137124E-2</v>
      </c>
      <c r="I50" s="274" t="s">
        <v>103</v>
      </c>
      <c r="J50" s="756">
        <f t="shared" si="41"/>
        <v>1.7775520568816656E-2</v>
      </c>
      <c r="M50" s="274" t="s">
        <v>103</v>
      </c>
      <c r="N50" s="756">
        <f t="shared" si="42"/>
        <v>0.11376333164042661</v>
      </c>
      <c r="Q50" s="274" t="s">
        <v>103</v>
      </c>
      <c r="R50" s="756">
        <f t="shared" si="43"/>
        <v>2.0314880650076179E-3</v>
      </c>
      <c r="U50" s="274" t="s">
        <v>103</v>
      </c>
      <c r="V50" s="756">
        <f t="shared" si="44"/>
        <v>6.9070594210259018E-2</v>
      </c>
      <c r="Y50" s="274" t="s">
        <v>103</v>
      </c>
      <c r="Z50" s="756">
        <f t="shared" si="45"/>
        <v>0.63991874047739972</v>
      </c>
      <c r="AC50" s="274" t="s">
        <v>103</v>
      </c>
      <c r="AD50" s="756">
        <f t="shared" si="46"/>
        <v>6.6023362112747591E-2</v>
      </c>
      <c r="AG50" s="274" t="s">
        <v>103</v>
      </c>
      <c r="AH50" s="756">
        <f t="shared" si="47"/>
        <v>0</v>
      </c>
      <c r="AK50" s="274" t="s">
        <v>103</v>
      </c>
      <c r="AL50" s="756">
        <f t="shared" si="48"/>
        <v>0</v>
      </c>
      <c r="AO50" s="274" t="s">
        <v>103</v>
      </c>
      <c r="AP50" s="756">
        <f t="shared" si="49"/>
        <v>2.0314880650076181E-2</v>
      </c>
      <c r="AS50" s="274" t="s">
        <v>103</v>
      </c>
      <c r="AT50" s="756">
        <f t="shared" si="50"/>
        <v>1</v>
      </c>
    </row>
    <row r="51" spans="1:46" hidden="1">
      <c r="A51" s="274" t="s">
        <v>104</v>
      </c>
      <c r="B51" s="756">
        <f t="shared" si="39"/>
        <v>1.0050251256281407E-2</v>
      </c>
      <c r="E51" s="274" t="s">
        <v>104</v>
      </c>
      <c r="F51" s="756">
        <f t="shared" si="40"/>
        <v>4.7738693467336682E-2</v>
      </c>
      <c r="I51" s="274" t="s">
        <v>104</v>
      </c>
      <c r="J51" s="756">
        <f t="shared" si="41"/>
        <v>1.0050251256281407E-2</v>
      </c>
      <c r="M51" s="274" t="s">
        <v>104</v>
      </c>
      <c r="N51" s="756">
        <f t="shared" si="42"/>
        <v>0.19346733668341709</v>
      </c>
      <c r="Q51" s="274" t="s">
        <v>104</v>
      </c>
      <c r="R51" s="756">
        <f t="shared" si="43"/>
        <v>0</v>
      </c>
      <c r="U51" s="274" t="s">
        <v>104</v>
      </c>
      <c r="V51" s="756">
        <f t="shared" si="44"/>
        <v>0.37437185929648242</v>
      </c>
      <c r="Y51" s="274" t="s">
        <v>104</v>
      </c>
      <c r="Z51" s="756">
        <f t="shared" si="45"/>
        <v>0.24623115577889448</v>
      </c>
      <c r="AC51" s="274" t="s">
        <v>104</v>
      </c>
      <c r="AD51" s="756">
        <f t="shared" si="46"/>
        <v>1.0050251256281407E-2</v>
      </c>
      <c r="AG51" s="274" t="s">
        <v>104</v>
      </c>
      <c r="AH51" s="756">
        <f t="shared" si="47"/>
        <v>0</v>
      </c>
      <c r="AK51" s="274" t="s">
        <v>104</v>
      </c>
      <c r="AL51" s="756">
        <f t="shared" si="48"/>
        <v>0</v>
      </c>
      <c r="AO51" s="274" t="s">
        <v>104</v>
      </c>
      <c r="AP51" s="756">
        <f t="shared" si="49"/>
        <v>0.10804020100502512</v>
      </c>
      <c r="AS51" s="274" t="s">
        <v>104</v>
      </c>
      <c r="AT51" s="756">
        <f t="shared" si="50"/>
        <v>1</v>
      </c>
    </row>
    <row r="52" spans="1:46" hidden="1">
      <c r="A52" s="274" t="s">
        <v>102</v>
      </c>
      <c r="B52" s="756">
        <f t="shared" si="39"/>
        <v>1.3216957605985038E-2</v>
      </c>
      <c r="E52" s="274" t="s">
        <v>102</v>
      </c>
      <c r="F52" s="756">
        <f t="shared" si="40"/>
        <v>1.1970074812967581E-2</v>
      </c>
      <c r="I52" s="274" t="s">
        <v>102</v>
      </c>
      <c r="J52" s="756">
        <f t="shared" si="41"/>
        <v>1.2468827930174564E-2</v>
      </c>
      <c r="M52" s="274" t="s">
        <v>102</v>
      </c>
      <c r="N52" s="756">
        <f t="shared" si="42"/>
        <v>0.22842892768079801</v>
      </c>
      <c r="Q52" s="274" t="s">
        <v>102</v>
      </c>
      <c r="R52" s="756">
        <f t="shared" si="43"/>
        <v>1.3466334164588529E-2</v>
      </c>
      <c r="U52" s="274" t="s">
        <v>102</v>
      </c>
      <c r="V52" s="756">
        <f t="shared" si="44"/>
        <v>0.1341645885286783</v>
      </c>
      <c r="Y52" s="274" t="s">
        <v>102</v>
      </c>
      <c r="Z52" s="756">
        <f t="shared" si="45"/>
        <v>0.50698254364089779</v>
      </c>
      <c r="AC52" s="274" t="s">
        <v>102</v>
      </c>
      <c r="AD52" s="756">
        <f t="shared" si="46"/>
        <v>5.8354114713216956E-2</v>
      </c>
      <c r="AG52" s="274" t="s">
        <v>102</v>
      </c>
      <c r="AH52" s="756">
        <f t="shared" si="47"/>
        <v>0</v>
      </c>
      <c r="AK52" s="274" t="s">
        <v>102</v>
      </c>
      <c r="AL52" s="756">
        <f t="shared" si="48"/>
        <v>7.4812967581047382E-4</v>
      </c>
      <c r="AO52" s="274" t="s">
        <v>102</v>
      </c>
      <c r="AP52" s="756">
        <f t="shared" si="49"/>
        <v>2.0199501246882794E-2</v>
      </c>
      <c r="AS52" s="274" t="s">
        <v>102</v>
      </c>
      <c r="AT52" s="756">
        <f t="shared" si="50"/>
        <v>1</v>
      </c>
    </row>
    <row r="53" spans="1:46" hidden="1">
      <c r="A53" s="274" t="s">
        <v>105</v>
      </c>
      <c r="B53" s="756">
        <f t="shared" si="39"/>
        <v>2.3429809017523135E-2</v>
      </c>
      <c r="E53" s="274" t="s">
        <v>105</v>
      </c>
      <c r="F53" s="756">
        <f t="shared" si="40"/>
        <v>3.0714707619610159E-2</v>
      </c>
      <c r="I53" s="274" t="s">
        <v>105</v>
      </c>
      <c r="J53" s="756">
        <f t="shared" si="41"/>
        <v>2.5398700531600708E-2</v>
      </c>
      <c r="M53" s="274" t="s">
        <v>105</v>
      </c>
      <c r="N53" s="756">
        <f t="shared" si="42"/>
        <v>0.24414254774561922</v>
      </c>
      <c r="Q53" s="274" t="s">
        <v>105</v>
      </c>
      <c r="R53" s="756">
        <f t="shared" si="43"/>
        <v>1.3191573144319749E-2</v>
      </c>
      <c r="U53" s="274" t="s">
        <v>105</v>
      </c>
      <c r="V53" s="756">
        <f t="shared" si="44"/>
        <v>0.19196692262256349</v>
      </c>
      <c r="Y53" s="274" t="s">
        <v>105</v>
      </c>
      <c r="Z53" s="756">
        <f t="shared" si="45"/>
        <v>0.37133293955503049</v>
      </c>
      <c r="AC53" s="274" t="s">
        <v>105</v>
      </c>
      <c r="AD53" s="756">
        <f t="shared" si="46"/>
        <v>7.1273872809608188E-2</v>
      </c>
      <c r="AG53" s="274" t="s">
        <v>105</v>
      </c>
      <c r="AH53" s="756">
        <f t="shared" si="47"/>
        <v>3.9377830281551486E-4</v>
      </c>
      <c r="AK53" s="274" t="s">
        <v>105</v>
      </c>
      <c r="AL53" s="756">
        <f t="shared" si="48"/>
        <v>1.9688915140775743E-4</v>
      </c>
      <c r="AO53" s="274" t="s">
        <v>105</v>
      </c>
      <c r="AP53" s="756">
        <f t="shared" si="49"/>
        <v>2.7958259499901557E-2</v>
      </c>
      <c r="AS53" s="274" t="s">
        <v>105</v>
      </c>
      <c r="AT53" s="756">
        <f t="shared" si="50"/>
        <v>1</v>
      </c>
    </row>
    <row r="54" spans="1:46" hidden="1">
      <c r="A54" s="274" t="s">
        <v>106</v>
      </c>
      <c r="B54" s="756">
        <f t="shared" si="39"/>
        <v>3.1088082901554404E-2</v>
      </c>
      <c r="E54" s="274" t="s">
        <v>106</v>
      </c>
      <c r="F54" s="756">
        <f t="shared" si="40"/>
        <v>1.8134715025906734E-2</v>
      </c>
      <c r="I54" s="274" t="s">
        <v>106</v>
      </c>
      <c r="J54" s="756">
        <f t="shared" si="41"/>
        <v>3.4974093264248704E-2</v>
      </c>
      <c r="M54" s="274" t="s">
        <v>106</v>
      </c>
      <c r="N54" s="756">
        <f t="shared" si="42"/>
        <v>0.33160621761658032</v>
      </c>
      <c r="Q54" s="274" t="s">
        <v>106</v>
      </c>
      <c r="R54" s="756">
        <f t="shared" si="43"/>
        <v>1.2953367875647669E-3</v>
      </c>
      <c r="U54" s="274" t="s">
        <v>106</v>
      </c>
      <c r="V54" s="756">
        <f t="shared" si="44"/>
        <v>0.21243523316062177</v>
      </c>
      <c r="Y54" s="274" t="s">
        <v>106</v>
      </c>
      <c r="Z54" s="756">
        <f t="shared" si="45"/>
        <v>0.31347150259067358</v>
      </c>
      <c r="AC54" s="274" t="s">
        <v>106</v>
      </c>
      <c r="AD54" s="756">
        <f t="shared" si="46"/>
        <v>3.367875647668394E-2</v>
      </c>
      <c r="AG54" s="274" t="s">
        <v>106</v>
      </c>
      <c r="AH54" s="756">
        <f t="shared" si="47"/>
        <v>0</v>
      </c>
      <c r="AK54" s="274" t="s">
        <v>106</v>
      </c>
      <c r="AL54" s="756">
        <f t="shared" si="48"/>
        <v>0</v>
      </c>
      <c r="AO54" s="274" t="s">
        <v>106</v>
      </c>
      <c r="AP54" s="756">
        <f t="shared" si="49"/>
        <v>2.3316062176165803E-2</v>
      </c>
      <c r="AS54" s="274" t="s">
        <v>106</v>
      </c>
      <c r="AT54" s="756">
        <f t="shared" si="50"/>
        <v>1</v>
      </c>
    </row>
    <row r="55" spans="1:46" hidden="1">
      <c r="A55" s="274" t="s">
        <v>108</v>
      </c>
      <c r="B55" s="756">
        <f t="shared" si="39"/>
        <v>8.8809946714031966E-3</v>
      </c>
      <c r="E55" s="274" t="s">
        <v>108</v>
      </c>
      <c r="F55" s="756">
        <f t="shared" si="40"/>
        <v>4.4404973357015983E-3</v>
      </c>
      <c r="I55" s="274" t="s">
        <v>108</v>
      </c>
      <c r="J55" s="756">
        <f t="shared" si="41"/>
        <v>6.2166962699822378E-3</v>
      </c>
      <c r="M55" s="274" t="s">
        <v>108</v>
      </c>
      <c r="N55" s="756">
        <f t="shared" si="42"/>
        <v>0.10568383658969804</v>
      </c>
      <c r="Q55" s="274" t="s">
        <v>108</v>
      </c>
      <c r="R55" s="756">
        <f t="shared" si="43"/>
        <v>0</v>
      </c>
      <c r="U55" s="274" t="s">
        <v>108</v>
      </c>
      <c r="V55" s="756">
        <f t="shared" si="44"/>
        <v>5.2397868561278864E-2</v>
      </c>
      <c r="Y55" s="274" t="s">
        <v>108</v>
      </c>
      <c r="Z55" s="756">
        <f t="shared" si="45"/>
        <v>0.74689165186500883</v>
      </c>
      <c r="AC55" s="274" t="s">
        <v>108</v>
      </c>
      <c r="AD55" s="756">
        <f t="shared" si="46"/>
        <v>6.9271758436944941E-2</v>
      </c>
      <c r="AG55" s="274" t="s">
        <v>108</v>
      </c>
      <c r="AH55" s="756">
        <f t="shared" si="47"/>
        <v>0</v>
      </c>
      <c r="AK55" s="274" t="s">
        <v>108</v>
      </c>
      <c r="AL55" s="756">
        <f t="shared" si="48"/>
        <v>0</v>
      </c>
      <c r="AO55" s="274" t="s">
        <v>108</v>
      </c>
      <c r="AP55" s="756">
        <f t="shared" si="49"/>
        <v>6.2166962699822378E-3</v>
      </c>
      <c r="AS55" s="274" t="s">
        <v>108</v>
      </c>
      <c r="AT55" s="756">
        <f t="shared" si="50"/>
        <v>1</v>
      </c>
    </row>
    <row r="56" spans="1:46" hidden="1">
      <c r="A56" s="274" t="s">
        <v>109</v>
      </c>
      <c r="B56" s="756">
        <f t="shared" si="39"/>
        <v>0</v>
      </c>
      <c r="E56" s="274" t="s">
        <v>109</v>
      </c>
      <c r="F56" s="756">
        <f t="shared" si="40"/>
        <v>1.1494252873563218E-2</v>
      </c>
      <c r="I56" s="274" t="s">
        <v>109</v>
      </c>
      <c r="J56" s="756">
        <f t="shared" si="41"/>
        <v>8.0459770114942528E-2</v>
      </c>
      <c r="M56" s="274" t="s">
        <v>109</v>
      </c>
      <c r="N56" s="756">
        <f t="shared" si="42"/>
        <v>0.27586206896551724</v>
      </c>
      <c r="Q56" s="274" t="s">
        <v>109</v>
      </c>
      <c r="R56" s="756">
        <f t="shared" si="43"/>
        <v>2.2988505747126436E-2</v>
      </c>
      <c r="U56" s="274" t="s">
        <v>109</v>
      </c>
      <c r="V56" s="756">
        <f t="shared" si="44"/>
        <v>0.40229885057471265</v>
      </c>
      <c r="Y56" s="274" t="s">
        <v>109</v>
      </c>
      <c r="Z56" s="756">
        <f t="shared" si="45"/>
        <v>9.1954022988505746E-2</v>
      </c>
      <c r="AC56" s="274" t="s">
        <v>109</v>
      </c>
      <c r="AD56" s="756">
        <f t="shared" si="46"/>
        <v>4.5977011494252873E-2</v>
      </c>
      <c r="AG56" s="274" t="s">
        <v>109</v>
      </c>
      <c r="AH56" s="756">
        <f t="shared" si="47"/>
        <v>0</v>
      </c>
      <c r="AK56" s="274" t="s">
        <v>109</v>
      </c>
      <c r="AL56" s="756">
        <f t="shared" si="48"/>
        <v>0</v>
      </c>
      <c r="AO56" s="274" t="s">
        <v>109</v>
      </c>
      <c r="AP56" s="756">
        <f t="shared" si="49"/>
        <v>6.8965517241379309E-2</v>
      </c>
      <c r="AS56" s="274" t="s">
        <v>109</v>
      </c>
      <c r="AT56" s="756">
        <f t="shared" si="50"/>
        <v>1</v>
      </c>
    </row>
    <row r="57" spans="1:46" hidden="1">
      <c r="A57" s="274" t="s">
        <v>107</v>
      </c>
      <c r="B57" s="756">
        <f t="shared" si="39"/>
        <v>7.6568015204995926E-3</v>
      </c>
      <c r="E57" s="274" t="s">
        <v>107</v>
      </c>
      <c r="F57" s="756">
        <f t="shared" si="40"/>
        <v>5.2674450176486559E-3</v>
      </c>
      <c r="I57" s="274" t="s">
        <v>107</v>
      </c>
      <c r="J57" s="756">
        <f t="shared" si="41"/>
        <v>9.828943795818626E-3</v>
      </c>
      <c r="M57" s="274" t="s">
        <v>107</v>
      </c>
      <c r="N57" s="756">
        <f t="shared" si="42"/>
        <v>0.17111050773825687</v>
      </c>
      <c r="Q57" s="274" t="s">
        <v>107</v>
      </c>
      <c r="R57" s="756">
        <f t="shared" si="43"/>
        <v>3.0409991854466467E-3</v>
      </c>
      <c r="U57" s="274" t="s">
        <v>107</v>
      </c>
      <c r="V57" s="756">
        <f t="shared" si="44"/>
        <v>5.0067879446103719E-2</v>
      </c>
      <c r="Y57" s="274" t="s">
        <v>107</v>
      </c>
      <c r="Z57" s="756">
        <f t="shared" si="45"/>
        <v>0.66950855281020905</v>
      </c>
      <c r="AC57" s="274" t="s">
        <v>107</v>
      </c>
      <c r="AD57" s="756">
        <f t="shared" si="46"/>
        <v>2.7966331794732555E-2</v>
      </c>
      <c r="AG57" s="274" t="s">
        <v>107</v>
      </c>
      <c r="AH57" s="756">
        <f t="shared" si="47"/>
        <v>2.7151778441487917E-4</v>
      </c>
      <c r="AK57" s="274" t="s">
        <v>107</v>
      </c>
      <c r="AL57" s="756">
        <f t="shared" si="48"/>
        <v>2.7151778441487917E-4</v>
      </c>
      <c r="AO57" s="274" t="s">
        <v>107</v>
      </c>
      <c r="AP57" s="756">
        <f t="shared" si="49"/>
        <v>5.500950312245452E-2</v>
      </c>
      <c r="AS57" s="274" t="s">
        <v>107</v>
      </c>
      <c r="AT57" s="756">
        <f t="shared" si="50"/>
        <v>1</v>
      </c>
    </row>
    <row r="58" spans="1:46" hidden="1">
      <c r="A58" s="274" t="s">
        <v>110</v>
      </c>
      <c r="B58" s="756">
        <f t="shared" si="39"/>
        <v>1.8628990057561485E-2</v>
      </c>
      <c r="E58" s="274" t="s">
        <v>110</v>
      </c>
      <c r="F58" s="756">
        <f t="shared" si="40"/>
        <v>1.0465724751439037E-2</v>
      </c>
      <c r="I58" s="274" t="s">
        <v>110</v>
      </c>
      <c r="J58" s="756">
        <f t="shared" si="41"/>
        <v>9.2098377812663522E-3</v>
      </c>
      <c r="M58" s="274" t="s">
        <v>110</v>
      </c>
      <c r="N58" s="756">
        <f t="shared" si="42"/>
        <v>0.28990057561486132</v>
      </c>
      <c r="Q58" s="274" t="s">
        <v>110</v>
      </c>
      <c r="R58" s="756">
        <f t="shared" si="43"/>
        <v>3.4536891679748821E-3</v>
      </c>
      <c r="U58" s="274" t="s">
        <v>110</v>
      </c>
      <c r="V58" s="756">
        <f t="shared" si="44"/>
        <v>0.12255363683935112</v>
      </c>
      <c r="Y58" s="274" t="s">
        <v>110</v>
      </c>
      <c r="Z58" s="756">
        <f t="shared" si="45"/>
        <v>0.45777080062794351</v>
      </c>
      <c r="AC58" s="274" t="s">
        <v>110</v>
      </c>
      <c r="AD58" s="756">
        <f t="shared" si="46"/>
        <v>2.6896912611198327E-2</v>
      </c>
      <c r="AG58" s="274" t="s">
        <v>110</v>
      </c>
      <c r="AH58" s="756">
        <f t="shared" si="47"/>
        <v>2.0931449502878074E-4</v>
      </c>
      <c r="AK58" s="274" t="s">
        <v>110</v>
      </c>
      <c r="AL58" s="756">
        <f t="shared" si="48"/>
        <v>4.1862899005756148E-4</v>
      </c>
      <c r="AO58" s="274" t="s">
        <v>110</v>
      </c>
      <c r="AP58" s="756">
        <f t="shared" si="49"/>
        <v>6.0491889063317636E-2</v>
      </c>
      <c r="AS58" s="274" t="s">
        <v>110</v>
      </c>
      <c r="AT58" s="756">
        <f t="shared" si="50"/>
        <v>1</v>
      </c>
    </row>
    <row r="59" spans="1:46" hidden="1">
      <c r="A59" s="274" t="s">
        <v>112</v>
      </c>
      <c r="B59" s="756">
        <f t="shared" si="39"/>
        <v>1.7889087656529516E-2</v>
      </c>
      <c r="E59" s="274" t="s">
        <v>112</v>
      </c>
      <c r="F59" s="756">
        <f t="shared" si="40"/>
        <v>1.9677996422182469E-2</v>
      </c>
      <c r="I59" s="274" t="s">
        <v>112</v>
      </c>
      <c r="J59" s="756">
        <f t="shared" si="41"/>
        <v>5.008944543828265E-2</v>
      </c>
      <c r="M59" s="274" t="s">
        <v>112</v>
      </c>
      <c r="N59" s="756">
        <f t="shared" si="42"/>
        <v>0.20572450805008943</v>
      </c>
      <c r="Q59" s="274" t="s">
        <v>112</v>
      </c>
      <c r="R59" s="756">
        <f t="shared" si="43"/>
        <v>1.7889087656529517E-3</v>
      </c>
      <c r="U59" s="274" t="s">
        <v>112</v>
      </c>
      <c r="V59" s="756">
        <f t="shared" si="44"/>
        <v>0.24686940966010734</v>
      </c>
      <c r="Y59" s="274" t="s">
        <v>112</v>
      </c>
      <c r="Z59" s="756">
        <f t="shared" si="45"/>
        <v>0.3935599284436494</v>
      </c>
      <c r="AC59" s="274" t="s">
        <v>112</v>
      </c>
      <c r="AD59" s="756">
        <f t="shared" si="46"/>
        <v>2.8622540250447227E-2</v>
      </c>
      <c r="AG59" s="274" t="s">
        <v>112</v>
      </c>
      <c r="AH59" s="756">
        <f t="shared" si="47"/>
        <v>0</v>
      </c>
      <c r="AK59" s="274" t="s">
        <v>112</v>
      </c>
      <c r="AL59" s="756">
        <f t="shared" si="48"/>
        <v>0</v>
      </c>
      <c r="AO59" s="274" t="s">
        <v>112</v>
      </c>
      <c r="AP59" s="756">
        <f t="shared" si="49"/>
        <v>3.5778175313059032E-2</v>
      </c>
      <c r="AS59" s="274" t="s">
        <v>112</v>
      </c>
      <c r="AT59" s="756">
        <f t="shared" si="50"/>
        <v>1</v>
      </c>
    </row>
    <row r="60" spans="1:46" hidden="1">
      <c r="A60" s="274" t="s">
        <v>111</v>
      </c>
      <c r="B60" s="756">
        <f t="shared" si="39"/>
        <v>4.6813917122752152E-2</v>
      </c>
      <c r="E60" s="274" t="s">
        <v>111</v>
      </c>
      <c r="F60" s="756">
        <f t="shared" si="40"/>
        <v>1.8691360437842065E-2</v>
      </c>
      <c r="I60" s="274" t="s">
        <v>111</v>
      </c>
      <c r="J60" s="756">
        <f t="shared" si="41"/>
        <v>1.8007232212666147E-2</v>
      </c>
      <c r="M60" s="274" t="s">
        <v>111</v>
      </c>
      <c r="N60" s="756">
        <f t="shared" si="42"/>
        <v>0.23812548866301797</v>
      </c>
      <c r="Q60" s="274" t="s">
        <v>111</v>
      </c>
      <c r="R60" s="756">
        <f t="shared" si="43"/>
        <v>8.6493354182955434E-3</v>
      </c>
      <c r="U60" s="274" t="s">
        <v>111</v>
      </c>
      <c r="V60" s="756">
        <f t="shared" si="44"/>
        <v>8.3390344018764662E-2</v>
      </c>
      <c r="Y60" s="274" t="s">
        <v>111</v>
      </c>
      <c r="Z60" s="756">
        <f t="shared" si="45"/>
        <v>0.49855844409695077</v>
      </c>
      <c r="AC60" s="274" t="s">
        <v>111</v>
      </c>
      <c r="AD60" s="756">
        <f t="shared" si="46"/>
        <v>6.1767005473025799E-2</v>
      </c>
      <c r="AG60" s="274" t="s">
        <v>111</v>
      </c>
      <c r="AH60" s="756">
        <f t="shared" si="47"/>
        <v>3.9093041438623924E-4</v>
      </c>
      <c r="AK60" s="274" t="s">
        <v>111</v>
      </c>
      <c r="AL60" s="756">
        <f t="shared" si="48"/>
        <v>9.7732603596559811E-5</v>
      </c>
      <c r="AO60" s="274" t="s">
        <v>111</v>
      </c>
      <c r="AP60" s="756">
        <f t="shared" si="49"/>
        <v>2.5508209538702111E-2</v>
      </c>
      <c r="AS60" s="274" t="s">
        <v>111</v>
      </c>
      <c r="AT60" s="756">
        <f t="shared" si="50"/>
        <v>1</v>
      </c>
    </row>
    <row r="61" spans="1:46" hidden="1">
      <c r="A61" s="274" t="s">
        <v>113</v>
      </c>
      <c r="B61" s="756">
        <f t="shared" si="39"/>
        <v>1.8796992481203006E-3</v>
      </c>
      <c r="E61" s="274" t="s">
        <v>113</v>
      </c>
      <c r="F61" s="756">
        <f t="shared" si="40"/>
        <v>3.7593984962406013E-3</v>
      </c>
      <c r="I61" s="274" t="s">
        <v>113</v>
      </c>
      <c r="J61" s="756">
        <f t="shared" si="41"/>
        <v>3.7593984962406013E-3</v>
      </c>
      <c r="M61" s="274" t="s">
        <v>113</v>
      </c>
      <c r="N61" s="756">
        <f t="shared" si="42"/>
        <v>0.39849624060150374</v>
      </c>
      <c r="Q61" s="274" t="s">
        <v>113</v>
      </c>
      <c r="R61" s="756">
        <f t="shared" si="43"/>
        <v>9.3984962406015032E-3</v>
      </c>
      <c r="U61" s="274" t="s">
        <v>113</v>
      </c>
      <c r="V61" s="756">
        <f t="shared" si="44"/>
        <v>0.19172932330827067</v>
      </c>
      <c r="Y61" s="274" t="s">
        <v>113</v>
      </c>
      <c r="Z61" s="756">
        <f t="shared" si="45"/>
        <v>0.37781954887218044</v>
      </c>
      <c r="AC61" s="274" t="s">
        <v>113</v>
      </c>
      <c r="AD61" s="756">
        <f t="shared" si="46"/>
        <v>7.5187969924812026E-3</v>
      </c>
      <c r="AG61" s="274" t="s">
        <v>113</v>
      </c>
      <c r="AH61" s="756">
        <f t="shared" si="47"/>
        <v>0</v>
      </c>
      <c r="AK61" s="274" t="s">
        <v>113</v>
      </c>
      <c r="AL61" s="756">
        <f t="shared" si="48"/>
        <v>0</v>
      </c>
      <c r="AO61" s="274" t="s">
        <v>113</v>
      </c>
      <c r="AP61" s="756">
        <f t="shared" si="49"/>
        <v>5.6390977443609019E-3</v>
      </c>
      <c r="AS61" s="274" t="s">
        <v>113</v>
      </c>
      <c r="AT61" s="756">
        <f t="shared" si="50"/>
        <v>1</v>
      </c>
    </row>
  </sheetData>
  <sortState ref="AX22:AZ32">
    <sortCondition descending="1" ref="AZ22:AZ32"/>
  </sortState>
  <mergeCells count="18">
    <mergeCell ref="AP2:AS2"/>
    <mergeCell ref="AT2:AT3"/>
    <mergeCell ref="AU2:AU3"/>
    <mergeCell ref="AX3:AZ3"/>
    <mergeCell ref="BB20:BB33"/>
    <mergeCell ref="AX20:AZ20"/>
    <mergeCell ref="A1:AT1"/>
    <mergeCell ref="A2:A3"/>
    <mergeCell ref="B2:E2"/>
    <mergeCell ref="F2:I2"/>
    <mergeCell ref="J2:M2"/>
    <mergeCell ref="N2:Q2"/>
    <mergeCell ref="R2:U2"/>
    <mergeCell ref="V2:Y2"/>
    <mergeCell ref="Z2:AC2"/>
    <mergeCell ref="AD2:AG2"/>
    <mergeCell ref="AH2:AK2"/>
    <mergeCell ref="AL2:AO2"/>
  </mergeCells>
  <pageMargins left="0.511811024" right="0.511811024" top="0.78740157499999996" bottom="0.78740157499999996" header="0.31496062000000002" footer="0.31496062000000002"/>
  <pageSetup paperSize="9" orientation="portrait" r:id="rId1"/>
  <ignoredErrors>
    <ignoredError sqref="C7 G7:K7 O7:S7 W7:AE7 AI7:AQ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pageSetUpPr fitToPage="1"/>
  </sheetPr>
  <dimension ref="A2:AO135"/>
  <sheetViews>
    <sheetView topLeftCell="Y7" zoomScale="70" zoomScaleNormal="70" workbookViewId="0">
      <selection activeCell="B2" sqref="B2:S30"/>
    </sheetView>
  </sheetViews>
  <sheetFormatPr defaultRowHeight="15"/>
  <cols>
    <col min="1" max="1" width="23.140625" style="1087" hidden="1" customWidth="1"/>
    <col min="2" max="2" width="13.85546875" style="1087" hidden="1" customWidth="1"/>
    <col min="3" max="3" width="13.7109375" style="1087" hidden="1" customWidth="1"/>
    <col min="4" max="4" width="13.28515625" style="1087" hidden="1" customWidth="1"/>
    <col min="5" max="5" width="13.42578125" style="1087" hidden="1" customWidth="1"/>
    <col min="6" max="6" width="13.85546875" style="1087" hidden="1" customWidth="1"/>
    <col min="7" max="7" width="19.7109375" style="1087" hidden="1" customWidth="1"/>
    <col min="8" max="8" width="11.5703125" style="1087" hidden="1" customWidth="1"/>
    <col min="9" max="9" width="15.7109375" style="1087" hidden="1" customWidth="1"/>
    <col min="10" max="10" width="13.140625" style="1087" hidden="1" customWidth="1"/>
    <col min="11" max="11" width="20.42578125" style="1087" hidden="1" customWidth="1"/>
    <col min="12" max="14" width="20.28515625" style="1087" hidden="1" customWidth="1"/>
    <col min="15" max="15" width="15.140625" style="1087" hidden="1" customWidth="1"/>
    <col min="16" max="16" width="13.28515625" style="1087" hidden="1" customWidth="1"/>
    <col min="17" max="17" width="11.5703125" style="1087" hidden="1" customWidth="1"/>
    <col min="18" max="18" width="21" style="1101" customWidth="1"/>
    <col min="19" max="29" width="21" style="1087" customWidth="1"/>
    <col min="30" max="30" width="14.42578125" style="1087" customWidth="1"/>
    <col min="31" max="31" width="19.42578125" style="1087" customWidth="1"/>
    <col min="32" max="32" width="18.28515625" style="1087" customWidth="1"/>
    <col min="33" max="33" width="18.7109375" style="1087" customWidth="1"/>
    <col min="34" max="34" width="21" style="1087" customWidth="1"/>
    <col min="35" max="36" width="15.85546875" style="1087" bestFit="1" customWidth="1"/>
    <col min="37" max="38" width="14.42578125" style="1087" bestFit="1" customWidth="1"/>
    <col min="39" max="39" width="16.42578125" style="1087" bestFit="1" customWidth="1"/>
    <col min="40" max="40" width="14.42578125" style="1087" bestFit="1" customWidth="1"/>
    <col min="41" max="41" width="15.85546875" style="1087" bestFit="1" customWidth="1"/>
    <col min="42" max="16384" width="9.140625" style="1087"/>
  </cols>
  <sheetData>
    <row r="2" spans="1:41" ht="46.5">
      <c r="A2" s="1223" t="s">
        <v>63</v>
      </c>
      <c r="B2" s="1224"/>
      <c r="C2" s="1224"/>
      <c r="D2" s="1224"/>
      <c r="E2" s="1224"/>
      <c r="F2" s="1224"/>
      <c r="G2" s="1224"/>
      <c r="H2" s="1224"/>
      <c r="I2" s="1224"/>
      <c r="J2" s="1224"/>
      <c r="K2" s="1224"/>
      <c r="L2" s="1224"/>
      <c r="M2" s="1224"/>
      <c r="N2" s="1224"/>
      <c r="O2" s="1225"/>
      <c r="R2" s="1220" t="s">
        <v>65</v>
      </c>
      <c r="S2" s="1221"/>
      <c r="T2" s="1221"/>
      <c r="U2" s="1221"/>
      <c r="V2" s="1221"/>
      <c r="W2" s="1221"/>
      <c r="X2" s="1221"/>
      <c r="Y2" s="1221"/>
      <c r="Z2" s="1221"/>
      <c r="AA2" s="1221"/>
      <c r="AB2" s="1221"/>
      <c r="AC2" s="1221"/>
      <c r="AD2" s="1221"/>
      <c r="AE2" s="1221"/>
      <c r="AF2" s="1221"/>
      <c r="AG2" s="1221"/>
      <c r="AH2" s="1222"/>
    </row>
    <row r="3" spans="1:41" ht="35.1" customHeight="1">
      <c r="A3" s="1226" t="s">
        <v>33</v>
      </c>
      <c r="B3" s="1228" t="s">
        <v>27</v>
      </c>
      <c r="C3" s="1229"/>
      <c r="D3" s="1228" t="s">
        <v>29</v>
      </c>
      <c r="E3" s="1229"/>
      <c r="F3" s="1226" t="s">
        <v>28</v>
      </c>
      <c r="G3" s="1226" t="s">
        <v>36</v>
      </c>
      <c r="H3" s="1226" t="s">
        <v>30</v>
      </c>
      <c r="I3" s="1226" t="s">
        <v>31</v>
      </c>
      <c r="J3" s="1226" t="s">
        <v>41</v>
      </c>
      <c r="K3" s="1226" t="s">
        <v>35</v>
      </c>
      <c r="L3" s="1226" t="s">
        <v>40</v>
      </c>
      <c r="M3" s="1226" t="s">
        <v>42</v>
      </c>
      <c r="N3" s="1226" t="s">
        <v>45</v>
      </c>
      <c r="O3" s="1226" t="s">
        <v>34</v>
      </c>
      <c r="R3" s="1226" t="s">
        <v>33</v>
      </c>
      <c r="S3" s="1228" t="s">
        <v>27</v>
      </c>
      <c r="T3" s="1229"/>
      <c r="U3" s="1228" t="s">
        <v>29</v>
      </c>
      <c r="V3" s="1229"/>
      <c r="W3" s="1226" t="s">
        <v>28</v>
      </c>
      <c r="X3" s="1226" t="s">
        <v>36</v>
      </c>
      <c r="Y3" s="1226" t="s">
        <v>30</v>
      </c>
      <c r="Z3" s="1226" t="s">
        <v>31</v>
      </c>
      <c r="AA3" s="1226" t="s">
        <v>41</v>
      </c>
      <c r="AB3" s="1226" t="s">
        <v>35</v>
      </c>
      <c r="AC3" s="1226" t="s">
        <v>40</v>
      </c>
      <c r="AD3" s="1226" t="s">
        <v>42</v>
      </c>
      <c r="AE3" s="1226" t="s">
        <v>45</v>
      </c>
      <c r="AF3" s="1228" t="s">
        <v>51</v>
      </c>
      <c r="AG3" s="1229"/>
      <c r="AH3" s="1226" t="s">
        <v>34</v>
      </c>
    </row>
    <row r="4" spans="1:41" ht="35.1" customHeight="1">
      <c r="A4" s="1227"/>
      <c r="B4" s="1091" t="s">
        <v>43</v>
      </c>
      <c r="C4" s="1091" t="s">
        <v>44</v>
      </c>
      <c r="D4" s="1091" t="s">
        <v>43</v>
      </c>
      <c r="E4" s="1091" t="s">
        <v>44</v>
      </c>
      <c r="F4" s="1227"/>
      <c r="G4" s="1227"/>
      <c r="H4" s="1227"/>
      <c r="I4" s="1227"/>
      <c r="J4" s="1227"/>
      <c r="K4" s="1227"/>
      <c r="L4" s="1227"/>
      <c r="M4" s="1227"/>
      <c r="N4" s="1227"/>
      <c r="O4" s="1227"/>
      <c r="R4" s="1227"/>
      <c r="S4" s="1091" t="s">
        <v>43</v>
      </c>
      <c r="T4" s="1091" t="s">
        <v>44</v>
      </c>
      <c r="U4" s="1091" t="s">
        <v>43</v>
      </c>
      <c r="V4" s="1091" t="s">
        <v>44</v>
      </c>
      <c r="W4" s="1227"/>
      <c r="X4" s="1227"/>
      <c r="Y4" s="1227"/>
      <c r="Z4" s="1227"/>
      <c r="AA4" s="1227"/>
      <c r="AB4" s="1227"/>
      <c r="AC4" s="1227"/>
      <c r="AD4" s="1227"/>
      <c r="AE4" s="1227"/>
      <c r="AF4" s="1092" t="s">
        <v>52</v>
      </c>
      <c r="AG4" s="1092" t="s">
        <v>53</v>
      </c>
      <c r="AH4" s="1227"/>
      <c r="AI4" s="1104" t="s">
        <v>183</v>
      </c>
      <c r="AJ4" s="1104" t="s">
        <v>424</v>
      </c>
      <c r="AK4" s="1104" t="s">
        <v>184</v>
      </c>
      <c r="AL4" s="1104" t="s">
        <v>425</v>
      </c>
      <c r="AM4" s="1104" t="s">
        <v>28</v>
      </c>
      <c r="AN4" s="1104" t="s">
        <v>185</v>
      </c>
    </row>
    <row r="5" spans="1:41">
      <c r="A5" s="2" t="s">
        <v>0</v>
      </c>
      <c r="B5" s="20"/>
      <c r="C5" s="20"/>
      <c r="D5" s="20"/>
      <c r="E5" s="20"/>
      <c r="F5" s="20"/>
      <c r="G5" s="20"/>
      <c r="H5" s="20"/>
      <c r="I5" s="20"/>
      <c r="J5" s="20"/>
      <c r="K5" s="20"/>
      <c r="L5" s="20"/>
      <c r="M5" s="20"/>
      <c r="N5" s="20"/>
      <c r="O5" s="10">
        <f t="shared" ref="O5:O31" si="0">SUM(B5:N5)</f>
        <v>0</v>
      </c>
      <c r="P5" s="1093"/>
      <c r="R5" s="2" t="s">
        <v>87</v>
      </c>
      <c r="S5" s="20">
        <f t="shared" ref="S5:AG5" si="1">S75*0.8</f>
        <v>14407.112000000001</v>
      </c>
      <c r="T5" s="20">
        <f t="shared" si="1"/>
        <v>3421.1040000000003</v>
      </c>
      <c r="U5" s="20">
        <f t="shared" si="1"/>
        <v>2255.16</v>
      </c>
      <c r="V5" s="20">
        <f t="shared" si="1"/>
        <v>295.952</v>
      </c>
      <c r="W5" s="20">
        <f t="shared" si="1"/>
        <v>14165.448000000002</v>
      </c>
      <c r="X5" s="20">
        <f t="shared" si="1"/>
        <v>861.96</v>
      </c>
      <c r="Y5" s="20">
        <f t="shared" si="1"/>
        <v>326.66399999999999</v>
      </c>
      <c r="Z5" s="20">
        <f t="shared" si="1"/>
        <v>0</v>
      </c>
      <c r="AA5" s="20">
        <f t="shared" si="1"/>
        <v>603.64800000000002</v>
      </c>
      <c r="AB5" s="20">
        <f t="shared" si="1"/>
        <v>156.72000000000003</v>
      </c>
      <c r="AC5" s="20">
        <f t="shared" si="1"/>
        <v>0</v>
      </c>
      <c r="AD5" s="20">
        <f t="shared" si="1"/>
        <v>0</v>
      </c>
      <c r="AE5" s="20">
        <f t="shared" si="1"/>
        <v>0</v>
      </c>
      <c r="AF5" s="20">
        <f t="shared" si="1"/>
        <v>0</v>
      </c>
      <c r="AG5" s="20">
        <f t="shared" si="1"/>
        <v>0</v>
      </c>
      <c r="AH5" s="10">
        <f t="shared" ref="AH5:AH31" si="2">SUM(S5:AG5)</f>
        <v>36493.768000000004</v>
      </c>
      <c r="AI5" s="1093">
        <f>S5</f>
        <v>14407.112000000001</v>
      </c>
      <c r="AJ5" s="1093">
        <f>T5</f>
        <v>3421.1040000000003</v>
      </c>
      <c r="AK5" s="1093">
        <f>U5</f>
        <v>2255.16</v>
      </c>
      <c r="AL5" s="1093">
        <f>V5</f>
        <v>295.952</v>
      </c>
      <c r="AM5" s="1093">
        <f>W5</f>
        <v>14165.448000000002</v>
      </c>
      <c r="AN5" s="1093">
        <f>SUM(X5:AG5)</f>
        <v>1948.992</v>
      </c>
      <c r="AO5" s="1093"/>
    </row>
    <row r="6" spans="1:41">
      <c r="A6" s="2" t="s">
        <v>1</v>
      </c>
      <c r="B6" s="20"/>
      <c r="C6" s="20"/>
      <c r="D6" s="20"/>
      <c r="E6" s="20"/>
      <c r="F6" s="20"/>
      <c r="G6" s="20"/>
      <c r="H6" s="20"/>
      <c r="I6" s="20"/>
      <c r="J6" s="20"/>
      <c r="K6" s="20"/>
      <c r="L6" s="20"/>
      <c r="M6" s="20"/>
      <c r="N6" s="20"/>
      <c r="O6" s="10">
        <f t="shared" si="0"/>
        <v>0</v>
      </c>
      <c r="P6" s="1093"/>
      <c r="R6" s="2" t="s">
        <v>88</v>
      </c>
      <c r="S6" s="20">
        <f t="shared" ref="S6:AG6" si="3">S76*0.8</f>
        <v>41772.520000000004</v>
      </c>
      <c r="T6" s="20">
        <f t="shared" si="3"/>
        <v>13770.735999999999</v>
      </c>
      <c r="U6" s="20">
        <f t="shared" si="3"/>
        <v>1409.472</v>
      </c>
      <c r="V6" s="20">
        <f t="shared" si="3"/>
        <v>325.03200000000004</v>
      </c>
      <c r="W6" s="20">
        <f t="shared" si="3"/>
        <v>40903.920000000006</v>
      </c>
      <c r="X6" s="20">
        <f t="shared" si="3"/>
        <v>783.6</v>
      </c>
      <c r="Y6" s="20">
        <f t="shared" si="3"/>
        <v>2219.1519999999996</v>
      </c>
      <c r="Z6" s="20">
        <f t="shared" si="3"/>
        <v>0</v>
      </c>
      <c r="AA6" s="20">
        <f t="shared" si="3"/>
        <v>1569.92</v>
      </c>
      <c r="AB6" s="20">
        <f t="shared" si="3"/>
        <v>0</v>
      </c>
      <c r="AC6" s="20">
        <f t="shared" si="3"/>
        <v>0</v>
      </c>
      <c r="AD6" s="20">
        <f t="shared" si="3"/>
        <v>0</v>
      </c>
      <c r="AE6" s="20">
        <f t="shared" si="3"/>
        <v>45.712000000000003</v>
      </c>
      <c r="AF6" s="20">
        <f t="shared" si="3"/>
        <v>0</v>
      </c>
      <c r="AG6" s="20">
        <f t="shared" si="3"/>
        <v>0</v>
      </c>
      <c r="AH6" s="10">
        <f t="shared" si="2"/>
        <v>102800.06400000001</v>
      </c>
      <c r="AI6" s="1093">
        <f t="shared" ref="AI6:AM31" si="4">S6</f>
        <v>41772.520000000004</v>
      </c>
      <c r="AJ6" s="1093">
        <f t="shared" si="4"/>
        <v>13770.735999999999</v>
      </c>
      <c r="AK6" s="1093">
        <f t="shared" si="4"/>
        <v>1409.472</v>
      </c>
      <c r="AL6" s="1093">
        <f t="shared" si="4"/>
        <v>325.03200000000004</v>
      </c>
      <c r="AM6" s="1093">
        <f t="shared" si="4"/>
        <v>40903.920000000006</v>
      </c>
      <c r="AN6" s="1093">
        <f t="shared" ref="AN6:AN31" si="5">SUM(X6:AG6)</f>
        <v>4618.384</v>
      </c>
      <c r="AO6" s="1093"/>
    </row>
    <row r="7" spans="1:41">
      <c r="A7" s="2" t="s">
        <v>2</v>
      </c>
      <c r="B7" s="20"/>
      <c r="C7" s="20"/>
      <c r="D7" s="20"/>
      <c r="E7" s="20"/>
      <c r="F7" s="20"/>
      <c r="G7" s="20"/>
      <c r="H7" s="20"/>
      <c r="I7" s="20"/>
      <c r="J7" s="20"/>
      <c r="K7" s="20"/>
      <c r="L7" s="20"/>
      <c r="M7" s="20"/>
      <c r="N7" s="20"/>
      <c r="O7" s="10">
        <f t="shared" si="0"/>
        <v>0</v>
      </c>
      <c r="P7" s="1093"/>
      <c r="R7" s="2" t="s">
        <v>89</v>
      </c>
      <c r="S7" s="20">
        <f t="shared" ref="S7:AG7" si="6">S77*0.8</f>
        <v>14640.120000000003</v>
      </c>
      <c r="T7" s="20">
        <f t="shared" si="6"/>
        <v>3919.8559999999998</v>
      </c>
      <c r="U7" s="20">
        <f t="shared" si="6"/>
        <v>2636.096</v>
      </c>
      <c r="V7" s="20">
        <f t="shared" si="6"/>
        <v>1394.96</v>
      </c>
      <c r="W7" s="20">
        <f t="shared" si="6"/>
        <v>22019.160000000003</v>
      </c>
      <c r="X7" s="20">
        <f t="shared" si="6"/>
        <v>1097.04</v>
      </c>
      <c r="Y7" s="20">
        <f t="shared" si="6"/>
        <v>585.79999999999995</v>
      </c>
      <c r="Z7" s="20">
        <f t="shared" si="6"/>
        <v>0</v>
      </c>
      <c r="AA7" s="20">
        <f t="shared" si="6"/>
        <v>613.94399999999996</v>
      </c>
      <c r="AB7" s="20">
        <f t="shared" si="6"/>
        <v>78.360000000000014</v>
      </c>
      <c r="AC7" s="20">
        <f t="shared" si="6"/>
        <v>0</v>
      </c>
      <c r="AD7" s="20">
        <f t="shared" si="6"/>
        <v>0</v>
      </c>
      <c r="AE7" s="20">
        <f t="shared" si="6"/>
        <v>0</v>
      </c>
      <c r="AF7" s="20">
        <f t="shared" si="6"/>
        <v>0</v>
      </c>
      <c r="AG7" s="20">
        <f t="shared" si="6"/>
        <v>0</v>
      </c>
      <c r="AH7" s="10">
        <f t="shared" si="2"/>
        <v>46985.336000000018</v>
      </c>
      <c r="AI7" s="1093">
        <f t="shared" si="4"/>
        <v>14640.120000000003</v>
      </c>
      <c r="AJ7" s="1093">
        <f t="shared" si="4"/>
        <v>3919.8559999999998</v>
      </c>
      <c r="AK7" s="1093">
        <f t="shared" si="4"/>
        <v>2636.096</v>
      </c>
      <c r="AL7" s="1093">
        <f t="shared" si="4"/>
        <v>1394.96</v>
      </c>
      <c r="AM7" s="1093">
        <f t="shared" si="4"/>
        <v>22019.160000000003</v>
      </c>
      <c r="AN7" s="1093">
        <f t="shared" si="5"/>
        <v>2375.1439999999998</v>
      </c>
      <c r="AO7" s="1093"/>
    </row>
    <row r="8" spans="1:41">
      <c r="A8" s="2" t="s">
        <v>3</v>
      </c>
      <c r="B8" s="20"/>
      <c r="C8" s="20"/>
      <c r="D8" s="20"/>
      <c r="E8" s="20"/>
      <c r="F8" s="20"/>
      <c r="G8" s="20"/>
      <c r="H8" s="20"/>
      <c r="I8" s="20"/>
      <c r="J8" s="20"/>
      <c r="K8" s="20"/>
      <c r="L8" s="20"/>
      <c r="M8" s="20"/>
      <c r="N8" s="20"/>
      <c r="O8" s="10">
        <f t="shared" si="0"/>
        <v>0</v>
      </c>
      <c r="P8" s="1093"/>
      <c r="R8" s="2" t="s">
        <v>90</v>
      </c>
      <c r="S8" s="20">
        <f t="shared" ref="S8:AE8" si="7">S78*0.8</f>
        <v>47458.544000000002</v>
      </c>
      <c r="T8" s="20">
        <f t="shared" si="7"/>
        <v>14358.808000000003</v>
      </c>
      <c r="U8" s="20">
        <f t="shared" si="7"/>
        <v>5015.0640000000003</v>
      </c>
      <c r="V8" s="20">
        <f t="shared" si="7"/>
        <v>4690.424</v>
      </c>
      <c r="W8" s="20">
        <f t="shared" si="7"/>
        <v>43959.96</v>
      </c>
      <c r="X8" s="20">
        <f t="shared" si="7"/>
        <v>470.16000000000008</v>
      </c>
      <c r="Y8" s="20">
        <f t="shared" si="7"/>
        <v>2721.6000000000004</v>
      </c>
      <c r="Z8" s="20">
        <f t="shared" si="7"/>
        <v>0</v>
      </c>
      <c r="AA8" s="20">
        <f t="shared" si="7"/>
        <v>1853.2079999999999</v>
      </c>
      <c r="AB8" s="20">
        <f t="shared" si="7"/>
        <v>391.8</v>
      </c>
      <c r="AC8" s="20">
        <f t="shared" si="7"/>
        <v>0</v>
      </c>
      <c r="AD8" s="20">
        <f t="shared" si="7"/>
        <v>0</v>
      </c>
      <c r="AE8" s="20">
        <f t="shared" si="7"/>
        <v>0</v>
      </c>
      <c r="AF8" s="20">
        <f>AF78</f>
        <v>0</v>
      </c>
      <c r="AG8" s="20">
        <f>AG78</f>
        <v>0</v>
      </c>
      <c r="AH8" s="10">
        <f t="shared" si="2"/>
        <v>120919.56800000003</v>
      </c>
      <c r="AI8" s="1093">
        <f t="shared" si="4"/>
        <v>47458.544000000002</v>
      </c>
      <c r="AJ8" s="1093">
        <f t="shared" si="4"/>
        <v>14358.808000000003</v>
      </c>
      <c r="AK8" s="1093">
        <f t="shared" si="4"/>
        <v>5015.0640000000003</v>
      </c>
      <c r="AL8" s="1093">
        <f t="shared" si="4"/>
        <v>4690.424</v>
      </c>
      <c r="AM8" s="1093">
        <f t="shared" si="4"/>
        <v>43959.96</v>
      </c>
      <c r="AN8" s="1093">
        <f t="shared" si="5"/>
        <v>5436.768</v>
      </c>
      <c r="AO8" s="1093"/>
    </row>
    <row r="9" spans="1:41">
      <c r="A9" s="2" t="s">
        <v>4</v>
      </c>
      <c r="B9" s="20"/>
      <c r="C9" s="20"/>
      <c r="D9" s="20"/>
      <c r="E9" s="20"/>
      <c r="F9" s="20"/>
      <c r="G9" s="20"/>
      <c r="H9" s="20"/>
      <c r="I9" s="20"/>
      <c r="J9" s="20"/>
      <c r="K9" s="20"/>
      <c r="L9" s="20"/>
      <c r="M9" s="20"/>
      <c r="N9" s="20"/>
      <c r="O9" s="10">
        <f t="shared" si="0"/>
        <v>0</v>
      </c>
      <c r="P9" s="1093"/>
      <c r="R9" s="2" t="s">
        <v>91</v>
      </c>
      <c r="S9" s="20">
        <f t="shared" ref="S9:AE9" si="8">S79*0.8</f>
        <v>150004.91200000001</v>
      </c>
      <c r="T9" s="20">
        <f t="shared" si="8"/>
        <v>34697.200000000004</v>
      </c>
      <c r="U9" s="20">
        <f t="shared" si="8"/>
        <v>16043.2</v>
      </c>
      <c r="V9" s="20">
        <f t="shared" si="8"/>
        <v>3676.6080000000002</v>
      </c>
      <c r="W9" s="20">
        <f t="shared" si="8"/>
        <v>110017.44</v>
      </c>
      <c r="X9" s="20">
        <f t="shared" si="8"/>
        <v>1880.6400000000003</v>
      </c>
      <c r="Y9" s="20">
        <f t="shared" si="8"/>
        <v>4799.072000000001</v>
      </c>
      <c r="Z9" s="20">
        <f t="shared" si="8"/>
        <v>0</v>
      </c>
      <c r="AA9" s="20">
        <f t="shared" si="8"/>
        <v>4765.8160000000007</v>
      </c>
      <c r="AB9" s="20">
        <f t="shared" si="8"/>
        <v>78.360000000000014</v>
      </c>
      <c r="AC9" s="20">
        <f t="shared" si="8"/>
        <v>0</v>
      </c>
      <c r="AD9" s="20">
        <f t="shared" si="8"/>
        <v>0</v>
      </c>
      <c r="AE9" s="20">
        <f t="shared" si="8"/>
        <v>137.136</v>
      </c>
      <c r="AF9" s="20">
        <f t="shared" ref="AF9:AG21" si="9">AF79*0.8</f>
        <v>21.864000000000001</v>
      </c>
      <c r="AG9" s="20">
        <f t="shared" si="9"/>
        <v>218.624</v>
      </c>
      <c r="AH9" s="10">
        <f t="shared" si="2"/>
        <v>326340.87200000003</v>
      </c>
      <c r="AI9" s="1093">
        <f t="shared" si="4"/>
        <v>150004.91200000001</v>
      </c>
      <c r="AJ9" s="1093">
        <f t="shared" si="4"/>
        <v>34697.200000000004</v>
      </c>
      <c r="AK9" s="1093">
        <f t="shared" si="4"/>
        <v>16043.2</v>
      </c>
      <c r="AL9" s="1093">
        <f t="shared" si="4"/>
        <v>3676.6080000000002</v>
      </c>
      <c r="AM9" s="1093">
        <f t="shared" si="4"/>
        <v>110017.44</v>
      </c>
      <c r="AN9" s="1093">
        <f t="shared" si="5"/>
        <v>11901.512000000002</v>
      </c>
      <c r="AO9" s="1093"/>
    </row>
    <row r="10" spans="1:41">
      <c r="A10" s="2" t="s">
        <v>5</v>
      </c>
      <c r="B10" s="20"/>
      <c r="C10" s="20"/>
      <c r="D10" s="20"/>
      <c r="E10" s="20"/>
      <c r="F10" s="20"/>
      <c r="G10" s="20"/>
      <c r="H10" s="20"/>
      <c r="I10" s="20"/>
      <c r="J10" s="20"/>
      <c r="K10" s="20"/>
      <c r="L10" s="20"/>
      <c r="M10" s="20"/>
      <c r="N10" s="20"/>
      <c r="O10" s="10">
        <f t="shared" si="0"/>
        <v>0</v>
      </c>
      <c r="P10" s="1093"/>
      <c r="R10" s="2" t="s">
        <v>92</v>
      </c>
      <c r="S10" s="20">
        <f t="shared" ref="S10:AE10" si="10">S80*0.8</f>
        <v>80019.960000000006</v>
      </c>
      <c r="T10" s="20">
        <f t="shared" si="10"/>
        <v>10926.344000000001</v>
      </c>
      <c r="U10" s="20">
        <f t="shared" si="10"/>
        <v>7915.2320000000009</v>
      </c>
      <c r="V10" s="20">
        <f t="shared" si="10"/>
        <v>655.98400000000004</v>
      </c>
      <c r="W10" s="20">
        <f t="shared" si="10"/>
        <v>57359.519999999997</v>
      </c>
      <c r="X10" s="20">
        <f t="shared" si="10"/>
        <v>705.24000000000012</v>
      </c>
      <c r="Y10" s="20">
        <f t="shared" si="10"/>
        <v>1141.5840000000001</v>
      </c>
      <c r="Z10" s="20">
        <f t="shared" si="10"/>
        <v>1167.7440000000001</v>
      </c>
      <c r="AA10" s="20">
        <f t="shared" si="10"/>
        <v>1552.7760000000001</v>
      </c>
      <c r="AB10" s="20">
        <f t="shared" si="10"/>
        <v>235.08000000000004</v>
      </c>
      <c r="AC10" s="20">
        <f t="shared" si="10"/>
        <v>0</v>
      </c>
      <c r="AD10" s="20">
        <f t="shared" si="10"/>
        <v>0</v>
      </c>
      <c r="AE10" s="20">
        <f t="shared" si="10"/>
        <v>45.712000000000003</v>
      </c>
      <c r="AF10" s="20">
        <f t="shared" si="9"/>
        <v>0</v>
      </c>
      <c r="AG10" s="20">
        <f t="shared" si="9"/>
        <v>0</v>
      </c>
      <c r="AH10" s="10">
        <f t="shared" si="2"/>
        <v>161725.17600000001</v>
      </c>
      <c r="AI10" s="1093">
        <f t="shared" si="4"/>
        <v>80019.960000000006</v>
      </c>
      <c r="AJ10" s="1093">
        <f t="shared" si="4"/>
        <v>10926.344000000001</v>
      </c>
      <c r="AK10" s="1093">
        <f t="shared" si="4"/>
        <v>7915.2320000000009</v>
      </c>
      <c r="AL10" s="1093">
        <f t="shared" si="4"/>
        <v>655.98400000000004</v>
      </c>
      <c r="AM10" s="1093">
        <f t="shared" si="4"/>
        <v>57359.519999999997</v>
      </c>
      <c r="AN10" s="1093">
        <f t="shared" si="5"/>
        <v>4848.1360000000004</v>
      </c>
      <c r="AO10" s="1093"/>
    </row>
    <row r="11" spans="1:41">
      <c r="A11" s="2" t="s">
        <v>6</v>
      </c>
      <c r="B11" s="20"/>
      <c r="C11" s="20"/>
      <c r="D11" s="20"/>
      <c r="E11" s="20"/>
      <c r="F11" s="20"/>
      <c r="G11" s="20"/>
      <c r="H11" s="20"/>
      <c r="I11" s="20"/>
      <c r="J11" s="20"/>
      <c r="K11" s="20"/>
      <c r="L11" s="20"/>
      <c r="M11" s="20"/>
      <c r="N11" s="20"/>
      <c r="O11" s="10">
        <f t="shared" si="0"/>
        <v>0</v>
      </c>
      <c r="P11" s="1093"/>
      <c r="R11" s="2" t="s">
        <v>93</v>
      </c>
      <c r="S11" s="20">
        <f t="shared" ref="S11:AE11" si="11">S81*0.8</f>
        <v>152089.4</v>
      </c>
      <c r="T11" s="20">
        <f t="shared" si="11"/>
        <v>46693.456000000006</v>
      </c>
      <c r="U11" s="20">
        <f t="shared" si="11"/>
        <v>10359.616000000002</v>
      </c>
      <c r="V11" s="20">
        <f t="shared" si="11"/>
        <v>1122</v>
      </c>
      <c r="W11" s="20">
        <f t="shared" si="11"/>
        <v>93013.32</v>
      </c>
      <c r="X11" s="20">
        <f t="shared" si="11"/>
        <v>2977.6800000000003</v>
      </c>
      <c r="Y11" s="20">
        <f t="shared" si="11"/>
        <v>7387.8239999999996</v>
      </c>
      <c r="Z11" s="20">
        <f t="shared" si="11"/>
        <v>470.16000000000008</v>
      </c>
      <c r="AA11" s="20">
        <f t="shared" si="11"/>
        <v>5109.0079999999998</v>
      </c>
      <c r="AB11" s="20">
        <f t="shared" si="11"/>
        <v>470.16000000000008</v>
      </c>
      <c r="AC11" s="20">
        <f t="shared" si="11"/>
        <v>0</v>
      </c>
      <c r="AD11" s="20">
        <f t="shared" si="11"/>
        <v>0</v>
      </c>
      <c r="AE11" s="20">
        <f t="shared" si="11"/>
        <v>68.567999999999998</v>
      </c>
      <c r="AF11" s="20">
        <f t="shared" si="9"/>
        <v>0</v>
      </c>
      <c r="AG11" s="20">
        <f t="shared" si="9"/>
        <v>0</v>
      </c>
      <c r="AH11" s="10">
        <f t="shared" si="2"/>
        <v>319761.19199999998</v>
      </c>
      <c r="AI11" s="1093">
        <f t="shared" si="4"/>
        <v>152089.4</v>
      </c>
      <c r="AJ11" s="1093">
        <f t="shared" si="4"/>
        <v>46693.456000000006</v>
      </c>
      <c r="AK11" s="1093">
        <f t="shared" si="4"/>
        <v>10359.616000000002</v>
      </c>
      <c r="AL11" s="1093">
        <f t="shared" si="4"/>
        <v>1122</v>
      </c>
      <c r="AM11" s="1093">
        <f t="shared" si="4"/>
        <v>93013.32</v>
      </c>
      <c r="AN11" s="1093">
        <f t="shared" si="5"/>
        <v>16483.400000000001</v>
      </c>
      <c r="AO11" s="1093"/>
    </row>
    <row r="12" spans="1:41">
      <c r="A12" s="2" t="s">
        <v>7</v>
      </c>
      <c r="B12" s="20"/>
      <c r="C12" s="20"/>
      <c r="D12" s="20"/>
      <c r="E12" s="20"/>
      <c r="F12" s="20"/>
      <c r="G12" s="20"/>
      <c r="H12" s="20"/>
      <c r="I12" s="20"/>
      <c r="J12" s="20"/>
      <c r="K12" s="20"/>
      <c r="L12" s="20"/>
      <c r="M12" s="20"/>
      <c r="N12" s="20"/>
      <c r="O12" s="10">
        <f t="shared" si="0"/>
        <v>0</v>
      </c>
      <c r="P12" s="1093"/>
      <c r="R12" s="2" t="s">
        <v>94</v>
      </c>
      <c r="S12" s="20">
        <f t="shared" ref="S12:AE12" si="12">S82*0.8</f>
        <v>101387.68800000001</v>
      </c>
      <c r="T12" s="20">
        <f t="shared" si="12"/>
        <v>18605.400000000001</v>
      </c>
      <c r="U12" s="20">
        <f t="shared" si="12"/>
        <v>12975.400000000001</v>
      </c>
      <c r="V12" s="20">
        <f t="shared" si="12"/>
        <v>3004.4639999999999</v>
      </c>
      <c r="W12" s="20">
        <f t="shared" si="12"/>
        <v>81102.600000000006</v>
      </c>
      <c r="X12" s="20">
        <f t="shared" si="12"/>
        <v>3056.0400000000004</v>
      </c>
      <c r="Y12" s="20">
        <f t="shared" si="12"/>
        <v>3787.3680000000004</v>
      </c>
      <c r="Z12" s="20">
        <f t="shared" si="12"/>
        <v>679.12800000000004</v>
      </c>
      <c r="AA12" s="20">
        <f t="shared" si="12"/>
        <v>1950.7520000000002</v>
      </c>
      <c r="AB12" s="20">
        <f t="shared" si="12"/>
        <v>235.08000000000004</v>
      </c>
      <c r="AC12" s="20">
        <f t="shared" si="12"/>
        <v>0</v>
      </c>
      <c r="AD12" s="20">
        <f t="shared" si="12"/>
        <v>0</v>
      </c>
      <c r="AE12" s="20">
        <f t="shared" si="12"/>
        <v>91.424000000000007</v>
      </c>
      <c r="AF12" s="20">
        <f t="shared" si="9"/>
        <v>0</v>
      </c>
      <c r="AG12" s="20">
        <f t="shared" si="9"/>
        <v>0</v>
      </c>
      <c r="AH12" s="10">
        <f t="shared" si="2"/>
        <v>226875.34400000001</v>
      </c>
      <c r="AI12" s="1093">
        <f t="shared" si="4"/>
        <v>101387.68800000001</v>
      </c>
      <c r="AJ12" s="1093">
        <f t="shared" si="4"/>
        <v>18605.400000000001</v>
      </c>
      <c r="AK12" s="1093">
        <f t="shared" si="4"/>
        <v>12975.400000000001</v>
      </c>
      <c r="AL12" s="1093">
        <f t="shared" si="4"/>
        <v>3004.4639999999999</v>
      </c>
      <c r="AM12" s="1093">
        <f t="shared" si="4"/>
        <v>81102.600000000006</v>
      </c>
      <c r="AN12" s="1093">
        <f t="shared" si="5"/>
        <v>9799.7920000000013</v>
      </c>
      <c r="AO12" s="1093"/>
    </row>
    <row r="13" spans="1:41">
      <c r="A13" s="2" t="s">
        <v>8</v>
      </c>
      <c r="B13" s="20"/>
      <c r="C13" s="20"/>
      <c r="D13" s="20"/>
      <c r="E13" s="20"/>
      <c r="F13" s="20"/>
      <c r="G13" s="20"/>
      <c r="H13" s="20"/>
      <c r="I13" s="20"/>
      <c r="J13" s="20"/>
      <c r="K13" s="20"/>
      <c r="L13" s="20"/>
      <c r="M13" s="20"/>
      <c r="N13" s="20"/>
      <c r="O13" s="10">
        <f t="shared" si="0"/>
        <v>0</v>
      </c>
      <c r="P13" s="1093"/>
      <c r="R13" s="2" t="s">
        <v>95</v>
      </c>
      <c r="S13" s="20">
        <f t="shared" ref="S13:AE13" si="13">S83*0.8</f>
        <v>113464.82400000001</v>
      </c>
      <c r="T13" s="20">
        <f t="shared" si="13"/>
        <v>29089.800000000003</v>
      </c>
      <c r="U13" s="20">
        <f t="shared" si="13"/>
        <v>13795.688000000002</v>
      </c>
      <c r="V13" s="20">
        <f t="shared" si="13"/>
        <v>3303.0320000000002</v>
      </c>
      <c r="W13" s="20">
        <f t="shared" si="13"/>
        <v>160638</v>
      </c>
      <c r="X13" s="20">
        <f t="shared" si="13"/>
        <v>940.32000000000016</v>
      </c>
      <c r="Y13" s="20">
        <f t="shared" si="13"/>
        <v>4658.5840000000007</v>
      </c>
      <c r="Z13" s="20">
        <f t="shared" si="13"/>
        <v>1808.7040000000002</v>
      </c>
      <c r="AA13" s="20">
        <f t="shared" si="13"/>
        <v>4048.0320000000002</v>
      </c>
      <c r="AB13" s="20">
        <f t="shared" si="13"/>
        <v>391.8</v>
      </c>
      <c r="AC13" s="20">
        <f t="shared" si="13"/>
        <v>0</v>
      </c>
      <c r="AD13" s="20">
        <f t="shared" si="13"/>
        <v>0</v>
      </c>
      <c r="AE13" s="20">
        <f t="shared" si="13"/>
        <v>159.99200000000002</v>
      </c>
      <c r="AF13" s="20">
        <f t="shared" si="9"/>
        <v>0</v>
      </c>
      <c r="AG13" s="20">
        <f t="shared" si="9"/>
        <v>0</v>
      </c>
      <c r="AH13" s="10">
        <f t="shared" si="2"/>
        <v>332298.77600000007</v>
      </c>
      <c r="AI13" s="1093">
        <f t="shared" si="4"/>
        <v>113464.82400000001</v>
      </c>
      <c r="AJ13" s="1093">
        <f t="shared" si="4"/>
        <v>29089.800000000003</v>
      </c>
      <c r="AK13" s="1093">
        <f t="shared" si="4"/>
        <v>13795.688000000002</v>
      </c>
      <c r="AL13" s="1093">
        <f t="shared" si="4"/>
        <v>3303.0320000000002</v>
      </c>
      <c r="AM13" s="1093">
        <f t="shared" si="4"/>
        <v>160638</v>
      </c>
      <c r="AN13" s="1093">
        <f t="shared" si="5"/>
        <v>12007.431999999999</v>
      </c>
      <c r="AO13" s="1093"/>
    </row>
    <row r="14" spans="1:41">
      <c r="A14" s="2" t="s">
        <v>9</v>
      </c>
      <c r="B14" s="20"/>
      <c r="C14" s="20"/>
      <c r="D14" s="20"/>
      <c r="E14" s="20"/>
      <c r="F14" s="20"/>
      <c r="G14" s="20"/>
      <c r="H14" s="20"/>
      <c r="I14" s="20"/>
      <c r="J14" s="20"/>
      <c r="K14" s="20"/>
      <c r="L14" s="20"/>
      <c r="M14" s="20"/>
      <c r="N14" s="20"/>
      <c r="O14" s="10">
        <f t="shared" si="0"/>
        <v>0</v>
      </c>
      <c r="P14" s="1093"/>
      <c r="R14" s="2" t="s">
        <v>96</v>
      </c>
      <c r="S14" s="20">
        <f t="shared" ref="S14:AE14" si="14">S84*0.8</f>
        <v>36106</v>
      </c>
      <c r="T14" s="20">
        <f t="shared" si="14"/>
        <v>34177.512000000002</v>
      </c>
      <c r="U14" s="20">
        <f t="shared" si="14"/>
        <v>1851.36</v>
      </c>
      <c r="V14" s="20">
        <f t="shared" si="14"/>
        <v>1214.28</v>
      </c>
      <c r="W14" s="20">
        <f t="shared" si="14"/>
        <v>27269.279999999999</v>
      </c>
      <c r="X14" s="20">
        <f t="shared" si="14"/>
        <v>313.44000000000005</v>
      </c>
      <c r="Y14" s="20">
        <f t="shared" si="14"/>
        <v>3967.3600000000006</v>
      </c>
      <c r="Z14" s="20">
        <f t="shared" si="14"/>
        <v>0</v>
      </c>
      <c r="AA14" s="20">
        <f t="shared" si="14"/>
        <v>4488.3280000000004</v>
      </c>
      <c r="AB14" s="20">
        <f t="shared" si="14"/>
        <v>391.8</v>
      </c>
      <c r="AC14" s="20">
        <f t="shared" si="14"/>
        <v>0</v>
      </c>
      <c r="AD14" s="20">
        <f t="shared" si="14"/>
        <v>0</v>
      </c>
      <c r="AE14" s="20">
        <f t="shared" si="14"/>
        <v>68.567999999999998</v>
      </c>
      <c r="AF14" s="20">
        <f t="shared" si="9"/>
        <v>0</v>
      </c>
      <c r="AG14" s="20">
        <f t="shared" si="9"/>
        <v>0</v>
      </c>
      <c r="AH14" s="10">
        <f t="shared" si="2"/>
        <v>109847.928</v>
      </c>
      <c r="AI14" s="1093">
        <f t="shared" si="4"/>
        <v>36106</v>
      </c>
      <c r="AJ14" s="1093">
        <f t="shared" si="4"/>
        <v>34177.512000000002</v>
      </c>
      <c r="AK14" s="1093">
        <f t="shared" si="4"/>
        <v>1851.36</v>
      </c>
      <c r="AL14" s="1093">
        <f t="shared" si="4"/>
        <v>1214.28</v>
      </c>
      <c r="AM14" s="1093">
        <f t="shared" si="4"/>
        <v>27269.279999999999</v>
      </c>
      <c r="AN14" s="1093">
        <f t="shared" si="5"/>
        <v>9229.4959999999992</v>
      </c>
      <c r="AO14" s="1093"/>
    </row>
    <row r="15" spans="1:41">
      <c r="A15" s="2" t="s">
        <v>10</v>
      </c>
      <c r="B15" s="20"/>
      <c r="C15" s="20"/>
      <c r="D15" s="20"/>
      <c r="E15" s="20"/>
      <c r="F15" s="20"/>
      <c r="G15" s="20"/>
      <c r="H15" s="20"/>
      <c r="I15" s="20"/>
      <c r="J15" s="20"/>
      <c r="K15" s="20"/>
      <c r="L15" s="20"/>
      <c r="M15" s="20"/>
      <c r="N15" s="20"/>
      <c r="O15" s="10">
        <f t="shared" si="0"/>
        <v>0</v>
      </c>
      <c r="P15" s="1093"/>
      <c r="R15" s="2" t="s">
        <v>97</v>
      </c>
      <c r="S15" s="20">
        <f t="shared" ref="S15:AE15" si="15">S85*0.8</f>
        <v>96224.847999999998</v>
      </c>
      <c r="T15" s="20">
        <f t="shared" si="15"/>
        <v>17366.744000000002</v>
      </c>
      <c r="U15" s="20">
        <f t="shared" si="15"/>
        <v>8617.728000000001</v>
      </c>
      <c r="V15" s="20">
        <f t="shared" si="15"/>
        <v>1620.5039999999999</v>
      </c>
      <c r="W15" s="20">
        <f t="shared" si="15"/>
        <v>191982</v>
      </c>
      <c r="X15" s="20">
        <f t="shared" si="15"/>
        <v>1959</v>
      </c>
      <c r="Y15" s="20">
        <f t="shared" si="15"/>
        <v>1840.1840000000002</v>
      </c>
      <c r="Z15" s="20">
        <f t="shared" si="15"/>
        <v>0</v>
      </c>
      <c r="AA15" s="20">
        <f t="shared" si="15"/>
        <v>3045.9680000000003</v>
      </c>
      <c r="AB15" s="20">
        <f t="shared" si="15"/>
        <v>313.44000000000005</v>
      </c>
      <c r="AC15" s="20">
        <f t="shared" si="15"/>
        <v>0</v>
      </c>
      <c r="AD15" s="20">
        <f t="shared" si="15"/>
        <v>0</v>
      </c>
      <c r="AE15" s="20">
        <f t="shared" si="15"/>
        <v>0</v>
      </c>
      <c r="AF15" s="20">
        <f t="shared" si="9"/>
        <v>0</v>
      </c>
      <c r="AG15" s="20">
        <f t="shared" si="9"/>
        <v>0</v>
      </c>
      <c r="AH15" s="10">
        <f t="shared" si="2"/>
        <v>322970.41600000003</v>
      </c>
      <c r="AI15" s="1093">
        <f t="shared" si="4"/>
        <v>96224.847999999998</v>
      </c>
      <c r="AJ15" s="1093">
        <f t="shared" si="4"/>
        <v>17366.744000000002</v>
      </c>
      <c r="AK15" s="1093">
        <f t="shared" si="4"/>
        <v>8617.728000000001</v>
      </c>
      <c r="AL15" s="1093">
        <f t="shared" si="4"/>
        <v>1620.5039999999999</v>
      </c>
      <c r="AM15" s="1093">
        <f t="shared" si="4"/>
        <v>191982</v>
      </c>
      <c r="AN15" s="1093">
        <f t="shared" si="5"/>
        <v>7158.5920000000006</v>
      </c>
      <c r="AO15" s="1093"/>
    </row>
    <row r="16" spans="1:41">
      <c r="A16" s="2" t="s">
        <v>11</v>
      </c>
      <c r="B16" s="20"/>
      <c r="C16" s="20"/>
      <c r="D16" s="20"/>
      <c r="E16" s="20"/>
      <c r="F16" s="20"/>
      <c r="G16" s="20"/>
      <c r="H16" s="20"/>
      <c r="I16" s="20"/>
      <c r="J16" s="20"/>
      <c r="K16" s="20"/>
      <c r="L16" s="20"/>
      <c r="M16" s="20"/>
      <c r="N16" s="20"/>
      <c r="O16" s="10">
        <f t="shared" si="0"/>
        <v>0</v>
      </c>
      <c r="P16" s="1093"/>
      <c r="R16" s="2" t="s">
        <v>98</v>
      </c>
      <c r="S16" s="20">
        <f t="shared" ref="S16:AE16" si="16">S86*0.8</f>
        <v>71643.19200000001</v>
      </c>
      <c r="T16" s="20">
        <f t="shared" si="16"/>
        <v>20246.744000000002</v>
      </c>
      <c r="U16" s="20">
        <f t="shared" si="16"/>
        <v>11386.567999999999</v>
      </c>
      <c r="V16" s="20">
        <f t="shared" si="16"/>
        <v>3617.1760000000004</v>
      </c>
      <c r="W16" s="20">
        <f t="shared" si="16"/>
        <v>123181.92</v>
      </c>
      <c r="X16" s="20">
        <f t="shared" si="16"/>
        <v>1253.76</v>
      </c>
      <c r="Y16" s="20">
        <f t="shared" si="16"/>
        <v>3560.4320000000007</v>
      </c>
      <c r="Z16" s="20">
        <f t="shared" si="16"/>
        <v>325</v>
      </c>
      <c r="AA16" s="20">
        <f t="shared" si="16"/>
        <v>2856.9519999999998</v>
      </c>
      <c r="AB16" s="20">
        <f t="shared" si="16"/>
        <v>783.6</v>
      </c>
      <c r="AC16" s="20">
        <f t="shared" si="16"/>
        <v>0</v>
      </c>
      <c r="AD16" s="20">
        <f t="shared" si="16"/>
        <v>621.21600000000001</v>
      </c>
      <c r="AE16" s="20">
        <f t="shared" si="16"/>
        <v>0</v>
      </c>
      <c r="AF16" s="20">
        <f t="shared" si="9"/>
        <v>0</v>
      </c>
      <c r="AG16" s="20">
        <f t="shared" si="9"/>
        <v>0</v>
      </c>
      <c r="AH16" s="10">
        <f t="shared" si="2"/>
        <v>239476.56000000003</v>
      </c>
      <c r="AI16" s="1093">
        <f t="shared" si="4"/>
        <v>71643.19200000001</v>
      </c>
      <c r="AJ16" s="1093">
        <f t="shared" si="4"/>
        <v>20246.744000000002</v>
      </c>
      <c r="AK16" s="1093">
        <f t="shared" si="4"/>
        <v>11386.567999999999</v>
      </c>
      <c r="AL16" s="1093">
        <f t="shared" si="4"/>
        <v>3617.1760000000004</v>
      </c>
      <c r="AM16" s="1093">
        <f t="shared" si="4"/>
        <v>123181.92</v>
      </c>
      <c r="AN16" s="1093">
        <f t="shared" si="5"/>
        <v>9400.9600000000009</v>
      </c>
      <c r="AO16" s="1093"/>
    </row>
    <row r="17" spans="1:41">
      <c r="A17" s="2" t="s">
        <v>12</v>
      </c>
      <c r="B17" s="20"/>
      <c r="C17" s="20"/>
      <c r="D17" s="20"/>
      <c r="E17" s="20"/>
      <c r="F17" s="20"/>
      <c r="G17" s="20"/>
      <c r="H17" s="20"/>
      <c r="I17" s="20"/>
      <c r="J17" s="20"/>
      <c r="K17" s="20"/>
      <c r="L17" s="20"/>
      <c r="M17" s="20"/>
      <c r="N17" s="20"/>
      <c r="O17" s="10">
        <f t="shared" si="0"/>
        <v>0</v>
      </c>
      <c r="P17" s="1093"/>
      <c r="R17" s="2" t="s">
        <v>99</v>
      </c>
      <c r="S17" s="20">
        <f t="shared" ref="S17:AE17" si="17">S87*0.8</f>
        <v>362506.23200000002</v>
      </c>
      <c r="T17" s="20">
        <f t="shared" si="17"/>
        <v>138896.89600000001</v>
      </c>
      <c r="U17" s="20">
        <f t="shared" si="17"/>
        <v>46743.056000000004</v>
      </c>
      <c r="V17" s="20">
        <f t="shared" si="17"/>
        <v>16598.423999999999</v>
      </c>
      <c r="W17" s="20">
        <f t="shared" si="17"/>
        <v>292204.44</v>
      </c>
      <c r="X17" s="20">
        <f t="shared" si="17"/>
        <v>2742.6000000000004</v>
      </c>
      <c r="Y17" s="20">
        <f t="shared" si="17"/>
        <v>24396.680000000008</v>
      </c>
      <c r="Z17" s="20">
        <f t="shared" si="17"/>
        <v>0</v>
      </c>
      <c r="AA17" s="20">
        <f t="shared" si="17"/>
        <v>15871.792000000001</v>
      </c>
      <c r="AB17" s="20">
        <f t="shared" si="17"/>
        <v>2037.36</v>
      </c>
      <c r="AC17" s="20">
        <f t="shared" si="17"/>
        <v>0</v>
      </c>
      <c r="AD17" s="20">
        <f t="shared" si="17"/>
        <v>0</v>
      </c>
      <c r="AE17" s="20">
        <f t="shared" si="17"/>
        <v>228.56</v>
      </c>
      <c r="AF17" s="20">
        <f t="shared" si="9"/>
        <v>0</v>
      </c>
      <c r="AG17" s="20">
        <f t="shared" si="9"/>
        <v>0</v>
      </c>
      <c r="AH17" s="10">
        <f t="shared" si="2"/>
        <v>902226.04</v>
      </c>
      <c r="AI17" s="1093">
        <f t="shared" si="4"/>
        <v>362506.23200000002</v>
      </c>
      <c r="AJ17" s="1093">
        <f t="shared" si="4"/>
        <v>138896.89600000001</v>
      </c>
      <c r="AK17" s="1093">
        <f t="shared" si="4"/>
        <v>46743.056000000004</v>
      </c>
      <c r="AL17" s="1093">
        <f t="shared" si="4"/>
        <v>16598.423999999999</v>
      </c>
      <c r="AM17" s="1093">
        <f t="shared" si="4"/>
        <v>292204.44</v>
      </c>
      <c r="AN17" s="1093">
        <f t="shared" si="5"/>
        <v>45276.992000000006</v>
      </c>
      <c r="AO17" s="1093"/>
    </row>
    <row r="18" spans="1:41">
      <c r="A18" s="2" t="s">
        <v>15</v>
      </c>
      <c r="B18" s="20"/>
      <c r="C18" s="20"/>
      <c r="D18" s="20"/>
      <c r="E18" s="20"/>
      <c r="F18" s="20"/>
      <c r="G18" s="20"/>
      <c r="H18" s="20"/>
      <c r="I18" s="20"/>
      <c r="J18" s="20"/>
      <c r="K18" s="20"/>
      <c r="L18" s="20"/>
      <c r="M18" s="20"/>
      <c r="N18" s="20"/>
      <c r="O18" s="10">
        <f t="shared" si="0"/>
        <v>0</v>
      </c>
      <c r="P18" s="1093"/>
      <c r="R18" s="2" t="s">
        <v>100</v>
      </c>
      <c r="S18" s="20">
        <f t="shared" ref="S18:AE18" si="18">S88*0.8</f>
        <v>61631.352000000006</v>
      </c>
      <c r="T18" s="20">
        <f t="shared" si="18"/>
        <v>30848.928000000004</v>
      </c>
      <c r="U18" s="20">
        <f t="shared" si="18"/>
        <v>7409.2479999999996</v>
      </c>
      <c r="V18" s="20">
        <f t="shared" si="18"/>
        <v>3005.5040000000004</v>
      </c>
      <c r="W18" s="20">
        <f t="shared" si="18"/>
        <v>43724.880000000005</v>
      </c>
      <c r="X18" s="20">
        <f t="shared" si="18"/>
        <v>3918</v>
      </c>
      <c r="Y18" s="20">
        <f t="shared" si="18"/>
        <v>5245.8159999999998</v>
      </c>
      <c r="Z18" s="20">
        <f t="shared" si="18"/>
        <v>0</v>
      </c>
      <c r="AA18" s="20">
        <f t="shared" si="18"/>
        <v>3013.3520000000003</v>
      </c>
      <c r="AB18" s="20">
        <f t="shared" si="18"/>
        <v>156.72000000000003</v>
      </c>
      <c r="AC18" s="20">
        <f t="shared" si="18"/>
        <v>0</v>
      </c>
      <c r="AD18" s="20">
        <f t="shared" si="18"/>
        <v>0</v>
      </c>
      <c r="AE18" s="20">
        <f t="shared" si="18"/>
        <v>68.567999999999998</v>
      </c>
      <c r="AF18" s="20">
        <f t="shared" si="9"/>
        <v>0</v>
      </c>
      <c r="AG18" s="20">
        <f t="shared" si="9"/>
        <v>0</v>
      </c>
      <c r="AH18" s="10">
        <f t="shared" si="2"/>
        <v>159022.36800000002</v>
      </c>
      <c r="AI18" s="1093">
        <f t="shared" si="4"/>
        <v>61631.352000000006</v>
      </c>
      <c r="AJ18" s="1093">
        <f t="shared" si="4"/>
        <v>30848.928000000004</v>
      </c>
      <c r="AK18" s="1093">
        <f t="shared" si="4"/>
        <v>7409.2479999999996</v>
      </c>
      <c r="AL18" s="1093">
        <f t="shared" si="4"/>
        <v>3005.5040000000004</v>
      </c>
      <c r="AM18" s="1093">
        <f t="shared" si="4"/>
        <v>43724.880000000005</v>
      </c>
      <c r="AN18" s="1093">
        <f t="shared" si="5"/>
        <v>12402.455999999998</v>
      </c>
      <c r="AO18" s="1093"/>
    </row>
    <row r="19" spans="1:41">
      <c r="A19" s="2" t="s">
        <v>14</v>
      </c>
      <c r="B19" s="20"/>
      <c r="C19" s="20"/>
      <c r="D19" s="20"/>
      <c r="E19" s="20"/>
      <c r="F19" s="20"/>
      <c r="G19" s="20"/>
      <c r="H19" s="20"/>
      <c r="I19" s="20"/>
      <c r="J19" s="20"/>
      <c r="K19" s="20"/>
      <c r="L19" s="20"/>
      <c r="M19" s="20"/>
      <c r="N19" s="20"/>
      <c r="O19" s="10">
        <f t="shared" si="0"/>
        <v>0</v>
      </c>
      <c r="P19" s="1093"/>
      <c r="R19" s="2" t="s">
        <v>101</v>
      </c>
      <c r="S19" s="20">
        <f t="shared" ref="S19:AE19" si="19">S89*0.8</f>
        <v>57602.336000000003</v>
      </c>
      <c r="T19" s="20">
        <f t="shared" si="19"/>
        <v>21610.808000000001</v>
      </c>
      <c r="U19" s="20">
        <f t="shared" si="19"/>
        <v>6592.1440000000002</v>
      </c>
      <c r="V19" s="20">
        <f t="shared" si="19"/>
        <v>2208.7440000000001</v>
      </c>
      <c r="W19" s="20">
        <f t="shared" si="19"/>
        <v>59631.96</v>
      </c>
      <c r="X19" s="20">
        <f t="shared" si="19"/>
        <v>626.88000000000011</v>
      </c>
      <c r="Y19" s="20">
        <f t="shared" si="19"/>
        <v>3057.6959999999999</v>
      </c>
      <c r="Z19" s="20">
        <f t="shared" si="19"/>
        <v>0</v>
      </c>
      <c r="AA19" s="20">
        <f t="shared" si="19"/>
        <v>2706.0720000000001</v>
      </c>
      <c r="AB19" s="20">
        <f t="shared" si="19"/>
        <v>626.88000000000011</v>
      </c>
      <c r="AC19" s="20">
        <f t="shared" si="19"/>
        <v>0</v>
      </c>
      <c r="AD19" s="20">
        <f t="shared" si="19"/>
        <v>0</v>
      </c>
      <c r="AE19" s="20">
        <f t="shared" si="19"/>
        <v>45.712000000000003</v>
      </c>
      <c r="AF19" s="20">
        <f t="shared" si="9"/>
        <v>0</v>
      </c>
      <c r="AG19" s="20">
        <f t="shared" si="9"/>
        <v>0</v>
      </c>
      <c r="AH19" s="10">
        <f t="shared" si="2"/>
        <v>154709.23200000002</v>
      </c>
      <c r="AI19" s="1093">
        <f t="shared" si="4"/>
        <v>57602.336000000003</v>
      </c>
      <c r="AJ19" s="1093">
        <f t="shared" si="4"/>
        <v>21610.808000000001</v>
      </c>
      <c r="AK19" s="1093">
        <f t="shared" si="4"/>
        <v>6592.1440000000002</v>
      </c>
      <c r="AL19" s="1093">
        <f t="shared" si="4"/>
        <v>2208.7440000000001</v>
      </c>
      <c r="AM19" s="1093">
        <f t="shared" si="4"/>
        <v>59631.96</v>
      </c>
      <c r="AN19" s="1093">
        <f t="shared" si="5"/>
        <v>7063.2400000000007</v>
      </c>
      <c r="AO19" s="1093"/>
    </row>
    <row r="20" spans="1:41">
      <c r="A20" s="2" t="s">
        <v>13</v>
      </c>
      <c r="B20" s="20"/>
      <c r="C20" s="20"/>
      <c r="D20" s="20"/>
      <c r="E20" s="20"/>
      <c r="F20" s="20"/>
      <c r="G20" s="20"/>
      <c r="H20" s="20"/>
      <c r="I20" s="20"/>
      <c r="J20" s="20"/>
      <c r="K20" s="20"/>
      <c r="L20" s="20"/>
      <c r="M20" s="20"/>
      <c r="N20" s="20"/>
      <c r="O20" s="10">
        <f t="shared" si="0"/>
        <v>0</v>
      </c>
      <c r="P20" s="1093"/>
      <c r="R20" s="2" t="s">
        <v>102</v>
      </c>
      <c r="S20" s="20">
        <f t="shared" ref="S20:AE20" si="20">S90*0.8</f>
        <v>344323.32000000007</v>
      </c>
      <c r="T20" s="20">
        <f t="shared" si="20"/>
        <v>108481.66399999999</v>
      </c>
      <c r="U20" s="20">
        <f t="shared" si="20"/>
        <v>78715.504000000015</v>
      </c>
      <c r="V20" s="20">
        <f t="shared" si="20"/>
        <v>32049.304</v>
      </c>
      <c r="W20" s="20">
        <f t="shared" si="20"/>
        <v>453234.24000000005</v>
      </c>
      <c r="X20" s="20">
        <f t="shared" si="20"/>
        <v>8933.0399999999991</v>
      </c>
      <c r="Y20" s="20">
        <f t="shared" si="20"/>
        <v>18431.856</v>
      </c>
      <c r="Z20" s="20">
        <f t="shared" si="20"/>
        <v>235.08000000000004</v>
      </c>
      <c r="AA20" s="20">
        <f t="shared" si="20"/>
        <v>15242.04</v>
      </c>
      <c r="AB20" s="20">
        <f t="shared" si="20"/>
        <v>2742.6000000000004</v>
      </c>
      <c r="AC20" s="20">
        <f t="shared" si="20"/>
        <v>313.44000000000005</v>
      </c>
      <c r="AD20" s="20">
        <f t="shared" si="20"/>
        <v>0</v>
      </c>
      <c r="AE20" s="20">
        <f t="shared" si="20"/>
        <v>205.70400000000001</v>
      </c>
      <c r="AF20" s="20">
        <f t="shared" si="9"/>
        <v>0</v>
      </c>
      <c r="AG20" s="20">
        <f t="shared" si="9"/>
        <v>0</v>
      </c>
      <c r="AH20" s="10">
        <f t="shared" si="2"/>
        <v>1062907.7920000001</v>
      </c>
      <c r="AI20" s="1093">
        <f t="shared" si="4"/>
        <v>344323.32000000007</v>
      </c>
      <c r="AJ20" s="1093">
        <f t="shared" si="4"/>
        <v>108481.66399999999</v>
      </c>
      <c r="AK20" s="1093">
        <f t="shared" si="4"/>
        <v>78715.504000000015</v>
      </c>
      <c r="AL20" s="1093">
        <f t="shared" si="4"/>
        <v>32049.304</v>
      </c>
      <c r="AM20" s="1093">
        <f t="shared" si="4"/>
        <v>453234.24000000005</v>
      </c>
      <c r="AN20" s="1093">
        <f t="shared" si="5"/>
        <v>46103.76</v>
      </c>
      <c r="AO20" s="1093"/>
    </row>
    <row r="21" spans="1:41">
      <c r="A21" s="2" t="s">
        <v>16</v>
      </c>
      <c r="B21" s="20"/>
      <c r="C21" s="20"/>
      <c r="D21" s="20"/>
      <c r="E21" s="20"/>
      <c r="F21" s="20"/>
      <c r="G21" s="20"/>
      <c r="H21" s="20"/>
      <c r="I21" s="20"/>
      <c r="J21" s="20"/>
      <c r="K21" s="20"/>
      <c r="L21" s="20"/>
      <c r="M21" s="20"/>
      <c r="N21" s="20"/>
      <c r="O21" s="10">
        <f t="shared" si="0"/>
        <v>0</v>
      </c>
      <c r="P21" s="1093"/>
      <c r="R21" s="2" t="s">
        <v>103</v>
      </c>
      <c r="S21" s="20">
        <f t="shared" ref="S21:AE21" si="21">S91*0.8</f>
        <v>114693.97600000001</v>
      </c>
      <c r="T21" s="20">
        <f t="shared" si="21"/>
        <v>32370.056</v>
      </c>
      <c r="U21" s="20">
        <f t="shared" si="21"/>
        <v>10928.152000000002</v>
      </c>
      <c r="V21" s="20">
        <f t="shared" si="21"/>
        <v>2478.6240000000003</v>
      </c>
      <c r="W21" s="20">
        <f t="shared" si="21"/>
        <v>94110.36</v>
      </c>
      <c r="X21" s="20">
        <f t="shared" si="21"/>
        <v>1410.4800000000002</v>
      </c>
      <c r="Y21" s="20">
        <f t="shared" si="21"/>
        <v>4393.384</v>
      </c>
      <c r="Z21" s="20">
        <f t="shared" si="21"/>
        <v>1111.8720000000001</v>
      </c>
      <c r="AA21" s="20">
        <f t="shared" si="21"/>
        <v>5564.6080000000002</v>
      </c>
      <c r="AB21" s="20">
        <f t="shared" si="21"/>
        <v>548.52</v>
      </c>
      <c r="AC21" s="20">
        <f t="shared" si="21"/>
        <v>0</v>
      </c>
      <c r="AD21" s="20">
        <f t="shared" si="21"/>
        <v>0</v>
      </c>
      <c r="AE21" s="20">
        <f t="shared" si="21"/>
        <v>45.712000000000003</v>
      </c>
      <c r="AF21" s="20">
        <f t="shared" si="9"/>
        <v>0</v>
      </c>
      <c r="AG21" s="20">
        <f t="shared" si="9"/>
        <v>0</v>
      </c>
      <c r="AH21" s="10">
        <f t="shared" si="2"/>
        <v>267655.74400000001</v>
      </c>
      <c r="AI21" s="1093">
        <f t="shared" si="4"/>
        <v>114693.97600000001</v>
      </c>
      <c r="AJ21" s="1093">
        <f t="shared" si="4"/>
        <v>32370.056</v>
      </c>
      <c r="AK21" s="1093">
        <f t="shared" si="4"/>
        <v>10928.152000000002</v>
      </c>
      <c r="AL21" s="1093">
        <f t="shared" si="4"/>
        <v>2478.6240000000003</v>
      </c>
      <c r="AM21" s="1093">
        <f t="shared" si="4"/>
        <v>94110.36</v>
      </c>
      <c r="AN21" s="1093">
        <f t="shared" si="5"/>
        <v>13074.576000000001</v>
      </c>
      <c r="AO21" s="1093"/>
    </row>
    <row r="22" spans="1:41">
      <c r="A22" s="2" t="s">
        <v>17</v>
      </c>
      <c r="B22" s="20"/>
      <c r="C22" s="20"/>
      <c r="D22" s="20"/>
      <c r="E22" s="20"/>
      <c r="F22" s="20"/>
      <c r="G22" s="20"/>
      <c r="H22" s="20"/>
      <c r="I22" s="20"/>
      <c r="J22" s="20"/>
      <c r="K22" s="20"/>
      <c r="L22" s="20"/>
      <c r="M22" s="20"/>
      <c r="N22" s="20"/>
      <c r="O22" s="10">
        <f t="shared" si="0"/>
        <v>0</v>
      </c>
      <c r="P22" s="1093"/>
      <c r="R22" s="2" t="s">
        <v>104</v>
      </c>
      <c r="S22" s="20">
        <f t="shared" ref="S22:AE22" si="22">S92*0.8</f>
        <v>28510.400000000001</v>
      </c>
      <c r="T22" s="20">
        <f t="shared" si="22"/>
        <v>5319.9520000000002</v>
      </c>
      <c r="U22" s="20">
        <f t="shared" si="22"/>
        <v>3603.056</v>
      </c>
      <c r="V22" s="20">
        <f t="shared" si="22"/>
        <v>536.85600000000011</v>
      </c>
      <c r="W22" s="20">
        <f t="shared" si="22"/>
        <v>23508</v>
      </c>
      <c r="X22" s="20">
        <f t="shared" si="22"/>
        <v>783.6</v>
      </c>
      <c r="Y22" s="20">
        <f t="shared" si="22"/>
        <v>573.41599999999994</v>
      </c>
      <c r="Z22" s="20">
        <f t="shared" si="22"/>
        <v>0</v>
      </c>
      <c r="AA22" s="20">
        <f t="shared" si="22"/>
        <v>958.40800000000002</v>
      </c>
      <c r="AB22" s="20">
        <f t="shared" si="22"/>
        <v>0</v>
      </c>
      <c r="AC22" s="20">
        <f t="shared" si="22"/>
        <v>0</v>
      </c>
      <c r="AD22" s="20">
        <f t="shared" si="22"/>
        <v>0</v>
      </c>
      <c r="AE22" s="20">
        <f t="shared" si="22"/>
        <v>0</v>
      </c>
      <c r="AF22" s="20">
        <f>AF92</f>
        <v>0</v>
      </c>
      <c r="AG22" s="20">
        <f>AG92</f>
        <v>0</v>
      </c>
      <c r="AH22" s="10">
        <f t="shared" si="2"/>
        <v>63793.687999999995</v>
      </c>
      <c r="AI22" s="1093">
        <f t="shared" si="4"/>
        <v>28510.400000000001</v>
      </c>
      <c r="AJ22" s="1093">
        <f t="shared" si="4"/>
        <v>5319.9520000000002</v>
      </c>
      <c r="AK22" s="1093">
        <f t="shared" si="4"/>
        <v>3603.056</v>
      </c>
      <c r="AL22" s="1093">
        <f t="shared" si="4"/>
        <v>536.85600000000011</v>
      </c>
      <c r="AM22" s="1093">
        <f t="shared" si="4"/>
        <v>23508</v>
      </c>
      <c r="AN22" s="1093">
        <f t="shared" si="5"/>
        <v>2315.424</v>
      </c>
      <c r="AO22" s="1093"/>
    </row>
    <row r="23" spans="1:41">
      <c r="A23" s="2" t="s">
        <v>18</v>
      </c>
      <c r="B23" s="20"/>
      <c r="C23" s="20"/>
      <c r="D23" s="20"/>
      <c r="E23" s="20"/>
      <c r="F23" s="20"/>
      <c r="G23" s="20"/>
      <c r="H23" s="20"/>
      <c r="I23" s="20"/>
      <c r="J23" s="20"/>
      <c r="K23" s="20"/>
      <c r="L23" s="20"/>
      <c r="M23" s="20"/>
      <c r="N23" s="20"/>
      <c r="O23" s="10">
        <f t="shared" si="0"/>
        <v>0</v>
      </c>
      <c r="P23" s="1093"/>
      <c r="R23" s="2" t="s">
        <v>105</v>
      </c>
      <c r="S23" s="20">
        <f t="shared" ref="S23:AE23" si="23">S93*0.8</f>
        <v>445397.48</v>
      </c>
      <c r="T23" s="20">
        <f t="shared" si="23"/>
        <v>93884.104000000007</v>
      </c>
      <c r="U23" s="20">
        <f t="shared" si="23"/>
        <v>75875.376000000004</v>
      </c>
      <c r="V23" s="20">
        <f t="shared" si="23"/>
        <v>15240.936000000002</v>
      </c>
      <c r="W23" s="20">
        <f t="shared" si="23"/>
        <v>299724.44800000003</v>
      </c>
      <c r="X23" s="20">
        <f t="shared" si="23"/>
        <v>13791.36</v>
      </c>
      <c r="Y23" s="20">
        <f t="shared" si="23"/>
        <v>21302.552</v>
      </c>
      <c r="Z23" s="20">
        <f t="shared" si="23"/>
        <v>3733.92</v>
      </c>
      <c r="AA23" s="20">
        <f t="shared" si="23"/>
        <v>11397.6</v>
      </c>
      <c r="AB23" s="20">
        <f t="shared" si="23"/>
        <v>705.24</v>
      </c>
      <c r="AC23" s="20">
        <f t="shared" si="23"/>
        <v>156.72000000000003</v>
      </c>
      <c r="AD23" s="20">
        <f t="shared" si="23"/>
        <v>0</v>
      </c>
      <c r="AE23" s="20">
        <f t="shared" si="23"/>
        <v>434.26400000000007</v>
      </c>
      <c r="AF23" s="20">
        <f t="shared" ref="AF23:AG28" si="24">AF93*0.8</f>
        <v>0</v>
      </c>
      <c r="AG23" s="20">
        <f t="shared" si="24"/>
        <v>0</v>
      </c>
      <c r="AH23" s="10">
        <f t="shared" si="2"/>
        <v>981644</v>
      </c>
      <c r="AI23" s="1093">
        <f t="shared" si="4"/>
        <v>445397.48</v>
      </c>
      <c r="AJ23" s="1093">
        <f t="shared" si="4"/>
        <v>93884.104000000007</v>
      </c>
      <c r="AK23" s="1093">
        <f t="shared" si="4"/>
        <v>75875.376000000004</v>
      </c>
      <c r="AL23" s="1093">
        <f t="shared" si="4"/>
        <v>15240.936000000002</v>
      </c>
      <c r="AM23" s="1093">
        <f t="shared" si="4"/>
        <v>299724.44800000003</v>
      </c>
      <c r="AN23" s="1093">
        <f t="shared" si="5"/>
        <v>51521.655999999995</v>
      </c>
      <c r="AO23" s="1093"/>
    </row>
    <row r="24" spans="1:41">
      <c r="A24" s="2" t="s">
        <v>20</v>
      </c>
      <c r="B24" s="20"/>
      <c r="C24" s="20"/>
      <c r="D24" s="20"/>
      <c r="E24" s="20"/>
      <c r="F24" s="20"/>
      <c r="G24" s="20"/>
      <c r="H24" s="20"/>
      <c r="I24" s="20"/>
      <c r="J24" s="20"/>
      <c r="K24" s="20"/>
      <c r="L24" s="20"/>
      <c r="M24" s="20"/>
      <c r="N24" s="20"/>
      <c r="O24" s="10">
        <f t="shared" si="0"/>
        <v>0</v>
      </c>
      <c r="P24" s="1093"/>
      <c r="R24" s="2" t="s">
        <v>106</v>
      </c>
      <c r="S24" s="20">
        <f t="shared" ref="S24:AE24" si="25">S94*0.8</f>
        <v>73981.464000000007</v>
      </c>
      <c r="T24" s="20">
        <f t="shared" si="25"/>
        <v>31526.624000000007</v>
      </c>
      <c r="U24" s="20">
        <f t="shared" si="25"/>
        <v>5501.384</v>
      </c>
      <c r="V24" s="20">
        <f t="shared" si="25"/>
        <v>2341.9919999999997</v>
      </c>
      <c r="W24" s="20">
        <f t="shared" si="25"/>
        <v>49680.240000000005</v>
      </c>
      <c r="X24" s="20">
        <f t="shared" si="25"/>
        <v>2037.36</v>
      </c>
      <c r="Y24" s="20">
        <f t="shared" si="25"/>
        <v>4537.2</v>
      </c>
      <c r="Z24" s="20">
        <f t="shared" si="25"/>
        <v>0</v>
      </c>
      <c r="AA24" s="20">
        <f t="shared" si="25"/>
        <v>3924.2720000000004</v>
      </c>
      <c r="AB24" s="20">
        <f t="shared" si="25"/>
        <v>78.360000000000014</v>
      </c>
      <c r="AC24" s="20">
        <f t="shared" si="25"/>
        <v>0</v>
      </c>
      <c r="AD24" s="20">
        <f t="shared" si="25"/>
        <v>0</v>
      </c>
      <c r="AE24" s="20">
        <f t="shared" si="25"/>
        <v>68.567999999999998</v>
      </c>
      <c r="AF24" s="20">
        <f t="shared" si="24"/>
        <v>0</v>
      </c>
      <c r="AG24" s="20">
        <f t="shared" si="24"/>
        <v>0</v>
      </c>
      <c r="AH24" s="10">
        <f t="shared" si="2"/>
        <v>173677.46400000001</v>
      </c>
      <c r="AI24" s="1093">
        <f t="shared" si="4"/>
        <v>73981.464000000007</v>
      </c>
      <c r="AJ24" s="1093">
        <f t="shared" si="4"/>
        <v>31526.624000000007</v>
      </c>
      <c r="AK24" s="1093">
        <f t="shared" si="4"/>
        <v>5501.384</v>
      </c>
      <c r="AL24" s="1093">
        <f t="shared" si="4"/>
        <v>2341.9919999999997</v>
      </c>
      <c r="AM24" s="1093">
        <f t="shared" si="4"/>
        <v>49680.240000000005</v>
      </c>
      <c r="AN24" s="1093">
        <f t="shared" si="5"/>
        <v>10645.76</v>
      </c>
      <c r="AO24" s="1093"/>
    </row>
    <row r="25" spans="1:41">
      <c r="A25" s="2" t="s">
        <v>19</v>
      </c>
      <c r="B25" s="20"/>
      <c r="C25" s="20"/>
      <c r="D25" s="20"/>
      <c r="E25" s="20"/>
      <c r="F25" s="20"/>
      <c r="G25" s="20"/>
      <c r="H25" s="20"/>
      <c r="I25" s="20"/>
      <c r="J25" s="20"/>
      <c r="K25" s="20"/>
      <c r="L25" s="20"/>
      <c r="M25" s="20"/>
      <c r="N25" s="20"/>
      <c r="O25" s="10">
        <f t="shared" si="0"/>
        <v>0</v>
      </c>
      <c r="P25" s="1093"/>
      <c r="R25" s="2" t="s">
        <v>107</v>
      </c>
      <c r="S25" s="20">
        <f t="shared" ref="S25:AE25" si="26">S95*0.8</f>
        <v>402252.84</v>
      </c>
      <c r="T25" s="20">
        <f t="shared" si="26"/>
        <v>98485.952000000005</v>
      </c>
      <c r="U25" s="20">
        <f t="shared" si="26"/>
        <v>62860.743999999999</v>
      </c>
      <c r="V25" s="20">
        <f t="shared" si="26"/>
        <v>27382.712</v>
      </c>
      <c r="W25" s="20">
        <f t="shared" si="26"/>
        <v>538725</v>
      </c>
      <c r="X25" s="20">
        <f t="shared" si="26"/>
        <v>5485.2000000000007</v>
      </c>
      <c r="Y25" s="20">
        <f t="shared" si="26"/>
        <v>17740.848000000002</v>
      </c>
      <c r="Z25" s="20">
        <f t="shared" si="26"/>
        <v>653.27200000000005</v>
      </c>
      <c r="AA25" s="20">
        <f t="shared" si="26"/>
        <v>11827.656000000001</v>
      </c>
      <c r="AB25" s="20">
        <f t="shared" si="26"/>
        <v>2037.36</v>
      </c>
      <c r="AC25" s="20">
        <f t="shared" si="26"/>
        <v>313.44000000000005</v>
      </c>
      <c r="AD25" s="20">
        <f t="shared" si="26"/>
        <v>671.18400000000008</v>
      </c>
      <c r="AE25" s="20">
        <f t="shared" si="26"/>
        <v>137.136</v>
      </c>
      <c r="AF25" s="20">
        <f t="shared" si="24"/>
        <v>0</v>
      </c>
      <c r="AG25" s="20">
        <f t="shared" si="24"/>
        <v>0</v>
      </c>
      <c r="AH25" s="10">
        <f t="shared" si="2"/>
        <v>1168573.3439999998</v>
      </c>
      <c r="AI25" s="1093">
        <f t="shared" si="4"/>
        <v>402252.84</v>
      </c>
      <c r="AJ25" s="1093">
        <f t="shared" si="4"/>
        <v>98485.952000000005</v>
      </c>
      <c r="AK25" s="1093">
        <f t="shared" si="4"/>
        <v>62860.743999999999</v>
      </c>
      <c r="AL25" s="1093">
        <f t="shared" si="4"/>
        <v>27382.712</v>
      </c>
      <c r="AM25" s="1093">
        <f t="shared" si="4"/>
        <v>538725</v>
      </c>
      <c r="AN25" s="1093">
        <f t="shared" si="5"/>
        <v>38866.096000000005</v>
      </c>
      <c r="AO25" s="1093"/>
    </row>
    <row r="26" spans="1:41">
      <c r="A26" s="2" t="s">
        <v>21</v>
      </c>
      <c r="B26" s="20"/>
      <c r="C26" s="20"/>
      <c r="D26" s="20"/>
      <c r="E26" s="20"/>
      <c r="F26" s="20"/>
      <c r="G26" s="20"/>
      <c r="H26" s="20"/>
      <c r="I26" s="20"/>
      <c r="J26" s="20"/>
      <c r="K26" s="20"/>
      <c r="L26" s="20"/>
      <c r="M26" s="20"/>
      <c r="N26" s="20"/>
      <c r="O26" s="10">
        <f t="shared" si="0"/>
        <v>0</v>
      </c>
      <c r="P26" s="1093"/>
      <c r="R26" s="2" t="s">
        <v>108</v>
      </c>
      <c r="S26" s="20">
        <f t="shared" ref="S26:AE26" si="27">S96*0.8</f>
        <v>26662.688000000002</v>
      </c>
      <c r="T26" s="20">
        <f t="shared" si="27"/>
        <v>5198.8960000000006</v>
      </c>
      <c r="U26" s="20">
        <f t="shared" si="27"/>
        <v>4883.6320000000005</v>
      </c>
      <c r="V26" s="20">
        <f t="shared" si="27"/>
        <v>1007.792</v>
      </c>
      <c r="W26" s="20">
        <f t="shared" si="27"/>
        <v>47486.16</v>
      </c>
      <c r="X26" s="20">
        <f t="shared" si="27"/>
        <v>861.96</v>
      </c>
      <c r="Y26" s="20">
        <f t="shared" si="27"/>
        <v>781.93600000000015</v>
      </c>
      <c r="Z26" s="20">
        <f t="shared" si="27"/>
        <v>0</v>
      </c>
      <c r="AA26" s="20">
        <f t="shared" si="27"/>
        <v>732.81600000000003</v>
      </c>
      <c r="AB26" s="20">
        <f t="shared" si="27"/>
        <v>0</v>
      </c>
      <c r="AC26" s="20">
        <f t="shared" si="27"/>
        <v>0</v>
      </c>
      <c r="AD26" s="20">
        <f t="shared" si="27"/>
        <v>0</v>
      </c>
      <c r="AE26" s="20">
        <f t="shared" si="27"/>
        <v>22.856000000000002</v>
      </c>
      <c r="AF26" s="20">
        <f t="shared" si="24"/>
        <v>0</v>
      </c>
      <c r="AG26" s="20">
        <f t="shared" si="24"/>
        <v>0</v>
      </c>
      <c r="AH26" s="10">
        <f t="shared" si="2"/>
        <v>87638.736000000019</v>
      </c>
      <c r="AI26" s="1093">
        <f t="shared" si="4"/>
        <v>26662.688000000002</v>
      </c>
      <c r="AJ26" s="1093">
        <f t="shared" si="4"/>
        <v>5198.8960000000006</v>
      </c>
      <c r="AK26" s="1093">
        <f t="shared" si="4"/>
        <v>4883.6320000000005</v>
      </c>
      <c r="AL26" s="1093">
        <f t="shared" si="4"/>
        <v>1007.792</v>
      </c>
      <c r="AM26" s="1093">
        <f t="shared" si="4"/>
        <v>47486.16</v>
      </c>
      <c r="AN26" s="1093">
        <f t="shared" si="5"/>
        <v>2399.5680000000007</v>
      </c>
      <c r="AO26" s="1093"/>
    </row>
    <row r="27" spans="1:41">
      <c r="A27" s="2" t="s">
        <v>22</v>
      </c>
      <c r="B27" s="20"/>
      <c r="C27" s="20"/>
      <c r="D27" s="20"/>
      <c r="E27" s="20"/>
      <c r="F27" s="20"/>
      <c r="G27" s="20"/>
      <c r="H27" s="20"/>
      <c r="I27" s="20"/>
      <c r="J27" s="20"/>
      <c r="K27" s="20"/>
      <c r="L27" s="20"/>
      <c r="M27" s="20"/>
      <c r="N27" s="20"/>
      <c r="O27" s="10">
        <f t="shared" si="0"/>
        <v>0</v>
      </c>
      <c r="P27" s="1093"/>
      <c r="R27" s="2" t="s">
        <v>109</v>
      </c>
      <c r="S27" s="20">
        <f t="shared" ref="S27:AE27" si="28">S97*0.8</f>
        <v>4625.5600000000004</v>
      </c>
      <c r="T27" s="20">
        <f t="shared" si="28"/>
        <v>221.11199999999999</v>
      </c>
      <c r="U27" s="20">
        <f t="shared" si="28"/>
        <v>1500.9120000000003</v>
      </c>
      <c r="V27" s="20">
        <f t="shared" si="28"/>
        <v>176.904</v>
      </c>
      <c r="W27" s="20">
        <f t="shared" si="28"/>
        <v>7992.72</v>
      </c>
      <c r="X27" s="20">
        <f t="shared" si="28"/>
        <v>0</v>
      </c>
      <c r="Y27" s="20">
        <f t="shared" si="28"/>
        <v>20.215999999999998</v>
      </c>
      <c r="Z27" s="20">
        <f t="shared" si="28"/>
        <v>0</v>
      </c>
      <c r="AA27" s="20">
        <f t="shared" si="28"/>
        <v>83.64800000000001</v>
      </c>
      <c r="AB27" s="20">
        <f t="shared" si="28"/>
        <v>0</v>
      </c>
      <c r="AC27" s="20">
        <f t="shared" si="28"/>
        <v>0</v>
      </c>
      <c r="AD27" s="20">
        <f t="shared" si="28"/>
        <v>0</v>
      </c>
      <c r="AE27" s="20">
        <f t="shared" si="28"/>
        <v>0</v>
      </c>
      <c r="AF27" s="20">
        <f t="shared" si="24"/>
        <v>0</v>
      </c>
      <c r="AG27" s="20">
        <f t="shared" si="24"/>
        <v>0</v>
      </c>
      <c r="AH27" s="10">
        <f t="shared" si="2"/>
        <v>14621.072000000002</v>
      </c>
      <c r="AI27" s="1093">
        <f t="shared" si="4"/>
        <v>4625.5600000000004</v>
      </c>
      <c r="AJ27" s="1093">
        <f t="shared" si="4"/>
        <v>221.11199999999999</v>
      </c>
      <c r="AK27" s="1093">
        <f t="shared" si="4"/>
        <v>1500.9120000000003</v>
      </c>
      <c r="AL27" s="1093">
        <f t="shared" si="4"/>
        <v>176.904</v>
      </c>
      <c r="AM27" s="1093">
        <f t="shared" si="4"/>
        <v>7992.72</v>
      </c>
      <c r="AN27" s="1093">
        <f t="shared" si="5"/>
        <v>103.864</v>
      </c>
      <c r="AO27" s="1093"/>
    </row>
    <row r="28" spans="1:41">
      <c r="A28" s="2" t="s">
        <v>23</v>
      </c>
      <c r="B28" s="20"/>
      <c r="C28" s="20"/>
      <c r="D28" s="20"/>
      <c r="E28" s="20"/>
      <c r="F28" s="20"/>
      <c r="G28" s="20"/>
      <c r="H28" s="20"/>
      <c r="I28" s="20"/>
      <c r="J28" s="20"/>
      <c r="K28" s="20"/>
      <c r="L28" s="20"/>
      <c r="M28" s="20"/>
      <c r="N28" s="20"/>
      <c r="O28" s="10">
        <f t="shared" si="0"/>
        <v>0</v>
      </c>
      <c r="P28" s="1093"/>
      <c r="R28" s="2" t="s">
        <v>110</v>
      </c>
      <c r="S28" s="20">
        <f t="shared" ref="S28:AE28" si="29">S98*0.8</f>
        <v>282166.728</v>
      </c>
      <c r="T28" s="20">
        <f t="shared" si="29"/>
        <v>36179.112000000001</v>
      </c>
      <c r="U28" s="20">
        <f t="shared" si="29"/>
        <v>40676.592000000004</v>
      </c>
      <c r="V28" s="20">
        <f t="shared" si="29"/>
        <v>6572.04</v>
      </c>
      <c r="W28" s="20">
        <f t="shared" si="29"/>
        <v>322294.68</v>
      </c>
      <c r="X28" s="20">
        <f t="shared" si="29"/>
        <v>3369.4800000000005</v>
      </c>
      <c r="Y28" s="20">
        <f t="shared" si="29"/>
        <v>5438.12</v>
      </c>
      <c r="Z28" s="20">
        <f t="shared" si="29"/>
        <v>0</v>
      </c>
      <c r="AA28" s="20">
        <f t="shared" si="29"/>
        <v>5191.8640000000005</v>
      </c>
      <c r="AB28" s="20">
        <f t="shared" si="29"/>
        <v>1097.04</v>
      </c>
      <c r="AC28" s="20">
        <f t="shared" si="29"/>
        <v>0</v>
      </c>
      <c r="AD28" s="20">
        <f t="shared" si="29"/>
        <v>0</v>
      </c>
      <c r="AE28" s="20">
        <f t="shared" si="29"/>
        <v>45.712000000000003</v>
      </c>
      <c r="AF28" s="20">
        <f t="shared" si="24"/>
        <v>0</v>
      </c>
      <c r="AG28" s="20">
        <f t="shared" si="24"/>
        <v>0</v>
      </c>
      <c r="AH28" s="10">
        <f t="shared" si="2"/>
        <v>703031.36800000002</v>
      </c>
      <c r="AI28" s="1093">
        <f t="shared" si="4"/>
        <v>282166.728</v>
      </c>
      <c r="AJ28" s="1093">
        <f t="shared" si="4"/>
        <v>36179.112000000001</v>
      </c>
      <c r="AK28" s="1093">
        <f t="shared" si="4"/>
        <v>40676.592000000004</v>
      </c>
      <c r="AL28" s="1093">
        <f t="shared" si="4"/>
        <v>6572.04</v>
      </c>
      <c r="AM28" s="1093">
        <f t="shared" si="4"/>
        <v>322294.68</v>
      </c>
      <c r="AN28" s="1093">
        <f t="shared" si="5"/>
        <v>15142.216</v>
      </c>
      <c r="AO28" s="1093"/>
    </row>
    <row r="29" spans="1:41">
      <c r="A29" s="2" t="s">
        <v>25</v>
      </c>
      <c r="B29" s="20"/>
      <c r="C29" s="20"/>
      <c r="D29" s="20"/>
      <c r="E29" s="20"/>
      <c r="F29" s="20"/>
      <c r="G29" s="20"/>
      <c r="H29" s="20"/>
      <c r="I29" s="20"/>
      <c r="J29" s="20"/>
      <c r="K29" s="20"/>
      <c r="L29" s="20"/>
      <c r="M29" s="20"/>
      <c r="N29" s="20"/>
      <c r="O29" s="10">
        <f t="shared" si="0"/>
        <v>0</v>
      </c>
      <c r="P29" s="1093"/>
      <c r="R29" s="2" t="s">
        <v>111</v>
      </c>
      <c r="S29" s="20">
        <f t="shared" ref="S29:AE29" si="30">S99*0.8</f>
        <v>1570889.5520000001</v>
      </c>
      <c r="T29" s="20">
        <f t="shared" si="30"/>
        <v>406613.31200000003</v>
      </c>
      <c r="U29" s="20">
        <f t="shared" si="30"/>
        <v>221627.05600000001</v>
      </c>
      <c r="V29" s="20">
        <f t="shared" si="30"/>
        <v>51641.656000000003</v>
      </c>
      <c r="W29" s="20">
        <f t="shared" si="30"/>
        <v>1992773.1600000001</v>
      </c>
      <c r="X29" s="20">
        <f t="shared" si="30"/>
        <v>17552.640000000003</v>
      </c>
      <c r="Y29" s="20">
        <f t="shared" si="30"/>
        <v>85883.592000000004</v>
      </c>
      <c r="Z29" s="20">
        <f t="shared" si="30"/>
        <v>4188.8</v>
      </c>
      <c r="AA29" s="20">
        <f t="shared" si="30"/>
        <v>43413.936000000002</v>
      </c>
      <c r="AB29" s="20">
        <f t="shared" si="30"/>
        <v>4231.4400000000005</v>
      </c>
      <c r="AC29" s="20">
        <f t="shared" si="30"/>
        <v>783.6</v>
      </c>
      <c r="AD29" s="20">
        <f t="shared" si="30"/>
        <v>0</v>
      </c>
      <c r="AE29" s="20">
        <f t="shared" si="30"/>
        <v>822.81600000000003</v>
      </c>
      <c r="AF29" s="20">
        <f>AF99</f>
        <v>291.01</v>
      </c>
      <c r="AG29" s="20">
        <f>AG99</f>
        <v>5896.24</v>
      </c>
      <c r="AH29" s="10">
        <f t="shared" si="2"/>
        <v>4406608.8099999987</v>
      </c>
      <c r="AI29" s="1093">
        <f t="shared" si="4"/>
        <v>1570889.5520000001</v>
      </c>
      <c r="AJ29" s="1093">
        <f t="shared" si="4"/>
        <v>406613.31200000003</v>
      </c>
      <c r="AK29" s="1093">
        <f t="shared" si="4"/>
        <v>221627.05600000001</v>
      </c>
      <c r="AL29" s="1093">
        <f t="shared" si="4"/>
        <v>51641.656000000003</v>
      </c>
      <c r="AM29" s="1093">
        <f t="shared" si="4"/>
        <v>1992773.1600000001</v>
      </c>
      <c r="AN29" s="1093">
        <f t="shared" si="5"/>
        <v>163064.07399999999</v>
      </c>
      <c r="AO29" s="1093"/>
    </row>
    <row r="30" spans="1:41">
      <c r="A30" s="2" t="s">
        <v>24</v>
      </c>
      <c r="B30" s="20"/>
      <c r="C30" s="20"/>
      <c r="D30" s="20"/>
      <c r="E30" s="20"/>
      <c r="F30" s="20"/>
      <c r="G30" s="20"/>
      <c r="H30" s="20"/>
      <c r="I30" s="20"/>
      <c r="J30" s="20"/>
      <c r="K30" s="20"/>
      <c r="L30" s="20"/>
      <c r="M30" s="20"/>
      <c r="N30" s="20"/>
      <c r="O30" s="10">
        <f t="shared" si="0"/>
        <v>0</v>
      </c>
      <c r="P30" s="1093"/>
      <c r="R30" s="2" t="s">
        <v>112</v>
      </c>
      <c r="S30" s="20">
        <f t="shared" ref="S30:AE30" si="31">S100*0.8</f>
        <v>33554.768000000004</v>
      </c>
      <c r="T30" s="20">
        <f t="shared" si="31"/>
        <v>7317.3600000000006</v>
      </c>
      <c r="U30" s="20">
        <f t="shared" si="31"/>
        <v>4997.9120000000003</v>
      </c>
      <c r="V30" s="20">
        <f t="shared" si="31"/>
        <v>684.29599999999994</v>
      </c>
      <c r="W30" s="20">
        <f t="shared" si="31"/>
        <v>41452.44</v>
      </c>
      <c r="X30" s="20">
        <f t="shared" si="31"/>
        <v>1488.8400000000001</v>
      </c>
      <c r="Y30" s="20">
        <f t="shared" si="31"/>
        <v>860.96800000000007</v>
      </c>
      <c r="Z30" s="20">
        <f t="shared" si="31"/>
        <v>0</v>
      </c>
      <c r="AA30" s="20">
        <f t="shared" si="31"/>
        <v>1130.768</v>
      </c>
      <c r="AB30" s="20">
        <f t="shared" si="31"/>
        <v>78.360000000000014</v>
      </c>
      <c r="AC30" s="20">
        <f t="shared" si="31"/>
        <v>0</v>
      </c>
      <c r="AD30" s="20">
        <f t="shared" si="31"/>
        <v>0</v>
      </c>
      <c r="AE30" s="20">
        <f t="shared" si="31"/>
        <v>0</v>
      </c>
      <c r="AF30" s="20">
        <f>AF100*0.8</f>
        <v>0</v>
      </c>
      <c r="AG30" s="20">
        <f>AG100*0.8</f>
        <v>0</v>
      </c>
      <c r="AH30" s="10">
        <f t="shared" si="2"/>
        <v>91565.712</v>
      </c>
      <c r="AI30" s="1093">
        <f t="shared" si="4"/>
        <v>33554.768000000004</v>
      </c>
      <c r="AJ30" s="1093">
        <f t="shared" si="4"/>
        <v>7317.3600000000006</v>
      </c>
      <c r="AK30" s="1093">
        <f t="shared" si="4"/>
        <v>4997.9120000000003</v>
      </c>
      <c r="AL30" s="1093">
        <f t="shared" si="4"/>
        <v>684.29599999999994</v>
      </c>
      <c r="AM30" s="1093">
        <f t="shared" si="4"/>
        <v>41452.44</v>
      </c>
      <c r="AN30" s="1093">
        <f t="shared" si="5"/>
        <v>3558.9360000000001</v>
      </c>
      <c r="AO30" s="1093"/>
    </row>
    <row r="31" spans="1:41">
      <c r="A31" s="2" t="s">
        <v>26</v>
      </c>
      <c r="B31" s="20"/>
      <c r="C31" s="20"/>
      <c r="D31" s="20"/>
      <c r="E31" s="20"/>
      <c r="F31" s="20"/>
      <c r="G31" s="20"/>
      <c r="H31" s="20"/>
      <c r="I31" s="20"/>
      <c r="J31" s="20"/>
      <c r="K31" s="20"/>
      <c r="L31" s="20"/>
      <c r="M31" s="20"/>
      <c r="N31" s="20"/>
      <c r="O31" s="10">
        <f t="shared" si="0"/>
        <v>0</v>
      </c>
      <c r="P31" s="1093"/>
      <c r="R31" s="2" t="s">
        <v>113</v>
      </c>
      <c r="S31" s="20">
        <f t="shared" ref="S31:AE31" si="32">S101*0.8</f>
        <v>21991.896000000001</v>
      </c>
      <c r="T31" s="20">
        <f t="shared" si="32"/>
        <v>8371.5120000000006</v>
      </c>
      <c r="U31" s="20">
        <f t="shared" si="32"/>
        <v>3371.3120000000004</v>
      </c>
      <c r="V31" s="20">
        <f t="shared" si="32"/>
        <v>1767.376</v>
      </c>
      <c r="W31" s="20">
        <f t="shared" si="32"/>
        <v>27504.36</v>
      </c>
      <c r="X31" s="20">
        <f t="shared" si="32"/>
        <v>626.88000000000011</v>
      </c>
      <c r="Y31" s="20">
        <f t="shared" si="32"/>
        <v>1407.528</v>
      </c>
      <c r="Z31" s="20">
        <f t="shared" si="32"/>
        <v>0</v>
      </c>
      <c r="AA31" s="20">
        <f t="shared" si="32"/>
        <v>1228.768</v>
      </c>
      <c r="AB31" s="20">
        <f t="shared" si="32"/>
        <v>0</v>
      </c>
      <c r="AC31" s="20">
        <f t="shared" si="32"/>
        <v>0</v>
      </c>
      <c r="AD31" s="20">
        <f t="shared" si="32"/>
        <v>0</v>
      </c>
      <c r="AE31" s="20">
        <f t="shared" si="32"/>
        <v>0</v>
      </c>
      <c r="AF31" s="20">
        <f>AF101*0.8</f>
        <v>0</v>
      </c>
      <c r="AG31" s="20">
        <f>AG101*0.8</f>
        <v>0</v>
      </c>
      <c r="AH31" s="10">
        <f t="shared" si="2"/>
        <v>66269.631999999998</v>
      </c>
      <c r="AI31" s="1093">
        <f t="shared" si="4"/>
        <v>21991.896000000001</v>
      </c>
      <c r="AJ31" s="1093">
        <f t="shared" si="4"/>
        <v>8371.5120000000006</v>
      </c>
      <c r="AK31" s="1093">
        <f t="shared" si="4"/>
        <v>3371.3120000000004</v>
      </c>
      <c r="AL31" s="1093">
        <f t="shared" si="4"/>
        <v>1767.376</v>
      </c>
      <c r="AM31" s="1093">
        <f t="shared" si="4"/>
        <v>27504.36</v>
      </c>
      <c r="AN31" s="1093">
        <f t="shared" si="5"/>
        <v>3263.1760000000004</v>
      </c>
      <c r="AO31" s="1093"/>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91"/>
      <c r="Q32" s="91"/>
      <c r="R32" s="5" t="s">
        <v>37</v>
      </c>
      <c r="S32" s="6">
        <f t="shared" ref="S32:AI32" si="34">SUM(S5:S31)</f>
        <v>4750009.7120000003</v>
      </c>
      <c r="T32" s="6">
        <f t="shared" si="34"/>
        <v>1272599.9920000003</v>
      </c>
      <c r="U32" s="6">
        <f t="shared" si="34"/>
        <v>669546.66400000011</v>
      </c>
      <c r="V32" s="6">
        <f t="shared" si="34"/>
        <v>188613.57599999997</v>
      </c>
      <c r="W32" s="6">
        <f t="shared" si="34"/>
        <v>5259659.6560000014</v>
      </c>
      <c r="X32" s="6">
        <f t="shared" si="34"/>
        <v>79927.200000000012</v>
      </c>
      <c r="Y32" s="6">
        <f t="shared" si="34"/>
        <v>231067.43199999997</v>
      </c>
      <c r="Z32" s="6">
        <f t="shared" si="34"/>
        <v>14373.68</v>
      </c>
      <c r="AA32" s="6">
        <f t="shared" si="34"/>
        <v>154745.95200000005</v>
      </c>
      <c r="AB32" s="6">
        <f t="shared" si="34"/>
        <v>17866.080000000002</v>
      </c>
      <c r="AC32" s="6">
        <f t="shared" si="34"/>
        <v>1567.2000000000003</v>
      </c>
      <c r="AD32" s="6">
        <f t="shared" si="34"/>
        <v>1292.4000000000001</v>
      </c>
      <c r="AE32" s="6">
        <f t="shared" si="34"/>
        <v>2742.7200000000003</v>
      </c>
      <c r="AF32" s="6">
        <f t="shared" si="34"/>
        <v>312.87399999999997</v>
      </c>
      <c r="AG32" s="6">
        <f t="shared" si="34"/>
        <v>6114.8639999999996</v>
      </c>
      <c r="AH32" s="6">
        <f t="shared" si="34"/>
        <v>12650440.001999997</v>
      </c>
      <c r="AI32" s="1093">
        <f t="shared" si="34"/>
        <v>4750009.7120000003</v>
      </c>
      <c r="AJ32" s="1093">
        <f t="shared" ref="AJ32:AN32" si="35">SUM(AJ5:AJ31)</f>
        <v>1272599.9920000003</v>
      </c>
      <c r="AK32" s="1093">
        <f t="shared" si="35"/>
        <v>669546.66400000011</v>
      </c>
      <c r="AL32" s="1093">
        <f t="shared" si="35"/>
        <v>188613.57599999997</v>
      </c>
      <c r="AM32" s="1093">
        <f t="shared" si="35"/>
        <v>5259659.6560000014</v>
      </c>
      <c r="AN32" s="1093">
        <f t="shared" si="35"/>
        <v>510010.402</v>
      </c>
      <c r="AO32" s="1093"/>
    </row>
    <row r="33" spans="1:41">
      <c r="A33" s="1078"/>
      <c r="B33" s="1078"/>
      <c r="C33" s="1079"/>
      <c r="D33" s="1079"/>
      <c r="E33" s="1079"/>
      <c r="F33" s="1079"/>
      <c r="G33" s="1079"/>
      <c r="H33" s="1079"/>
      <c r="I33" s="1079"/>
      <c r="J33" s="1079"/>
      <c r="K33" s="1079"/>
      <c r="L33" s="1079"/>
      <c r="M33" s="1079"/>
      <c r="N33" s="1079"/>
      <c r="O33" s="18"/>
      <c r="P33" s="91"/>
      <c r="Q33" s="91"/>
      <c r="R33" s="1080" t="s">
        <v>50</v>
      </c>
      <c r="S33" s="1081"/>
      <c r="T33" s="1082"/>
      <c r="U33" s="1082"/>
      <c r="V33" s="1082"/>
      <c r="W33" s="1082"/>
      <c r="X33" s="1082"/>
      <c r="Y33" s="1082"/>
      <c r="Z33" s="1082"/>
      <c r="AA33" s="1082"/>
      <c r="AB33" s="1082"/>
      <c r="AC33" s="1082"/>
      <c r="AD33" s="1082"/>
      <c r="AE33" s="1082"/>
      <c r="AF33" s="1082"/>
      <c r="AG33" s="1082"/>
      <c r="AH33" s="1081"/>
      <c r="AO33" s="1093"/>
    </row>
    <row r="34" spans="1:41">
      <c r="A34" s="1094"/>
      <c r="B34" s="1094"/>
      <c r="C34" s="1095"/>
      <c r="D34" s="1095"/>
      <c r="E34" s="1095"/>
      <c r="F34" s="1095"/>
      <c r="G34" s="1095"/>
      <c r="H34" s="1095"/>
      <c r="I34" s="1095"/>
      <c r="J34" s="1095"/>
      <c r="K34" s="1095"/>
      <c r="L34" s="1095"/>
      <c r="M34" s="1095"/>
      <c r="N34" s="1095"/>
      <c r="O34" s="1096"/>
      <c r="R34" s="1094"/>
      <c r="S34" s="1094"/>
      <c r="T34" s="1095"/>
      <c r="U34" s="1095"/>
      <c r="V34" s="1095"/>
      <c r="W34" s="1095"/>
      <c r="X34" s="1095"/>
      <c r="Y34" s="1095"/>
      <c r="Z34" s="1095"/>
      <c r="AA34" s="1095"/>
      <c r="AB34" s="1095"/>
      <c r="AC34" s="1095"/>
      <c r="AD34" s="1095"/>
      <c r="AE34" s="1095"/>
      <c r="AF34" s="1095"/>
      <c r="AG34" s="1095"/>
      <c r="AH34" s="1096"/>
    </row>
    <row r="35" spans="1:41">
      <c r="A35" s="1097" t="s">
        <v>14</v>
      </c>
      <c r="B35" s="1230" t="s">
        <v>46</v>
      </c>
      <c r="C35" s="1230"/>
      <c r="D35" s="1230"/>
      <c r="E35" s="1230"/>
      <c r="F35" s="1230"/>
      <c r="G35" s="1230"/>
      <c r="H35" s="1230"/>
      <c r="I35" s="1089"/>
      <c r="J35" s="1089"/>
      <c r="K35" s="1089"/>
      <c r="L35" s="1089"/>
      <c r="M35" s="1089"/>
      <c r="N35" s="1089"/>
      <c r="O35" s="1090"/>
      <c r="R35" s="1088"/>
      <c r="S35" s="1088"/>
      <c r="T35" s="1089"/>
      <c r="U35" s="1089"/>
      <c r="V35" s="1089"/>
      <c r="W35" s="1089"/>
      <c r="X35" s="1089"/>
      <c r="Y35" s="1089"/>
      <c r="Z35" s="1089"/>
      <c r="AA35" s="1089"/>
      <c r="AB35" s="1089"/>
      <c r="AC35" s="1089"/>
      <c r="AD35" s="1089"/>
      <c r="AE35" s="1089"/>
      <c r="AF35" s="1089"/>
      <c r="AG35" s="1089"/>
      <c r="AH35" s="1090"/>
    </row>
    <row r="36" spans="1:41">
      <c r="A36" s="1098"/>
      <c r="B36" s="1098"/>
      <c r="C36" s="1099"/>
      <c r="D36" s="1099"/>
      <c r="E36" s="1099"/>
      <c r="F36" s="1099"/>
      <c r="G36" s="1099"/>
      <c r="H36" s="1099"/>
      <c r="I36" s="1099"/>
      <c r="J36" s="1099"/>
      <c r="K36" s="1099"/>
      <c r="L36" s="1099"/>
      <c r="M36" s="1099"/>
      <c r="N36" s="1099"/>
      <c r="O36" s="1100"/>
      <c r="R36" s="1098"/>
      <c r="S36" s="1098"/>
      <c r="T36" s="1099"/>
      <c r="U36" s="1099"/>
      <c r="V36" s="1099"/>
      <c r="W36" s="1099"/>
      <c r="X36" s="1099"/>
      <c r="Y36" s="1099"/>
      <c r="Z36" s="1099"/>
      <c r="AA36" s="1099"/>
      <c r="AB36" s="1099"/>
      <c r="AC36" s="1099"/>
      <c r="AD36" s="1099"/>
      <c r="AE36" s="1099"/>
      <c r="AF36" s="1099"/>
      <c r="AG36" s="1099"/>
      <c r="AH36" s="1100"/>
    </row>
    <row r="37" spans="1:41" ht="46.5">
      <c r="A37" s="1223" t="s">
        <v>64</v>
      </c>
      <c r="B37" s="1224"/>
      <c r="C37" s="1224"/>
      <c r="D37" s="1224"/>
      <c r="E37" s="1224"/>
      <c r="F37" s="1224"/>
      <c r="G37" s="1224"/>
      <c r="H37" s="1224"/>
      <c r="I37" s="1224"/>
      <c r="J37" s="1224"/>
      <c r="K37" s="1224"/>
      <c r="L37" s="1224"/>
      <c r="M37" s="1224"/>
      <c r="N37" s="1224"/>
      <c r="O37" s="1225"/>
      <c r="R37" s="1220" t="s">
        <v>66</v>
      </c>
      <c r="S37" s="1221"/>
      <c r="T37" s="1221"/>
      <c r="U37" s="1221"/>
      <c r="V37" s="1221"/>
      <c r="W37" s="1221"/>
      <c r="X37" s="1221"/>
      <c r="Y37" s="1221"/>
      <c r="Z37" s="1221"/>
      <c r="AA37" s="1221"/>
      <c r="AB37" s="1221"/>
      <c r="AC37" s="1221"/>
      <c r="AD37" s="1221"/>
      <c r="AE37" s="1221"/>
      <c r="AF37" s="1221"/>
      <c r="AG37" s="1221"/>
      <c r="AH37" s="1222"/>
    </row>
    <row r="38" spans="1:41" ht="35.1" customHeight="1">
      <c r="A38" s="1226" t="s">
        <v>33</v>
      </c>
      <c r="B38" s="1228" t="s">
        <v>27</v>
      </c>
      <c r="C38" s="1229"/>
      <c r="D38" s="1228" t="s">
        <v>29</v>
      </c>
      <c r="E38" s="1229"/>
      <c r="F38" s="1226" t="s">
        <v>28</v>
      </c>
      <c r="G38" s="1226" t="s">
        <v>36</v>
      </c>
      <c r="H38" s="1226" t="s">
        <v>30</v>
      </c>
      <c r="I38" s="1226" t="s">
        <v>31</v>
      </c>
      <c r="J38" s="1226" t="s">
        <v>41</v>
      </c>
      <c r="K38" s="1226" t="s">
        <v>35</v>
      </c>
      <c r="L38" s="1226" t="s">
        <v>40</v>
      </c>
      <c r="M38" s="1226" t="s">
        <v>42</v>
      </c>
      <c r="N38" s="1226" t="s">
        <v>45</v>
      </c>
      <c r="O38" s="1226" t="s">
        <v>34</v>
      </c>
      <c r="R38" s="1226" t="s">
        <v>33</v>
      </c>
      <c r="S38" s="1228" t="s">
        <v>27</v>
      </c>
      <c r="T38" s="1229"/>
      <c r="U38" s="1228" t="s">
        <v>29</v>
      </c>
      <c r="V38" s="1229"/>
      <c r="W38" s="1226" t="s">
        <v>28</v>
      </c>
      <c r="X38" s="1226" t="s">
        <v>36</v>
      </c>
      <c r="Y38" s="1226" t="s">
        <v>30</v>
      </c>
      <c r="Z38" s="1226" t="s">
        <v>31</v>
      </c>
      <c r="AA38" s="1226" t="s">
        <v>41</v>
      </c>
      <c r="AB38" s="1226" t="s">
        <v>35</v>
      </c>
      <c r="AC38" s="1226" t="s">
        <v>40</v>
      </c>
      <c r="AD38" s="1226" t="s">
        <v>42</v>
      </c>
      <c r="AE38" s="1226" t="s">
        <v>45</v>
      </c>
      <c r="AF38" s="1228" t="s">
        <v>51</v>
      </c>
      <c r="AG38" s="1229"/>
      <c r="AH38" s="1226" t="s">
        <v>34</v>
      </c>
    </row>
    <row r="39" spans="1:41" ht="35.1" customHeight="1">
      <c r="A39" s="1227"/>
      <c r="B39" s="1091" t="s">
        <v>43</v>
      </c>
      <c r="C39" s="1091" t="s">
        <v>44</v>
      </c>
      <c r="D39" s="1091" t="s">
        <v>43</v>
      </c>
      <c r="E39" s="1091" t="s">
        <v>44</v>
      </c>
      <c r="F39" s="1227"/>
      <c r="G39" s="1227"/>
      <c r="H39" s="1227"/>
      <c r="I39" s="1227"/>
      <c r="J39" s="1227"/>
      <c r="K39" s="1227"/>
      <c r="L39" s="1227"/>
      <c r="M39" s="1227"/>
      <c r="N39" s="1227"/>
      <c r="O39" s="1227"/>
      <c r="R39" s="1227"/>
      <c r="S39" s="1091" t="s">
        <v>43</v>
      </c>
      <c r="T39" s="1091" t="s">
        <v>44</v>
      </c>
      <c r="U39" s="1091" t="s">
        <v>43</v>
      </c>
      <c r="V39" s="1091" t="s">
        <v>44</v>
      </c>
      <c r="W39" s="1227"/>
      <c r="X39" s="1227"/>
      <c r="Y39" s="1227"/>
      <c r="Z39" s="1227"/>
      <c r="AA39" s="1227"/>
      <c r="AB39" s="1227"/>
      <c r="AC39" s="1227"/>
      <c r="AD39" s="1227"/>
      <c r="AE39" s="1227"/>
      <c r="AF39" s="1092" t="s">
        <v>52</v>
      </c>
      <c r="AG39" s="1092" t="s">
        <v>53</v>
      </c>
      <c r="AH39" s="1227"/>
      <c r="AI39" s="1104" t="s">
        <v>183</v>
      </c>
      <c r="AJ39" s="1104" t="s">
        <v>424</v>
      </c>
      <c r="AK39" s="1104" t="s">
        <v>184</v>
      </c>
      <c r="AL39" s="1104" t="s">
        <v>425</v>
      </c>
      <c r="AM39" s="1104" t="s">
        <v>28</v>
      </c>
      <c r="AN39" s="1104" t="s">
        <v>185</v>
      </c>
    </row>
    <row r="40" spans="1:41">
      <c r="A40" s="2" t="s">
        <v>0</v>
      </c>
      <c r="B40" s="20"/>
      <c r="C40" s="20"/>
      <c r="D40" s="20"/>
      <c r="E40" s="20"/>
      <c r="F40" s="20"/>
      <c r="G40" s="20"/>
      <c r="H40" s="20"/>
      <c r="I40" s="20"/>
      <c r="J40" s="20"/>
      <c r="K40" s="20"/>
      <c r="L40" s="20"/>
      <c r="M40" s="20"/>
      <c r="N40" s="20"/>
      <c r="O40" s="10">
        <f t="shared" ref="O40:O66" si="36">SUM(B40:N40)</f>
        <v>0</v>
      </c>
      <c r="R40" s="2" t="s">
        <v>87</v>
      </c>
      <c r="S40" s="20">
        <f t="shared" ref="S40:AG40" si="37">S75*0.2</f>
        <v>3601.7780000000002</v>
      </c>
      <c r="T40" s="20">
        <f t="shared" si="37"/>
        <v>855.27600000000007</v>
      </c>
      <c r="U40" s="20">
        <f t="shared" si="37"/>
        <v>563.79</v>
      </c>
      <c r="V40" s="20">
        <f t="shared" si="37"/>
        <v>73.988</v>
      </c>
      <c r="W40" s="20">
        <f t="shared" si="37"/>
        <v>3541.3620000000005</v>
      </c>
      <c r="X40" s="20">
        <f t="shared" si="37"/>
        <v>215.49</v>
      </c>
      <c r="Y40" s="20">
        <f t="shared" si="37"/>
        <v>81.665999999999997</v>
      </c>
      <c r="Z40" s="20">
        <f t="shared" si="37"/>
        <v>0</v>
      </c>
      <c r="AA40" s="20">
        <f t="shared" si="37"/>
        <v>150.91200000000001</v>
      </c>
      <c r="AB40" s="20">
        <f t="shared" si="37"/>
        <v>39.180000000000007</v>
      </c>
      <c r="AC40" s="20">
        <f t="shared" si="37"/>
        <v>0</v>
      </c>
      <c r="AD40" s="20">
        <f t="shared" si="37"/>
        <v>0</v>
      </c>
      <c r="AE40" s="20">
        <f t="shared" si="37"/>
        <v>0</v>
      </c>
      <c r="AF40" s="20">
        <f t="shared" si="37"/>
        <v>0</v>
      </c>
      <c r="AG40" s="20">
        <f t="shared" si="37"/>
        <v>0</v>
      </c>
      <c r="AH40" s="10">
        <f t="shared" ref="AH40:AH66" si="38">SUM(S40:AG40)</f>
        <v>9123.4420000000009</v>
      </c>
      <c r="AI40" s="1093">
        <f>S40</f>
        <v>3601.7780000000002</v>
      </c>
      <c r="AJ40" s="1093">
        <f>T40</f>
        <v>855.27600000000007</v>
      </c>
      <c r="AK40" s="1093">
        <f>U40</f>
        <v>563.79</v>
      </c>
      <c r="AL40" s="1093">
        <f>V40</f>
        <v>73.988</v>
      </c>
      <c r="AM40" s="1093">
        <f>W40</f>
        <v>3541.3620000000005</v>
      </c>
      <c r="AN40" s="1093">
        <f>SUM(X40:AG40)</f>
        <v>487.24799999999999</v>
      </c>
    </row>
    <row r="41" spans="1:41">
      <c r="A41" s="2" t="s">
        <v>1</v>
      </c>
      <c r="B41" s="20"/>
      <c r="C41" s="20"/>
      <c r="D41" s="20"/>
      <c r="E41" s="20"/>
      <c r="F41" s="20"/>
      <c r="G41" s="20"/>
      <c r="H41" s="20"/>
      <c r="I41" s="20"/>
      <c r="J41" s="20"/>
      <c r="K41" s="20"/>
      <c r="L41" s="20"/>
      <c r="M41" s="20"/>
      <c r="N41" s="20"/>
      <c r="O41" s="10">
        <f t="shared" si="36"/>
        <v>0</v>
      </c>
      <c r="R41" s="2" t="s">
        <v>88</v>
      </c>
      <c r="S41" s="20">
        <f t="shared" ref="S41:AG41" si="39">S76*0.2</f>
        <v>10443.130000000001</v>
      </c>
      <c r="T41" s="20">
        <f t="shared" si="39"/>
        <v>3442.6839999999997</v>
      </c>
      <c r="U41" s="20">
        <f t="shared" si="39"/>
        <v>352.36799999999999</v>
      </c>
      <c r="V41" s="20">
        <f t="shared" si="39"/>
        <v>81.25800000000001</v>
      </c>
      <c r="W41" s="20">
        <f t="shared" si="39"/>
        <v>10225.980000000001</v>
      </c>
      <c r="X41" s="20">
        <f t="shared" si="39"/>
        <v>195.9</v>
      </c>
      <c r="Y41" s="20">
        <f t="shared" si="39"/>
        <v>554.7879999999999</v>
      </c>
      <c r="Z41" s="20">
        <f t="shared" si="39"/>
        <v>0</v>
      </c>
      <c r="AA41" s="20">
        <f t="shared" si="39"/>
        <v>392.48</v>
      </c>
      <c r="AB41" s="20">
        <f t="shared" si="39"/>
        <v>0</v>
      </c>
      <c r="AC41" s="20">
        <f t="shared" si="39"/>
        <v>0</v>
      </c>
      <c r="AD41" s="20">
        <f t="shared" si="39"/>
        <v>0</v>
      </c>
      <c r="AE41" s="20">
        <f t="shared" si="39"/>
        <v>11.428000000000001</v>
      </c>
      <c r="AF41" s="20">
        <f t="shared" si="39"/>
        <v>0</v>
      </c>
      <c r="AG41" s="20">
        <f t="shared" si="39"/>
        <v>0</v>
      </c>
      <c r="AH41" s="10">
        <f t="shared" si="38"/>
        <v>25700.016000000003</v>
      </c>
      <c r="AI41" s="1093">
        <f t="shared" ref="AI41:AM66" si="40">S41</f>
        <v>10443.130000000001</v>
      </c>
      <c r="AJ41" s="1093">
        <f t="shared" si="40"/>
        <v>3442.6839999999997</v>
      </c>
      <c r="AK41" s="1093">
        <f t="shared" si="40"/>
        <v>352.36799999999999</v>
      </c>
      <c r="AL41" s="1093">
        <f t="shared" si="40"/>
        <v>81.25800000000001</v>
      </c>
      <c r="AM41" s="1093">
        <f t="shared" si="40"/>
        <v>10225.980000000001</v>
      </c>
      <c r="AN41" s="1093">
        <f t="shared" ref="AN41:AN66" si="41">SUM(X41:AG41)</f>
        <v>1154.596</v>
      </c>
    </row>
    <row r="42" spans="1:41">
      <c r="A42" s="2" t="s">
        <v>2</v>
      </c>
      <c r="B42" s="20"/>
      <c r="C42" s="20"/>
      <c r="D42" s="20"/>
      <c r="E42" s="20"/>
      <c r="F42" s="20"/>
      <c r="G42" s="20"/>
      <c r="H42" s="20"/>
      <c r="I42" s="20"/>
      <c r="J42" s="20"/>
      <c r="K42" s="20"/>
      <c r="L42" s="20"/>
      <c r="M42" s="20"/>
      <c r="N42" s="20"/>
      <c r="O42" s="10">
        <f t="shared" si="36"/>
        <v>0</v>
      </c>
      <c r="R42" s="2" t="s">
        <v>89</v>
      </c>
      <c r="S42" s="20">
        <f t="shared" ref="S42:AG42" si="42">S77*0.2</f>
        <v>3660.0300000000007</v>
      </c>
      <c r="T42" s="20">
        <f t="shared" si="42"/>
        <v>979.96399999999994</v>
      </c>
      <c r="U42" s="20">
        <f t="shared" si="42"/>
        <v>659.024</v>
      </c>
      <c r="V42" s="20">
        <f t="shared" si="42"/>
        <v>348.74</v>
      </c>
      <c r="W42" s="20">
        <f t="shared" si="42"/>
        <v>5504.7900000000009</v>
      </c>
      <c r="X42" s="20">
        <f t="shared" si="42"/>
        <v>274.26</v>
      </c>
      <c r="Y42" s="20">
        <f t="shared" si="42"/>
        <v>146.44999999999999</v>
      </c>
      <c r="Z42" s="20">
        <f t="shared" si="42"/>
        <v>0</v>
      </c>
      <c r="AA42" s="20">
        <f t="shared" si="42"/>
        <v>153.48599999999999</v>
      </c>
      <c r="AB42" s="20">
        <f t="shared" si="42"/>
        <v>19.590000000000003</v>
      </c>
      <c r="AC42" s="20">
        <f t="shared" si="42"/>
        <v>0</v>
      </c>
      <c r="AD42" s="20">
        <f t="shared" si="42"/>
        <v>0</v>
      </c>
      <c r="AE42" s="20">
        <f t="shared" si="42"/>
        <v>0</v>
      </c>
      <c r="AF42" s="20">
        <f t="shared" si="42"/>
        <v>0</v>
      </c>
      <c r="AG42" s="20">
        <f t="shared" si="42"/>
        <v>0</v>
      </c>
      <c r="AH42" s="10">
        <f t="shared" si="38"/>
        <v>11746.334000000004</v>
      </c>
      <c r="AI42" s="1093">
        <f t="shared" si="40"/>
        <v>3660.0300000000007</v>
      </c>
      <c r="AJ42" s="1093">
        <f t="shared" si="40"/>
        <v>979.96399999999994</v>
      </c>
      <c r="AK42" s="1093">
        <f t="shared" si="40"/>
        <v>659.024</v>
      </c>
      <c r="AL42" s="1093">
        <f t="shared" si="40"/>
        <v>348.74</v>
      </c>
      <c r="AM42" s="1093">
        <f t="shared" si="40"/>
        <v>5504.7900000000009</v>
      </c>
      <c r="AN42" s="1093">
        <f t="shared" si="41"/>
        <v>593.78599999999994</v>
      </c>
    </row>
    <row r="43" spans="1:41">
      <c r="A43" s="2" t="s">
        <v>3</v>
      </c>
      <c r="B43" s="20"/>
      <c r="C43" s="20"/>
      <c r="D43" s="20"/>
      <c r="E43" s="20"/>
      <c r="F43" s="20"/>
      <c r="G43" s="20"/>
      <c r="H43" s="20"/>
      <c r="I43" s="20"/>
      <c r="J43" s="20"/>
      <c r="K43" s="20"/>
      <c r="L43" s="20"/>
      <c r="M43" s="20"/>
      <c r="N43" s="20"/>
      <c r="O43" s="10">
        <f t="shared" si="36"/>
        <v>0</v>
      </c>
      <c r="R43" s="2" t="s">
        <v>90</v>
      </c>
      <c r="S43" s="20">
        <f t="shared" ref="S43:AE43" si="43">S78*0.2</f>
        <v>11864.636</v>
      </c>
      <c r="T43" s="20">
        <f t="shared" si="43"/>
        <v>3589.7020000000007</v>
      </c>
      <c r="U43" s="20">
        <f t="shared" si="43"/>
        <v>1253.7660000000001</v>
      </c>
      <c r="V43" s="20">
        <f t="shared" si="43"/>
        <v>1172.606</v>
      </c>
      <c r="W43" s="20">
        <f t="shared" si="43"/>
        <v>10989.99</v>
      </c>
      <c r="X43" s="20">
        <f t="shared" si="43"/>
        <v>117.54000000000002</v>
      </c>
      <c r="Y43" s="20">
        <f t="shared" si="43"/>
        <v>680.40000000000009</v>
      </c>
      <c r="Z43" s="20">
        <f t="shared" si="43"/>
        <v>0</v>
      </c>
      <c r="AA43" s="20">
        <f t="shared" si="43"/>
        <v>463.30199999999996</v>
      </c>
      <c r="AB43" s="20">
        <f t="shared" si="43"/>
        <v>97.95</v>
      </c>
      <c r="AC43" s="20">
        <f t="shared" si="43"/>
        <v>0</v>
      </c>
      <c r="AD43" s="20">
        <f t="shared" si="43"/>
        <v>0</v>
      </c>
      <c r="AE43" s="20">
        <f t="shared" si="43"/>
        <v>0</v>
      </c>
      <c r="AF43" s="20">
        <v>0</v>
      </c>
      <c r="AG43" s="20">
        <v>0</v>
      </c>
      <c r="AH43" s="10">
        <f t="shared" si="38"/>
        <v>30229.892000000007</v>
      </c>
      <c r="AI43" s="1093">
        <f t="shared" si="40"/>
        <v>11864.636</v>
      </c>
      <c r="AJ43" s="1093">
        <f t="shared" si="40"/>
        <v>3589.7020000000007</v>
      </c>
      <c r="AK43" s="1093">
        <f t="shared" si="40"/>
        <v>1253.7660000000001</v>
      </c>
      <c r="AL43" s="1093">
        <f t="shared" si="40"/>
        <v>1172.606</v>
      </c>
      <c r="AM43" s="1093">
        <f t="shared" si="40"/>
        <v>10989.99</v>
      </c>
      <c r="AN43" s="1093">
        <f t="shared" si="41"/>
        <v>1359.192</v>
      </c>
    </row>
    <row r="44" spans="1:41">
      <c r="A44" s="2" t="s">
        <v>4</v>
      </c>
      <c r="B44" s="20"/>
      <c r="C44" s="20"/>
      <c r="D44" s="20"/>
      <c r="E44" s="20"/>
      <c r="F44" s="20"/>
      <c r="G44" s="20"/>
      <c r="H44" s="20"/>
      <c r="I44" s="20"/>
      <c r="J44" s="20"/>
      <c r="K44" s="20"/>
      <c r="L44" s="20"/>
      <c r="M44" s="20"/>
      <c r="N44" s="20"/>
      <c r="O44" s="10">
        <f t="shared" si="36"/>
        <v>0</v>
      </c>
      <c r="R44" s="2" t="s">
        <v>91</v>
      </c>
      <c r="S44" s="20">
        <f t="shared" ref="S44:AE44" si="44">S79*0.2</f>
        <v>37501.228000000003</v>
      </c>
      <c r="T44" s="20">
        <f t="shared" si="44"/>
        <v>8674.3000000000011</v>
      </c>
      <c r="U44" s="20">
        <f t="shared" si="44"/>
        <v>4010.8</v>
      </c>
      <c r="V44" s="20">
        <f t="shared" si="44"/>
        <v>919.15200000000004</v>
      </c>
      <c r="W44" s="20">
        <f t="shared" si="44"/>
        <v>27504.36</v>
      </c>
      <c r="X44" s="20">
        <f t="shared" si="44"/>
        <v>470.16000000000008</v>
      </c>
      <c r="Y44" s="20">
        <f t="shared" si="44"/>
        <v>1199.7680000000003</v>
      </c>
      <c r="Z44" s="20">
        <f t="shared" si="44"/>
        <v>0</v>
      </c>
      <c r="AA44" s="20">
        <f t="shared" si="44"/>
        <v>1191.4540000000002</v>
      </c>
      <c r="AB44" s="20">
        <f t="shared" si="44"/>
        <v>19.590000000000003</v>
      </c>
      <c r="AC44" s="20">
        <f t="shared" si="44"/>
        <v>0</v>
      </c>
      <c r="AD44" s="20">
        <f t="shared" si="44"/>
        <v>0</v>
      </c>
      <c r="AE44" s="20">
        <f t="shared" si="44"/>
        <v>34.283999999999999</v>
      </c>
      <c r="AF44" s="20">
        <f t="shared" ref="AF44:AG56" si="45">AF79*0.2</f>
        <v>5.4660000000000002</v>
      </c>
      <c r="AG44" s="20">
        <f t="shared" si="45"/>
        <v>54.655999999999999</v>
      </c>
      <c r="AH44" s="10">
        <f t="shared" si="38"/>
        <v>81585.218000000008</v>
      </c>
      <c r="AI44" s="1093">
        <f t="shared" si="40"/>
        <v>37501.228000000003</v>
      </c>
      <c r="AJ44" s="1093">
        <f t="shared" si="40"/>
        <v>8674.3000000000011</v>
      </c>
      <c r="AK44" s="1093">
        <f t="shared" si="40"/>
        <v>4010.8</v>
      </c>
      <c r="AL44" s="1093">
        <f t="shared" si="40"/>
        <v>919.15200000000004</v>
      </c>
      <c r="AM44" s="1093">
        <f t="shared" si="40"/>
        <v>27504.36</v>
      </c>
      <c r="AN44" s="1093">
        <f t="shared" si="41"/>
        <v>2975.3780000000006</v>
      </c>
    </row>
    <row r="45" spans="1:41">
      <c r="A45" s="2" t="s">
        <v>5</v>
      </c>
      <c r="B45" s="20"/>
      <c r="C45" s="20"/>
      <c r="D45" s="20"/>
      <c r="E45" s="20"/>
      <c r="F45" s="20"/>
      <c r="G45" s="20"/>
      <c r="H45" s="20"/>
      <c r="I45" s="20"/>
      <c r="J45" s="20"/>
      <c r="K45" s="20"/>
      <c r="L45" s="20"/>
      <c r="M45" s="20"/>
      <c r="N45" s="20"/>
      <c r="O45" s="10">
        <f t="shared" si="36"/>
        <v>0</v>
      </c>
      <c r="R45" s="2" t="s">
        <v>92</v>
      </c>
      <c r="S45" s="20">
        <f t="shared" ref="S45:AE45" si="46">S80*0.2</f>
        <v>20004.990000000002</v>
      </c>
      <c r="T45" s="20">
        <f t="shared" si="46"/>
        <v>2731.5860000000002</v>
      </c>
      <c r="U45" s="20">
        <f t="shared" si="46"/>
        <v>1978.8080000000002</v>
      </c>
      <c r="V45" s="20">
        <f t="shared" si="46"/>
        <v>163.99600000000001</v>
      </c>
      <c r="W45" s="20">
        <f t="shared" si="46"/>
        <v>14339.88</v>
      </c>
      <c r="X45" s="20">
        <f t="shared" si="46"/>
        <v>176.31000000000003</v>
      </c>
      <c r="Y45" s="20">
        <f t="shared" si="46"/>
        <v>285.39600000000002</v>
      </c>
      <c r="Z45" s="20">
        <f t="shared" si="46"/>
        <v>291.93600000000004</v>
      </c>
      <c r="AA45" s="20">
        <f t="shared" si="46"/>
        <v>388.19400000000002</v>
      </c>
      <c r="AB45" s="20">
        <f t="shared" si="46"/>
        <v>58.77000000000001</v>
      </c>
      <c r="AC45" s="20">
        <f t="shared" si="46"/>
        <v>0</v>
      </c>
      <c r="AD45" s="20">
        <f t="shared" si="46"/>
        <v>0</v>
      </c>
      <c r="AE45" s="20">
        <f t="shared" si="46"/>
        <v>11.428000000000001</v>
      </c>
      <c r="AF45" s="20">
        <f t="shared" si="45"/>
        <v>0</v>
      </c>
      <c r="AG45" s="20">
        <f t="shared" si="45"/>
        <v>0</v>
      </c>
      <c r="AH45" s="10">
        <f t="shared" si="38"/>
        <v>40431.294000000002</v>
      </c>
      <c r="AI45" s="1093">
        <f t="shared" si="40"/>
        <v>20004.990000000002</v>
      </c>
      <c r="AJ45" s="1093">
        <f t="shared" si="40"/>
        <v>2731.5860000000002</v>
      </c>
      <c r="AK45" s="1093">
        <f t="shared" si="40"/>
        <v>1978.8080000000002</v>
      </c>
      <c r="AL45" s="1093">
        <f t="shared" si="40"/>
        <v>163.99600000000001</v>
      </c>
      <c r="AM45" s="1093">
        <f t="shared" si="40"/>
        <v>14339.88</v>
      </c>
      <c r="AN45" s="1093">
        <f t="shared" si="41"/>
        <v>1212.0340000000001</v>
      </c>
    </row>
    <row r="46" spans="1:41">
      <c r="A46" s="2" t="s">
        <v>6</v>
      </c>
      <c r="B46" s="20"/>
      <c r="C46" s="20"/>
      <c r="D46" s="20"/>
      <c r="E46" s="20"/>
      <c r="F46" s="20"/>
      <c r="G46" s="20"/>
      <c r="H46" s="20"/>
      <c r="I46" s="20"/>
      <c r="J46" s="20"/>
      <c r="K46" s="20"/>
      <c r="L46" s="20"/>
      <c r="M46" s="20"/>
      <c r="N46" s="20"/>
      <c r="O46" s="10">
        <f t="shared" si="36"/>
        <v>0</v>
      </c>
      <c r="R46" s="2" t="s">
        <v>93</v>
      </c>
      <c r="S46" s="20">
        <f t="shared" ref="S46:AE46" si="47">S81*0.2</f>
        <v>38022.35</v>
      </c>
      <c r="T46" s="20">
        <f t="shared" si="47"/>
        <v>11673.364000000001</v>
      </c>
      <c r="U46" s="20">
        <f t="shared" si="47"/>
        <v>2589.9040000000005</v>
      </c>
      <c r="V46" s="20">
        <f t="shared" si="47"/>
        <v>280.5</v>
      </c>
      <c r="W46" s="20">
        <f t="shared" si="47"/>
        <v>23253.33</v>
      </c>
      <c r="X46" s="20">
        <f t="shared" si="47"/>
        <v>744.42000000000007</v>
      </c>
      <c r="Y46" s="20">
        <f t="shared" si="47"/>
        <v>1846.9559999999999</v>
      </c>
      <c r="Z46" s="20">
        <f t="shared" si="47"/>
        <v>117.54000000000002</v>
      </c>
      <c r="AA46" s="20">
        <f t="shared" si="47"/>
        <v>1277.252</v>
      </c>
      <c r="AB46" s="20">
        <f t="shared" si="47"/>
        <v>117.54000000000002</v>
      </c>
      <c r="AC46" s="20">
        <f t="shared" si="47"/>
        <v>0</v>
      </c>
      <c r="AD46" s="20">
        <f t="shared" si="47"/>
        <v>0</v>
      </c>
      <c r="AE46" s="20">
        <f t="shared" si="47"/>
        <v>17.141999999999999</v>
      </c>
      <c r="AF46" s="20">
        <f t="shared" si="45"/>
        <v>0</v>
      </c>
      <c r="AG46" s="20">
        <f t="shared" si="45"/>
        <v>0</v>
      </c>
      <c r="AH46" s="10">
        <f t="shared" si="38"/>
        <v>79940.297999999995</v>
      </c>
      <c r="AI46" s="1093">
        <f t="shared" si="40"/>
        <v>38022.35</v>
      </c>
      <c r="AJ46" s="1093">
        <f t="shared" si="40"/>
        <v>11673.364000000001</v>
      </c>
      <c r="AK46" s="1093">
        <f t="shared" si="40"/>
        <v>2589.9040000000005</v>
      </c>
      <c r="AL46" s="1093">
        <f t="shared" si="40"/>
        <v>280.5</v>
      </c>
      <c r="AM46" s="1093">
        <f t="shared" si="40"/>
        <v>23253.33</v>
      </c>
      <c r="AN46" s="1093">
        <f t="shared" si="41"/>
        <v>4120.8500000000004</v>
      </c>
    </row>
    <row r="47" spans="1:41">
      <c r="A47" s="2" t="s">
        <v>7</v>
      </c>
      <c r="B47" s="20"/>
      <c r="C47" s="20"/>
      <c r="D47" s="20"/>
      <c r="E47" s="20"/>
      <c r="F47" s="20"/>
      <c r="G47" s="20"/>
      <c r="H47" s="20"/>
      <c r="I47" s="20"/>
      <c r="J47" s="20"/>
      <c r="K47" s="20"/>
      <c r="L47" s="20"/>
      <c r="M47" s="20"/>
      <c r="N47" s="20"/>
      <c r="O47" s="10">
        <f t="shared" si="36"/>
        <v>0</v>
      </c>
      <c r="R47" s="2" t="s">
        <v>94</v>
      </c>
      <c r="S47" s="20">
        <f t="shared" ref="S47:AE47" si="48">S82*0.2</f>
        <v>25346.922000000002</v>
      </c>
      <c r="T47" s="20">
        <f t="shared" si="48"/>
        <v>4651.3500000000004</v>
      </c>
      <c r="U47" s="20">
        <f t="shared" si="48"/>
        <v>3243.8500000000004</v>
      </c>
      <c r="V47" s="20">
        <f t="shared" si="48"/>
        <v>751.11599999999999</v>
      </c>
      <c r="W47" s="20">
        <f t="shared" si="48"/>
        <v>20275.650000000001</v>
      </c>
      <c r="X47" s="20">
        <f t="shared" si="48"/>
        <v>764.0100000000001</v>
      </c>
      <c r="Y47" s="20">
        <f t="shared" si="48"/>
        <v>946.8420000000001</v>
      </c>
      <c r="Z47" s="20">
        <f t="shared" si="48"/>
        <v>169.78200000000001</v>
      </c>
      <c r="AA47" s="20">
        <f t="shared" si="48"/>
        <v>487.68800000000005</v>
      </c>
      <c r="AB47" s="20">
        <f t="shared" si="48"/>
        <v>58.77000000000001</v>
      </c>
      <c r="AC47" s="20">
        <f t="shared" si="48"/>
        <v>0</v>
      </c>
      <c r="AD47" s="20">
        <f t="shared" si="48"/>
        <v>0</v>
      </c>
      <c r="AE47" s="20">
        <f t="shared" si="48"/>
        <v>22.856000000000002</v>
      </c>
      <c r="AF47" s="20">
        <f t="shared" si="45"/>
        <v>0</v>
      </c>
      <c r="AG47" s="20">
        <f t="shared" si="45"/>
        <v>0</v>
      </c>
      <c r="AH47" s="10">
        <f t="shared" si="38"/>
        <v>56718.836000000003</v>
      </c>
      <c r="AI47" s="1093">
        <f t="shared" si="40"/>
        <v>25346.922000000002</v>
      </c>
      <c r="AJ47" s="1093">
        <f t="shared" si="40"/>
        <v>4651.3500000000004</v>
      </c>
      <c r="AK47" s="1093">
        <f t="shared" si="40"/>
        <v>3243.8500000000004</v>
      </c>
      <c r="AL47" s="1093">
        <f t="shared" si="40"/>
        <v>751.11599999999999</v>
      </c>
      <c r="AM47" s="1093">
        <f t="shared" si="40"/>
        <v>20275.650000000001</v>
      </c>
      <c r="AN47" s="1093">
        <f t="shared" si="41"/>
        <v>2449.9480000000003</v>
      </c>
    </row>
    <row r="48" spans="1:41">
      <c r="A48" s="2" t="s">
        <v>8</v>
      </c>
      <c r="B48" s="20"/>
      <c r="C48" s="20"/>
      <c r="D48" s="20"/>
      <c r="E48" s="20"/>
      <c r="F48" s="20"/>
      <c r="G48" s="20"/>
      <c r="H48" s="20"/>
      <c r="I48" s="20"/>
      <c r="J48" s="20"/>
      <c r="K48" s="20"/>
      <c r="L48" s="20"/>
      <c r="M48" s="20"/>
      <c r="N48" s="20"/>
      <c r="O48" s="10">
        <f t="shared" si="36"/>
        <v>0</v>
      </c>
      <c r="R48" s="2" t="s">
        <v>95</v>
      </c>
      <c r="S48" s="20">
        <f t="shared" ref="S48:AE48" si="49">S83*0.2</f>
        <v>28366.206000000002</v>
      </c>
      <c r="T48" s="20">
        <f t="shared" si="49"/>
        <v>7272.4500000000007</v>
      </c>
      <c r="U48" s="20">
        <f t="shared" si="49"/>
        <v>3448.9220000000005</v>
      </c>
      <c r="V48" s="20">
        <f t="shared" si="49"/>
        <v>825.75800000000004</v>
      </c>
      <c r="W48" s="20">
        <f t="shared" si="49"/>
        <v>40159.5</v>
      </c>
      <c r="X48" s="20">
        <f t="shared" si="49"/>
        <v>235.08000000000004</v>
      </c>
      <c r="Y48" s="20">
        <f t="shared" si="49"/>
        <v>1164.6460000000002</v>
      </c>
      <c r="Z48" s="20">
        <f t="shared" si="49"/>
        <v>452.17600000000004</v>
      </c>
      <c r="AA48" s="20">
        <f t="shared" si="49"/>
        <v>1012.008</v>
      </c>
      <c r="AB48" s="20">
        <f t="shared" si="49"/>
        <v>97.95</v>
      </c>
      <c r="AC48" s="20">
        <f t="shared" si="49"/>
        <v>0</v>
      </c>
      <c r="AD48" s="20">
        <f t="shared" si="49"/>
        <v>0</v>
      </c>
      <c r="AE48" s="20">
        <f t="shared" si="49"/>
        <v>39.998000000000005</v>
      </c>
      <c r="AF48" s="20">
        <f t="shared" si="45"/>
        <v>0</v>
      </c>
      <c r="AG48" s="20">
        <f t="shared" si="45"/>
        <v>0</v>
      </c>
      <c r="AH48" s="10">
        <f t="shared" si="38"/>
        <v>83074.694000000018</v>
      </c>
      <c r="AI48" s="1093">
        <f t="shared" si="40"/>
        <v>28366.206000000002</v>
      </c>
      <c r="AJ48" s="1093">
        <f t="shared" si="40"/>
        <v>7272.4500000000007</v>
      </c>
      <c r="AK48" s="1093">
        <f t="shared" si="40"/>
        <v>3448.9220000000005</v>
      </c>
      <c r="AL48" s="1093">
        <f t="shared" si="40"/>
        <v>825.75800000000004</v>
      </c>
      <c r="AM48" s="1093">
        <f t="shared" si="40"/>
        <v>40159.5</v>
      </c>
      <c r="AN48" s="1093">
        <f t="shared" si="41"/>
        <v>3001.8579999999997</v>
      </c>
    </row>
    <row r="49" spans="1:40">
      <c r="A49" s="2" t="s">
        <v>9</v>
      </c>
      <c r="B49" s="20"/>
      <c r="C49" s="20"/>
      <c r="D49" s="20"/>
      <c r="E49" s="20"/>
      <c r="F49" s="20"/>
      <c r="G49" s="20"/>
      <c r="H49" s="20"/>
      <c r="I49" s="20"/>
      <c r="J49" s="20"/>
      <c r="K49" s="20"/>
      <c r="L49" s="20"/>
      <c r="M49" s="20"/>
      <c r="N49" s="20"/>
      <c r="O49" s="10">
        <f t="shared" si="36"/>
        <v>0</v>
      </c>
      <c r="R49" s="2" t="s">
        <v>96</v>
      </c>
      <c r="S49" s="20">
        <f t="shared" ref="S49:AE49" si="50">S84*0.2</f>
        <v>9026.5</v>
      </c>
      <c r="T49" s="20">
        <f t="shared" si="50"/>
        <v>8544.3780000000006</v>
      </c>
      <c r="U49" s="20">
        <f t="shared" si="50"/>
        <v>462.84</v>
      </c>
      <c r="V49" s="20">
        <f t="shared" si="50"/>
        <v>303.57</v>
      </c>
      <c r="W49" s="20">
        <f t="shared" si="50"/>
        <v>6817.32</v>
      </c>
      <c r="X49" s="20">
        <f t="shared" si="50"/>
        <v>78.360000000000014</v>
      </c>
      <c r="Y49" s="20">
        <f t="shared" si="50"/>
        <v>991.84000000000015</v>
      </c>
      <c r="Z49" s="20">
        <f t="shared" si="50"/>
        <v>0</v>
      </c>
      <c r="AA49" s="20">
        <f t="shared" si="50"/>
        <v>1122.0820000000001</v>
      </c>
      <c r="AB49" s="20">
        <f t="shared" si="50"/>
        <v>97.95</v>
      </c>
      <c r="AC49" s="20">
        <f t="shared" si="50"/>
        <v>0</v>
      </c>
      <c r="AD49" s="20">
        <f t="shared" si="50"/>
        <v>0</v>
      </c>
      <c r="AE49" s="20">
        <f t="shared" si="50"/>
        <v>17.141999999999999</v>
      </c>
      <c r="AF49" s="20">
        <f t="shared" si="45"/>
        <v>0</v>
      </c>
      <c r="AG49" s="20">
        <f t="shared" si="45"/>
        <v>0</v>
      </c>
      <c r="AH49" s="10">
        <f t="shared" si="38"/>
        <v>27461.982</v>
      </c>
      <c r="AI49" s="1093">
        <f t="shared" si="40"/>
        <v>9026.5</v>
      </c>
      <c r="AJ49" s="1093">
        <f t="shared" si="40"/>
        <v>8544.3780000000006</v>
      </c>
      <c r="AK49" s="1093">
        <f t="shared" si="40"/>
        <v>462.84</v>
      </c>
      <c r="AL49" s="1093">
        <f t="shared" si="40"/>
        <v>303.57</v>
      </c>
      <c r="AM49" s="1093">
        <f t="shared" si="40"/>
        <v>6817.32</v>
      </c>
      <c r="AN49" s="1093">
        <f t="shared" si="41"/>
        <v>2307.3739999999998</v>
      </c>
    </row>
    <row r="50" spans="1:40">
      <c r="A50" s="2" t="s">
        <v>10</v>
      </c>
      <c r="B50" s="20"/>
      <c r="C50" s="20"/>
      <c r="D50" s="20"/>
      <c r="E50" s="20"/>
      <c r="F50" s="20"/>
      <c r="G50" s="20"/>
      <c r="H50" s="20"/>
      <c r="I50" s="20"/>
      <c r="J50" s="20"/>
      <c r="K50" s="20"/>
      <c r="L50" s="20"/>
      <c r="M50" s="20"/>
      <c r="N50" s="20"/>
      <c r="O50" s="10">
        <f t="shared" si="36"/>
        <v>0</v>
      </c>
      <c r="R50" s="2" t="s">
        <v>97</v>
      </c>
      <c r="S50" s="20">
        <f t="shared" ref="S50:AE50" si="51">S85*0.2</f>
        <v>24056.212</v>
      </c>
      <c r="T50" s="20">
        <f t="shared" si="51"/>
        <v>4341.6860000000006</v>
      </c>
      <c r="U50" s="20">
        <f t="shared" si="51"/>
        <v>2154.4320000000002</v>
      </c>
      <c r="V50" s="20">
        <f t="shared" si="51"/>
        <v>405.12599999999998</v>
      </c>
      <c r="W50" s="20">
        <f t="shared" si="51"/>
        <v>47995.5</v>
      </c>
      <c r="X50" s="20">
        <f t="shared" si="51"/>
        <v>489.75</v>
      </c>
      <c r="Y50" s="20">
        <f t="shared" si="51"/>
        <v>460.04600000000005</v>
      </c>
      <c r="Z50" s="20">
        <f t="shared" si="51"/>
        <v>0</v>
      </c>
      <c r="AA50" s="20">
        <f t="shared" si="51"/>
        <v>761.49200000000008</v>
      </c>
      <c r="AB50" s="20">
        <f t="shared" si="51"/>
        <v>78.360000000000014</v>
      </c>
      <c r="AC50" s="20">
        <f t="shared" si="51"/>
        <v>0</v>
      </c>
      <c r="AD50" s="20">
        <f t="shared" si="51"/>
        <v>0</v>
      </c>
      <c r="AE50" s="20">
        <f t="shared" si="51"/>
        <v>0</v>
      </c>
      <c r="AF50" s="20">
        <f t="shared" si="45"/>
        <v>0</v>
      </c>
      <c r="AG50" s="20">
        <f t="shared" si="45"/>
        <v>0</v>
      </c>
      <c r="AH50" s="10">
        <f t="shared" si="38"/>
        <v>80742.604000000007</v>
      </c>
      <c r="AI50" s="1093">
        <f t="shared" si="40"/>
        <v>24056.212</v>
      </c>
      <c r="AJ50" s="1093">
        <f t="shared" si="40"/>
        <v>4341.6860000000006</v>
      </c>
      <c r="AK50" s="1093">
        <f t="shared" si="40"/>
        <v>2154.4320000000002</v>
      </c>
      <c r="AL50" s="1093">
        <f t="shared" si="40"/>
        <v>405.12599999999998</v>
      </c>
      <c r="AM50" s="1093">
        <f t="shared" si="40"/>
        <v>47995.5</v>
      </c>
      <c r="AN50" s="1093">
        <f t="shared" si="41"/>
        <v>1789.6480000000001</v>
      </c>
    </row>
    <row r="51" spans="1:40">
      <c r="A51" s="2" t="s">
        <v>11</v>
      </c>
      <c r="B51" s="20"/>
      <c r="C51" s="20"/>
      <c r="D51" s="20"/>
      <c r="E51" s="20"/>
      <c r="F51" s="20"/>
      <c r="G51" s="20"/>
      <c r="H51" s="20"/>
      <c r="I51" s="20"/>
      <c r="J51" s="20"/>
      <c r="K51" s="20"/>
      <c r="L51" s="20"/>
      <c r="M51" s="20"/>
      <c r="N51" s="20"/>
      <c r="O51" s="10">
        <f t="shared" si="36"/>
        <v>0</v>
      </c>
      <c r="R51" s="2" t="s">
        <v>98</v>
      </c>
      <c r="S51" s="20">
        <f t="shared" ref="S51:AE51" si="52">S86*0.2</f>
        <v>17910.798000000003</v>
      </c>
      <c r="T51" s="20">
        <f t="shared" si="52"/>
        <v>5061.6860000000006</v>
      </c>
      <c r="U51" s="20">
        <f t="shared" si="52"/>
        <v>2846.6419999999998</v>
      </c>
      <c r="V51" s="20">
        <f t="shared" si="52"/>
        <v>904.2940000000001</v>
      </c>
      <c r="W51" s="20">
        <f t="shared" si="52"/>
        <v>30795.48</v>
      </c>
      <c r="X51" s="20">
        <f t="shared" si="52"/>
        <v>313.44</v>
      </c>
      <c r="Y51" s="20">
        <f t="shared" si="52"/>
        <v>890.10800000000017</v>
      </c>
      <c r="Z51" s="20">
        <f t="shared" si="52"/>
        <v>81.25</v>
      </c>
      <c r="AA51" s="20">
        <f t="shared" si="52"/>
        <v>714.23799999999994</v>
      </c>
      <c r="AB51" s="20">
        <f t="shared" si="52"/>
        <v>195.9</v>
      </c>
      <c r="AC51" s="20">
        <f t="shared" si="52"/>
        <v>0</v>
      </c>
      <c r="AD51" s="20">
        <f t="shared" si="52"/>
        <v>155.304</v>
      </c>
      <c r="AE51" s="20">
        <f t="shared" si="52"/>
        <v>0</v>
      </c>
      <c r="AF51" s="20">
        <f t="shared" si="45"/>
        <v>0</v>
      </c>
      <c r="AG51" s="20">
        <f t="shared" si="45"/>
        <v>0</v>
      </c>
      <c r="AH51" s="10">
        <f t="shared" si="38"/>
        <v>59869.140000000007</v>
      </c>
      <c r="AI51" s="1093">
        <f t="shared" si="40"/>
        <v>17910.798000000003</v>
      </c>
      <c r="AJ51" s="1093">
        <f t="shared" si="40"/>
        <v>5061.6860000000006</v>
      </c>
      <c r="AK51" s="1093">
        <f t="shared" si="40"/>
        <v>2846.6419999999998</v>
      </c>
      <c r="AL51" s="1093">
        <f t="shared" si="40"/>
        <v>904.2940000000001</v>
      </c>
      <c r="AM51" s="1093">
        <f t="shared" si="40"/>
        <v>30795.48</v>
      </c>
      <c r="AN51" s="1093">
        <f t="shared" si="41"/>
        <v>2350.2400000000002</v>
      </c>
    </row>
    <row r="52" spans="1:40">
      <c r="A52" s="2" t="s">
        <v>12</v>
      </c>
      <c r="B52" s="20"/>
      <c r="C52" s="20"/>
      <c r="D52" s="20"/>
      <c r="E52" s="20"/>
      <c r="F52" s="20"/>
      <c r="G52" s="20"/>
      <c r="H52" s="20"/>
      <c r="I52" s="20"/>
      <c r="J52" s="20"/>
      <c r="K52" s="20"/>
      <c r="L52" s="20"/>
      <c r="M52" s="20"/>
      <c r="N52" s="20"/>
      <c r="O52" s="10">
        <f t="shared" si="36"/>
        <v>0</v>
      </c>
      <c r="R52" s="2" t="s">
        <v>99</v>
      </c>
      <c r="S52" s="20">
        <f t="shared" ref="S52:AE52" si="53">S87*0.2</f>
        <v>90626.558000000005</v>
      </c>
      <c r="T52" s="20">
        <f t="shared" si="53"/>
        <v>34724.224000000002</v>
      </c>
      <c r="U52" s="20">
        <f t="shared" si="53"/>
        <v>11685.764000000001</v>
      </c>
      <c r="V52" s="20">
        <f t="shared" si="53"/>
        <v>4149.6059999999998</v>
      </c>
      <c r="W52" s="20">
        <f t="shared" si="53"/>
        <v>73051.11</v>
      </c>
      <c r="X52" s="20">
        <f t="shared" si="53"/>
        <v>685.65000000000009</v>
      </c>
      <c r="Y52" s="20">
        <f t="shared" si="53"/>
        <v>6099.1700000000019</v>
      </c>
      <c r="Z52" s="20">
        <f t="shared" si="53"/>
        <v>0</v>
      </c>
      <c r="AA52" s="20">
        <f t="shared" si="53"/>
        <v>3967.9480000000003</v>
      </c>
      <c r="AB52" s="20">
        <f t="shared" si="53"/>
        <v>509.34</v>
      </c>
      <c r="AC52" s="20">
        <f t="shared" si="53"/>
        <v>0</v>
      </c>
      <c r="AD52" s="20">
        <f t="shared" si="53"/>
        <v>0</v>
      </c>
      <c r="AE52" s="20">
        <f t="shared" si="53"/>
        <v>57.14</v>
      </c>
      <c r="AF52" s="20">
        <f t="shared" si="45"/>
        <v>0</v>
      </c>
      <c r="AG52" s="20">
        <f t="shared" si="45"/>
        <v>0</v>
      </c>
      <c r="AH52" s="10">
        <f t="shared" si="38"/>
        <v>225556.51</v>
      </c>
      <c r="AI52" s="1093">
        <f t="shared" si="40"/>
        <v>90626.558000000005</v>
      </c>
      <c r="AJ52" s="1093">
        <f t="shared" si="40"/>
        <v>34724.224000000002</v>
      </c>
      <c r="AK52" s="1093">
        <f t="shared" si="40"/>
        <v>11685.764000000001</v>
      </c>
      <c r="AL52" s="1093">
        <f t="shared" si="40"/>
        <v>4149.6059999999998</v>
      </c>
      <c r="AM52" s="1093">
        <f t="shared" si="40"/>
        <v>73051.11</v>
      </c>
      <c r="AN52" s="1093">
        <f t="shared" si="41"/>
        <v>11319.248000000001</v>
      </c>
    </row>
    <row r="53" spans="1:40">
      <c r="A53" s="2" t="s">
        <v>15</v>
      </c>
      <c r="B53" s="20"/>
      <c r="C53" s="20"/>
      <c r="D53" s="20"/>
      <c r="E53" s="20"/>
      <c r="F53" s="20"/>
      <c r="G53" s="20"/>
      <c r="H53" s="20"/>
      <c r="I53" s="20"/>
      <c r="J53" s="20"/>
      <c r="K53" s="20"/>
      <c r="L53" s="20"/>
      <c r="M53" s="20"/>
      <c r="N53" s="20"/>
      <c r="O53" s="10">
        <f t="shared" si="36"/>
        <v>0</v>
      </c>
      <c r="R53" s="2" t="s">
        <v>100</v>
      </c>
      <c r="S53" s="20">
        <f t="shared" ref="S53:AE53" si="54">S88*0.2</f>
        <v>15407.838000000002</v>
      </c>
      <c r="T53" s="20">
        <f t="shared" si="54"/>
        <v>7712.2320000000009</v>
      </c>
      <c r="U53" s="20">
        <f t="shared" si="54"/>
        <v>1852.3119999999999</v>
      </c>
      <c r="V53" s="20">
        <f t="shared" si="54"/>
        <v>751.37600000000009</v>
      </c>
      <c r="W53" s="20">
        <f t="shared" si="54"/>
        <v>10931.220000000001</v>
      </c>
      <c r="X53" s="20">
        <f t="shared" si="54"/>
        <v>979.5</v>
      </c>
      <c r="Y53" s="20">
        <f t="shared" si="54"/>
        <v>1311.454</v>
      </c>
      <c r="Z53" s="20">
        <f t="shared" si="54"/>
        <v>0</v>
      </c>
      <c r="AA53" s="20">
        <f t="shared" si="54"/>
        <v>753.33800000000008</v>
      </c>
      <c r="AB53" s="20">
        <f t="shared" si="54"/>
        <v>39.180000000000007</v>
      </c>
      <c r="AC53" s="20">
        <f t="shared" si="54"/>
        <v>0</v>
      </c>
      <c r="AD53" s="20">
        <f t="shared" si="54"/>
        <v>0</v>
      </c>
      <c r="AE53" s="20">
        <f t="shared" si="54"/>
        <v>17.141999999999999</v>
      </c>
      <c r="AF53" s="20">
        <f t="shared" si="45"/>
        <v>0</v>
      </c>
      <c r="AG53" s="20">
        <f t="shared" si="45"/>
        <v>0</v>
      </c>
      <c r="AH53" s="10">
        <f t="shared" si="38"/>
        <v>39755.592000000004</v>
      </c>
      <c r="AI53" s="1093">
        <f t="shared" si="40"/>
        <v>15407.838000000002</v>
      </c>
      <c r="AJ53" s="1093">
        <f t="shared" si="40"/>
        <v>7712.2320000000009</v>
      </c>
      <c r="AK53" s="1093">
        <f t="shared" si="40"/>
        <v>1852.3119999999999</v>
      </c>
      <c r="AL53" s="1093">
        <f t="shared" si="40"/>
        <v>751.37600000000009</v>
      </c>
      <c r="AM53" s="1093">
        <f t="shared" si="40"/>
        <v>10931.220000000001</v>
      </c>
      <c r="AN53" s="1093">
        <f t="shared" si="41"/>
        <v>3100.6139999999996</v>
      </c>
    </row>
    <row r="54" spans="1:40">
      <c r="A54" s="2" t="s">
        <v>14</v>
      </c>
      <c r="B54" s="20"/>
      <c r="C54" s="20"/>
      <c r="D54" s="20"/>
      <c r="E54" s="20"/>
      <c r="F54" s="20"/>
      <c r="G54" s="20"/>
      <c r="H54" s="20"/>
      <c r="I54" s="20"/>
      <c r="J54" s="20"/>
      <c r="K54" s="20"/>
      <c r="L54" s="20"/>
      <c r="M54" s="20"/>
      <c r="N54" s="20"/>
      <c r="O54" s="10">
        <f t="shared" si="36"/>
        <v>0</v>
      </c>
      <c r="R54" s="2" t="s">
        <v>101</v>
      </c>
      <c r="S54" s="20">
        <f t="shared" ref="S54:AE54" si="55">S89*0.2</f>
        <v>14400.584000000001</v>
      </c>
      <c r="T54" s="20">
        <f t="shared" si="55"/>
        <v>5402.7020000000002</v>
      </c>
      <c r="U54" s="20">
        <f t="shared" si="55"/>
        <v>1648.0360000000001</v>
      </c>
      <c r="V54" s="20">
        <f t="shared" si="55"/>
        <v>552.18600000000004</v>
      </c>
      <c r="W54" s="20">
        <f t="shared" si="55"/>
        <v>14907.99</v>
      </c>
      <c r="X54" s="20">
        <f t="shared" si="55"/>
        <v>156.72000000000003</v>
      </c>
      <c r="Y54" s="20">
        <f t="shared" si="55"/>
        <v>764.42399999999998</v>
      </c>
      <c r="Z54" s="20">
        <f t="shared" si="55"/>
        <v>0</v>
      </c>
      <c r="AA54" s="20">
        <f t="shared" si="55"/>
        <v>676.51800000000003</v>
      </c>
      <c r="AB54" s="20">
        <f t="shared" si="55"/>
        <v>156.72000000000003</v>
      </c>
      <c r="AC54" s="20">
        <f t="shared" si="55"/>
        <v>0</v>
      </c>
      <c r="AD54" s="20">
        <f t="shared" si="55"/>
        <v>0</v>
      </c>
      <c r="AE54" s="20">
        <f t="shared" si="55"/>
        <v>11.428000000000001</v>
      </c>
      <c r="AF54" s="20">
        <f t="shared" si="45"/>
        <v>0</v>
      </c>
      <c r="AG54" s="20">
        <f t="shared" si="45"/>
        <v>0</v>
      </c>
      <c r="AH54" s="10">
        <f t="shared" si="38"/>
        <v>38677.308000000005</v>
      </c>
      <c r="AI54" s="1093">
        <f t="shared" si="40"/>
        <v>14400.584000000001</v>
      </c>
      <c r="AJ54" s="1093">
        <f t="shared" si="40"/>
        <v>5402.7020000000002</v>
      </c>
      <c r="AK54" s="1093">
        <f t="shared" si="40"/>
        <v>1648.0360000000001</v>
      </c>
      <c r="AL54" s="1093">
        <f t="shared" si="40"/>
        <v>552.18600000000004</v>
      </c>
      <c r="AM54" s="1093">
        <f t="shared" si="40"/>
        <v>14907.99</v>
      </c>
      <c r="AN54" s="1093">
        <f t="shared" si="41"/>
        <v>1765.8100000000002</v>
      </c>
    </row>
    <row r="55" spans="1:40">
      <c r="A55" s="2" t="s">
        <v>13</v>
      </c>
      <c r="B55" s="20"/>
      <c r="C55" s="20"/>
      <c r="D55" s="20"/>
      <c r="E55" s="20"/>
      <c r="F55" s="20"/>
      <c r="G55" s="20"/>
      <c r="H55" s="20"/>
      <c r="I55" s="20"/>
      <c r="J55" s="20"/>
      <c r="K55" s="20"/>
      <c r="L55" s="20"/>
      <c r="M55" s="20"/>
      <c r="N55" s="20"/>
      <c r="O55" s="10">
        <f t="shared" si="36"/>
        <v>0</v>
      </c>
      <c r="R55" s="2" t="s">
        <v>102</v>
      </c>
      <c r="S55" s="20">
        <f t="shared" ref="S55:AE55" si="56">S90*0.2</f>
        <v>86080.830000000016</v>
      </c>
      <c r="T55" s="20">
        <f t="shared" si="56"/>
        <v>27120.415999999997</v>
      </c>
      <c r="U55" s="20">
        <f t="shared" si="56"/>
        <v>19678.876000000004</v>
      </c>
      <c r="V55" s="20">
        <f t="shared" si="56"/>
        <v>8012.326</v>
      </c>
      <c r="W55" s="20">
        <f t="shared" si="56"/>
        <v>113308.56000000001</v>
      </c>
      <c r="X55" s="20">
        <f t="shared" si="56"/>
        <v>2233.2599999999998</v>
      </c>
      <c r="Y55" s="20">
        <f t="shared" si="56"/>
        <v>4607.9639999999999</v>
      </c>
      <c r="Z55" s="20">
        <f t="shared" si="56"/>
        <v>58.77000000000001</v>
      </c>
      <c r="AA55" s="20">
        <f t="shared" si="56"/>
        <v>3810.51</v>
      </c>
      <c r="AB55" s="20">
        <f t="shared" si="56"/>
        <v>685.65000000000009</v>
      </c>
      <c r="AC55" s="20">
        <f t="shared" si="56"/>
        <v>78.360000000000014</v>
      </c>
      <c r="AD55" s="20">
        <f t="shared" si="56"/>
        <v>0</v>
      </c>
      <c r="AE55" s="20">
        <f t="shared" si="56"/>
        <v>51.426000000000002</v>
      </c>
      <c r="AF55" s="20">
        <f t="shared" si="45"/>
        <v>0</v>
      </c>
      <c r="AG55" s="20">
        <f t="shared" si="45"/>
        <v>0</v>
      </c>
      <c r="AH55" s="10">
        <f t="shared" si="38"/>
        <v>265726.94800000003</v>
      </c>
      <c r="AI55" s="1093">
        <f t="shared" si="40"/>
        <v>86080.830000000016</v>
      </c>
      <c r="AJ55" s="1093">
        <f t="shared" si="40"/>
        <v>27120.415999999997</v>
      </c>
      <c r="AK55" s="1093">
        <f t="shared" si="40"/>
        <v>19678.876000000004</v>
      </c>
      <c r="AL55" s="1093">
        <f t="shared" si="40"/>
        <v>8012.326</v>
      </c>
      <c r="AM55" s="1093">
        <f t="shared" si="40"/>
        <v>113308.56000000001</v>
      </c>
      <c r="AN55" s="1093">
        <f t="shared" si="41"/>
        <v>11525.94</v>
      </c>
    </row>
    <row r="56" spans="1:40">
      <c r="A56" s="2" t="s">
        <v>16</v>
      </c>
      <c r="B56" s="20"/>
      <c r="C56" s="20"/>
      <c r="D56" s="20"/>
      <c r="E56" s="20"/>
      <c r="F56" s="20"/>
      <c r="G56" s="20"/>
      <c r="H56" s="20"/>
      <c r="I56" s="20"/>
      <c r="J56" s="20"/>
      <c r="K56" s="20"/>
      <c r="L56" s="20"/>
      <c r="M56" s="20"/>
      <c r="N56" s="20"/>
      <c r="O56" s="10">
        <f t="shared" si="36"/>
        <v>0</v>
      </c>
      <c r="R56" s="2" t="s">
        <v>103</v>
      </c>
      <c r="S56" s="20">
        <f t="shared" ref="S56:AE56" si="57">S91*0.2</f>
        <v>28673.494000000002</v>
      </c>
      <c r="T56" s="20">
        <f t="shared" si="57"/>
        <v>8092.5140000000001</v>
      </c>
      <c r="U56" s="20">
        <f t="shared" si="57"/>
        <v>2732.0380000000005</v>
      </c>
      <c r="V56" s="20">
        <f t="shared" si="57"/>
        <v>619.65600000000006</v>
      </c>
      <c r="W56" s="20">
        <f t="shared" si="57"/>
        <v>23527.59</v>
      </c>
      <c r="X56" s="20">
        <f t="shared" si="57"/>
        <v>352.62000000000006</v>
      </c>
      <c r="Y56" s="20">
        <f t="shared" si="57"/>
        <v>1098.346</v>
      </c>
      <c r="Z56" s="20">
        <f t="shared" si="57"/>
        <v>277.96800000000002</v>
      </c>
      <c r="AA56" s="20">
        <f t="shared" si="57"/>
        <v>1391.152</v>
      </c>
      <c r="AB56" s="20">
        <f t="shared" si="57"/>
        <v>137.13</v>
      </c>
      <c r="AC56" s="20">
        <f t="shared" si="57"/>
        <v>0</v>
      </c>
      <c r="AD56" s="20">
        <f t="shared" si="57"/>
        <v>0</v>
      </c>
      <c r="AE56" s="20">
        <f t="shared" si="57"/>
        <v>11.428000000000001</v>
      </c>
      <c r="AF56" s="20">
        <f t="shared" si="45"/>
        <v>0</v>
      </c>
      <c r="AG56" s="20">
        <f t="shared" si="45"/>
        <v>0</v>
      </c>
      <c r="AH56" s="10">
        <f t="shared" si="38"/>
        <v>66913.936000000002</v>
      </c>
      <c r="AI56" s="1093">
        <f t="shared" si="40"/>
        <v>28673.494000000002</v>
      </c>
      <c r="AJ56" s="1093">
        <f t="shared" si="40"/>
        <v>8092.5140000000001</v>
      </c>
      <c r="AK56" s="1093">
        <f t="shared" si="40"/>
        <v>2732.0380000000005</v>
      </c>
      <c r="AL56" s="1093">
        <f t="shared" si="40"/>
        <v>619.65600000000006</v>
      </c>
      <c r="AM56" s="1093">
        <f t="shared" si="40"/>
        <v>23527.59</v>
      </c>
      <c r="AN56" s="1093">
        <f t="shared" si="41"/>
        <v>3268.6440000000002</v>
      </c>
    </row>
    <row r="57" spans="1:40">
      <c r="A57" s="2" t="s">
        <v>17</v>
      </c>
      <c r="B57" s="20"/>
      <c r="C57" s="20"/>
      <c r="D57" s="20"/>
      <c r="E57" s="20"/>
      <c r="F57" s="20"/>
      <c r="G57" s="20"/>
      <c r="H57" s="20"/>
      <c r="I57" s="20"/>
      <c r="J57" s="20"/>
      <c r="K57" s="20"/>
      <c r="L57" s="20"/>
      <c r="M57" s="20"/>
      <c r="N57" s="20"/>
      <c r="O57" s="10">
        <f t="shared" si="36"/>
        <v>0</v>
      </c>
      <c r="R57" s="2" t="s">
        <v>104</v>
      </c>
      <c r="S57" s="20">
        <f t="shared" ref="S57:AE57" si="58">S92*0.2</f>
        <v>7127.6</v>
      </c>
      <c r="T57" s="20">
        <f t="shared" si="58"/>
        <v>1329.9880000000001</v>
      </c>
      <c r="U57" s="20">
        <f t="shared" si="58"/>
        <v>900.76400000000001</v>
      </c>
      <c r="V57" s="20">
        <f t="shared" si="58"/>
        <v>134.21400000000003</v>
      </c>
      <c r="W57" s="20">
        <f t="shared" si="58"/>
        <v>5877</v>
      </c>
      <c r="X57" s="20">
        <f t="shared" si="58"/>
        <v>195.9</v>
      </c>
      <c r="Y57" s="20">
        <f t="shared" si="58"/>
        <v>143.35399999999998</v>
      </c>
      <c r="Z57" s="20">
        <f t="shared" si="58"/>
        <v>0</v>
      </c>
      <c r="AA57" s="20">
        <f t="shared" si="58"/>
        <v>239.602</v>
      </c>
      <c r="AB57" s="20">
        <f t="shared" si="58"/>
        <v>0</v>
      </c>
      <c r="AC57" s="20">
        <f t="shared" si="58"/>
        <v>0</v>
      </c>
      <c r="AD57" s="20">
        <f t="shared" si="58"/>
        <v>0</v>
      </c>
      <c r="AE57" s="20">
        <f t="shared" si="58"/>
        <v>0</v>
      </c>
      <c r="AF57" s="20">
        <v>0</v>
      </c>
      <c r="AG57" s="20">
        <v>0</v>
      </c>
      <c r="AH57" s="10">
        <f t="shared" si="38"/>
        <v>15948.421999999999</v>
      </c>
      <c r="AI57" s="1093">
        <f t="shared" si="40"/>
        <v>7127.6</v>
      </c>
      <c r="AJ57" s="1093">
        <f t="shared" si="40"/>
        <v>1329.9880000000001</v>
      </c>
      <c r="AK57" s="1093">
        <f t="shared" si="40"/>
        <v>900.76400000000001</v>
      </c>
      <c r="AL57" s="1093">
        <f t="shared" si="40"/>
        <v>134.21400000000003</v>
      </c>
      <c r="AM57" s="1093">
        <f t="shared" si="40"/>
        <v>5877</v>
      </c>
      <c r="AN57" s="1093">
        <f t="shared" si="41"/>
        <v>578.85599999999999</v>
      </c>
    </row>
    <row r="58" spans="1:40">
      <c r="A58" s="2" t="s">
        <v>18</v>
      </c>
      <c r="B58" s="20"/>
      <c r="C58" s="20"/>
      <c r="D58" s="20"/>
      <c r="E58" s="20"/>
      <c r="F58" s="20"/>
      <c r="G58" s="20"/>
      <c r="H58" s="20"/>
      <c r="I58" s="20"/>
      <c r="J58" s="20"/>
      <c r="K58" s="20"/>
      <c r="L58" s="20"/>
      <c r="M58" s="20"/>
      <c r="N58" s="20"/>
      <c r="O58" s="10">
        <f t="shared" si="36"/>
        <v>0</v>
      </c>
      <c r="R58" s="2" t="s">
        <v>105</v>
      </c>
      <c r="S58" s="20">
        <f t="shared" ref="S58:AE58" si="59">S93*0.2</f>
        <v>111349.37</v>
      </c>
      <c r="T58" s="20">
        <f t="shared" si="59"/>
        <v>23471.026000000002</v>
      </c>
      <c r="U58" s="20">
        <f t="shared" si="59"/>
        <v>18968.844000000001</v>
      </c>
      <c r="V58" s="20">
        <f t="shared" si="59"/>
        <v>3810.2340000000004</v>
      </c>
      <c r="W58" s="20">
        <f t="shared" si="59"/>
        <v>74931.112000000008</v>
      </c>
      <c r="X58" s="20">
        <f t="shared" si="59"/>
        <v>3447.84</v>
      </c>
      <c r="Y58" s="20">
        <f t="shared" si="59"/>
        <v>5325.6379999999999</v>
      </c>
      <c r="Z58" s="20">
        <f t="shared" si="59"/>
        <v>933.48</v>
      </c>
      <c r="AA58" s="20">
        <f t="shared" si="59"/>
        <v>2849.4</v>
      </c>
      <c r="AB58" s="20">
        <f t="shared" si="59"/>
        <v>176.31</v>
      </c>
      <c r="AC58" s="20">
        <f t="shared" si="59"/>
        <v>39.180000000000007</v>
      </c>
      <c r="AD58" s="20">
        <f t="shared" si="59"/>
        <v>0</v>
      </c>
      <c r="AE58" s="20">
        <f t="shared" si="59"/>
        <v>108.56600000000002</v>
      </c>
      <c r="AF58" s="20">
        <f t="shared" ref="AF58:AG63" si="60">AF93*0.2</f>
        <v>0</v>
      </c>
      <c r="AG58" s="20">
        <f t="shared" si="60"/>
        <v>0</v>
      </c>
      <c r="AH58" s="10">
        <f t="shared" si="38"/>
        <v>245411</v>
      </c>
      <c r="AI58" s="1093">
        <f t="shared" si="40"/>
        <v>111349.37</v>
      </c>
      <c r="AJ58" s="1093">
        <f t="shared" si="40"/>
        <v>23471.026000000002</v>
      </c>
      <c r="AK58" s="1093">
        <f t="shared" si="40"/>
        <v>18968.844000000001</v>
      </c>
      <c r="AL58" s="1093">
        <f t="shared" si="40"/>
        <v>3810.2340000000004</v>
      </c>
      <c r="AM58" s="1093">
        <f t="shared" si="40"/>
        <v>74931.112000000008</v>
      </c>
      <c r="AN58" s="1093">
        <f t="shared" si="41"/>
        <v>12880.413999999999</v>
      </c>
    </row>
    <row r="59" spans="1:40">
      <c r="A59" s="2" t="s">
        <v>20</v>
      </c>
      <c r="B59" s="20"/>
      <c r="C59" s="20"/>
      <c r="D59" s="20"/>
      <c r="E59" s="20"/>
      <c r="F59" s="20"/>
      <c r="G59" s="20"/>
      <c r="H59" s="20"/>
      <c r="I59" s="20"/>
      <c r="J59" s="20"/>
      <c r="K59" s="20"/>
      <c r="L59" s="20"/>
      <c r="M59" s="20"/>
      <c r="N59" s="20"/>
      <c r="O59" s="10">
        <f t="shared" si="36"/>
        <v>0</v>
      </c>
      <c r="R59" s="2" t="s">
        <v>106</v>
      </c>
      <c r="S59" s="20">
        <f t="shared" ref="S59:AE59" si="61">S94*0.2</f>
        <v>18495.366000000002</v>
      </c>
      <c r="T59" s="20">
        <f t="shared" si="61"/>
        <v>7881.6560000000018</v>
      </c>
      <c r="U59" s="20">
        <f t="shared" si="61"/>
        <v>1375.346</v>
      </c>
      <c r="V59" s="20">
        <f t="shared" si="61"/>
        <v>585.49799999999993</v>
      </c>
      <c r="W59" s="20">
        <f t="shared" si="61"/>
        <v>12420.060000000001</v>
      </c>
      <c r="X59" s="20">
        <f t="shared" si="61"/>
        <v>509.34</v>
      </c>
      <c r="Y59" s="20">
        <f t="shared" si="61"/>
        <v>1134.3</v>
      </c>
      <c r="Z59" s="20">
        <f t="shared" si="61"/>
        <v>0</v>
      </c>
      <c r="AA59" s="20">
        <f t="shared" si="61"/>
        <v>981.0680000000001</v>
      </c>
      <c r="AB59" s="20">
        <f t="shared" si="61"/>
        <v>19.590000000000003</v>
      </c>
      <c r="AC59" s="20">
        <f t="shared" si="61"/>
        <v>0</v>
      </c>
      <c r="AD59" s="20">
        <f t="shared" si="61"/>
        <v>0</v>
      </c>
      <c r="AE59" s="20">
        <f t="shared" si="61"/>
        <v>17.141999999999999</v>
      </c>
      <c r="AF59" s="20">
        <f t="shared" si="60"/>
        <v>0</v>
      </c>
      <c r="AG59" s="20">
        <f t="shared" si="60"/>
        <v>0</v>
      </c>
      <c r="AH59" s="10">
        <f t="shared" si="38"/>
        <v>43419.366000000002</v>
      </c>
      <c r="AI59" s="1093">
        <f t="shared" si="40"/>
        <v>18495.366000000002</v>
      </c>
      <c r="AJ59" s="1093">
        <f t="shared" si="40"/>
        <v>7881.6560000000018</v>
      </c>
      <c r="AK59" s="1093">
        <f t="shared" si="40"/>
        <v>1375.346</v>
      </c>
      <c r="AL59" s="1093">
        <f t="shared" si="40"/>
        <v>585.49799999999993</v>
      </c>
      <c r="AM59" s="1093">
        <f t="shared" si="40"/>
        <v>12420.060000000001</v>
      </c>
      <c r="AN59" s="1093">
        <f t="shared" si="41"/>
        <v>2661.44</v>
      </c>
    </row>
    <row r="60" spans="1:40">
      <c r="A60" s="2" t="s">
        <v>19</v>
      </c>
      <c r="B60" s="20"/>
      <c r="C60" s="20"/>
      <c r="D60" s="20"/>
      <c r="E60" s="20"/>
      <c r="F60" s="20"/>
      <c r="G60" s="20"/>
      <c r="H60" s="20"/>
      <c r="I60" s="20"/>
      <c r="J60" s="20"/>
      <c r="K60" s="20"/>
      <c r="L60" s="20"/>
      <c r="M60" s="20"/>
      <c r="N60" s="20"/>
      <c r="O60" s="10">
        <f t="shared" si="36"/>
        <v>0</v>
      </c>
      <c r="R60" s="2" t="s">
        <v>107</v>
      </c>
      <c r="S60" s="20">
        <f t="shared" ref="S60:AE60" si="62">S95*0.2</f>
        <v>100563.21</v>
      </c>
      <c r="T60" s="20">
        <f t="shared" si="62"/>
        <v>24621.488000000001</v>
      </c>
      <c r="U60" s="20">
        <f t="shared" si="62"/>
        <v>15715.186</v>
      </c>
      <c r="V60" s="20">
        <f t="shared" si="62"/>
        <v>6845.6779999999999</v>
      </c>
      <c r="W60" s="20">
        <f t="shared" si="62"/>
        <v>134681.25</v>
      </c>
      <c r="X60" s="20">
        <f t="shared" si="62"/>
        <v>1371.3000000000002</v>
      </c>
      <c r="Y60" s="20">
        <f t="shared" si="62"/>
        <v>4435.2120000000004</v>
      </c>
      <c r="Z60" s="20">
        <f t="shared" si="62"/>
        <v>163.31800000000001</v>
      </c>
      <c r="AA60" s="20">
        <f t="shared" si="62"/>
        <v>2956.9140000000002</v>
      </c>
      <c r="AB60" s="20">
        <f t="shared" si="62"/>
        <v>509.34</v>
      </c>
      <c r="AC60" s="20">
        <f t="shared" si="62"/>
        <v>78.360000000000014</v>
      </c>
      <c r="AD60" s="20">
        <f t="shared" si="62"/>
        <v>167.79600000000002</v>
      </c>
      <c r="AE60" s="20">
        <f t="shared" si="62"/>
        <v>34.283999999999999</v>
      </c>
      <c r="AF60" s="20">
        <f t="shared" si="60"/>
        <v>0</v>
      </c>
      <c r="AG60" s="20">
        <f t="shared" si="60"/>
        <v>0</v>
      </c>
      <c r="AH60" s="10">
        <f t="shared" si="38"/>
        <v>292143.33599999995</v>
      </c>
      <c r="AI60" s="1093">
        <f t="shared" si="40"/>
        <v>100563.21</v>
      </c>
      <c r="AJ60" s="1093">
        <f t="shared" si="40"/>
        <v>24621.488000000001</v>
      </c>
      <c r="AK60" s="1093">
        <f t="shared" si="40"/>
        <v>15715.186</v>
      </c>
      <c r="AL60" s="1093">
        <f t="shared" si="40"/>
        <v>6845.6779999999999</v>
      </c>
      <c r="AM60" s="1093">
        <f t="shared" si="40"/>
        <v>134681.25</v>
      </c>
      <c r="AN60" s="1093">
        <f t="shared" si="41"/>
        <v>9716.5240000000013</v>
      </c>
    </row>
    <row r="61" spans="1:40">
      <c r="A61" s="2" t="s">
        <v>21</v>
      </c>
      <c r="B61" s="20"/>
      <c r="C61" s="20"/>
      <c r="D61" s="20"/>
      <c r="E61" s="20"/>
      <c r="F61" s="20"/>
      <c r="G61" s="20"/>
      <c r="H61" s="20"/>
      <c r="I61" s="20"/>
      <c r="J61" s="20"/>
      <c r="K61" s="20"/>
      <c r="L61" s="20"/>
      <c r="M61" s="20"/>
      <c r="N61" s="20"/>
      <c r="O61" s="10">
        <f t="shared" si="36"/>
        <v>0</v>
      </c>
      <c r="R61" s="2" t="s">
        <v>108</v>
      </c>
      <c r="S61" s="20">
        <f t="shared" ref="S61:AE61" si="63">S96*0.2</f>
        <v>6665.6720000000005</v>
      </c>
      <c r="T61" s="20">
        <f t="shared" si="63"/>
        <v>1299.7240000000002</v>
      </c>
      <c r="U61" s="20">
        <f t="shared" si="63"/>
        <v>1220.9080000000001</v>
      </c>
      <c r="V61" s="20">
        <f t="shared" si="63"/>
        <v>251.94800000000001</v>
      </c>
      <c r="W61" s="20">
        <f t="shared" si="63"/>
        <v>11871.54</v>
      </c>
      <c r="X61" s="20">
        <f t="shared" si="63"/>
        <v>215.49</v>
      </c>
      <c r="Y61" s="20">
        <f t="shared" si="63"/>
        <v>195.48400000000004</v>
      </c>
      <c r="Z61" s="20">
        <f t="shared" si="63"/>
        <v>0</v>
      </c>
      <c r="AA61" s="20">
        <f t="shared" si="63"/>
        <v>183.20400000000001</v>
      </c>
      <c r="AB61" s="20">
        <f t="shared" si="63"/>
        <v>0</v>
      </c>
      <c r="AC61" s="20">
        <f t="shared" si="63"/>
        <v>0</v>
      </c>
      <c r="AD61" s="20">
        <f t="shared" si="63"/>
        <v>0</v>
      </c>
      <c r="AE61" s="20">
        <f t="shared" si="63"/>
        <v>5.7140000000000004</v>
      </c>
      <c r="AF61" s="20">
        <f t="shared" si="60"/>
        <v>0</v>
      </c>
      <c r="AG61" s="20">
        <f t="shared" si="60"/>
        <v>0</v>
      </c>
      <c r="AH61" s="10">
        <f t="shared" si="38"/>
        <v>21909.684000000005</v>
      </c>
      <c r="AI61" s="1093">
        <f t="shared" si="40"/>
        <v>6665.6720000000005</v>
      </c>
      <c r="AJ61" s="1093">
        <f t="shared" si="40"/>
        <v>1299.7240000000002</v>
      </c>
      <c r="AK61" s="1093">
        <f t="shared" si="40"/>
        <v>1220.9080000000001</v>
      </c>
      <c r="AL61" s="1093">
        <f t="shared" si="40"/>
        <v>251.94800000000001</v>
      </c>
      <c r="AM61" s="1093">
        <f t="shared" si="40"/>
        <v>11871.54</v>
      </c>
      <c r="AN61" s="1093">
        <f t="shared" si="41"/>
        <v>599.89200000000017</v>
      </c>
    </row>
    <row r="62" spans="1:40">
      <c r="A62" s="2" t="s">
        <v>22</v>
      </c>
      <c r="B62" s="20"/>
      <c r="C62" s="20"/>
      <c r="D62" s="20"/>
      <c r="E62" s="20"/>
      <c r="F62" s="20"/>
      <c r="G62" s="20"/>
      <c r="H62" s="20"/>
      <c r="I62" s="20"/>
      <c r="J62" s="20"/>
      <c r="K62" s="20"/>
      <c r="L62" s="20"/>
      <c r="M62" s="20"/>
      <c r="N62" s="20"/>
      <c r="O62" s="10">
        <f t="shared" si="36"/>
        <v>0</v>
      </c>
      <c r="R62" s="2" t="s">
        <v>109</v>
      </c>
      <c r="S62" s="20">
        <f t="shared" ref="S62:AE62" si="64">S97*0.2</f>
        <v>1156.3900000000001</v>
      </c>
      <c r="T62" s="20">
        <f t="shared" si="64"/>
        <v>55.277999999999999</v>
      </c>
      <c r="U62" s="20">
        <f t="shared" si="64"/>
        <v>375.22800000000007</v>
      </c>
      <c r="V62" s="20">
        <f t="shared" si="64"/>
        <v>44.225999999999999</v>
      </c>
      <c r="W62" s="20">
        <f t="shared" si="64"/>
        <v>1998.18</v>
      </c>
      <c r="X62" s="20">
        <f t="shared" si="64"/>
        <v>0</v>
      </c>
      <c r="Y62" s="20">
        <f t="shared" si="64"/>
        <v>5.0539999999999994</v>
      </c>
      <c r="Z62" s="20">
        <f t="shared" si="64"/>
        <v>0</v>
      </c>
      <c r="AA62" s="20">
        <f t="shared" si="64"/>
        <v>20.912000000000003</v>
      </c>
      <c r="AB62" s="20">
        <f t="shared" si="64"/>
        <v>0</v>
      </c>
      <c r="AC62" s="20">
        <f t="shared" si="64"/>
        <v>0</v>
      </c>
      <c r="AD62" s="20">
        <f t="shared" si="64"/>
        <v>0</v>
      </c>
      <c r="AE62" s="20">
        <f t="shared" si="64"/>
        <v>0</v>
      </c>
      <c r="AF62" s="20">
        <f t="shared" si="60"/>
        <v>0</v>
      </c>
      <c r="AG62" s="20">
        <f t="shared" si="60"/>
        <v>0</v>
      </c>
      <c r="AH62" s="10">
        <f t="shared" si="38"/>
        <v>3655.2680000000005</v>
      </c>
      <c r="AI62" s="1093">
        <f t="shared" si="40"/>
        <v>1156.3900000000001</v>
      </c>
      <c r="AJ62" s="1093">
        <f t="shared" si="40"/>
        <v>55.277999999999999</v>
      </c>
      <c r="AK62" s="1093">
        <f t="shared" si="40"/>
        <v>375.22800000000007</v>
      </c>
      <c r="AL62" s="1093">
        <f t="shared" si="40"/>
        <v>44.225999999999999</v>
      </c>
      <c r="AM62" s="1093">
        <f t="shared" si="40"/>
        <v>1998.18</v>
      </c>
      <c r="AN62" s="1093">
        <f t="shared" si="41"/>
        <v>25.966000000000001</v>
      </c>
    </row>
    <row r="63" spans="1:40">
      <c r="A63" s="2" t="s">
        <v>23</v>
      </c>
      <c r="B63" s="20"/>
      <c r="C63" s="20"/>
      <c r="D63" s="20"/>
      <c r="E63" s="20"/>
      <c r="F63" s="20"/>
      <c r="G63" s="20"/>
      <c r="H63" s="20"/>
      <c r="I63" s="20"/>
      <c r="J63" s="20"/>
      <c r="K63" s="20"/>
      <c r="L63" s="20"/>
      <c r="M63" s="20"/>
      <c r="N63" s="20"/>
      <c r="O63" s="10">
        <f t="shared" si="36"/>
        <v>0</v>
      </c>
      <c r="R63" s="2" t="s">
        <v>110</v>
      </c>
      <c r="S63" s="20">
        <f t="shared" ref="S63:AE63" si="65">S98*0.2</f>
        <v>70541.682000000001</v>
      </c>
      <c r="T63" s="20">
        <f t="shared" si="65"/>
        <v>9044.7780000000002</v>
      </c>
      <c r="U63" s="20">
        <f t="shared" si="65"/>
        <v>10169.148000000001</v>
      </c>
      <c r="V63" s="20">
        <f t="shared" si="65"/>
        <v>1643.01</v>
      </c>
      <c r="W63" s="20">
        <f t="shared" si="65"/>
        <v>80573.67</v>
      </c>
      <c r="X63" s="20">
        <f t="shared" si="65"/>
        <v>842.37000000000012</v>
      </c>
      <c r="Y63" s="20">
        <f t="shared" si="65"/>
        <v>1359.53</v>
      </c>
      <c r="Z63" s="20">
        <f t="shared" si="65"/>
        <v>0</v>
      </c>
      <c r="AA63" s="20">
        <f t="shared" si="65"/>
        <v>1297.9660000000001</v>
      </c>
      <c r="AB63" s="20">
        <f t="shared" si="65"/>
        <v>274.26</v>
      </c>
      <c r="AC63" s="20">
        <f t="shared" si="65"/>
        <v>0</v>
      </c>
      <c r="AD63" s="20">
        <f t="shared" si="65"/>
        <v>0</v>
      </c>
      <c r="AE63" s="20">
        <f t="shared" si="65"/>
        <v>11.428000000000001</v>
      </c>
      <c r="AF63" s="20">
        <f t="shared" si="60"/>
        <v>0</v>
      </c>
      <c r="AG63" s="20">
        <f t="shared" si="60"/>
        <v>0</v>
      </c>
      <c r="AH63" s="10">
        <f t="shared" si="38"/>
        <v>175757.842</v>
      </c>
      <c r="AI63" s="1093">
        <f t="shared" si="40"/>
        <v>70541.682000000001</v>
      </c>
      <c r="AJ63" s="1093">
        <f t="shared" si="40"/>
        <v>9044.7780000000002</v>
      </c>
      <c r="AK63" s="1093">
        <f t="shared" si="40"/>
        <v>10169.148000000001</v>
      </c>
      <c r="AL63" s="1093">
        <f t="shared" si="40"/>
        <v>1643.01</v>
      </c>
      <c r="AM63" s="1093">
        <f t="shared" si="40"/>
        <v>80573.67</v>
      </c>
      <c r="AN63" s="1093">
        <f t="shared" si="41"/>
        <v>3785.5540000000001</v>
      </c>
    </row>
    <row r="64" spans="1:40">
      <c r="A64" s="2" t="s">
        <v>25</v>
      </c>
      <c r="B64" s="20"/>
      <c r="C64" s="20"/>
      <c r="D64" s="20"/>
      <c r="E64" s="20"/>
      <c r="F64" s="20"/>
      <c r="G64" s="20"/>
      <c r="H64" s="20"/>
      <c r="I64" s="20"/>
      <c r="J64" s="20"/>
      <c r="K64" s="20"/>
      <c r="L64" s="20"/>
      <c r="M64" s="20"/>
      <c r="N64" s="20"/>
      <c r="O64" s="10">
        <f t="shared" si="36"/>
        <v>0</v>
      </c>
      <c r="R64" s="2" t="s">
        <v>111</v>
      </c>
      <c r="S64" s="20">
        <f t="shared" ref="S64:AE64" si="66">S99*0.2</f>
        <v>392722.38800000004</v>
      </c>
      <c r="T64" s="20">
        <f t="shared" si="66"/>
        <v>101653.32800000001</v>
      </c>
      <c r="U64" s="20">
        <f t="shared" si="66"/>
        <v>55406.764000000003</v>
      </c>
      <c r="V64" s="20">
        <f t="shared" si="66"/>
        <v>12910.414000000001</v>
      </c>
      <c r="W64" s="20">
        <f t="shared" si="66"/>
        <v>498193.29000000004</v>
      </c>
      <c r="X64" s="20">
        <f t="shared" si="66"/>
        <v>4388.1600000000008</v>
      </c>
      <c r="Y64" s="20">
        <f t="shared" si="66"/>
        <v>21470.898000000001</v>
      </c>
      <c r="Z64" s="20">
        <f t="shared" si="66"/>
        <v>1047.2</v>
      </c>
      <c r="AA64" s="20">
        <f t="shared" si="66"/>
        <v>10853.484</v>
      </c>
      <c r="AB64" s="20">
        <f t="shared" si="66"/>
        <v>1057.8600000000001</v>
      </c>
      <c r="AC64" s="20">
        <f t="shared" si="66"/>
        <v>195.9</v>
      </c>
      <c r="AD64" s="20">
        <f t="shared" si="66"/>
        <v>0</v>
      </c>
      <c r="AE64" s="20">
        <f t="shared" si="66"/>
        <v>205.70400000000001</v>
      </c>
      <c r="AF64" s="20">
        <v>0</v>
      </c>
      <c r="AG64" s="20">
        <v>0</v>
      </c>
      <c r="AH64" s="10">
        <f t="shared" si="38"/>
        <v>1100105.3899999997</v>
      </c>
      <c r="AI64" s="1093">
        <f t="shared" si="40"/>
        <v>392722.38800000004</v>
      </c>
      <c r="AJ64" s="1093">
        <f t="shared" si="40"/>
        <v>101653.32800000001</v>
      </c>
      <c r="AK64" s="1093">
        <f t="shared" si="40"/>
        <v>55406.764000000003</v>
      </c>
      <c r="AL64" s="1093">
        <f t="shared" si="40"/>
        <v>12910.414000000001</v>
      </c>
      <c r="AM64" s="1093">
        <f t="shared" si="40"/>
        <v>498193.29000000004</v>
      </c>
      <c r="AN64" s="1093">
        <f t="shared" si="41"/>
        <v>39219.205999999998</v>
      </c>
    </row>
    <row r="65" spans="1:40">
      <c r="A65" s="2" t="s">
        <v>24</v>
      </c>
      <c r="B65" s="20"/>
      <c r="C65" s="20"/>
      <c r="D65" s="20"/>
      <c r="E65" s="20"/>
      <c r="F65" s="20"/>
      <c r="G65" s="20"/>
      <c r="H65" s="20"/>
      <c r="I65" s="20"/>
      <c r="J65" s="20"/>
      <c r="K65" s="20"/>
      <c r="L65" s="20"/>
      <c r="M65" s="20"/>
      <c r="N65" s="20"/>
      <c r="O65" s="10">
        <f t="shared" si="36"/>
        <v>0</v>
      </c>
      <c r="R65" s="2" t="s">
        <v>112</v>
      </c>
      <c r="S65" s="20">
        <f t="shared" ref="S65:AE65" si="67">S100*0.2</f>
        <v>8388.6920000000009</v>
      </c>
      <c r="T65" s="20">
        <f t="shared" si="67"/>
        <v>1829.3400000000001</v>
      </c>
      <c r="U65" s="20">
        <f t="shared" si="67"/>
        <v>1249.4780000000001</v>
      </c>
      <c r="V65" s="20">
        <f t="shared" si="67"/>
        <v>171.07399999999998</v>
      </c>
      <c r="W65" s="20">
        <f t="shared" si="67"/>
        <v>10363.11</v>
      </c>
      <c r="X65" s="20">
        <f t="shared" si="67"/>
        <v>372.21000000000004</v>
      </c>
      <c r="Y65" s="20">
        <f t="shared" si="67"/>
        <v>215.24200000000002</v>
      </c>
      <c r="Z65" s="20">
        <f t="shared" si="67"/>
        <v>0</v>
      </c>
      <c r="AA65" s="20">
        <f t="shared" si="67"/>
        <v>282.69200000000001</v>
      </c>
      <c r="AB65" s="20">
        <f t="shared" si="67"/>
        <v>19.590000000000003</v>
      </c>
      <c r="AC65" s="20">
        <f t="shared" si="67"/>
        <v>0</v>
      </c>
      <c r="AD65" s="20">
        <f t="shared" si="67"/>
        <v>0</v>
      </c>
      <c r="AE65" s="20">
        <f t="shared" si="67"/>
        <v>0</v>
      </c>
      <c r="AF65" s="20">
        <f>AF100*0.2</f>
        <v>0</v>
      </c>
      <c r="AG65" s="20">
        <f>AG100*0.2</f>
        <v>0</v>
      </c>
      <c r="AH65" s="10">
        <f t="shared" si="38"/>
        <v>22891.428</v>
      </c>
      <c r="AI65" s="1093">
        <f t="shared" si="40"/>
        <v>8388.6920000000009</v>
      </c>
      <c r="AJ65" s="1093">
        <f t="shared" si="40"/>
        <v>1829.3400000000001</v>
      </c>
      <c r="AK65" s="1093">
        <f t="shared" si="40"/>
        <v>1249.4780000000001</v>
      </c>
      <c r="AL65" s="1093">
        <f t="shared" si="40"/>
        <v>171.07399999999998</v>
      </c>
      <c r="AM65" s="1093">
        <f t="shared" si="40"/>
        <v>10363.11</v>
      </c>
      <c r="AN65" s="1093">
        <f t="shared" si="41"/>
        <v>889.73400000000004</v>
      </c>
    </row>
    <row r="66" spans="1:40">
      <c r="A66" s="2" t="s">
        <v>26</v>
      </c>
      <c r="B66" s="20"/>
      <c r="C66" s="20"/>
      <c r="D66" s="20"/>
      <c r="E66" s="20"/>
      <c r="F66" s="20"/>
      <c r="G66" s="20"/>
      <c r="H66" s="20"/>
      <c r="I66" s="20"/>
      <c r="J66" s="20"/>
      <c r="K66" s="20"/>
      <c r="L66" s="20"/>
      <c r="M66" s="20"/>
      <c r="N66" s="20"/>
      <c r="O66" s="10">
        <f t="shared" si="36"/>
        <v>0</v>
      </c>
      <c r="R66" s="2" t="s">
        <v>113</v>
      </c>
      <c r="S66" s="20">
        <f t="shared" ref="S66:AE66" si="68">S101*0.2</f>
        <v>5497.9740000000002</v>
      </c>
      <c r="T66" s="20">
        <f t="shared" si="68"/>
        <v>2092.8780000000002</v>
      </c>
      <c r="U66" s="20">
        <f t="shared" si="68"/>
        <v>842.82800000000009</v>
      </c>
      <c r="V66" s="20">
        <f t="shared" si="68"/>
        <v>441.84399999999999</v>
      </c>
      <c r="W66" s="20">
        <f t="shared" si="68"/>
        <v>6876.09</v>
      </c>
      <c r="X66" s="20">
        <f t="shared" si="68"/>
        <v>156.72000000000003</v>
      </c>
      <c r="Y66" s="20">
        <f t="shared" si="68"/>
        <v>351.88200000000001</v>
      </c>
      <c r="Z66" s="20">
        <f t="shared" si="68"/>
        <v>0</v>
      </c>
      <c r="AA66" s="20">
        <f t="shared" si="68"/>
        <v>307.19200000000001</v>
      </c>
      <c r="AB66" s="20">
        <f t="shared" si="68"/>
        <v>0</v>
      </c>
      <c r="AC66" s="20">
        <f t="shared" si="68"/>
        <v>0</v>
      </c>
      <c r="AD66" s="20">
        <f t="shared" si="68"/>
        <v>0</v>
      </c>
      <c r="AE66" s="20">
        <f t="shared" si="68"/>
        <v>0</v>
      </c>
      <c r="AF66" s="20">
        <f>AF101*0.2</f>
        <v>0</v>
      </c>
      <c r="AG66" s="20">
        <f>AG101*0.2</f>
        <v>0</v>
      </c>
      <c r="AH66" s="10">
        <f t="shared" si="38"/>
        <v>16567.407999999999</v>
      </c>
      <c r="AI66" s="1093">
        <f t="shared" si="40"/>
        <v>5497.9740000000002</v>
      </c>
      <c r="AJ66" s="1093">
        <f t="shared" si="40"/>
        <v>2092.8780000000002</v>
      </c>
      <c r="AK66" s="1093">
        <f t="shared" si="40"/>
        <v>842.82800000000009</v>
      </c>
      <c r="AL66" s="1093">
        <f t="shared" si="40"/>
        <v>441.84399999999999</v>
      </c>
      <c r="AM66" s="1093">
        <f t="shared" si="40"/>
        <v>6876.09</v>
      </c>
      <c r="AN66" s="1093">
        <f t="shared" si="41"/>
        <v>815.7940000000001</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91"/>
      <c r="Q67" s="91"/>
      <c r="R67" s="7" t="s">
        <v>37</v>
      </c>
      <c r="S67" s="8">
        <f t="shared" ref="S67:AI67" si="70">SUM(S40:S66)</f>
        <v>1187502.4280000001</v>
      </c>
      <c r="T67" s="8">
        <f t="shared" si="70"/>
        <v>318149.99800000008</v>
      </c>
      <c r="U67" s="8">
        <f t="shared" si="70"/>
        <v>167386.66600000003</v>
      </c>
      <c r="V67" s="8">
        <f t="shared" si="70"/>
        <v>47153.393999999993</v>
      </c>
      <c r="W67" s="8">
        <f t="shared" si="70"/>
        <v>1314914.9140000003</v>
      </c>
      <c r="X67" s="8">
        <f t="shared" si="70"/>
        <v>19981.800000000003</v>
      </c>
      <c r="Y67" s="8">
        <f t="shared" si="70"/>
        <v>57766.857999999993</v>
      </c>
      <c r="Z67" s="8">
        <f t="shared" si="70"/>
        <v>3593.42</v>
      </c>
      <c r="AA67" s="8">
        <f t="shared" si="70"/>
        <v>38686.488000000012</v>
      </c>
      <c r="AB67" s="8">
        <f t="shared" si="70"/>
        <v>4466.5200000000004</v>
      </c>
      <c r="AC67" s="8">
        <f t="shared" si="70"/>
        <v>391.80000000000007</v>
      </c>
      <c r="AD67" s="8">
        <f t="shared" si="70"/>
        <v>323.10000000000002</v>
      </c>
      <c r="AE67" s="8">
        <f t="shared" si="70"/>
        <v>685.68000000000006</v>
      </c>
      <c r="AF67" s="8">
        <f t="shared" si="70"/>
        <v>5.4660000000000002</v>
      </c>
      <c r="AG67" s="8">
        <f t="shared" si="70"/>
        <v>54.655999999999999</v>
      </c>
      <c r="AH67" s="11">
        <f t="shared" si="70"/>
        <v>3161063.1879999992</v>
      </c>
      <c r="AI67" s="1093">
        <f t="shared" si="70"/>
        <v>1187502.4280000001</v>
      </c>
      <c r="AJ67" s="1093">
        <f t="shared" ref="AJ67:AN67" si="71">SUM(AJ40:AJ66)</f>
        <v>318149.99800000008</v>
      </c>
      <c r="AK67" s="1093">
        <f t="shared" si="71"/>
        <v>167386.66600000003</v>
      </c>
      <c r="AL67" s="1093">
        <f t="shared" si="71"/>
        <v>47153.393999999993</v>
      </c>
      <c r="AM67" s="1093">
        <f t="shared" si="71"/>
        <v>1314914.9140000003</v>
      </c>
      <c r="AN67" s="1093">
        <f t="shared" si="71"/>
        <v>125955.788</v>
      </c>
    </row>
    <row r="68" spans="1:40">
      <c r="O68" s="605"/>
      <c r="R68" s="1080" t="s">
        <v>49</v>
      </c>
      <c r="S68" s="1084"/>
      <c r="T68" s="1084"/>
      <c r="U68" s="1084"/>
      <c r="V68" s="1084"/>
      <c r="W68" s="1084"/>
      <c r="X68" s="1084"/>
      <c r="Y68" s="1084"/>
      <c r="Z68" s="1084"/>
      <c r="AA68" s="1084"/>
      <c r="AB68" s="1084"/>
      <c r="AC68" s="1084"/>
      <c r="AD68" s="1084"/>
      <c r="AE68" s="1084"/>
      <c r="AF68" s="1084"/>
      <c r="AG68" s="1084"/>
      <c r="AH68" s="1085"/>
    </row>
    <row r="69" spans="1:40">
      <c r="A69" s="2" t="s">
        <v>14</v>
      </c>
      <c r="B69" s="20"/>
      <c r="C69" s="20"/>
      <c r="D69" s="20"/>
      <c r="E69" s="20"/>
      <c r="F69" s="20"/>
      <c r="G69" s="20"/>
      <c r="H69" s="20"/>
      <c r="I69" s="20"/>
      <c r="J69" s="20"/>
      <c r="K69" s="20"/>
      <c r="L69" s="20"/>
      <c r="M69" s="20"/>
      <c r="N69" s="20"/>
      <c r="O69" s="10">
        <f>SUM(B69:N69)</f>
        <v>0</v>
      </c>
      <c r="R69" s="1088"/>
      <c r="S69" s="1088"/>
      <c r="T69" s="1089"/>
      <c r="U69" s="1089"/>
      <c r="V69" s="1089"/>
      <c r="W69" s="1089"/>
      <c r="X69" s="1089"/>
      <c r="Y69" s="1089"/>
      <c r="Z69" s="1089"/>
      <c r="AA69" s="1089"/>
      <c r="AB69" s="1089"/>
      <c r="AH69" s="1090"/>
    </row>
    <row r="70" spans="1:40">
      <c r="L70" s="605"/>
      <c r="M70" s="605"/>
      <c r="N70" s="605"/>
      <c r="R70" s="1087"/>
      <c r="AC70" s="605"/>
      <c r="AD70" s="605"/>
      <c r="AE70" s="605"/>
      <c r="AF70" s="605"/>
      <c r="AG70" s="605"/>
    </row>
    <row r="71" spans="1:40">
      <c r="R71" s="1087"/>
    </row>
    <row r="72" spans="1:40" ht="46.5">
      <c r="A72" s="1223" t="s">
        <v>38</v>
      </c>
      <c r="B72" s="1224"/>
      <c r="C72" s="1224"/>
      <c r="D72" s="1224"/>
      <c r="E72" s="1224"/>
      <c r="F72" s="1224"/>
      <c r="G72" s="1224"/>
      <c r="H72" s="1224"/>
      <c r="I72" s="1224"/>
      <c r="J72" s="1224"/>
      <c r="K72" s="1224"/>
      <c r="L72" s="1224"/>
      <c r="M72" s="1224"/>
      <c r="N72" s="1224"/>
      <c r="O72" s="1225"/>
      <c r="R72" s="1220" t="s">
        <v>47</v>
      </c>
      <c r="S72" s="1221"/>
      <c r="T72" s="1221"/>
      <c r="U72" s="1221"/>
      <c r="V72" s="1221"/>
      <c r="W72" s="1221"/>
      <c r="X72" s="1221"/>
      <c r="Y72" s="1221"/>
      <c r="Z72" s="1221"/>
      <c r="AA72" s="1221"/>
      <c r="AB72" s="1221"/>
      <c r="AC72" s="1221"/>
      <c r="AD72" s="1221"/>
      <c r="AE72" s="1221"/>
      <c r="AF72" s="1221"/>
      <c r="AG72" s="1221"/>
      <c r="AH72" s="1222"/>
    </row>
    <row r="73" spans="1:40" ht="35.1" customHeight="1">
      <c r="A73" s="1226" t="s">
        <v>33</v>
      </c>
      <c r="B73" s="1228" t="s">
        <v>27</v>
      </c>
      <c r="C73" s="1229"/>
      <c r="D73" s="1228" t="s">
        <v>29</v>
      </c>
      <c r="E73" s="1229"/>
      <c r="F73" s="1226" t="s">
        <v>28</v>
      </c>
      <c r="G73" s="1226" t="s">
        <v>36</v>
      </c>
      <c r="H73" s="1226" t="s">
        <v>30</v>
      </c>
      <c r="I73" s="1226" t="s">
        <v>31</v>
      </c>
      <c r="J73" s="1226" t="s">
        <v>41</v>
      </c>
      <c r="K73" s="1226" t="s">
        <v>35</v>
      </c>
      <c r="L73" s="1226" t="s">
        <v>40</v>
      </c>
      <c r="M73" s="1226" t="s">
        <v>42</v>
      </c>
      <c r="N73" s="1226" t="s">
        <v>45</v>
      </c>
      <c r="O73" s="1226" t="s">
        <v>34</v>
      </c>
      <c r="R73" s="1226" t="s">
        <v>33</v>
      </c>
      <c r="S73" s="1228" t="s">
        <v>27</v>
      </c>
      <c r="T73" s="1229"/>
      <c r="U73" s="1228" t="s">
        <v>29</v>
      </c>
      <c r="V73" s="1229"/>
      <c r="W73" s="1226" t="s">
        <v>28</v>
      </c>
      <c r="X73" s="1226" t="s">
        <v>36</v>
      </c>
      <c r="Y73" s="1226" t="s">
        <v>30</v>
      </c>
      <c r="Z73" s="1226" t="s">
        <v>31</v>
      </c>
      <c r="AA73" s="1226" t="s">
        <v>41</v>
      </c>
      <c r="AB73" s="1226" t="s">
        <v>35</v>
      </c>
      <c r="AC73" s="1226" t="s">
        <v>40</v>
      </c>
      <c r="AD73" s="1226" t="s">
        <v>42</v>
      </c>
      <c r="AE73" s="1226" t="s">
        <v>45</v>
      </c>
      <c r="AF73" s="1228" t="s">
        <v>51</v>
      </c>
      <c r="AG73" s="1229"/>
      <c r="AH73" s="1226" t="s">
        <v>34</v>
      </c>
    </row>
    <row r="74" spans="1:40" ht="35.1" customHeight="1">
      <c r="A74" s="1227"/>
      <c r="B74" s="1091" t="s">
        <v>43</v>
      </c>
      <c r="C74" s="1091" t="s">
        <v>44</v>
      </c>
      <c r="D74" s="1091" t="s">
        <v>43</v>
      </c>
      <c r="E74" s="1091" t="s">
        <v>44</v>
      </c>
      <c r="F74" s="1227"/>
      <c r="G74" s="1227"/>
      <c r="H74" s="1227"/>
      <c r="I74" s="1227"/>
      <c r="J74" s="1227"/>
      <c r="K74" s="1227"/>
      <c r="L74" s="1227"/>
      <c r="M74" s="1227"/>
      <c r="N74" s="1227"/>
      <c r="O74" s="1227"/>
      <c r="R74" s="1227"/>
      <c r="S74" s="1091" t="s">
        <v>43</v>
      </c>
      <c r="T74" s="1091" t="s">
        <v>44</v>
      </c>
      <c r="U74" s="1091" t="s">
        <v>43</v>
      </c>
      <c r="V74" s="1091" t="s">
        <v>44</v>
      </c>
      <c r="W74" s="1227"/>
      <c r="X74" s="1227"/>
      <c r="Y74" s="1227"/>
      <c r="Z74" s="1227"/>
      <c r="AA74" s="1227"/>
      <c r="AB74" s="1227"/>
      <c r="AC74" s="1227"/>
      <c r="AD74" s="1227"/>
      <c r="AE74" s="1227"/>
      <c r="AF74" s="1092" t="s">
        <v>52</v>
      </c>
      <c r="AG74" s="1092" t="s">
        <v>53</v>
      </c>
      <c r="AH74" s="1227"/>
      <c r="AI74" s="1104" t="s">
        <v>183</v>
      </c>
      <c r="AJ74" s="1104" t="s">
        <v>424</v>
      </c>
      <c r="AK74" s="1104" t="s">
        <v>184</v>
      </c>
      <c r="AL74" s="1104" t="s">
        <v>425</v>
      </c>
      <c r="AM74" s="1104" t="s">
        <v>28</v>
      </c>
      <c r="AN74" s="1104" t="s">
        <v>185</v>
      </c>
    </row>
    <row r="75" spans="1:40">
      <c r="A75" s="2" t="s">
        <v>0</v>
      </c>
      <c r="B75" s="20">
        <f t="shared" ref="B75:N75" si="72">B5+B40</f>
        <v>0</v>
      </c>
      <c r="C75" s="20">
        <f t="shared" si="72"/>
        <v>0</v>
      </c>
      <c r="D75" s="20">
        <f t="shared" si="72"/>
        <v>0</v>
      </c>
      <c r="E75" s="20">
        <f t="shared" si="72"/>
        <v>0</v>
      </c>
      <c r="F75" s="20">
        <f t="shared" si="72"/>
        <v>0</v>
      </c>
      <c r="G75" s="20">
        <f t="shared" si="72"/>
        <v>0</v>
      </c>
      <c r="H75" s="20">
        <f t="shared" si="72"/>
        <v>0</v>
      </c>
      <c r="I75" s="20">
        <f t="shared" si="72"/>
        <v>0</v>
      </c>
      <c r="J75" s="20">
        <f t="shared" si="72"/>
        <v>0</v>
      </c>
      <c r="K75" s="20">
        <f t="shared" si="72"/>
        <v>0</v>
      </c>
      <c r="L75" s="20">
        <f t="shared" si="72"/>
        <v>0</v>
      </c>
      <c r="M75" s="20">
        <f t="shared" si="72"/>
        <v>0</v>
      </c>
      <c r="N75" s="20">
        <f t="shared" si="72"/>
        <v>0</v>
      </c>
      <c r="O75" s="10">
        <f t="shared" ref="O75:O101" si="73">SUM(B75:N75)</f>
        <v>0</v>
      </c>
      <c r="R75" s="2" t="s">
        <v>87</v>
      </c>
      <c r="S75" s="20">
        <v>18008.89</v>
      </c>
      <c r="T75" s="20">
        <v>4276.38</v>
      </c>
      <c r="U75" s="20">
        <v>2818.95</v>
      </c>
      <c r="V75" s="20">
        <v>369.94</v>
      </c>
      <c r="W75" s="20">
        <v>17706.810000000001</v>
      </c>
      <c r="X75" s="20">
        <v>1077.45</v>
      </c>
      <c r="Y75" s="20">
        <v>408.33</v>
      </c>
      <c r="Z75" s="20"/>
      <c r="AA75" s="20">
        <v>754.56</v>
      </c>
      <c r="AB75" s="20">
        <v>195.9</v>
      </c>
      <c r="AC75" s="20"/>
      <c r="AD75" s="20"/>
      <c r="AE75" s="20"/>
      <c r="AF75" s="20"/>
      <c r="AG75" s="20"/>
      <c r="AH75" s="10">
        <f t="shared" ref="AH75:AH101" si="74">SUM(S75:AG75)</f>
        <v>45617.21</v>
      </c>
      <c r="AI75" s="1093">
        <f>S75</f>
        <v>18008.89</v>
      </c>
      <c r="AJ75" s="1093">
        <f>T75</f>
        <v>4276.38</v>
      </c>
      <c r="AK75" s="1093">
        <f>U75</f>
        <v>2818.95</v>
      </c>
      <c r="AL75" s="1093">
        <f>V75</f>
        <v>369.94</v>
      </c>
      <c r="AM75" s="1093">
        <f>W75</f>
        <v>17706.810000000001</v>
      </c>
      <c r="AN75" s="1093">
        <f>SUM(X75:AG75)</f>
        <v>2436.2400000000002</v>
      </c>
    </row>
    <row r="76" spans="1:40">
      <c r="A76" s="2" t="s">
        <v>1</v>
      </c>
      <c r="B76" s="20">
        <f t="shared" ref="B76:N76" si="75">B6+B41</f>
        <v>0</v>
      </c>
      <c r="C76" s="20">
        <f t="shared" si="75"/>
        <v>0</v>
      </c>
      <c r="D76" s="20">
        <f t="shared" si="75"/>
        <v>0</v>
      </c>
      <c r="E76" s="20">
        <f t="shared" si="75"/>
        <v>0</v>
      </c>
      <c r="F76" s="20">
        <f t="shared" si="75"/>
        <v>0</v>
      </c>
      <c r="G76" s="20">
        <f t="shared" si="75"/>
        <v>0</v>
      </c>
      <c r="H76" s="20">
        <f t="shared" si="75"/>
        <v>0</v>
      </c>
      <c r="I76" s="20">
        <f t="shared" si="75"/>
        <v>0</v>
      </c>
      <c r="J76" s="20">
        <f t="shared" si="75"/>
        <v>0</v>
      </c>
      <c r="K76" s="20">
        <f t="shared" si="75"/>
        <v>0</v>
      </c>
      <c r="L76" s="20">
        <f t="shared" si="75"/>
        <v>0</v>
      </c>
      <c r="M76" s="20">
        <f t="shared" si="75"/>
        <v>0</v>
      </c>
      <c r="N76" s="20">
        <f t="shared" si="75"/>
        <v>0</v>
      </c>
      <c r="O76" s="10">
        <f t="shared" si="73"/>
        <v>0</v>
      </c>
      <c r="R76" s="2" t="s">
        <v>88</v>
      </c>
      <c r="S76" s="20">
        <v>52215.65</v>
      </c>
      <c r="T76" s="20">
        <v>17213.419999999998</v>
      </c>
      <c r="U76" s="20">
        <v>1761.84</v>
      </c>
      <c r="V76" s="20">
        <v>406.29</v>
      </c>
      <c r="W76" s="20">
        <v>51129.9</v>
      </c>
      <c r="X76" s="20">
        <v>979.5</v>
      </c>
      <c r="Y76" s="20">
        <v>2773.9399999999996</v>
      </c>
      <c r="Z76" s="20"/>
      <c r="AA76" s="20">
        <v>1962.3999999999999</v>
      </c>
      <c r="AB76" s="20"/>
      <c r="AC76" s="20"/>
      <c r="AD76" s="20"/>
      <c r="AE76" s="20">
        <v>57.14</v>
      </c>
      <c r="AF76" s="20"/>
      <c r="AG76" s="20"/>
      <c r="AH76" s="10">
        <f t="shared" si="74"/>
        <v>128500.08</v>
      </c>
      <c r="AI76" s="1093">
        <f t="shared" ref="AI76:AM101" si="76">S76</f>
        <v>52215.65</v>
      </c>
      <c r="AJ76" s="1093">
        <f t="shared" si="76"/>
        <v>17213.419999999998</v>
      </c>
      <c r="AK76" s="1093">
        <f t="shared" si="76"/>
        <v>1761.84</v>
      </c>
      <c r="AL76" s="1093">
        <f t="shared" si="76"/>
        <v>406.29</v>
      </c>
      <c r="AM76" s="1093">
        <f t="shared" si="76"/>
        <v>51129.9</v>
      </c>
      <c r="AN76" s="1093">
        <f t="shared" ref="AN76:AN101" si="77">SUM(X76:AG76)</f>
        <v>5772.98</v>
      </c>
    </row>
    <row r="77" spans="1:40">
      <c r="A77" s="2" t="s">
        <v>2</v>
      </c>
      <c r="B77" s="20">
        <f t="shared" ref="B77:N77" si="78">B7+B42</f>
        <v>0</v>
      </c>
      <c r="C77" s="20">
        <f t="shared" si="78"/>
        <v>0</v>
      </c>
      <c r="D77" s="20">
        <f t="shared" si="78"/>
        <v>0</v>
      </c>
      <c r="E77" s="20">
        <f t="shared" si="78"/>
        <v>0</v>
      </c>
      <c r="F77" s="20">
        <f t="shared" si="78"/>
        <v>0</v>
      </c>
      <c r="G77" s="20">
        <f t="shared" si="78"/>
        <v>0</v>
      </c>
      <c r="H77" s="20">
        <f t="shared" si="78"/>
        <v>0</v>
      </c>
      <c r="I77" s="20">
        <f t="shared" si="78"/>
        <v>0</v>
      </c>
      <c r="J77" s="20">
        <f t="shared" si="78"/>
        <v>0</v>
      </c>
      <c r="K77" s="20">
        <f t="shared" si="78"/>
        <v>0</v>
      </c>
      <c r="L77" s="20">
        <f t="shared" si="78"/>
        <v>0</v>
      </c>
      <c r="M77" s="20">
        <f t="shared" si="78"/>
        <v>0</v>
      </c>
      <c r="N77" s="20">
        <f t="shared" si="78"/>
        <v>0</v>
      </c>
      <c r="O77" s="10">
        <f t="shared" si="73"/>
        <v>0</v>
      </c>
      <c r="R77" s="2" t="s">
        <v>89</v>
      </c>
      <c r="S77" s="20">
        <v>18300.150000000001</v>
      </c>
      <c r="T77" s="20">
        <v>4899.82</v>
      </c>
      <c r="U77" s="20">
        <v>3295.12</v>
      </c>
      <c r="V77" s="20">
        <v>1743.7</v>
      </c>
      <c r="W77" s="20">
        <v>27523.95</v>
      </c>
      <c r="X77" s="20">
        <v>1371.3</v>
      </c>
      <c r="Y77" s="20">
        <v>732.24999999999989</v>
      </c>
      <c r="Z77" s="20"/>
      <c r="AA77" s="20">
        <v>767.43</v>
      </c>
      <c r="AB77" s="20">
        <v>97.95</v>
      </c>
      <c r="AC77" s="20"/>
      <c r="AD77" s="20"/>
      <c r="AE77" s="20"/>
      <c r="AF77" s="20"/>
      <c r="AG77" s="20"/>
      <c r="AH77" s="10">
        <f t="shared" si="74"/>
        <v>58731.670000000006</v>
      </c>
      <c r="AI77" s="1093">
        <f t="shared" si="76"/>
        <v>18300.150000000001</v>
      </c>
      <c r="AJ77" s="1093">
        <f t="shared" si="76"/>
        <v>4899.82</v>
      </c>
      <c r="AK77" s="1093">
        <f t="shared" si="76"/>
        <v>3295.12</v>
      </c>
      <c r="AL77" s="1093">
        <f t="shared" si="76"/>
        <v>1743.7</v>
      </c>
      <c r="AM77" s="1093">
        <f t="shared" si="76"/>
        <v>27523.95</v>
      </c>
      <c r="AN77" s="1093">
        <f t="shared" si="77"/>
        <v>2968.9299999999994</v>
      </c>
    </row>
    <row r="78" spans="1:40">
      <c r="A78" s="2" t="s">
        <v>3</v>
      </c>
      <c r="B78" s="20">
        <f t="shared" ref="B78:N78" si="79">B8+B43</f>
        <v>0</v>
      </c>
      <c r="C78" s="20">
        <f t="shared" si="79"/>
        <v>0</v>
      </c>
      <c r="D78" s="20">
        <f t="shared" si="79"/>
        <v>0</v>
      </c>
      <c r="E78" s="20">
        <f t="shared" si="79"/>
        <v>0</v>
      </c>
      <c r="F78" s="20">
        <f t="shared" si="79"/>
        <v>0</v>
      </c>
      <c r="G78" s="20">
        <f t="shared" si="79"/>
        <v>0</v>
      </c>
      <c r="H78" s="20">
        <f t="shared" si="79"/>
        <v>0</v>
      </c>
      <c r="I78" s="20">
        <f t="shared" si="79"/>
        <v>0</v>
      </c>
      <c r="J78" s="20">
        <f t="shared" si="79"/>
        <v>0</v>
      </c>
      <c r="K78" s="20">
        <f t="shared" si="79"/>
        <v>0</v>
      </c>
      <c r="L78" s="20">
        <f t="shared" si="79"/>
        <v>0</v>
      </c>
      <c r="M78" s="20">
        <f t="shared" si="79"/>
        <v>0</v>
      </c>
      <c r="N78" s="20">
        <f t="shared" si="79"/>
        <v>0</v>
      </c>
      <c r="O78" s="10">
        <f t="shared" si="73"/>
        <v>0</v>
      </c>
      <c r="R78" s="2" t="s">
        <v>90</v>
      </c>
      <c r="S78" s="20">
        <v>59323.18</v>
      </c>
      <c r="T78" s="20">
        <v>17948.510000000002</v>
      </c>
      <c r="U78" s="20">
        <v>6268.83</v>
      </c>
      <c r="V78" s="20">
        <v>5863.03</v>
      </c>
      <c r="W78" s="20">
        <v>54949.95</v>
      </c>
      <c r="X78" s="20">
        <v>587.70000000000005</v>
      </c>
      <c r="Y78" s="20">
        <v>3402</v>
      </c>
      <c r="Z78" s="20"/>
      <c r="AA78" s="20">
        <v>2316.5099999999998</v>
      </c>
      <c r="AB78" s="20">
        <v>489.75</v>
      </c>
      <c r="AC78" s="20"/>
      <c r="AD78" s="20"/>
      <c r="AE78" s="20"/>
      <c r="AF78" s="20"/>
      <c r="AG78" s="20"/>
      <c r="AH78" s="10">
        <f t="shared" si="74"/>
        <v>151149.46000000002</v>
      </c>
      <c r="AI78" s="1093">
        <f t="shared" si="76"/>
        <v>59323.18</v>
      </c>
      <c r="AJ78" s="1093">
        <f t="shared" si="76"/>
        <v>17948.510000000002</v>
      </c>
      <c r="AK78" s="1093">
        <f t="shared" si="76"/>
        <v>6268.83</v>
      </c>
      <c r="AL78" s="1093">
        <f t="shared" si="76"/>
        <v>5863.03</v>
      </c>
      <c r="AM78" s="1093">
        <f t="shared" si="76"/>
        <v>54949.95</v>
      </c>
      <c r="AN78" s="1093">
        <f t="shared" si="77"/>
        <v>6795.9599999999991</v>
      </c>
    </row>
    <row r="79" spans="1:40">
      <c r="A79" s="2" t="s">
        <v>4</v>
      </c>
      <c r="B79" s="20">
        <f t="shared" ref="B79:N79" si="80">B9+B44</f>
        <v>0</v>
      </c>
      <c r="C79" s="20">
        <f t="shared" si="80"/>
        <v>0</v>
      </c>
      <c r="D79" s="20">
        <f t="shared" si="80"/>
        <v>0</v>
      </c>
      <c r="E79" s="20">
        <f t="shared" si="80"/>
        <v>0</v>
      </c>
      <c r="F79" s="20">
        <f t="shared" si="80"/>
        <v>0</v>
      </c>
      <c r="G79" s="20">
        <f t="shared" si="80"/>
        <v>0</v>
      </c>
      <c r="H79" s="20">
        <f t="shared" si="80"/>
        <v>0</v>
      </c>
      <c r="I79" s="20">
        <f t="shared" si="80"/>
        <v>0</v>
      </c>
      <c r="J79" s="20">
        <f t="shared" si="80"/>
        <v>0</v>
      </c>
      <c r="K79" s="20">
        <f t="shared" si="80"/>
        <v>0</v>
      </c>
      <c r="L79" s="20">
        <f t="shared" si="80"/>
        <v>0</v>
      </c>
      <c r="M79" s="20">
        <f t="shared" si="80"/>
        <v>0</v>
      </c>
      <c r="N79" s="20">
        <f t="shared" si="80"/>
        <v>0</v>
      </c>
      <c r="O79" s="10">
        <f t="shared" si="73"/>
        <v>0</v>
      </c>
      <c r="R79" s="2" t="s">
        <v>91</v>
      </c>
      <c r="S79" s="20">
        <v>187506.14</v>
      </c>
      <c r="T79" s="20">
        <v>43371.5</v>
      </c>
      <c r="U79" s="20">
        <v>20054</v>
      </c>
      <c r="V79" s="20">
        <v>4595.76</v>
      </c>
      <c r="W79" s="20">
        <v>137521.79999999999</v>
      </c>
      <c r="X79" s="20">
        <v>2350.8000000000002</v>
      </c>
      <c r="Y79" s="20">
        <v>5998.8400000000011</v>
      </c>
      <c r="Z79" s="20"/>
      <c r="AA79" s="20">
        <v>5957.27</v>
      </c>
      <c r="AB79" s="20">
        <v>97.95</v>
      </c>
      <c r="AC79" s="20"/>
      <c r="AD79" s="20"/>
      <c r="AE79" s="20">
        <v>171.42</v>
      </c>
      <c r="AF79" s="20">
        <v>27.33</v>
      </c>
      <c r="AG79" s="20">
        <v>273.27999999999997</v>
      </c>
      <c r="AH79" s="10">
        <f t="shared" si="74"/>
        <v>407926.09000000008</v>
      </c>
      <c r="AI79" s="1093">
        <f t="shared" si="76"/>
        <v>187506.14</v>
      </c>
      <c r="AJ79" s="1093">
        <f t="shared" si="76"/>
        <v>43371.5</v>
      </c>
      <c r="AK79" s="1093">
        <f t="shared" si="76"/>
        <v>20054</v>
      </c>
      <c r="AL79" s="1093">
        <f t="shared" si="76"/>
        <v>4595.76</v>
      </c>
      <c r="AM79" s="1093">
        <f t="shared" si="76"/>
        <v>137521.79999999999</v>
      </c>
      <c r="AN79" s="1093">
        <f t="shared" si="77"/>
        <v>14876.890000000003</v>
      </c>
    </row>
    <row r="80" spans="1:40">
      <c r="A80" s="2" t="s">
        <v>5</v>
      </c>
      <c r="B80" s="20">
        <f t="shared" ref="B80:N80" si="81">B10+B45</f>
        <v>0</v>
      </c>
      <c r="C80" s="20">
        <f t="shared" si="81"/>
        <v>0</v>
      </c>
      <c r="D80" s="20">
        <f t="shared" si="81"/>
        <v>0</v>
      </c>
      <c r="E80" s="20">
        <f t="shared" si="81"/>
        <v>0</v>
      </c>
      <c r="F80" s="20">
        <f t="shared" si="81"/>
        <v>0</v>
      </c>
      <c r="G80" s="20">
        <f t="shared" si="81"/>
        <v>0</v>
      </c>
      <c r="H80" s="20">
        <f t="shared" si="81"/>
        <v>0</v>
      </c>
      <c r="I80" s="20">
        <f t="shared" si="81"/>
        <v>0</v>
      </c>
      <c r="J80" s="20">
        <f t="shared" si="81"/>
        <v>0</v>
      </c>
      <c r="K80" s="20">
        <f t="shared" si="81"/>
        <v>0</v>
      </c>
      <c r="L80" s="20">
        <f t="shared" si="81"/>
        <v>0</v>
      </c>
      <c r="M80" s="20">
        <f t="shared" si="81"/>
        <v>0</v>
      </c>
      <c r="N80" s="20">
        <f t="shared" si="81"/>
        <v>0</v>
      </c>
      <c r="O80" s="10">
        <f t="shared" si="73"/>
        <v>0</v>
      </c>
      <c r="R80" s="2" t="s">
        <v>92</v>
      </c>
      <c r="S80" s="20">
        <v>100024.95</v>
      </c>
      <c r="T80" s="20">
        <v>13657.93</v>
      </c>
      <c r="U80" s="20">
        <v>9894.0400000000009</v>
      </c>
      <c r="V80" s="20">
        <v>819.98</v>
      </c>
      <c r="W80" s="20">
        <v>71699.399999999994</v>
      </c>
      <c r="X80" s="20">
        <v>881.55000000000007</v>
      </c>
      <c r="Y80" s="20">
        <v>1426.98</v>
      </c>
      <c r="Z80" s="20">
        <v>1459.68</v>
      </c>
      <c r="AA80" s="20">
        <v>1940.97</v>
      </c>
      <c r="AB80" s="20">
        <v>293.85000000000002</v>
      </c>
      <c r="AC80" s="20"/>
      <c r="AD80" s="20"/>
      <c r="AE80" s="20">
        <v>57.14</v>
      </c>
      <c r="AF80" s="20"/>
      <c r="AG80" s="20"/>
      <c r="AH80" s="10">
        <f t="shared" si="74"/>
        <v>202156.47</v>
      </c>
      <c r="AI80" s="1093">
        <f t="shared" si="76"/>
        <v>100024.95</v>
      </c>
      <c r="AJ80" s="1093">
        <f t="shared" si="76"/>
        <v>13657.93</v>
      </c>
      <c r="AK80" s="1093">
        <f t="shared" si="76"/>
        <v>9894.0400000000009</v>
      </c>
      <c r="AL80" s="1093">
        <f t="shared" si="76"/>
        <v>819.98</v>
      </c>
      <c r="AM80" s="1093">
        <f t="shared" si="76"/>
        <v>71699.399999999994</v>
      </c>
      <c r="AN80" s="1093">
        <f t="shared" si="77"/>
        <v>6060.170000000001</v>
      </c>
    </row>
    <row r="81" spans="1:40">
      <c r="A81" s="2" t="s">
        <v>6</v>
      </c>
      <c r="B81" s="20">
        <f t="shared" ref="B81:N81" si="82">B11+B46</f>
        <v>0</v>
      </c>
      <c r="C81" s="20">
        <f t="shared" si="82"/>
        <v>0</v>
      </c>
      <c r="D81" s="20">
        <f t="shared" si="82"/>
        <v>0</v>
      </c>
      <c r="E81" s="20">
        <f t="shared" si="82"/>
        <v>0</v>
      </c>
      <c r="F81" s="20">
        <f t="shared" si="82"/>
        <v>0</v>
      </c>
      <c r="G81" s="20">
        <f t="shared" si="82"/>
        <v>0</v>
      </c>
      <c r="H81" s="20">
        <f t="shared" si="82"/>
        <v>0</v>
      </c>
      <c r="I81" s="20">
        <f t="shared" si="82"/>
        <v>0</v>
      </c>
      <c r="J81" s="20">
        <f t="shared" si="82"/>
        <v>0</v>
      </c>
      <c r="K81" s="20">
        <f t="shared" si="82"/>
        <v>0</v>
      </c>
      <c r="L81" s="20">
        <f t="shared" si="82"/>
        <v>0</v>
      </c>
      <c r="M81" s="20">
        <f t="shared" si="82"/>
        <v>0</v>
      </c>
      <c r="N81" s="20">
        <f t="shared" si="82"/>
        <v>0</v>
      </c>
      <c r="O81" s="10">
        <f t="shared" si="73"/>
        <v>0</v>
      </c>
      <c r="R81" s="2" t="s">
        <v>93</v>
      </c>
      <c r="S81" s="20">
        <v>190111.75</v>
      </c>
      <c r="T81" s="20">
        <v>58366.82</v>
      </c>
      <c r="U81" s="20">
        <v>12949.52</v>
      </c>
      <c r="V81" s="20">
        <v>1402.5</v>
      </c>
      <c r="W81" s="20">
        <v>116266.65</v>
      </c>
      <c r="X81" s="20">
        <v>3722.1000000000004</v>
      </c>
      <c r="Y81" s="20">
        <v>9234.7799999999988</v>
      </c>
      <c r="Z81" s="20">
        <v>587.70000000000005</v>
      </c>
      <c r="AA81" s="20">
        <v>6386.2599999999993</v>
      </c>
      <c r="AB81" s="20">
        <v>587.70000000000005</v>
      </c>
      <c r="AC81" s="20"/>
      <c r="AD81" s="20"/>
      <c r="AE81" s="20">
        <v>85.71</v>
      </c>
      <c r="AF81" s="20"/>
      <c r="AG81" s="20"/>
      <c r="AH81" s="10">
        <f t="shared" si="74"/>
        <v>399701.49000000005</v>
      </c>
      <c r="AI81" s="1093">
        <f t="shared" si="76"/>
        <v>190111.75</v>
      </c>
      <c r="AJ81" s="1093">
        <f t="shared" si="76"/>
        <v>58366.82</v>
      </c>
      <c r="AK81" s="1093">
        <f t="shared" si="76"/>
        <v>12949.52</v>
      </c>
      <c r="AL81" s="1093">
        <f t="shared" si="76"/>
        <v>1402.5</v>
      </c>
      <c r="AM81" s="1093">
        <f t="shared" si="76"/>
        <v>116266.65</v>
      </c>
      <c r="AN81" s="1093">
        <f t="shared" si="77"/>
        <v>20604.25</v>
      </c>
    </row>
    <row r="82" spans="1:40">
      <c r="A82" s="2" t="s">
        <v>7</v>
      </c>
      <c r="B82" s="20">
        <f t="shared" ref="B82:N82" si="83">B12+B47</f>
        <v>0</v>
      </c>
      <c r="C82" s="20">
        <f t="shared" si="83"/>
        <v>0</v>
      </c>
      <c r="D82" s="20">
        <f t="shared" si="83"/>
        <v>0</v>
      </c>
      <c r="E82" s="20">
        <f t="shared" si="83"/>
        <v>0</v>
      </c>
      <c r="F82" s="20">
        <f t="shared" si="83"/>
        <v>0</v>
      </c>
      <c r="G82" s="20">
        <f t="shared" si="83"/>
        <v>0</v>
      </c>
      <c r="H82" s="20">
        <f t="shared" si="83"/>
        <v>0</v>
      </c>
      <c r="I82" s="20">
        <f t="shared" si="83"/>
        <v>0</v>
      </c>
      <c r="J82" s="20">
        <f t="shared" si="83"/>
        <v>0</v>
      </c>
      <c r="K82" s="20">
        <f t="shared" si="83"/>
        <v>0</v>
      </c>
      <c r="L82" s="20">
        <f t="shared" si="83"/>
        <v>0</v>
      </c>
      <c r="M82" s="20">
        <f t="shared" si="83"/>
        <v>0</v>
      </c>
      <c r="N82" s="20">
        <f t="shared" si="83"/>
        <v>0</v>
      </c>
      <c r="O82" s="10">
        <f t="shared" si="73"/>
        <v>0</v>
      </c>
      <c r="R82" s="2" t="s">
        <v>94</v>
      </c>
      <c r="S82" s="20">
        <v>126734.61</v>
      </c>
      <c r="T82" s="20">
        <v>23256.75</v>
      </c>
      <c r="U82" s="20">
        <v>16219.25</v>
      </c>
      <c r="V82" s="20">
        <v>3755.58</v>
      </c>
      <c r="W82" s="20">
        <v>101378.25</v>
      </c>
      <c r="X82" s="20">
        <v>3820.05</v>
      </c>
      <c r="Y82" s="20">
        <v>4734.21</v>
      </c>
      <c r="Z82" s="20">
        <v>848.91</v>
      </c>
      <c r="AA82" s="20">
        <v>2438.44</v>
      </c>
      <c r="AB82" s="20">
        <v>293.85000000000002</v>
      </c>
      <c r="AC82" s="20"/>
      <c r="AD82" s="20"/>
      <c r="AE82" s="20">
        <v>114.28</v>
      </c>
      <c r="AF82" s="20"/>
      <c r="AG82" s="20"/>
      <c r="AH82" s="10">
        <f t="shared" si="74"/>
        <v>283594.17999999993</v>
      </c>
      <c r="AI82" s="1093">
        <f t="shared" si="76"/>
        <v>126734.61</v>
      </c>
      <c r="AJ82" s="1093">
        <f t="shared" si="76"/>
        <v>23256.75</v>
      </c>
      <c r="AK82" s="1093">
        <f t="shared" si="76"/>
        <v>16219.25</v>
      </c>
      <c r="AL82" s="1093">
        <f t="shared" si="76"/>
        <v>3755.58</v>
      </c>
      <c r="AM82" s="1093">
        <f t="shared" si="76"/>
        <v>101378.25</v>
      </c>
      <c r="AN82" s="1093">
        <f t="shared" si="77"/>
        <v>12249.740000000002</v>
      </c>
    </row>
    <row r="83" spans="1:40">
      <c r="A83" s="2" t="s">
        <v>8</v>
      </c>
      <c r="B83" s="20">
        <f t="shared" ref="B83:N83" si="84">B13+B48</f>
        <v>0</v>
      </c>
      <c r="C83" s="20">
        <f t="shared" si="84"/>
        <v>0</v>
      </c>
      <c r="D83" s="20">
        <f t="shared" si="84"/>
        <v>0</v>
      </c>
      <c r="E83" s="20">
        <f t="shared" si="84"/>
        <v>0</v>
      </c>
      <c r="F83" s="20">
        <f t="shared" si="84"/>
        <v>0</v>
      </c>
      <c r="G83" s="20">
        <f t="shared" si="84"/>
        <v>0</v>
      </c>
      <c r="H83" s="20">
        <f t="shared" si="84"/>
        <v>0</v>
      </c>
      <c r="I83" s="20">
        <f t="shared" si="84"/>
        <v>0</v>
      </c>
      <c r="J83" s="20">
        <f t="shared" si="84"/>
        <v>0</v>
      </c>
      <c r="K83" s="20">
        <f t="shared" si="84"/>
        <v>0</v>
      </c>
      <c r="L83" s="20">
        <f t="shared" si="84"/>
        <v>0</v>
      </c>
      <c r="M83" s="20">
        <f t="shared" si="84"/>
        <v>0</v>
      </c>
      <c r="N83" s="20">
        <f t="shared" si="84"/>
        <v>0</v>
      </c>
      <c r="O83" s="10">
        <f t="shared" si="73"/>
        <v>0</v>
      </c>
      <c r="R83" s="2" t="s">
        <v>95</v>
      </c>
      <c r="S83" s="20">
        <v>141831.03</v>
      </c>
      <c r="T83" s="20">
        <v>36362.25</v>
      </c>
      <c r="U83" s="20">
        <v>17244.61</v>
      </c>
      <c r="V83" s="20">
        <v>4128.79</v>
      </c>
      <c r="W83" s="20">
        <v>200797.5</v>
      </c>
      <c r="X83" s="20">
        <v>1175.4000000000001</v>
      </c>
      <c r="Y83" s="20">
        <v>5823.2300000000005</v>
      </c>
      <c r="Z83" s="20">
        <v>2260.88</v>
      </c>
      <c r="AA83" s="20">
        <v>5060.04</v>
      </c>
      <c r="AB83" s="20">
        <v>489.75</v>
      </c>
      <c r="AC83" s="20"/>
      <c r="AD83" s="20"/>
      <c r="AE83" s="20">
        <v>199.99</v>
      </c>
      <c r="AF83" s="20"/>
      <c r="AG83" s="20"/>
      <c r="AH83" s="10">
        <f t="shared" si="74"/>
        <v>415373.47000000003</v>
      </c>
      <c r="AI83" s="1093">
        <f t="shared" si="76"/>
        <v>141831.03</v>
      </c>
      <c r="AJ83" s="1093">
        <f t="shared" si="76"/>
        <v>36362.25</v>
      </c>
      <c r="AK83" s="1093">
        <f t="shared" si="76"/>
        <v>17244.61</v>
      </c>
      <c r="AL83" s="1093">
        <f t="shared" si="76"/>
        <v>4128.79</v>
      </c>
      <c r="AM83" s="1093">
        <f t="shared" si="76"/>
        <v>200797.5</v>
      </c>
      <c r="AN83" s="1093">
        <f t="shared" si="77"/>
        <v>15009.290000000003</v>
      </c>
    </row>
    <row r="84" spans="1:40">
      <c r="A84" s="2" t="s">
        <v>9</v>
      </c>
      <c r="B84" s="20">
        <f t="shared" ref="B84:N84" si="85">B14+B49</f>
        <v>0</v>
      </c>
      <c r="C84" s="20">
        <f t="shared" si="85"/>
        <v>0</v>
      </c>
      <c r="D84" s="20">
        <f t="shared" si="85"/>
        <v>0</v>
      </c>
      <c r="E84" s="20">
        <f t="shared" si="85"/>
        <v>0</v>
      </c>
      <c r="F84" s="20">
        <f t="shared" si="85"/>
        <v>0</v>
      </c>
      <c r="G84" s="20">
        <f t="shared" si="85"/>
        <v>0</v>
      </c>
      <c r="H84" s="20">
        <f t="shared" si="85"/>
        <v>0</v>
      </c>
      <c r="I84" s="20">
        <f t="shared" si="85"/>
        <v>0</v>
      </c>
      <c r="J84" s="20">
        <f t="shared" si="85"/>
        <v>0</v>
      </c>
      <c r="K84" s="20">
        <f t="shared" si="85"/>
        <v>0</v>
      </c>
      <c r="L84" s="20">
        <f t="shared" si="85"/>
        <v>0</v>
      </c>
      <c r="M84" s="20">
        <f t="shared" si="85"/>
        <v>0</v>
      </c>
      <c r="N84" s="20">
        <f t="shared" si="85"/>
        <v>0</v>
      </c>
      <c r="O84" s="10">
        <f t="shared" si="73"/>
        <v>0</v>
      </c>
      <c r="R84" s="2" t="s">
        <v>96</v>
      </c>
      <c r="S84" s="20">
        <v>45132.5</v>
      </c>
      <c r="T84" s="20">
        <v>42721.89</v>
      </c>
      <c r="U84" s="20">
        <v>2314.1999999999998</v>
      </c>
      <c r="V84" s="20">
        <v>1517.85</v>
      </c>
      <c r="W84" s="20">
        <v>34086.6</v>
      </c>
      <c r="X84" s="20">
        <v>391.8</v>
      </c>
      <c r="Y84" s="20">
        <v>4959.2000000000007</v>
      </c>
      <c r="Z84" s="20"/>
      <c r="AA84" s="20">
        <v>5610.41</v>
      </c>
      <c r="AB84" s="20">
        <v>489.75</v>
      </c>
      <c r="AC84" s="20"/>
      <c r="AD84" s="20"/>
      <c r="AE84" s="20">
        <v>85.71</v>
      </c>
      <c r="AF84" s="20"/>
      <c r="AG84" s="20"/>
      <c r="AH84" s="10">
        <f t="shared" si="74"/>
        <v>137309.91</v>
      </c>
      <c r="AI84" s="1093">
        <f t="shared" si="76"/>
        <v>45132.5</v>
      </c>
      <c r="AJ84" s="1093">
        <f t="shared" si="76"/>
        <v>42721.89</v>
      </c>
      <c r="AK84" s="1093">
        <f t="shared" si="76"/>
        <v>2314.1999999999998</v>
      </c>
      <c r="AL84" s="1093">
        <f t="shared" si="76"/>
        <v>1517.85</v>
      </c>
      <c r="AM84" s="1093">
        <f t="shared" si="76"/>
        <v>34086.6</v>
      </c>
      <c r="AN84" s="1093">
        <f t="shared" si="77"/>
        <v>11536.869999999999</v>
      </c>
    </row>
    <row r="85" spans="1:40">
      <c r="A85" s="2" t="s">
        <v>10</v>
      </c>
      <c r="B85" s="20">
        <f t="shared" ref="B85:N85" si="86">B15+B50</f>
        <v>0</v>
      </c>
      <c r="C85" s="20">
        <f t="shared" si="86"/>
        <v>0</v>
      </c>
      <c r="D85" s="20">
        <f t="shared" si="86"/>
        <v>0</v>
      </c>
      <c r="E85" s="20">
        <f t="shared" si="86"/>
        <v>0</v>
      </c>
      <c r="F85" s="20">
        <f t="shared" si="86"/>
        <v>0</v>
      </c>
      <c r="G85" s="20">
        <f t="shared" si="86"/>
        <v>0</v>
      </c>
      <c r="H85" s="20">
        <f t="shared" si="86"/>
        <v>0</v>
      </c>
      <c r="I85" s="20">
        <f t="shared" si="86"/>
        <v>0</v>
      </c>
      <c r="J85" s="20">
        <f t="shared" si="86"/>
        <v>0</v>
      </c>
      <c r="K85" s="20">
        <f t="shared" si="86"/>
        <v>0</v>
      </c>
      <c r="L85" s="20">
        <f t="shared" si="86"/>
        <v>0</v>
      </c>
      <c r="M85" s="20">
        <f t="shared" si="86"/>
        <v>0</v>
      </c>
      <c r="N85" s="20">
        <f t="shared" si="86"/>
        <v>0</v>
      </c>
      <c r="O85" s="10">
        <f t="shared" si="73"/>
        <v>0</v>
      </c>
      <c r="R85" s="2" t="s">
        <v>97</v>
      </c>
      <c r="S85" s="20">
        <v>120281.06</v>
      </c>
      <c r="T85" s="20">
        <v>21708.43</v>
      </c>
      <c r="U85" s="20">
        <v>10772.16</v>
      </c>
      <c r="V85" s="20">
        <v>2025.6299999999999</v>
      </c>
      <c r="W85" s="20">
        <v>239977.5</v>
      </c>
      <c r="X85" s="20">
        <v>2448.75</v>
      </c>
      <c r="Y85" s="20">
        <v>2300.23</v>
      </c>
      <c r="Z85" s="20"/>
      <c r="AA85" s="20">
        <v>3807.46</v>
      </c>
      <c r="AB85" s="20">
        <v>391.8</v>
      </c>
      <c r="AC85" s="20"/>
      <c r="AD85" s="20"/>
      <c r="AE85" s="20"/>
      <c r="AF85" s="20"/>
      <c r="AG85" s="20"/>
      <c r="AH85" s="10">
        <f t="shared" si="74"/>
        <v>403713.02</v>
      </c>
      <c r="AI85" s="1093">
        <f t="shared" si="76"/>
        <v>120281.06</v>
      </c>
      <c r="AJ85" s="1093">
        <f t="shared" si="76"/>
        <v>21708.43</v>
      </c>
      <c r="AK85" s="1093">
        <f t="shared" si="76"/>
        <v>10772.16</v>
      </c>
      <c r="AL85" s="1093">
        <f t="shared" si="76"/>
        <v>2025.6299999999999</v>
      </c>
      <c r="AM85" s="1093">
        <f t="shared" si="76"/>
        <v>239977.5</v>
      </c>
      <c r="AN85" s="1093">
        <f t="shared" si="77"/>
        <v>8948.239999999998</v>
      </c>
    </row>
    <row r="86" spans="1:40">
      <c r="A86" s="2" t="s">
        <v>11</v>
      </c>
      <c r="B86" s="20">
        <f t="shared" ref="B86:N86" si="87">B16+B51</f>
        <v>0</v>
      </c>
      <c r="C86" s="20">
        <f t="shared" si="87"/>
        <v>0</v>
      </c>
      <c r="D86" s="20">
        <f t="shared" si="87"/>
        <v>0</v>
      </c>
      <c r="E86" s="20">
        <f t="shared" si="87"/>
        <v>0</v>
      </c>
      <c r="F86" s="20">
        <f t="shared" si="87"/>
        <v>0</v>
      </c>
      <c r="G86" s="20">
        <f t="shared" si="87"/>
        <v>0</v>
      </c>
      <c r="H86" s="20">
        <f t="shared" si="87"/>
        <v>0</v>
      </c>
      <c r="I86" s="20">
        <f t="shared" si="87"/>
        <v>0</v>
      </c>
      <c r="J86" s="20">
        <f t="shared" si="87"/>
        <v>0</v>
      </c>
      <c r="K86" s="20">
        <f t="shared" si="87"/>
        <v>0</v>
      </c>
      <c r="L86" s="20">
        <f t="shared" si="87"/>
        <v>0</v>
      </c>
      <c r="M86" s="20">
        <f t="shared" si="87"/>
        <v>0</v>
      </c>
      <c r="N86" s="20">
        <f t="shared" si="87"/>
        <v>0</v>
      </c>
      <c r="O86" s="10">
        <f t="shared" si="73"/>
        <v>0</v>
      </c>
      <c r="R86" s="2" t="s">
        <v>98</v>
      </c>
      <c r="S86" s="20">
        <v>89553.99</v>
      </c>
      <c r="T86" s="20">
        <v>25308.43</v>
      </c>
      <c r="U86" s="20">
        <v>14233.21</v>
      </c>
      <c r="V86" s="20">
        <v>4521.47</v>
      </c>
      <c r="W86" s="20">
        <v>153977.4</v>
      </c>
      <c r="X86" s="20">
        <v>1567.1999999999998</v>
      </c>
      <c r="Y86" s="20">
        <v>4450.5400000000009</v>
      </c>
      <c r="Z86" s="20">
        <v>406.25</v>
      </c>
      <c r="AA86" s="20">
        <v>3571.1899999999996</v>
      </c>
      <c r="AB86" s="20">
        <v>979.5</v>
      </c>
      <c r="AC86" s="20"/>
      <c r="AD86" s="20">
        <v>776.52</v>
      </c>
      <c r="AE86" s="20"/>
      <c r="AF86" s="20"/>
      <c r="AG86" s="20"/>
      <c r="AH86" s="10">
        <f t="shared" si="74"/>
        <v>299345.7</v>
      </c>
      <c r="AI86" s="1093">
        <f t="shared" si="76"/>
        <v>89553.99</v>
      </c>
      <c r="AJ86" s="1093">
        <f t="shared" si="76"/>
        <v>25308.43</v>
      </c>
      <c r="AK86" s="1093">
        <f t="shared" si="76"/>
        <v>14233.21</v>
      </c>
      <c r="AL86" s="1093">
        <f t="shared" si="76"/>
        <v>4521.47</v>
      </c>
      <c r="AM86" s="1093">
        <f t="shared" si="76"/>
        <v>153977.4</v>
      </c>
      <c r="AN86" s="1093">
        <f t="shared" si="77"/>
        <v>11751.2</v>
      </c>
    </row>
    <row r="87" spans="1:40">
      <c r="A87" s="2" t="s">
        <v>12</v>
      </c>
      <c r="B87" s="20">
        <f t="shared" ref="B87:N87" si="88">B17+B52</f>
        <v>0</v>
      </c>
      <c r="C87" s="20">
        <f t="shared" si="88"/>
        <v>0</v>
      </c>
      <c r="D87" s="20">
        <f t="shared" si="88"/>
        <v>0</v>
      </c>
      <c r="E87" s="20">
        <f t="shared" si="88"/>
        <v>0</v>
      </c>
      <c r="F87" s="20">
        <f t="shared" si="88"/>
        <v>0</v>
      </c>
      <c r="G87" s="20">
        <f t="shared" si="88"/>
        <v>0</v>
      </c>
      <c r="H87" s="20">
        <f t="shared" si="88"/>
        <v>0</v>
      </c>
      <c r="I87" s="20">
        <f t="shared" si="88"/>
        <v>0</v>
      </c>
      <c r="J87" s="20">
        <f t="shared" si="88"/>
        <v>0</v>
      </c>
      <c r="K87" s="20">
        <f t="shared" si="88"/>
        <v>0</v>
      </c>
      <c r="L87" s="20">
        <f t="shared" si="88"/>
        <v>0</v>
      </c>
      <c r="M87" s="20">
        <f t="shared" si="88"/>
        <v>0</v>
      </c>
      <c r="N87" s="20">
        <f t="shared" si="88"/>
        <v>0</v>
      </c>
      <c r="O87" s="10">
        <f t="shared" si="73"/>
        <v>0</v>
      </c>
      <c r="R87" s="2" t="s">
        <v>99</v>
      </c>
      <c r="S87" s="20">
        <v>453132.79</v>
      </c>
      <c r="T87" s="20">
        <v>173621.12</v>
      </c>
      <c r="U87" s="20">
        <v>58428.82</v>
      </c>
      <c r="V87" s="20">
        <v>20748.03</v>
      </c>
      <c r="W87" s="20">
        <v>365255.55</v>
      </c>
      <c r="X87" s="20">
        <v>3428.25</v>
      </c>
      <c r="Y87" s="20">
        <v>30495.850000000006</v>
      </c>
      <c r="Z87" s="20"/>
      <c r="AA87" s="20">
        <v>19839.740000000002</v>
      </c>
      <c r="AB87" s="20">
        <v>2546.6999999999998</v>
      </c>
      <c r="AC87" s="20"/>
      <c r="AD87" s="20"/>
      <c r="AE87" s="20">
        <v>285.7</v>
      </c>
      <c r="AF87" s="20"/>
      <c r="AG87" s="20"/>
      <c r="AH87" s="10">
        <f t="shared" si="74"/>
        <v>1127782.5499999998</v>
      </c>
      <c r="AI87" s="1093">
        <f t="shared" si="76"/>
        <v>453132.79</v>
      </c>
      <c r="AJ87" s="1093">
        <f t="shared" si="76"/>
        <v>173621.12</v>
      </c>
      <c r="AK87" s="1093">
        <f t="shared" si="76"/>
        <v>58428.82</v>
      </c>
      <c r="AL87" s="1093">
        <f t="shared" si="76"/>
        <v>20748.03</v>
      </c>
      <c r="AM87" s="1093">
        <f t="shared" si="76"/>
        <v>365255.55</v>
      </c>
      <c r="AN87" s="1093">
        <f t="shared" si="77"/>
        <v>56596.240000000005</v>
      </c>
    </row>
    <row r="88" spans="1:40">
      <c r="A88" s="2" t="s">
        <v>15</v>
      </c>
      <c r="B88" s="20">
        <f t="shared" ref="B88:N88" si="89">B18+B53</f>
        <v>0</v>
      </c>
      <c r="C88" s="20">
        <f t="shared" si="89"/>
        <v>0</v>
      </c>
      <c r="D88" s="20">
        <f t="shared" si="89"/>
        <v>0</v>
      </c>
      <c r="E88" s="20">
        <f t="shared" si="89"/>
        <v>0</v>
      </c>
      <c r="F88" s="20">
        <f t="shared" si="89"/>
        <v>0</v>
      </c>
      <c r="G88" s="20">
        <f t="shared" si="89"/>
        <v>0</v>
      </c>
      <c r="H88" s="20">
        <f t="shared" si="89"/>
        <v>0</v>
      </c>
      <c r="I88" s="20">
        <f t="shared" si="89"/>
        <v>0</v>
      </c>
      <c r="J88" s="20">
        <f t="shared" si="89"/>
        <v>0</v>
      </c>
      <c r="K88" s="20">
        <f t="shared" si="89"/>
        <v>0</v>
      </c>
      <c r="L88" s="20">
        <f t="shared" si="89"/>
        <v>0</v>
      </c>
      <c r="M88" s="20">
        <f t="shared" si="89"/>
        <v>0</v>
      </c>
      <c r="N88" s="20">
        <f t="shared" si="89"/>
        <v>0</v>
      </c>
      <c r="O88" s="10">
        <f t="shared" si="73"/>
        <v>0</v>
      </c>
      <c r="R88" s="2" t="s">
        <v>100</v>
      </c>
      <c r="S88" s="20">
        <v>77039.19</v>
      </c>
      <c r="T88" s="20">
        <v>38561.160000000003</v>
      </c>
      <c r="U88" s="20">
        <v>9261.56</v>
      </c>
      <c r="V88" s="20">
        <v>3756.88</v>
      </c>
      <c r="W88" s="20">
        <v>54656.1</v>
      </c>
      <c r="X88" s="20">
        <v>4897.5</v>
      </c>
      <c r="Y88" s="20">
        <v>6557.2699999999995</v>
      </c>
      <c r="Z88" s="20"/>
      <c r="AA88" s="20">
        <v>3766.69</v>
      </c>
      <c r="AB88" s="20">
        <v>195.9</v>
      </c>
      <c r="AC88" s="20"/>
      <c r="AD88" s="20"/>
      <c r="AE88" s="20">
        <v>85.71</v>
      </c>
      <c r="AF88" s="20"/>
      <c r="AG88" s="20"/>
      <c r="AH88" s="10">
        <f t="shared" si="74"/>
        <v>198777.96</v>
      </c>
      <c r="AI88" s="1093">
        <f t="shared" si="76"/>
        <v>77039.19</v>
      </c>
      <c r="AJ88" s="1093">
        <f t="shared" si="76"/>
        <v>38561.160000000003</v>
      </c>
      <c r="AK88" s="1093">
        <f t="shared" si="76"/>
        <v>9261.56</v>
      </c>
      <c r="AL88" s="1093">
        <f t="shared" si="76"/>
        <v>3756.88</v>
      </c>
      <c r="AM88" s="1093">
        <f t="shared" si="76"/>
        <v>54656.1</v>
      </c>
      <c r="AN88" s="1093">
        <f t="shared" si="77"/>
        <v>15503.07</v>
      </c>
    </row>
    <row r="89" spans="1:40">
      <c r="A89" s="2" t="s">
        <v>14</v>
      </c>
      <c r="B89" s="20">
        <f t="shared" ref="B89:N89" si="90">B19+B54</f>
        <v>0</v>
      </c>
      <c r="C89" s="20">
        <f t="shared" si="90"/>
        <v>0</v>
      </c>
      <c r="D89" s="20">
        <f t="shared" si="90"/>
        <v>0</v>
      </c>
      <c r="E89" s="20">
        <f t="shared" si="90"/>
        <v>0</v>
      </c>
      <c r="F89" s="20">
        <f t="shared" si="90"/>
        <v>0</v>
      </c>
      <c r="G89" s="20">
        <f t="shared" si="90"/>
        <v>0</v>
      </c>
      <c r="H89" s="20">
        <f t="shared" si="90"/>
        <v>0</v>
      </c>
      <c r="I89" s="20">
        <f t="shared" si="90"/>
        <v>0</v>
      </c>
      <c r="J89" s="20">
        <f t="shared" si="90"/>
        <v>0</v>
      </c>
      <c r="K89" s="20">
        <f t="shared" si="90"/>
        <v>0</v>
      </c>
      <c r="L89" s="20">
        <f t="shared" si="90"/>
        <v>0</v>
      </c>
      <c r="M89" s="20">
        <f t="shared" si="90"/>
        <v>0</v>
      </c>
      <c r="N89" s="20">
        <f t="shared" si="90"/>
        <v>0</v>
      </c>
      <c r="O89" s="10">
        <f t="shared" si="73"/>
        <v>0</v>
      </c>
      <c r="R89" s="2" t="s">
        <v>101</v>
      </c>
      <c r="S89" s="20">
        <v>72002.92</v>
      </c>
      <c r="T89" s="20">
        <v>27013.51</v>
      </c>
      <c r="U89" s="20">
        <v>8240.18</v>
      </c>
      <c r="V89" s="20">
        <v>2760.93</v>
      </c>
      <c r="W89" s="20">
        <v>74539.95</v>
      </c>
      <c r="X89" s="20">
        <v>783.6</v>
      </c>
      <c r="Y89" s="20">
        <v>3822.12</v>
      </c>
      <c r="Z89" s="20"/>
      <c r="AA89" s="20">
        <v>3382.59</v>
      </c>
      <c r="AB89" s="20">
        <v>783.6</v>
      </c>
      <c r="AC89" s="20"/>
      <c r="AD89" s="20"/>
      <c r="AE89" s="20">
        <v>57.14</v>
      </c>
      <c r="AF89" s="20"/>
      <c r="AG89" s="20"/>
      <c r="AH89" s="10">
        <f t="shared" si="74"/>
        <v>193386.54</v>
      </c>
      <c r="AI89" s="1093">
        <f t="shared" si="76"/>
        <v>72002.92</v>
      </c>
      <c r="AJ89" s="1093">
        <f t="shared" si="76"/>
        <v>27013.51</v>
      </c>
      <c r="AK89" s="1093">
        <f t="shared" si="76"/>
        <v>8240.18</v>
      </c>
      <c r="AL89" s="1093">
        <f t="shared" si="76"/>
        <v>2760.93</v>
      </c>
      <c r="AM89" s="1093">
        <f t="shared" si="76"/>
        <v>74539.95</v>
      </c>
      <c r="AN89" s="1093">
        <f t="shared" si="77"/>
        <v>8829.0499999999993</v>
      </c>
    </row>
    <row r="90" spans="1:40">
      <c r="A90" s="2" t="s">
        <v>13</v>
      </c>
      <c r="B90" s="20">
        <f t="shared" ref="B90:N90" si="91">B20+B55</f>
        <v>0</v>
      </c>
      <c r="C90" s="20">
        <f t="shared" si="91"/>
        <v>0</v>
      </c>
      <c r="D90" s="20">
        <f t="shared" si="91"/>
        <v>0</v>
      </c>
      <c r="E90" s="20">
        <f t="shared" si="91"/>
        <v>0</v>
      </c>
      <c r="F90" s="20">
        <f t="shared" si="91"/>
        <v>0</v>
      </c>
      <c r="G90" s="20">
        <f t="shared" si="91"/>
        <v>0</v>
      </c>
      <c r="H90" s="20">
        <f t="shared" si="91"/>
        <v>0</v>
      </c>
      <c r="I90" s="20">
        <f t="shared" si="91"/>
        <v>0</v>
      </c>
      <c r="J90" s="20">
        <f t="shared" si="91"/>
        <v>0</v>
      </c>
      <c r="K90" s="20">
        <f t="shared" si="91"/>
        <v>0</v>
      </c>
      <c r="L90" s="20">
        <f t="shared" si="91"/>
        <v>0</v>
      </c>
      <c r="M90" s="20">
        <f t="shared" si="91"/>
        <v>0</v>
      </c>
      <c r="N90" s="20">
        <f t="shared" si="91"/>
        <v>0</v>
      </c>
      <c r="O90" s="10">
        <f t="shared" si="73"/>
        <v>0</v>
      </c>
      <c r="R90" s="2" t="s">
        <v>102</v>
      </c>
      <c r="S90" s="20">
        <v>430404.15</v>
      </c>
      <c r="T90" s="20">
        <v>135602.07999999999</v>
      </c>
      <c r="U90" s="20">
        <v>98394.38</v>
      </c>
      <c r="V90" s="20">
        <v>40061.629999999997</v>
      </c>
      <c r="W90" s="20">
        <v>566542.80000000005</v>
      </c>
      <c r="X90" s="20">
        <v>11166.3</v>
      </c>
      <c r="Y90" s="20">
        <v>23039.82</v>
      </c>
      <c r="Z90" s="20">
        <v>293.85000000000002</v>
      </c>
      <c r="AA90" s="20">
        <v>19052.55</v>
      </c>
      <c r="AB90" s="20">
        <v>3428.25</v>
      </c>
      <c r="AC90" s="20">
        <v>391.8</v>
      </c>
      <c r="AD90" s="20"/>
      <c r="AE90" s="20">
        <v>257.13</v>
      </c>
      <c r="AF90" s="20"/>
      <c r="AG90" s="20"/>
      <c r="AH90" s="10">
        <f t="shared" si="74"/>
        <v>1328634.7400000002</v>
      </c>
      <c r="AI90" s="1093">
        <f t="shared" si="76"/>
        <v>430404.15</v>
      </c>
      <c r="AJ90" s="1093">
        <f t="shared" si="76"/>
        <v>135602.07999999999</v>
      </c>
      <c r="AK90" s="1093">
        <f t="shared" si="76"/>
        <v>98394.38</v>
      </c>
      <c r="AL90" s="1093">
        <f t="shared" si="76"/>
        <v>40061.629999999997</v>
      </c>
      <c r="AM90" s="1093">
        <f t="shared" si="76"/>
        <v>566542.80000000005</v>
      </c>
      <c r="AN90" s="1093">
        <f t="shared" si="77"/>
        <v>57629.69999999999</v>
      </c>
    </row>
    <row r="91" spans="1:40">
      <c r="A91" s="2" t="s">
        <v>16</v>
      </c>
      <c r="B91" s="20">
        <f t="shared" ref="B91:N91" si="92">B21+B56</f>
        <v>0</v>
      </c>
      <c r="C91" s="20">
        <f t="shared" si="92"/>
        <v>0</v>
      </c>
      <c r="D91" s="20">
        <f t="shared" si="92"/>
        <v>0</v>
      </c>
      <c r="E91" s="20">
        <f t="shared" si="92"/>
        <v>0</v>
      </c>
      <c r="F91" s="20">
        <f t="shared" si="92"/>
        <v>0</v>
      </c>
      <c r="G91" s="20">
        <f t="shared" si="92"/>
        <v>0</v>
      </c>
      <c r="H91" s="20">
        <f t="shared" si="92"/>
        <v>0</v>
      </c>
      <c r="I91" s="20">
        <f t="shared" si="92"/>
        <v>0</v>
      </c>
      <c r="J91" s="20">
        <f t="shared" si="92"/>
        <v>0</v>
      </c>
      <c r="K91" s="20">
        <f t="shared" si="92"/>
        <v>0</v>
      </c>
      <c r="L91" s="20">
        <f t="shared" si="92"/>
        <v>0</v>
      </c>
      <c r="M91" s="20">
        <f t="shared" si="92"/>
        <v>0</v>
      </c>
      <c r="N91" s="20">
        <f t="shared" si="92"/>
        <v>0</v>
      </c>
      <c r="O91" s="10">
        <f t="shared" si="73"/>
        <v>0</v>
      </c>
      <c r="R91" s="2" t="s">
        <v>103</v>
      </c>
      <c r="S91" s="20">
        <v>143367.47</v>
      </c>
      <c r="T91" s="20">
        <v>40462.57</v>
      </c>
      <c r="U91" s="20">
        <v>13660.19</v>
      </c>
      <c r="V91" s="20">
        <v>3098.28</v>
      </c>
      <c r="W91" s="20">
        <v>117637.95</v>
      </c>
      <c r="X91" s="20">
        <v>1763.1000000000001</v>
      </c>
      <c r="Y91" s="20">
        <v>5491.73</v>
      </c>
      <c r="Z91" s="20">
        <v>1389.84</v>
      </c>
      <c r="AA91" s="20">
        <v>6955.7599999999993</v>
      </c>
      <c r="AB91" s="20">
        <v>685.65</v>
      </c>
      <c r="AC91" s="20"/>
      <c r="AD91" s="20"/>
      <c r="AE91" s="20">
        <v>57.14</v>
      </c>
      <c r="AF91" s="20"/>
      <c r="AG91" s="20"/>
      <c r="AH91" s="10">
        <f t="shared" si="74"/>
        <v>334569.68000000005</v>
      </c>
      <c r="AI91" s="1093">
        <f t="shared" si="76"/>
        <v>143367.47</v>
      </c>
      <c r="AJ91" s="1093">
        <f t="shared" si="76"/>
        <v>40462.57</v>
      </c>
      <c r="AK91" s="1093">
        <f t="shared" si="76"/>
        <v>13660.19</v>
      </c>
      <c r="AL91" s="1093">
        <f t="shared" si="76"/>
        <v>3098.28</v>
      </c>
      <c r="AM91" s="1093">
        <f t="shared" si="76"/>
        <v>117637.95</v>
      </c>
      <c r="AN91" s="1093">
        <f t="shared" si="77"/>
        <v>16343.22</v>
      </c>
    </row>
    <row r="92" spans="1:40">
      <c r="A92" s="2" t="s">
        <v>17</v>
      </c>
      <c r="B92" s="20">
        <f t="shared" ref="B92:N92" si="93">B22+B57</f>
        <v>0</v>
      </c>
      <c r="C92" s="20">
        <f t="shared" si="93"/>
        <v>0</v>
      </c>
      <c r="D92" s="20">
        <f t="shared" si="93"/>
        <v>0</v>
      </c>
      <c r="E92" s="20">
        <f t="shared" si="93"/>
        <v>0</v>
      </c>
      <c r="F92" s="20">
        <f t="shared" si="93"/>
        <v>0</v>
      </c>
      <c r="G92" s="20">
        <f t="shared" si="93"/>
        <v>0</v>
      </c>
      <c r="H92" s="20">
        <f t="shared" si="93"/>
        <v>0</v>
      </c>
      <c r="I92" s="20">
        <f t="shared" si="93"/>
        <v>0</v>
      </c>
      <c r="J92" s="20">
        <f t="shared" si="93"/>
        <v>0</v>
      </c>
      <c r="K92" s="20">
        <f t="shared" si="93"/>
        <v>0</v>
      </c>
      <c r="L92" s="20">
        <f t="shared" si="93"/>
        <v>0</v>
      </c>
      <c r="M92" s="20">
        <f t="shared" si="93"/>
        <v>0</v>
      </c>
      <c r="N92" s="20">
        <f t="shared" si="93"/>
        <v>0</v>
      </c>
      <c r="O92" s="10">
        <f t="shared" si="73"/>
        <v>0</v>
      </c>
      <c r="R92" s="2" t="s">
        <v>104</v>
      </c>
      <c r="S92" s="20">
        <v>35638</v>
      </c>
      <c r="T92" s="20">
        <v>6649.94</v>
      </c>
      <c r="U92" s="20">
        <v>4503.82</v>
      </c>
      <c r="V92" s="20">
        <v>671.07</v>
      </c>
      <c r="W92" s="20">
        <v>29385</v>
      </c>
      <c r="X92" s="20">
        <v>979.5</v>
      </c>
      <c r="Y92" s="20">
        <v>716.76999999999987</v>
      </c>
      <c r="Z92" s="20"/>
      <c r="AA92" s="20">
        <v>1198.01</v>
      </c>
      <c r="AB92" s="20"/>
      <c r="AC92" s="20"/>
      <c r="AD92" s="20"/>
      <c r="AE92" s="20"/>
      <c r="AF92" s="20"/>
      <c r="AG92" s="20"/>
      <c r="AH92" s="10">
        <f t="shared" si="74"/>
        <v>79742.11</v>
      </c>
      <c r="AI92" s="1093">
        <f t="shared" si="76"/>
        <v>35638</v>
      </c>
      <c r="AJ92" s="1093">
        <f t="shared" si="76"/>
        <v>6649.94</v>
      </c>
      <c r="AK92" s="1093">
        <f t="shared" si="76"/>
        <v>4503.82</v>
      </c>
      <c r="AL92" s="1093">
        <f t="shared" si="76"/>
        <v>671.07</v>
      </c>
      <c r="AM92" s="1093">
        <f t="shared" si="76"/>
        <v>29385</v>
      </c>
      <c r="AN92" s="1093">
        <f t="shared" si="77"/>
        <v>2894.2799999999997</v>
      </c>
    </row>
    <row r="93" spans="1:40">
      <c r="A93" s="2" t="s">
        <v>18</v>
      </c>
      <c r="B93" s="20">
        <f t="shared" ref="B93:N93" si="94">B23+B58</f>
        <v>0</v>
      </c>
      <c r="C93" s="20">
        <f t="shared" si="94"/>
        <v>0</v>
      </c>
      <c r="D93" s="20">
        <f t="shared" si="94"/>
        <v>0</v>
      </c>
      <c r="E93" s="20">
        <f t="shared" si="94"/>
        <v>0</v>
      </c>
      <c r="F93" s="20">
        <f t="shared" si="94"/>
        <v>0</v>
      </c>
      <c r="G93" s="20">
        <f t="shared" si="94"/>
        <v>0</v>
      </c>
      <c r="H93" s="20">
        <f t="shared" si="94"/>
        <v>0</v>
      </c>
      <c r="I93" s="20">
        <f t="shared" si="94"/>
        <v>0</v>
      </c>
      <c r="J93" s="20">
        <f t="shared" si="94"/>
        <v>0</v>
      </c>
      <c r="K93" s="20">
        <f t="shared" si="94"/>
        <v>0</v>
      </c>
      <c r="L93" s="20">
        <f t="shared" si="94"/>
        <v>0</v>
      </c>
      <c r="M93" s="20">
        <f t="shared" si="94"/>
        <v>0</v>
      </c>
      <c r="N93" s="20">
        <f t="shared" si="94"/>
        <v>0</v>
      </c>
      <c r="O93" s="10">
        <f t="shared" si="73"/>
        <v>0</v>
      </c>
      <c r="R93" s="2" t="s">
        <v>105</v>
      </c>
      <c r="S93" s="20">
        <v>556746.85</v>
      </c>
      <c r="T93" s="20">
        <v>117355.13</v>
      </c>
      <c r="U93" s="20">
        <v>94844.22</v>
      </c>
      <c r="V93" s="20">
        <v>19051.170000000002</v>
      </c>
      <c r="W93" s="20">
        <v>374655.56</v>
      </c>
      <c r="X93" s="20">
        <v>17239.2</v>
      </c>
      <c r="Y93" s="20">
        <v>26628.19</v>
      </c>
      <c r="Z93" s="20">
        <v>4667.3999999999996</v>
      </c>
      <c r="AA93" s="20">
        <v>14247</v>
      </c>
      <c r="AB93" s="20">
        <v>881.55</v>
      </c>
      <c r="AC93" s="20">
        <v>195.9</v>
      </c>
      <c r="AD93" s="20"/>
      <c r="AE93" s="20">
        <v>542.83000000000004</v>
      </c>
      <c r="AF93" s="20"/>
      <c r="AG93" s="20"/>
      <c r="AH93" s="10">
        <f t="shared" si="74"/>
        <v>1227054.9999999998</v>
      </c>
      <c r="AI93" s="1093">
        <f t="shared" si="76"/>
        <v>556746.85</v>
      </c>
      <c r="AJ93" s="1093">
        <f t="shared" si="76"/>
        <v>117355.13</v>
      </c>
      <c r="AK93" s="1093">
        <f t="shared" si="76"/>
        <v>94844.22</v>
      </c>
      <c r="AL93" s="1093">
        <f t="shared" si="76"/>
        <v>19051.170000000002</v>
      </c>
      <c r="AM93" s="1093">
        <f t="shared" si="76"/>
        <v>374655.56</v>
      </c>
      <c r="AN93" s="1093">
        <f t="shared" si="77"/>
        <v>64402.070000000007</v>
      </c>
    </row>
    <row r="94" spans="1:40">
      <c r="A94" s="2" t="s">
        <v>20</v>
      </c>
      <c r="B94" s="20">
        <f t="shared" ref="B94:N94" si="95">B24+B59</f>
        <v>0</v>
      </c>
      <c r="C94" s="20">
        <f t="shared" si="95"/>
        <v>0</v>
      </c>
      <c r="D94" s="20">
        <f t="shared" si="95"/>
        <v>0</v>
      </c>
      <c r="E94" s="20">
        <f t="shared" si="95"/>
        <v>0</v>
      </c>
      <c r="F94" s="20">
        <f t="shared" si="95"/>
        <v>0</v>
      </c>
      <c r="G94" s="20">
        <f t="shared" si="95"/>
        <v>0</v>
      </c>
      <c r="H94" s="20">
        <f t="shared" si="95"/>
        <v>0</v>
      </c>
      <c r="I94" s="20">
        <f t="shared" si="95"/>
        <v>0</v>
      </c>
      <c r="J94" s="20">
        <f t="shared" si="95"/>
        <v>0</v>
      </c>
      <c r="K94" s="20">
        <f t="shared" si="95"/>
        <v>0</v>
      </c>
      <c r="L94" s="20">
        <f t="shared" si="95"/>
        <v>0</v>
      </c>
      <c r="M94" s="20">
        <f t="shared" si="95"/>
        <v>0</v>
      </c>
      <c r="N94" s="20">
        <f t="shared" si="95"/>
        <v>0</v>
      </c>
      <c r="O94" s="10">
        <f t="shared" si="73"/>
        <v>0</v>
      </c>
      <c r="R94" s="2" t="s">
        <v>106</v>
      </c>
      <c r="S94" s="20">
        <v>92476.83</v>
      </c>
      <c r="T94" s="20">
        <v>39408.280000000006</v>
      </c>
      <c r="U94" s="20">
        <v>6876.73</v>
      </c>
      <c r="V94" s="20">
        <v>2927.49</v>
      </c>
      <c r="W94" s="20">
        <v>62100.3</v>
      </c>
      <c r="X94" s="20">
        <v>2546.6999999999998</v>
      </c>
      <c r="Y94" s="20">
        <v>5671.5</v>
      </c>
      <c r="Z94" s="20"/>
      <c r="AA94" s="20">
        <v>4905.34</v>
      </c>
      <c r="AB94" s="20">
        <v>97.95</v>
      </c>
      <c r="AC94" s="20"/>
      <c r="AD94" s="20"/>
      <c r="AE94" s="20">
        <v>85.71</v>
      </c>
      <c r="AF94" s="20"/>
      <c r="AG94" s="20"/>
      <c r="AH94" s="10">
        <f t="shared" si="74"/>
        <v>217096.83000000002</v>
      </c>
      <c r="AI94" s="1093">
        <f t="shared" si="76"/>
        <v>92476.83</v>
      </c>
      <c r="AJ94" s="1093">
        <f t="shared" si="76"/>
        <v>39408.280000000006</v>
      </c>
      <c r="AK94" s="1093">
        <f t="shared" si="76"/>
        <v>6876.73</v>
      </c>
      <c r="AL94" s="1093">
        <f t="shared" si="76"/>
        <v>2927.49</v>
      </c>
      <c r="AM94" s="1093">
        <f t="shared" si="76"/>
        <v>62100.3</v>
      </c>
      <c r="AN94" s="1093">
        <f t="shared" si="77"/>
        <v>13307.2</v>
      </c>
    </row>
    <row r="95" spans="1:40">
      <c r="A95" s="2" t="s">
        <v>19</v>
      </c>
      <c r="B95" s="20">
        <f t="shared" ref="B95:N95" si="96">B25+B60</f>
        <v>0</v>
      </c>
      <c r="C95" s="20">
        <f t="shared" si="96"/>
        <v>0</v>
      </c>
      <c r="D95" s="20">
        <f t="shared" si="96"/>
        <v>0</v>
      </c>
      <c r="E95" s="20">
        <f t="shared" si="96"/>
        <v>0</v>
      </c>
      <c r="F95" s="20">
        <f t="shared" si="96"/>
        <v>0</v>
      </c>
      <c r="G95" s="20">
        <f t="shared" si="96"/>
        <v>0</v>
      </c>
      <c r="H95" s="20">
        <f t="shared" si="96"/>
        <v>0</v>
      </c>
      <c r="I95" s="20">
        <f t="shared" si="96"/>
        <v>0</v>
      </c>
      <c r="J95" s="20">
        <f t="shared" si="96"/>
        <v>0</v>
      </c>
      <c r="K95" s="20">
        <f t="shared" si="96"/>
        <v>0</v>
      </c>
      <c r="L95" s="20">
        <f t="shared" si="96"/>
        <v>0</v>
      </c>
      <c r="M95" s="20">
        <f t="shared" si="96"/>
        <v>0</v>
      </c>
      <c r="N95" s="20">
        <f t="shared" si="96"/>
        <v>0</v>
      </c>
      <c r="O95" s="10">
        <f t="shared" si="73"/>
        <v>0</v>
      </c>
      <c r="R95" s="2" t="s">
        <v>107</v>
      </c>
      <c r="S95" s="20">
        <v>502816.05</v>
      </c>
      <c r="T95" s="20">
        <v>123107.44</v>
      </c>
      <c r="U95" s="20">
        <v>78575.929999999993</v>
      </c>
      <c r="V95" s="20">
        <v>34228.39</v>
      </c>
      <c r="W95" s="20">
        <v>673406.25</v>
      </c>
      <c r="X95" s="20">
        <v>6856.5</v>
      </c>
      <c r="Y95" s="20">
        <v>22176.06</v>
      </c>
      <c r="Z95" s="20">
        <v>816.59</v>
      </c>
      <c r="AA95" s="20">
        <v>14784.57</v>
      </c>
      <c r="AB95" s="20">
        <v>2546.6999999999998</v>
      </c>
      <c r="AC95" s="20">
        <v>391.8</v>
      </c>
      <c r="AD95" s="20">
        <v>838.98</v>
      </c>
      <c r="AE95" s="20">
        <v>171.42</v>
      </c>
      <c r="AF95" s="20"/>
      <c r="AG95" s="20"/>
      <c r="AH95" s="10">
        <f t="shared" si="74"/>
        <v>1460716.6800000002</v>
      </c>
      <c r="AI95" s="1093">
        <f t="shared" si="76"/>
        <v>502816.05</v>
      </c>
      <c r="AJ95" s="1093">
        <f t="shared" si="76"/>
        <v>123107.44</v>
      </c>
      <c r="AK95" s="1093">
        <f t="shared" si="76"/>
        <v>78575.929999999993</v>
      </c>
      <c r="AL95" s="1093">
        <f t="shared" si="76"/>
        <v>34228.39</v>
      </c>
      <c r="AM95" s="1093">
        <f t="shared" si="76"/>
        <v>673406.25</v>
      </c>
      <c r="AN95" s="1093">
        <f t="shared" si="77"/>
        <v>48582.62</v>
      </c>
    </row>
    <row r="96" spans="1:40">
      <c r="A96" s="2" t="s">
        <v>21</v>
      </c>
      <c r="B96" s="20">
        <f t="shared" ref="B96:N96" si="97">B26+B61</f>
        <v>0</v>
      </c>
      <c r="C96" s="20">
        <f t="shared" si="97"/>
        <v>0</v>
      </c>
      <c r="D96" s="20">
        <f t="shared" si="97"/>
        <v>0</v>
      </c>
      <c r="E96" s="20">
        <f t="shared" si="97"/>
        <v>0</v>
      </c>
      <c r="F96" s="20">
        <f t="shared" si="97"/>
        <v>0</v>
      </c>
      <c r="G96" s="20">
        <f t="shared" si="97"/>
        <v>0</v>
      </c>
      <c r="H96" s="20">
        <f t="shared" si="97"/>
        <v>0</v>
      </c>
      <c r="I96" s="20">
        <f t="shared" si="97"/>
        <v>0</v>
      </c>
      <c r="J96" s="20">
        <f t="shared" si="97"/>
        <v>0</v>
      </c>
      <c r="K96" s="20">
        <f t="shared" si="97"/>
        <v>0</v>
      </c>
      <c r="L96" s="20">
        <f t="shared" si="97"/>
        <v>0</v>
      </c>
      <c r="M96" s="20">
        <f t="shared" si="97"/>
        <v>0</v>
      </c>
      <c r="N96" s="20">
        <f t="shared" si="97"/>
        <v>0</v>
      </c>
      <c r="O96" s="10">
        <f t="shared" si="73"/>
        <v>0</v>
      </c>
      <c r="R96" s="2" t="s">
        <v>108</v>
      </c>
      <c r="S96" s="20">
        <v>33328.36</v>
      </c>
      <c r="T96" s="20">
        <v>6498.6200000000008</v>
      </c>
      <c r="U96" s="20">
        <v>6104.54</v>
      </c>
      <c r="V96" s="20">
        <v>1259.74</v>
      </c>
      <c r="W96" s="20">
        <v>59357.7</v>
      </c>
      <c r="X96" s="20">
        <v>1077.45</v>
      </c>
      <c r="Y96" s="20">
        <v>977.42000000000007</v>
      </c>
      <c r="Z96" s="20"/>
      <c r="AA96" s="20">
        <v>916.02</v>
      </c>
      <c r="AB96" s="20"/>
      <c r="AC96" s="20"/>
      <c r="AD96" s="20"/>
      <c r="AE96" s="20">
        <v>28.57</v>
      </c>
      <c r="AF96" s="20"/>
      <c r="AG96" s="20"/>
      <c r="AH96" s="10">
        <f t="shared" si="74"/>
        <v>109548.42</v>
      </c>
      <c r="AI96" s="1093">
        <f t="shared" si="76"/>
        <v>33328.36</v>
      </c>
      <c r="AJ96" s="1093">
        <f t="shared" si="76"/>
        <v>6498.6200000000008</v>
      </c>
      <c r="AK96" s="1093">
        <f t="shared" si="76"/>
        <v>6104.54</v>
      </c>
      <c r="AL96" s="1093">
        <f t="shared" si="76"/>
        <v>1259.74</v>
      </c>
      <c r="AM96" s="1093">
        <f t="shared" si="76"/>
        <v>59357.7</v>
      </c>
      <c r="AN96" s="1093">
        <f t="shared" si="77"/>
        <v>2999.46</v>
      </c>
    </row>
    <row r="97" spans="1:40">
      <c r="A97" s="2" t="s">
        <v>22</v>
      </c>
      <c r="B97" s="20">
        <f t="shared" ref="B97:N97" si="98">B27+B62</f>
        <v>0</v>
      </c>
      <c r="C97" s="20">
        <f t="shared" si="98"/>
        <v>0</v>
      </c>
      <c r="D97" s="20">
        <f t="shared" si="98"/>
        <v>0</v>
      </c>
      <c r="E97" s="20">
        <f t="shared" si="98"/>
        <v>0</v>
      </c>
      <c r="F97" s="20">
        <f t="shared" si="98"/>
        <v>0</v>
      </c>
      <c r="G97" s="20">
        <f t="shared" si="98"/>
        <v>0</v>
      </c>
      <c r="H97" s="20">
        <f t="shared" si="98"/>
        <v>0</v>
      </c>
      <c r="I97" s="20">
        <f t="shared" si="98"/>
        <v>0</v>
      </c>
      <c r="J97" s="20">
        <f t="shared" si="98"/>
        <v>0</v>
      </c>
      <c r="K97" s="20">
        <f t="shared" si="98"/>
        <v>0</v>
      </c>
      <c r="L97" s="20">
        <f t="shared" si="98"/>
        <v>0</v>
      </c>
      <c r="M97" s="20">
        <f t="shared" si="98"/>
        <v>0</v>
      </c>
      <c r="N97" s="20">
        <f t="shared" si="98"/>
        <v>0</v>
      </c>
      <c r="O97" s="10">
        <f t="shared" si="73"/>
        <v>0</v>
      </c>
      <c r="R97" s="2" t="s">
        <v>109</v>
      </c>
      <c r="S97" s="20">
        <v>5781.95</v>
      </c>
      <c r="T97" s="20">
        <v>276.39</v>
      </c>
      <c r="U97" s="20">
        <v>1876.14</v>
      </c>
      <c r="V97" s="20">
        <v>221.13</v>
      </c>
      <c r="W97" s="20">
        <v>9990.9</v>
      </c>
      <c r="X97" s="20">
        <v>0</v>
      </c>
      <c r="Y97" s="20">
        <v>25.269999999999996</v>
      </c>
      <c r="Z97" s="20"/>
      <c r="AA97" s="20">
        <v>104.56</v>
      </c>
      <c r="AB97" s="20"/>
      <c r="AC97" s="20"/>
      <c r="AD97" s="20"/>
      <c r="AE97" s="20"/>
      <c r="AF97" s="20"/>
      <c r="AG97" s="20"/>
      <c r="AH97" s="10">
        <f t="shared" si="74"/>
        <v>18276.340000000004</v>
      </c>
      <c r="AI97" s="1093">
        <f t="shared" si="76"/>
        <v>5781.95</v>
      </c>
      <c r="AJ97" s="1093">
        <f t="shared" si="76"/>
        <v>276.39</v>
      </c>
      <c r="AK97" s="1093">
        <f t="shared" si="76"/>
        <v>1876.14</v>
      </c>
      <c r="AL97" s="1093">
        <f t="shared" si="76"/>
        <v>221.13</v>
      </c>
      <c r="AM97" s="1093">
        <f t="shared" si="76"/>
        <v>9990.9</v>
      </c>
      <c r="AN97" s="1093">
        <f t="shared" si="77"/>
        <v>129.82999999999998</v>
      </c>
    </row>
    <row r="98" spans="1:40">
      <c r="A98" s="2" t="s">
        <v>23</v>
      </c>
      <c r="B98" s="20">
        <f t="shared" ref="B98:N98" si="99">B28+B63</f>
        <v>0</v>
      </c>
      <c r="C98" s="20">
        <f t="shared" si="99"/>
        <v>0</v>
      </c>
      <c r="D98" s="20">
        <f t="shared" si="99"/>
        <v>0</v>
      </c>
      <c r="E98" s="20">
        <f t="shared" si="99"/>
        <v>0</v>
      </c>
      <c r="F98" s="20">
        <f t="shared" si="99"/>
        <v>0</v>
      </c>
      <c r="G98" s="20">
        <f t="shared" si="99"/>
        <v>0</v>
      </c>
      <c r="H98" s="20">
        <f t="shared" si="99"/>
        <v>0</v>
      </c>
      <c r="I98" s="20">
        <f t="shared" si="99"/>
        <v>0</v>
      </c>
      <c r="J98" s="20">
        <f t="shared" si="99"/>
        <v>0</v>
      </c>
      <c r="K98" s="20">
        <f t="shared" si="99"/>
        <v>0</v>
      </c>
      <c r="L98" s="20">
        <f t="shared" si="99"/>
        <v>0</v>
      </c>
      <c r="M98" s="20">
        <f t="shared" si="99"/>
        <v>0</v>
      </c>
      <c r="N98" s="20">
        <f t="shared" si="99"/>
        <v>0</v>
      </c>
      <c r="O98" s="10">
        <f t="shared" si="73"/>
        <v>0</v>
      </c>
      <c r="R98" s="2" t="s">
        <v>110</v>
      </c>
      <c r="S98" s="20">
        <v>352708.41</v>
      </c>
      <c r="T98" s="20">
        <v>45223.89</v>
      </c>
      <c r="U98" s="20">
        <v>50845.74</v>
      </c>
      <c r="V98" s="20">
        <v>8215.0499999999993</v>
      </c>
      <c r="W98" s="20">
        <v>402868.35</v>
      </c>
      <c r="X98" s="20">
        <v>4211.8500000000004</v>
      </c>
      <c r="Y98" s="20">
        <v>6797.65</v>
      </c>
      <c r="Z98" s="20"/>
      <c r="AA98" s="20">
        <v>6489.83</v>
      </c>
      <c r="AB98" s="20">
        <v>1371.3</v>
      </c>
      <c r="AC98" s="20"/>
      <c r="AD98" s="20"/>
      <c r="AE98" s="20">
        <v>57.14</v>
      </c>
      <c r="AF98" s="20"/>
      <c r="AG98" s="20"/>
      <c r="AH98" s="10">
        <f t="shared" si="74"/>
        <v>878789.21</v>
      </c>
      <c r="AI98" s="1093">
        <f t="shared" si="76"/>
        <v>352708.41</v>
      </c>
      <c r="AJ98" s="1093">
        <f t="shared" si="76"/>
        <v>45223.89</v>
      </c>
      <c r="AK98" s="1093">
        <f t="shared" si="76"/>
        <v>50845.74</v>
      </c>
      <c r="AL98" s="1093">
        <f t="shared" si="76"/>
        <v>8215.0499999999993</v>
      </c>
      <c r="AM98" s="1093">
        <f t="shared" si="76"/>
        <v>402868.35</v>
      </c>
      <c r="AN98" s="1093">
        <f t="shared" si="77"/>
        <v>18927.77</v>
      </c>
    </row>
    <row r="99" spans="1:40">
      <c r="A99" s="2" t="s">
        <v>25</v>
      </c>
      <c r="B99" s="20">
        <f t="shared" ref="B99:N99" si="100">B29+B64</f>
        <v>0</v>
      </c>
      <c r="C99" s="20">
        <f t="shared" si="100"/>
        <v>0</v>
      </c>
      <c r="D99" s="20">
        <f t="shared" si="100"/>
        <v>0</v>
      </c>
      <c r="E99" s="20">
        <f t="shared" si="100"/>
        <v>0</v>
      </c>
      <c r="F99" s="20">
        <f t="shared" si="100"/>
        <v>0</v>
      </c>
      <c r="G99" s="20">
        <f t="shared" si="100"/>
        <v>0</v>
      </c>
      <c r="H99" s="20">
        <f t="shared" si="100"/>
        <v>0</v>
      </c>
      <c r="I99" s="20">
        <f t="shared" si="100"/>
        <v>0</v>
      </c>
      <c r="J99" s="20">
        <f t="shared" si="100"/>
        <v>0</v>
      </c>
      <c r="K99" s="20">
        <f t="shared" si="100"/>
        <v>0</v>
      </c>
      <c r="L99" s="20">
        <f t="shared" si="100"/>
        <v>0</v>
      </c>
      <c r="M99" s="20">
        <f t="shared" si="100"/>
        <v>0</v>
      </c>
      <c r="N99" s="20">
        <f t="shared" si="100"/>
        <v>0</v>
      </c>
      <c r="O99" s="10">
        <f t="shared" si="73"/>
        <v>0</v>
      </c>
      <c r="R99" s="2" t="s">
        <v>111</v>
      </c>
      <c r="S99" s="20">
        <v>1963611.94</v>
      </c>
      <c r="T99" s="20">
        <v>508266.64</v>
      </c>
      <c r="U99" s="20">
        <v>277033.82</v>
      </c>
      <c r="V99" s="20">
        <v>64552.07</v>
      </c>
      <c r="W99" s="20">
        <v>2490966.4500000002</v>
      </c>
      <c r="X99" s="20">
        <v>21940.800000000003</v>
      </c>
      <c r="Y99" s="20">
        <v>107354.48999999999</v>
      </c>
      <c r="Z99" s="20">
        <v>5236</v>
      </c>
      <c r="AA99" s="20">
        <v>54267.42</v>
      </c>
      <c r="AB99" s="20">
        <v>5289.3</v>
      </c>
      <c r="AC99" s="20">
        <v>979.5</v>
      </c>
      <c r="AD99" s="20"/>
      <c r="AE99" s="20">
        <v>1028.52</v>
      </c>
      <c r="AF99" s="20">
        <v>291.01</v>
      </c>
      <c r="AG99" s="20">
        <v>5896.24</v>
      </c>
      <c r="AH99" s="10">
        <f t="shared" si="74"/>
        <v>5506714.1999999993</v>
      </c>
      <c r="AI99" s="1093">
        <f t="shared" si="76"/>
        <v>1963611.94</v>
      </c>
      <c r="AJ99" s="1093">
        <f t="shared" si="76"/>
        <v>508266.64</v>
      </c>
      <c r="AK99" s="1093">
        <f t="shared" si="76"/>
        <v>277033.82</v>
      </c>
      <c r="AL99" s="1093">
        <f t="shared" si="76"/>
        <v>64552.07</v>
      </c>
      <c r="AM99" s="1093">
        <f t="shared" si="76"/>
        <v>2490966.4500000002</v>
      </c>
      <c r="AN99" s="1093">
        <f t="shared" si="77"/>
        <v>202283.27999999994</v>
      </c>
    </row>
    <row r="100" spans="1:40">
      <c r="A100" s="2" t="s">
        <v>24</v>
      </c>
      <c r="B100" s="20">
        <f t="shared" ref="B100:N100" si="101">B30+B65</f>
        <v>0</v>
      </c>
      <c r="C100" s="20">
        <f t="shared" si="101"/>
        <v>0</v>
      </c>
      <c r="D100" s="20">
        <f t="shared" si="101"/>
        <v>0</v>
      </c>
      <c r="E100" s="20">
        <f t="shared" si="101"/>
        <v>0</v>
      </c>
      <c r="F100" s="20">
        <f t="shared" si="101"/>
        <v>0</v>
      </c>
      <c r="G100" s="20">
        <f t="shared" si="101"/>
        <v>0</v>
      </c>
      <c r="H100" s="20">
        <f t="shared" si="101"/>
        <v>0</v>
      </c>
      <c r="I100" s="20">
        <f t="shared" si="101"/>
        <v>0</v>
      </c>
      <c r="J100" s="20">
        <f t="shared" si="101"/>
        <v>0</v>
      </c>
      <c r="K100" s="20">
        <f t="shared" si="101"/>
        <v>0</v>
      </c>
      <c r="L100" s="20">
        <f t="shared" si="101"/>
        <v>0</v>
      </c>
      <c r="M100" s="20">
        <f t="shared" si="101"/>
        <v>0</v>
      </c>
      <c r="N100" s="20">
        <f t="shared" si="101"/>
        <v>0</v>
      </c>
      <c r="O100" s="10">
        <f t="shared" si="73"/>
        <v>0</v>
      </c>
      <c r="R100" s="2" t="s">
        <v>112</v>
      </c>
      <c r="S100" s="20">
        <v>41943.46</v>
      </c>
      <c r="T100" s="20">
        <v>9146.7000000000007</v>
      </c>
      <c r="U100" s="20">
        <v>6247.39</v>
      </c>
      <c r="V100" s="20">
        <v>855.36999999999989</v>
      </c>
      <c r="W100" s="20">
        <v>51815.55</v>
      </c>
      <c r="X100" s="20">
        <v>1861.0500000000002</v>
      </c>
      <c r="Y100" s="20">
        <v>1076.21</v>
      </c>
      <c r="Z100" s="20"/>
      <c r="AA100" s="20">
        <v>1413.46</v>
      </c>
      <c r="AB100" s="20">
        <v>97.95</v>
      </c>
      <c r="AC100" s="20"/>
      <c r="AD100" s="20"/>
      <c r="AE100" s="20"/>
      <c r="AF100" s="20"/>
      <c r="AG100" s="20"/>
      <c r="AH100" s="10">
        <f t="shared" si="74"/>
        <v>114457.14000000001</v>
      </c>
      <c r="AI100" s="1093">
        <f t="shared" si="76"/>
        <v>41943.46</v>
      </c>
      <c r="AJ100" s="1093">
        <f t="shared" si="76"/>
        <v>9146.7000000000007</v>
      </c>
      <c r="AK100" s="1093">
        <f t="shared" si="76"/>
        <v>6247.39</v>
      </c>
      <c r="AL100" s="1093">
        <f t="shared" si="76"/>
        <v>855.36999999999989</v>
      </c>
      <c r="AM100" s="1093">
        <f t="shared" si="76"/>
        <v>51815.55</v>
      </c>
      <c r="AN100" s="1093">
        <f t="shared" si="77"/>
        <v>4448.67</v>
      </c>
    </row>
    <row r="101" spans="1:40">
      <c r="A101" s="2" t="s">
        <v>26</v>
      </c>
      <c r="B101" s="20">
        <f t="shared" ref="B101:N101" si="102">B31+B66</f>
        <v>0</v>
      </c>
      <c r="C101" s="20">
        <f t="shared" si="102"/>
        <v>0</v>
      </c>
      <c r="D101" s="20">
        <f t="shared" si="102"/>
        <v>0</v>
      </c>
      <c r="E101" s="20">
        <f t="shared" si="102"/>
        <v>0</v>
      </c>
      <c r="F101" s="20">
        <f t="shared" si="102"/>
        <v>0</v>
      </c>
      <c r="G101" s="20">
        <f t="shared" si="102"/>
        <v>0</v>
      </c>
      <c r="H101" s="20">
        <f t="shared" si="102"/>
        <v>0</v>
      </c>
      <c r="I101" s="20">
        <f t="shared" si="102"/>
        <v>0</v>
      </c>
      <c r="J101" s="20">
        <f t="shared" si="102"/>
        <v>0</v>
      </c>
      <c r="K101" s="20">
        <f t="shared" si="102"/>
        <v>0</v>
      </c>
      <c r="L101" s="20">
        <f t="shared" si="102"/>
        <v>0</v>
      </c>
      <c r="M101" s="20">
        <f t="shared" si="102"/>
        <v>0</v>
      </c>
      <c r="N101" s="20">
        <f t="shared" si="102"/>
        <v>0</v>
      </c>
      <c r="O101" s="10">
        <f t="shared" si="73"/>
        <v>0</v>
      </c>
      <c r="R101" s="2" t="s">
        <v>113</v>
      </c>
      <c r="S101" s="20">
        <v>27489.87</v>
      </c>
      <c r="T101" s="20">
        <v>10464.39</v>
      </c>
      <c r="U101" s="20">
        <v>4214.1400000000003</v>
      </c>
      <c r="V101" s="20">
        <v>2209.2199999999998</v>
      </c>
      <c r="W101" s="20">
        <v>34380.449999999997</v>
      </c>
      <c r="X101" s="20">
        <v>783.6</v>
      </c>
      <c r="Y101" s="20">
        <v>1759.4099999999999</v>
      </c>
      <c r="Z101" s="20"/>
      <c r="AA101" s="20">
        <v>1535.96</v>
      </c>
      <c r="AB101" s="20"/>
      <c r="AC101" s="20"/>
      <c r="AD101" s="20"/>
      <c r="AE101" s="20"/>
      <c r="AF101" s="20"/>
      <c r="AG101" s="20"/>
      <c r="AH101" s="10">
        <f t="shared" si="74"/>
        <v>82837.040000000008</v>
      </c>
      <c r="AI101" s="1093">
        <f t="shared" si="76"/>
        <v>27489.87</v>
      </c>
      <c r="AJ101" s="1093">
        <f t="shared" si="76"/>
        <v>10464.39</v>
      </c>
      <c r="AK101" s="1093">
        <f t="shared" si="76"/>
        <v>4214.1400000000003</v>
      </c>
      <c r="AL101" s="1093">
        <f t="shared" si="76"/>
        <v>2209.2199999999998</v>
      </c>
      <c r="AM101" s="1093">
        <f t="shared" si="76"/>
        <v>34380.449999999997</v>
      </c>
      <c r="AN101" s="1093">
        <f t="shared" si="77"/>
        <v>4078.97</v>
      </c>
    </row>
    <row r="102" spans="1:40">
      <c r="A102" s="7" t="s">
        <v>37</v>
      </c>
      <c r="B102" s="14">
        <f t="shared" ref="B102:O102" si="103">SUM(B75:B101)</f>
        <v>0</v>
      </c>
      <c r="C102" s="14">
        <f t="shared" si="103"/>
        <v>0</v>
      </c>
      <c r="D102" s="14">
        <f t="shared" si="103"/>
        <v>0</v>
      </c>
      <c r="E102" s="14">
        <f t="shared" si="103"/>
        <v>0</v>
      </c>
      <c r="F102" s="14">
        <f t="shared" si="103"/>
        <v>0</v>
      </c>
      <c r="G102" s="14">
        <f t="shared" si="103"/>
        <v>0</v>
      </c>
      <c r="H102" s="14">
        <f t="shared" si="103"/>
        <v>0</v>
      </c>
      <c r="I102" s="14">
        <f t="shared" si="103"/>
        <v>0</v>
      </c>
      <c r="J102" s="14">
        <f t="shared" si="103"/>
        <v>0</v>
      </c>
      <c r="K102" s="14">
        <f t="shared" si="103"/>
        <v>0</v>
      </c>
      <c r="L102" s="14">
        <f t="shared" si="103"/>
        <v>0</v>
      </c>
      <c r="M102" s="14">
        <f t="shared" si="103"/>
        <v>0</v>
      </c>
      <c r="N102" s="14">
        <f t="shared" si="103"/>
        <v>0</v>
      </c>
      <c r="O102" s="6">
        <f t="shared" si="103"/>
        <v>0</v>
      </c>
      <c r="P102" s="91"/>
      <c r="Q102" s="91"/>
      <c r="R102" s="7" t="s">
        <v>37</v>
      </c>
      <c r="S102" s="6">
        <f t="shared" ref="S102:AI102" si="104">SUM(S75:S101)</f>
        <v>5937512.1400000006</v>
      </c>
      <c r="T102" s="6">
        <f t="shared" si="104"/>
        <v>1590749.9899999998</v>
      </c>
      <c r="U102" s="6">
        <f t="shared" si="104"/>
        <v>836933.33000000007</v>
      </c>
      <c r="V102" s="6">
        <f t="shared" si="104"/>
        <v>235766.97</v>
      </c>
      <c r="W102" s="6">
        <f t="shared" si="104"/>
        <v>6574574.5700000003</v>
      </c>
      <c r="X102" s="6">
        <f t="shared" si="104"/>
        <v>99909.000000000015</v>
      </c>
      <c r="Y102" s="6">
        <f t="shared" si="104"/>
        <v>288834.28999999998</v>
      </c>
      <c r="Z102" s="6">
        <f t="shared" si="104"/>
        <v>17967.099999999999</v>
      </c>
      <c r="AA102" s="6">
        <f t="shared" si="104"/>
        <v>193432.43999999994</v>
      </c>
      <c r="AB102" s="6">
        <f t="shared" si="104"/>
        <v>22332.6</v>
      </c>
      <c r="AC102" s="6">
        <f t="shared" si="104"/>
        <v>1959</v>
      </c>
      <c r="AD102" s="6">
        <f t="shared" si="104"/>
        <v>1615.5</v>
      </c>
      <c r="AE102" s="6">
        <f t="shared" si="104"/>
        <v>3428.4000000000005</v>
      </c>
      <c r="AF102" s="6">
        <f t="shared" si="104"/>
        <v>318.33999999999997</v>
      </c>
      <c r="AG102" s="6">
        <f t="shared" si="104"/>
        <v>6169.5199999999995</v>
      </c>
      <c r="AH102" s="6">
        <f t="shared" si="104"/>
        <v>15811503.190000001</v>
      </c>
      <c r="AI102" s="1093">
        <f t="shared" si="104"/>
        <v>5937512.1400000006</v>
      </c>
      <c r="AJ102" s="1093">
        <f t="shared" ref="AJ102:AN102" si="105">SUM(AJ75:AJ101)</f>
        <v>1590749.9899999998</v>
      </c>
      <c r="AK102" s="1093">
        <f t="shared" si="105"/>
        <v>836933.33000000007</v>
      </c>
      <c r="AL102" s="1093">
        <f t="shared" si="105"/>
        <v>235766.97</v>
      </c>
      <c r="AM102" s="1093">
        <f t="shared" si="105"/>
        <v>6574574.5700000003</v>
      </c>
      <c r="AN102" s="1093">
        <f t="shared" si="105"/>
        <v>635966.19000000006</v>
      </c>
    </row>
    <row r="103" spans="1:40">
      <c r="AH103" s="1093"/>
    </row>
    <row r="104" spans="1:40">
      <c r="O104" s="1093"/>
    </row>
    <row r="105" spans="1:40" ht="46.5">
      <c r="K105" s="1234" t="s">
        <v>48</v>
      </c>
      <c r="L105" s="1234"/>
      <c r="M105" s="1234"/>
      <c r="N105" s="1234"/>
      <c r="O105" s="1234"/>
      <c r="P105" s="1234"/>
      <c r="Q105" s="1234"/>
      <c r="R105" s="1234"/>
      <c r="S105" s="1234"/>
      <c r="T105" s="1234"/>
      <c r="U105" s="1234"/>
      <c r="V105" s="1234"/>
      <c r="W105" s="1234"/>
      <c r="X105" s="1234"/>
      <c r="Y105" s="1234"/>
      <c r="Z105" s="1234"/>
      <c r="AA105" s="1234"/>
    </row>
    <row r="106" spans="1:40" ht="35.1" customHeight="1">
      <c r="K106" s="1226" t="s">
        <v>33</v>
      </c>
      <c r="L106" s="1228" t="s">
        <v>27</v>
      </c>
      <c r="M106" s="1229"/>
      <c r="N106" s="1228" t="s">
        <v>29</v>
      </c>
      <c r="O106" s="1229"/>
      <c r="P106" s="1226" t="s">
        <v>28</v>
      </c>
      <c r="Q106" s="1226" t="s">
        <v>36</v>
      </c>
      <c r="R106" s="1226" t="s">
        <v>30</v>
      </c>
      <c r="S106" s="1226" t="s">
        <v>31</v>
      </c>
      <c r="T106" s="1226" t="s">
        <v>41</v>
      </c>
      <c r="U106" s="1226" t="s">
        <v>35</v>
      </c>
      <c r="V106" s="1226" t="s">
        <v>40</v>
      </c>
      <c r="W106" s="1226" t="s">
        <v>42</v>
      </c>
      <c r="X106" s="1226" t="s">
        <v>45</v>
      </c>
      <c r="Y106" s="1228" t="s">
        <v>51</v>
      </c>
      <c r="Z106" s="1229"/>
      <c r="AA106" s="1226" t="s">
        <v>34</v>
      </c>
    </row>
    <row r="107" spans="1:40" ht="35.1" customHeight="1">
      <c r="K107" s="1227"/>
      <c r="L107" s="1091" t="s">
        <v>43</v>
      </c>
      <c r="M107" s="1091" t="s">
        <v>44</v>
      </c>
      <c r="N107" s="1091" t="s">
        <v>43</v>
      </c>
      <c r="O107" s="1091" t="s">
        <v>44</v>
      </c>
      <c r="P107" s="1227"/>
      <c r="Q107" s="1227"/>
      <c r="R107" s="1227"/>
      <c r="S107" s="1227"/>
      <c r="T107" s="1227"/>
      <c r="U107" s="1227"/>
      <c r="V107" s="1227"/>
      <c r="W107" s="1227"/>
      <c r="X107" s="1227"/>
      <c r="Y107" s="1092" t="s">
        <v>52</v>
      </c>
      <c r="Z107" s="1092" t="s">
        <v>53</v>
      </c>
      <c r="AA107" s="1227"/>
    </row>
    <row r="108" spans="1:40">
      <c r="K108" s="2" t="s">
        <v>0</v>
      </c>
      <c r="L108" s="20">
        <f t="shared" ref="L108:L134" si="106">B75+S75</f>
        <v>18008.89</v>
      </c>
      <c r="M108" s="20">
        <f t="shared" ref="M108:M134" si="107">C75+T75</f>
        <v>4276.38</v>
      </c>
      <c r="N108" s="20">
        <f t="shared" ref="N108:N134" si="108">D75+U75</f>
        <v>2818.95</v>
      </c>
      <c r="O108" s="20">
        <f t="shared" ref="O108:O134" si="109">E75+V75</f>
        <v>369.94</v>
      </c>
      <c r="P108" s="20">
        <f t="shared" ref="P108:P134" si="110">F75+W75</f>
        <v>17706.810000000001</v>
      </c>
      <c r="Q108" s="20">
        <f t="shared" ref="Q108:Q134" si="111">G75+X75</f>
        <v>1077.45</v>
      </c>
      <c r="R108" s="20">
        <f t="shared" ref="R108:R134" si="112">H75+Y75</f>
        <v>408.33</v>
      </c>
      <c r="S108" s="20">
        <f t="shared" ref="S108:S134" si="113">I75+Z75</f>
        <v>0</v>
      </c>
      <c r="T108" s="20">
        <f t="shared" ref="T108:T134" si="114">J75+AA75</f>
        <v>754.56</v>
      </c>
      <c r="U108" s="20">
        <f t="shared" ref="U108:U134" si="115">K75+AB75</f>
        <v>195.9</v>
      </c>
      <c r="V108" s="20">
        <f t="shared" ref="V108:V134" si="116">L75+AC75</f>
        <v>0</v>
      </c>
      <c r="W108" s="20">
        <f t="shared" ref="W108:W134" si="117">M75+AD75</f>
        <v>0</v>
      </c>
      <c r="X108" s="20">
        <f t="shared" ref="X108:X134" si="118">N75+AE75</f>
        <v>0</v>
      </c>
      <c r="Y108" s="20">
        <f t="shared" ref="Y108:Y134" si="119">AF75</f>
        <v>0</v>
      </c>
      <c r="Z108" s="20">
        <f t="shared" ref="Z108:Z134" si="120">AG75</f>
        <v>0</v>
      </c>
      <c r="AA108" s="10">
        <f t="shared" ref="AA108:AA134" si="121">SUM(L108:Z108)</f>
        <v>45617.21</v>
      </c>
    </row>
    <row r="109" spans="1:40">
      <c r="K109" s="2" t="s">
        <v>1</v>
      </c>
      <c r="L109" s="20">
        <f t="shared" si="106"/>
        <v>52215.65</v>
      </c>
      <c r="M109" s="20">
        <f t="shared" si="107"/>
        <v>17213.419999999998</v>
      </c>
      <c r="N109" s="20">
        <f t="shared" si="108"/>
        <v>1761.84</v>
      </c>
      <c r="O109" s="20">
        <f t="shared" si="109"/>
        <v>406.29</v>
      </c>
      <c r="P109" s="20">
        <f t="shared" si="110"/>
        <v>51129.9</v>
      </c>
      <c r="Q109" s="20">
        <f t="shared" si="111"/>
        <v>979.5</v>
      </c>
      <c r="R109" s="20">
        <f t="shared" si="112"/>
        <v>2773.9399999999996</v>
      </c>
      <c r="S109" s="20">
        <f t="shared" si="113"/>
        <v>0</v>
      </c>
      <c r="T109" s="20">
        <f t="shared" si="114"/>
        <v>1962.3999999999999</v>
      </c>
      <c r="U109" s="20">
        <f t="shared" si="115"/>
        <v>0</v>
      </c>
      <c r="V109" s="20">
        <f t="shared" si="116"/>
        <v>0</v>
      </c>
      <c r="W109" s="20">
        <f t="shared" si="117"/>
        <v>0</v>
      </c>
      <c r="X109" s="20">
        <f t="shared" si="118"/>
        <v>57.14</v>
      </c>
      <c r="Y109" s="20">
        <f t="shared" si="119"/>
        <v>0</v>
      </c>
      <c r="Z109" s="20">
        <f t="shared" si="120"/>
        <v>0</v>
      </c>
      <c r="AA109" s="10">
        <f t="shared" si="121"/>
        <v>128500.08</v>
      </c>
    </row>
    <row r="110" spans="1:40">
      <c r="K110" s="2" t="s">
        <v>2</v>
      </c>
      <c r="L110" s="20">
        <f t="shared" si="106"/>
        <v>18300.150000000001</v>
      </c>
      <c r="M110" s="20">
        <f t="shared" si="107"/>
        <v>4899.82</v>
      </c>
      <c r="N110" s="20">
        <f t="shared" si="108"/>
        <v>3295.12</v>
      </c>
      <c r="O110" s="20">
        <f t="shared" si="109"/>
        <v>1743.7</v>
      </c>
      <c r="P110" s="20">
        <f t="shared" si="110"/>
        <v>27523.95</v>
      </c>
      <c r="Q110" s="20">
        <f t="shared" si="111"/>
        <v>1371.3</v>
      </c>
      <c r="R110" s="20">
        <f t="shared" si="112"/>
        <v>732.24999999999989</v>
      </c>
      <c r="S110" s="20">
        <f t="shared" si="113"/>
        <v>0</v>
      </c>
      <c r="T110" s="20">
        <f t="shared" si="114"/>
        <v>767.43</v>
      </c>
      <c r="U110" s="20">
        <f t="shared" si="115"/>
        <v>97.95</v>
      </c>
      <c r="V110" s="20">
        <f t="shared" si="116"/>
        <v>0</v>
      </c>
      <c r="W110" s="20">
        <f t="shared" si="117"/>
        <v>0</v>
      </c>
      <c r="X110" s="20">
        <f t="shared" si="118"/>
        <v>0</v>
      </c>
      <c r="Y110" s="20">
        <f t="shared" si="119"/>
        <v>0</v>
      </c>
      <c r="Z110" s="20">
        <f t="shared" si="120"/>
        <v>0</v>
      </c>
      <c r="AA110" s="10">
        <f t="shared" si="121"/>
        <v>58731.670000000006</v>
      </c>
    </row>
    <row r="111" spans="1:40">
      <c r="K111" s="2" t="s">
        <v>3</v>
      </c>
      <c r="L111" s="20">
        <f t="shared" si="106"/>
        <v>59323.18</v>
      </c>
      <c r="M111" s="20">
        <f t="shared" si="107"/>
        <v>17948.510000000002</v>
      </c>
      <c r="N111" s="20">
        <f t="shared" si="108"/>
        <v>6268.83</v>
      </c>
      <c r="O111" s="20">
        <f t="shared" si="109"/>
        <v>5863.03</v>
      </c>
      <c r="P111" s="20">
        <f t="shared" si="110"/>
        <v>54949.95</v>
      </c>
      <c r="Q111" s="20">
        <f t="shared" si="111"/>
        <v>587.70000000000005</v>
      </c>
      <c r="R111" s="20">
        <f t="shared" si="112"/>
        <v>3402</v>
      </c>
      <c r="S111" s="20">
        <f t="shared" si="113"/>
        <v>0</v>
      </c>
      <c r="T111" s="20">
        <f t="shared" si="114"/>
        <v>2316.5099999999998</v>
      </c>
      <c r="U111" s="20">
        <f t="shared" si="115"/>
        <v>489.75</v>
      </c>
      <c r="V111" s="20">
        <f t="shared" si="116"/>
        <v>0</v>
      </c>
      <c r="W111" s="20">
        <f t="shared" si="117"/>
        <v>0</v>
      </c>
      <c r="X111" s="20">
        <f t="shared" si="118"/>
        <v>0</v>
      </c>
      <c r="Y111" s="20">
        <f t="shared" si="119"/>
        <v>0</v>
      </c>
      <c r="Z111" s="20">
        <f t="shared" si="120"/>
        <v>0</v>
      </c>
      <c r="AA111" s="10">
        <f t="shared" si="121"/>
        <v>151149.46000000002</v>
      </c>
    </row>
    <row r="112" spans="1:40">
      <c r="K112" s="2" t="s">
        <v>4</v>
      </c>
      <c r="L112" s="20">
        <f t="shared" si="106"/>
        <v>187506.14</v>
      </c>
      <c r="M112" s="20">
        <f t="shared" si="107"/>
        <v>43371.5</v>
      </c>
      <c r="N112" s="20">
        <f t="shared" si="108"/>
        <v>20054</v>
      </c>
      <c r="O112" s="20">
        <f t="shared" si="109"/>
        <v>4595.76</v>
      </c>
      <c r="P112" s="20">
        <f t="shared" si="110"/>
        <v>137521.79999999999</v>
      </c>
      <c r="Q112" s="20">
        <f t="shared" si="111"/>
        <v>2350.8000000000002</v>
      </c>
      <c r="R112" s="20">
        <f t="shared" si="112"/>
        <v>5998.8400000000011</v>
      </c>
      <c r="S112" s="20">
        <f t="shared" si="113"/>
        <v>0</v>
      </c>
      <c r="T112" s="20">
        <f t="shared" si="114"/>
        <v>5957.27</v>
      </c>
      <c r="U112" s="20">
        <f t="shared" si="115"/>
        <v>97.95</v>
      </c>
      <c r="V112" s="20">
        <f t="shared" si="116"/>
        <v>0</v>
      </c>
      <c r="W112" s="20">
        <f t="shared" si="117"/>
        <v>0</v>
      </c>
      <c r="X112" s="20">
        <f t="shared" si="118"/>
        <v>171.42</v>
      </c>
      <c r="Y112" s="20">
        <f t="shared" si="119"/>
        <v>27.33</v>
      </c>
      <c r="Z112" s="20">
        <f t="shared" si="120"/>
        <v>273.27999999999997</v>
      </c>
      <c r="AA112" s="10">
        <f t="shared" si="121"/>
        <v>407926.09000000008</v>
      </c>
    </row>
    <row r="113" spans="11:27">
      <c r="K113" s="2" t="s">
        <v>5</v>
      </c>
      <c r="L113" s="20">
        <f t="shared" si="106"/>
        <v>100024.95</v>
      </c>
      <c r="M113" s="20">
        <f t="shared" si="107"/>
        <v>13657.93</v>
      </c>
      <c r="N113" s="20">
        <f t="shared" si="108"/>
        <v>9894.0400000000009</v>
      </c>
      <c r="O113" s="20">
        <f t="shared" si="109"/>
        <v>819.98</v>
      </c>
      <c r="P113" s="20">
        <f t="shared" si="110"/>
        <v>71699.399999999994</v>
      </c>
      <c r="Q113" s="20">
        <f t="shared" si="111"/>
        <v>881.55000000000007</v>
      </c>
      <c r="R113" s="20">
        <f t="shared" si="112"/>
        <v>1426.98</v>
      </c>
      <c r="S113" s="20">
        <f t="shared" si="113"/>
        <v>1459.68</v>
      </c>
      <c r="T113" s="20">
        <f t="shared" si="114"/>
        <v>1940.97</v>
      </c>
      <c r="U113" s="20">
        <f t="shared" si="115"/>
        <v>293.85000000000002</v>
      </c>
      <c r="V113" s="20">
        <f t="shared" si="116"/>
        <v>0</v>
      </c>
      <c r="W113" s="20">
        <f t="shared" si="117"/>
        <v>0</v>
      </c>
      <c r="X113" s="20">
        <f t="shared" si="118"/>
        <v>57.14</v>
      </c>
      <c r="Y113" s="20">
        <f t="shared" si="119"/>
        <v>0</v>
      </c>
      <c r="Z113" s="20">
        <f t="shared" si="120"/>
        <v>0</v>
      </c>
      <c r="AA113" s="10">
        <f t="shared" si="121"/>
        <v>202156.47</v>
      </c>
    </row>
    <row r="114" spans="11:27">
      <c r="K114" s="2" t="s">
        <v>6</v>
      </c>
      <c r="L114" s="20">
        <f t="shared" si="106"/>
        <v>190111.75</v>
      </c>
      <c r="M114" s="20">
        <f t="shared" si="107"/>
        <v>58366.82</v>
      </c>
      <c r="N114" s="20">
        <f t="shared" si="108"/>
        <v>12949.52</v>
      </c>
      <c r="O114" s="20">
        <f t="shared" si="109"/>
        <v>1402.5</v>
      </c>
      <c r="P114" s="20">
        <f t="shared" si="110"/>
        <v>116266.65</v>
      </c>
      <c r="Q114" s="20">
        <f t="shared" si="111"/>
        <v>3722.1000000000004</v>
      </c>
      <c r="R114" s="20">
        <f t="shared" si="112"/>
        <v>9234.7799999999988</v>
      </c>
      <c r="S114" s="20">
        <f t="shared" si="113"/>
        <v>587.70000000000005</v>
      </c>
      <c r="T114" s="20">
        <f t="shared" si="114"/>
        <v>6386.2599999999993</v>
      </c>
      <c r="U114" s="20">
        <f t="shared" si="115"/>
        <v>587.70000000000005</v>
      </c>
      <c r="V114" s="20">
        <f t="shared" si="116"/>
        <v>0</v>
      </c>
      <c r="W114" s="20">
        <f t="shared" si="117"/>
        <v>0</v>
      </c>
      <c r="X114" s="20">
        <f t="shared" si="118"/>
        <v>85.71</v>
      </c>
      <c r="Y114" s="20">
        <f t="shared" si="119"/>
        <v>0</v>
      </c>
      <c r="Z114" s="20">
        <f t="shared" si="120"/>
        <v>0</v>
      </c>
      <c r="AA114" s="10">
        <f t="shared" si="121"/>
        <v>399701.49000000005</v>
      </c>
    </row>
    <row r="115" spans="11:27">
      <c r="K115" s="2" t="s">
        <v>7</v>
      </c>
      <c r="L115" s="20">
        <f t="shared" si="106"/>
        <v>126734.61</v>
      </c>
      <c r="M115" s="20">
        <f t="shared" si="107"/>
        <v>23256.75</v>
      </c>
      <c r="N115" s="20">
        <f t="shared" si="108"/>
        <v>16219.25</v>
      </c>
      <c r="O115" s="20">
        <f t="shared" si="109"/>
        <v>3755.58</v>
      </c>
      <c r="P115" s="20">
        <f t="shared" si="110"/>
        <v>101378.25</v>
      </c>
      <c r="Q115" s="20">
        <f t="shared" si="111"/>
        <v>3820.05</v>
      </c>
      <c r="R115" s="20">
        <f t="shared" si="112"/>
        <v>4734.21</v>
      </c>
      <c r="S115" s="20">
        <f t="shared" si="113"/>
        <v>848.91</v>
      </c>
      <c r="T115" s="20">
        <f t="shared" si="114"/>
        <v>2438.44</v>
      </c>
      <c r="U115" s="20">
        <f t="shared" si="115"/>
        <v>293.85000000000002</v>
      </c>
      <c r="V115" s="20">
        <f t="shared" si="116"/>
        <v>0</v>
      </c>
      <c r="W115" s="20">
        <f t="shared" si="117"/>
        <v>0</v>
      </c>
      <c r="X115" s="20">
        <f t="shared" si="118"/>
        <v>114.28</v>
      </c>
      <c r="Y115" s="20">
        <f t="shared" si="119"/>
        <v>0</v>
      </c>
      <c r="Z115" s="20">
        <f t="shared" si="120"/>
        <v>0</v>
      </c>
      <c r="AA115" s="10">
        <f t="shared" si="121"/>
        <v>283594.17999999993</v>
      </c>
    </row>
    <row r="116" spans="11:27">
      <c r="K116" s="2" t="s">
        <v>8</v>
      </c>
      <c r="L116" s="20">
        <f t="shared" si="106"/>
        <v>141831.03</v>
      </c>
      <c r="M116" s="20">
        <f t="shared" si="107"/>
        <v>36362.25</v>
      </c>
      <c r="N116" s="20">
        <f t="shared" si="108"/>
        <v>17244.61</v>
      </c>
      <c r="O116" s="20">
        <f t="shared" si="109"/>
        <v>4128.79</v>
      </c>
      <c r="P116" s="20">
        <f t="shared" si="110"/>
        <v>200797.5</v>
      </c>
      <c r="Q116" s="20">
        <f t="shared" si="111"/>
        <v>1175.4000000000001</v>
      </c>
      <c r="R116" s="20">
        <f t="shared" si="112"/>
        <v>5823.2300000000005</v>
      </c>
      <c r="S116" s="20">
        <f t="shared" si="113"/>
        <v>2260.88</v>
      </c>
      <c r="T116" s="20">
        <f t="shared" si="114"/>
        <v>5060.04</v>
      </c>
      <c r="U116" s="20">
        <f t="shared" si="115"/>
        <v>489.75</v>
      </c>
      <c r="V116" s="20">
        <f t="shared" si="116"/>
        <v>0</v>
      </c>
      <c r="W116" s="20">
        <f t="shared" si="117"/>
        <v>0</v>
      </c>
      <c r="X116" s="20">
        <f t="shared" si="118"/>
        <v>199.99</v>
      </c>
      <c r="Y116" s="20">
        <f t="shared" si="119"/>
        <v>0</v>
      </c>
      <c r="Z116" s="20">
        <f t="shared" si="120"/>
        <v>0</v>
      </c>
      <c r="AA116" s="10">
        <f t="shared" si="121"/>
        <v>415373.47000000003</v>
      </c>
    </row>
    <row r="117" spans="11:27">
      <c r="K117" s="2" t="s">
        <v>9</v>
      </c>
      <c r="L117" s="20">
        <f t="shared" si="106"/>
        <v>45132.5</v>
      </c>
      <c r="M117" s="20">
        <f t="shared" si="107"/>
        <v>42721.89</v>
      </c>
      <c r="N117" s="20">
        <f t="shared" si="108"/>
        <v>2314.1999999999998</v>
      </c>
      <c r="O117" s="20">
        <f t="shared" si="109"/>
        <v>1517.85</v>
      </c>
      <c r="P117" s="20">
        <f t="shared" si="110"/>
        <v>34086.6</v>
      </c>
      <c r="Q117" s="20">
        <f t="shared" si="111"/>
        <v>391.8</v>
      </c>
      <c r="R117" s="20">
        <f t="shared" si="112"/>
        <v>4959.2000000000007</v>
      </c>
      <c r="S117" s="20">
        <f t="shared" si="113"/>
        <v>0</v>
      </c>
      <c r="T117" s="20">
        <f t="shared" si="114"/>
        <v>5610.41</v>
      </c>
      <c r="U117" s="20">
        <f t="shared" si="115"/>
        <v>489.75</v>
      </c>
      <c r="V117" s="20">
        <f t="shared" si="116"/>
        <v>0</v>
      </c>
      <c r="W117" s="20">
        <f t="shared" si="117"/>
        <v>0</v>
      </c>
      <c r="X117" s="20">
        <f t="shared" si="118"/>
        <v>85.71</v>
      </c>
      <c r="Y117" s="20">
        <f t="shared" si="119"/>
        <v>0</v>
      </c>
      <c r="Z117" s="20">
        <f t="shared" si="120"/>
        <v>0</v>
      </c>
      <c r="AA117" s="10">
        <f t="shared" si="121"/>
        <v>137309.91</v>
      </c>
    </row>
    <row r="118" spans="11:27">
      <c r="K118" s="2" t="s">
        <v>10</v>
      </c>
      <c r="L118" s="20">
        <f t="shared" si="106"/>
        <v>120281.06</v>
      </c>
      <c r="M118" s="20">
        <f t="shared" si="107"/>
        <v>21708.43</v>
      </c>
      <c r="N118" s="20">
        <f t="shared" si="108"/>
        <v>10772.16</v>
      </c>
      <c r="O118" s="20">
        <f t="shared" si="109"/>
        <v>2025.6299999999999</v>
      </c>
      <c r="P118" s="20">
        <f t="shared" si="110"/>
        <v>239977.5</v>
      </c>
      <c r="Q118" s="20">
        <f t="shared" si="111"/>
        <v>2448.75</v>
      </c>
      <c r="R118" s="20">
        <f t="shared" si="112"/>
        <v>2300.23</v>
      </c>
      <c r="S118" s="20">
        <f t="shared" si="113"/>
        <v>0</v>
      </c>
      <c r="T118" s="20">
        <f t="shared" si="114"/>
        <v>3807.46</v>
      </c>
      <c r="U118" s="20">
        <f t="shared" si="115"/>
        <v>391.8</v>
      </c>
      <c r="V118" s="20">
        <f t="shared" si="116"/>
        <v>0</v>
      </c>
      <c r="W118" s="20">
        <f t="shared" si="117"/>
        <v>0</v>
      </c>
      <c r="X118" s="20">
        <f t="shared" si="118"/>
        <v>0</v>
      </c>
      <c r="Y118" s="20">
        <f t="shared" si="119"/>
        <v>0</v>
      </c>
      <c r="Z118" s="20">
        <f t="shared" si="120"/>
        <v>0</v>
      </c>
      <c r="AA118" s="10">
        <f t="shared" si="121"/>
        <v>403713.02</v>
      </c>
    </row>
    <row r="119" spans="11:27">
      <c r="K119" s="2" t="s">
        <v>11</v>
      </c>
      <c r="L119" s="20">
        <f t="shared" si="106"/>
        <v>89553.99</v>
      </c>
      <c r="M119" s="20">
        <f t="shared" si="107"/>
        <v>25308.43</v>
      </c>
      <c r="N119" s="20">
        <f t="shared" si="108"/>
        <v>14233.21</v>
      </c>
      <c r="O119" s="20">
        <f t="shared" si="109"/>
        <v>4521.47</v>
      </c>
      <c r="P119" s="20">
        <f t="shared" si="110"/>
        <v>153977.4</v>
      </c>
      <c r="Q119" s="20">
        <f t="shared" si="111"/>
        <v>1567.1999999999998</v>
      </c>
      <c r="R119" s="20">
        <f t="shared" si="112"/>
        <v>4450.5400000000009</v>
      </c>
      <c r="S119" s="20">
        <f t="shared" si="113"/>
        <v>406.25</v>
      </c>
      <c r="T119" s="20">
        <f t="shared" si="114"/>
        <v>3571.1899999999996</v>
      </c>
      <c r="U119" s="20">
        <f t="shared" si="115"/>
        <v>979.5</v>
      </c>
      <c r="V119" s="20">
        <f t="shared" si="116"/>
        <v>0</v>
      </c>
      <c r="W119" s="20">
        <f t="shared" si="117"/>
        <v>776.52</v>
      </c>
      <c r="X119" s="20">
        <f t="shared" si="118"/>
        <v>0</v>
      </c>
      <c r="Y119" s="20">
        <f t="shared" si="119"/>
        <v>0</v>
      </c>
      <c r="Z119" s="20">
        <f t="shared" si="120"/>
        <v>0</v>
      </c>
      <c r="AA119" s="10">
        <f t="shared" si="121"/>
        <v>299345.7</v>
      </c>
    </row>
    <row r="120" spans="11:27">
      <c r="K120" s="2" t="s">
        <v>12</v>
      </c>
      <c r="L120" s="20">
        <f t="shared" si="106"/>
        <v>453132.79</v>
      </c>
      <c r="M120" s="20">
        <f t="shared" si="107"/>
        <v>173621.12</v>
      </c>
      <c r="N120" s="20">
        <f t="shared" si="108"/>
        <v>58428.82</v>
      </c>
      <c r="O120" s="20">
        <f t="shared" si="109"/>
        <v>20748.03</v>
      </c>
      <c r="P120" s="20">
        <f t="shared" si="110"/>
        <v>365255.55</v>
      </c>
      <c r="Q120" s="20">
        <f t="shared" si="111"/>
        <v>3428.25</v>
      </c>
      <c r="R120" s="20">
        <f t="shared" si="112"/>
        <v>30495.850000000006</v>
      </c>
      <c r="S120" s="20">
        <f t="shared" si="113"/>
        <v>0</v>
      </c>
      <c r="T120" s="20">
        <f t="shared" si="114"/>
        <v>19839.740000000002</v>
      </c>
      <c r="U120" s="20">
        <f t="shared" si="115"/>
        <v>2546.6999999999998</v>
      </c>
      <c r="V120" s="20">
        <f t="shared" si="116"/>
        <v>0</v>
      </c>
      <c r="W120" s="20">
        <f t="shared" si="117"/>
        <v>0</v>
      </c>
      <c r="X120" s="20">
        <f t="shared" si="118"/>
        <v>285.7</v>
      </c>
      <c r="Y120" s="20">
        <f t="shared" si="119"/>
        <v>0</v>
      </c>
      <c r="Z120" s="20">
        <f t="shared" si="120"/>
        <v>0</v>
      </c>
      <c r="AA120" s="10">
        <f t="shared" si="121"/>
        <v>1127782.5499999998</v>
      </c>
    </row>
    <row r="121" spans="11:27">
      <c r="K121" s="2" t="s">
        <v>15</v>
      </c>
      <c r="L121" s="20">
        <f t="shared" si="106"/>
        <v>77039.19</v>
      </c>
      <c r="M121" s="20">
        <f t="shared" si="107"/>
        <v>38561.160000000003</v>
      </c>
      <c r="N121" s="20">
        <f t="shared" si="108"/>
        <v>9261.56</v>
      </c>
      <c r="O121" s="20">
        <f t="shared" si="109"/>
        <v>3756.88</v>
      </c>
      <c r="P121" s="20">
        <f t="shared" si="110"/>
        <v>54656.1</v>
      </c>
      <c r="Q121" s="20">
        <f t="shared" si="111"/>
        <v>4897.5</v>
      </c>
      <c r="R121" s="20">
        <f t="shared" si="112"/>
        <v>6557.2699999999995</v>
      </c>
      <c r="S121" s="20">
        <f t="shared" si="113"/>
        <v>0</v>
      </c>
      <c r="T121" s="20">
        <f t="shared" si="114"/>
        <v>3766.69</v>
      </c>
      <c r="U121" s="20">
        <f t="shared" si="115"/>
        <v>195.9</v>
      </c>
      <c r="V121" s="20">
        <f t="shared" si="116"/>
        <v>0</v>
      </c>
      <c r="W121" s="20">
        <f t="shared" si="117"/>
        <v>0</v>
      </c>
      <c r="X121" s="20">
        <f t="shared" si="118"/>
        <v>85.71</v>
      </c>
      <c r="Y121" s="20">
        <f t="shared" si="119"/>
        <v>0</v>
      </c>
      <c r="Z121" s="20">
        <f t="shared" si="120"/>
        <v>0</v>
      </c>
      <c r="AA121" s="10">
        <f t="shared" si="121"/>
        <v>198777.96</v>
      </c>
    </row>
    <row r="122" spans="11:27">
      <c r="K122" s="2" t="s">
        <v>14</v>
      </c>
      <c r="L122" s="20">
        <f t="shared" si="106"/>
        <v>72002.92</v>
      </c>
      <c r="M122" s="20">
        <f t="shared" si="107"/>
        <v>27013.51</v>
      </c>
      <c r="N122" s="20">
        <f t="shared" si="108"/>
        <v>8240.18</v>
      </c>
      <c r="O122" s="20">
        <f t="shared" si="109"/>
        <v>2760.93</v>
      </c>
      <c r="P122" s="20">
        <f t="shared" si="110"/>
        <v>74539.95</v>
      </c>
      <c r="Q122" s="20">
        <f t="shared" si="111"/>
        <v>783.6</v>
      </c>
      <c r="R122" s="20">
        <f t="shared" si="112"/>
        <v>3822.12</v>
      </c>
      <c r="S122" s="20">
        <f t="shared" si="113"/>
        <v>0</v>
      </c>
      <c r="T122" s="20">
        <f t="shared" si="114"/>
        <v>3382.59</v>
      </c>
      <c r="U122" s="20">
        <f t="shared" si="115"/>
        <v>783.6</v>
      </c>
      <c r="V122" s="20">
        <f t="shared" si="116"/>
        <v>0</v>
      </c>
      <c r="W122" s="20">
        <f t="shared" si="117"/>
        <v>0</v>
      </c>
      <c r="X122" s="20">
        <f t="shared" si="118"/>
        <v>57.14</v>
      </c>
      <c r="Y122" s="20">
        <f t="shared" si="119"/>
        <v>0</v>
      </c>
      <c r="Z122" s="20">
        <f t="shared" si="120"/>
        <v>0</v>
      </c>
      <c r="AA122" s="10">
        <f t="shared" si="121"/>
        <v>193386.54</v>
      </c>
    </row>
    <row r="123" spans="11:27">
      <c r="K123" s="2" t="s">
        <v>13</v>
      </c>
      <c r="L123" s="20">
        <f t="shared" si="106"/>
        <v>430404.15</v>
      </c>
      <c r="M123" s="20">
        <f t="shared" si="107"/>
        <v>135602.07999999999</v>
      </c>
      <c r="N123" s="20">
        <f t="shared" si="108"/>
        <v>98394.38</v>
      </c>
      <c r="O123" s="20">
        <f t="shared" si="109"/>
        <v>40061.629999999997</v>
      </c>
      <c r="P123" s="20">
        <f t="shared" si="110"/>
        <v>566542.80000000005</v>
      </c>
      <c r="Q123" s="20">
        <f t="shared" si="111"/>
        <v>11166.3</v>
      </c>
      <c r="R123" s="20">
        <f t="shared" si="112"/>
        <v>23039.82</v>
      </c>
      <c r="S123" s="20">
        <f t="shared" si="113"/>
        <v>293.85000000000002</v>
      </c>
      <c r="T123" s="20">
        <f t="shared" si="114"/>
        <v>19052.55</v>
      </c>
      <c r="U123" s="20">
        <f t="shared" si="115"/>
        <v>3428.25</v>
      </c>
      <c r="V123" s="20">
        <f t="shared" si="116"/>
        <v>391.8</v>
      </c>
      <c r="W123" s="20">
        <f t="shared" si="117"/>
        <v>0</v>
      </c>
      <c r="X123" s="20">
        <f t="shared" si="118"/>
        <v>257.13</v>
      </c>
      <c r="Y123" s="20">
        <f t="shared" si="119"/>
        <v>0</v>
      </c>
      <c r="Z123" s="20">
        <f t="shared" si="120"/>
        <v>0</v>
      </c>
      <c r="AA123" s="10">
        <f t="shared" si="121"/>
        <v>1328634.7400000002</v>
      </c>
    </row>
    <row r="124" spans="11:27">
      <c r="K124" s="2" t="s">
        <v>16</v>
      </c>
      <c r="L124" s="20">
        <f t="shared" si="106"/>
        <v>143367.47</v>
      </c>
      <c r="M124" s="20">
        <f t="shared" si="107"/>
        <v>40462.57</v>
      </c>
      <c r="N124" s="20">
        <f t="shared" si="108"/>
        <v>13660.19</v>
      </c>
      <c r="O124" s="20">
        <f t="shared" si="109"/>
        <v>3098.28</v>
      </c>
      <c r="P124" s="20">
        <f t="shared" si="110"/>
        <v>117637.95</v>
      </c>
      <c r="Q124" s="20">
        <f t="shared" si="111"/>
        <v>1763.1000000000001</v>
      </c>
      <c r="R124" s="20">
        <f t="shared" si="112"/>
        <v>5491.73</v>
      </c>
      <c r="S124" s="20">
        <f t="shared" si="113"/>
        <v>1389.84</v>
      </c>
      <c r="T124" s="20">
        <f t="shared" si="114"/>
        <v>6955.7599999999993</v>
      </c>
      <c r="U124" s="20">
        <f t="shared" si="115"/>
        <v>685.65</v>
      </c>
      <c r="V124" s="20">
        <f t="shared" si="116"/>
        <v>0</v>
      </c>
      <c r="W124" s="20">
        <f t="shared" si="117"/>
        <v>0</v>
      </c>
      <c r="X124" s="20">
        <f t="shared" si="118"/>
        <v>57.14</v>
      </c>
      <c r="Y124" s="20">
        <f t="shared" si="119"/>
        <v>0</v>
      </c>
      <c r="Z124" s="20">
        <f t="shared" si="120"/>
        <v>0</v>
      </c>
      <c r="AA124" s="10">
        <f t="shared" si="121"/>
        <v>334569.68000000005</v>
      </c>
    </row>
    <row r="125" spans="11:27">
      <c r="K125" s="2" t="s">
        <v>17</v>
      </c>
      <c r="L125" s="20">
        <f t="shared" si="106"/>
        <v>35638</v>
      </c>
      <c r="M125" s="20">
        <f t="shared" si="107"/>
        <v>6649.94</v>
      </c>
      <c r="N125" s="20">
        <f t="shared" si="108"/>
        <v>4503.82</v>
      </c>
      <c r="O125" s="20">
        <f t="shared" si="109"/>
        <v>671.07</v>
      </c>
      <c r="P125" s="20">
        <f t="shared" si="110"/>
        <v>29385</v>
      </c>
      <c r="Q125" s="20">
        <f t="shared" si="111"/>
        <v>979.5</v>
      </c>
      <c r="R125" s="20">
        <f t="shared" si="112"/>
        <v>716.76999999999987</v>
      </c>
      <c r="S125" s="20">
        <f t="shared" si="113"/>
        <v>0</v>
      </c>
      <c r="T125" s="20">
        <f t="shared" si="114"/>
        <v>1198.01</v>
      </c>
      <c r="U125" s="20">
        <f t="shared" si="115"/>
        <v>0</v>
      </c>
      <c r="V125" s="20">
        <f t="shared" si="116"/>
        <v>0</v>
      </c>
      <c r="W125" s="20">
        <f t="shared" si="117"/>
        <v>0</v>
      </c>
      <c r="X125" s="20">
        <f t="shared" si="118"/>
        <v>0</v>
      </c>
      <c r="Y125" s="20">
        <f t="shared" si="119"/>
        <v>0</v>
      </c>
      <c r="Z125" s="20">
        <f t="shared" si="120"/>
        <v>0</v>
      </c>
      <c r="AA125" s="10">
        <f t="shared" si="121"/>
        <v>79742.11</v>
      </c>
    </row>
    <row r="126" spans="11:27">
      <c r="K126" s="2" t="s">
        <v>18</v>
      </c>
      <c r="L126" s="20">
        <f t="shared" si="106"/>
        <v>556746.85</v>
      </c>
      <c r="M126" s="20">
        <f t="shared" si="107"/>
        <v>117355.13</v>
      </c>
      <c r="N126" s="20">
        <f t="shared" si="108"/>
        <v>94844.22</v>
      </c>
      <c r="O126" s="20">
        <f t="shared" si="109"/>
        <v>19051.170000000002</v>
      </c>
      <c r="P126" s="20">
        <f t="shared" si="110"/>
        <v>374655.56</v>
      </c>
      <c r="Q126" s="20">
        <f t="shared" si="111"/>
        <v>17239.2</v>
      </c>
      <c r="R126" s="20">
        <f t="shared" si="112"/>
        <v>26628.19</v>
      </c>
      <c r="S126" s="20">
        <f t="shared" si="113"/>
        <v>4667.3999999999996</v>
      </c>
      <c r="T126" s="20">
        <f t="shared" si="114"/>
        <v>14247</v>
      </c>
      <c r="U126" s="20">
        <f t="shared" si="115"/>
        <v>881.55</v>
      </c>
      <c r="V126" s="20">
        <f t="shared" si="116"/>
        <v>195.9</v>
      </c>
      <c r="W126" s="20">
        <f t="shared" si="117"/>
        <v>0</v>
      </c>
      <c r="X126" s="20">
        <f t="shared" si="118"/>
        <v>542.83000000000004</v>
      </c>
      <c r="Y126" s="20">
        <f t="shared" si="119"/>
        <v>0</v>
      </c>
      <c r="Z126" s="20">
        <f t="shared" si="120"/>
        <v>0</v>
      </c>
      <c r="AA126" s="10">
        <f t="shared" si="121"/>
        <v>1227054.9999999998</v>
      </c>
    </row>
    <row r="127" spans="11:27">
      <c r="K127" s="2" t="s">
        <v>20</v>
      </c>
      <c r="L127" s="20">
        <f t="shared" si="106"/>
        <v>92476.83</v>
      </c>
      <c r="M127" s="20">
        <f t="shared" si="107"/>
        <v>39408.280000000006</v>
      </c>
      <c r="N127" s="20">
        <f t="shared" si="108"/>
        <v>6876.73</v>
      </c>
      <c r="O127" s="20">
        <f t="shared" si="109"/>
        <v>2927.49</v>
      </c>
      <c r="P127" s="20">
        <f t="shared" si="110"/>
        <v>62100.3</v>
      </c>
      <c r="Q127" s="20">
        <f t="shared" si="111"/>
        <v>2546.6999999999998</v>
      </c>
      <c r="R127" s="20">
        <f t="shared" si="112"/>
        <v>5671.5</v>
      </c>
      <c r="S127" s="20">
        <f t="shared" si="113"/>
        <v>0</v>
      </c>
      <c r="T127" s="20">
        <f t="shared" si="114"/>
        <v>4905.34</v>
      </c>
      <c r="U127" s="20">
        <f t="shared" si="115"/>
        <v>97.95</v>
      </c>
      <c r="V127" s="20">
        <f t="shared" si="116"/>
        <v>0</v>
      </c>
      <c r="W127" s="20">
        <f t="shared" si="117"/>
        <v>0</v>
      </c>
      <c r="X127" s="20">
        <f t="shared" si="118"/>
        <v>85.71</v>
      </c>
      <c r="Y127" s="20">
        <f t="shared" si="119"/>
        <v>0</v>
      </c>
      <c r="Z127" s="20">
        <f t="shared" si="120"/>
        <v>0</v>
      </c>
      <c r="AA127" s="10">
        <f t="shared" si="121"/>
        <v>217096.83000000002</v>
      </c>
    </row>
    <row r="128" spans="11:27">
      <c r="K128" s="2" t="s">
        <v>19</v>
      </c>
      <c r="L128" s="20">
        <f t="shared" si="106"/>
        <v>502816.05</v>
      </c>
      <c r="M128" s="20">
        <f t="shared" si="107"/>
        <v>123107.44</v>
      </c>
      <c r="N128" s="20">
        <f t="shared" si="108"/>
        <v>78575.929999999993</v>
      </c>
      <c r="O128" s="20">
        <f t="shared" si="109"/>
        <v>34228.39</v>
      </c>
      <c r="P128" s="20">
        <f t="shared" si="110"/>
        <v>673406.25</v>
      </c>
      <c r="Q128" s="20">
        <f t="shared" si="111"/>
        <v>6856.5</v>
      </c>
      <c r="R128" s="20">
        <f t="shared" si="112"/>
        <v>22176.06</v>
      </c>
      <c r="S128" s="20">
        <f t="shared" si="113"/>
        <v>816.59</v>
      </c>
      <c r="T128" s="20">
        <f t="shared" si="114"/>
        <v>14784.57</v>
      </c>
      <c r="U128" s="20">
        <f t="shared" si="115"/>
        <v>2546.6999999999998</v>
      </c>
      <c r="V128" s="20">
        <f t="shared" si="116"/>
        <v>391.8</v>
      </c>
      <c r="W128" s="20">
        <f t="shared" si="117"/>
        <v>838.98</v>
      </c>
      <c r="X128" s="20">
        <f t="shared" si="118"/>
        <v>171.42</v>
      </c>
      <c r="Y128" s="20">
        <f t="shared" si="119"/>
        <v>0</v>
      </c>
      <c r="Z128" s="20">
        <f t="shared" si="120"/>
        <v>0</v>
      </c>
      <c r="AA128" s="10">
        <f t="shared" si="121"/>
        <v>1460716.6800000002</v>
      </c>
    </row>
    <row r="129" spans="1:34">
      <c r="K129" s="2" t="s">
        <v>21</v>
      </c>
      <c r="L129" s="20">
        <f t="shared" si="106"/>
        <v>33328.36</v>
      </c>
      <c r="M129" s="20">
        <f t="shared" si="107"/>
        <v>6498.6200000000008</v>
      </c>
      <c r="N129" s="20">
        <f t="shared" si="108"/>
        <v>6104.54</v>
      </c>
      <c r="O129" s="20">
        <f t="shared" si="109"/>
        <v>1259.74</v>
      </c>
      <c r="P129" s="20">
        <f t="shared" si="110"/>
        <v>59357.7</v>
      </c>
      <c r="Q129" s="20">
        <f t="shared" si="111"/>
        <v>1077.45</v>
      </c>
      <c r="R129" s="20">
        <f t="shared" si="112"/>
        <v>977.42000000000007</v>
      </c>
      <c r="S129" s="20">
        <f t="shared" si="113"/>
        <v>0</v>
      </c>
      <c r="T129" s="20">
        <f t="shared" si="114"/>
        <v>916.02</v>
      </c>
      <c r="U129" s="20">
        <f t="shared" si="115"/>
        <v>0</v>
      </c>
      <c r="V129" s="20">
        <f t="shared" si="116"/>
        <v>0</v>
      </c>
      <c r="W129" s="20">
        <f t="shared" si="117"/>
        <v>0</v>
      </c>
      <c r="X129" s="20">
        <f t="shared" si="118"/>
        <v>28.57</v>
      </c>
      <c r="Y129" s="20">
        <f t="shared" si="119"/>
        <v>0</v>
      </c>
      <c r="Z129" s="20">
        <f t="shared" si="120"/>
        <v>0</v>
      </c>
      <c r="AA129" s="10">
        <f t="shared" si="121"/>
        <v>109548.42</v>
      </c>
    </row>
    <row r="130" spans="1:34">
      <c r="K130" s="2" t="s">
        <v>22</v>
      </c>
      <c r="L130" s="20">
        <f t="shared" si="106"/>
        <v>5781.95</v>
      </c>
      <c r="M130" s="20">
        <f t="shared" si="107"/>
        <v>276.39</v>
      </c>
      <c r="N130" s="20">
        <f t="shared" si="108"/>
        <v>1876.14</v>
      </c>
      <c r="O130" s="20">
        <f t="shared" si="109"/>
        <v>221.13</v>
      </c>
      <c r="P130" s="20">
        <f t="shared" si="110"/>
        <v>9990.9</v>
      </c>
      <c r="Q130" s="20">
        <f t="shared" si="111"/>
        <v>0</v>
      </c>
      <c r="R130" s="20">
        <f t="shared" si="112"/>
        <v>25.269999999999996</v>
      </c>
      <c r="S130" s="20">
        <f t="shared" si="113"/>
        <v>0</v>
      </c>
      <c r="T130" s="20">
        <f t="shared" si="114"/>
        <v>104.56</v>
      </c>
      <c r="U130" s="20">
        <f t="shared" si="115"/>
        <v>0</v>
      </c>
      <c r="V130" s="20">
        <f t="shared" si="116"/>
        <v>0</v>
      </c>
      <c r="W130" s="20">
        <f t="shared" si="117"/>
        <v>0</v>
      </c>
      <c r="X130" s="20">
        <f t="shared" si="118"/>
        <v>0</v>
      </c>
      <c r="Y130" s="20">
        <f t="shared" si="119"/>
        <v>0</v>
      </c>
      <c r="Z130" s="20">
        <f t="shared" si="120"/>
        <v>0</v>
      </c>
      <c r="AA130" s="10">
        <f t="shared" si="121"/>
        <v>18276.340000000004</v>
      </c>
    </row>
    <row r="131" spans="1:34">
      <c r="K131" s="2" t="s">
        <v>23</v>
      </c>
      <c r="L131" s="20">
        <f t="shared" si="106"/>
        <v>352708.41</v>
      </c>
      <c r="M131" s="20">
        <f t="shared" si="107"/>
        <v>45223.89</v>
      </c>
      <c r="N131" s="20">
        <f t="shared" si="108"/>
        <v>50845.74</v>
      </c>
      <c r="O131" s="20">
        <f t="shared" si="109"/>
        <v>8215.0499999999993</v>
      </c>
      <c r="P131" s="20">
        <f t="shared" si="110"/>
        <v>402868.35</v>
      </c>
      <c r="Q131" s="20">
        <f t="shared" si="111"/>
        <v>4211.8500000000004</v>
      </c>
      <c r="R131" s="20">
        <f t="shared" si="112"/>
        <v>6797.65</v>
      </c>
      <c r="S131" s="20">
        <f t="shared" si="113"/>
        <v>0</v>
      </c>
      <c r="T131" s="20">
        <f t="shared" si="114"/>
        <v>6489.83</v>
      </c>
      <c r="U131" s="20">
        <f t="shared" si="115"/>
        <v>1371.3</v>
      </c>
      <c r="V131" s="20">
        <f t="shared" si="116"/>
        <v>0</v>
      </c>
      <c r="W131" s="20">
        <f t="shared" si="117"/>
        <v>0</v>
      </c>
      <c r="X131" s="20">
        <f t="shared" si="118"/>
        <v>57.14</v>
      </c>
      <c r="Y131" s="20">
        <f t="shared" si="119"/>
        <v>0</v>
      </c>
      <c r="Z131" s="20">
        <f t="shared" si="120"/>
        <v>0</v>
      </c>
      <c r="AA131" s="10">
        <f t="shared" si="121"/>
        <v>878789.21</v>
      </c>
    </row>
    <row r="132" spans="1:34">
      <c r="K132" s="2" t="s">
        <v>25</v>
      </c>
      <c r="L132" s="20">
        <f t="shared" si="106"/>
        <v>1963611.94</v>
      </c>
      <c r="M132" s="20">
        <f t="shared" si="107"/>
        <v>508266.64</v>
      </c>
      <c r="N132" s="20">
        <f t="shared" si="108"/>
        <v>277033.82</v>
      </c>
      <c r="O132" s="20">
        <f t="shared" si="109"/>
        <v>64552.07</v>
      </c>
      <c r="P132" s="20">
        <f t="shared" si="110"/>
        <v>2490966.4500000002</v>
      </c>
      <c r="Q132" s="20">
        <f t="shared" si="111"/>
        <v>21940.800000000003</v>
      </c>
      <c r="R132" s="20">
        <f t="shared" si="112"/>
        <v>107354.48999999999</v>
      </c>
      <c r="S132" s="20">
        <f t="shared" si="113"/>
        <v>5236</v>
      </c>
      <c r="T132" s="20">
        <f t="shared" si="114"/>
        <v>54267.42</v>
      </c>
      <c r="U132" s="20">
        <f t="shared" si="115"/>
        <v>5289.3</v>
      </c>
      <c r="V132" s="20">
        <f t="shared" si="116"/>
        <v>979.5</v>
      </c>
      <c r="W132" s="20">
        <f t="shared" si="117"/>
        <v>0</v>
      </c>
      <c r="X132" s="20">
        <f t="shared" si="118"/>
        <v>1028.52</v>
      </c>
      <c r="Y132" s="20">
        <f t="shared" si="119"/>
        <v>291.01</v>
      </c>
      <c r="Z132" s="20">
        <f t="shared" si="120"/>
        <v>5896.24</v>
      </c>
      <c r="AA132" s="10">
        <f t="shared" si="121"/>
        <v>5506714.1999999993</v>
      </c>
    </row>
    <row r="133" spans="1:34">
      <c r="K133" s="2" t="s">
        <v>24</v>
      </c>
      <c r="L133" s="20">
        <f t="shared" si="106"/>
        <v>41943.46</v>
      </c>
      <c r="M133" s="20">
        <f t="shared" si="107"/>
        <v>9146.7000000000007</v>
      </c>
      <c r="N133" s="20">
        <f t="shared" si="108"/>
        <v>6247.39</v>
      </c>
      <c r="O133" s="20">
        <f t="shared" si="109"/>
        <v>855.36999999999989</v>
      </c>
      <c r="P133" s="20">
        <f t="shared" si="110"/>
        <v>51815.55</v>
      </c>
      <c r="Q133" s="20">
        <f t="shared" si="111"/>
        <v>1861.0500000000002</v>
      </c>
      <c r="R133" s="20">
        <f t="shared" si="112"/>
        <v>1076.21</v>
      </c>
      <c r="S133" s="20">
        <f t="shared" si="113"/>
        <v>0</v>
      </c>
      <c r="T133" s="20">
        <f t="shared" si="114"/>
        <v>1413.46</v>
      </c>
      <c r="U133" s="20">
        <f t="shared" si="115"/>
        <v>97.95</v>
      </c>
      <c r="V133" s="20">
        <f t="shared" si="116"/>
        <v>0</v>
      </c>
      <c r="W133" s="20">
        <f t="shared" si="117"/>
        <v>0</v>
      </c>
      <c r="X133" s="20">
        <f t="shared" si="118"/>
        <v>0</v>
      </c>
      <c r="Y133" s="20">
        <f t="shared" si="119"/>
        <v>0</v>
      </c>
      <c r="Z133" s="20">
        <f t="shared" si="120"/>
        <v>0</v>
      </c>
      <c r="AA133" s="10">
        <f t="shared" si="121"/>
        <v>114457.14000000001</v>
      </c>
    </row>
    <row r="134" spans="1:34">
      <c r="K134" s="2" t="s">
        <v>26</v>
      </c>
      <c r="L134" s="20">
        <f t="shared" si="106"/>
        <v>27489.87</v>
      </c>
      <c r="M134" s="20">
        <f t="shared" si="107"/>
        <v>10464.39</v>
      </c>
      <c r="N134" s="20">
        <f t="shared" si="108"/>
        <v>4214.1400000000003</v>
      </c>
      <c r="O134" s="20">
        <f t="shared" si="109"/>
        <v>2209.2199999999998</v>
      </c>
      <c r="P134" s="20">
        <f t="shared" si="110"/>
        <v>34380.449999999997</v>
      </c>
      <c r="Q134" s="20">
        <f t="shared" si="111"/>
        <v>783.6</v>
      </c>
      <c r="R134" s="20">
        <f t="shared" si="112"/>
        <v>1759.4099999999999</v>
      </c>
      <c r="S134" s="20">
        <f t="shared" si="113"/>
        <v>0</v>
      </c>
      <c r="T134" s="20">
        <f t="shared" si="114"/>
        <v>1535.96</v>
      </c>
      <c r="U134" s="20">
        <f t="shared" si="115"/>
        <v>0</v>
      </c>
      <c r="V134" s="20">
        <f t="shared" si="116"/>
        <v>0</v>
      </c>
      <c r="W134" s="20">
        <f t="shared" si="117"/>
        <v>0</v>
      </c>
      <c r="X134" s="20">
        <f t="shared" si="118"/>
        <v>0</v>
      </c>
      <c r="Y134" s="20">
        <f t="shared" si="119"/>
        <v>0</v>
      </c>
      <c r="Z134" s="20">
        <f t="shared" si="120"/>
        <v>0</v>
      </c>
      <c r="AA134" s="10">
        <f t="shared" si="121"/>
        <v>82837.040000000008</v>
      </c>
    </row>
    <row r="135" spans="1:34">
      <c r="A135" s="91"/>
      <c r="B135" s="91"/>
      <c r="C135" s="91"/>
      <c r="D135" s="91"/>
      <c r="E135" s="91"/>
      <c r="F135" s="91"/>
      <c r="G135" s="91"/>
      <c r="H135" s="91"/>
      <c r="I135" s="91"/>
      <c r="J135" s="91"/>
      <c r="K135" s="7" t="s">
        <v>37</v>
      </c>
      <c r="L135" s="14">
        <f t="shared" ref="L135:AA135" si="122">SUM(L108:L134)</f>
        <v>5937512.1400000006</v>
      </c>
      <c r="M135" s="14">
        <f t="shared" si="122"/>
        <v>1590749.9899999998</v>
      </c>
      <c r="N135" s="14">
        <f t="shared" si="122"/>
        <v>836933.33000000007</v>
      </c>
      <c r="O135" s="14">
        <f t="shared" si="122"/>
        <v>235766.97</v>
      </c>
      <c r="P135" s="14">
        <f t="shared" si="122"/>
        <v>6574574.5700000003</v>
      </c>
      <c r="Q135" s="14">
        <f t="shared" si="122"/>
        <v>99909.000000000015</v>
      </c>
      <c r="R135" s="14">
        <f t="shared" si="122"/>
        <v>288834.28999999998</v>
      </c>
      <c r="S135" s="14">
        <f t="shared" si="122"/>
        <v>17967.099999999999</v>
      </c>
      <c r="T135" s="14">
        <f t="shared" si="122"/>
        <v>193432.43999999994</v>
      </c>
      <c r="U135" s="14">
        <f t="shared" si="122"/>
        <v>22332.6</v>
      </c>
      <c r="V135" s="14">
        <f t="shared" si="122"/>
        <v>1959</v>
      </c>
      <c r="W135" s="14">
        <f t="shared" si="122"/>
        <v>1615.5</v>
      </c>
      <c r="X135" s="14">
        <f t="shared" si="122"/>
        <v>3428.4000000000005</v>
      </c>
      <c r="Y135" s="14">
        <f t="shared" si="122"/>
        <v>318.33999999999997</v>
      </c>
      <c r="Z135" s="14">
        <f t="shared" si="122"/>
        <v>6169.5199999999995</v>
      </c>
      <c r="AA135" s="6">
        <f t="shared" si="122"/>
        <v>15811503.190000001</v>
      </c>
      <c r="AB135" s="91"/>
      <c r="AC135" s="91"/>
      <c r="AD135" s="91"/>
      <c r="AE135" s="91"/>
      <c r="AF135" s="91"/>
      <c r="AG135" s="91"/>
      <c r="AH135" s="91"/>
    </row>
  </sheetData>
  <mergeCells count="103">
    <mergeCell ref="A72:O72"/>
    <mergeCell ref="X106:X107"/>
    <mergeCell ref="Y106:Z106"/>
    <mergeCell ref="AA73:AA74"/>
    <mergeCell ref="AB73:AB74"/>
    <mergeCell ref="AC73:AC74"/>
    <mergeCell ref="AD73:AD74"/>
    <mergeCell ref="R106:R107"/>
    <mergeCell ref="S106:S107"/>
    <mergeCell ref="T106:T107"/>
    <mergeCell ref="U106:U107"/>
    <mergeCell ref="V106:V107"/>
    <mergeCell ref="W106:W107"/>
    <mergeCell ref="AA106:AA107"/>
    <mergeCell ref="K105:AA105"/>
    <mergeCell ref="K106:K107"/>
    <mergeCell ref="L106:M106"/>
    <mergeCell ref="N106:O106"/>
    <mergeCell ref="P106:P107"/>
    <mergeCell ref="Q106:Q107"/>
    <mergeCell ref="L73:L74"/>
    <mergeCell ref="M73:M74"/>
    <mergeCell ref="N73:N74"/>
    <mergeCell ref="O73:O74"/>
    <mergeCell ref="AF38:AG38"/>
    <mergeCell ref="AH38:AH39"/>
    <mergeCell ref="S73:T73"/>
    <mergeCell ref="R72:AH72"/>
    <mergeCell ref="AE73:AE74"/>
    <mergeCell ref="U73:V73"/>
    <mergeCell ref="W73:W74"/>
    <mergeCell ref="X73:X74"/>
    <mergeCell ref="Y73:Y74"/>
    <mergeCell ref="Z73:Z74"/>
    <mergeCell ref="AF73:AG73"/>
    <mergeCell ref="AB38:AB39"/>
    <mergeCell ref="AC38:AC39"/>
    <mergeCell ref="AD38:AD39"/>
    <mergeCell ref="AE38:AE39"/>
    <mergeCell ref="R73:R74"/>
    <mergeCell ref="AH73:AH74"/>
    <mergeCell ref="A73:A74"/>
    <mergeCell ref="B73:C73"/>
    <mergeCell ref="D73:E73"/>
    <mergeCell ref="F73:F74"/>
    <mergeCell ref="G73:G74"/>
    <mergeCell ref="H73:H74"/>
    <mergeCell ref="I73:I74"/>
    <mergeCell ref="J73:J74"/>
    <mergeCell ref="K73:K74"/>
    <mergeCell ref="R2:AH2"/>
    <mergeCell ref="R3:R4"/>
    <mergeCell ref="S3:T3"/>
    <mergeCell ref="U3:V3"/>
    <mergeCell ref="W3:W4"/>
    <mergeCell ref="X3:X4"/>
    <mergeCell ref="Y3:Y4"/>
    <mergeCell ref="Z3:Z4"/>
    <mergeCell ref="AA3:AA4"/>
    <mergeCell ref="AB3:AB4"/>
    <mergeCell ref="AC3:AC4"/>
    <mergeCell ref="AD3:AD4"/>
    <mergeCell ref="AE3:AE4"/>
    <mergeCell ref="AF3:AG3"/>
    <mergeCell ref="AH3:AH4"/>
    <mergeCell ref="R37:AH37"/>
    <mergeCell ref="R38:R39"/>
    <mergeCell ref="S38:T38"/>
    <mergeCell ref="U38:V38"/>
    <mergeCell ref="W38:W39"/>
    <mergeCell ref="B35:H35"/>
    <mergeCell ref="D38:E38"/>
    <mergeCell ref="F38:F39"/>
    <mergeCell ref="G38:G39"/>
    <mergeCell ref="M38:M39"/>
    <mergeCell ref="N38:N39"/>
    <mergeCell ref="O38:O39"/>
    <mergeCell ref="H38:H39"/>
    <mergeCell ref="I38:I39"/>
    <mergeCell ref="J38:J39"/>
    <mergeCell ref="K38:K39"/>
    <mergeCell ref="L38:L39"/>
    <mergeCell ref="A37:O37"/>
    <mergeCell ref="A38:A39"/>
    <mergeCell ref="B38:C38"/>
    <mergeCell ref="X38:X39"/>
    <mergeCell ref="Y38:Y39"/>
    <mergeCell ref="Z38:Z39"/>
    <mergeCell ref="AA38:AA39"/>
    <mergeCell ref="L3:L4"/>
    <mergeCell ref="M3:M4"/>
    <mergeCell ref="N3:N4"/>
    <mergeCell ref="O3:O4"/>
    <mergeCell ref="A2:O2"/>
    <mergeCell ref="A3:A4"/>
    <mergeCell ref="B3:C3"/>
    <mergeCell ref="D3:E3"/>
    <mergeCell ref="F3:F4"/>
    <mergeCell ref="G3:G4"/>
    <mergeCell ref="H3:H4"/>
    <mergeCell ref="I3:I4"/>
    <mergeCell ref="J3:J4"/>
    <mergeCell ref="K3:K4"/>
  </mergeCells>
  <pageMargins left="0.511811024" right="0.511811024" top="0.78740157499999996" bottom="0.78740157499999996" header="0.31496062000000002" footer="0.31496062000000002"/>
  <pageSetup paperSize="9" scale="15" orientation="landscape" r:id="rId1"/>
  <ignoredErrors>
    <ignoredError sqref="AN75:AN107"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theme="6" tint="0.39997558519241921"/>
  </sheetPr>
  <dimension ref="A1:U61"/>
  <sheetViews>
    <sheetView showGridLines="0" zoomScale="80" zoomScaleNormal="80" workbookViewId="0">
      <selection sqref="A1:AC1"/>
    </sheetView>
  </sheetViews>
  <sheetFormatPr defaultRowHeight="15"/>
  <cols>
    <col min="1" max="1" width="13.42578125" style="253" customWidth="1"/>
    <col min="2" max="2" width="13.42578125" style="253" hidden="1" customWidth="1"/>
    <col min="3" max="5" width="13.42578125" style="253" customWidth="1"/>
    <col min="6" max="6" width="13.42578125" style="253" hidden="1" customWidth="1"/>
    <col min="7" max="9" width="13.42578125" style="253" customWidth="1"/>
    <col min="10" max="10" width="13.42578125" style="253" hidden="1" customWidth="1"/>
    <col min="11" max="13" width="13.42578125" style="253" customWidth="1"/>
    <col min="14" max="14" width="13.42578125" style="253" hidden="1" customWidth="1"/>
    <col min="15" max="15" width="13.42578125" style="253" customWidth="1"/>
    <col min="16" max="16" width="7.140625" style="723" bestFit="1" customWidth="1"/>
    <col min="17" max="17" width="6.140625" style="723" bestFit="1" customWidth="1"/>
    <col min="18" max="18" width="46.5703125" style="253" bestFit="1" customWidth="1"/>
    <col min="19" max="19" width="19.42578125" style="253" bestFit="1" customWidth="1"/>
    <col min="20" max="20" width="11.5703125" style="253" customWidth="1"/>
    <col min="21" max="21" width="16.28515625" style="253" customWidth="1"/>
    <col min="22" max="16384" width="9.140625" style="253"/>
  </cols>
  <sheetData>
    <row r="1" spans="1:21" ht="16.5" thickBot="1">
      <c r="A1" s="1449" t="s">
        <v>672</v>
      </c>
      <c r="B1" s="1449"/>
      <c r="C1" s="1449"/>
      <c r="D1" s="1449"/>
      <c r="E1" s="1449"/>
      <c r="F1" s="1449"/>
      <c r="G1" s="1449"/>
      <c r="H1" s="1449"/>
      <c r="I1" s="1449"/>
      <c r="J1" s="1449"/>
      <c r="K1" s="1449"/>
      <c r="L1" s="1449"/>
      <c r="M1" s="1449"/>
      <c r="N1" s="1449"/>
      <c r="O1" s="722"/>
      <c r="P1" s="835"/>
    </row>
    <row r="2" spans="1:21" s="274" customFormat="1" ht="60.75" customHeight="1" thickBot="1">
      <c r="A2" s="1498" t="s">
        <v>182</v>
      </c>
      <c r="B2" s="1479" t="s">
        <v>673</v>
      </c>
      <c r="C2" s="1477"/>
      <c r="D2" s="1477"/>
      <c r="E2" s="1478"/>
      <c r="F2" s="1479" t="s">
        <v>1106</v>
      </c>
      <c r="G2" s="1477"/>
      <c r="H2" s="1477"/>
      <c r="I2" s="1478"/>
      <c r="J2" s="1479" t="s">
        <v>1105</v>
      </c>
      <c r="K2" s="1477"/>
      <c r="L2" s="1477"/>
      <c r="M2" s="1478"/>
      <c r="N2" s="1494" t="s">
        <v>674</v>
      </c>
      <c r="O2" s="1494" t="s">
        <v>128</v>
      </c>
      <c r="P2" s="836"/>
      <c r="Q2" s="748"/>
    </row>
    <row r="3" spans="1:21" ht="33" customHeight="1" thickBot="1">
      <c r="A3" s="1499"/>
      <c r="B3" s="726" t="s">
        <v>636</v>
      </c>
      <c r="C3" s="727" t="s">
        <v>637</v>
      </c>
      <c r="D3" s="727" t="s">
        <v>638</v>
      </c>
      <c r="E3" s="727" t="s">
        <v>639</v>
      </c>
      <c r="F3" s="726" t="s">
        <v>636</v>
      </c>
      <c r="G3" s="727" t="s">
        <v>637</v>
      </c>
      <c r="H3" s="727" t="s">
        <v>638</v>
      </c>
      <c r="I3" s="727" t="s">
        <v>639</v>
      </c>
      <c r="J3" s="726" t="s">
        <v>636</v>
      </c>
      <c r="K3" s="727" t="s">
        <v>637</v>
      </c>
      <c r="L3" s="727" t="s">
        <v>638</v>
      </c>
      <c r="M3" s="727" t="s">
        <v>639</v>
      </c>
      <c r="N3" s="1494" t="s">
        <v>637</v>
      </c>
      <c r="O3" s="1494" t="s">
        <v>637</v>
      </c>
      <c r="P3" s="836"/>
      <c r="R3" s="1495" t="s">
        <v>640</v>
      </c>
      <c r="S3" s="1495"/>
      <c r="T3" s="1495"/>
    </row>
    <row r="4" spans="1:21">
      <c r="A4" s="837" t="s">
        <v>87</v>
      </c>
      <c r="B4" s="793">
        <f>'RRT - Subgrupo - IGEO'!DX3</f>
        <v>6</v>
      </c>
      <c r="C4" s="838">
        <f>$O4*B35</f>
        <v>4.1920374707259951</v>
      </c>
      <c r="D4" s="839">
        <f>IFERROR(C4/C$31*100,)</f>
        <v>3.5394335025977517</v>
      </c>
      <c r="E4" s="840">
        <f>IFERROR((C4/$O4)*100,0)</f>
        <v>100</v>
      </c>
      <c r="F4" s="841">
        <f>'RRT - Subgrupo - IGEO'!EA3</f>
        <v>0</v>
      </c>
      <c r="G4" s="838">
        <f>$O4*F35</f>
        <v>0</v>
      </c>
      <c r="H4" s="839">
        <f>IFERROR(G4/G$31*100,)</f>
        <v>0</v>
      </c>
      <c r="I4" s="840">
        <f>IFERROR((G4/$O4)*100,0)</f>
        <v>0</v>
      </c>
      <c r="J4" s="841">
        <f>'RRT - Subgrupo - IGEO'!ED3</f>
        <v>0</v>
      </c>
      <c r="K4" s="838">
        <f>$O4*J35</f>
        <v>0</v>
      </c>
      <c r="L4" s="839">
        <f>IFERROR(K4/K$31*100,)</f>
        <v>0</v>
      </c>
      <c r="M4" s="840">
        <f>IFERROR((K4/$O4)*100,0)</f>
        <v>0</v>
      </c>
      <c r="N4" s="793">
        <f>B4+F4+J4</f>
        <v>6</v>
      </c>
      <c r="O4" s="842">
        <f>'RRT - Atividades '!F3</f>
        <v>4.1920374707259951</v>
      </c>
      <c r="P4" s="723">
        <f>C4+G4+K4</f>
        <v>4.1920374707259951</v>
      </c>
      <c r="Q4" s="843">
        <f>O4-P4</f>
        <v>0</v>
      </c>
      <c r="R4" s="844" t="s">
        <v>613</v>
      </c>
      <c r="S4" s="844" t="s">
        <v>675</v>
      </c>
      <c r="T4" s="844" t="s">
        <v>423</v>
      </c>
    </row>
    <row r="5" spans="1:21" ht="15" customHeight="1">
      <c r="A5" s="845" t="s">
        <v>88</v>
      </c>
      <c r="B5" s="793">
        <f>'RRT - Subgrupo - IGEO'!DX4</f>
        <v>0</v>
      </c>
      <c r="C5" s="838">
        <f t="shared" ref="C5:C30" si="0">$O5*B36</f>
        <v>0</v>
      </c>
      <c r="D5" s="839">
        <f t="shared" ref="D5:D30" si="1">IFERROR(C5/C$31*100,)</f>
        <v>0</v>
      </c>
      <c r="E5" s="840">
        <f t="shared" ref="E5:E30" si="2">IFERROR((C5/$O5)*100,0)</f>
        <v>0</v>
      </c>
      <c r="F5" s="841">
        <f>'RRT - Subgrupo - IGEO'!EA4</f>
        <v>0</v>
      </c>
      <c r="G5" s="838">
        <f t="shared" ref="G5:G30" si="3">$O5*F36</f>
        <v>0</v>
      </c>
      <c r="H5" s="839">
        <f t="shared" ref="H5:H30" si="4">IFERROR(G5/G$31*100,)</f>
        <v>0</v>
      </c>
      <c r="I5" s="839">
        <f t="shared" ref="I5:I31" si="5">IFERROR((G5/$O5)*100,0)</f>
        <v>0</v>
      </c>
      <c r="J5" s="841">
        <f>'RRT - Subgrupo - IGEO'!ED4</f>
        <v>0</v>
      </c>
      <c r="K5" s="838">
        <f t="shared" ref="K5:K30" si="6">$O5*J36</f>
        <v>0</v>
      </c>
      <c r="L5" s="839">
        <f t="shared" ref="L5:L30" si="7">IFERROR(K5/K$31*100,)</f>
        <v>0</v>
      </c>
      <c r="M5" s="839">
        <f t="shared" ref="M5:M31" si="8">IFERROR((K5/$O5)*100,0)</f>
        <v>0</v>
      </c>
      <c r="N5" s="846">
        <f t="shared" ref="N5:N30" si="9">B5+F5+J5</f>
        <v>0</v>
      </c>
      <c r="O5" s="842">
        <f>'RRT - Atividades '!F4</f>
        <v>0</v>
      </c>
      <c r="P5" s="723">
        <f t="shared" ref="P5:P30" si="10">C5+G5+K5</f>
        <v>0</v>
      </c>
      <c r="Q5" s="723">
        <f t="shared" ref="Q5:Q31" si="11">O5-P5</f>
        <v>0</v>
      </c>
      <c r="R5" s="847" t="str">
        <f>B2</f>
        <v>ENSINO</v>
      </c>
      <c r="S5" s="581">
        <f>C31</f>
        <v>118.43809094447649</v>
      </c>
      <c r="T5" s="848">
        <f>S5/$S$8</f>
        <v>0.50701497466649303</v>
      </c>
    </row>
    <row r="6" spans="1:21">
      <c r="A6" s="845" t="s">
        <v>90</v>
      </c>
      <c r="B6" s="793">
        <f>'RRT - Subgrupo - IGEO'!DX5</f>
        <v>1</v>
      </c>
      <c r="C6" s="838">
        <f t="shared" si="0"/>
        <v>0.66781708369283876</v>
      </c>
      <c r="D6" s="839">
        <f t="shared" si="1"/>
        <v>0.56385329953174435</v>
      </c>
      <c r="E6" s="840">
        <f t="shared" si="2"/>
        <v>100</v>
      </c>
      <c r="F6" s="841">
        <f>'RRT - Subgrupo - IGEO'!EA5</f>
        <v>0</v>
      </c>
      <c r="G6" s="838">
        <f t="shared" si="3"/>
        <v>0</v>
      </c>
      <c r="H6" s="839">
        <f t="shared" si="4"/>
        <v>0</v>
      </c>
      <c r="I6" s="839">
        <f t="shared" si="5"/>
        <v>0</v>
      </c>
      <c r="J6" s="841">
        <f>'RRT - Subgrupo - IGEO'!ED5</f>
        <v>0</v>
      </c>
      <c r="K6" s="838">
        <f t="shared" si="6"/>
        <v>0</v>
      </c>
      <c r="L6" s="839">
        <f t="shared" si="7"/>
        <v>0</v>
      </c>
      <c r="M6" s="839">
        <f t="shared" si="8"/>
        <v>0</v>
      </c>
      <c r="N6" s="846">
        <f t="shared" si="9"/>
        <v>1</v>
      </c>
      <c r="O6" s="842">
        <f>'RRT - Atividades '!F5</f>
        <v>0.66781708369283876</v>
      </c>
      <c r="P6" s="723">
        <f t="shared" si="10"/>
        <v>0.66781708369283876</v>
      </c>
      <c r="Q6" s="723">
        <f t="shared" si="11"/>
        <v>0</v>
      </c>
      <c r="R6" s="849" t="str">
        <f>F2</f>
        <v>PESQUISA</v>
      </c>
      <c r="S6" s="850">
        <f>G31</f>
        <v>16.013388330221012</v>
      </c>
      <c r="T6" s="851">
        <f>S6/$S$8</f>
        <v>6.8550815145930574E-2</v>
      </c>
    </row>
    <row r="7" spans="1:21">
      <c r="A7" s="845" t="s">
        <v>89</v>
      </c>
      <c r="B7" s="793">
        <f>'RRT - Subgrupo - IGEO'!DX6</f>
        <v>0</v>
      </c>
      <c r="C7" s="838">
        <f t="shared" si="0"/>
        <v>0</v>
      </c>
      <c r="D7" s="839">
        <f t="shared" si="1"/>
        <v>0</v>
      </c>
      <c r="E7" s="840">
        <f t="shared" si="2"/>
        <v>0</v>
      </c>
      <c r="F7" s="841">
        <f>'RRT - Subgrupo - IGEO'!EA6</f>
        <v>0</v>
      </c>
      <c r="G7" s="838">
        <f t="shared" si="3"/>
        <v>0</v>
      </c>
      <c r="H7" s="839">
        <f t="shared" si="4"/>
        <v>0</v>
      </c>
      <c r="I7" s="839">
        <f t="shared" si="5"/>
        <v>0</v>
      </c>
      <c r="J7" s="841">
        <f>'RRT - Subgrupo - IGEO'!ED6</f>
        <v>0</v>
      </c>
      <c r="K7" s="838">
        <f t="shared" si="6"/>
        <v>0</v>
      </c>
      <c r="L7" s="839">
        <f t="shared" si="7"/>
        <v>0</v>
      </c>
      <c r="M7" s="839">
        <f t="shared" si="8"/>
        <v>0</v>
      </c>
      <c r="N7" s="846">
        <f t="shared" si="9"/>
        <v>0</v>
      </c>
      <c r="O7" s="842">
        <f>'RRT - Atividades '!F6</f>
        <v>0</v>
      </c>
      <c r="P7" s="723">
        <f t="shared" si="10"/>
        <v>0</v>
      </c>
      <c r="Q7" s="723">
        <f t="shared" si="11"/>
        <v>0</v>
      </c>
      <c r="R7" s="661" t="str">
        <f>J2</f>
        <v>TECNOL. DA CONSTR. E CONTR. DE QUAL.</v>
      </c>
      <c r="S7" s="581">
        <f>K31</f>
        <v>99.147323250579632</v>
      </c>
      <c r="T7" s="848">
        <f>S7/$S$8</f>
        <v>0.42443421018757643</v>
      </c>
    </row>
    <row r="8" spans="1:21">
      <c r="A8" s="845" t="s">
        <v>91</v>
      </c>
      <c r="B8" s="793">
        <f>'RRT - Subgrupo - IGEO'!DX7</f>
        <v>8</v>
      </c>
      <c r="C8" s="838">
        <f t="shared" si="0"/>
        <v>5.5424455774055197</v>
      </c>
      <c r="D8" s="839">
        <f t="shared" si="1"/>
        <v>4.6796140778761837</v>
      </c>
      <c r="E8" s="840">
        <f t="shared" si="2"/>
        <v>40</v>
      </c>
      <c r="F8" s="841">
        <f>'RRT - Subgrupo - IGEO'!EA7</f>
        <v>2</v>
      </c>
      <c r="G8" s="838">
        <f t="shared" si="3"/>
        <v>1.3856113943513799</v>
      </c>
      <c r="H8" s="839">
        <f t="shared" si="4"/>
        <v>8.6528307799568367</v>
      </c>
      <c r="I8" s="839">
        <f t="shared" si="5"/>
        <v>10</v>
      </c>
      <c r="J8" s="841">
        <f>'RRT - Subgrupo - IGEO'!ED7</f>
        <v>10</v>
      </c>
      <c r="K8" s="838">
        <f t="shared" si="6"/>
        <v>6.9280569717568996</v>
      </c>
      <c r="L8" s="839">
        <f t="shared" si="7"/>
        <v>6.9876389443689764</v>
      </c>
      <c r="M8" s="839">
        <f t="shared" si="8"/>
        <v>50</v>
      </c>
      <c r="N8" s="846">
        <f t="shared" si="9"/>
        <v>20</v>
      </c>
      <c r="O8" s="842">
        <f>'RRT - Atividades '!F7</f>
        <v>13.856113943513799</v>
      </c>
      <c r="P8" s="723">
        <f t="shared" si="10"/>
        <v>13.856113943513799</v>
      </c>
      <c r="Q8" s="723">
        <f t="shared" si="11"/>
        <v>0</v>
      </c>
      <c r="R8" s="844" t="s">
        <v>128</v>
      </c>
      <c r="S8" s="852">
        <f>SUM(S5:S7)</f>
        <v>233.59880252527714</v>
      </c>
      <c r="T8" s="853">
        <f>SUM(T5:T7)</f>
        <v>1</v>
      </c>
    </row>
    <row r="9" spans="1:21">
      <c r="A9" s="845" t="s">
        <v>92</v>
      </c>
      <c r="B9" s="793">
        <f>'RRT - Subgrupo - IGEO'!DX8</f>
        <v>0</v>
      </c>
      <c r="C9" s="838">
        <f t="shared" si="0"/>
        <v>0</v>
      </c>
      <c r="D9" s="839">
        <f t="shared" si="1"/>
        <v>0</v>
      </c>
      <c r="E9" s="840">
        <f t="shared" si="2"/>
        <v>0</v>
      </c>
      <c r="F9" s="841">
        <f>'RRT - Subgrupo - IGEO'!EA8</f>
        <v>2</v>
      </c>
      <c r="G9" s="838">
        <f t="shared" si="3"/>
        <v>1.2458408334696991</v>
      </c>
      <c r="H9" s="839">
        <f t="shared" si="4"/>
        <v>7.7799951376842955</v>
      </c>
      <c r="I9" s="839">
        <f t="shared" si="5"/>
        <v>66.666666666666657</v>
      </c>
      <c r="J9" s="841">
        <f>'RRT - Subgrupo - IGEO'!ED8</f>
        <v>1</v>
      </c>
      <c r="K9" s="838">
        <f t="shared" si="6"/>
        <v>0.62292041673484955</v>
      </c>
      <c r="L9" s="839">
        <f t="shared" si="7"/>
        <v>0.6282775936981313</v>
      </c>
      <c r="M9" s="839">
        <f t="shared" si="8"/>
        <v>33.333333333333329</v>
      </c>
      <c r="N9" s="846">
        <f t="shared" si="9"/>
        <v>3</v>
      </c>
      <c r="O9" s="842">
        <f>'RRT - Atividades '!F8</f>
        <v>1.8687612502045488</v>
      </c>
      <c r="P9" s="723">
        <f t="shared" si="10"/>
        <v>1.8687612502045488</v>
      </c>
      <c r="Q9" s="723">
        <f t="shared" si="11"/>
        <v>0</v>
      </c>
    </row>
    <row r="10" spans="1:21">
      <c r="A10" s="845" t="s">
        <v>93</v>
      </c>
      <c r="B10" s="793">
        <f>'RRT - Subgrupo - IGEO'!DX9</f>
        <v>4</v>
      </c>
      <c r="C10" s="838">
        <f t="shared" si="0"/>
        <v>3.157295635011705</v>
      </c>
      <c r="D10" s="839">
        <f t="shared" si="1"/>
        <v>2.6657772088641973</v>
      </c>
      <c r="E10" s="840">
        <f t="shared" si="2"/>
        <v>80</v>
      </c>
      <c r="F10" s="841">
        <f>'RRT - Subgrupo - IGEO'!EA9</f>
        <v>0</v>
      </c>
      <c r="G10" s="838">
        <f t="shared" si="3"/>
        <v>0</v>
      </c>
      <c r="H10" s="839">
        <f t="shared" si="4"/>
        <v>0</v>
      </c>
      <c r="I10" s="839">
        <f t="shared" si="5"/>
        <v>0</v>
      </c>
      <c r="J10" s="841">
        <f>'RRT - Subgrupo - IGEO'!ED9</f>
        <v>1</v>
      </c>
      <c r="K10" s="838">
        <f t="shared" si="6"/>
        <v>0.78932390875292624</v>
      </c>
      <c r="L10" s="839">
        <f t="shared" si="7"/>
        <v>0.79611217214410457</v>
      </c>
      <c r="M10" s="839">
        <f t="shared" si="8"/>
        <v>20</v>
      </c>
      <c r="N10" s="846">
        <f t="shared" si="9"/>
        <v>5</v>
      </c>
      <c r="O10" s="842">
        <f>'RRT - Atividades '!F9</f>
        <v>3.9466195437646308</v>
      </c>
      <c r="P10" s="723">
        <f t="shared" si="10"/>
        <v>3.9466195437646312</v>
      </c>
      <c r="Q10" s="723">
        <f t="shared" si="11"/>
        <v>0</v>
      </c>
    </row>
    <row r="11" spans="1:21">
      <c r="A11" s="845" t="s">
        <v>94</v>
      </c>
      <c r="B11" s="793">
        <f>'RRT - Subgrupo - IGEO'!DX10</f>
        <v>2</v>
      </c>
      <c r="C11" s="838">
        <f t="shared" si="0"/>
        <v>1.4821818976825534</v>
      </c>
      <c r="D11" s="839">
        <f t="shared" si="1"/>
        <v>1.2514402130792508</v>
      </c>
      <c r="E11" s="840">
        <f t="shared" si="2"/>
        <v>66.666666666666657</v>
      </c>
      <c r="F11" s="841">
        <f>'RRT - Subgrupo - IGEO'!EA10</f>
        <v>0</v>
      </c>
      <c r="G11" s="838">
        <f t="shared" si="3"/>
        <v>0</v>
      </c>
      <c r="H11" s="839">
        <f t="shared" si="4"/>
        <v>0</v>
      </c>
      <c r="I11" s="839">
        <f t="shared" si="5"/>
        <v>0</v>
      </c>
      <c r="J11" s="841">
        <f>'RRT - Subgrupo - IGEO'!ED10</f>
        <v>1</v>
      </c>
      <c r="K11" s="838">
        <f t="shared" si="6"/>
        <v>0.74109094884127669</v>
      </c>
      <c r="L11" s="839">
        <f t="shared" si="7"/>
        <v>0.74746440402458791</v>
      </c>
      <c r="M11" s="839">
        <f t="shared" si="8"/>
        <v>33.333333333333329</v>
      </c>
      <c r="N11" s="846">
        <f t="shared" si="9"/>
        <v>3</v>
      </c>
      <c r="O11" s="842">
        <f>'RRT - Atividades '!F10</f>
        <v>2.2232728465238303</v>
      </c>
      <c r="P11" s="723">
        <f t="shared" si="10"/>
        <v>2.2232728465238303</v>
      </c>
      <c r="Q11" s="723">
        <f t="shared" si="11"/>
        <v>0</v>
      </c>
    </row>
    <row r="12" spans="1:21" ht="15.75" thickBot="1">
      <c r="A12" s="845" t="s">
        <v>95</v>
      </c>
      <c r="B12" s="793">
        <f>'RRT - Subgrupo - IGEO'!DX11</f>
        <v>0</v>
      </c>
      <c r="C12" s="838">
        <f t="shared" si="0"/>
        <v>0</v>
      </c>
      <c r="D12" s="839">
        <f t="shared" si="1"/>
        <v>0</v>
      </c>
      <c r="E12" s="840">
        <f t="shared" si="2"/>
        <v>0</v>
      </c>
      <c r="F12" s="841">
        <f>'RRT - Subgrupo - IGEO'!EA11</f>
        <v>0</v>
      </c>
      <c r="G12" s="838">
        <f t="shared" si="3"/>
        <v>0</v>
      </c>
      <c r="H12" s="839">
        <f t="shared" si="4"/>
        <v>0</v>
      </c>
      <c r="I12" s="839">
        <f t="shared" si="5"/>
        <v>0</v>
      </c>
      <c r="J12" s="841">
        <f>'RRT - Subgrupo - IGEO'!ED11</f>
        <v>3</v>
      </c>
      <c r="K12" s="838">
        <f t="shared" si="6"/>
        <v>1.5301699638803836</v>
      </c>
      <c r="L12" s="839">
        <f t="shared" si="7"/>
        <v>1.5433295763448036</v>
      </c>
      <c r="M12" s="839">
        <f t="shared" si="8"/>
        <v>100</v>
      </c>
      <c r="N12" s="846">
        <f t="shared" si="9"/>
        <v>3</v>
      </c>
      <c r="O12" s="842">
        <f>'RRT - Atividades '!F11</f>
        <v>1.5301699638803836</v>
      </c>
      <c r="P12" s="723">
        <f t="shared" si="10"/>
        <v>1.5301699638803836</v>
      </c>
      <c r="Q12" s="723">
        <f t="shared" si="11"/>
        <v>0</v>
      </c>
    </row>
    <row r="13" spans="1:21" ht="15" customHeight="1">
      <c r="A13" s="845" t="s">
        <v>96</v>
      </c>
      <c r="B13" s="793">
        <f>'RRT - Subgrupo - IGEO'!DX12</f>
        <v>5</v>
      </c>
      <c r="C13" s="838">
        <f t="shared" si="0"/>
        <v>3.0519744877188217</v>
      </c>
      <c r="D13" s="839">
        <f t="shared" si="1"/>
        <v>2.5768521456070923</v>
      </c>
      <c r="E13" s="840">
        <f t="shared" si="2"/>
        <v>100</v>
      </c>
      <c r="F13" s="841">
        <f>'RRT - Subgrupo - IGEO'!EA12</f>
        <v>0</v>
      </c>
      <c r="G13" s="838">
        <f t="shared" si="3"/>
        <v>0</v>
      </c>
      <c r="H13" s="839">
        <f t="shared" si="4"/>
        <v>0</v>
      </c>
      <c r="I13" s="839">
        <f t="shared" si="5"/>
        <v>0</v>
      </c>
      <c r="J13" s="841">
        <f>'RRT - Subgrupo - IGEO'!ED12</f>
        <v>0</v>
      </c>
      <c r="K13" s="838">
        <f t="shared" si="6"/>
        <v>0</v>
      </c>
      <c r="L13" s="839">
        <f t="shared" si="7"/>
        <v>0</v>
      </c>
      <c r="M13" s="839">
        <f t="shared" si="8"/>
        <v>0</v>
      </c>
      <c r="N13" s="846">
        <f t="shared" si="9"/>
        <v>5</v>
      </c>
      <c r="O13" s="842">
        <f>'RRT - Atividades '!F12</f>
        <v>3.0519744877188217</v>
      </c>
      <c r="P13" s="723">
        <f t="shared" si="10"/>
        <v>3.0519744877188217</v>
      </c>
      <c r="Q13" s="723">
        <f t="shared" si="11"/>
        <v>0</v>
      </c>
      <c r="R13" s="1496" t="s">
        <v>640</v>
      </c>
      <c r="S13" s="1497"/>
      <c r="T13" s="1497"/>
      <c r="U13" s="1440" t="s">
        <v>1082</v>
      </c>
    </row>
    <row r="14" spans="1:21" ht="15" customHeight="1">
      <c r="A14" s="845" t="s">
        <v>99</v>
      </c>
      <c r="B14" s="793">
        <f>'RRT - Subgrupo - IGEO'!DX13</f>
        <v>8</v>
      </c>
      <c r="C14" s="838">
        <f t="shared" si="0"/>
        <v>6.0901496429491946</v>
      </c>
      <c r="D14" s="839">
        <f t="shared" si="1"/>
        <v>5.1420531979059367</v>
      </c>
      <c r="E14" s="840">
        <f t="shared" si="2"/>
        <v>61.53846153846154</v>
      </c>
      <c r="F14" s="841">
        <f>'RRT - Subgrupo - IGEO'!EA13</f>
        <v>2</v>
      </c>
      <c r="G14" s="838">
        <f t="shared" si="3"/>
        <v>1.5225374107372986</v>
      </c>
      <c r="H14" s="839">
        <f t="shared" si="4"/>
        <v>9.5079028831388168</v>
      </c>
      <c r="I14" s="839">
        <f t="shared" si="5"/>
        <v>15.384615384615385</v>
      </c>
      <c r="J14" s="841">
        <f>'RRT - Subgrupo - IGEO'!ED13</f>
        <v>3</v>
      </c>
      <c r="K14" s="838">
        <f t="shared" si="6"/>
        <v>2.2838061161059482</v>
      </c>
      <c r="L14" s="839">
        <f t="shared" si="7"/>
        <v>2.3034470737389237</v>
      </c>
      <c r="M14" s="839">
        <f t="shared" si="8"/>
        <v>23.07692307692308</v>
      </c>
      <c r="N14" s="846">
        <f t="shared" si="9"/>
        <v>13</v>
      </c>
      <c r="O14" s="842">
        <f>'RRT - Atividades '!F13</f>
        <v>9.896493169792441</v>
      </c>
      <c r="P14" s="723">
        <f t="shared" si="10"/>
        <v>9.896493169792441</v>
      </c>
      <c r="Q14" s="723">
        <f t="shared" si="11"/>
        <v>0</v>
      </c>
      <c r="R14" s="1138" t="s">
        <v>613</v>
      </c>
      <c r="S14" s="1139" t="s">
        <v>527</v>
      </c>
      <c r="T14" s="1139" t="s">
        <v>423</v>
      </c>
      <c r="U14" s="1441"/>
    </row>
    <row r="15" spans="1:21" ht="15" customHeight="1">
      <c r="A15" s="845" t="s">
        <v>98</v>
      </c>
      <c r="B15" s="793">
        <f>'RRT - Subgrupo - IGEO'!DX14</f>
        <v>3</v>
      </c>
      <c r="C15" s="838">
        <f t="shared" si="0"/>
        <v>2.3790804783451844</v>
      </c>
      <c r="D15" s="839">
        <f t="shared" si="1"/>
        <v>2.0087122811363889</v>
      </c>
      <c r="E15" s="840">
        <f t="shared" si="2"/>
        <v>100</v>
      </c>
      <c r="F15" s="841">
        <f>'RRT - Subgrupo - IGEO'!EA14</f>
        <v>0</v>
      </c>
      <c r="G15" s="838">
        <f t="shared" si="3"/>
        <v>0</v>
      </c>
      <c r="H15" s="839">
        <f t="shared" si="4"/>
        <v>0</v>
      </c>
      <c r="I15" s="839">
        <f t="shared" si="5"/>
        <v>0</v>
      </c>
      <c r="J15" s="841">
        <f>'RRT - Subgrupo - IGEO'!ED14</f>
        <v>0</v>
      </c>
      <c r="K15" s="838">
        <f t="shared" si="6"/>
        <v>0</v>
      </c>
      <c r="L15" s="839">
        <f t="shared" si="7"/>
        <v>0</v>
      </c>
      <c r="M15" s="839">
        <f t="shared" si="8"/>
        <v>0</v>
      </c>
      <c r="N15" s="846">
        <f t="shared" si="9"/>
        <v>3</v>
      </c>
      <c r="O15" s="842">
        <f>'RRT - Atividades '!F14</f>
        <v>2.3790804783451844</v>
      </c>
      <c r="P15" s="723">
        <f t="shared" si="10"/>
        <v>2.3790804783451844</v>
      </c>
      <c r="Q15" s="723">
        <f t="shared" si="11"/>
        <v>0</v>
      </c>
      <c r="R15" s="1140" t="s">
        <v>673</v>
      </c>
      <c r="S15" s="1141">
        <v>118.43809094447649</v>
      </c>
      <c r="T15" s="1142">
        <v>0.50701497466649303</v>
      </c>
      <c r="U15" s="1441"/>
    </row>
    <row r="16" spans="1:21" ht="15" customHeight="1">
      <c r="A16" s="845" t="s">
        <v>97</v>
      </c>
      <c r="B16" s="793">
        <f>'RRT - Subgrupo - IGEO'!DX15</f>
        <v>5</v>
      </c>
      <c r="C16" s="838">
        <f t="shared" si="0"/>
        <v>2.3776965028401271</v>
      </c>
      <c r="D16" s="839">
        <f t="shared" si="1"/>
        <v>2.0075437588358174</v>
      </c>
      <c r="E16" s="840">
        <f t="shared" si="2"/>
        <v>83.333333333333329</v>
      </c>
      <c r="F16" s="841">
        <f>'RRT - Subgrupo - IGEO'!EA15</f>
        <v>0</v>
      </c>
      <c r="G16" s="838">
        <f t="shared" si="3"/>
        <v>0</v>
      </c>
      <c r="H16" s="839">
        <f t="shared" si="4"/>
        <v>0</v>
      </c>
      <c r="I16" s="839">
        <f t="shared" si="5"/>
        <v>0</v>
      </c>
      <c r="J16" s="841">
        <f>'RRT - Subgrupo - IGEO'!ED15</f>
        <v>1</v>
      </c>
      <c r="K16" s="838">
        <f t="shared" si="6"/>
        <v>0.4755393005680254</v>
      </c>
      <c r="L16" s="839">
        <f t="shared" si="7"/>
        <v>0.47962898541009813</v>
      </c>
      <c r="M16" s="839">
        <f t="shared" si="8"/>
        <v>16.666666666666664</v>
      </c>
      <c r="N16" s="846">
        <f t="shared" si="9"/>
        <v>6</v>
      </c>
      <c r="O16" s="842">
        <f>'RRT - Atividades '!F15</f>
        <v>2.8532358034081526</v>
      </c>
      <c r="P16" s="723">
        <f t="shared" si="10"/>
        <v>2.8532358034081526</v>
      </c>
      <c r="Q16" s="723">
        <f t="shared" si="11"/>
        <v>0</v>
      </c>
      <c r="R16" s="1143" t="s">
        <v>1105</v>
      </c>
      <c r="S16" s="1144">
        <v>99.147323250579632</v>
      </c>
      <c r="T16" s="1145">
        <v>0.42443421018757643</v>
      </c>
      <c r="U16" s="1441"/>
    </row>
    <row r="17" spans="1:21" ht="15" customHeight="1">
      <c r="A17" s="845" t="s">
        <v>100</v>
      </c>
      <c r="B17" s="793">
        <f>'RRT - Subgrupo - IGEO'!DX16</f>
        <v>6</v>
      </c>
      <c r="C17" s="838">
        <f t="shared" si="0"/>
        <v>3.4617636022514073</v>
      </c>
      <c r="D17" s="839">
        <f t="shared" si="1"/>
        <v>2.9228465054154533</v>
      </c>
      <c r="E17" s="840">
        <f t="shared" si="2"/>
        <v>75</v>
      </c>
      <c r="F17" s="841">
        <f>'RRT - Subgrupo - IGEO'!EA16</f>
        <v>2</v>
      </c>
      <c r="G17" s="838">
        <f t="shared" si="3"/>
        <v>1.1539212007504691</v>
      </c>
      <c r="H17" s="839">
        <f t="shared" si="4"/>
        <v>7.2059777540818741</v>
      </c>
      <c r="I17" s="839">
        <f t="shared" si="5"/>
        <v>25</v>
      </c>
      <c r="J17" s="841">
        <f>'RRT - Subgrupo - IGEO'!ED16</f>
        <v>0</v>
      </c>
      <c r="K17" s="838">
        <f t="shared" si="6"/>
        <v>0</v>
      </c>
      <c r="L17" s="839">
        <f t="shared" si="7"/>
        <v>0</v>
      </c>
      <c r="M17" s="839">
        <f t="shared" si="8"/>
        <v>0</v>
      </c>
      <c r="N17" s="846">
        <f t="shared" si="9"/>
        <v>8</v>
      </c>
      <c r="O17" s="842">
        <f>'RRT - Atividades '!F16</f>
        <v>4.6156848030018764</v>
      </c>
      <c r="P17" s="723">
        <f t="shared" si="10"/>
        <v>4.6156848030018764</v>
      </c>
      <c r="Q17" s="723">
        <f t="shared" si="11"/>
        <v>0</v>
      </c>
      <c r="R17" s="1140" t="s">
        <v>1106</v>
      </c>
      <c r="S17" s="1141">
        <v>16.013388330221012</v>
      </c>
      <c r="T17" s="1142">
        <v>6.8550815145930574E-2</v>
      </c>
      <c r="U17" s="1441"/>
    </row>
    <row r="18" spans="1:21" ht="15" customHeight="1" thickBot="1">
      <c r="A18" s="845" t="s">
        <v>101</v>
      </c>
      <c r="B18" s="793">
        <f>'RRT - Subgrupo - IGEO'!DX17</f>
        <v>1</v>
      </c>
      <c r="C18" s="838">
        <f t="shared" si="0"/>
        <v>0.60485510930350783</v>
      </c>
      <c r="D18" s="839">
        <f t="shared" si="1"/>
        <v>0.51069305869432036</v>
      </c>
      <c r="E18" s="840">
        <f t="shared" si="2"/>
        <v>100</v>
      </c>
      <c r="F18" s="841">
        <f>'RRT - Subgrupo - IGEO'!EA17</f>
        <v>0</v>
      </c>
      <c r="G18" s="838">
        <f t="shared" si="3"/>
        <v>0</v>
      </c>
      <c r="H18" s="839">
        <f t="shared" si="4"/>
        <v>0</v>
      </c>
      <c r="I18" s="839">
        <f t="shared" si="5"/>
        <v>0</v>
      </c>
      <c r="J18" s="841">
        <f>'RRT - Subgrupo - IGEO'!ED17</f>
        <v>0</v>
      </c>
      <c r="K18" s="838">
        <f t="shared" si="6"/>
        <v>0</v>
      </c>
      <c r="L18" s="839">
        <f t="shared" si="7"/>
        <v>0</v>
      </c>
      <c r="M18" s="839">
        <f t="shared" si="8"/>
        <v>0</v>
      </c>
      <c r="N18" s="846">
        <f t="shared" si="9"/>
        <v>1</v>
      </c>
      <c r="O18" s="842">
        <f>'RRT - Atividades '!F17</f>
        <v>0.60485510930350783</v>
      </c>
      <c r="P18" s="723">
        <f t="shared" si="10"/>
        <v>0.60485510930350783</v>
      </c>
      <c r="Q18" s="723">
        <f t="shared" si="11"/>
        <v>0</v>
      </c>
      <c r="R18" s="1146" t="s">
        <v>128</v>
      </c>
      <c r="S18" s="1147">
        <f>SUM(S15:S17)</f>
        <v>233.59880252527711</v>
      </c>
      <c r="T18" s="1148">
        <f>SUM(T15:T17)</f>
        <v>1</v>
      </c>
      <c r="U18" s="1442"/>
    </row>
    <row r="19" spans="1:21" ht="15" customHeight="1">
      <c r="A19" s="845" t="s">
        <v>103</v>
      </c>
      <c r="B19" s="793">
        <f>'RRT - Subgrupo - IGEO'!DX18</f>
        <v>10</v>
      </c>
      <c r="C19" s="838">
        <f t="shared" si="0"/>
        <v>7.3251909882730777</v>
      </c>
      <c r="D19" s="839">
        <f t="shared" si="1"/>
        <v>6.1848269672863196</v>
      </c>
      <c r="E19" s="840">
        <f t="shared" si="2"/>
        <v>37.037037037037038</v>
      </c>
      <c r="F19" s="841">
        <f>'RRT - Subgrupo - IGEO'!EA18</f>
        <v>6</v>
      </c>
      <c r="G19" s="838">
        <f t="shared" si="3"/>
        <v>4.3951145929638464</v>
      </c>
      <c r="H19" s="839">
        <f t="shared" si="4"/>
        <v>27.446499780869217</v>
      </c>
      <c r="I19" s="839">
        <f t="shared" si="5"/>
        <v>22.222222222222221</v>
      </c>
      <c r="J19" s="841">
        <f>'RRT - Subgrupo - IGEO'!ED18</f>
        <v>11</v>
      </c>
      <c r="K19" s="838">
        <f t="shared" si="6"/>
        <v>8.0577100871003857</v>
      </c>
      <c r="L19" s="839">
        <f t="shared" si="7"/>
        <v>8.127007187814602</v>
      </c>
      <c r="M19" s="839">
        <f t="shared" si="8"/>
        <v>40.74074074074074</v>
      </c>
      <c r="N19" s="846">
        <f t="shared" si="9"/>
        <v>27</v>
      </c>
      <c r="O19" s="842">
        <f>'RRT - Atividades '!F18</f>
        <v>19.778015668337311</v>
      </c>
      <c r="P19" s="723">
        <f t="shared" si="10"/>
        <v>19.778015668337311</v>
      </c>
      <c r="Q19" s="723">
        <f t="shared" si="11"/>
        <v>0</v>
      </c>
    </row>
    <row r="20" spans="1:21" ht="15" customHeight="1">
      <c r="A20" s="845" t="s">
        <v>104</v>
      </c>
      <c r="B20" s="793">
        <f>'RRT - Subgrupo - IGEO'!DX19</f>
        <v>6</v>
      </c>
      <c r="C20" s="838">
        <f t="shared" si="0"/>
        <v>4.6188340807174884</v>
      </c>
      <c r="D20" s="839">
        <f t="shared" si="1"/>
        <v>3.8997876813826626</v>
      </c>
      <c r="E20" s="840">
        <f t="shared" si="2"/>
        <v>100</v>
      </c>
      <c r="F20" s="841">
        <f>'RRT - Subgrupo - IGEO'!EA19</f>
        <v>0</v>
      </c>
      <c r="G20" s="838">
        <f t="shared" si="3"/>
        <v>0</v>
      </c>
      <c r="H20" s="839">
        <f t="shared" si="4"/>
        <v>0</v>
      </c>
      <c r="I20" s="839">
        <f t="shared" si="5"/>
        <v>0</v>
      </c>
      <c r="J20" s="841">
        <f>'RRT - Subgrupo - IGEO'!ED19</f>
        <v>0</v>
      </c>
      <c r="K20" s="838">
        <f t="shared" si="6"/>
        <v>0</v>
      </c>
      <c r="L20" s="839">
        <f t="shared" si="7"/>
        <v>0</v>
      </c>
      <c r="M20" s="839">
        <f t="shared" si="8"/>
        <v>0</v>
      </c>
      <c r="N20" s="846">
        <f t="shared" si="9"/>
        <v>6</v>
      </c>
      <c r="O20" s="842">
        <f>'RRT - Atividades '!F19</f>
        <v>4.6188340807174884</v>
      </c>
      <c r="P20" s="723">
        <f t="shared" si="10"/>
        <v>4.6188340807174884</v>
      </c>
      <c r="Q20" s="843">
        <f>O20-P20</f>
        <v>0</v>
      </c>
    </row>
    <row r="21" spans="1:21" ht="15.75" customHeight="1">
      <c r="A21" s="845" t="s">
        <v>102</v>
      </c>
      <c r="B21" s="793">
        <f>'RRT - Subgrupo - IGEO'!DX20</f>
        <v>4</v>
      </c>
      <c r="C21" s="838">
        <f t="shared" si="0"/>
        <v>2.8616250156011476</v>
      </c>
      <c r="D21" s="839">
        <f t="shared" si="1"/>
        <v>2.4161357151076261</v>
      </c>
      <c r="E21" s="840">
        <f t="shared" si="2"/>
        <v>8.3333333333333321</v>
      </c>
      <c r="F21" s="841">
        <f>'RRT - Subgrupo - IGEO'!EA20</f>
        <v>0</v>
      </c>
      <c r="G21" s="838">
        <f t="shared" si="3"/>
        <v>0</v>
      </c>
      <c r="H21" s="839">
        <f t="shared" si="4"/>
        <v>0</v>
      </c>
      <c r="I21" s="839">
        <f t="shared" si="5"/>
        <v>0</v>
      </c>
      <c r="J21" s="841">
        <f>'RRT - Subgrupo - IGEO'!ED20</f>
        <v>44</v>
      </c>
      <c r="K21" s="838">
        <f t="shared" si="6"/>
        <v>31.477875171612624</v>
      </c>
      <c r="L21" s="839">
        <f t="shared" si="7"/>
        <v>31.748587999755806</v>
      </c>
      <c r="M21" s="839">
        <f t="shared" si="8"/>
        <v>91.666666666666657</v>
      </c>
      <c r="N21" s="846">
        <f t="shared" si="9"/>
        <v>48</v>
      </c>
      <c r="O21" s="842">
        <f>'RRT - Atividades '!F20</f>
        <v>34.339500187213773</v>
      </c>
      <c r="P21" s="723">
        <f t="shared" si="10"/>
        <v>34.339500187213773</v>
      </c>
      <c r="Q21" s="723">
        <f t="shared" si="11"/>
        <v>0</v>
      </c>
    </row>
    <row r="22" spans="1:21">
      <c r="A22" s="845" t="s">
        <v>105</v>
      </c>
      <c r="B22" s="793">
        <f>'RRT - Subgrupo - IGEO'!DX21</f>
        <v>4</v>
      </c>
      <c r="C22" s="838">
        <f t="shared" si="0"/>
        <v>3.4787640650116085</v>
      </c>
      <c r="D22" s="839">
        <f t="shared" si="1"/>
        <v>2.9372003865229859</v>
      </c>
      <c r="E22" s="840">
        <f t="shared" si="2"/>
        <v>57.142857142857139</v>
      </c>
      <c r="F22" s="841">
        <f>'RRT - Subgrupo - IGEO'!EA21</f>
        <v>1</v>
      </c>
      <c r="G22" s="838">
        <f t="shared" si="3"/>
        <v>0.86969101625290213</v>
      </c>
      <c r="H22" s="839">
        <f t="shared" si="4"/>
        <v>5.4310243298827121</v>
      </c>
      <c r="I22" s="839">
        <f t="shared" si="5"/>
        <v>14.285714285714285</v>
      </c>
      <c r="J22" s="841">
        <f>'RRT - Subgrupo - IGEO'!ED21</f>
        <v>2</v>
      </c>
      <c r="K22" s="838">
        <f t="shared" si="6"/>
        <v>1.7393820325058043</v>
      </c>
      <c r="L22" s="839">
        <f t="shared" si="7"/>
        <v>1.7543408893750798</v>
      </c>
      <c r="M22" s="839">
        <f t="shared" si="8"/>
        <v>28.571428571428569</v>
      </c>
      <c r="N22" s="846">
        <f t="shared" si="9"/>
        <v>7</v>
      </c>
      <c r="O22" s="842">
        <f>'RRT - Atividades '!F21</f>
        <v>6.0878371137703153</v>
      </c>
      <c r="P22" s="723">
        <f t="shared" si="10"/>
        <v>6.0878371137703153</v>
      </c>
      <c r="Q22" s="723">
        <f t="shared" si="11"/>
        <v>0</v>
      </c>
    </row>
    <row r="23" spans="1:21">
      <c r="A23" s="845" t="s">
        <v>106</v>
      </c>
      <c r="B23" s="793">
        <f>'RRT - Subgrupo - IGEO'!DX22</f>
        <v>1</v>
      </c>
      <c r="C23" s="838">
        <f t="shared" si="0"/>
        <v>0.6836090738529762</v>
      </c>
      <c r="D23" s="839">
        <f t="shared" si="1"/>
        <v>0.57718683947164484</v>
      </c>
      <c r="E23" s="840">
        <f t="shared" si="2"/>
        <v>100</v>
      </c>
      <c r="F23" s="841">
        <f>'RRT - Subgrupo - IGEO'!EA22</f>
        <v>0</v>
      </c>
      <c r="G23" s="838">
        <f t="shared" si="3"/>
        <v>0</v>
      </c>
      <c r="H23" s="839">
        <f t="shared" si="4"/>
        <v>0</v>
      </c>
      <c r="I23" s="839">
        <f t="shared" si="5"/>
        <v>0</v>
      </c>
      <c r="J23" s="841">
        <f>'RRT - Subgrupo - IGEO'!ED22</f>
        <v>0</v>
      </c>
      <c r="K23" s="838">
        <f t="shared" si="6"/>
        <v>0</v>
      </c>
      <c r="L23" s="839">
        <f t="shared" si="7"/>
        <v>0</v>
      </c>
      <c r="M23" s="839">
        <f t="shared" si="8"/>
        <v>0</v>
      </c>
      <c r="N23" s="846">
        <f t="shared" si="9"/>
        <v>1</v>
      </c>
      <c r="O23" s="842">
        <f>'RRT - Atividades '!F22</f>
        <v>0.6836090738529762</v>
      </c>
      <c r="P23" s="723">
        <f t="shared" si="10"/>
        <v>0.6836090738529762</v>
      </c>
      <c r="Q23" s="723">
        <f t="shared" si="11"/>
        <v>0</v>
      </c>
    </row>
    <row r="24" spans="1:21">
      <c r="A24" s="845" t="s">
        <v>108</v>
      </c>
      <c r="B24" s="793">
        <f>'RRT - Subgrupo - IGEO'!DX23</f>
        <v>3</v>
      </c>
      <c r="C24" s="838">
        <f t="shared" si="0"/>
        <v>1.5830016900179904</v>
      </c>
      <c r="D24" s="839">
        <f t="shared" si="1"/>
        <v>1.3365646789765449</v>
      </c>
      <c r="E24" s="840">
        <f t="shared" si="2"/>
        <v>60</v>
      </c>
      <c r="F24" s="841">
        <f>'RRT - Subgrupo - IGEO'!EA23</f>
        <v>0</v>
      </c>
      <c r="G24" s="838">
        <f t="shared" si="3"/>
        <v>0</v>
      </c>
      <c r="H24" s="839">
        <f t="shared" si="4"/>
        <v>0</v>
      </c>
      <c r="I24" s="839">
        <f t="shared" si="5"/>
        <v>0</v>
      </c>
      <c r="J24" s="841">
        <f>'RRT - Subgrupo - IGEO'!ED23</f>
        <v>2</v>
      </c>
      <c r="K24" s="838">
        <f t="shared" si="6"/>
        <v>1.0553344600119938</v>
      </c>
      <c r="L24" s="839">
        <f t="shared" si="7"/>
        <v>1.0644104403553063</v>
      </c>
      <c r="M24" s="839">
        <f t="shared" si="8"/>
        <v>40.000000000000007</v>
      </c>
      <c r="N24" s="846">
        <f t="shared" si="9"/>
        <v>5</v>
      </c>
      <c r="O24" s="842">
        <f>'RRT - Atividades '!F23</f>
        <v>2.6383361500299842</v>
      </c>
      <c r="P24" s="723">
        <f t="shared" si="10"/>
        <v>2.6383361500299842</v>
      </c>
      <c r="Q24" s="723">
        <f t="shared" si="11"/>
        <v>0</v>
      </c>
    </row>
    <row r="25" spans="1:21">
      <c r="A25" s="845" t="s">
        <v>109</v>
      </c>
      <c r="B25" s="793">
        <f>'RRT - Subgrupo - IGEO'!DX24</f>
        <v>1</v>
      </c>
      <c r="C25" s="838">
        <f t="shared" si="0"/>
        <v>0.49749373433583954</v>
      </c>
      <c r="D25" s="839">
        <f t="shared" si="1"/>
        <v>0.42004538435954986</v>
      </c>
      <c r="E25" s="840">
        <f t="shared" si="2"/>
        <v>50</v>
      </c>
      <c r="F25" s="841">
        <f>'RRT - Subgrupo - IGEO'!EA24</f>
        <v>0</v>
      </c>
      <c r="G25" s="838">
        <f t="shared" si="3"/>
        <v>0</v>
      </c>
      <c r="H25" s="839">
        <f t="shared" si="4"/>
        <v>0</v>
      </c>
      <c r="I25" s="839">
        <f t="shared" si="5"/>
        <v>0</v>
      </c>
      <c r="J25" s="841">
        <f>'RRT - Subgrupo - IGEO'!ED24</f>
        <v>1</v>
      </c>
      <c r="K25" s="838">
        <f t="shared" si="6"/>
        <v>0.49749373433583954</v>
      </c>
      <c r="L25" s="839">
        <f t="shared" si="7"/>
        <v>0.50177222947159206</v>
      </c>
      <c r="M25" s="839">
        <f t="shared" si="8"/>
        <v>50</v>
      </c>
      <c r="N25" s="846">
        <f t="shared" si="9"/>
        <v>2</v>
      </c>
      <c r="O25" s="842">
        <f>'RRT - Atividades '!F24</f>
        <v>0.99498746867167909</v>
      </c>
      <c r="P25" s="723">
        <f t="shared" si="10"/>
        <v>0.99498746867167909</v>
      </c>
      <c r="Q25" s="723">
        <f t="shared" si="11"/>
        <v>0</v>
      </c>
    </row>
    <row r="26" spans="1:21">
      <c r="A26" s="845" t="s">
        <v>107</v>
      </c>
      <c r="B26" s="793">
        <f>'RRT - Subgrupo - IGEO'!DX25</f>
        <v>20</v>
      </c>
      <c r="C26" s="838">
        <f t="shared" si="0"/>
        <v>10.039624584698277</v>
      </c>
      <c r="D26" s="839">
        <f t="shared" si="1"/>
        <v>8.4766855870758935</v>
      </c>
      <c r="E26" s="840">
        <f t="shared" si="2"/>
        <v>86.956521739130437</v>
      </c>
      <c r="F26" s="841">
        <f>'RRT - Subgrupo - IGEO'!EA25</f>
        <v>0</v>
      </c>
      <c r="G26" s="838">
        <f t="shared" si="3"/>
        <v>0</v>
      </c>
      <c r="H26" s="839">
        <f t="shared" si="4"/>
        <v>0</v>
      </c>
      <c r="I26" s="839">
        <f t="shared" si="5"/>
        <v>0</v>
      </c>
      <c r="J26" s="841">
        <f>'RRT - Subgrupo - IGEO'!ED25</f>
        <v>3</v>
      </c>
      <c r="K26" s="838">
        <f t="shared" si="6"/>
        <v>1.5059436877047416</v>
      </c>
      <c r="L26" s="839">
        <f t="shared" si="7"/>
        <v>1.518894951806919</v>
      </c>
      <c r="M26" s="839">
        <f t="shared" si="8"/>
        <v>13.043478260869565</v>
      </c>
      <c r="N26" s="846">
        <f t="shared" si="9"/>
        <v>23</v>
      </c>
      <c r="O26" s="842">
        <f>'RRT - Atividades '!F25</f>
        <v>11.545568272403019</v>
      </c>
      <c r="P26" s="723">
        <f t="shared" si="10"/>
        <v>11.545568272403019</v>
      </c>
      <c r="Q26" s="723">
        <f t="shared" si="11"/>
        <v>0</v>
      </c>
    </row>
    <row r="27" spans="1:21">
      <c r="A27" s="845" t="s">
        <v>110</v>
      </c>
      <c r="B27" s="793">
        <f>'RRT - Subgrupo - IGEO'!DX26</f>
        <v>0</v>
      </c>
      <c r="C27" s="838">
        <f t="shared" si="0"/>
        <v>0</v>
      </c>
      <c r="D27" s="839">
        <f t="shared" si="1"/>
        <v>0</v>
      </c>
      <c r="E27" s="840">
        <f t="shared" si="2"/>
        <v>0</v>
      </c>
      <c r="F27" s="841">
        <f>'RRT - Subgrupo - IGEO'!EA26</f>
        <v>2</v>
      </c>
      <c r="G27" s="838">
        <f t="shared" si="3"/>
        <v>0.98635628956089094</v>
      </c>
      <c r="H27" s="839">
        <f t="shared" si="4"/>
        <v>6.1595726602058711</v>
      </c>
      <c r="I27" s="839">
        <f t="shared" si="5"/>
        <v>2.5974025974025974</v>
      </c>
      <c r="J27" s="841">
        <f>'RRT - Subgrupo - IGEO'!ED26</f>
        <v>75</v>
      </c>
      <c r="K27" s="838">
        <f t="shared" si="6"/>
        <v>36.988360858533412</v>
      </c>
      <c r="L27" s="839">
        <f t="shared" si="7"/>
        <v>37.306464406558923</v>
      </c>
      <c r="M27" s="839">
        <f t="shared" si="8"/>
        <v>97.402597402597408</v>
      </c>
      <c r="N27" s="846">
        <f t="shared" si="9"/>
        <v>77</v>
      </c>
      <c r="O27" s="842">
        <f>'RRT - Atividades '!F26</f>
        <v>37.9747171480943</v>
      </c>
      <c r="P27" s="723">
        <f t="shared" si="10"/>
        <v>37.9747171480943</v>
      </c>
      <c r="Q27" s="723">
        <f t="shared" si="11"/>
        <v>0</v>
      </c>
    </row>
    <row r="28" spans="1:21">
      <c r="A28" s="845" t="s">
        <v>112</v>
      </c>
      <c r="B28" s="793">
        <f>'RRT - Subgrupo - IGEO'!DX27</f>
        <v>0</v>
      </c>
      <c r="C28" s="838">
        <f t="shared" si="0"/>
        <v>0</v>
      </c>
      <c r="D28" s="839">
        <f t="shared" si="1"/>
        <v>0</v>
      </c>
      <c r="E28" s="840">
        <f t="shared" si="2"/>
        <v>0</v>
      </c>
      <c r="F28" s="841">
        <f>'RRT - Subgrupo - IGEO'!EA27</f>
        <v>0</v>
      </c>
      <c r="G28" s="838">
        <f t="shared" si="3"/>
        <v>0</v>
      </c>
      <c r="H28" s="839">
        <f t="shared" si="4"/>
        <v>0</v>
      </c>
      <c r="I28" s="839">
        <f t="shared" si="5"/>
        <v>0</v>
      </c>
      <c r="J28" s="841">
        <f>'RRT - Subgrupo - IGEO'!ED27</f>
        <v>0</v>
      </c>
      <c r="K28" s="838">
        <f t="shared" si="6"/>
        <v>0</v>
      </c>
      <c r="L28" s="839">
        <f t="shared" si="7"/>
        <v>0</v>
      </c>
      <c r="M28" s="839">
        <f t="shared" si="8"/>
        <v>0</v>
      </c>
      <c r="N28" s="846">
        <f t="shared" si="9"/>
        <v>0</v>
      </c>
      <c r="O28" s="842">
        <f>'RRT - Atividades '!F27</f>
        <v>0</v>
      </c>
      <c r="P28" s="723">
        <f t="shared" si="10"/>
        <v>0</v>
      </c>
      <c r="Q28" s="723">
        <f t="shared" si="11"/>
        <v>0</v>
      </c>
    </row>
    <row r="29" spans="1:21">
      <c r="A29" s="845" t="s">
        <v>111</v>
      </c>
      <c r="B29" s="793">
        <f>'RRT - Subgrupo - IGEO'!DX28</f>
        <v>61</v>
      </c>
      <c r="C29" s="838">
        <f t="shared" si="0"/>
        <v>54.342650224041222</v>
      </c>
      <c r="D29" s="839">
        <f t="shared" si="1"/>
        <v>45.88274751027263</v>
      </c>
      <c r="E29" s="840">
        <f t="shared" si="2"/>
        <v>85.91549295774648</v>
      </c>
      <c r="F29" s="841">
        <f>'RRT - Subgrupo - IGEO'!EA28</f>
        <v>5</v>
      </c>
      <c r="G29" s="838">
        <f t="shared" si="3"/>
        <v>4.4543155921345265</v>
      </c>
      <c r="H29" s="839">
        <f t="shared" si="4"/>
        <v>27.816196674180382</v>
      </c>
      <c r="I29" s="839">
        <f t="shared" si="5"/>
        <v>7.042253521126761</v>
      </c>
      <c r="J29" s="841">
        <f>'RRT - Subgrupo - IGEO'!ED28</f>
        <v>5</v>
      </c>
      <c r="K29" s="838">
        <f t="shared" si="6"/>
        <v>4.4543155921345265</v>
      </c>
      <c r="L29" s="839">
        <f t="shared" si="7"/>
        <v>4.4926231451321463</v>
      </c>
      <c r="M29" s="839">
        <f t="shared" si="8"/>
        <v>7.042253521126761</v>
      </c>
      <c r="N29" s="846">
        <f t="shared" si="9"/>
        <v>71</v>
      </c>
      <c r="O29" s="842">
        <f>'RRT - Atividades '!F28</f>
        <v>63.251281408310277</v>
      </c>
      <c r="P29" s="723">
        <f t="shared" si="10"/>
        <v>63.251281408310277</v>
      </c>
      <c r="Q29" s="723">
        <f t="shared" si="11"/>
        <v>0</v>
      </c>
    </row>
    <row r="30" spans="1:21">
      <c r="A30" s="845" t="s">
        <v>113</v>
      </c>
      <c r="B30" s="793">
        <f>'RRT - Subgrupo - IGEO'!DX29</f>
        <v>0</v>
      </c>
      <c r="C30" s="838">
        <f t="shared" si="0"/>
        <v>0</v>
      </c>
      <c r="D30" s="839">
        <f t="shared" si="1"/>
        <v>0</v>
      </c>
      <c r="E30" s="840">
        <f t="shared" si="2"/>
        <v>0</v>
      </c>
      <c r="F30" s="841">
        <f>'RRT - Subgrupo - IGEO'!EA29</f>
        <v>0</v>
      </c>
      <c r="G30" s="838">
        <f t="shared" si="3"/>
        <v>0</v>
      </c>
      <c r="H30" s="839">
        <f t="shared" si="4"/>
        <v>0</v>
      </c>
      <c r="I30" s="839">
        <f t="shared" si="5"/>
        <v>0</v>
      </c>
      <c r="J30" s="841">
        <f>'RRT - Subgrupo - IGEO'!ED29</f>
        <v>0</v>
      </c>
      <c r="K30" s="838">
        <f t="shared" si="6"/>
        <v>0</v>
      </c>
      <c r="L30" s="839">
        <f t="shared" si="7"/>
        <v>0</v>
      </c>
      <c r="M30" s="839">
        <f t="shared" si="8"/>
        <v>0</v>
      </c>
      <c r="N30" s="846">
        <f t="shared" si="9"/>
        <v>0</v>
      </c>
      <c r="O30" s="842">
        <f>'RRT - Atividades '!F29</f>
        <v>0</v>
      </c>
      <c r="P30" s="723">
        <f t="shared" si="10"/>
        <v>0</v>
      </c>
      <c r="Q30" s="723">
        <f t="shared" si="11"/>
        <v>0</v>
      </c>
    </row>
    <row r="31" spans="1:21">
      <c r="A31" s="30" t="s">
        <v>128</v>
      </c>
      <c r="B31" s="804">
        <f t="shared" ref="B31:L31" si="12">SUM(B4:B30)</f>
        <v>159</v>
      </c>
      <c r="C31" s="804">
        <f t="shared" si="12"/>
        <v>118.43809094447649</v>
      </c>
      <c r="D31" s="854">
        <f t="shared" si="12"/>
        <v>100</v>
      </c>
      <c r="E31" s="854">
        <f>IFERROR((C31/$O31)*100,0)</f>
        <v>50.701497466649293</v>
      </c>
      <c r="F31" s="804">
        <f t="shared" si="12"/>
        <v>22</v>
      </c>
      <c r="G31" s="804">
        <f t="shared" si="12"/>
        <v>16.013388330221012</v>
      </c>
      <c r="H31" s="854">
        <f t="shared" si="12"/>
        <v>100</v>
      </c>
      <c r="I31" s="854">
        <f t="shared" si="5"/>
        <v>6.8550815145930564</v>
      </c>
      <c r="J31" s="804">
        <f t="shared" si="12"/>
        <v>163</v>
      </c>
      <c r="K31" s="804">
        <f t="shared" si="12"/>
        <v>99.147323250579632</v>
      </c>
      <c r="L31" s="854">
        <f t="shared" si="12"/>
        <v>100</v>
      </c>
      <c r="M31" s="854">
        <f t="shared" si="8"/>
        <v>42.44342101875764</v>
      </c>
      <c r="N31" s="804">
        <f>B31+F31+J31</f>
        <v>344</v>
      </c>
      <c r="O31" s="804">
        <f>SUM(O4:O30)</f>
        <v>233.59880252527716</v>
      </c>
      <c r="P31" s="723">
        <f>C31+G31+K31</f>
        <v>233.59880252527714</v>
      </c>
      <c r="Q31" s="843">
        <f t="shared" si="11"/>
        <v>0</v>
      </c>
    </row>
    <row r="32" spans="1:21">
      <c r="B32" s="253">
        <f>'RRT - Subgrupo - IGEO'!DX30</f>
        <v>159</v>
      </c>
      <c r="E32" s="855"/>
      <c r="F32" s="253">
        <f>'RRT - Subgrupo - IGEO'!EA30</f>
        <v>22</v>
      </c>
      <c r="I32" s="855"/>
      <c r="J32" s="253">
        <f>'RRT - Subgrupo - IGEO'!ED30</f>
        <v>163</v>
      </c>
      <c r="M32" s="855"/>
      <c r="N32" s="856">
        <f>B32+F32+J32</f>
        <v>344</v>
      </c>
      <c r="O32" s="357">
        <f>'RRT - Atividades '!F30</f>
        <v>233.59880252527716</v>
      </c>
    </row>
    <row r="33" spans="1:14">
      <c r="B33" s="357">
        <f>B31-B32</f>
        <v>0</v>
      </c>
      <c r="F33" s="357">
        <f>F31-F32</f>
        <v>0</v>
      </c>
      <c r="J33" s="357">
        <f>J31-J32</f>
        <v>0</v>
      </c>
      <c r="N33" s="357">
        <f>N31-N32</f>
        <v>0</v>
      </c>
    </row>
    <row r="35" spans="1:14" hidden="1">
      <c r="A35" s="274" t="s">
        <v>87</v>
      </c>
      <c r="B35" s="756">
        <f>IFERROR(B4/$N4,)</f>
        <v>1</v>
      </c>
      <c r="E35" s="274" t="s">
        <v>87</v>
      </c>
      <c r="F35" s="756">
        <f>IFERROR(F4/$N4,)</f>
        <v>0</v>
      </c>
      <c r="I35" s="274" t="s">
        <v>87</v>
      </c>
      <c r="J35" s="756">
        <f>IFERROR(J4/$N4,)</f>
        <v>0</v>
      </c>
      <c r="M35" s="274" t="s">
        <v>87</v>
      </c>
      <c r="N35" s="756">
        <f>IFERROR(N4/$N4,)</f>
        <v>1</v>
      </c>
    </row>
    <row r="36" spans="1:14" hidden="1">
      <c r="A36" s="758" t="s">
        <v>88</v>
      </c>
      <c r="B36" s="756">
        <f t="shared" ref="B36:B61" si="13">IFERROR(B5/$N5,)</f>
        <v>0</v>
      </c>
      <c r="E36" s="758" t="s">
        <v>88</v>
      </c>
      <c r="F36" s="756">
        <f t="shared" ref="F36:F61" si="14">IFERROR(F5/$N5,)</f>
        <v>0</v>
      </c>
      <c r="I36" s="758" t="s">
        <v>88</v>
      </c>
      <c r="J36" s="756">
        <f t="shared" ref="J36:J61" si="15">IFERROR(J5/$N5,)</f>
        <v>0</v>
      </c>
      <c r="M36" s="758" t="s">
        <v>88</v>
      </c>
      <c r="N36" s="756">
        <f t="shared" ref="N36:N61" si="16">IFERROR(N5/$N5,)</f>
        <v>0</v>
      </c>
    </row>
    <row r="37" spans="1:14" hidden="1">
      <c r="A37" s="758" t="s">
        <v>90</v>
      </c>
      <c r="B37" s="756">
        <f t="shared" si="13"/>
        <v>1</v>
      </c>
      <c r="E37" s="758" t="s">
        <v>90</v>
      </c>
      <c r="F37" s="756">
        <f t="shared" si="14"/>
        <v>0</v>
      </c>
      <c r="I37" s="758" t="s">
        <v>90</v>
      </c>
      <c r="J37" s="756">
        <f t="shared" si="15"/>
        <v>0</v>
      </c>
      <c r="M37" s="758" t="s">
        <v>90</v>
      </c>
      <c r="N37" s="756">
        <f t="shared" si="16"/>
        <v>1</v>
      </c>
    </row>
    <row r="38" spans="1:14" hidden="1">
      <c r="A38" s="758" t="s">
        <v>89</v>
      </c>
      <c r="B38" s="756">
        <f t="shared" si="13"/>
        <v>0</v>
      </c>
      <c r="E38" s="758" t="s">
        <v>89</v>
      </c>
      <c r="F38" s="756">
        <f t="shared" si="14"/>
        <v>0</v>
      </c>
      <c r="I38" s="758" t="s">
        <v>89</v>
      </c>
      <c r="J38" s="756">
        <f t="shared" si="15"/>
        <v>0</v>
      </c>
      <c r="M38" s="758" t="s">
        <v>89</v>
      </c>
      <c r="N38" s="756">
        <f t="shared" si="16"/>
        <v>0</v>
      </c>
    </row>
    <row r="39" spans="1:14" hidden="1">
      <c r="A39" s="758" t="s">
        <v>91</v>
      </c>
      <c r="B39" s="756">
        <f t="shared" si="13"/>
        <v>0.4</v>
      </c>
      <c r="E39" s="758" t="s">
        <v>91</v>
      </c>
      <c r="F39" s="756">
        <f t="shared" si="14"/>
        <v>0.1</v>
      </c>
      <c r="I39" s="758" t="s">
        <v>91</v>
      </c>
      <c r="J39" s="756">
        <f t="shared" si="15"/>
        <v>0.5</v>
      </c>
      <c r="M39" s="758" t="s">
        <v>91</v>
      </c>
      <c r="N39" s="756">
        <f t="shared" si="16"/>
        <v>1</v>
      </c>
    </row>
    <row r="40" spans="1:14" hidden="1">
      <c r="A40" s="758" t="s">
        <v>92</v>
      </c>
      <c r="B40" s="756">
        <f t="shared" si="13"/>
        <v>0</v>
      </c>
      <c r="E40" s="758" t="s">
        <v>92</v>
      </c>
      <c r="F40" s="756">
        <f t="shared" si="14"/>
        <v>0.66666666666666663</v>
      </c>
      <c r="I40" s="758" t="s">
        <v>92</v>
      </c>
      <c r="J40" s="756">
        <f t="shared" si="15"/>
        <v>0.33333333333333331</v>
      </c>
      <c r="M40" s="758" t="s">
        <v>92</v>
      </c>
      <c r="N40" s="756">
        <f t="shared" si="16"/>
        <v>1</v>
      </c>
    </row>
    <row r="41" spans="1:14" hidden="1">
      <c r="A41" s="758" t="s">
        <v>93</v>
      </c>
      <c r="B41" s="756">
        <f t="shared" si="13"/>
        <v>0.8</v>
      </c>
      <c r="E41" s="758" t="s">
        <v>93</v>
      </c>
      <c r="F41" s="756">
        <f t="shared" si="14"/>
        <v>0</v>
      </c>
      <c r="I41" s="758" t="s">
        <v>93</v>
      </c>
      <c r="J41" s="756">
        <f t="shared" si="15"/>
        <v>0.2</v>
      </c>
      <c r="M41" s="758" t="s">
        <v>93</v>
      </c>
      <c r="N41" s="756">
        <f t="shared" si="16"/>
        <v>1</v>
      </c>
    </row>
    <row r="42" spans="1:14" hidden="1">
      <c r="A42" s="758" t="s">
        <v>94</v>
      </c>
      <c r="B42" s="756">
        <f t="shared" si="13"/>
        <v>0.66666666666666663</v>
      </c>
      <c r="E42" s="758" t="s">
        <v>94</v>
      </c>
      <c r="F42" s="756">
        <f t="shared" si="14"/>
        <v>0</v>
      </c>
      <c r="I42" s="758" t="s">
        <v>94</v>
      </c>
      <c r="J42" s="756">
        <f t="shared" si="15"/>
        <v>0.33333333333333331</v>
      </c>
      <c r="M42" s="758" t="s">
        <v>94</v>
      </c>
      <c r="N42" s="756">
        <f t="shared" si="16"/>
        <v>1</v>
      </c>
    </row>
    <row r="43" spans="1:14" hidden="1">
      <c r="A43" s="758" t="s">
        <v>95</v>
      </c>
      <c r="B43" s="756">
        <f t="shared" si="13"/>
        <v>0</v>
      </c>
      <c r="E43" s="758" t="s">
        <v>95</v>
      </c>
      <c r="F43" s="756">
        <f t="shared" si="14"/>
        <v>0</v>
      </c>
      <c r="I43" s="758" t="s">
        <v>95</v>
      </c>
      <c r="J43" s="756">
        <f t="shared" si="15"/>
        <v>1</v>
      </c>
      <c r="M43" s="758" t="s">
        <v>95</v>
      </c>
      <c r="N43" s="756">
        <f t="shared" si="16"/>
        <v>1</v>
      </c>
    </row>
    <row r="44" spans="1:14" hidden="1">
      <c r="A44" s="758" t="s">
        <v>96</v>
      </c>
      <c r="B44" s="756">
        <f t="shared" si="13"/>
        <v>1</v>
      </c>
      <c r="E44" s="758" t="s">
        <v>96</v>
      </c>
      <c r="F44" s="756">
        <f t="shared" si="14"/>
        <v>0</v>
      </c>
      <c r="I44" s="758" t="s">
        <v>96</v>
      </c>
      <c r="J44" s="756">
        <f t="shared" si="15"/>
        <v>0</v>
      </c>
      <c r="M44" s="758" t="s">
        <v>96</v>
      </c>
      <c r="N44" s="756">
        <f t="shared" si="16"/>
        <v>1</v>
      </c>
    </row>
    <row r="45" spans="1:14" hidden="1">
      <c r="A45" s="758" t="s">
        <v>99</v>
      </c>
      <c r="B45" s="756">
        <f t="shared" si="13"/>
        <v>0.61538461538461542</v>
      </c>
      <c r="E45" s="758" t="s">
        <v>99</v>
      </c>
      <c r="F45" s="756">
        <f t="shared" si="14"/>
        <v>0.15384615384615385</v>
      </c>
      <c r="I45" s="758" t="s">
        <v>99</v>
      </c>
      <c r="J45" s="756">
        <f t="shared" si="15"/>
        <v>0.23076923076923078</v>
      </c>
      <c r="M45" s="758" t="s">
        <v>99</v>
      </c>
      <c r="N45" s="756">
        <f t="shared" si="16"/>
        <v>1</v>
      </c>
    </row>
    <row r="46" spans="1:14" hidden="1">
      <c r="A46" s="758" t="s">
        <v>98</v>
      </c>
      <c r="B46" s="756">
        <f t="shared" si="13"/>
        <v>1</v>
      </c>
      <c r="E46" s="758" t="s">
        <v>98</v>
      </c>
      <c r="F46" s="756">
        <f t="shared" si="14"/>
        <v>0</v>
      </c>
      <c r="I46" s="758" t="s">
        <v>98</v>
      </c>
      <c r="J46" s="756">
        <f t="shared" si="15"/>
        <v>0</v>
      </c>
      <c r="M46" s="758" t="s">
        <v>98</v>
      </c>
      <c r="N46" s="756">
        <f t="shared" si="16"/>
        <v>1</v>
      </c>
    </row>
    <row r="47" spans="1:14" hidden="1">
      <c r="A47" s="758" t="s">
        <v>97</v>
      </c>
      <c r="B47" s="756">
        <f t="shared" si="13"/>
        <v>0.83333333333333337</v>
      </c>
      <c r="E47" s="758" t="s">
        <v>97</v>
      </c>
      <c r="F47" s="756">
        <f t="shared" si="14"/>
        <v>0</v>
      </c>
      <c r="I47" s="758" t="s">
        <v>97</v>
      </c>
      <c r="J47" s="756">
        <f t="shared" si="15"/>
        <v>0.16666666666666666</v>
      </c>
      <c r="M47" s="758" t="s">
        <v>97</v>
      </c>
      <c r="N47" s="756">
        <f t="shared" si="16"/>
        <v>1</v>
      </c>
    </row>
    <row r="48" spans="1:14" hidden="1">
      <c r="A48" s="707" t="s">
        <v>100</v>
      </c>
      <c r="B48" s="756">
        <f t="shared" si="13"/>
        <v>0.75</v>
      </c>
      <c r="E48" s="707" t="s">
        <v>100</v>
      </c>
      <c r="F48" s="756">
        <f t="shared" si="14"/>
        <v>0.25</v>
      </c>
      <c r="I48" s="707" t="s">
        <v>100</v>
      </c>
      <c r="J48" s="756">
        <f t="shared" si="15"/>
        <v>0</v>
      </c>
      <c r="M48" s="707" t="s">
        <v>100</v>
      </c>
      <c r="N48" s="756">
        <f t="shared" si="16"/>
        <v>1</v>
      </c>
    </row>
    <row r="49" spans="1:14" hidden="1">
      <c r="A49" s="274" t="s">
        <v>101</v>
      </c>
      <c r="B49" s="756">
        <f t="shared" si="13"/>
        <v>1</v>
      </c>
      <c r="E49" s="274" t="s">
        <v>101</v>
      </c>
      <c r="F49" s="756">
        <f t="shared" si="14"/>
        <v>0</v>
      </c>
      <c r="I49" s="274" t="s">
        <v>101</v>
      </c>
      <c r="J49" s="756">
        <f t="shared" si="15"/>
        <v>0</v>
      </c>
      <c r="M49" s="274" t="s">
        <v>101</v>
      </c>
      <c r="N49" s="756">
        <f t="shared" si="16"/>
        <v>1</v>
      </c>
    </row>
    <row r="50" spans="1:14" hidden="1">
      <c r="A50" s="274" t="s">
        <v>103</v>
      </c>
      <c r="B50" s="756">
        <f t="shared" si="13"/>
        <v>0.37037037037037035</v>
      </c>
      <c r="E50" s="274" t="s">
        <v>103</v>
      </c>
      <c r="F50" s="756">
        <f t="shared" si="14"/>
        <v>0.22222222222222221</v>
      </c>
      <c r="I50" s="274" t="s">
        <v>103</v>
      </c>
      <c r="J50" s="756">
        <f t="shared" si="15"/>
        <v>0.40740740740740738</v>
      </c>
      <c r="M50" s="274" t="s">
        <v>103</v>
      </c>
      <c r="N50" s="756">
        <f t="shared" si="16"/>
        <v>1</v>
      </c>
    </row>
    <row r="51" spans="1:14" hidden="1">
      <c r="A51" s="274" t="s">
        <v>104</v>
      </c>
      <c r="B51" s="756">
        <f t="shared" si="13"/>
        <v>1</v>
      </c>
      <c r="E51" s="274" t="s">
        <v>104</v>
      </c>
      <c r="F51" s="756">
        <f t="shared" si="14"/>
        <v>0</v>
      </c>
      <c r="I51" s="274" t="s">
        <v>104</v>
      </c>
      <c r="J51" s="756">
        <f t="shared" si="15"/>
        <v>0</v>
      </c>
      <c r="M51" s="274" t="s">
        <v>104</v>
      </c>
      <c r="N51" s="756">
        <f t="shared" si="16"/>
        <v>1</v>
      </c>
    </row>
    <row r="52" spans="1:14" hidden="1">
      <c r="A52" s="274" t="s">
        <v>102</v>
      </c>
      <c r="B52" s="756">
        <f t="shared" si="13"/>
        <v>8.3333333333333329E-2</v>
      </c>
      <c r="E52" s="274" t="s">
        <v>102</v>
      </c>
      <c r="F52" s="756">
        <f t="shared" si="14"/>
        <v>0</v>
      </c>
      <c r="I52" s="274" t="s">
        <v>102</v>
      </c>
      <c r="J52" s="756">
        <f t="shared" si="15"/>
        <v>0.91666666666666663</v>
      </c>
      <c r="M52" s="274" t="s">
        <v>102</v>
      </c>
      <c r="N52" s="756">
        <f t="shared" si="16"/>
        <v>1</v>
      </c>
    </row>
    <row r="53" spans="1:14" hidden="1">
      <c r="A53" s="274" t="s">
        <v>105</v>
      </c>
      <c r="B53" s="756">
        <f t="shared" si="13"/>
        <v>0.5714285714285714</v>
      </c>
      <c r="E53" s="274" t="s">
        <v>105</v>
      </c>
      <c r="F53" s="756">
        <f t="shared" si="14"/>
        <v>0.14285714285714285</v>
      </c>
      <c r="I53" s="274" t="s">
        <v>105</v>
      </c>
      <c r="J53" s="756">
        <f t="shared" si="15"/>
        <v>0.2857142857142857</v>
      </c>
      <c r="M53" s="274" t="s">
        <v>105</v>
      </c>
      <c r="N53" s="756">
        <f t="shared" si="16"/>
        <v>1</v>
      </c>
    </row>
    <row r="54" spans="1:14" hidden="1">
      <c r="A54" s="274" t="s">
        <v>106</v>
      </c>
      <c r="B54" s="756">
        <f t="shared" si="13"/>
        <v>1</v>
      </c>
      <c r="E54" s="274" t="s">
        <v>106</v>
      </c>
      <c r="F54" s="756">
        <f t="shared" si="14"/>
        <v>0</v>
      </c>
      <c r="I54" s="274" t="s">
        <v>106</v>
      </c>
      <c r="J54" s="756">
        <f t="shared" si="15"/>
        <v>0</v>
      </c>
      <c r="M54" s="274" t="s">
        <v>106</v>
      </c>
      <c r="N54" s="756">
        <f t="shared" si="16"/>
        <v>1</v>
      </c>
    </row>
    <row r="55" spans="1:14" hidden="1">
      <c r="A55" s="274" t="s">
        <v>108</v>
      </c>
      <c r="B55" s="756">
        <f t="shared" si="13"/>
        <v>0.6</v>
      </c>
      <c r="E55" s="274" t="s">
        <v>108</v>
      </c>
      <c r="F55" s="756">
        <f t="shared" si="14"/>
        <v>0</v>
      </c>
      <c r="I55" s="274" t="s">
        <v>108</v>
      </c>
      <c r="J55" s="756">
        <f t="shared" si="15"/>
        <v>0.4</v>
      </c>
      <c r="M55" s="274" t="s">
        <v>108</v>
      </c>
      <c r="N55" s="756">
        <f t="shared" si="16"/>
        <v>1</v>
      </c>
    </row>
    <row r="56" spans="1:14" hidden="1">
      <c r="A56" s="274" t="s">
        <v>109</v>
      </c>
      <c r="B56" s="756">
        <f t="shared" si="13"/>
        <v>0.5</v>
      </c>
      <c r="E56" s="274" t="s">
        <v>109</v>
      </c>
      <c r="F56" s="756">
        <f t="shared" si="14"/>
        <v>0</v>
      </c>
      <c r="I56" s="274" t="s">
        <v>109</v>
      </c>
      <c r="J56" s="756">
        <f t="shared" si="15"/>
        <v>0.5</v>
      </c>
      <c r="M56" s="274" t="s">
        <v>109</v>
      </c>
      <c r="N56" s="756">
        <f t="shared" si="16"/>
        <v>1</v>
      </c>
    </row>
    <row r="57" spans="1:14" hidden="1">
      <c r="A57" s="274" t="s">
        <v>107</v>
      </c>
      <c r="B57" s="756">
        <f t="shared" si="13"/>
        <v>0.86956521739130432</v>
      </c>
      <c r="E57" s="274" t="s">
        <v>107</v>
      </c>
      <c r="F57" s="756">
        <f t="shared" si="14"/>
        <v>0</v>
      </c>
      <c r="I57" s="274" t="s">
        <v>107</v>
      </c>
      <c r="J57" s="756">
        <f t="shared" si="15"/>
        <v>0.13043478260869565</v>
      </c>
      <c r="M57" s="274" t="s">
        <v>107</v>
      </c>
      <c r="N57" s="756">
        <f t="shared" si="16"/>
        <v>1</v>
      </c>
    </row>
    <row r="58" spans="1:14" hidden="1">
      <c r="A58" s="274" t="s">
        <v>110</v>
      </c>
      <c r="B58" s="756">
        <f t="shared" si="13"/>
        <v>0</v>
      </c>
      <c r="E58" s="274" t="s">
        <v>110</v>
      </c>
      <c r="F58" s="756">
        <f t="shared" si="14"/>
        <v>2.5974025974025976E-2</v>
      </c>
      <c r="I58" s="274" t="s">
        <v>110</v>
      </c>
      <c r="J58" s="756">
        <f t="shared" si="15"/>
        <v>0.97402597402597402</v>
      </c>
      <c r="M58" s="274" t="s">
        <v>110</v>
      </c>
      <c r="N58" s="756">
        <f t="shared" si="16"/>
        <v>1</v>
      </c>
    </row>
    <row r="59" spans="1:14" hidden="1">
      <c r="A59" s="274" t="s">
        <v>112</v>
      </c>
      <c r="B59" s="756">
        <f t="shared" si="13"/>
        <v>0</v>
      </c>
      <c r="E59" s="274" t="s">
        <v>112</v>
      </c>
      <c r="F59" s="756">
        <f t="shared" si="14"/>
        <v>0</v>
      </c>
      <c r="I59" s="274" t="s">
        <v>112</v>
      </c>
      <c r="J59" s="756">
        <f t="shared" si="15"/>
        <v>0</v>
      </c>
      <c r="M59" s="274" t="s">
        <v>112</v>
      </c>
      <c r="N59" s="756">
        <f t="shared" si="16"/>
        <v>0</v>
      </c>
    </row>
    <row r="60" spans="1:14" hidden="1">
      <c r="A60" s="274" t="s">
        <v>111</v>
      </c>
      <c r="B60" s="756">
        <f t="shared" si="13"/>
        <v>0.85915492957746475</v>
      </c>
      <c r="E60" s="274" t="s">
        <v>111</v>
      </c>
      <c r="F60" s="756">
        <f t="shared" si="14"/>
        <v>7.0422535211267609E-2</v>
      </c>
      <c r="I60" s="274" t="s">
        <v>111</v>
      </c>
      <c r="J60" s="756">
        <f t="shared" si="15"/>
        <v>7.0422535211267609E-2</v>
      </c>
      <c r="M60" s="274" t="s">
        <v>111</v>
      </c>
      <c r="N60" s="756">
        <f t="shared" si="16"/>
        <v>1</v>
      </c>
    </row>
    <row r="61" spans="1:14" hidden="1">
      <c r="A61" s="274" t="s">
        <v>113</v>
      </c>
      <c r="B61" s="756">
        <f t="shared" si="13"/>
        <v>0</v>
      </c>
      <c r="E61" s="274" t="s">
        <v>113</v>
      </c>
      <c r="F61" s="756">
        <f t="shared" si="14"/>
        <v>0</v>
      </c>
      <c r="I61" s="274" t="s">
        <v>113</v>
      </c>
      <c r="J61" s="756">
        <f t="shared" si="15"/>
        <v>0</v>
      </c>
      <c r="M61" s="274" t="s">
        <v>113</v>
      </c>
      <c r="N61" s="756">
        <f t="shared" si="16"/>
        <v>0</v>
      </c>
    </row>
  </sheetData>
  <sortState ref="R15:T17">
    <sortCondition descending="1" ref="T15:T17"/>
  </sortState>
  <mergeCells count="10">
    <mergeCell ref="U13:U18"/>
    <mergeCell ref="O2:O3"/>
    <mergeCell ref="R3:T3"/>
    <mergeCell ref="R13:T13"/>
    <mergeCell ref="A1:N1"/>
    <mergeCell ref="A2:A3"/>
    <mergeCell ref="B2:E2"/>
    <mergeCell ref="F2:I2"/>
    <mergeCell ref="J2:M2"/>
    <mergeCell ref="N2:N3"/>
  </mergeCell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theme="6" tint="0.39997558519241921"/>
  </sheetPr>
  <dimension ref="A1:AO65"/>
  <sheetViews>
    <sheetView showGridLines="0" topLeftCell="AJ1" zoomScale="80" zoomScaleNormal="80" workbookViewId="0">
      <selection sqref="A1:AC1"/>
    </sheetView>
  </sheetViews>
  <sheetFormatPr defaultRowHeight="15"/>
  <cols>
    <col min="1" max="1" width="12.7109375" style="253" customWidth="1"/>
    <col min="2" max="2" width="12.7109375" style="253" hidden="1" customWidth="1"/>
    <col min="3" max="5" width="12.7109375" style="253" customWidth="1"/>
    <col min="6" max="6" width="12.7109375" style="253" hidden="1" customWidth="1"/>
    <col min="7" max="9" width="12.7109375" style="253" customWidth="1"/>
    <col min="10" max="10" width="12.7109375" style="253" hidden="1" customWidth="1"/>
    <col min="11" max="13" width="12.7109375" style="253" customWidth="1"/>
    <col min="14" max="14" width="15.140625" style="253" hidden="1" customWidth="1"/>
    <col min="15" max="17" width="12.7109375" style="253" customWidth="1"/>
    <col min="18" max="18" width="12.7109375" style="253" hidden="1" customWidth="1"/>
    <col min="19" max="21" width="12.7109375" style="253" customWidth="1"/>
    <col min="22" max="22" width="12.7109375" style="253" hidden="1" customWidth="1"/>
    <col min="23" max="25" width="12.7109375" style="253" customWidth="1"/>
    <col min="26" max="26" width="12.7109375" style="253" hidden="1" customWidth="1"/>
    <col min="27" max="29" width="12.7109375" style="253" customWidth="1"/>
    <col min="30" max="30" width="12.7109375" style="253" hidden="1" customWidth="1"/>
    <col min="31" max="33" width="12.7109375" style="253" customWidth="1"/>
    <col min="34" max="34" width="12.7109375" style="253" hidden="1" customWidth="1"/>
    <col min="35" max="35" width="12.7109375" style="253" customWidth="1"/>
    <col min="36" max="36" width="7.7109375" style="723" bestFit="1" customWidth="1"/>
    <col min="37" max="37" width="6.140625" style="723" bestFit="1" customWidth="1"/>
    <col min="38" max="38" width="56.7109375" style="253" bestFit="1" customWidth="1"/>
    <col min="39" max="39" width="11" style="253" bestFit="1" customWidth="1"/>
    <col min="40" max="40" width="9.7109375" style="253" bestFit="1" customWidth="1"/>
    <col min="41" max="41" width="14.7109375" style="253" customWidth="1"/>
    <col min="42" max="16384" width="9.140625" style="253"/>
  </cols>
  <sheetData>
    <row r="1" spans="1:40" ht="15.75" customHeight="1" thickBot="1">
      <c r="A1" s="1469" t="s">
        <v>676</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781"/>
    </row>
    <row r="2" spans="1:40" ht="68.25" customHeight="1" thickBot="1">
      <c r="A2" s="1450" t="s">
        <v>182</v>
      </c>
      <c r="B2" s="1443" t="s">
        <v>677</v>
      </c>
      <c r="C2" s="1443"/>
      <c r="D2" s="1443"/>
      <c r="E2" s="1504"/>
      <c r="F2" s="1443" t="s">
        <v>678</v>
      </c>
      <c r="G2" s="1443"/>
      <c r="H2" s="1443"/>
      <c r="I2" s="1504"/>
      <c r="J2" s="1443" t="s">
        <v>679</v>
      </c>
      <c r="K2" s="1443"/>
      <c r="L2" s="1443"/>
      <c r="M2" s="1504"/>
      <c r="N2" s="1443" t="s">
        <v>1107</v>
      </c>
      <c r="O2" s="1443"/>
      <c r="P2" s="1443"/>
      <c r="Q2" s="1504"/>
      <c r="R2" s="1443" t="s">
        <v>1108</v>
      </c>
      <c r="S2" s="1443"/>
      <c r="T2" s="1443"/>
      <c r="U2" s="1504"/>
      <c r="V2" s="1443" t="s">
        <v>680</v>
      </c>
      <c r="W2" s="1443"/>
      <c r="X2" s="1443"/>
      <c r="Y2" s="1504"/>
      <c r="Z2" s="1443" t="s">
        <v>681</v>
      </c>
      <c r="AA2" s="1443"/>
      <c r="AB2" s="1443"/>
      <c r="AC2" s="1504"/>
      <c r="AD2" s="1443" t="s">
        <v>682</v>
      </c>
      <c r="AE2" s="1443"/>
      <c r="AF2" s="1443"/>
      <c r="AG2" s="1504"/>
      <c r="AH2" s="1504" t="s">
        <v>646</v>
      </c>
      <c r="AI2" s="1500" t="s">
        <v>34</v>
      </c>
    </row>
    <row r="3" spans="1:40" s="820" customFormat="1" ht="43.5" customHeight="1" thickBot="1">
      <c r="A3" s="1450"/>
      <c r="B3" s="726" t="s">
        <v>636</v>
      </c>
      <c r="C3" s="727" t="s">
        <v>637</v>
      </c>
      <c r="D3" s="727" t="s">
        <v>638</v>
      </c>
      <c r="E3" s="727" t="s">
        <v>639</v>
      </c>
      <c r="F3" s="726" t="s">
        <v>636</v>
      </c>
      <c r="G3" s="727" t="s">
        <v>637</v>
      </c>
      <c r="H3" s="727" t="s">
        <v>638</v>
      </c>
      <c r="I3" s="727" t="s">
        <v>639</v>
      </c>
      <c r="J3" s="726" t="s">
        <v>636</v>
      </c>
      <c r="K3" s="727" t="s">
        <v>637</v>
      </c>
      <c r="L3" s="727" t="s">
        <v>638</v>
      </c>
      <c r="M3" s="727" t="s">
        <v>639</v>
      </c>
      <c r="N3" s="726" t="s">
        <v>636</v>
      </c>
      <c r="O3" s="727" t="s">
        <v>637</v>
      </c>
      <c r="P3" s="727" t="s">
        <v>638</v>
      </c>
      <c r="Q3" s="727" t="s">
        <v>639</v>
      </c>
      <c r="R3" s="726" t="s">
        <v>636</v>
      </c>
      <c r="S3" s="727" t="s">
        <v>637</v>
      </c>
      <c r="T3" s="727" t="s">
        <v>638</v>
      </c>
      <c r="U3" s="727" t="s">
        <v>639</v>
      </c>
      <c r="V3" s="726" t="s">
        <v>636</v>
      </c>
      <c r="W3" s="727" t="s">
        <v>637</v>
      </c>
      <c r="X3" s="727" t="s">
        <v>638</v>
      </c>
      <c r="Y3" s="727" t="s">
        <v>639</v>
      </c>
      <c r="Z3" s="726" t="s">
        <v>636</v>
      </c>
      <c r="AA3" s="727" t="s">
        <v>637</v>
      </c>
      <c r="AB3" s="727" t="s">
        <v>638</v>
      </c>
      <c r="AC3" s="727" t="s">
        <v>639</v>
      </c>
      <c r="AD3" s="726" t="s">
        <v>636</v>
      </c>
      <c r="AE3" s="727" t="s">
        <v>637</v>
      </c>
      <c r="AF3" s="727" t="s">
        <v>638</v>
      </c>
      <c r="AG3" s="727" t="s">
        <v>639</v>
      </c>
      <c r="AH3" s="1504" t="s">
        <v>637</v>
      </c>
      <c r="AI3" s="1500" t="s">
        <v>637</v>
      </c>
      <c r="AJ3" s="818"/>
      <c r="AK3" s="818"/>
      <c r="AL3" s="1501" t="s">
        <v>640</v>
      </c>
      <c r="AM3" s="1501"/>
      <c r="AN3" s="1501"/>
    </row>
    <row r="4" spans="1:40" ht="18.75">
      <c r="A4" s="857" t="s">
        <v>87</v>
      </c>
      <c r="B4" s="858">
        <f>'RRT - Subgrupo - IGEO'!EG3</f>
        <v>1</v>
      </c>
      <c r="C4" s="859">
        <f>$AI4*B35</f>
        <v>0.69867291178766577</v>
      </c>
      <c r="D4" s="860">
        <f>IFERROR(C4/C$31*100,)</f>
        <v>0.25232000515980857</v>
      </c>
      <c r="E4" s="860">
        <f>IFERROR((C4/$AI4)*100,0)</f>
        <v>5.2631578947368416</v>
      </c>
      <c r="F4" s="858">
        <f>'RRT - Subgrupo - IGEO'!EJ3</f>
        <v>8</v>
      </c>
      <c r="G4" s="859">
        <f>$AI4*F35</f>
        <v>5.5893832943013262</v>
      </c>
      <c r="H4" s="860">
        <f>IFERROR(G4/G$31*100,)</f>
        <v>0.49371011963009592</v>
      </c>
      <c r="I4" s="860">
        <f>IFERROR((G4/$AI4)*100,0)</f>
        <v>42.105263157894733</v>
      </c>
      <c r="J4" s="858">
        <f>'RRT - Subgrupo - IGEO'!EM3</f>
        <v>0</v>
      </c>
      <c r="K4" s="859">
        <f>$AI4*J35</f>
        <v>0</v>
      </c>
      <c r="L4" s="860">
        <f>IFERROR(K4/K$31*100,)</f>
        <v>0</v>
      </c>
      <c r="M4" s="860">
        <f>IFERROR((K4/$AI4)*100,0)</f>
        <v>0</v>
      </c>
      <c r="N4" s="858">
        <f>'RRT - Subgrupo - IGEO'!EP3</f>
        <v>0</v>
      </c>
      <c r="O4" s="859">
        <f>$AI4*N35</f>
        <v>0</v>
      </c>
      <c r="P4" s="860">
        <f>IFERROR(O4/O$31*100,)</f>
        <v>0</v>
      </c>
      <c r="Q4" s="860">
        <f>IFERROR((O4/$AI4)*100,0)</f>
        <v>0</v>
      </c>
      <c r="R4" s="858">
        <f>'RRT - Subgrupo - IGEO'!ES3</f>
        <v>0</v>
      </c>
      <c r="S4" s="859">
        <f>$AI4*R35</f>
        <v>0</v>
      </c>
      <c r="T4" s="860">
        <f>IFERROR(S4/S$31*100,)</f>
        <v>0</v>
      </c>
      <c r="U4" s="860">
        <f>IFERROR((S4/$AI4)*100,0)</f>
        <v>0</v>
      </c>
      <c r="V4" s="858">
        <f>'RRT - Subgrupo - IGEO'!EV3</f>
        <v>0</v>
      </c>
      <c r="W4" s="859">
        <f>$AI4*V35</f>
        <v>0</v>
      </c>
      <c r="X4" s="860">
        <f>IFERROR(W4/W$31*100,)</f>
        <v>0</v>
      </c>
      <c r="Y4" s="860">
        <f>IFERROR((W4/$AI4)*100,0)</f>
        <v>0</v>
      </c>
      <c r="Z4" s="858">
        <f>'RRT - Subgrupo - IGEO'!EY3</f>
        <v>8</v>
      </c>
      <c r="AA4" s="859">
        <f>$AI4*Z35</f>
        <v>5.5893832943013262</v>
      </c>
      <c r="AB4" s="860">
        <f>IFERROR(AA4/AA$31*100,)</f>
        <v>0.69539087881064232</v>
      </c>
      <c r="AC4" s="860">
        <f>IFERROR((AA4/$AI4)*100,0)</f>
        <v>42.105263157894733</v>
      </c>
      <c r="AD4" s="858">
        <f>'RRT - Subgrupo - IGEO'!FB3</f>
        <v>2</v>
      </c>
      <c r="AE4" s="859">
        <f>$AI4*AD35</f>
        <v>1.3973458235753315</v>
      </c>
      <c r="AF4" s="860">
        <f>IFERROR(AE4/AE$31*100,)</f>
        <v>5.8878653853196058E-2</v>
      </c>
      <c r="AG4" s="860">
        <f>IFERROR((AE4/$AI4)*100,0)</f>
        <v>10.526315789473683</v>
      </c>
      <c r="AH4" s="858">
        <f>AD4+Z4+V4+R4+N4+J4+F4+B4</f>
        <v>19</v>
      </c>
      <c r="AI4" s="859">
        <f>'RRT - Atividades '!R3</f>
        <v>13.27478532396565</v>
      </c>
      <c r="AJ4" s="723">
        <f>C4+G4+K4+O4+S4+W4+AA4+AE4</f>
        <v>13.27478532396565</v>
      </c>
      <c r="AK4" s="723">
        <f>AI4-AJ4</f>
        <v>0</v>
      </c>
      <c r="AL4" s="861" t="s">
        <v>613</v>
      </c>
      <c r="AM4" s="861" t="s">
        <v>614</v>
      </c>
      <c r="AN4" s="861" t="s">
        <v>423</v>
      </c>
    </row>
    <row r="5" spans="1:40" ht="18.75">
      <c r="A5" s="862" t="s">
        <v>88</v>
      </c>
      <c r="B5" s="858">
        <f>'RRT - Subgrupo - IGEO'!EG4</f>
        <v>4</v>
      </c>
      <c r="C5" s="863">
        <f t="shared" ref="C5:C30" si="0">$AI5*B36</f>
        <v>2.5082632920955708</v>
      </c>
      <c r="D5" s="860">
        <f t="shared" ref="D5:D30" si="1">IFERROR(C5/C$31*100,)</f>
        <v>0.905838763927996</v>
      </c>
      <c r="E5" s="860">
        <f t="shared" ref="E5:E31" si="2">IFERROR((C5/$AI5)*100,0)</f>
        <v>10.526315789473683</v>
      </c>
      <c r="F5" s="858">
        <f>'RRT - Subgrupo - IGEO'!EJ4</f>
        <v>20</v>
      </c>
      <c r="G5" s="863">
        <f t="shared" ref="G5:G30" si="3">$AI5*F36</f>
        <v>12.541316460477855</v>
      </c>
      <c r="H5" s="860">
        <f t="shared" ref="H5:H30" si="4">IFERROR(G5/G$31*100,)</f>
        <v>1.1077742434186357</v>
      </c>
      <c r="I5" s="860">
        <f t="shared" ref="I5:I31" si="5">IFERROR((G5/$AI5)*100,0)</f>
        <v>52.631578947368418</v>
      </c>
      <c r="J5" s="858">
        <f>'RRT - Subgrupo - IGEO'!EM4</f>
        <v>1</v>
      </c>
      <c r="K5" s="863">
        <f t="shared" ref="K5:K30" si="6">$AI5*J36</f>
        <v>0.62706582302389269</v>
      </c>
      <c r="L5" s="860">
        <f t="shared" ref="L5:L30" si="7">IFERROR(K5/K$31*100,)</f>
        <v>0.19436815259578191</v>
      </c>
      <c r="M5" s="860">
        <f t="shared" ref="M5:M31" si="8">IFERROR((K5/$AI5)*100,0)</f>
        <v>2.6315789473684208</v>
      </c>
      <c r="N5" s="858">
        <f>'RRT - Subgrupo - IGEO'!EP4</f>
        <v>0</v>
      </c>
      <c r="O5" s="863">
        <f t="shared" ref="O5:O30" si="9">$AI5*N36</f>
        <v>0</v>
      </c>
      <c r="P5" s="860">
        <f t="shared" ref="P5:P30" si="10">IFERROR(O5/O$31*100,)</f>
        <v>0</v>
      </c>
      <c r="Q5" s="860">
        <f t="shared" ref="Q5:Q31" si="11">IFERROR((O5/$AI5)*100,0)</f>
        <v>0</v>
      </c>
      <c r="R5" s="858">
        <f>'RRT - Subgrupo - IGEO'!ES4</f>
        <v>0</v>
      </c>
      <c r="S5" s="863">
        <f t="shared" ref="S5:S30" si="12">$AI5*R36</f>
        <v>0</v>
      </c>
      <c r="T5" s="860">
        <f t="shared" ref="T5:T30" si="13">IFERROR(S5/S$31*100,)</f>
        <v>0</v>
      </c>
      <c r="U5" s="860">
        <f t="shared" ref="U5:U31" si="14">IFERROR((S5/$AI5)*100,0)</f>
        <v>0</v>
      </c>
      <c r="V5" s="858">
        <f>'RRT - Subgrupo - IGEO'!EV4</f>
        <v>2</v>
      </c>
      <c r="W5" s="863">
        <f t="shared" ref="W5:W30" si="15">$AI5*V36</f>
        <v>1.2541316460477854</v>
      </c>
      <c r="X5" s="860">
        <f t="shared" ref="X5:X30" si="16">IFERROR(W5/W$31*100,)</f>
        <v>0.47434377934967897</v>
      </c>
      <c r="Y5" s="860">
        <f t="shared" ref="Y5:Y31" si="17">IFERROR((W5/$AI5)*100,0)</f>
        <v>5.2631578947368416</v>
      </c>
      <c r="Z5" s="858">
        <f>'RRT - Subgrupo - IGEO'!EY4</f>
        <v>3</v>
      </c>
      <c r="AA5" s="863">
        <f t="shared" ref="AA5:AA30" si="18">$AI5*Z36</f>
        <v>1.8811974690716782</v>
      </c>
      <c r="AB5" s="860">
        <f t="shared" ref="AB5:AB30" si="19">IFERROR(AA5/AA$31*100,)</f>
        <v>0.23404506228224803</v>
      </c>
      <c r="AC5" s="860">
        <f t="shared" ref="AC5:AC31" si="20">IFERROR((AA5/$AI5)*100,0)</f>
        <v>7.8947368421052628</v>
      </c>
      <c r="AD5" s="858">
        <f>'RRT - Subgrupo - IGEO'!FB4</f>
        <v>8</v>
      </c>
      <c r="AE5" s="863">
        <f t="shared" ref="AE5:AE30" si="21">$AI5*AD36</f>
        <v>5.0165265841911415</v>
      </c>
      <c r="AF5" s="860">
        <f t="shared" ref="AF5:AF30" si="22">IFERROR(AE5/AE$31*100,)</f>
        <v>0.2113766880844174</v>
      </c>
      <c r="AG5" s="860">
        <f t="shared" ref="AG5:AG31" si="23">IFERROR((AE5/$AI5)*100,0)</f>
        <v>21.052631578947366</v>
      </c>
      <c r="AH5" s="864">
        <f t="shared" ref="AH5:AH31" si="24">AD5+Z5+V5+R5+N5+J5+F5+B5</f>
        <v>38</v>
      </c>
      <c r="AI5" s="859">
        <f>'RRT - Atividades '!R4</f>
        <v>23.828501274907925</v>
      </c>
      <c r="AJ5" s="723">
        <f t="shared" ref="AJ5:AJ31" si="25">C5+G5+K5+O5+S5+W5+AA5+AE5</f>
        <v>23.828501274907925</v>
      </c>
      <c r="AK5" s="723">
        <f t="shared" ref="AK5:AK31" si="26">AI5-AJ5</f>
        <v>0</v>
      </c>
      <c r="AL5" s="865" t="str">
        <f>B2</f>
        <v>PLANOS</v>
      </c>
      <c r="AM5" s="866">
        <f>C31</f>
        <v>276.89953134915186</v>
      </c>
      <c r="AN5" s="867">
        <f t="shared" ref="AN5:AN12" si="27">AM5/$AM$13</f>
        <v>5.2237785389819894E-2</v>
      </c>
    </row>
    <row r="6" spans="1:40" ht="18.75">
      <c r="A6" s="862" t="s">
        <v>90</v>
      </c>
      <c r="B6" s="858">
        <f>'RRT - Subgrupo - IGEO'!EG5</f>
        <v>7</v>
      </c>
      <c r="C6" s="863">
        <f t="shared" si="0"/>
        <v>4.6747195858498705</v>
      </c>
      <c r="D6" s="860">
        <f t="shared" si="1"/>
        <v>1.6882367272609649</v>
      </c>
      <c r="E6" s="860">
        <f t="shared" si="2"/>
        <v>6.25</v>
      </c>
      <c r="F6" s="858">
        <f>'RRT - Subgrupo - IGEO'!EJ5</f>
        <v>54</v>
      </c>
      <c r="G6" s="863">
        <f t="shared" si="3"/>
        <v>36.062122519413286</v>
      </c>
      <c r="H6" s="860">
        <f t="shared" si="4"/>
        <v>3.1853665933640793</v>
      </c>
      <c r="I6" s="860">
        <f t="shared" si="5"/>
        <v>48.214285714285715</v>
      </c>
      <c r="J6" s="858">
        <f>'RRT - Subgrupo - IGEO'!EM5</f>
        <v>16</v>
      </c>
      <c r="K6" s="863">
        <f t="shared" si="6"/>
        <v>10.685073339085418</v>
      </c>
      <c r="L6" s="860">
        <f t="shared" si="7"/>
        <v>3.3119935563596221</v>
      </c>
      <c r="M6" s="860">
        <f t="shared" si="8"/>
        <v>14.285714285714285</v>
      </c>
      <c r="N6" s="858">
        <f>'RRT - Subgrupo - IGEO'!EP5</f>
        <v>1</v>
      </c>
      <c r="O6" s="863">
        <f t="shared" si="9"/>
        <v>0.66781708369283865</v>
      </c>
      <c r="P6" s="860">
        <f t="shared" si="10"/>
        <v>2.2480532780590399</v>
      </c>
      <c r="Q6" s="860">
        <f t="shared" si="11"/>
        <v>0.89285714285714279</v>
      </c>
      <c r="R6" s="858">
        <f>'RRT - Subgrupo - IGEO'!ES5</f>
        <v>1</v>
      </c>
      <c r="S6" s="863">
        <f t="shared" si="12"/>
        <v>0.66781708369283865</v>
      </c>
      <c r="T6" s="860">
        <f t="shared" si="13"/>
        <v>0.68160519363490091</v>
      </c>
      <c r="U6" s="860">
        <f t="shared" si="14"/>
        <v>0.89285714285714279</v>
      </c>
      <c r="V6" s="858">
        <f>'RRT - Subgrupo - IGEO'!EV5</f>
        <v>3</v>
      </c>
      <c r="W6" s="863">
        <f t="shared" si="15"/>
        <v>2.0034512510785158</v>
      </c>
      <c r="X6" s="860">
        <f t="shared" si="16"/>
        <v>0.75775508988568818</v>
      </c>
      <c r="Y6" s="860">
        <f t="shared" si="17"/>
        <v>2.6785714285714284</v>
      </c>
      <c r="Z6" s="858">
        <f>'RRT - Subgrupo - IGEO'!EY5</f>
        <v>4</v>
      </c>
      <c r="AA6" s="863">
        <f t="shared" si="18"/>
        <v>2.6712683347713546</v>
      </c>
      <c r="AB6" s="860">
        <f t="shared" si="19"/>
        <v>0.33233999835895861</v>
      </c>
      <c r="AC6" s="860">
        <f t="shared" si="20"/>
        <v>3.5714285714285712</v>
      </c>
      <c r="AD6" s="858">
        <f>'RRT - Subgrupo - IGEO'!FB5</f>
        <v>26</v>
      </c>
      <c r="AE6" s="863">
        <f t="shared" si="21"/>
        <v>17.363244176013804</v>
      </c>
      <c r="AF6" s="860">
        <f t="shared" si="22"/>
        <v>0.73161877779994322</v>
      </c>
      <c r="AG6" s="860">
        <f t="shared" si="23"/>
        <v>23.214285714285715</v>
      </c>
      <c r="AH6" s="864">
        <f t="shared" si="24"/>
        <v>112</v>
      </c>
      <c r="AI6" s="859">
        <f>'RRT - Atividades '!R5</f>
        <v>74.795513373597927</v>
      </c>
      <c r="AJ6" s="723">
        <f t="shared" si="25"/>
        <v>74.795513373597927</v>
      </c>
      <c r="AK6" s="723">
        <f t="shared" si="26"/>
        <v>0</v>
      </c>
      <c r="AL6" s="865" t="str">
        <f>F2</f>
        <v>PROGRAMAS</v>
      </c>
      <c r="AM6" s="866">
        <f>G31</f>
        <v>1132.1184379386589</v>
      </c>
      <c r="AN6" s="867">
        <f t="shared" si="27"/>
        <v>0.21357695951578554</v>
      </c>
    </row>
    <row r="7" spans="1:40" ht="18.75">
      <c r="A7" s="862" t="s">
        <v>89</v>
      </c>
      <c r="B7" s="858">
        <f>'RRT - Subgrupo - IGEO'!EG6</f>
        <v>2</v>
      </c>
      <c r="C7" s="863">
        <f t="shared" si="0"/>
        <v>1.0230512587200487</v>
      </c>
      <c r="D7" s="860">
        <f t="shared" si="1"/>
        <v>0.36946659090948381</v>
      </c>
      <c r="E7" s="860">
        <f t="shared" si="2"/>
        <v>10.526315789473683</v>
      </c>
      <c r="F7" s="858">
        <f>'RRT - Subgrupo - IGEO'!EJ6</f>
        <v>5</v>
      </c>
      <c r="G7" s="863">
        <f t="shared" si="3"/>
        <v>2.5576281468001216</v>
      </c>
      <c r="H7" s="860">
        <f t="shared" si="4"/>
        <v>0.2259152453569262</v>
      </c>
      <c r="I7" s="860">
        <f t="shared" si="5"/>
        <v>26.315789473684209</v>
      </c>
      <c r="J7" s="858">
        <f>'RRT - Subgrupo - IGEO'!EM6</f>
        <v>0</v>
      </c>
      <c r="K7" s="863">
        <f t="shared" si="6"/>
        <v>0</v>
      </c>
      <c r="L7" s="860">
        <f t="shared" si="7"/>
        <v>0</v>
      </c>
      <c r="M7" s="860">
        <f t="shared" si="8"/>
        <v>0</v>
      </c>
      <c r="N7" s="858">
        <f>'RRT - Subgrupo - IGEO'!EP6</f>
        <v>0</v>
      </c>
      <c r="O7" s="863">
        <f t="shared" si="9"/>
        <v>0</v>
      </c>
      <c r="P7" s="860">
        <f t="shared" si="10"/>
        <v>0</v>
      </c>
      <c r="Q7" s="860">
        <f t="shared" si="11"/>
        <v>0</v>
      </c>
      <c r="R7" s="858">
        <f>'RRT - Subgrupo - IGEO'!ES6</f>
        <v>0</v>
      </c>
      <c r="S7" s="863">
        <f t="shared" si="12"/>
        <v>0</v>
      </c>
      <c r="T7" s="860">
        <f t="shared" si="13"/>
        <v>0</v>
      </c>
      <c r="U7" s="860">
        <f t="shared" si="14"/>
        <v>0</v>
      </c>
      <c r="V7" s="858">
        <f>'RRT - Subgrupo - IGEO'!EV6</f>
        <v>1</v>
      </c>
      <c r="W7" s="863">
        <f t="shared" si="15"/>
        <v>0.51152562936002433</v>
      </c>
      <c r="X7" s="860">
        <f t="shared" si="16"/>
        <v>0.19347171489492251</v>
      </c>
      <c r="Y7" s="860">
        <f t="shared" si="17"/>
        <v>5.2631578947368416</v>
      </c>
      <c r="Z7" s="858">
        <f>'RRT - Subgrupo - IGEO'!EY6</f>
        <v>7</v>
      </c>
      <c r="AA7" s="863">
        <f t="shared" si="18"/>
        <v>3.5806794055201703</v>
      </c>
      <c r="AB7" s="860">
        <f t="shared" si="19"/>
        <v>0.44548238462774564</v>
      </c>
      <c r="AC7" s="860">
        <f t="shared" si="20"/>
        <v>36.84210526315789</v>
      </c>
      <c r="AD7" s="858">
        <f>'RRT - Subgrupo - IGEO'!FB6</f>
        <v>4</v>
      </c>
      <c r="AE7" s="863">
        <f t="shared" si="21"/>
        <v>2.0461025174400973</v>
      </c>
      <c r="AF7" s="860">
        <f t="shared" si="22"/>
        <v>8.6214707798147189E-2</v>
      </c>
      <c r="AG7" s="860">
        <f t="shared" si="23"/>
        <v>21.052631578947366</v>
      </c>
      <c r="AH7" s="864">
        <f t="shared" si="24"/>
        <v>19</v>
      </c>
      <c r="AI7" s="859">
        <f>'RRT - Atividades '!R6</f>
        <v>9.7189869578404622</v>
      </c>
      <c r="AJ7" s="723">
        <f t="shared" si="25"/>
        <v>9.7189869578404622</v>
      </c>
      <c r="AK7" s="723">
        <f t="shared" si="26"/>
        <v>0</v>
      </c>
      <c r="AL7" s="865" t="str">
        <f>J2</f>
        <v>AVALIAÇÃO DE RISCOS</v>
      </c>
      <c r="AM7" s="866">
        <f>K31</f>
        <v>322.61757631044179</v>
      </c>
      <c r="AN7" s="867">
        <f t="shared" si="27"/>
        <v>6.0862608297586496E-2</v>
      </c>
    </row>
    <row r="8" spans="1:40" ht="18.75">
      <c r="A8" s="862" t="s">
        <v>91</v>
      </c>
      <c r="B8" s="858">
        <f>'RRT - Subgrupo - IGEO'!EG7</f>
        <v>22</v>
      </c>
      <c r="C8" s="863">
        <f t="shared" si="0"/>
        <v>15.241725337865176</v>
      </c>
      <c r="D8" s="860">
        <f t="shared" si="1"/>
        <v>5.5044243894535079</v>
      </c>
      <c r="E8" s="860">
        <f t="shared" si="2"/>
        <v>11.398963730569948</v>
      </c>
      <c r="F8" s="858">
        <f>'RRT - Subgrupo - IGEO'!EJ7</f>
        <v>88</v>
      </c>
      <c r="G8" s="863">
        <f t="shared" si="3"/>
        <v>60.966901351460706</v>
      </c>
      <c r="H8" s="860">
        <f t="shared" si="4"/>
        <v>5.385205231925041</v>
      </c>
      <c r="I8" s="860">
        <f t="shared" si="5"/>
        <v>45.595854922279791</v>
      </c>
      <c r="J8" s="858">
        <f>'RRT - Subgrupo - IGEO'!EM7</f>
        <v>9</v>
      </c>
      <c r="K8" s="863">
        <f t="shared" si="6"/>
        <v>6.2352512745812083</v>
      </c>
      <c r="L8" s="860">
        <f t="shared" si="7"/>
        <v>1.9327066261824739</v>
      </c>
      <c r="M8" s="860">
        <f t="shared" si="8"/>
        <v>4.6632124352331603</v>
      </c>
      <c r="N8" s="858">
        <f>'RRT - Subgrupo - IGEO'!EP7</f>
        <v>1</v>
      </c>
      <c r="O8" s="863">
        <f t="shared" si="9"/>
        <v>0.69280569717568985</v>
      </c>
      <c r="P8" s="860">
        <f t="shared" si="10"/>
        <v>2.3321717228038765</v>
      </c>
      <c r="Q8" s="860">
        <f t="shared" si="11"/>
        <v>0.5181347150259068</v>
      </c>
      <c r="R8" s="858">
        <f>'RRT - Subgrupo - IGEO'!ES7</f>
        <v>3</v>
      </c>
      <c r="S8" s="863">
        <f t="shared" si="12"/>
        <v>2.0784170915270694</v>
      </c>
      <c r="T8" s="860">
        <f t="shared" si="13"/>
        <v>2.1213292063309748</v>
      </c>
      <c r="U8" s="860">
        <f t="shared" si="14"/>
        <v>1.5544041450777202</v>
      </c>
      <c r="V8" s="858">
        <f>'RRT - Subgrupo - IGEO'!EV7</f>
        <v>6</v>
      </c>
      <c r="W8" s="863">
        <f t="shared" si="15"/>
        <v>4.1568341830541389</v>
      </c>
      <c r="X8" s="860">
        <f t="shared" si="16"/>
        <v>1.5722180703545585</v>
      </c>
      <c r="Y8" s="860">
        <f t="shared" si="17"/>
        <v>3.1088082901554404</v>
      </c>
      <c r="Z8" s="858">
        <f>'RRT - Subgrupo - IGEO'!EY7</f>
        <v>22</v>
      </c>
      <c r="AA8" s="863">
        <f t="shared" si="18"/>
        <v>15.241725337865176</v>
      </c>
      <c r="AB8" s="860">
        <f t="shared" si="19"/>
        <v>1.8962658703500797</v>
      </c>
      <c r="AC8" s="860">
        <f t="shared" si="20"/>
        <v>11.398963730569948</v>
      </c>
      <c r="AD8" s="858">
        <f>'RRT - Subgrupo - IGEO'!FB7</f>
        <v>42</v>
      </c>
      <c r="AE8" s="863">
        <f t="shared" si="21"/>
        <v>29.09783928137897</v>
      </c>
      <c r="AF8" s="860">
        <f t="shared" si="22"/>
        <v>1.2260684348994169</v>
      </c>
      <c r="AG8" s="860">
        <f t="shared" si="23"/>
        <v>21.761658031088082</v>
      </c>
      <c r="AH8" s="864">
        <f t="shared" si="24"/>
        <v>193</v>
      </c>
      <c r="AI8" s="859">
        <f>'RRT - Atividades '!R7</f>
        <v>133.71149955490813</v>
      </c>
      <c r="AJ8" s="723">
        <f t="shared" si="25"/>
        <v>133.71149955490813</v>
      </c>
      <c r="AK8" s="723">
        <f t="shared" si="26"/>
        <v>0</v>
      </c>
      <c r="AL8" s="865" t="str">
        <f>N2</f>
        <v>MAPA DE RISCO DAS COND. E MEIO AMB. DE TRAB.</v>
      </c>
      <c r="AM8" s="866">
        <f>O31</f>
        <v>29.70646159549338</v>
      </c>
      <c r="AN8" s="867">
        <f t="shared" si="27"/>
        <v>5.6041978762311224E-3</v>
      </c>
    </row>
    <row r="9" spans="1:40" ht="18.75">
      <c r="A9" s="862" t="s">
        <v>92</v>
      </c>
      <c r="B9" s="858">
        <f>'RRT - Subgrupo - IGEO'!EG8</f>
        <v>2</v>
      </c>
      <c r="C9" s="863">
        <f t="shared" si="0"/>
        <v>1.2458408334696995</v>
      </c>
      <c r="D9" s="860">
        <f t="shared" si="1"/>
        <v>0.44992522284148517</v>
      </c>
      <c r="E9" s="860">
        <f t="shared" si="2"/>
        <v>7.1428571428571423</v>
      </c>
      <c r="F9" s="858">
        <f>'RRT - Subgrupo - IGEO'!EJ8</f>
        <v>7</v>
      </c>
      <c r="G9" s="863">
        <f t="shared" si="3"/>
        <v>4.3604429171439483</v>
      </c>
      <c r="H9" s="860">
        <f t="shared" si="4"/>
        <v>0.3851578395881764</v>
      </c>
      <c r="I9" s="860">
        <f t="shared" si="5"/>
        <v>25</v>
      </c>
      <c r="J9" s="858">
        <f>'RRT - Subgrupo - IGEO'!EM8</f>
        <v>2</v>
      </c>
      <c r="K9" s="863">
        <f t="shared" si="6"/>
        <v>1.2458408334696995</v>
      </c>
      <c r="L9" s="860">
        <f t="shared" si="7"/>
        <v>0.3861664475065294</v>
      </c>
      <c r="M9" s="860">
        <f t="shared" si="8"/>
        <v>7.1428571428571423</v>
      </c>
      <c r="N9" s="858">
        <f>'RRT - Subgrupo - IGEO'!EP8</f>
        <v>0</v>
      </c>
      <c r="O9" s="863">
        <f t="shared" si="9"/>
        <v>0</v>
      </c>
      <c r="P9" s="860">
        <f t="shared" si="10"/>
        <v>0</v>
      </c>
      <c r="Q9" s="860">
        <f t="shared" si="11"/>
        <v>0</v>
      </c>
      <c r="R9" s="858">
        <f>'RRT - Subgrupo - IGEO'!ES8</f>
        <v>1</v>
      </c>
      <c r="S9" s="863">
        <f t="shared" si="12"/>
        <v>0.62292041673484977</v>
      </c>
      <c r="T9" s="860">
        <f t="shared" si="13"/>
        <v>0.63578156599386726</v>
      </c>
      <c r="U9" s="860">
        <f t="shared" si="14"/>
        <v>3.5714285714285712</v>
      </c>
      <c r="V9" s="858">
        <f>'RRT - Subgrupo - IGEO'!EV8</f>
        <v>0</v>
      </c>
      <c r="W9" s="863">
        <f t="shared" si="15"/>
        <v>0</v>
      </c>
      <c r="X9" s="860">
        <f t="shared" si="16"/>
        <v>0</v>
      </c>
      <c r="Y9" s="860">
        <f t="shared" si="17"/>
        <v>0</v>
      </c>
      <c r="Z9" s="858">
        <f>'RRT - Subgrupo - IGEO'!EY8</f>
        <v>4</v>
      </c>
      <c r="AA9" s="863">
        <f t="shared" si="18"/>
        <v>2.4916816669393991</v>
      </c>
      <c r="AB9" s="860">
        <f t="shared" si="19"/>
        <v>0.30999711647185252</v>
      </c>
      <c r="AC9" s="860">
        <f t="shared" si="20"/>
        <v>14.285714285714285</v>
      </c>
      <c r="AD9" s="858">
        <f>'RRT - Subgrupo - IGEO'!FB8</f>
        <v>12</v>
      </c>
      <c r="AE9" s="863">
        <f t="shared" si="21"/>
        <v>7.4750450008181968</v>
      </c>
      <c r="AF9" s="860">
        <f t="shared" si="22"/>
        <v>0.31496897884170127</v>
      </c>
      <c r="AG9" s="860">
        <f t="shared" si="23"/>
        <v>42.857142857142854</v>
      </c>
      <c r="AH9" s="864">
        <f t="shared" si="24"/>
        <v>28</v>
      </c>
      <c r="AI9" s="859">
        <f>'RRT - Atividades '!R8</f>
        <v>17.441771668575793</v>
      </c>
      <c r="AJ9" s="723">
        <f t="shared" si="25"/>
        <v>17.441771668575793</v>
      </c>
      <c r="AK9" s="723">
        <f t="shared" si="26"/>
        <v>0</v>
      </c>
      <c r="AL9" s="865" t="str">
        <f>R2</f>
        <v>RELAT. PARA FINS JUDICIAIS</v>
      </c>
      <c r="AM9" s="866">
        <f>S31</f>
        <v>97.977111959999561</v>
      </c>
      <c r="AN9" s="867">
        <f t="shared" si="27"/>
        <v>1.8483625893996984E-2</v>
      </c>
    </row>
    <row r="10" spans="1:40" ht="18.75">
      <c r="A10" s="862" t="s">
        <v>93</v>
      </c>
      <c r="B10" s="858">
        <f>'RRT - Subgrupo - IGEO'!EG9</f>
        <v>0</v>
      </c>
      <c r="C10" s="863">
        <f t="shared" si="0"/>
        <v>0</v>
      </c>
      <c r="D10" s="860">
        <f t="shared" si="1"/>
        <v>0</v>
      </c>
      <c r="E10" s="860">
        <f t="shared" si="2"/>
        <v>0</v>
      </c>
      <c r="F10" s="858">
        <f>'RRT - Subgrupo - IGEO'!EJ9</f>
        <v>2</v>
      </c>
      <c r="G10" s="863">
        <f t="shared" si="3"/>
        <v>1.5786478175058523</v>
      </c>
      <c r="H10" s="860">
        <f t="shared" si="4"/>
        <v>0.1394419315685933</v>
      </c>
      <c r="I10" s="860">
        <f t="shared" si="5"/>
        <v>13.333333333333334</v>
      </c>
      <c r="J10" s="858">
        <f>'RRT - Subgrupo - IGEO'!EM9</f>
        <v>0</v>
      </c>
      <c r="K10" s="863">
        <f t="shared" si="6"/>
        <v>0</v>
      </c>
      <c r="L10" s="860">
        <f t="shared" si="7"/>
        <v>0</v>
      </c>
      <c r="M10" s="860">
        <f t="shared" si="8"/>
        <v>0</v>
      </c>
      <c r="N10" s="858">
        <f>'RRT - Subgrupo - IGEO'!EP9</f>
        <v>0</v>
      </c>
      <c r="O10" s="863">
        <f t="shared" si="9"/>
        <v>0</v>
      </c>
      <c r="P10" s="860">
        <f t="shared" si="10"/>
        <v>0</v>
      </c>
      <c r="Q10" s="860">
        <f t="shared" si="11"/>
        <v>0</v>
      </c>
      <c r="R10" s="858">
        <f>'RRT - Subgrupo - IGEO'!ES9</f>
        <v>0</v>
      </c>
      <c r="S10" s="863">
        <f t="shared" si="12"/>
        <v>0</v>
      </c>
      <c r="T10" s="860">
        <f t="shared" si="13"/>
        <v>0</v>
      </c>
      <c r="U10" s="860">
        <f t="shared" si="14"/>
        <v>0</v>
      </c>
      <c r="V10" s="858">
        <f>'RRT - Subgrupo - IGEO'!EV9</f>
        <v>0</v>
      </c>
      <c r="W10" s="863">
        <f t="shared" si="15"/>
        <v>0</v>
      </c>
      <c r="X10" s="860">
        <f t="shared" si="16"/>
        <v>0</v>
      </c>
      <c r="Y10" s="860">
        <f t="shared" si="17"/>
        <v>0</v>
      </c>
      <c r="Z10" s="858">
        <f>'RRT - Subgrupo - IGEO'!EY9</f>
        <v>3</v>
      </c>
      <c r="AA10" s="863">
        <f t="shared" si="18"/>
        <v>2.3679717262587783</v>
      </c>
      <c r="AB10" s="860">
        <f t="shared" si="19"/>
        <v>0.29460601519325202</v>
      </c>
      <c r="AC10" s="860">
        <f t="shared" si="20"/>
        <v>20</v>
      </c>
      <c r="AD10" s="858">
        <f>'RRT - Subgrupo - IGEO'!FB9</f>
        <v>10</v>
      </c>
      <c r="AE10" s="863">
        <f t="shared" si="21"/>
        <v>7.8932390875292606</v>
      </c>
      <c r="AF10" s="860">
        <f t="shared" si="22"/>
        <v>0.33259003188346947</v>
      </c>
      <c r="AG10" s="860">
        <f t="shared" si="23"/>
        <v>66.666666666666657</v>
      </c>
      <c r="AH10" s="864">
        <f t="shared" si="24"/>
        <v>15</v>
      </c>
      <c r="AI10" s="859">
        <f>'RRT - Atividades '!R9</f>
        <v>11.839858631293891</v>
      </c>
      <c r="AJ10" s="723">
        <f t="shared" si="25"/>
        <v>11.839858631293891</v>
      </c>
      <c r="AK10" s="723">
        <f t="shared" si="26"/>
        <v>0</v>
      </c>
      <c r="AL10" s="865" t="str">
        <f>V2</f>
        <v>LAUDO DE INSP. SOBRE ATIV. INSAL.</v>
      </c>
      <c r="AM10" s="866">
        <f>W31</f>
        <v>264.39297839368498</v>
      </c>
      <c r="AN10" s="867">
        <f t="shared" si="27"/>
        <v>4.9878393064123575E-2</v>
      </c>
    </row>
    <row r="11" spans="1:40" ht="18.75">
      <c r="A11" s="862" t="s">
        <v>94</v>
      </c>
      <c r="B11" s="858">
        <f>'RRT - Subgrupo - IGEO'!EG10</f>
        <v>8</v>
      </c>
      <c r="C11" s="863">
        <f t="shared" si="0"/>
        <v>5.9287275907302144</v>
      </c>
      <c r="D11" s="860">
        <f t="shared" si="1"/>
        <v>2.1411114572290426</v>
      </c>
      <c r="E11" s="860">
        <f t="shared" si="2"/>
        <v>9.5238095238095237</v>
      </c>
      <c r="F11" s="858">
        <f>'RRT - Subgrupo - IGEO'!EJ10</f>
        <v>30</v>
      </c>
      <c r="G11" s="863">
        <f t="shared" si="3"/>
        <v>22.232728465238306</v>
      </c>
      <c r="H11" s="860">
        <f t="shared" si="4"/>
        <v>1.9638164806960714</v>
      </c>
      <c r="I11" s="860">
        <f t="shared" si="5"/>
        <v>35.714285714285715</v>
      </c>
      <c r="J11" s="858">
        <f>'RRT - Subgrupo - IGEO'!EM10</f>
        <v>13</v>
      </c>
      <c r="K11" s="863">
        <f t="shared" si="6"/>
        <v>9.6341823349365985</v>
      </c>
      <c r="L11" s="860">
        <f t="shared" si="7"/>
        <v>2.9862546378025034</v>
      </c>
      <c r="M11" s="860">
        <f t="shared" si="8"/>
        <v>15.476190476190476</v>
      </c>
      <c r="N11" s="858">
        <f>'RRT - Subgrupo - IGEO'!EP10</f>
        <v>0</v>
      </c>
      <c r="O11" s="863">
        <f t="shared" si="9"/>
        <v>0</v>
      </c>
      <c r="P11" s="860">
        <f t="shared" si="10"/>
        <v>0</v>
      </c>
      <c r="Q11" s="860">
        <f t="shared" si="11"/>
        <v>0</v>
      </c>
      <c r="R11" s="858">
        <f>'RRT - Subgrupo - IGEO'!ES10</f>
        <v>4</v>
      </c>
      <c r="S11" s="863">
        <f t="shared" si="12"/>
        <v>2.9643637953651072</v>
      </c>
      <c r="T11" s="860">
        <f t="shared" si="13"/>
        <v>3.025567641323565</v>
      </c>
      <c r="U11" s="860">
        <f t="shared" si="14"/>
        <v>4.7619047619047619</v>
      </c>
      <c r="V11" s="858">
        <f>'RRT - Subgrupo - IGEO'!EV10</f>
        <v>2</v>
      </c>
      <c r="W11" s="863">
        <f t="shared" si="15"/>
        <v>1.4821818976825536</v>
      </c>
      <c r="X11" s="860">
        <f t="shared" si="16"/>
        <v>0.56059805622960357</v>
      </c>
      <c r="Y11" s="860">
        <f t="shared" si="17"/>
        <v>2.3809523809523809</v>
      </c>
      <c r="Z11" s="858">
        <f>'RRT - Subgrupo - IGEO'!EY10</f>
        <v>13</v>
      </c>
      <c r="AA11" s="863">
        <f t="shared" si="18"/>
        <v>9.6341823349365985</v>
      </c>
      <c r="AB11" s="860">
        <f t="shared" si="19"/>
        <v>1.198615691170088</v>
      </c>
      <c r="AC11" s="860">
        <f t="shared" si="20"/>
        <v>15.476190476190476</v>
      </c>
      <c r="AD11" s="858">
        <f>'RRT - Subgrupo - IGEO'!FB10</f>
        <v>14</v>
      </c>
      <c r="AE11" s="863">
        <f t="shared" si="21"/>
        <v>10.375273283777876</v>
      </c>
      <c r="AF11" s="860">
        <f t="shared" si="22"/>
        <v>0.43717318504937547</v>
      </c>
      <c r="AG11" s="860">
        <f t="shared" si="23"/>
        <v>16.666666666666664</v>
      </c>
      <c r="AH11" s="864">
        <f t="shared" si="24"/>
        <v>84</v>
      </c>
      <c r="AI11" s="859">
        <f>'RRT - Atividades '!R10</f>
        <v>62.251639702667255</v>
      </c>
      <c r="AJ11" s="723">
        <f t="shared" si="25"/>
        <v>62.251639702667248</v>
      </c>
      <c r="AK11" s="723">
        <f t="shared" si="26"/>
        <v>0</v>
      </c>
      <c r="AL11" s="865" t="str">
        <f>Z2</f>
        <v>LAUDO TÉC. DE COND. DO TRAB. - LTCAT</v>
      </c>
      <c r="AM11" s="866">
        <f>AA31</f>
        <v>803.77575614179682</v>
      </c>
      <c r="AN11" s="867">
        <f t="shared" si="27"/>
        <v>0.15163429582671267</v>
      </c>
    </row>
    <row r="12" spans="1:40" ht="18.75">
      <c r="A12" s="862" t="s">
        <v>95</v>
      </c>
      <c r="B12" s="858">
        <f>'RRT - Subgrupo - IGEO'!EG11</f>
        <v>9</v>
      </c>
      <c r="C12" s="863">
        <f t="shared" si="0"/>
        <v>4.5905098916411502</v>
      </c>
      <c r="D12" s="860">
        <f t="shared" si="1"/>
        <v>1.6578250852482748</v>
      </c>
      <c r="E12" s="860">
        <f t="shared" si="2"/>
        <v>15</v>
      </c>
      <c r="F12" s="858">
        <f>'RRT - Subgrupo - IGEO'!EJ11</f>
        <v>17</v>
      </c>
      <c r="G12" s="863">
        <f t="shared" si="3"/>
        <v>8.6709631286555062</v>
      </c>
      <c r="H12" s="860">
        <f t="shared" si="4"/>
        <v>0.76590600754135252</v>
      </c>
      <c r="I12" s="860">
        <f t="shared" si="5"/>
        <v>28.333333333333332</v>
      </c>
      <c r="J12" s="858">
        <f>'RRT - Subgrupo - IGEO'!EM11</f>
        <v>5</v>
      </c>
      <c r="K12" s="863">
        <f t="shared" si="6"/>
        <v>2.5502832731339722</v>
      </c>
      <c r="L12" s="860">
        <f t="shared" si="7"/>
        <v>0.79049731335156337</v>
      </c>
      <c r="M12" s="860">
        <f t="shared" si="8"/>
        <v>8.3333333333333321</v>
      </c>
      <c r="N12" s="858">
        <f>'RRT - Subgrupo - IGEO'!EP11</f>
        <v>4</v>
      </c>
      <c r="O12" s="863">
        <f t="shared" si="9"/>
        <v>2.040226618507178</v>
      </c>
      <c r="P12" s="860">
        <f t="shared" si="10"/>
        <v>6.8679556868418503</v>
      </c>
      <c r="Q12" s="860">
        <f t="shared" si="11"/>
        <v>6.666666666666667</v>
      </c>
      <c r="R12" s="858">
        <f>'RRT - Subgrupo - IGEO'!ES11</f>
        <v>6</v>
      </c>
      <c r="S12" s="863">
        <f t="shared" si="12"/>
        <v>3.0603399277607668</v>
      </c>
      <c r="T12" s="860">
        <f t="shared" si="13"/>
        <v>3.12352534846117</v>
      </c>
      <c r="U12" s="860">
        <f t="shared" si="14"/>
        <v>10</v>
      </c>
      <c r="V12" s="858">
        <f>'RRT - Subgrupo - IGEO'!EV11</f>
        <v>6</v>
      </c>
      <c r="W12" s="863">
        <f t="shared" si="15"/>
        <v>3.0603399277607668</v>
      </c>
      <c r="X12" s="860">
        <f t="shared" si="16"/>
        <v>1.157496672700542</v>
      </c>
      <c r="Y12" s="860">
        <f t="shared" si="17"/>
        <v>10</v>
      </c>
      <c r="Z12" s="858">
        <f>'RRT - Subgrupo - IGEO'!EY11</f>
        <v>5</v>
      </c>
      <c r="AA12" s="863">
        <f t="shared" si="18"/>
        <v>2.5502832731339722</v>
      </c>
      <c r="AB12" s="860">
        <f t="shared" si="19"/>
        <v>0.31728790693757475</v>
      </c>
      <c r="AC12" s="860">
        <f t="shared" si="20"/>
        <v>8.3333333333333321</v>
      </c>
      <c r="AD12" s="858">
        <f>'RRT - Subgrupo - IGEO'!FB11</f>
        <v>8</v>
      </c>
      <c r="AE12" s="863">
        <f t="shared" si="21"/>
        <v>4.080453237014356</v>
      </c>
      <c r="AF12" s="860">
        <f t="shared" si="22"/>
        <v>0.17193424108256875</v>
      </c>
      <c r="AG12" s="860">
        <f t="shared" si="23"/>
        <v>13.333333333333334</v>
      </c>
      <c r="AH12" s="864">
        <f t="shared" si="24"/>
        <v>60</v>
      </c>
      <c r="AI12" s="859">
        <f>'RRT - Atividades '!R11</f>
        <v>30.603399277607668</v>
      </c>
      <c r="AJ12" s="723">
        <f t="shared" si="25"/>
        <v>30.603399277607668</v>
      </c>
      <c r="AK12" s="723">
        <f t="shared" si="26"/>
        <v>0</v>
      </c>
      <c r="AL12" s="865" t="str">
        <f>AD2</f>
        <v>OUTRAS ATIVIDADES</v>
      </c>
      <c r="AM12" s="866">
        <f>AE31</f>
        <v>2373.2638777023953</v>
      </c>
      <c r="AN12" s="867">
        <f t="shared" si="27"/>
        <v>0.44772213413574358</v>
      </c>
    </row>
    <row r="13" spans="1:40" ht="18.75">
      <c r="A13" s="862" t="s">
        <v>96</v>
      </c>
      <c r="B13" s="858">
        <f>'RRT - Subgrupo - IGEO'!EG12</f>
        <v>20</v>
      </c>
      <c r="C13" s="863">
        <f t="shared" si="0"/>
        <v>12.207897950875289</v>
      </c>
      <c r="D13" s="860">
        <f t="shared" si="1"/>
        <v>4.4087824531136324</v>
      </c>
      <c r="E13" s="860">
        <f t="shared" si="2"/>
        <v>32.258064516129032</v>
      </c>
      <c r="F13" s="858">
        <f>'RRT - Subgrupo - IGEO'!EJ12</f>
        <v>15</v>
      </c>
      <c r="G13" s="863">
        <f t="shared" si="3"/>
        <v>9.1559234631564674</v>
      </c>
      <c r="H13" s="860">
        <f t="shared" si="4"/>
        <v>0.80874254462522577</v>
      </c>
      <c r="I13" s="860">
        <f t="shared" si="5"/>
        <v>24.193548387096776</v>
      </c>
      <c r="J13" s="858">
        <f>'RRT - Subgrupo - IGEO'!EM12</f>
        <v>2</v>
      </c>
      <c r="K13" s="863">
        <f t="shared" si="6"/>
        <v>1.2207897950875288</v>
      </c>
      <c r="L13" s="860">
        <f t="shared" si="7"/>
        <v>0.37840151458853327</v>
      </c>
      <c r="M13" s="860">
        <f t="shared" si="8"/>
        <v>3.225806451612903</v>
      </c>
      <c r="N13" s="858">
        <f>'RRT - Subgrupo - IGEO'!EP12</f>
        <v>1</v>
      </c>
      <c r="O13" s="863">
        <f t="shared" si="9"/>
        <v>0.61039489754376441</v>
      </c>
      <c r="P13" s="860">
        <f t="shared" si="10"/>
        <v>2.0547546384196909</v>
      </c>
      <c r="Q13" s="860">
        <f t="shared" si="11"/>
        <v>1.6129032258064515</v>
      </c>
      <c r="R13" s="858">
        <f>'RRT - Subgrupo - IGEO'!ES12</f>
        <v>1</v>
      </c>
      <c r="S13" s="863">
        <f t="shared" si="12"/>
        <v>0.61039489754376441</v>
      </c>
      <c r="T13" s="860">
        <f t="shared" si="13"/>
        <v>0.62299743821084064</v>
      </c>
      <c r="U13" s="860">
        <f t="shared" si="14"/>
        <v>1.6129032258064515</v>
      </c>
      <c r="V13" s="858">
        <f>'RRT - Subgrupo - IGEO'!EV12</f>
        <v>3</v>
      </c>
      <c r="W13" s="863">
        <f t="shared" si="15"/>
        <v>1.8311846926312934</v>
      </c>
      <c r="X13" s="860">
        <f t="shared" si="16"/>
        <v>0.69259959313466823</v>
      </c>
      <c r="Y13" s="860">
        <f t="shared" si="17"/>
        <v>4.838709677419355</v>
      </c>
      <c r="Z13" s="858">
        <f>'RRT - Subgrupo - IGEO'!EY12</f>
        <v>6</v>
      </c>
      <c r="AA13" s="863">
        <f t="shared" si="18"/>
        <v>3.6623693852625867</v>
      </c>
      <c r="AB13" s="860">
        <f t="shared" si="19"/>
        <v>0.45564566451249072</v>
      </c>
      <c r="AC13" s="860">
        <f t="shared" si="20"/>
        <v>9.67741935483871</v>
      </c>
      <c r="AD13" s="858">
        <f>'RRT - Subgrupo - IGEO'!FB12</f>
        <v>14</v>
      </c>
      <c r="AE13" s="863">
        <f t="shared" si="21"/>
        <v>8.5455285656127025</v>
      </c>
      <c r="AF13" s="860">
        <f t="shared" si="22"/>
        <v>0.36007494345238172</v>
      </c>
      <c r="AG13" s="860">
        <f t="shared" si="23"/>
        <v>22.58064516129032</v>
      </c>
      <c r="AH13" s="864">
        <f t="shared" si="24"/>
        <v>62</v>
      </c>
      <c r="AI13" s="859">
        <f>'RRT - Atividades '!R12</f>
        <v>37.844483647713396</v>
      </c>
      <c r="AJ13" s="723">
        <f t="shared" si="25"/>
        <v>37.844483647713389</v>
      </c>
      <c r="AK13" s="723">
        <f t="shared" si="26"/>
        <v>0</v>
      </c>
      <c r="AL13" s="868" t="s">
        <v>128</v>
      </c>
      <c r="AM13" s="869">
        <f>SUM(AM5:AM12)</f>
        <v>5300.7517313916233</v>
      </c>
      <c r="AN13" s="870">
        <f>SUM(AN5:AN12)</f>
        <v>0.99999999999999978</v>
      </c>
    </row>
    <row r="14" spans="1:40" ht="18.75">
      <c r="A14" s="862" t="s">
        <v>99</v>
      </c>
      <c r="B14" s="858">
        <f>'RRT - Subgrupo - IGEO'!EG13</f>
        <v>31</v>
      </c>
      <c r="C14" s="863">
        <f t="shared" si="0"/>
        <v>23.599329866428128</v>
      </c>
      <c r="D14" s="860">
        <f t="shared" si="1"/>
        <v>8.5227048783520498</v>
      </c>
      <c r="E14" s="860">
        <f t="shared" si="2"/>
        <v>13.537117903930133</v>
      </c>
      <c r="F14" s="858">
        <f>'RRT - Subgrupo - IGEO'!EJ13</f>
        <v>105</v>
      </c>
      <c r="G14" s="863">
        <f t="shared" si="3"/>
        <v>79.933214063708178</v>
      </c>
      <c r="H14" s="860">
        <f t="shared" si="4"/>
        <v>7.0604992715469912</v>
      </c>
      <c r="I14" s="860">
        <f t="shared" si="5"/>
        <v>45.851528384279476</v>
      </c>
      <c r="J14" s="858">
        <f>'RRT - Subgrupo - IGEO'!EM13</f>
        <v>11</v>
      </c>
      <c r="K14" s="863">
        <f t="shared" si="6"/>
        <v>8.373955759055141</v>
      </c>
      <c r="L14" s="860">
        <f t="shared" si="7"/>
        <v>2.5956291206518838</v>
      </c>
      <c r="M14" s="860">
        <f t="shared" si="8"/>
        <v>4.8034934497816586</v>
      </c>
      <c r="N14" s="858">
        <f>'RRT - Subgrupo - IGEO'!EP13</f>
        <v>2</v>
      </c>
      <c r="O14" s="863">
        <f t="shared" si="9"/>
        <v>1.5225374107372984</v>
      </c>
      <c r="P14" s="860">
        <f t="shared" si="10"/>
        <v>5.1252735228765012</v>
      </c>
      <c r="Q14" s="860">
        <f t="shared" si="11"/>
        <v>0.87336244541484709</v>
      </c>
      <c r="R14" s="858">
        <f>'RRT - Subgrupo - IGEO'!ES13</f>
        <v>9</v>
      </c>
      <c r="S14" s="863">
        <f t="shared" si="12"/>
        <v>6.8514183483178437</v>
      </c>
      <c r="T14" s="860">
        <f t="shared" si="13"/>
        <v>6.9928764088443689</v>
      </c>
      <c r="U14" s="860">
        <f t="shared" si="14"/>
        <v>3.9301310043668125</v>
      </c>
      <c r="V14" s="858">
        <f>'RRT - Subgrupo - IGEO'!EV13</f>
        <v>3</v>
      </c>
      <c r="W14" s="863">
        <f t="shared" si="15"/>
        <v>2.2838061161059477</v>
      </c>
      <c r="X14" s="860">
        <f t="shared" si="16"/>
        <v>0.86379227238982392</v>
      </c>
      <c r="Y14" s="860">
        <f t="shared" si="17"/>
        <v>1.3100436681222707</v>
      </c>
      <c r="Z14" s="858">
        <f>'RRT - Subgrupo - IGEO'!EY13</f>
        <v>24</v>
      </c>
      <c r="AA14" s="863">
        <f t="shared" si="18"/>
        <v>18.270448928847582</v>
      </c>
      <c r="AB14" s="860">
        <f t="shared" si="19"/>
        <v>2.273077881391639</v>
      </c>
      <c r="AC14" s="860">
        <f t="shared" si="20"/>
        <v>10.480349344978166</v>
      </c>
      <c r="AD14" s="858">
        <f>'RRT - Subgrupo - IGEO'!FB13</f>
        <v>44</v>
      </c>
      <c r="AE14" s="863">
        <f t="shared" si="21"/>
        <v>33.495823036220564</v>
      </c>
      <c r="AF14" s="860">
        <f t="shared" si="22"/>
        <v>1.4113821623851008</v>
      </c>
      <c r="AG14" s="860">
        <f t="shared" si="23"/>
        <v>19.213973799126634</v>
      </c>
      <c r="AH14" s="864">
        <f t="shared" si="24"/>
        <v>229</v>
      </c>
      <c r="AI14" s="859">
        <f>'RRT - Atividades '!R13</f>
        <v>174.33053352942068</v>
      </c>
      <c r="AJ14" s="723">
        <f t="shared" si="25"/>
        <v>174.33053352942071</v>
      </c>
      <c r="AK14" s="723">
        <f t="shared" si="26"/>
        <v>0</v>
      </c>
    </row>
    <row r="15" spans="1:40" ht="18.75">
      <c r="A15" s="862" t="s">
        <v>98</v>
      </c>
      <c r="B15" s="858">
        <f>'RRT - Subgrupo - IGEO'!EG14</f>
        <v>8</v>
      </c>
      <c r="C15" s="863">
        <f t="shared" si="0"/>
        <v>6.3442146089204918</v>
      </c>
      <c r="D15" s="860">
        <f t="shared" si="1"/>
        <v>2.2911611941014303</v>
      </c>
      <c r="E15" s="860">
        <f t="shared" si="2"/>
        <v>10.526315789473683</v>
      </c>
      <c r="F15" s="858">
        <f>'RRT - Subgrupo - IGEO'!EJ14</f>
        <v>21</v>
      </c>
      <c r="G15" s="863">
        <f t="shared" si="3"/>
        <v>16.653563348416295</v>
      </c>
      <c r="H15" s="860">
        <f t="shared" si="4"/>
        <v>1.471008932487559</v>
      </c>
      <c r="I15" s="860">
        <f t="shared" si="5"/>
        <v>27.631578947368425</v>
      </c>
      <c r="J15" s="858">
        <f>'RRT - Subgrupo - IGEO'!EM14</f>
        <v>6</v>
      </c>
      <c r="K15" s="863">
        <f t="shared" si="6"/>
        <v>4.7581609566903689</v>
      </c>
      <c r="L15" s="860">
        <f t="shared" si="7"/>
        <v>1.4748610448030222</v>
      </c>
      <c r="M15" s="860">
        <f t="shared" si="8"/>
        <v>7.8947368421052628</v>
      </c>
      <c r="N15" s="858">
        <f>'RRT - Subgrupo - IGEO'!EP14</f>
        <v>0</v>
      </c>
      <c r="O15" s="863">
        <f t="shared" si="9"/>
        <v>0</v>
      </c>
      <c r="P15" s="860">
        <f t="shared" si="10"/>
        <v>0</v>
      </c>
      <c r="Q15" s="860">
        <f t="shared" si="11"/>
        <v>0</v>
      </c>
      <c r="R15" s="858">
        <f>'RRT - Subgrupo - IGEO'!ES14</f>
        <v>3</v>
      </c>
      <c r="S15" s="863">
        <f t="shared" si="12"/>
        <v>2.3790804783451844</v>
      </c>
      <c r="T15" s="860">
        <f t="shared" si="13"/>
        <v>2.4282002508059999</v>
      </c>
      <c r="U15" s="860">
        <f t="shared" si="14"/>
        <v>3.9473684210526314</v>
      </c>
      <c r="V15" s="858">
        <f>'RRT - Subgrupo - IGEO'!EV14</f>
        <v>3</v>
      </c>
      <c r="W15" s="863">
        <f t="shared" si="15"/>
        <v>2.3790804783451844</v>
      </c>
      <c r="X15" s="860">
        <f t="shared" si="16"/>
        <v>0.89982740570466246</v>
      </c>
      <c r="Y15" s="860">
        <f t="shared" si="17"/>
        <v>3.9473684210526314</v>
      </c>
      <c r="Z15" s="858">
        <f>'RRT - Subgrupo - IGEO'!EY14</f>
        <v>16</v>
      </c>
      <c r="AA15" s="863">
        <f t="shared" si="18"/>
        <v>12.688429217840984</v>
      </c>
      <c r="AB15" s="860">
        <f t="shared" si="19"/>
        <v>1.57860312666641</v>
      </c>
      <c r="AC15" s="860">
        <f t="shared" si="20"/>
        <v>21.052631578947366</v>
      </c>
      <c r="AD15" s="858">
        <f>'RRT - Subgrupo - IGEO'!FB14</f>
        <v>19</v>
      </c>
      <c r="AE15" s="863">
        <f t="shared" si="21"/>
        <v>15.067509696186169</v>
      </c>
      <c r="AF15" s="860">
        <f t="shared" si="22"/>
        <v>0.63488556151511177</v>
      </c>
      <c r="AG15" s="860">
        <f t="shared" si="23"/>
        <v>25</v>
      </c>
      <c r="AH15" s="864">
        <f t="shared" si="24"/>
        <v>76</v>
      </c>
      <c r="AI15" s="859">
        <f>'RRT - Atividades '!R14</f>
        <v>60.270038784744678</v>
      </c>
      <c r="AJ15" s="723">
        <f t="shared" si="25"/>
        <v>60.270038784744678</v>
      </c>
      <c r="AK15" s="723">
        <f t="shared" si="26"/>
        <v>0</v>
      </c>
    </row>
    <row r="16" spans="1:40" ht="19.5" thickBot="1">
      <c r="A16" s="862" t="s">
        <v>97</v>
      </c>
      <c r="B16" s="858">
        <f>'RRT - Subgrupo - IGEO'!EG15</f>
        <v>9</v>
      </c>
      <c r="C16" s="863">
        <f t="shared" si="0"/>
        <v>4.2798537051122292</v>
      </c>
      <c r="D16" s="860">
        <f t="shared" si="1"/>
        <v>1.545634145445923</v>
      </c>
      <c r="E16" s="860">
        <f t="shared" si="2"/>
        <v>2.8846153846153846</v>
      </c>
      <c r="F16" s="858">
        <f>'RRT - Subgrupo - IGEO'!EJ15</f>
        <v>34</v>
      </c>
      <c r="G16" s="863">
        <f t="shared" si="3"/>
        <v>16.168336219312867</v>
      </c>
      <c r="H16" s="860">
        <f t="shared" si="4"/>
        <v>1.4281488294415456</v>
      </c>
      <c r="I16" s="860">
        <f t="shared" si="5"/>
        <v>10.897435897435898</v>
      </c>
      <c r="J16" s="858">
        <f>'RRT - Subgrupo - IGEO'!EM15</f>
        <v>1</v>
      </c>
      <c r="K16" s="863">
        <f t="shared" si="6"/>
        <v>0.47553930056802546</v>
      </c>
      <c r="L16" s="860">
        <f t="shared" si="7"/>
        <v>0.14740030782155319</v>
      </c>
      <c r="M16" s="860">
        <f t="shared" si="8"/>
        <v>0.32051282051282048</v>
      </c>
      <c r="N16" s="858">
        <f>'RRT - Subgrupo - IGEO'!EP15</f>
        <v>0</v>
      </c>
      <c r="O16" s="863">
        <f t="shared" si="9"/>
        <v>0</v>
      </c>
      <c r="P16" s="860">
        <f t="shared" si="10"/>
        <v>0</v>
      </c>
      <c r="Q16" s="860">
        <f t="shared" si="11"/>
        <v>0</v>
      </c>
      <c r="R16" s="858">
        <f>'RRT - Subgrupo - IGEO'!ES15</f>
        <v>2</v>
      </c>
      <c r="S16" s="863">
        <f t="shared" si="12"/>
        <v>0.95107860113605092</v>
      </c>
      <c r="T16" s="860">
        <f t="shared" si="13"/>
        <v>0.97071508039994203</v>
      </c>
      <c r="U16" s="860">
        <f t="shared" si="14"/>
        <v>0.64102564102564097</v>
      </c>
      <c r="V16" s="858">
        <f>'RRT - Subgrupo - IGEO'!EV15</f>
        <v>0</v>
      </c>
      <c r="W16" s="863">
        <f t="shared" si="15"/>
        <v>0</v>
      </c>
      <c r="X16" s="860">
        <f t="shared" si="16"/>
        <v>0</v>
      </c>
      <c r="Y16" s="860">
        <f t="shared" si="17"/>
        <v>0</v>
      </c>
      <c r="Z16" s="858">
        <f>'RRT - Subgrupo - IGEO'!EY15</f>
        <v>9</v>
      </c>
      <c r="AA16" s="863">
        <f t="shared" si="18"/>
        <v>4.2798537051122292</v>
      </c>
      <c r="AB16" s="860">
        <f t="shared" si="19"/>
        <v>0.53246862354445101</v>
      </c>
      <c r="AC16" s="860">
        <f t="shared" si="20"/>
        <v>2.8846153846153846</v>
      </c>
      <c r="AD16" s="858">
        <f>'RRT - Subgrupo - IGEO'!FB15</f>
        <v>257</v>
      </c>
      <c r="AE16" s="863">
        <f t="shared" si="21"/>
        <v>122.21360024598255</v>
      </c>
      <c r="AF16" s="860">
        <f t="shared" si="22"/>
        <v>5.1496001516822476</v>
      </c>
      <c r="AG16" s="860">
        <f t="shared" si="23"/>
        <v>82.371794871794862</v>
      </c>
      <c r="AH16" s="864">
        <f t="shared" si="24"/>
        <v>312</v>
      </c>
      <c r="AI16" s="859">
        <f>'RRT - Atividades '!R15</f>
        <v>148.36826177722395</v>
      </c>
      <c r="AJ16" s="723">
        <f t="shared" si="25"/>
        <v>148.36826177722395</v>
      </c>
      <c r="AK16" s="723">
        <f t="shared" si="26"/>
        <v>0</v>
      </c>
    </row>
    <row r="17" spans="1:41" ht="18.75" customHeight="1">
      <c r="A17" s="862" t="s">
        <v>100</v>
      </c>
      <c r="B17" s="858">
        <f>'RRT - Subgrupo - IGEO'!EG16</f>
        <v>58</v>
      </c>
      <c r="C17" s="863">
        <f t="shared" si="0"/>
        <v>33.463714821763602</v>
      </c>
      <c r="D17" s="860">
        <f t="shared" si="1"/>
        <v>12.085146789059779</v>
      </c>
      <c r="E17" s="860">
        <f t="shared" si="2"/>
        <v>35.802469135802475</v>
      </c>
      <c r="F17" s="858">
        <f>'RRT - Subgrupo - IGEO'!EJ16</f>
        <v>57</v>
      </c>
      <c r="G17" s="863">
        <f t="shared" si="3"/>
        <v>32.886754221388365</v>
      </c>
      <c r="H17" s="860">
        <f t="shared" si="4"/>
        <v>2.9048863722481175</v>
      </c>
      <c r="I17" s="860">
        <f t="shared" si="5"/>
        <v>35.185185185185183</v>
      </c>
      <c r="J17" s="858">
        <f>'RRT - Subgrupo - IGEO'!EM16</f>
        <v>2</v>
      </c>
      <c r="K17" s="863">
        <f t="shared" si="6"/>
        <v>1.1539212007504689</v>
      </c>
      <c r="L17" s="860">
        <f t="shared" si="7"/>
        <v>0.35767462329457755</v>
      </c>
      <c r="M17" s="860">
        <f t="shared" si="8"/>
        <v>1.2345679012345678</v>
      </c>
      <c r="N17" s="858">
        <f>'RRT - Subgrupo - IGEO'!EP16</f>
        <v>0</v>
      </c>
      <c r="O17" s="863">
        <f t="shared" si="9"/>
        <v>0</v>
      </c>
      <c r="P17" s="860">
        <f t="shared" si="10"/>
        <v>0</v>
      </c>
      <c r="Q17" s="860">
        <f t="shared" si="11"/>
        <v>0</v>
      </c>
      <c r="R17" s="858">
        <f>'RRT - Subgrupo - IGEO'!ES16</f>
        <v>0</v>
      </c>
      <c r="S17" s="863">
        <f t="shared" si="12"/>
        <v>0</v>
      </c>
      <c r="T17" s="860">
        <f t="shared" si="13"/>
        <v>0</v>
      </c>
      <c r="U17" s="860">
        <f t="shared" si="14"/>
        <v>0</v>
      </c>
      <c r="V17" s="858">
        <f>'RRT - Subgrupo - IGEO'!EV16</f>
        <v>13</v>
      </c>
      <c r="W17" s="863">
        <f t="shared" si="15"/>
        <v>7.5004878048780483</v>
      </c>
      <c r="X17" s="860">
        <f t="shared" si="16"/>
        <v>2.8368710282879421</v>
      </c>
      <c r="Y17" s="860">
        <f t="shared" si="17"/>
        <v>8.0246913580246915</v>
      </c>
      <c r="Z17" s="858">
        <f>'RRT - Subgrupo - IGEO'!EY16</f>
        <v>13</v>
      </c>
      <c r="AA17" s="863">
        <f t="shared" si="18"/>
        <v>7.5004878048780483</v>
      </c>
      <c r="AB17" s="860">
        <f t="shared" si="19"/>
        <v>0.93315676014926496</v>
      </c>
      <c r="AC17" s="860">
        <f t="shared" si="20"/>
        <v>8.0246913580246915</v>
      </c>
      <c r="AD17" s="858">
        <f>'RRT - Subgrupo - IGEO'!FB16</f>
        <v>19</v>
      </c>
      <c r="AE17" s="863">
        <f t="shared" si="21"/>
        <v>10.962251407129456</v>
      </c>
      <c r="AF17" s="860">
        <f t="shared" si="22"/>
        <v>0.46190613315794593</v>
      </c>
      <c r="AG17" s="860">
        <f t="shared" si="23"/>
        <v>11.728395061728396</v>
      </c>
      <c r="AH17" s="864">
        <f t="shared" si="24"/>
        <v>162</v>
      </c>
      <c r="AI17" s="859">
        <f>'RRT - Atividades '!R16</f>
        <v>93.467617260787989</v>
      </c>
      <c r="AJ17" s="723">
        <f t="shared" si="25"/>
        <v>93.467617260788003</v>
      </c>
      <c r="AK17" s="723">
        <f t="shared" si="26"/>
        <v>0</v>
      </c>
      <c r="AL17" s="1502" t="s">
        <v>640</v>
      </c>
      <c r="AM17" s="1503"/>
      <c r="AN17" s="1503"/>
      <c r="AO17" s="1440" t="s">
        <v>1082</v>
      </c>
    </row>
    <row r="18" spans="1:41" ht="18.75" customHeight="1">
      <c r="A18" s="862" t="s">
        <v>101</v>
      </c>
      <c r="B18" s="858">
        <f>'RRT - Subgrupo - IGEO'!EG17</f>
        <v>2</v>
      </c>
      <c r="C18" s="863">
        <f t="shared" si="0"/>
        <v>1.2097102186070157</v>
      </c>
      <c r="D18" s="860">
        <f t="shared" si="1"/>
        <v>0.4368769469247139</v>
      </c>
      <c r="E18" s="860">
        <f t="shared" si="2"/>
        <v>2.197802197802198</v>
      </c>
      <c r="F18" s="858">
        <f>'RRT - Subgrupo - IGEO'!EJ17</f>
        <v>73</v>
      </c>
      <c r="G18" s="863">
        <f t="shared" si="3"/>
        <v>44.154422979156074</v>
      </c>
      <c r="H18" s="860">
        <f t="shared" si="4"/>
        <v>3.9001593384126543</v>
      </c>
      <c r="I18" s="860">
        <f t="shared" si="5"/>
        <v>80.219780219780219</v>
      </c>
      <c r="J18" s="858">
        <f>'RRT - Subgrupo - IGEO'!EM17</f>
        <v>0</v>
      </c>
      <c r="K18" s="863">
        <f t="shared" si="6"/>
        <v>0</v>
      </c>
      <c r="L18" s="860">
        <f t="shared" si="7"/>
        <v>0</v>
      </c>
      <c r="M18" s="860">
        <f t="shared" si="8"/>
        <v>0</v>
      </c>
      <c r="N18" s="858">
        <f>'RRT - Subgrupo - IGEO'!EP17</f>
        <v>0</v>
      </c>
      <c r="O18" s="863">
        <f t="shared" si="9"/>
        <v>0</v>
      </c>
      <c r="P18" s="860">
        <f t="shared" si="10"/>
        <v>0</v>
      </c>
      <c r="Q18" s="860">
        <f t="shared" si="11"/>
        <v>0</v>
      </c>
      <c r="R18" s="858">
        <f>'RRT - Subgrupo - IGEO'!ES17</f>
        <v>0</v>
      </c>
      <c r="S18" s="863">
        <f t="shared" si="12"/>
        <v>0</v>
      </c>
      <c r="T18" s="860">
        <f t="shared" si="13"/>
        <v>0</v>
      </c>
      <c r="U18" s="860">
        <f t="shared" si="14"/>
        <v>0</v>
      </c>
      <c r="V18" s="858">
        <f>'RRT - Subgrupo - IGEO'!EV17</f>
        <v>0</v>
      </c>
      <c r="W18" s="863">
        <f t="shared" si="15"/>
        <v>0</v>
      </c>
      <c r="X18" s="860">
        <f t="shared" si="16"/>
        <v>0</v>
      </c>
      <c r="Y18" s="860">
        <f t="shared" si="17"/>
        <v>0</v>
      </c>
      <c r="Z18" s="858">
        <f>'RRT - Subgrupo - IGEO'!EY17</f>
        <v>5</v>
      </c>
      <c r="AA18" s="863">
        <f t="shared" si="18"/>
        <v>3.024275546517539</v>
      </c>
      <c r="AB18" s="860">
        <f t="shared" si="19"/>
        <v>0.37625861733306826</v>
      </c>
      <c r="AC18" s="860">
        <f t="shared" si="20"/>
        <v>5.4945054945054945</v>
      </c>
      <c r="AD18" s="858">
        <f>'RRT - Subgrupo - IGEO'!FB17</f>
        <v>11</v>
      </c>
      <c r="AE18" s="863">
        <f t="shared" si="21"/>
        <v>6.6534062023385863</v>
      </c>
      <c r="AF18" s="860">
        <f t="shared" si="22"/>
        <v>0.28034835337315644</v>
      </c>
      <c r="AG18" s="860">
        <f t="shared" si="23"/>
        <v>12.087912087912088</v>
      </c>
      <c r="AH18" s="864">
        <f t="shared" si="24"/>
        <v>91</v>
      </c>
      <c r="AI18" s="859">
        <f>'RRT - Atividades '!R17</f>
        <v>55.041814946619212</v>
      </c>
      <c r="AJ18" s="723">
        <f t="shared" si="25"/>
        <v>55.041814946619212</v>
      </c>
      <c r="AK18" s="723">
        <f t="shared" si="26"/>
        <v>0</v>
      </c>
      <c r="AL18" s="1131" t="s">
        <v>613</v>
      </c>
      <c r="AM18" s="1132" t="s">
        <v>527</v>
      </c>
      <c r="AN18" s="1132" t="s">
        <v>423</v>
      </c>
      <c r="AO18" s="1441"/>
    </row>
    <row r="19" spans="1:41" ht="18.75" customHeight="1">
      <c r="A19" s="862" t="s">
        <v>103</v>
      </c>
      <c r="B19" s="858">
        <f>'RRT - Subgrupo - IGEO'!EG18</f>
        <v>5</v>
      </c>
      <c r="C19" s="863">
        <f t="shared" si="0"/>
        <v>3.6625954941365388</v>
      </c>
      <c r="D19" s="860">
        <f t="shared" si="1"/>
        <v>1.3227163933037684</v>
      </c>
      <c r="E19" s="860">
        <f t="shared" si="2"/>
        <v>4.6296296296296298</v>
      </c>
      <c r="F19" s="858">
        <f>'RRT - Subgrupo - IGEO'!EJ18</f>
        <v>37</v>
      </c>
      <c r="G19" s="863">
        <f t="shared" si="3"/>
        <v>27.103206656610389</v>
      </c>
      <c r="H19" s="860">
        <f t="shared" si="4"/>
        <v>2.3940257263152986</v>
      </c>
      <c r="I19" s="860">
        <f t="shared" si="5"/>
        <v>34.25925925925926</v>
      </c>
      <c r="J19" s="858">
        <f>'RRT - Subgrupo - IGEO'!EM18</f>
        <v>7</v>
      </c>
      <c r="K19" s="863">
        <f t="shared" si="6"/>
        <v>5.1276336917911545</v>
      </c>
      <c r="L19" s="860">
        <f t="shared" si="7"/>
        <v>1.5893844812897115</v>
      </c>
      <c r="M19" s="860">
        <f t="shared" si="8"/>
        <v>6.481481481481481</v>
      </c>
      <c r="N19" s="858">
        <f>'RRT - Subgrupo - IGEO'!EP18</f>
        <v>0</v>
      </c>
      <c r="O19" s="863">
        <f t="shared" si="9"/>
        <v>0</v>
      </c>
      <c r="P19" s="860">
        <f t="shared" si="10"/>
        <v>0</v>
      </c>
      <c r="Q19" s="860">
        <f t="shared" si="11"/>
        <v>0</v>
      </c>
      <c r="R19" s="858">
        <f>'RRT - Subgrupo - IGEO'!ES18</f>
        <v>6</v>
      </c>
      <c r="S19" s="863">
        <f t="shared" si="12"/>
        <v>4.3951145929638464</v>
      </c>
      <c r="T19" s="860">
        <f t="shared" si="13"/>
        <v>4.4858584878049976</v>
      </c>
      <c r="U19" s="860">
        <f t="shared" si="14"/>
        <v>5.5555555555555554</v>
      </c>
      <c r="V19" s="858">
        <f>'RRT - Subgrupo - IGEO'!EV18</f>
        <v>1</v>
      </c>
      <c r="W19" s="863">
        <f t="shared" si="15"/>
        <v>0.73251909882730781</v>
      </c>
      <c r="X19" s="860">
        <f t="shared" si="16"/>
        <v>0.27705694125377878</v>
      </c>
      <c r="Y19" s="860">
        <f t="shared" si="17"/>
        <v>0.92592592592592582</v>
      </c>
      <c r="Z19" s="858">
        <f>'RRT - Subgrupo - IGEO'!EY18</f>
        <v>15</v>
      </c>
      <c r="AA19" s="863">
        <f t="shared" si="18"/>
        <v>10.987786482409618</v>
      </c>
      <c r="AB19" s="860">
        <f t="shared" si="19"/>
        <v>1.367021386058231</v>
      </c>
      <c r="AC19" s="860">
        <f t="shared" si="20"/>
        <v>13.888888888888889</v>
      </c>
      <c r="AD19" s="858">
        <f>'RRT - Subgrupo - IGEO'!FB18</f>
        <v>37</v>
      </c>
      <c r="AE19" s="863">
        <f t="shared" si="21"/>
        <v>27.103206656610389</v>
      </c>
      <c r="AF19" s="860">
        <f t="shared" si="22"/>
        <v>1.14202246582245</v>
      </c>
      <c r="AG19" s="860">
        <f t="shared" si="23"/>
        <v>34.25925925925926</v>
      </c>
      <c r="AH19" s="864">
        <f t="shared" si="24"/>
        <v>108</v>
      </c>
      <c r="AI19" s="859">
        <f>'RRT - Atividades '!R18</f>
        <v>79.112062673349243</v>
      </c>
      <c r="AJ19" s="723">
        <f t="shared" si="25"/>
        <v>79.112062673349243</v>
      </c>
      <c r="AK19" s="723">
        <f t="shared" si="26"/>
        <v>0</v>
      </c>
      <c r="AL19" s="1133" t="s">
        <v>677</v>
      </c>
      <c r="AM19" s="1134">
        <v>276.89953134915186</v>
      </c>
      <c r="AN19" s="54">
        <v>5.2237785389819894E-2</v>
      </c>
      <c r="AO19" s="1441"/>
    </row>
    <row r="20" spans="1:41" ht="18.75" customHeight="1">
      <c r="A20" s="862" t="s">
        <v>104</v>
      </c>
      <c r="B20" s="858">
        <f>'RRT - Subgrupo - IGEO'!EG19</f>
        <v>5</v>
      </c>
      <c r="C20" s="863">
        <f t="shared" si="0"/>
        <v>3.8490284005979074</v>
      </c>
      <c r="D20" s="860">
        <f t="shared" si="1"/>
        <v>1.3900451119740391</v>
      </c>
      <c r="E20" s="860">
        <f t="shared" si="2"/>
        <v>13.888888888888889</v>
      </c>
      <c r="F20" s="858">
        <f>'RRT - Subgrupo - IGEO'!EJ19</f>
        <v>7</v>
      </c>
      <c r="G20" s="863">
        <f t="shared" si="3"/>
        <v>5.3886397608370702</v>
      </c>
      <c r="H20" s="860">
        <f t="shared" si="4"/>
        <v>0.47597844715333937</v>
      </c>
      <c r="I20" s="860">
        <f t="shared" si="5"/>
        <v>19.444444444444446</v>
      </c>
      <c r="J20" s="858">
        <f>'RRT - Subgrupo - IGEO'!EM19</f>
        <v>3</v>
      </c>
      <c r="K20" s="863">
        <f t="shared" si="6"/>
        <v>2.3094170403587442</v>
      </c>
      <c r="L20" s="860">
        <f t="shared" si="7"/>
        <v>0.71583732875622563</v>
      </c>
      <c r="M20" s="860">
        <f t="shared" si="8"/>
        <v>8.3333333333333321</v>
      </c>
      <c r="N20" s="858">
        <f>'RRT - Subgrupo - IGEO'!EP19</f>
        <v>4</v>
      </c>
      <c r="O20" s="863">
        <f t="shared" si="9"/>
        <v>3.0792227204783256</v>
      </c>
      <c r="P20" s="860">
        <f t="shared" si="10"/>
        <v>10.36549812767152</v>
      </c>
      <c r="Q20" s="860">
        <f t="shared" si="11"/>
        <v>11.111111111111111</v>
      </c>
      <c r="R20" s="858">
        <f>'RRT - Subgrupo - IGEO'!ES19</f>
        <v>2</v>
      </c>
      <c r="S20" s="863">
        <f t="shared" si="12"/>
        <v>1.5396113602391628</v>
      </c>
      <c r="T20" s="860">
        <f t="shared" si="13"/>
        <v>1.5713990027259932</v>
      </c>
      <c r="U20" s="860">
        <f t="shared" si="14"/>
        <v>5.5555555555555554</v>
      </c>
      <c r="V20" s="858">
        <f>'RRT - Subgrupo - IGEO'!EV19</f>
        <v>3</v>
      </c>
      <c r="W20" s="863">
        <f t="shared" si="15"/>
        <v>2.3094170403587442</v>
      </c>
      <c r="X20" s="860">
        <f t="shared" si="16"/>
        <v>0.8734789608973611</v>
      </c>
      <c r="Y20" s="860">
        <f t="shared" si="17"/>
        <v>8.3333333333333321</v>
      </c>
      <c r="Z20" s="858">
        <f>'RRT - Subgrupo - IGEO'!EY19</f>
        <v>4</v>
      </c>
      <c r="AA20" s="863">
        <f t="shared" si="18"/>
        <v>3.0792227204783256</v>
      </c>
      <c r="AB20" s="860">
        <f t="shared" si="19"/>
        <v>0.38309474961759227</v>
      </c>
      <c r="AC20" s="860">
        <f t="shared" si="20"/>
        <v>11.111111111111111</v>
      </c>
      <c r="AD20" s="858">
        <f>'RRT - Subgrupo - IGEO'!FB19</f>
        <v>8</v>
      </c>
      <c r="AE20" s="863">
        <f t="shared" si="21"/>
        <v>6.1584454409566511</v>
      </c>
      <c r="AF20" s="860">
        <f t="shared" si="22"/>
        <v>0.25949265477039013</v>
      </c>
      <c r="AG20" s="860">
        <f t="shared" si="23"/>
        <v>22.222222222222221</v>
      </c>
      <c r="AH20" s="864">
        <f t="shared" si="24"/>
        <v>36</v>
      </c>
      <c r="AI20" s="859">
        <f>'RRT - Atividades '!R19</f>
        <v>27.713004484304932</v>
      </c>
      <c r="AJ20" s="723">
        <f t="shared" si="25"/>
        <v>27.713004484304935</v>
      </c>
      <c r="AK20" s="723">
        <f t="shared" si="26"/>
        <v>0</v>
      </c>
      <c r="AL20" s="1133" t="s">
        <v>678</v>
      </c>
      <c r="AM20" s="1134">
        <v>1132.1184379386589</v>
      </c>
      <c r="AN20" s="54">
        <v>0.21357695951578554</v>
      </c>
      <c r="AO20" s="1441"/>
    </row>
    <row r="21" spans="1:41" ht="18.75" customHeight="1">
      <c r="A21" s="862" t="s">
        <v>102</v>
      </c>
      <c r="B21" s="858">
        <f>'RRT - Subgrupo - IGEO'!EG20</f>
        <v>9</v>
      </c>
      <c r="C21" s="863">
        <f t="shared" si="0"/>
        <v>6.4386562851025841</v>
      </c>
      <c r="D21" s="860">
        <f t="shared" si="1"/>
        <v>2.3252680326800075</v>
      </c>
      <c r="E21" s="860">
        <f t="shared" si="2"/>
        <v>1.3846153846153846</v>
      </c>
      <c r="F21" s="858">
        <f>'RRT - Subgrupo - IGEO'!EJ20</f>
        <v>93</v>
      </c>
      <c r="G21" s="863">
        <f t="shared" si="3"/>
        <v>66.532781612726694</v>
      </c>
      <c r="H21" s="860">
        <f t="shared" si="4"/>
        <v>5.8768393290960264</v>
      </c>
      <c r="I21" s="860">
        <f t="shared" si="5"/>
        <v>14.307692307692307</v>
      </c>
      <c r="J21" s="858">
        <f>'RRT - Subgrupo - IGEO'!EM20</f>
        <v>33</v>
      </c>
      <c r="K21" s="863">
        <f t="shared" si="6"/>
        <v>23.608406378709475</v>
      </c>
      <c r="L21" s="860">
        <f t="shared" si="7"/>
        <v>7.3177681912755004</v>
      </c>
      <c r="M21" s="860">
        <f t="shared" si="8"/>
        <v>5.0769230769230775</v>
      </c>
      <c r="N21" s="858">
        <f>'RRT - Subgrupo - IGEO'!EP20</f>
        <v>3</v>
      </c>
      <c r="O21" s="863">
        <f t="shared" si="9"/>
        <v>2.1462187617008612</v>
      </c>
      <c r="P21" s="860">
        <f t="shared" si="10"/>
        <v>7.2247539640549228</v>
      </c>
      <c r="Q21" s="860">
        <f t="shared" si="11"/>
        <v>0.46153846153846151</v>
      </c>
      <c r="R21" s="858">
        <f>'RRT - Subgrupo - IGEO'!ES20</f>
        <v>7</v>
      </c>
      <c r="S21" s="863">
        <f t="shared" si="12"/>
        <v>5.0078437773020097</v>
      </c>
      <c r="T21" s="860">
        <f t="shared" si="13"/>
        <v>5.1112384077482576</v>
      </c>
      <c r="U21" s="860">
        <f t="shared" si="14"/>
        <v>1.0769230769230769</v>
      </c>
      <c r="V21" s="858">
        <f>'RRT - Subgrupo - IGEO'!EV20</f>
        <v>53</v>
      </c>
      <c r="W21" s="863">
        <f t="shared" si="15"/>
        <v>37.916531456715212</v>
      </c>
      <c r="X21" s="860">
        <f t="shared" si="16"/>
        <v>14.340975198008831</v>
      </c>
      <c r="Y21" s="860">
        <f t="shared" si="17"/>
        <v>8.1538461538461533</v>
      </c>
      <c r="Z21" s="858">
        <f>'RRT - Subgrupo - IGEO'!EY20</f>
        <v>397</v>
      </c>
      <c r="AA21" s="863">
        <f t="shared" si="18"/>
        <v>284.01628279841395</v>
      </c>
      <c r="AB21" s="860">
        <f t="shared" si="19"/>
        <v>35.33526367624227</v>
      </c>
      <c r="AC21" s="860">
        <f t="shared" si="20"/>
        <v>61.076923076923073</v>
      </c>
      <c r="AD21" s="858">
        <f>'RRT - Subgrupo - IGEO'!FB20</f>
        <v>55</v>
      </c>
      <c r="AE21" s="863">
        <f t="shared" si="21"/>
        <v>39.347343964515794</v>
      </c>
      <c r="AF21" s="860">
        <f t="shared" si="22"/>
        <v>1.6579422260709058</v>
      </c>
      <c r="AG21" s="860">
        <f t="shared" si="23"/>
        <v>8.4615384615384617</v>
      </c>
      <c r="AH21" s="864">
        <f t="shared" si="24"/>
        <v>650</v>
      </c>
      <c r="AI21" s="859">
        <f>'RRT - Atividades '!R20</f>
        <v>465.0140650351866</v>
      </c>
      <c r="AJ21" s="723">
        <f t="shared" si="25"/>
        <v>465.0140650351866</v>
      </c>
      <c r="AK21" s="723">
        <f t="shared" si="26"/>
        <v>0</v>
      </c>
      <c r="AL21" s="1133" t="s">
        <v>679</v>
      </c>
      <c r="AM21" s="1134">
        <v>322.61757631044179</v>
      </c>
      <c r="AN21" s="54">
        <v>6.0862608297586496E-2</v>
      </c>
      <c r="AO21" s="1441"/>
    </row>
    <row r="22" spans="1:41" ht="18.75" customHeight="1">
      <c r="A22" s="862" t="s">
        <v>105</v>
      </c>
      <c r="B22" s="858">
        <f>'RRT - Subgrupo - IGEO'!EG21</f>
        <v>37</v>
      </c>
      <c r="C22" s="863">
        <f t="shared" si="0"/>
        <v>32.178567601357393</v>
      </c>
      <c r="D22" s="860">
        <f t="shared" si="1"/>
        <v>11.621026386203003</v>
      </c>
      <c r="E22" s="860">
        <f t="shared" si="2"/>
        <v>6.8645640074211505</v>
      </c>
      <c r="F22" s="858">
        <f>'RRT - Subgrupo - IGEO'!EJ21</f>
        <v>70</v>
      </c>
      <c r="G22" s="863">
        <f t="shared" si="3"/>
        <v>60.878371137703162</v>
      </c>
      <c r="H22" s="860">
        <f t="shared" si="4"/>
        <v>5.3773853598347374</v>
      </c>
      <c r="I22" s="860">
        <f t="shared" si="5"/>
        <v>12.987012987012985</v>
      </c>
      <c r="J22" s="858">
        <f>'RRT - Subgrupo - IGEO'!EM21</f>
        <v>16</v>
      </c>
      <c r="K22" s="863">
        <f t="shared" si="6"/>
        <v>13.915056260046439</v>
      </c>
      <c r="L22" s="860">
        <f t="shared" si="7"/>
        <v>4.3131736401914278</v>
      </c>
      <c r="M22" s="860">
        <f t="shared" si="8"/>
        <v>2.9684601113172544</v>
      </c>
      <c r="N22" s="858">
        <f>'RRT - Subgrupo - IGEO'!EP21</f>
        <v>12</v>
      </c>
      <c r="O22" s="863">
        <f t="shared" si="9"/>
        <v>10.436292195034829</v>
      </c>
      <c r="P22" s="860">
        <f t="shared" si="10"/>
        <v>35.131387699900507</v>
      </c>
      <c r="Q22" s="860">
        <f t="shared" si="11"/>
        <v>2.2263450834879404</v>
      </c>
      <c r="R22" s="858">
        <f>'RRT - Subgrupo - IGEO'!ES21</f>
        <v>10</v>
      </c>
      <c r="S22" s="863">
        <f t="shared" si="12"/>
        <v>8.6969101625290239</v>
      </c>
      <c r="T22" s="860">
        <f t="shared" si="13"/>
        <v>8.8764712375678645</v>
      </c>
      <c r="U22" s="860">
        <f t="shared" si="14"/>
        <v>1.855287569573284</v>
      </c>
      <c r="V22" s="858">
        <f>'RRT - Subgrupo - IGEO'!EV21</f>
        <v>7</v>
      </c>
      <c r="W22" s="863">
        <f t="shared" si="15"/>
        <v>6.0878371137703171</v>
      </c>
      <c r="X22" s="860">
        <f t="shared" si="16"/>
        <v>2.3025714036571121</v>
      </c>
      <c r="Y22" s="860">
        <f t="shared" si="17"/>
        <v>1.2987012987012987</v>
      </c>
      <c r="Z22" s="858">
        <f>'RRT - Subgrupo - IGEO'!EY21</f>
        <v>22</v>
      </c>
      <c r="AA22" s="863">
        <f t="shared" si="18"/>
        <v>19.133202357563853</v>
      </c>
      <c r="AB22" s="860">
        <f t="shared" si="19"/>
        <v>2.3804154593322293</v>
      </c>
      <c r="AC22" s="860">
        <f t="shared" si="20"/>
        <v>4.0816326530612246</v>
      </c>
      <c r="AD22" s="858">
        <f>'RRT - Subgrupo - IGEO'!FB21</f>
        <v>365</v>
      </c>
      <c r="AE22" s="863">
        <f t="shared" si="21"/>
        <v>317.4372209323094</v>
      </c>
      <c r="AF22" s="860">
        <f t="shared" si="22"/>
        <v>13.375555239126074</v>
      </c>
      <c r="AG22" s="860">
        <f t="shared" si="23"/>
        <v>67.71799628942486</v>
      </c>
      <c r="AH22" s="864">
        <f t="shared" si="24"/>
        <v>539</v>
      </c>
      <c r="AI22" s="859">
        <f>'RRT - Atividades '!R21</f>
        <v>468.7634577603144</v>
      </c>
      <c r="AJ22" s="723">
        <f t="shared" si="25"/>
        <v>468.7634577603144</v>
      </c>
      <c r="AK22" s="723">
        <f t="shared" si="26"/>
        <v>0</v>
      </c>
      <c r="AL22" s="1133" t="s">
        <v>1107</v>
      </c>
      <c r="AM22" s="1134">
        <v>29.70646159549338</v>
      </c>
      <c r="AN22" s="54">
        <v>5.6041978762311224E-3</v>
      </c>
      <c r="AO22" s="1441"/>
    </row>
    <row r="23" spans="1:41" ht="18.75" customHeight="1">
      <c r="A23" s="862" t="s">
        <v>106</v>
      </c>
      <c r="B23" s="858">
        <f>'RRT - Subgrupo - IGEO'!EG22</f>
        <v>0</v>
      </c>
      <c r="C23" s="863">
        <f t="shared" si="0"/>
        <v>0</v>
      </c>
      <c r="D23" s="860">
        <f t="shared" si="1"/>
        <v>0</v>
      </c>
      <c r="E23" s="860">
        <f t="shared" si="2"/>
        <v>0</v>
      </c>
      <c r="F23" s="858">
        <f>'RRT - Subgrupo - IGEO'!EJ22</f>
        <v>1</v>
      </c>
      <c r="G23" s="863">
        <f t="shared" si="3"/>
        <v>0.6836090738529762</v>
      </c>
      <c r="H23" s="860">
        <f t="shared" si="4"/>
        <v>6.0383176436705641E-2</v>
      </c>
      <c r="I23" s="860">
        <f t="shared" si="5"/>
        <v>11.111111111111111</v>
      </c>
      <c r="J23" s="858">
        <f>'RRT - Subgrupo - IGEO'!EM22</f>
        <v>0</v>
      </c>
      <c r="K23" s="863">
        <f t="shared" si="6"/>
        <v>0</v>
      </c>
      <c r="L23" s="860">
        <f t="shared" si="7"/>
        <v>0</v>
      </c>
      <c r="M23" s="860">
        <f t="shared" si="8"/>
        <v>0</v>
      </c>
      <c r="N23" s="858">
        <f>'RRT - Subgrupo - IGEO'!EP22</f>
        <v>0</v>
      </c>
      <c r="O23" s="863">
        <f t="shared" si="9"/>
        <v>0</v>
      </c>
      <c r="P23" s="860">
        <f t="shared" si="10"/>
        <v>0</v>
      </c>
      <c r="Q23" s="860">
        <f t="shared" si="11"/>
        <v>0</v>
      </c>
      <c r="R23" s="858">
        <f>'RRT - Subgrupo - IGEO'!ES22</f>
        <v>0</v>
      </c>
      <c r="S23" s="863">
        <f t="shared" si="12"/>
        <v>0</v>
      </c>
      <c r="T23" s="860">
        <f t="shared" si="13"/>
        <v>0</v>
      </c>
      <c r="U23" s="860">
        <f t="shared" si="14"/>
        <v>0</v>
      </c>
      <c r="V23" s="858">
        <f>'RRT - Subgrupo - IGEO'!EV22</f>
        <v>0</v>
      </c>
      <c r="W23" s="863">
        <f t="shared" si="15"/>
        <v>0</v>
      </c>
      <c r="X23" s="860">
        <f t="shared" si="16"/>
        <v>0</v>
      </c>
      <c r="Y23" s="860">
        <f t="shared" si="17"/>
        <v>0</v>
      </c>
      <c r="Z23" s="858">
        <f>'RRT - Subgrupo - IGEO'!EY22</f>
        <v>2</v>
      </c>
      <c r="AA23" s="863">
        <f t="shared" si="18"/>
        <v>1.3672181477059524</v>
      </c>
      <c r="AB23" s="860">
        <f t="shared" si="19"/>
        <v>0.1700994509051548</v>
      </c>
      <c r="AC23" s="860">
        <f t="shared" si="20"/>
        <v>22.222222222222221</v>
      </c>
      <c r="AD23" s="858">
        <f>'RRT - Subgrupo - IGEO'!FB22</f>
        <v>6</v>
      </c>
      <c r="AE23" s="863">
        <f t="shared" si="21"/>
        <v>4.101654443117857</v>
      </c>
      <c r="AF23" s="860">
        <f t="shared" si="22"/>
        <v>0.17282757647197458</v>
      </c>
      <c r="AG23" s="860">
        <f t="shared" si="23"/>
        <v>66.666666666666657</v>
      </c>
      <c r="AH23" s="864">
        <f t="shared" si="24"/>
        <v>9</v>
      </c>
      <c r="AI23" s="859">
        <f>'RRT - Atividades '!R22</f>
        <v>6.1524816646767864</v>
      </c>
      <c r="AJ23" s="723">
        <f t="shared" si="25"/>
        <v>6.1524816646767855</v>
      </c>
      <c r="AK23" s="723">
        <f t="shared" si="26"/>
        <v>0</v>
      </c>
      <c r="AL23" s="1133" t="s">
        <v>1108</v>
      </c>
      <c r="AM23" s="1134">
        <v>97.977111959999561</v>
      </c>
      <c r="AN23" s="54">
        <v>1.8483625893996984E-2</v>
      </c>
      <c r="AO23" s="1441"/>
    </row>
    <row r="24" spans="1:41" ht="18.75" customHeight="1">
      <c r="A24" s="862" t="s">
        <v>108</v>
      </c>
      <c r="B24" s="858">
        <f>'RRT - Subgrupo - IGEO'!EG23</f>
        <v>4</v>
      </c>
      <c r="C24" s="863">
        <f t="shared" si="0"/>
        <v>2.1106689200239876</v>
      </c>
      <c r="D24" s="860">
        <f t="shared" si="1"/>
        <v>0.76225080979374238</v>
      </c>
      <c r="E24" s="860">
        <f t="shared" si="2"/>
        <v>10.810810810810812</v>
      </c>
      <c r="F24" s="858">
        <f>'RRT - Subgrupo - IGEO'!EJ23</f>
        <v>18</v>
      </c>
      <c r="G24" s="863">
        <f t="shared" si="3"/>
        <v>9.4980101401079438</v>
      </c>
      <c r="H24" s="860">
        <f t="shared" si="4"/>
        <v>0.838959054266597</v>
      </c>
      <c r="I24" s="860">
        <f t="shared" si="5"/>
        <v>48.648648648648653</v>
      </c>
      <c r="J24" s="858">
        <f>'RRT - Subgrupo - IGEO'!EM23</f>
        <v>1</v>
      </c>
      <c r="K24" s="863">
        <f t="shared" si="6"/>
        <v>0.52766723000599691</v>
      </c>
      <c r="L24" s="860">
        <f t="shared" si="7"/>
        <v>0.16355811609539964</v>
      </c>
      <c r="M24" s="860">
        <f t="shared" si="8"/>
        <v>2.7027027027027031</v>
      </c>
      <c r="N24" s="858">
        <f>'RRT - Subgrupo - IGEO'!EP23</f>
        <v>0</v>
      </c>
      <c r="O24" s="863">
        <f t="shared" si="9"/>
        <v>0</v>
      </c>
      <c r="P24" s="860">
        <f t="shared" si="10"/>
        <v>0</v>
      </c>
      <c r="Q24" s="860">
        <f t="shared" si="11"/>
        <v>0</v>
      </c>
      <c r="R24" s="858">
        <f>'RRT - Subgrupo - IGEO'!ES23</f>
        <v>0</v>
      </c>
      <c r="S24" s="863">
        <f t="shared" si="12"/>
        <v>0</v>
      </c>
      <c r="T24" s="860">
        <f t="shared" si="13"/>
        <v>0</v>
      </c>
      <c r="U24" s="860">
        <f t="shared" si="14"/>
        <v>0</v>
      </c>
      <c r="V24" s="858">
        <f>'RRT - Subgrupo - IGEO'!EV23</f>
        <v>1</v>
      </c>
      <c r="W24" s="863">
        <f t="shared" si="15"/>
        <v>0.52766723000599691</v>
      </c>
      <c r="X24" s="860">
        <f t="shared" si="16"/>
        <v>0.19957686970804978</v>
      </c>
      <c r="Y24" s="860">
        <f t="shared" si="17"/>
        <v>2.7027027027027031</v>
      </c>
      <c r="Z24" s="858">
        <f>'RRT - Subgrupo - IGEO'!EY23</f>
        <v>2</v>
      </c>
      <c r="AA24" s="863">
        <f t="shared" si="18"/>
        <v>1.0553344600119938</v>
      </c>
      <c r="AB24" s="860">
        <f t="shared" si="19"/>
        <v>0.1312971250934096</v>
      </c>
      <c r="AC24" s="860">
        <f t="shared" si="20"/>
        <v>5.4054054054054061</v>
      </c>
      <c r="AD24" s="858">
        <f>'RRT - Subgrupo - IGEO'!FB23</f>
        <v>11</v>
      </c>
      <c r="AE24" s="863">
        <f t="shared" si="21"/>
        <v>5.8043395300659659</v>
      </c>
      <c r="AF24" s="860">
        <f t="shared" si="22"/>
        <v>0.24457202524336502</v>
      </c>
      <c r="AG24" s="860">
        <f t="shared" si="23"/>
        <v>29.72972972972973</v>
      </c>
      <c r="AH24" s="864">
        <f t="shared" si="24"/>
        <v>37</v>
      </c>
      <c r="AI24" s="859">
        <f>'RRT - Atividades '!R23</f>
        <v>19.523687510221883</v>
      </c>
      <c r="AJ24" s="723">
        <f t="shared" si="25"/>
        <v>19.523687510221887</v>
      </c>
      <c r="AK24" s="723">
        <f t="shared" si="26"/>
        <v>0</v>
      </c>
      <c r="AL24" s="1133" t="s">
        <v>680</v>
      </c>
      <c r="AM24" s="1134">
        <v>264.39297839368498</v>
      </c>
      <c r="AN24" s="54">
        <v>4.9878393064123575E-2</v>
      </c>
      <c r="AO24" s="1441"/>
    </row>
    <row r="25" spans="1:41" ht="19.5" customHeight="1">
      <c r="A25" s="862" t="s">
        <v>109</v>
      </c>
      <c r="B25" s="858">
        <f>'RRT - Subgrupo - IGEO'!EG24</f>
        <v>1</v>
      </c>
      <c r="C25" s="863">
        <f t="shared" si="0"/>
        <v>0.49749373433583954</v>
      </c>
      <c r="D25" s="860">
        <f t="shared" si="1"/>
        <v>0.17966579138356614</v>
      </c>
      <c r="E25" s="860">
        <f t="shared" si="2"/>
        <v>5.5555555555555554</v>
      </c>
      <c r="F25" s="858">
        <f>'RRT - Subgrupo - IGEO'!EJ24</f>
        <v>2</v>
      </c>
      <c r="G25" s="863">
        <f t="shared" si="3"/>
        <v>0.99498746867167909</v>
      </c>
      <c r="H25" s="860">
        <f t="shared" si="4"/>
        <v>8.7887224103807948E-2</v>
      </c>
      <c r="I25" s="860">
        <f t="shared" si="5"/>
        <v>11.111111111111111</v>
      </c>
      <c r="J25" s="858">
        <f>'RRT - Subgrupo - IGEO'!EM24</f>
        <v>0</v>
      </c>
      <c r="K25" s="863">
        <f t="shared" si="6"/>
        <v>0</v>
      </c>
      <c r="L25" s="860">
        <f t="shared" si="7"/>
        <v>0</v>
      </c>
      <c r="M25" s="860">
        <f t="shared" si="8"/>
        <v>0</v>
      </c>
      <c r="N25" s="858">
        <f>'RRT - Subgrupo - IGEO'!EP24</f>
        <v>0</v>
      </c>
      <c r="O25" s="863">
        <f t="shared" si="9"/>
        <v>0</v>
      </c>
      <c r="P25" s="860">
        <f t="shared" si="10"/>
        <v>0</v>
      </c>
      <c r="Q25" s="860">
        <f t="shared" si="11"/>
        <v>0</v>
      </c>
      <c r="R25" s="858">
        <f>'RRT - Subgrupo - IGEO'!ES24</f>
        <v>0</v>
      </c>
      <c r="S25" s="863">
        <f t="shared" si="12"/>
        <v>0</v>
      </c>
      <c r="T25" s="860">
        <f t="shared" si="13"/>
        <v>0</v>
      </c>
      <c r="U25" s="860">
        <f t="shared" si="14"/>
        <v>0</v>
      </c>
      <c r="V25" s="858">
        <f>'RRT - Subgrupo - IGEO'!EV24</f>
        <v>0</v>
      </c>
      <c r="W25" s="863">
        <f t="shared" si="15"/>
        <v>0</v>
      </c>
      <c r="X25" s="860">
        <f t="shared" si="16"/>
        <v>0</v>
      </c>
      <c r="Y25" s="860">
        <f t="shared" si="17"/>
        <v>0</v>
      </c>
      <c r="Z25" s="858">
        <f>'RRT - Subgrupo - IGEO'!EY24</f>
        <v>13</v>
      </c>
      <c r="AA25" s="863">
        <f t="shared" si="18"/>
        <v>6.4674185463659137</v>
      </c>
      <c r="AB25" s="860">
        <f t="shared" si="19"/>
        <v>0.80462971132771699</v>
      </c>
      <c r="AC25" s="860">
        <f t="shared" si="20"/>
        <v>72.222222222222214</v>
      </c>
      <c r="AD25" s="858">
        <f>'RRT - Subgrupo - IGEO'!FB24</f>
        <v>2</v>
      </c>
      <c r="AE25" s="863">
        <f t="shared" si="21"/>
        <v>0.99498746867167909</v>
      </c>
      <c r="AF25" s="860">
        <f t="shared" si="22"/>
        <v>4.1924856229428077E-2</v>
      </c>
      <c r="AG25" s="860">
        <f t="shared" si="23"/>
        <v>11.111111111111111</v>
      </c>
      <c r="AH25" s="864">
        <f t="shared" si="24"/>
        <v>18</v>
      </c>
      <c r="AI25" s="859">
        <f>'RRT - Atividades '!R24</f>
        <v>8.954887218045112</v>
      </c>
      <c r="AJ25" s="723">
        <f t="shared" si="25"/>
        <v>8.954887218045112</v>
      </c>
      <c r="AK25" s="723">
        <f t="shared" si="26"/>
        <v>0</v>
      </c>
      <c r="AL25" s="1133" t="s">
        <v>681</v>
      </c>
      <c r="AM25" s="1134">
        <v>803.77575614179682</v>
      </c>
      <c r="AN25" s="54">
        <v>0.15163429582671267</v>
      </c>
      <c r="AO25" s="1441"/>
    </row>
    <row r="26" spans="1:41" ht="18.75">
      <c r="A26" s="862" t="s">
        <v>107</v>
      </c>
      <c r="B26" s="858">
        <f>'RRT - Subgrupo - IGEO'!EG25</f>
        <v>21</v>
      </c>
      <c r="C26" s="863">
        <f t="shared" si="0"/>
        <v>10.541605813933192</v>
      </c>
      <c r="D26" s="860">
        <f t="shared" si="1"/>
        <v>3.8070146823906788</v>
      </c>
      <c r="E26" s="860">
        <f t="shared" si="2"/>
        <v>4.1666666666666661</v>
      </c>
      <c r="F26" s="858">
        <f>'RRT - Subgrupo - IGEO'!EJ25</f>
        <v>182</v>
      </c>
      <c r="G26" s="863">
        <f t="shared" si="3"/>
        <v>91.360583720754335</v>
      </c>
      <c r="H26" s="860">
        <f t="shared" si="4"/>
        <v>8.0698786150945523</v>
      </c>
      <c r="I26" s="860">
        <f t="shared" si="5"/>
        <v>36.111111111111107</v>
      </c>
      <c r="J26" s="858">
        <f>'RRT - Subgrupo - IGEO'!EM25</f>
        <v>40</v>
      </c>
      <c r="K26" s="863">
        <f t="shared" si="6"/>
        <v>20.079249169396558</v>
      </c>
      <c r="L26" s="860">
        <f t="shared" si="7"/>
        <v>6.2238546947842392</v>
      </c>
      <c r="M26" s="860">
        <f t="shared" si="8"/>
        <v>7.9365079365079358</v>
      </c>
      <c r="N26" s="858">
        <f>'RRT - Subgrupo - IGEO'!EP25</f>
        <v>0</v>
      </c>
      <c r="O26" s="863">
        <f t="shared" si="9"/>
        <v>0</v>
      </c>
      <c r="P26" s="860">
        <f t="shared" si="10"/>
        <v>0</v>
      </c>
      <c r="Q26" s="860">
        <f t="shared" si="11"/>
        <v>0</v>
      </c>
      <c r="R26" s="858">
        <f>'RRT - Subgrupo - IGEO'!ES25</f>
        <v>8</v>
      </c>
      <c r="S26" s="863">
        <f t="shared" si="12"/>
        <v>4.0158498338793116</v>
      </c>
      <c r="T26" s="860">
        <f t="shared" si="13"/>
        <v>4.0987632249446539</v>
      </c>
      <c r="U26" s="860">
        <f t="shared" si="14"/>
        <v>1.5873015873015872</v>
      </c>
      <c r="V26" s="858">
        <f>'RRT - Subgrupo - IGEO'!EV25</f>
        <v>64</v>
      </c>
      <c r="W26" s="863">
        <f t="shared" si="15"/>
        <v>32.126798671034493</v>
      </c>
      <c r="X26" s="860">
        <f t="shared" si="16"/>
        <v>12.151154265223044</v>
      </c>
      <c r="Y26" s="860">
        <f t="shared" si="17"/>
        <v>12.698412698412698</v>
      </c>
      <c r="Z26" s="858">
        <f>'RRT - Subgrupo - IGEO'!EY25</f>
        <v>98</v>
      </c>
      <c r="AA26" s="863">
        <f t="shared" si="18"/>
        <v>49.194160465021568</v>
      </c>
      <c r="AB26" s="860">
        <f t="shared" si="19"/>
        <v>6.1203837126362712</v>
      </c>
      <c r="AC26" s="860">
        <f t="shared" si="20"/>
        <v>19.444444444444446</v>
      </c>
      <c r="AD26" s="858">
        <f>'RRT - Subgrupo - IGEO'!FB25</f>
        <v>91</v>
      </c>
      <c r="AE26" s="863">
        <f t="shared" si="21"/>
        <v>45.680291860377167</v>
      </c>
      <c r="AF26" s="860">
        <f t="shared" si="22"/>
        <v>1.924787727549335</v>
      </c>
      <c r="AG26" s="860">
        <f t="shared" si="23"/>
        <v>18.055555555555554</v>
      </c>
      <c r="AH26" s="864">
        <f t="shared" si="24"/>
        <v>504</v>
      </c>
      <c r="AI26" s="859">
        <f>'RRT - Atividades '!R25</f>
        <v>252.99853953439663</v>
      </c>
      <c r="AJ26" s="723">
        <f t="shared" si="25"/>
        <v>252.99853953439663</v>
      </c>
      <c r="AK26" s="723">
        <f t="shared" si="26"/>
        <v>0</v>
      </c>
      <c r="AL26" s="1133" t="s">
        <v>682</v>
      </c>
      <c r="AM26" s="1134">
        <v>2373.2638777023953</v>
      </c>
      <c r="AN26" s="54">
        <v>0.44772213413574358</v>
      </c>
      <c r="AO26" s="1441"/>
    </row>
    <row r="27" spans="1:41" ht="19.5" thickBot="1">
      <c r="A27" s="862" t="s">
        <v>110</v>
      </c>
      <c r="B27" s="858">
        <f>'RRT - Subgrupo - IGEO'!EG26</f>
        <v>36</v>
      </c>
      <c r="C27" s="863">
        <f t="shared" si="0"/>
        <v>17.754413212096036</v>
      </c>
      <c r="D27" s="860">
        <f t="shared" si="1"/>
        <v>6.4118610550152599</v>
      </c>
      <c r="E27" s="860">
        <f t="shared" si="2"/>
        <v>2.4439918533604885</v>
      </c>
      <c r="F27" s="858">
        <f>'RRT - Subgrupo - IGEO'!EJ26</f>
        <v>335</v>
      </c>
      <c r="G27" s="863">
        <f t="shared" si="3"/>
        <v>165.21467850144921</v>
      </c>
      <c r="H27" s="860">
        <f t="shared" si="4"/>
        <v>14.593409396482329</v>
      </c>
      <c r="I27" s="860">
        <f t="shared" si="5"/>
        <v>22.742701968771215</v>
      </c>
      <c r="J27" s="858">
        <f>'RRT - Subgrupo - IGEO'!EM26</f>
        <v>247</v>
      </c>
      <c r="K27" s="863">
        <f t="shared" si="6"/>
        <v>121.81500176077003</v>
      </c>
      <c r="L27" s="860">
        <f t="shared" si="7"/>
        <v>37.758327724696692</v>
      </c>
      <c r="M27" s="860">
        <f t="shared" si="8"/>
        <v>16.768499660556689</v>
      </c>
      <c r="N27" s="858">
        <f>'RRT - Subgrupo - IGEO'!EP26</f>
        <v>1</v>
      </c>
      <c r="O27" s="863">
        <f t="shared" si="9"/>
        <v>0.49317814478044542</v>
      </c>
      <c r="P27" s="860">
        <f t="shared" si="10"/>
        <v>1.6601712835946205</v>
      </c>
      <c r="Q27" s="860">
        <f t="shared" si="11"/>
        <v>6.7888662593346902E-2</v>
      </c>
      <c r="R27" s="858">
        <f>'RRT - Subgrupo - IGEO'!ES26</f>
        <v>5</v>
      </c>
      <c r="S27" s="863">
        <f t="shared" si="12"/>
        <v>2.4658907239022274</v>
      </c>
      <c r="T27" s="860">
        <f t="shared" si="13"/>
        <v>2.5168028272857845</v>
      </c>
      <c r="U27" s="860">
        <f t="shared" si="14"/>
        <v>0.33944331296673458</v>
      </c>
      <c r="V27" s="858">
        <f>'RRT - Subgrupo - IGEO'!EV26</f>
        <v>254</v>
      </c>
      <c r="W27" s="863">
        <f t="shared" si="15"/>
        <v>125.26724877423315</v>
      </c>
      <c r="X27" s="860">
        <f t="shared" si="16"/>
        <v>47.379188938863727</v>
      </c>
      <c r="Y27" s="860">
        <f t="shared" si="17"/>
        <v>17.243720298710116</v>
      </c>
      <c r="Z27" s="858">
        <f>'RRT - Subgrupo - IGEO'!EY26</f>
        <v>322</v>
      </c>
      <c r="AA27" s="863">
        <f t="shared" si="18"/>
        <v>158.80336261930344</v>
      </c>
      <c r="AB27" s="860">
        <f t="shared" si="19"/>
        <v>19.757172495669103</v>
      </c>
      <c r="AC27" s="860">
        <f t="shared" si="20"/>
        <v>21.860149355057708</v>
      </c>
      <c r="AD27" s="858">
        <f>'RRT - Subgrupo - IGEO'!FB26</f>
        <v>273</v>
      </c>
      <c r="AE27" s="863">
        <f t="shared" si="21"/>
        <v>134.6376335250616</v>
      </c>
      <c r="AF27" s="860">
        <f t="shared" si="22"/>
        <v>5.6731000201885271</v>
      </c>
      <c r="AG27" s="860">
        <f t="shared" si="23"/>
        <v>18.533604887983707</v>
      </c>
      <c r="AH27" s="864">
        <f t="shared" si="24"/>
        <v>1473</v>
      </c>
      <c r="AI27" s="859">
        <f>'RRT - Atividades '!R26</f>
        <v>726.45140726159616</v>
      </c>
      <c r="AJ27" s="723">
        <f t="shared" si="25"/>
        <v>726.45140726159616</v>
      </c>
      <c r="AK27" s="723">
        <f t="shared" si="26"/>
        <v>0</v>
      </c>
      <c r="AL27" s="1135" t="s">
        <v>128</v>
      </c>
      <c r="AM27" s="1136">
        <f>SUM(AM19:AM26)</f>
        <v>5300.7517313916233</v>
      </c>
      <c r="AN27" s="1137">
        <f>SUM(AN19:AN26)</f>
        <v>0.99999999999999978</v>
      </c>
      <c r="AO27" s="1442"/>
    </row>
    <row r="28" spans="1:41" ht="18.75">
      <c r="A28" s="862" t="s">
        <v>112</v>
      </c>
      <c r="B28" s="858">
        <f>'RRT - Subgrupo - IGEO'!EG27</f>
        <v>0</v>
      </c>
      <c r="C28" s="863">
        <f t="shared" si="0"/>
        <v>0</v>
      </c>
      <c r="D28" s="860">
        <f t="shared" si="1"/>
        <v>0</v>
      </c>
      <c r="E28" s="860">
        <f t="shared" si="2"/>
        <v>0</v>
      </c>
      <c r="F28" s="858">
        <f>'RRT - Subgrupo - IGEO'!EJ27</f>
        <v>9</v>
      </c>
      <c r="G28" s="863">
        <f t="shared" si="3"/>
        <v>6.03961371698857</v>
      </c>
      <c r="H28" s="860">
        <f t="shared" si="4"/>
        <v>0.53347896426679453</v>
      </c>
      <c r="I28" s="860">
        <f t="shared" si="5"/>
        <v>64.285714285714292</v>
      </c>
      <c r="J28" s="858">
        <f>'RRT - Subgrupo - IGEO'!EM27</f>
        <v>2</v>
      </c>
      <c r="K28" s="863">
        <f t="shared" si="6"/>
        <v>1.3421363815530154</v>
      </c>
      <c r="L28" s="860">
        <f t="shared" si="7"/>
        <v>0.41601465019423867</v>
      </c>
      <c r="M28" s="860">
        <f t="shared" si="8"/>
        <v>14.285714285714285</v>
      </c>
      <c r="N28" s="858">
        <f>'RRT - Subgrupo - IGEO'!EP27</f>
        <v>0</v>
      </c>
      <c r="O28" s="863">
        <f t="shared" si="9"/>
        <v>0</v>
      </c>
      <c r="P28" s="860">
        <f t="shared" si="10"/>
        <v>0</v>
      </c>
      <c r="Q28" s="860">
        <f t="shared" si="11"/>
        <v>0</v>
      </c>
      <c r="R28" s="858">
        <f>'RRT - Subgrupo - IGEO'!ES27</f>
        <v>0</v>
      </c>
      <c r="S28" s="863">
        <f t="shared" si="12"/>
        <v>0</v>
      </c>
      <c r="T28" s="860">
        <f t="shared" si="13"/>
        <v>0</v>
      </c>
      <c r="U28" s="860">
        <f t="shared" si="14"/>
        <v>0</v>
      </c>
      <c r="V28" s="858">
        <f>'RRT - Subgrupo - IGEO'!EV27</f>
        <v>0</v>
      </c>
      <c r="W28" s="863">
        <f t="shared" si="15"/>
        <v>0</v>
      </c>
      <c r="X28" s="860">
        <f t="shared" si="16"/>
        <v>0</v>
      </c>
      <c r="Y28" s="860">
        <f t="shared" si="17"/>
        <v>0</v>
      </c>
      <c r="Z28" s="858">
        <f>'RRT - Subgrupo - IGEO'!EY27</f>
        <v>0</v>
      </c>
      <c r="AA28" s="863">
        <f t="shared" si="18"/>
        <v>0</v>
      </c>
      <c r="AB28" s="860">
        <f t="shared" si="19"/>
        <v>0</v>
      </c>
      <c r="AC28" s="860">
        <f t="shared" si="20"/>
        <v>0</v>
      </c>
      <c r="AD28" s="858">
        <f>'RRT - Subgrupo - IGEO'!FB27</f>
        <v>3</v>
      </c>
      <c r="AE28" s="863">
        <f t="shared" si="21"/>
        <v>2.0132045723295229</v>
      </c>
      <c r="AF28" s="860">
        <f t="shared" si="22"/>
        <v>8.4828517858643981E-2</v>
      </c>
      <c r="AG28" s="860">
        <f t="shared" si="23"/>
        <v>21.428571428571423</v>
      </c>
      <c r="AH28" s="864">
        <f t="shared" si="24"/>
        <v>14</v>
      </c>
      <c r="AI28" s="859">
        <f>'RRT - Atividades '!R27</f>
        <v>9.3949546708711082</v>
      </c>
      <c r="AJ28" s="723">
        <f t="shared" si="25"/>
        <v>9.3949546708711082</v>
      </c>
      <c r="AK28" s="723">
        <f t="shared" si="26"/>
        <v>0</v>
      </c>
    </row>
    <row r="29" spans="1:41" ht="18.75">
      <c r="A29" s="862" t="s">
        <v>111</v>
      </c>
      <c r="B29" s="858">
        <f>'RRT - Subgrupo - IGEO'!EG28</f>
        <v>93</v>
      </c>
      <c r="C29" s="863">
        <f t="shared" si="0"/>
        <v>82.850270013702186</v>
      </c>
      <c r="D29" s="860">
        <f t="shared" si="1"/>
        <v>29.920697088227833</v>
      </c>
      <c r="E29" s="860">
        <f t="shared" si="2"/>
        <v>3.627145085803432</v>
      </c>
      <c r="F29" s="858">
        <f>'RRT - Subgrupo - IGEO'!EJ28</f>
        <v>386</v>
      </c>
      <c r="G29" s="863">
        <f t="shared" si="3"/>
        <v>343.87316371278541</v>
      </c>
      <c r="H29" s="860">
        <f t="shared" si="4"/>
        <v>30.374309982876312</v>
      </c>
      <c r="I29" s="860">
        <f t="shared" si="5"/>
        <v>15.054602184087361</v>
      </c>
      <c r="J29" s="858">
        <f>'RRT - Subgrupo - IGEO'!EM28</f>
        <v>97</v>
      </c>
      <c r="K29" s="863">
        <f t="shared" si="6"/>
        <v>86.413722487409814</v>
      </c>
      <c r="L29" s="860">
        <f t="shared" si="7"/>
        <v>26.785187427066091</v>
      </c>
      <c r="M29" s="860">
        <f t="shared" si="8"/>
        <v>3.7831513260530421</v>
      </c>
      <c r="N29" s="858">
        <f>'RRT - Subgrupo - IGEO'!EP28</f>
        <v>9</v>
      </c>
      <c r="O29" s="863">
        <f t="shared" si="9"/>
        <v>8.017768065842148</v>
      </c>
      <c r="P29" s="860">
        <f t="shared" si="10"/>
        <v>26.989980075777463</v>
      </c>
      <c r="Q29" s="860">
        <f t="shared" si="11"/>
        <v>0.3510140405616225</v>
      </c>
      <c r="R29" s="858">
        <f>'RRT - Subgrupo - IGEO'!ES28</f>
        <v>58</v>
      </c>
      <c r="S29" s="863">
        <f t="shared" si="12"/>
        <v>51.670060868760508</v>
      </c>
      <c r="T29" s="860">
        <f t="shared" si="13"/>
        <v>52.736868677916824</v>
      </c>
      <c r="U29" s="860">
        <f t="shared" si="14"/>
        <v>2.2620904836193447</v>
      </c>
      <c r="V29" s="858">
        <f>'RRT - Subgrupo - IGEO'!EV28</f>
        <v>37</v>
      </c>
      <c r="W29" s="863">
        <f t="shared" si="15"/>
        <v>32.961935381795499</v>
      </c>
      <c r="X29" s="860">
        <f t="shared" si="16"/>
        <v>12.467023739456007</v>
      </c>
      <c r="Y29" s="860">
        <f t="shared" si="17"/>
        <v>1.4430577223088925</v>
      </c>
      <c r="Z29" s="858">
        <f>'RRT - Subgrupo - IGEO'!EY28</f>
        <v>195</v>
      </c>
      <c r="AA29" s="863">
        <f t="shared" si="18"/>
        <v>173.71830809324652</v>
      </c>
      <c r="AB29" s="860">
        <f t="shared" si="19"/>
        <v>21.612782765072637</v>
      </c>
      <c r="AC29" s="860">
        <f t="shared" si="20"/>
        <v>7.6053042121684875</v>
      </c>
      <c r="AD29" s="858">
        <f>'RRT - Subgrupo - IGEO'!FB28</f>
        <v>1689</v>
      </c>
      <c r="AE29" s="863">
        <f t="shared" si="21"/>
        <v>1504.667807023043</v>
      </c>
      <c r="AF29" s="860">
        <f t="shared" si="22"/>
        <v>63.400779877867699</v>
      </c>
      <c r="AG29" s="860">
        <f t="shared" si="23"/>
        <v>65.873634945397825</v>
      </c>
      <c r="AH29" s="864">
        <f t="shared" si="24"/>
        <v>2564</v>
      </c>
      <c r="AI29" s="859">
        <f>'RRT - Atividades '!R28</f>
        <v>2284.173035646585</v>
      </c>
      <c r="AJ29" s="723">
        <f t="shared" si="25"/>
        <v>2284.173035646585</v>
      </c>
      <c r="AK29" s="723">
        <f t="shared" si="26"/>
        <v>0</v>
      </c>
    </row>
    <row r="30" spans="1:41" ht="18.75">
      <c r="A30" s="862" t="s">
        <v>113</v>
      </c>
      <c r="B30" s="858">
        <f>'RRT - Subgrupo - IGEO'!EG29</f>
        <v>0</v>
      </c>
      <c r="C30" s="863">
        <f t="shared" si="0"/>
        <v>0</v>
      </c>
      <c r="D30" s="860">
        <f t="shared" si="1"/>
        <v>0</v>
      </c>
      <c r="E30" s="860">
        <f t="shared" si="2"/>
        <v>0</v>
      </c>
      <c r="F30" s="858">
        <f>'RRT - Subgrupo - IGEO'!EJ29</f>
        <v>2</v>
      </c>
      <c r="G30" s="863">
        <f t="shared" si="3"/>
        <v>1.0384440400363968</v>
      </c>
      <c r="H30" s="860">
        <f t="shared" si="4"/>
        <v>9.1725742222446019E-2</v>
      </c>
      <c r="I30" s="860">
        <f t="shared" si="5"/>
        <v>18.181818181818183</v>
      </c>
      <c r="J30" s="858">
        <f>'RRT - Subgrupo - IGEO'!EM29</f>
        <v>1</v>
      </c>
      <c r="K30" s="863">
        <f t="shared" si="6"/>
        <v>0.51922202001819839</v>
      </c>
      <c r="L30" s="860">
        <f t="shared" si="7"/>
        <v>0.16094040069241985</v>
      </c>
      <c r="M30" s="860">
        <f t="shared" si="8"/>
        <v>9.0909090909090917</v>
      </c>
      <c r="N30" s="858">
        <f>'RRT - Subgrupo - IGEO'!EP29</f>
        <v>0</v>
      </c>
      <c r="O30" s="863">
        <f t="shared" si="9"/>
        <v>0</v>
      </c>
      <c r="P30" s="860">
        <f t="shared" si="10"/>
        <v>0</v>
      </c>
      <c r="Q30" s="860">
        <f t="shared" si="11"/>
        <v>0</v>
      </c>
      <c r="R30" s="858">
        <f>'RRT - Subgrupo - IGEO'!ES29</f>
        <v>0</v>
      </c>
      <c r="S30" s="863">
        <f t="shared" si="12"/>
        <v>0</v>
      </c>
      <c r="T30" s="860">
        <f t="shared" si="13"/>
        <v>0</v>
      </c>
      <c r="U30" s="860">
        <f t="shared" si="14"/>
        <v>0</v>
      </c>
      <c r="V30" s="858">
        <f>'RRT - Subgrupo - IGEO'!EV29</f>
        <v>0</v>
      </c>
      <c r="W30" s="863">
        <f t="shared" si="15"/>
        <v>0</v>
      </c>
      <c r="X30" s="860">
        <f t="shared" si="16"/>
        <v>0</v>
      </c>
      <c r="Y30" s="860">
        <f t="shared" si="17"/>
        <v>0</v>
      </c>
      <c r="Z30" s="858">
        <f>'RRT - Subgrupo - IGEO'!EY29</f>
        <v>1</v>
      </c>
      <c r="AA30" s="863">
        <f t="shared" si="18"/>
        <v>0.51922202001819839</v>
      </c>
      <c r="AB30" s="860">
        <f t="shared" si="19"/>
        <v>6.4597870245616196E-2</v>
      </c>
      <c r="AC30" s="860">
        <f t="shared" si="20"/>
        <v>9.0909090909090917</v>
      </c>
      <c r="AD30" s="858">
        <f>'RRT - Subgrupo - IGEO'!FB29</f>
        <v>7</v>
      </c>
      <c r="AE30" s="863">
        <f t="shared" si="21"/>
        <v>3.6345541401273889</v>
      </c>
      <c r="AF30" s="860">
        <f t="shared" si="22"/>
        <v>0.15314580794302882</v>
      </c>
      <c r="AG30" s="860">
        <f t="shared" si="23"/>
        <v>63.636363636363633</v>
      </c>
      <c r="AH30" s="864">
        <f t="shared" si="24"/>
        <v>11</v>
      </c>
      <c r="AI30" s="859">
        <f>'RRT - Atividades '!R29</f>
        <v>5.7114422202001824</v>
      </c>
      <c r="AJ30" s="723">
        <f t="shared" si="25"/>
        <v>5.7114422202001824</v>
      </c>
      <c r="AK30" s="723">
        <f t="shared" si="26"/>
        <v>0</v>
      </c>
    </row>
    <row r="31" spans="1:41" ht="16.5" customHeight="1">
      <c r="A31" s="871" t="s">
        <v>128</v>
      </c>
      <c r="B31" s="872">
        <f t="shared" ref="B31:AF31" si="28">SUM(B4:B30)</f>
        <v>394</v>
      </c>
      <c r="C31" s="872">
        <f t="shared" si="28"/>
        <v>276.89953134915186</v>
      </c>
      <c r="D31" s="873">
        <f t="shared" si="28"/>
        <v>100</v>
      </c>
      <c r="E31" s="873">
        <f t="shared" si="2"/>
        <v>5.2237785389819908</v>
      </c>
      <c r="F31" s="872">
        <f t="shared" si="28"/>
        <v>1678</v>
      </c>
      <c r="G31" s="872">
        <f t="shared" si="28"/>
        <v>1132.1184379386589</v>
      </c>
      <c r="H31" s="873">
        <f t="shared" si="28"/>
        <v>100.00000000000001</v>
      </c>
      <c r="I31" s="873">
        <f t="shared" si="5"/>
        <v>21.35769595157856</v>
      </c>
      <c r="J31" s="872">
        <f t="shared" si="28"/>
        <v>515</v>
      </c>
      <c r="K31" s="872">
        <f t="shared" si="28"/>
        <v>322.61757631044179</v>
      </c>
      <c r="L31" s="873">
        <f t="shared" si="28"/>
        <v>100</v>
      </c>
      <c r="M31" s="873">
        <f t="shared" si="8"/>
        <v>6.0862608297586505</v>
      </c>
      <c r="N31" s="872">
        <f t="shared" si="28"/>
        <v>38</v>
      </c>
      <c r="O31" s="872">
        <f t="shared" si="28"/>
        <v>29.70646159549338</v>
      </c>
      <c r="P31" s="873">
        <f t="shared" si="28"/>
        <v>99.999999999999986</v>
      </c>
      <c r="Q31" s="873">
        <f t="shared" si="11"/>
        <v>0.56041978762311229</v>
      </c>
      <c r="R31" s="872">
        <f t="shared" si="28"/>
        <v>126</v>
      </c>
      <c r="S31" s="872">
        <f t="shared" si="28"/>
        <v>97.977111959999561</v>
      </c>
      <c r="T31" s="873">
        <f t="shared" si="28"/>
        <v>100</v>
      </c>
      <c r="U31" s="873">
        <f t="shared" si="14"/>
        <v>1.8483625893996987</v>
      </c>
      <c r="V31" s="872">
        <f>SUM(V4:V30)</f>
        <v>462</v>
      </c>
      <c r="W31" s="872">
        <f t="shared" si="28"/>
        <v>264.39297839368498</v>
      </c>
      <c r="X31" s="873">
        <f t="shared" si="28"/>
        <v>100</v>
      </c>
      <c r="Y31" s="873">
        <f t="shared" si="17"/>
        <v>4.9878393064123587</v>
      </c>
      <c r="Z31" s="872">
        <f t="shared" si="28"/>
        <v>1213</v>
      </c>
      <c r="AA31" s="872">
        <f t="shared" si="28"/>
        <v>803.77575614179682</v>
      </c>
      <c r="AB31" s="873">
        <f t="shared" si="28"/>
        <v>100</v>
      </c>
      <c r="AC31" s="873">
        <f t="shared" si="20"/>
        <v>15.16342958267127</v>
      </c>
      <c r="AD31" s="872">
        <f t="shared" si="28"/>
        <v>3037</v>
      </c>
      <c r="AE31" s="872">
        <f t="shared" si="28"/>
        <v>2373.2638777023953</v>
      </c>
      <c r="AF31" s="873">
        <f t="shared" si="28"/>
        <v>100.00000000000001</v>
      </c>
      <c r="AG31" s="873">
        <f t="shared" si="23"/>
        <v>44.772213413574363</v>
      </c>
      <c r="AH31" s="872">
        <f t="shared" si="24"/>
        <v>7463</v>
      </c>
      <c r="AI31" s="872">
        <f>SUM(AI4:AI30)</f>
        <v>5300.7517313916223</v>
      </c>
      <c r="AJ31" s="723">
        <f t="shared" si="25"/>
        <v>5300.7517313916233</v>
      </c>
      <c r="AK31" s="723">
        <f t="shared" si="26"/>
        <v>0</v>
      </c>
    </row>
    <row r="32" spans="1:41" s="874" customFormat="1">
      <c r="B32" s="874">
        <f>'RRT - Subgrupo - IGEO'!EG30</f>
        <v>394</v>
      </c>
      <c r="F32" s="874">
        <f>'RRT - Subgrupo - IGEO'!EJ30</f>
        <v>1678</v>
      </c>
      <c r="J32" s="874">
        <f>'RRT - Subgrupo - IGEO'!EM30</f>
        <v>515</v>
      </c>
      <c r="N32" s="874">
        <f>'RRT - Subgrupo - IGEO'!EP30</f>
        <v>38</v>
      </c>
      <c r="R32" s="874">
        <f>'RRT - Subgrupo - IGEO'!ES30</f>
        <v>126</v>
      </c>
      <c r="V32" s="874">
        <f>'RRT - Subgrupo - IGEO'!EV30</f>
        <v>462</v>
      </c>
      <c r="Z32" s="874">
        <f>'RRT - Subgrupo - IGEO'!EY30</f>
        <v>1213</v>
      </c>
      <c r="AD32" s="874">
        <f>'RRT - Subgrupo - IGEO'!FB30</f>
        <v>3037</v>
      </c>
      <c r="AH32" s="874">
        <f>B32+F32+J32+N32+R32+V32+Z32+AD32</f>
        <v>7463</v>
      </c>
      <c r="AI32" s="874">
        <f>'RRT - Atividades '!R30</f>
        <v>5300.7517313916223</v>
      </c>
      <c r="AJ32" s="875"/>
      <c r="AK32" s="875"/>
    </row>
    <row r="33" spans="1:35" hidden="1">
      <c r="B33" s="816">
        <f>B31-B32</f>
        <v>0</v>
      </c>
      <c r="F33" s="816">
        <f>F31-F32</f>
        <v>0</v>
      </c>
      <c r="J33" s="816">
        <f>J31-J32</f>
        <v>0</v>
      </c>
      <c r="N33" s="816">
        <f>N31-N32</f>
        <v>0</v>
      </c>
      <c r="R33" s="816">
        <f>R31-R32</f>
        <v>0</v>
      </c>
      <c r="V33" s="816">
        <f>V31-V32</f>
        <v>0</v>
      </c>
      <c r="Z33" s="816">
        <f>Z31-Z32</f>
        <v>0</v>
      </c>
      <c r="AD33" s="816">
        <f>AD31-AD32</f>
        <v>0</v>
      </c>
      <c r="AH33" s="816">
        <f t="shared" ref="AH33:AI33" si="29">AH31-AH32</f>
        <v>0</v>
      </c>
      <c r="AI33" s="816">
        <f t="shared" si="29"/>
        <v>0</v>
      </c>
    </row>
    <row r="34" spans="1:35" ht="15" hidden="1" customHeight="1"/>
    <row r="35" spans="1:35" ht="15" hidden="1" customHeight="1">
      <c r="A35" s="274" t="s">
        <v>87</v>
      </c>
      <c r="B35" s="756">
        <f>IFERROR(B4/$AH4,)</f>
        <v>5.2631578947368418E-2</v>
      </c>
      <c r="E35" s="274" t="s">
        <v>87</v>
      </c>
      <c r="F35" s="756">
        <f>IFERROR(F4/$AH4,)</f>
        <v>0.42105263157894735</v>
      </c>
      <c r="I35" s="274" t="s">
        <v>87</v>
      </c>
      <c r="J35" s="756">
        <f>IFERROR(J4/$AH4,)</f>
        <v>0</v>
      </c>
      <c r="M35" s="274" t="s">
        <v>87</v>
      </c>
      <c r="N35" s="756">
        <f>IFERROR(N4/$AH4,)</f>
        <v>0</v>
      </c>
      <c r="Q35" s="274" t="s">
        <v>87</v>
      </c>
      <c r="R35" s="756">
        <f>IFERROR(R4/$AH4,)</f>
        <v>0</v>
      </c>
      <c r="U35" s="274" t="s">
        <v>87</v>
      </c>
      <c r="V35" s="756">
        <f>IFERROR(V4/$AH4,)</f>
        <v>0</v>
      </c>
      <c r="Y35" s="274" t="s">
        <v>87</v>
      </c>
      <c r="Z35" s="756">
        <f>IFERROR(Z4/$AH4,)</f>
        <v>0.42105263157894735</v>
      </c>
      <c r="AC35" s="274" t="s">
        <v>87</v>
      </c>
      <c r="AD35" s="756">
        <f>IFERROR(AD4/$AH4,)</f>
        <v>0.10526315789473684</v>
      </c>
      <c r="AG35" s="274" t="s">
        <v>87</v>
      </c>
      <c r="AH35" s="756">
        <f>IFERROR(AH4/$AH4,)</f>
        <v>1</v>
      </c>
    </row>
    <row r="36" spans="1:35" ht="15" hidden="1" customHeight="1">
      <c r="A36" s="758" t="s">
        <v>88</v>
      </c>
      <c r="B36" s="756">
        <f t="shared" ref="B36:B61" si="30">IFERROR(B5/$AH5,)</f>
        <v>0.10526315789473684</v>
      </c>
      <c r="E36" s="758" t="s">
        <v>88</v>
      </c>
      <c r="F36" s="756">
        <f t="shared" ref="F36:F61" si="31">IFERROR(F5/$AH5,)</f>
        <v>0.52631578947368418</v>
      </c>
      <c r="I36" s="758" t="s">
        <v>88</v>
      </c>
      <c r="J36" s="756">
        <f t="shared" ref="J36:J61" si="32">IFERROR(J5/$AH5,)</f>
        <v>2.6315789473684209E-2</v>
      </c>
      <c r="M36" s="758" t="s">
        <v>88</v>
      </c>
      <c r="N36" s="756">
        <f t="shared" ref="N36:N61" si="33">IFERROR(N5/$AH5,)</f>
        <v>0</v>
      </c>
      <c r="Q36" s="758" t="s">
        <v>88</v>
      </c>
      <c r="R36" s="756">
        <f t="shared" ref="R36:R61" si="34">IFERROR(R5/$AH5,)</f>
        <v>0</v>
      </c>
      <c r="U36" s="758" t="s">
        <v>88</v>
      </c>
      <c r="V36" s="756">
        <f t="shared" ref="V36:V61" si="35">IFERROR(V5/$AH5,)</f>
        <v>5.2631578947368418E-2</v>
      </c>
      <c r="Y36" s="758" t="s">
        <v>88</v>
      </c>
      <c r="Z36" s="756">
        <f t="shared" ref="Z36:Z61" si="36">IFERROR(Z5/$AH5,)</f>
        <v>7.8947368421052627E-2</v>
      </c>
      <c r="AC36" s="758" t="s">
        <v>88</v>
      </c>
      <c r="AD36" s="756">
        <f t="shared" ref="AD36:AD61" si="37">IFERROR(AD5/$AH5,)</f>
        <v>0.21052631578947367</v>
      </c>
      <c r="AG36" s="758" t="s">
        <v>88</v>
      </c>
      <c r="AH36" s="756">
        <f t="shared" ref="AH36:AH61" si="38">IFERROR(AH5/$AH5,)</f>
        <v>1</v>
      </c>
    </row>
    <row r="37" spans="1:35" ht="15" hidden="1" customHeight="1">
      <c r="A37" s="758" t="s">
        <v>90</v>
      </c>
      <c r="B37" s="756">
        <f t="shared" si="30"/>
        <v>6.25E-2</v>
      </c>
      <c r="E37" s="758" t="s">
        <v>90</v>
      </c>
      <c r="F37" s="756">
        <f t="shared" si="31"/>
        <v>0.48214285714285715</v>
      </c>
      <c r="I37" s="758" t="s">
        <v>90</v>
      </c>
      <c r="J37" s="756">
        <f t="shared" si="32"/>
        <v>0.14285714285714285</v>
      </c>
      <c r="M37" s="758" t="s">
        <v>90</v>
      </c>
      <c r="N37" s="756">
        <f t="shared" si="33"/>
        <v>8.9285714285714281E-3</v>
      </c>
      <c r="Q37" s="758" t="s">
        <v>90</v>
      </c>
      <c r="R37" s="756">
        <f t="shared" si="34"/>
        <v>8.9285714285714281E-3</v>
      </c>
      <c r="U37" s="758" t="s">
        <v>90</v>
      </c>
      <c r="V37" s="756">
        <f t="shared" si="35"/>
        <v>2.6785714285714284E-2</v>
      </c>
      <c r="Y37" s="758" t="s">
        <v>90</v>
      </c>
      <c r="Z37" s="756">
        <f t="shared" si="36"/>
        <v>3.5714285714285712E-2</v>
      </c>
      <c r="AC37" s="758" t="s">
        <v>90</v>
      </c>
      <c r="AD37" s="756">
        <f t="shared" si="37"/>
        <v>0.23214285714285715</v>
      </c>
      <c r="AG37" s="758" t="s">
        <v>90</v>
      </c>
      <c r="AH37" s="756">
        <f t="shared" si="38"/>
        <v>1</v>
      </c>
    </row>
    <row r="38" spans="1:35" ht="15" hidden="1" customHeight="1">
      <c r="A38" s="758" t="s">
        <v>89</v>
      </c>
      <c r="B38" s="756">
        <f t="shared" si="30"/>
        <v>0.10526315789473684</v>
      </c>
      <c r="E38" s="758" t="s">
        <v>89</v>
      </c>
      <c r="F38" s="756">
        <f t="shared" si="31"/>
        <v>0.26315789473684209</v>
      </c>
      <c r="I38" s="758" t="s">
        <v>89</v>
      </c>
      <c r="J38" s="756">
        <f t="shared" si="32"/>
        <v>0</v>
      </c>
      <c r="M38" s="758" t="s">
        <v>89</v>
      </c>
      <c r="N38" s="756">
        <f t="shared" si="33"/>
        <v>0</v>
      </c>
      <c r="Q38" s="758" t="s">
        <v>89</v>
      </c>
      <c r="R38" s="756">
        <f t="shared" si="34"/>
        <v>0</v>
      </c>
      <c r="U38" s="758" t="s">
        <v>89</v>
      </c>
      <c r="V38" s="756">
        <f t="shared" si="35"/>
        <v>5.2631578947368418E-2</v>
      </c>
      <c r="Y38" s="758" t="s">
        <v>89</v>
      </c>
      <c r="Z38" s="756">
        <f t="shared" si="36"/>
        <v>0.36842105263157893</v>
      </c>
      <c r="AC38" s="758" t="s">
        <v>89</v>
      </c>
      <c r="AD38" s="756">
        <f t="shared" si="37"/>
        <v>0.21052631578947367</v>
      </c>
      <c r="AG38" s="758" t="s">
        <v>89</v>
      </c>
      <c r="AH38" s="756">
        <f t="shared" si="38"/>
        <v>1</v>
      </c>
    </row>
    <row r="39" spans="1:35" ht="15" hidden="1" customHeight="1">
      <c r="A39" s="758" t="s">
        <v>91</v>
      </c>
      <c r="B39" s="756">
        <f t="shared" si="30"/>
        <v>0.11398963730569948</v>
      </c>
      <c r="E39" s="758" t="s">
        <v>91</v>
      </c>
      <c r="F39" s="756">
        <f t="shared" si="31"/>
        <v>0.45595854922279794</v>
      </c>
      <c r="I39" s="758" t="s">
        <v>91</v>
      </c>
      <c r="J39" s="756">
        <f t="shared" si="32"/>
        <v>4.6632124352331605E-2</v>
      </c>
      <c r="M39" s="758" t="s">
        <v>91</v>
      </c>
      <c r="N39" s="756">
        <f t="shared" si="33"/>
        <v>5.1813471502590676E-3</v>
      </c>
      <c r="Q39" s="758" t="s">
        <v>91</v>
      </c>
      <c r="R39" s="756">
        <f t="shared" si="34"/>
        <v>1.5544041450777202E-2</v>
      </c>
      <c r="U39" s="758" t="s">
        <v>91</v>
      </c>
      <c r="V39" s="756">
        <f t="shared" si="35"/>
        <v>3.1088082901554404E-2</v>
      </c>
      <c r="Y39" s="758" t="s">
        <v>91</v>
      </c>
      <c r="Z39" s="756">
        <f t="shared" si="36"/>
        <v>0.11398963730569948</v>
      </c>
      <c r="AC39" s="758" t="s">
        <v>91</v>
      </c>
      <c r="AD39" s="756">
        <f t="shared" si="37"/>
        <v>0.21761658031088082</v>
      </c>
      <c r="AG39" s="758" t="s">
        <v>91</v>
      </c>
      <c r="AH39" s="756">
        <f t="shared" si="38"/>
        <v>1</v>
      </c>
    </row>
    <row r="40" spans="1:35" ht="15" hidden="1" customHeight="1">
      <c r="A40" s="758" t="s">
        <v>92</v>
      </c>
      <c r="B40" s="756">
        <f t="shared" si="30"/>
        <v>7.1428571428571425E-2</v>
      </c>
      <c r="E40" s="758" t="s">
        <v>92</v>
      </c>
      <c r="F40" s="756">
        <f t="shared" si="31"/>
        <v>0.25</v>
      </c>
      <c r="I40" s="758" t="s">
        <v>92</v>
      </c>
      <c r="J40" s="756">
        <f t="shared" si="32"/>
        <v>7.1428571428571425E-2</v>
      </c>
      <c r="M40" s="758" t="s">
        <v>92</v>
      </c>
      <c r="N40" s="756">
        <f t="shared" si="33"/>
        <v>0</v>
      </c>
      <c r="Q40" s="758" t="s">
        <v>92</v>
      </c>
      <c r="R40" s="756">
        <f t="shared" si="34"/>
        <v>3.5714285714285712E-2</v>
      </c>
      <c r="U40" s="758" t="s">
        <v>92</v>
      </c>
      <c r="V40" s="756">
        <f t="shared" si="35"/>
        <v>0</v>
      </c>
      <c r="Y40" s="758" t="s">
        <v>92</v>
      </c>
      <c r="Z40" s="756">
        <f t="shared" si="36"/>
        <v>0.14285714285714285</v>
      </c>
      <c r="AC40" s="758" t="s">
        <v>92</v>
      </c>
      <c r="AD40" s="756">
        <f t="shared" si="37"/>
        <v>0.42857142857142855</v>
      </c>
      <c r="AG40" s="758" t="s">
        <v>92</v>
      </c>
      <c r="AH40" s="756">
        <f t="shared" si="38"/>
        <v>1</v>
      </c>
    </row>
    <row r="41" spans="1:35" hidden="1">
      <c r="A41" s="758" t="s">
        <v>93</v>
      </c>
      <c r="B41" s="756">
        <f t="shared" si="30"/>
        <v>0</v>
      </c>
      <c r="E41" s="758" t="s">
        <v>93</v>
      </c>
      <c r="F41" s="756">
        <f t="shared" si="31"/>
        <v>0.13333333333333333</v>
      </c>
      <c r="I41" s="758" t="s">
        <v>93</v>
      </c>
      <c r="J41" s="756">
        <f t="shared" si="32"/>
        <v>0</v>
      </c>
      <c r="M41" s="758" t="s">
        <v>93</v>
      </c>
      <c r="N41" s="756">
        <f t="shared" si="33"/>
        <v>0</v>
      </c>
      <c r="Q41" s="758" t="s">
        <v>93</v>
      </c>
      <c r="R41" s="756">
        <f t="shared" si="34"/>
        <v>0</v>
      </c>
      <c r="U41" s="758" t="s">
        <v>93</v>
      </c>
      <c r="V41" s="756">
        <f t="shared" si="35"/>
        <v>0</v>
      </c>
      <c r="Y41" s="758" t="s">
        <v>93</v>
      </c>
      <c r="Z41" s="756">
        <f t="shared" si="36"/>
        <v>0.2</v>
      </c>
      <c r="AC41" s="758" t="s">
        <v>93</v>
      </c>
      <c r="AD41" s="756">
        <f t="shared" si="37"/>
        <v>0.66666666666666663</v>
      </c>
      <c r="AG41" s="758" t="s">
        <v>93</v>
      </c>
      <c r="AH41" s="756">
        <f t="shared" si="38"/>
        <v>1</v>
      </c>
    </row>
    <row r="42" spans="1:35" hidden="1">
      <c r="A42" s="758" t="s">
        <v>94</v>
      </c>
      <c r="B42" s="756">
        <f t="shared" si="30"/>
        <v>9.5238095238095233E-2</v>
      </c>
      <c r="E42" s="758" t="s">
        <v>94</v>
      </c>
      <c r="F42" s="756">
        <f t="shared" si="31"/>
        <v>0.35714285714285715</v>
      </c>
      <c r="I42" s="758" t="s">
        <v>94</v>
      </c>
      <c r="J42" s="756">
        <f t="shared" si="32"/>
        <v>0.15476190476190477</v>
      </c>
      <c r="M42" s="758" t="s">
        <v>94</v>
      </c>
      <c r="N42" s="756">
        <f t="shared" si="33"/>
        <v>0</v>
      </c>
      <c r="Q42" s="758" t="s">
        <v>94</v>
      </c>
      <c r="R42" s="756">
        <f t="shared" si="34"/>
        <v>4.7619047619047616E-2</v>
      </c>
      <c r="U42" s="758" t="s">
        <v>94</v>
      </c>
      <c r="V42" s="756">
        <f t="shared" si="35"/>
        <v>2.3809523809523808E-2</v>
      </c>
      <c r="Y42" s="758" t="s">
        <v>94</v>
      </c>
      <c r="Z42" s="756">
        <f t="shared" si="36"/>
        <v>0.15476190476190477</v>
      </c>
      <c r="AC42" s="758" t="s">
        <v>94</v>
      </c>
      <c r="AD42" s="756">
        <f t="shared" si="37"/>
        <v>0.16666666666666666</v>
      </c>
      <c r="AG42" s="758" t="s">
        <v>94</v>
      </c>
      <c r="AH42" s="756">
        <f t="shared" si="38"/>
        <v>1</v>
      </c>
    </row>
    <row r="43" spans="1:35" hidden="1">
      <c r="A43" s="758" t="s">
        <v>95</v>
      </c>
      <c r="B43" s="756">
        <f t="shared" si="30"/>
        <v>0.15</v>
      </c>
      <c r="E43" s="758" t="s">
        <v>95</v>
      </c>
      <c r="F43" s="756">
        <f t="shared" si="31"/>
        <v>0.28333333333333333</v>
      </c>
      <c r="I43" s="758" t="s">
        <v>95</v>
      </c>
      <c r="J43" s="756">
        <f t="shared" si="32"/>
        <v>8.3333333333333329E-2</v>
      </c>
      <c r="M43" s="758" t="s">
        <v>95</v>
      </c>
      <c r="N43" s="756">
        <f t="shared" si="33"/>
        <v>6.6666666666666666E-2</v>
      </c>
      <c r="Q43" s="758" t="s">
        <v>95</v>
      </c>
      <c r="R43" s="756">
        <f t="shared" si="34"/>
        <v>0.1</v>
      </c>
      <c r="U43" s="758" t="s">
        <v>95</v>
      </c>
      <c r="V43" s="756">
        <f t="shared" si="35"/>
        <v>0.1</v>
      </c>
      <c r="Y43" s="758" t="s">
        <v>95</v>
      </c>
      <c r="Z43" s="756">
        <f t="shared" si="36"/>
        <v>8.3333333333333329E-2</v>
      </c>
      <c r="AC43" s="758" t="s">
        <v>95</v>
      </c>
      <c r="AD43" s="756">
        <f t="shared" si="37"/>
        <v>0.13333333333333333</v>
      </c>
      <c r="AG43" s="758" t="s">
        <v>95</v>
      </c>
      <c r="AH43" s="756">
        <f t="shared" si="38"/>
        <v>1</v>
      </c>
    </row>
    <row r="44" spans="1:35" hidden="1">
      <c r="A44" s="758" t="s">
        <v>96</v>
      </c>
      <c r="B44" s="756">
        <f t="shared" si="30"/>
        <v>0.32258064516129031</v>
      </c>
      <c r="E44" s="758" t="s">
        <v>96</v>
      </c>
      <c r="F44" s="756">
        <f t="shared" si="31"/>
        <v>0.24193548387096775</v>
      </c>
      <c r="I44" s="758" t="s">
        <v>96</v>
      </c>
      <c r="J44" s="756">
        <f t="shared" si="32"/>
        <v>3.2258064516129031E-2</v>
      </c>
      <c r="M44" s="758" t="s">
        <v>96</v>
      </c>
      <c r="N44" s="756">
        <f t="shared" si="33"/>
        <v>1.6129032258064516E-2</v>
      </c>
      <c r="Q44" s="758" t="s">
        <v>96</v>
      </c>
      <c r="R44" s="756">
        <f t="shared" si="34"/>
        <v>1.6129032258064516E-2</v>
      </c>
      <c r="U44" s="758" t="s">
        <v>96</v>
      </c>
      <c r="V44" s="756">
        <f t="shared" si="35"/>
        <v>4.8387096774193547E-2</v>
      </c>
      <c r="Y44" s="758" t="s">
        <v>96</v>
      </c>
      <c r="Z44" s="756">
        <f t="shared" si="36"/>
        <v>9.6774193548387094E-2</v>
      </c>
      <c r="AC44" s="758" t="s">
        <v>96</v>
      </c>
      <c r="AD44" s="756">
        <f t="shared" si="37"/>
        <v>0.22580645161290322</v>
      </c>
      <c r="AG44" s="758" t="s">
        <v>96</v>
      </c>
      <c r="AH44" s="756">
        <f t="shared" si="38"/>
        <v>1</v>
      </c>
    </row>
    <row r="45" spans="1:35" hidden="1">
      <c r="A45" s="758" t="s">
        <v>99</v>
      </c>
      <c r="B45" s="756">
        <f t="shared" si="30"/>
        <v>0.13537117903930132</v>
      </c>
      <c r="E45" s="758" t="s">
        <v>99</v>
      </c>
      <c r="F45" s="756">
        <f t="shared" si="31"/>
        <v>0.45851528384279477</v>
      </c>
      <c r="I45" s="758" t="s">
        <v>99</v>
      </c>
      <c r="J45" s="756">
        <f t="shared" si="32"/>
        <v>4.8034934497816595E-2</v>
      </c>
      <c r="M45" s="758" t="s">
        <v>99</v>
      </c>
      <c r="N45" s="756">
        <f t="shared" si="33"/>
        <v>8.7336244541484712E-3</v>
      </c>
      <c r="Q45" s="758" t="s">
        <v>99</v>
      </c>
      <c r="R45" s="756">
        <f t="shared" si="34"/>
        <v>3.9301310043668124E-2</v>
      </c>
      <c r="U45" s="758" t="s">
        <v>99</v>
      </c>
      <c r="V45" s="756">
        <f t="shared" si="35"/>
        <v>1.3100436681222707E-2</v>
      </c>
      <c r="Y45" s="758" t="s">
        <v>99</v>
      </c>
      <c r="Z45" s="756">
        <f t="shared" si="36"/>
        <v>0.10480349344978165</v>
      </c>
      <c r="AC45" s="758" t="s">
        <v>99</v>
      </c>
      <c r="AD45" s="756">
        <f t="shared" si="37"/>
        <v>0.19213973799126638</v>
      </c>
      <c r="AG45" s="758" t="s">
        <v>99</v>
      </c>
      <c r="AH45" s="756">
        <f t="shared" si="38"/>
        <v>1</v>
      </c>
    </row>
    <row r="46" spans="1:35" hidden="1">
      <c r="A46" s="758" t="s">
        <v>98</v>
      </c>
      <c r="B46" s="756">
        <f t="shared" si="30"/>
        <v>0.10526315789473684</v>
      </c>
      <c r="E46" s="758" t="s">
        <v>98</v>
      </c>
      <c r="F46" s="756">
        <f t="shared" si="31"/>
        <v>0.27631578947368424</v>
      </c>
      <c r="I46" s="758" t="s">
        <v>98</v>
      </c>
      <c r="J46" s="756">
        <f t="shared" si="32"/>
        <v>7.8947368421052627E-2</v>
      </c>
      <c r="M46" s="758" t="s">
        <v>98</v>
      </c>
      <c r="N46" s="756">
        <f t="shared" si="33"/>
        <v>0</v>
      </c>
      <c r="Q46" s="758" t="s">
        <v>98</v>
      </c>
      <c r="R46" s="756">
        <f t="shared" si="34"/>
        <v>3.9473684210526314E-2</v>
      </c>
      <c r="U46" s="758" t="s">
        <v>98</v>
      </c>
      <c r="V46" s="756">
        <f t="shared" si="35"/>
        <v>3.9473684210526314E-2</v>
      </c>
      <c r="Y46" s="758" t="s">
        <v>98</v>
      </c>
      <c r="Z46" s="756">
        <f t="shared" si="36"/>
        <v>0.21052631578947367</v>
      </c>
      <c r="AC46" s="758" t="s">
        <v>98</v>
      </c>
      <c r="AD46" s="756">
        <f t="shared" si="37"/>
        <v>0.25</v>
      </c>
      <c r="AG46" s="758" t="s">
        <v>98</v>
      </c>
      <c r="AH46" s="756">
        <f t="shared" si="38"/>
        <v>1</v>
      </c>
    </row>
    <row r="47" spans="1:35" hidden="1">
      <c r="A47" s="758" t="s">
        <v>97</v>
      </c>
      <c r="B47" s="756">
        <f t="shared" si="30"/>
        <v>2.8846153846153848E-2</v>
      </c>
      <c r="E47" s="758" t="s">
        <v>97</v>
      </c>
      <c r="F47" s="756">
        <f t="shared" si="31"/>
        <v>0.10897435897435898</v>
      </c>
      <c r="I47" s="758" t="s">
        <v>97</v>
      </c>
      <c r="J47" s="756">
        <f t="shared" si="32"/>
        <v>3.205128205128205E-3</v>
      </c>
      <c r="M47" s="758" t="s">
        <v>97</v>
      </c>
      <c r="N47" s="756">
        <f t="shared" si="33"/>
        <v>0</v>
      </c>
      <c r="Q47" s="758" t="s">
        <v>97</v>
      </c>
      <c r="R47" s="756">
        <f t="shared" si="34"/>
        <v>6.41025641025641E-3</v>
      </c>
      <c r="U47" s="758" t="s">
        <v>97</v>
      </c>
      <c r="V47" s="756">
        <f t="shared" si="35"/>
        <v>0</v>
      </c>
      <c r="Y47" s="758" t="s">
        <v>97</v>
      </c>
      <c r="Z47" s="756">
        <f t="shared" si="36"/>
        <v>2.8846153846153848E-2</v>
      </c>
      <c r="AC47" s="758" t="s">
        <v>97</v>
      </c>
      <c r="AD47" s="756">
        <f t="shared" si="37"/>
        <v>0.82371794871794868</v>
      </c>
      <c r="AG47" s="758" t="s">
        <v>97</v>
      </c>
      <c r="AH47" s="756">
        <f t="shared" si="38"/>
        <v>1</v>
      </c>
    </row>
    <row r="48" spans="1:35" hidden="1">
      <c r="A48" s="707" t="s">
        <v>100</v>
      </c>
      <c r="B48" s="756">
        <f t="shared" si="30"/>
        <v>0.35802469135802467</v>
      </c>
      <c r="E48" s="707" t="s">
        <v>100</v>
      </c>
      <c r="F48" s="756">
        <f t="shared" si="31"/>
        <v>0.35185185185185186</v>
      </c>
      <c r="I48" s="707" t="s">
        <v>100</v>
      </c>
      <c r="J48" s="756">
        <f t="shared" si="32"/>
        <v>1.2345679012345678E-2</v>
      </c>
      <c r="M48" s="707" t="s">
        <v>100</v>
      </c>
      <c r="N48" s="756">
        <f t="shared" si="33"/>
        <v>0</v>
      </c>
      <c r="Q48" s="707" t="s">
        <v>100</v>
      </c>
      <c r="R48" s="756">
        <f t="shared" si="34"/>
        <v>0</v>
      </c>
      <c r="U48" s="707" t="s">
        <v>100</v>
      </c>
      <c r="V48" s="756">
        <f t="shared" si="35"/>
        <v>8.0246913580246909E-2</v>
      </c>
      <c r="Y48" s="707" t="s">
        <v>100</v>
      </c>
      <c r="Z48" s="756">
        <f t="shared" si="36"/>
        <v>8.0246913580246909E-2</v>
      </c>
      <c r="AC48" s="707" t="s">
        <v>100</v>
      </c>
      <c r="AD48" s="756">
        <f t="shared" si="37"/>
        <v>0.11728395061728394</v>
      </c>
      <c r="AG48" s="707" t="s">
        <v>100</v>
      </c>
      <c r="AH48" s="756">
        <f t="shared" si="38"/>
        <v>1</v>
      </c>
    </row>
    <row r="49" spans="1:34" hidden="1">
      <c r="A49" s="274" t="s">
        <v>101</v>
      </c>
      <c r="B49" s="756">
        <f t="shared" si="30"/>
        <v>2.197802197802198E-2</v>
      </c>
      <c r="E49" s="274" t="s">
        <v>101</v>
      </c>
      <c r="F49" s="756">
        <f t="shared" si="31"/>
        <v>0.80219780219780223</v>
      </c>
      <c r="I49" s="274" t="s">
        <v>101</v>
      </c>
      <c r="J49" s="756">
        <f t="shared" si="32"/>
        <v>0</v>
      </c>
      <c r="M49" s="274" t="s">
        <v>101</v>
      </c>
      <c r="N49" s="756">
        <f t="shared" si="33"/>
        <v>0</v>
      </c>
      <c r="Q49" s="274" t="s">
        <v>101</v>
      </c>
      <c r="R49" s="756">
        <f t="shared" si="34"/>
        <v>0</v>
      </c>
      <c r="U49" s="274" t="s">
        <v>101</v>
      </c>
      <c r="V49" s="756">
        <f t="shared" si="35"/>
        <v>0</v>
      </c>
      <c r="Y49" s="274" t="s">
        <v>101</v>
      </c>
      <c r="Z49" s="756">
        <f t="shared" si="36"/>
        <v>5.4945054945054944E-2</v>
      </c>
      <c r="AC49" s="274" t="s">
        <v>101</v>
      </c>
      <c r="AD49" s="756">
        <f t="shared" si="37"/>
        <v>0.12087912087912088</v>
      </c>
      <c r="AG49" s="274" t="s">
        <v>101</v>
      </c>
      <c r="AH49" s="756">
        <f t="shared" si="38"/>
        <v>1</v>
      </c>
    </row>
    <row r="50" spans="1:34" hidden="1">
      <c r="A50" s="274" t="s">
        <v>103</v>
      </c>
      <c r="B50" s="756">
        <f t="shared" si="30"/>
        <v>4.6296296296296294E-2</v>
      </c>
      <c r="E50" s="274" t="s">
        <v>103</v>
      </c>
      <c r="F50" s="756">
        <f t="shared" si="31"/>
        <v>0.34259259259259262</v>
      </c>
      <c r="I50" s="274" t="s">
        <v>103</v>
      </c>
      <c r="J50" s="756">
        <f t="shared" si="32"/>
        <v>6.4814814814814811E-2</v>
      </c>
      <c r="M50" s="274" t="s">
        <v>103</v>
      </c>
      <c r="N50" s="756">
        <f t="shared" si="33"/>
        <v>0</v>
      </c>
      <c r="Q50" s="274" t="s">
        <v>103</v>
      </c>
      <c r="R50" s="756">
        <f t="shared" si="34"/>
        <v>5.5555555555555552E-2</v>
      </c>
      <c r="U50" s="274" t="s">
        <v>103</v>
      </c>
      <c r="V50" s="756">
        <f t="shared" si="35"/>
        <v>9.2592592592592587E-3</v>
      </c>
      <c r="Y50" s="274" t="s">
        <v>103</v>
      </c>
      <c r="Z50" s="756">
        <f t="shared" si="36"/>
        <v>0.1388888888888889</v>
      </c>
      <c r="AC50" s="274" t="s">
        <v>103</v>
      </c>
      <c r="AD50" s="756">
        <f t="shared" si="37"/>
        <v>0.34259259259259262</v>
      </c>
      <c r="AG50" s="274" t="s">
        <v>103</v>
      </c>
      <c r="AH50" s="756">
        <f t="shared" si="38"/>
        <v>1</v>
      </c>
    </row>
    <row r="51" spans="1:34" hidden="1">
      <c r="A51" s="274" t="s">
        <v>104</v>
      </c>
      <c r="B51" s="756">
        <f t="shared" si="30"/>
        <v>0.1388888888888889</v>
      </c>
      <c r="E51" s="274" t="s">
        <v>104</v>
      </c>
      <c r="F51" s="756">
        <f t="shared" si="31"/>
        <v>0.19444444444444445</v>
      </c>
      <c r="I51" s="274" t="s">
        <v>104</v>
      </c>
      <c r="J51" s="756">
        <f t="shared" si="32"/>
        <v>8.3333333333333329E-2</v>
      </c>
      <c r="M51" s="274" t="s">
        <v>104</v>
      </c>
      <c r="N51" s="756">
        <f t="shared" si="33"/>
        <v>0.1111111111111111</v>
      </c>
      <c r="Q51" s="274" t="s">
        <v>104</v>
      </c>
      <c r="R51" s="756">
        <f t="shared" si="34"/>
        <v>5.5555555555555552E-2</v>
      </c>
      <c r="U51" s="274" t="s">
        <v>104</v>
      </c>
      <c r="V51" s="756">
        <f t="shared" si="35"/>
        <v>8.3333333333333329E-2</v>
      </c>
      <c r="Y51" s="274" t="s">
        <v>104</v>
      </c>
      <c r="Z51" s="756">
        <f t="shared" si="36"/>
        <v>0.1111111111111111</v>
      </c>
      <c r="AC51" s="274" t="s">
        <v>104</v>
      </c>
      <c r="AD51" s="756">
        <f t="shared" si="37"/>
        <v>0.22222222222222221</v>
      </c>
      <c r="AG51" s="274" t="s">
        <v>104</v>
      </c>
      <c r="AH51" s="756">
        <f t="shared" si="38"/>
        <v>1</v>
      </c>
    </row>
    <row r="52" spans="1:34" hidden="1">
      <c r="A52" s="274" t="s">
        <v>102</v>
      </c>
      <c r="B52" s="756">
        <f t="shared" si="30"/>
        <v>1.3846153846153847E-2</v>
      </c>
      <c r="E52" s="274" t="s">
        <v>102</v>
      </c>
      <c r="F52" s="756">
        <f t="shared" si="31"/>
        <v>0.14307692307692307</v>
      </c>
      <c r="I52" s="274" t="s">
        <v>102</v>
      </c>
      <c r="J52" s="756">
        <f t="shared" si="32"/>
        <v>5.0769230769230768E-2</v>
      </c>
      <c r="M52" s="274" t="s">
        <v>102</v>
      </c>
      <c r="N52" s="756">
        <f t="shared" si="33"/>
        <v>4.6153846153846158E-3</v>
      </c>
      <c r="Q52" s="274" t="s">
        <v>102</v>
      </c>
      <c r="R52" s="756">
        <f t="shared" si="34"/>
        <v>1.0769230769230769E-2</v>
      </c>
      <c r="U52" s="274" t="s">
        <v>102</v>
      </c>
      <c r="V52" s="756">
        <f t="shared" si="35"/>
        <v>8.1538461538461532E-2</v>
      </c>
      <c r="Y52" s="274" t="s">
        <v>102</v>
      </c>
      <c r="Z52" s="756">
        <f t="shared" si="36"/>
        <v>0.61076923076923073</v>
      </c>
      <c r="AC52" s="274" t="s">
        <v>102</v>
      </c>
      <c r="AD52" s="756">
        <f t="shared" si="37"/>
        <v>8.461538461538462E-2</v>
      </c>
      <c r="AG52" s="274" t="s">
        <v>102</v>
      </c>
      <c r="AH52" s="756">
        <f t="shared" si="38"/>
        <v>1</v>
      </c>
    </row>
    <row r="53" spans="1:34" hidden="1">
      <c r="A53" s="274" t="s">
        <v>105</v>
      </c>
      <c r="B53" s="756">
        <f t="shared" si="30"/>
        <v>6.8645640074211506E-2</v>
      </c>
      <c r="E53" s="274" t="s">
        <v>105</v>
      </c>
      <c r="F53" s="756">
        <f t="shared" si="31"/>
        <v>0.12987012987012986</v>
      </c>
      <c r="I53" s="274" t="s">
        <v>105</v>
      </c>
      <c r="J53" s="756">
        <f t="shared" si="32"/>
        <v>2.9684601113172542E-2</v>
      </c>
      <c r="M53" s="274" t="s">
        <v>105</v>
      </c>
      <c r="N53" s="756">
        <f t="shared" si="33"/>
        <v>2.2263450834879406E-2</v>
      </c>
      <c r="Q53" s="274" t="s">
        <v>105</v>
      </c>
      <c r="R53" s="756">
        <f t="shared" si="34"/>
        <v>1.8552875695732839E-2</v>
      </c>
      <c r="U53" s="274" t="s">
        <v>105</v>
      </c>
      <c r="V53" s="756">
        <f t="shared" si="35"/>
        <v>1.2987012987012988E-2</v>
      </c>
      <c r="Y53" s="274" t="s">
        <v>105</v>
      </c>
      <c r="Z53" s="756">
        <f t="shared" si="36"/>
        <v>4.0816326530612242E-2</v>
      </c>
      <c r="AC53" s="274" t="s">
        <v>105</v>
      </c>
      <c r="AD53" s="756">
        <f t="shared" si="37"/>
        <v>0.67717996289424864</v>
      </c>
      <c r="AG53" s="274" t="s">
        <v>105</v>
      </c>
      <c r="AH53" s="756">
        <f t="shared" si="38"/>
        <v>1</v>
      </c>
    </row>
    <row r="54" spans="1:34" hidden="1">
      <c r="A54" s="274" t="s">
        <v>106</v>
      </c>
      <c r="B54" s="756">
        <f t="shared" si="30"/>
        <v>0</v>
      </c>
      <c r="E54" s="274" t="s">
        <v>106</v>
      </c>
      <c r="F54" s="756">
        <f t="shared" si="31"/>
        <v>0.1111111111111111</v>
      </c>
      <c r="I54" s="274" t="s">
        <v>106</v>
      </c>
      <c r="J54" s="756">
        <f t="shared" si="32"/>
        <v>0</v>
      </c>
      <c r="M54" s="274" t="s">
        <v>106</v>
      </c>
      <c r="N54" s="756">
        <f t="shared" si="33"/>
        <v>0</v>
      </c>
      <c r="Q54" s="274" t="s">
        <v>106</v>
      </c>
      <c r="R54" s="756">
        <f t="shared" si="34"/>
        <v>0</v>
      </c>
      <c r="U54" s="274" t="s">
        <v>106</v>
      </c>
      <c r="V54" s="756">
        <f t="shared" si="35"/>
        <v>0</v>
      </c>
      <c r="Y54" s="274" t="s">
        <v>106</v>
      </c>
      <c r="Z54" s="756">
        <f t="shared" si="36"/>
        <v>0.22222222222222221</v>
      </c>
      <c r="AC54" s="274" t="s">
        <v>106</v>
      </c>
      <c r="AD54" s="756">
        <f t="shared" si="37"/>
        <v>0.66666666666666663</v>
      </c>
      <c r="AG54" s="274" t="s">
        <v>106</v>
      </c>
      <c r="AH54" s="756">
        <f t="shared" si="38"/>
        <v>1</v>
      </c>
    </row>
    <row r="55" spans="1:34" hidden="1">
      <c r="A55" s="274" t="s">
        <v>108</v>
      </c>
      <c r="B55" s="756">
        <f t="shared" si="30"/>
        <v>0.10810810810810811</v>
      </c>
      <c r="E55" s="274" t="s">
        <v>108</v>
      </c>
      <c r="F55" s="756">
        <f t="shared" si="31"/>
        <v>0.48648648648648651</v>
      </c>
      <c r="I55" s="274" t="s">
        <v>108</v>
      </c>
      <c r="J55" s="756">
        <f t="shared" si="32"/>
        <v>2.7027027027027029E-2</v>
      </c>
      <c r="M55" s="274" t="s">
        <v>108</v>
      </c>
      <c r="N55" s="756">
        <f t="shared" si="33"/>
        <v>0</v>
      </c>
      <c r="Q55" s="274" t="s">
        <v>108</v>
      </c>
      <c r="R55" s="756">
        <f t="shared" si="34"/>
        <v>0</v>
      </c>
      <c r="U55" s="274" t="s">
        <v>108</v>
      </c>
      <c r="V55" s="756">
        <f t="shared" si="35"/>
        <v>2.7027027027027029E-2</v>
      </c>
      <c r="Y55" s="274" t="s">
        <v>108</v>
      </c>
      <c r="Z55" s="756">
        <f t="shared" si="36"/>
        <v>5.4054054054054057E-2</v>
      </c>
      <c r="AC55" s="274" t="s">
        <v>108</v>
      </c>
      <c r="AD55" s="756">
        <f t="shared" si="37"/>
        <v>0.29729729729729731</v>
      </c>
      <c r="AG55" s="274" t="s">
        <v>108</v>
      </c>
      <c r="AH55" s="756">
        <f t="shared" si="38"/>
        <v>1</v>
      </c>
    </row>
    <row r="56" spans="1:34" hidden="1">
      <c r="A56" s="274" t="s">
        <v>109</v>
      </c>
      <c r="B56" s="756">
        <f t="shared" si="30"/>
        <v>5.5555555555555552E-2</v>
      </c>
      <c r="E56" s="274" t="s">
        <v>109</v>
      </c>
      <c r="F56" s="756">
        <f t="shared" si="31"/>
        <v>0.1111111111111111</v>
      </c>
      <c r="I56" s="274" t="s">
        <v>109</v>
      </c>
      <c r="J56" s="756">
        <f t="shared" si="32"/>
        <v>0</v>
      </c>
      <c r="M56" s="274" t="s">
        <v>109</v>
      </c>
      <c r="N56" s="756">
        <f t="shared" si="33"/>
        <v>0</v>
      </c>
      <c r="Q56" s="274" t="s">
        <v>109</v>
      </c>
      <c r="R56" s="756">
        <f t="shared" si="34"/>
        <v>0</v>
      </c>
      <c r="U56" s="274" t="s">
        <v>109</v>
      </c>
      <c r="V56" s="756">
        <f t="shared" si="35"/>
        <v>0</v>
      </c>
      <c r="Y56" s="274" t="s">
        <v>109</v>
      </c>
      <c r="Z56" s="756">
        <f t="shared" si="36"/>
        <v>0.72222222222222221</v>
      </c>
      <c r="AC56" s="274" t="s">
        <v>109</v>
      </c>
      <c r="AD56" s="756">
        <f t="shared" si="37"/>
        <v>0.1111111111111111</v>
      </c>
      <c r="AG56" s="274" t="s">
        <v>109</v>
      </c>
      <c r="AH56" s="756">
        <f t="shared" si="38"/>
        <v>1</v>
      </c>
    </row>
    <row r="57" spans="1:34" hidden="1">
      <c r="A57" s="274" t="s">
        <v>107</v>
      </c>
      <c r="B57" s="756">
        <f t="shared" si="30"/>
        <v>4.1666666666666664E-2</v>
      </c>
      <c r="E57" s="274" t="s">
        <v>107</v>
      </c>
      <c r="F57" s="756">
        <f t="shared" si="31"/>
        <v>0.3611111111111111</v>
      </c>
      <c r="I57" s="274" t="s">
        <v>107</v>
      </c>
      <c r="J57" s="756">
        <f t="shared" si="32"/>
        <v>7.9365079365079361E-2</v>
      </c>
      <c r="M57" s="274" t="s">
        <v>107</v>
      </c>
      <c r="N57" s="756">
        <f t="shared" si="33"/>
        <v>0</v>
      </c>
      <c r="Q57" s="274" t="s">
        <v>107</v>
      </c>
      <c r="R57" s="756">
        <f t="shared" si="34"/>
        <v>1.5873015873015872E-2</v>
      </c>
      <c r="U57" s="274" t="s">
        <v>107</v>
      </c>
      <c r="V57" s="756">
        <f t="shared" si="35"/>
        <v>0.12698412698412698</v>
      </c>
      <c r="Y57" s="274" t="s">
        <v>107</v>
      </c>
      <c r="Z57" s="756">
        <f t="shared" si="36"/>
        <v>0.19444444444444445</v>
      </c>
      <c r="AC57" s="274" t="s">
        <v>107</v>
      </c>
      <c r="AD57" s="756">
        <f t="shared" si="37"/>
        <v>0.18055555555555555</v>
      </c>
      <c r="AG57" s="274" t="s">
        <v>107</v>
      </c>
      <c r="AH57" s="756">
        <f t="shared" si="38"/>
        <v>1</v>
      </c>
    </row>
    <row r="58" spans="1:34" hidden="1">
      <c r="A58" s="274" t="s">
        <v>110</v>
      </c>
      <c r="B58" s="756">
        <f t="shared" si="30"/>
        <v>2.4439918533604887E-2</v>
      </c>
      <c r="E58" s="274" t="s">
        <v>110</v>
      </c>
      <c r="F58" s="756">
        <f t="shared" si="31"/>
        <v>0.22742701968771215</v>
      </c>
      <c r="I58" s="274" t="s">
        <v>110</v>
      </c>
      <c r="J58" s="756">
        <f t="shared" si="32"/>
        <v>0.16768499660556688</v>
      </c>
      <c r="M58" s="274" t="s">
        <v>110</v>
      </c>
      <c r="N58" s="756">
        <f t="shared" si="33"/>
        <v>6.7888662593346908E-4</v>
      </c>
      <c r="Q58" s="274" t="s">
        <v>110</v>
      </c>
      <c r="R58" s="756">
        <f t="shared" si="34"/>
        <v>3.3944331296673455E-3</v>
      </c>
      <c r="U58" s="274" t="s">
        <v>110</v>
      </c>
      <c r="V58" s="756">
        <f t="shared" si="35"/>
        <v>0.17243720298710116</v>
      </c>
      <c r="Y58" s="274" t="s">
        <v>110</v>
      </c>
      <c r="Z58" s="756">
        <f t="shared" si="36"/>
        <v>0.21860149355057706</v>
      </c>
      <c r="AC58" s="274" t="s">
        <v>110</v>
      </c>
      <c r="AD58" s="756">
        <f t="shared" si="37"/>
        <v>0.18533604887983707</v>
      </c>
      <c r="AG58" s="274" t="s">
        <v>110</v>
      </c>
      <c r="AH58" s="756">
        <f t="shared" si="38"/>
        <v>1</v>
      </c>
    </row>
    <row r="59" spans="1:34" hidden="1">
      <c r="A59" s="274" t="s">
        <v>112</v>
      </c>
      <c r="B59" s="756">
        <f t="shared" si="30"/>
        <v>0</v>
      </c>
      <c r="E59" s="274" t="s">
        <v>112</v>
      </c>
      <c r="F59" s="756">
        <f t="shared" si="31"/>
        <v>0.6428571428571429</v>
      </c>
      <c r="I59" s="274" t="s">
        <v>112</v>
      </c>
      <c r="J59" s="756">
        <f t="shared" si="32"/>
        <v>0.14285714285714285</v>
      </c>
      <c r="M59" s="274" t="s">
        <v>112</v>
      </c>
      <c r="N59" s="756">
        <f t="shared" si="33"/>
        <v>0</v>
      </c>
      <c r="Q59" s="274" t="s">
        <v>112</v>
      </c>
      <c r="R59" s="756">
        <f t="shared" si="34"/>
        <v>0</v>
      </c>
      <c r="U59" s="274" t="s">
        <v>112</v>
      </c>
      <c r="V59" s="756">
        <f t="shared" si="35"/>
        <v>0</v>
      </c>
      <c r="Y59" s="274" t="s">
        <v>112</v>
      </c>
      <c r="Z59" s="756">
        <f t="shared" si="36"/>
        <v>0</v>
      </c>
      <c r="AC59" s="274" t="s">
        <v>112</v>
      </c>
      <c r="AD59" s="756">
        <f t="shared" si="37"/>
        <v>0.21428571428571427</v>
      </c>
      <c r="AG59" s="274" t="s">
        <v>112</v>
      </c>
      <c r="AH59" s="756">
        <f t="shared" si="38"/>
        <v>1</v>
      </c>
    </row>
    <row r="60" spans="1:34" hidden="1">
      <c r="A60" s="274" t="s">
        <v>111</v>
      </c>
      <c r="B60" s="756">
        <f t="shared" si="30"/>
        <v>3.6271450858034321E-2</v>
      </c>
      <c r="E60" s="274" t="s">
        <v>111</v>
      </c>
      <c r="F60" s="756">
        <f t="shared" si="31"/>
        <v>0.15054602184087362</v>
      </c>
      <c r="I60" s="274" t="s">
        <v>111</v>
      </c>
      <c r="J60" s="756">
        <f t="shared" si="32"/>
        <v>3.7831513260530421E-2</v>
      </c>
      <c r="M60" s="274" t="s">
        <v>111</v>
      </c>
      <c r="N60" s="756">
        <f t="shared" si="33"/>
        <v>3.5101404056162248E-3</v>
      </c>
      <c r="Q60" s="274" t="s">
        <v>111</v>
      </c>
      <c r="R60" s="756">
        <f t="shared" si="34"/>
        <v>2.2620904836193449E-2</v>
      </c>
      <c r="U60" s="274" t="s">
        <v>111</v>
      </c>
      <c r="V60" s="756">
        <f t="shared" si="35"/>
        <v>1.4430577223088924E-2</v>
      </c>
      <c r="Y60" s="274" t="s">
        <v>111</v>
      </c>
      <c r="Z60" s="756">
        <f t="shared" si="36"/>
        <v>7.6053042121684872E-2</v>
      </c>
      <c r="AC60" s="274" t="s">
        <v>111</v>
      </c>
      <c r="AD60" s="756">
        <f t="shared" si="37"/>
        <v>0.65873634945397819</v>
      </c>
      <c r="AG60" s="274" t="s">
        <v>111</v>
      </c>
      <c r="AH60" s="756">
        <f t="shared" si="38"/>
        <v>1</v>
      </c>
    </row>
    <row r="61" spans="1:34" hidden="1">
      <c r="A61" s="274" t="s">
        <v>113</v>
      </c>
      <c r="B61" s="756">
        <f t="shared" si="30"/>
        <v>0</v>
      </c>
      <c r="E61" s="274" t="s">
        <v>113</v>
      </c>
      <c r="F61" s="756">
        <f t="shared" si="31"/>
        <v>0.18181818181818182</v>
      </c>
      <c r="I61" s="274" t="s">
        <v>113</v>
      </c>
      <c r="J61" s="756">
        <f t="shared" si="32"/>
        <v>9.0909090909090912E-2</v>
      </c>
      <c r="M61" s="274" t="s">
        <v>113</v>
      </c>
      <c r="N61" s="756">
        <f t="shared" si="33"/>
        <v>0</v>
      </c>
      <c r="Q61" s="274" t="s">
        <v>113</v>
      </c>
      <c r="R61" s="756">
        <f t="shared" si="34"/>
        <v>0</v>
      </c>
      <c r="U61" s="274" t="s">
        <v>113</v>
      </c>
      <c r="V61" s="756">
        <f t="shared" si="35"/>
        <v>0</v>
      </c>
      <c r="Y61" s="274" t="s">
        <v>113</v>
      </c>
      <c r="Z61" s="756">
        <f t="shared" si="36"/>
        <v>9.0909090909090912E-2</v>
      </c>
      <c r="AC61" s="274" t="s">
        <v>113</v>
      </c>
      <c r="AD61" s="756">
        <f t="shared" si="37"/>
        <v>0.63636363636363635</v>
      </c>
      <c r="AG61" s="274" t="s">
        <v>113</v>
      </c>
      <c r="AH61" s="756">
        <f t="shared" si="38"/>
        <v>1</v>
      </c>
    </row>
    <row r="62" spans="1:34" hidden="1"/>
    <row r="63" spans="1:34" hidden="1"/>
    <row r="64" spans="1:34" hidden="1"/>
    <row r="65" spans="2:34">
      <c r="B65" s="816">
        <f>B31-B32</f>
        <v>0</v>
      </c>
      <c r="F65" s="816">
        <f>F31-F32</f>
        <v>0</v>
      </c>
      <c r="J65" s="816">
        <f>J31-J32</f>
        <v>0</v>
      </c>
      <c r="N65" s="816">
        <f>N31-N32</f>
        <v>0</v>
      </c>
      <c r="R65" s="816">
        <f>R31-R32</f>
        <v>0</v>
      </c>
      <c r="V65" s="816">
        <f>V31-V32</f>
        <v>0</v>
      </c>
      <c r="Z65" s="816">
        <f>Z31-Z32</f>
        <v>0</v>
      </c>
      <c r="AD65" s="816">
        <f>AD31-AD32</f>
        <v>0</v>
      </c>
      <c r="AH65" s="816">
        <f>AH31-AH32</f>
        <v>0</v>
      </c>
    </row>
  </sheetData>
  <sortState ref="AL19:AN26">
    <sortCondition descending="1" ref="AN19:AN26"/>
  </sortState>
  <mergeCells count="15">
    <mergeCell ref="AI2:AI3"/>
    <mergeCell ref="AL3:AN3"/>
    <mergeCell ref="AL17:AN17"/>
    <mergeCell ref="AO17:AO27"/>
    <mergeCell ref="A1:AH1"/>
    <mergeCell ref="A2:A3"/>
    <mergeCell ref="B2:E2"/>
    <mergeCell ref="F2:I2"/>
    <mergeCell ref="J2:M2"/>
    <mergeCell ref="N2:Q2"/>
    <mergeCell ref="R2:U2"/>
    <mergeCell ref="V2:Y2"/>
    <mergeCell ref="Z2:AC2"/>
    <mergeCell ref="AD2:AG2"/>
    <mergeCell ref="AH2:AH3"/>
  </mergeCells>
  <pageMargins left="0.511811024" right="0.511811024" top="0.78740157499999996" bottom="0.78740157499999996" header="0.31496062000000002" footer="0.31496062000000002"/>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theme="6" tint="0.39997558519241921"/>
  </sheetPr>
  <dimension ref="A1:U69"/>
  <sheetViews>
    <sheetView showGridLines="0" zoomScale="80" zoomScaleNormal="80" workbookViewId="0">
      <selection sqref="A1:AC1"/>
    </sheetView>
  </sheetViews>
  <sheetFormatPr defaultRowHeight="15"/>
  <cols>
    <col min="1" max="1" width="23" style="659" customWidth="1"/>
    <col min="2" max="2" width="37.85546875" style="659" customWidth="1"/>
    <col min="3" max="3" width="15.5703125" style="97" customWidth="1"/>
    <col min="4" max="4" width="13.140625" style="97" customWidth="1"/>
    <col min="5" max="7" width="16" style="97" customWidth="1"/>
    <col min="8" max="8" width="5.7109375" customWidth="1"/>
    <col min="9" max="9" width="42.28515625" bestFit="1" customWidth="1"/>
    <col min="10" max="10" width="20.5703125" style="62" bestFit="1" customWidth="1"/>
    <col min="11" max="11" width="19.85546875" style="62" bestFit="1" customWidth="1"/>
    <col min="12" max="12" width="8.28515625" customWidth="1"/>
    <col min="13" max="18" width="11.5703125" customWidth="1"/>
    <col min="20" max="20" width="18" bestFit="1" customWidth="1"/>
    <col min="21" max="21" width="14" bestFit="1" customWidth="1"/>
    <col min="22" max="22" width="40.5703125" customWidth="1"/>
    <col min="23" max="23" width="42.140625" bestFit="1" customWidth="1"/>
    <col min="24" max="24" width="40.28515625" customWidth="1"/>
    <col min="25" max="25" width="42" bestFit="1" customWidth="1"/>
    <col min="26" max="26" width="20.28515625" customWidth="1"/>
    <col min="27" max="27" width="22.42578125" customWidth="1"/>
    <col min="28" max="28" width="26.42578125" bestFit="1" customWidth="1"/>
    <col min="29" max="29" width="26.28515625" customWidth="1"/>
    <col min="30" max="30" width="28.28515625" customWidth="1"/>
    <col min="31" max="31" width="30.140625" bestFit="1" customWidth="1"/>
    <col min="32" max="32" width="30" bestFit="1" customWidth="1"/>
    <col min="33" max="33" width="27.28515625" bestFit="1" customWidth="1"/>
    <col min="34" max="34" width="26" bestFit="1" customWidth="1"/>
  </cols>
  <sheetData>
    <row r="1" spans="1:21">
      <c r="A1" s="1127" t="s">
        <v>367</v>
      </c>
      <c r="B1" s="156" t="s">
        <v>368</v>
      </c>
      <c r="C1" s="141" t="s">
        <v>288</v>
      </c>
      <c r="D1" s="141" t="s">
        <v>287</v>
      </c>
      <c r="E1" s="141" t="s">
        <v>286</v>
      </c>
      <c r="F1" s="141" t="s">
        <v>285</v>
      </c>
      <c r="G1" s="157" t="s">
        <v>284</v>
      </c>
      <c r="I1" s="140" t="s">
        <v>305</v>
      </c>
      <c r="J1" s="63" t="s">
        <v>304</v>
      </c>
      <c r="K1" s="63" t="s">
        <v>303</v>
      </c>
    </row>
    <row r="2" spans="1:21" ht="24" customHeight="1">
      <c r="A2" s="1179" t="s">
        <v>307</v>
      </c>
      <c r="B2" s="1179" t="s">
        <v>308</v>
      </c>
      <c r="C2" s="143">
        <f>'RRT - Subgrpupo - Gênero'!B35</f>
        <v>121275.55183147801</v>
      </c>
      <c r="D2" s="137">
        <f>'RRT - Subgrpupo - Gênero'!C35</f>
        <v>0.51644036367712076</v>
      </c>
      <c r="E2" s="143">
        <f>'RRT - Subgrpupo - Gênero'!D35</f>
        <v>113554.17946214264</v>
      </c>
      <c r="F2" s="137">
        <f>'RRT - Subgrpupo - Gênero'!E35</f>
        <v>0.48355963632287913</v>
      </c>
      <c r="G2" s="158">
        <f t="shared" ref="G2:G29" si="0">C2+E2</f>
        <v>234829.73129362066</v>
      </c>
      <c r="I2" s="1020" t="s">
        <v>307</v>
      </c>
      <c r="J2" s="63"/>
      <c r="K2" s="63"/>
      <c r="U2" s="63"/>
    </row>
    <row r="3" spans="1:21" ht="24" customHeight="1">
      <c r="A3" s="1179" t="s">
        <v>307</v>
      </c>
      <c r="B3" s="1179" t="s">
        <v>309</v>
      </c>
      <c r="C3" s="143">
        <f>'RRT - Subgrpupo - Gênero'!B36</f>
        <v>27630.533444891436</v>
      </c>
      <c r="D3" s="137">
        <f>'RRT - Subgrpupo - Gênero'!C36</f>
        <v>0.63545576103164703</v>
      </c>
      <c r="E3" s="143">
        <f>'RRT - Subgrpupo - Gênero'!D36</f>
        <v>15850.909543419712</v>
      </c>
      <c r="F3" s="137">
        <f>'RRT - Subgrpupo - Gênero'!E36</f>
        <v>0.36454423896835286</v>
      </c>
      <c r="G3" s="158">
        <f t="shared" si="0"/>
        <v>43481.442988311144</v>
      </c>
      <c r="I3" s="161" t="s">
        <v>308</v>
      </c>
      <c r="J3" s="63">
        <v>121275.55183147801</v>
      </c>
      <c r="K3" s="63">
        <v>113554.17946214264</v>
      </c>
      <c r="U3" s="61"/>
    </row>
    <row r="4" spans="1:21" ht="24" customHeight="1">
      <c r="A4" s="1179" t="s">
        <v>307</v>
      </c>
      <c r="B4" s="1179" t="s">
        <v>310</v>
      </c>
      <c r="C4" s="143">
        <f>'RRT - Subgrpupo - Gênero'!B37</f>
        <v>2448.0243726719709</v>
      </c>
      <c r="D4" s="137">
        <f>'RRT - Subgrpupo - Gênero'!C37</f>
        <v>0.51015339626978551</v>
      </c>
      <c r="E4" s="143">
        <f>'RRT - Subgrpupo - Gênero'!D37</f>
        <v>2350.5801070233424</v>
      </c>
      <c r="F4" s="137">
        <f>'RRT - Subgrpupo - Gênero'!E37</f>
        <v>0.4898466037302146</v>
      </c>
      <c r="G4" s="158">
        <f t="shared" si="0"/>
        <v>4798.6044796953138</v>
      </c>
      <c r="I4" s="161" t="s">
        <v>317</v>
      </c>
      <c r="J4" s="63">
        <v>3029.1507420667213</v>
      </c>
      <c r="K4" s="63">
        <v>2303.9952818769184</v>
      </c>
      <c r="U4" s="61"/>
    </row>
    <row r="5" spans="1:21" ht="24" customHeight="1">
      <c r="A5" s="1179" t="s">
        <v>307</v>
      </c>
      <c r="B5" s="1179" t="s">
        <v>311</v>
      </c>
      <c r="C5" s="143">
        <f>'RRT - Subgrpupo - Gênero'!B38</f>
        <v>6595.6373700098138</v>
      </c>
      <c r="D5" s="137">
        <f>'RRT - Subgrpupo - Gênero'!C38</f>
        <v>0.22000731010849092</v>
      </c>
      <c r="E5" s="143">
        <f>'RRT - Subgrpupo - Gênero'!D38</f>
        <v>23383.536352705789</v>
      </c>
      <c r="F5" s="137">
        <f>'RRT - Subgrpupo - Gênero'!E38</f>
        <v>0.77999268989150905</v>
      </c>
      <c r="G5" s="158">
        <f t="shared" si="0"/>
        <v>29979.173722715605</v>
      </c>
      <c r="I5" s="161" t="s">
        <v>318</v>
      </c>
      <c r="J5" s="63">
        <v>310.69257770701853</v>
      </c>
      <c r="K5" s="63">
        <v>253.07560064066988</v>
      </c>
      <c r="U5" s="61"/>
    </row>
    <row r="6" spans="1:21" ht="24" customHeight="1">
      <c r="A6" s="1179" t="s">
        <v>307</v>
      </c>
      <c r="B6" s="1179" t="s">
        <v>312</v>
      </c>
      <c r="C6" s="143">
        <f>'RRT - Subgrpupo - Gênero'!B39</f>
        <v>46409.03074062596</v>
      </c>
      <c r="D6" s="137">
        <f>'RRT - Subgrpupo - Gênero'!C39</f>
        <v>0.60740742648732649</v>
      </c>
      <c r="E6" s="143">
        <f>'RRT - Subgrpupo - Gênero'!D39</f>
        <v>29996.078444508912</v>
      </c>
      <c r="F6" s="137">
        <f>'RRT - Subgrpupo - Gênero'!E39</f>
        <v>0.39259257351267363</v>
      </c>
      <c r="G6" s="158">
        <f t="shared" si="0"/>
        <v>76405.109185134876</v>
      </c>
      <c r="I6" s="161" t="s">
        <v>309</v>
      </c>
      <c r="J6" s="63">
        <v>27630.533444891436</v>
      </c>
      <c r="K6" s="63">
        <v>15850.909543419712</v>
      </c>
      <c r="U6" s="61"/>
    </row>
    <row r="7" spans="1:21" ht="24" customHeight="1">
      <c r="A7" s="1179" t="s">
        <v>307</v>
      </c>
      <c r="B7" s="1179" t="s">
        <v>313</v>
      </c>
      <c r="C7" s="143">
        <f>'RRT - Subgrpupo - Gênero'!B40</f>
        <v>1679.6782720638732</v>
      </c>
      <c r="D7" s="137">
        <f>'RRT - Subgrpupo - Gênero'!C40</f>
        <v>0.5083050543890425</v>
      </c>
      <c r="E7" s="143">
        <f>'RRT - Subgrpupo - Gênero'!D40</f>
        <v>1624.7906832621034</v>
      </c>
      <c r="F7" s="137">
        <f>'RRT - Subgrpupo - Gênero'!E40</f>
        <v>0.49169494561095733</v>
      </c>
      <c r="G7" s="158">
        <f t="shared" si="0"/>
        <v>3304.4689553259768</v>
      </c>
      <c r="I7" s="161" t="s">
        <v>310</v>
      </c>
      <c r="J7" s="63">
        <v>2448.0243726719709</v>
      </c>
      <c r="K7" s="63">
        <v>2350.5801070233424</v>
      </c>
    </row>
    <row r="8" spans="1:21" ht="24" customHeight="1">
      <c r="A8" s="1179" t="s">
        <v>307</v>
      </c>
      <c r="B8" s="1179" t="s">
        <v>314</v>
      </c>
      <c r="C8" s="143">
        <f>'RRT - Subgrpupo - Gênero'!B41</f>
        <v>8169.6398994087886</v>
      </c>
      <c r="D8" s="137">
        <f>'RRT - Subgrpupo - Gênero'!C41</f>
        <v>0.54595383266784048</v>
      </c>
      <c r="E8" s="143">
        <f>'RRT - Subgrpupo - Gênero'!D41</f>
        <v>6794.3358263174841</v>
      </c>
      <c r="F8" s="137">
        <f>'RRT - Subgrpupo - Gênero'!E41</f>
        <v>0.45404616733215947</v>
      </c>
      <c r="G8" s="158">
        <f t="shared" si="0"/>
        <v>14963.975725726272</v>
      </c>
      <c r="I8" s="161" t="s">
        <v>311</v>
      </c>
      <c r="J8" s="63">
        <v>6595.6373700098138</v>
      </c>
      <c r="K8" s="63">
        <v>23383.536352705789</v>
      </c>
    </row>
    <row r="9" spans="1:21" ht="24" customHeight="1">
      <c r="A9" s="1179" t="s">
        <v>307</v>
      </c>
      <c r="B9" s="1179" t="s">
        <v>315</v>
      </c>
      <c r="C9" s="143">
        <f>'RRT - Subgrpupo - Gênero'!B42</f>
        <v>15535.532207375118</v>
      </c>
      <c r="D9" s="137">
        <f>'RRT - Subgrpupo - Gênero'!C42</f>
        <v>0.60131468510555408</v>
      </c>
      <c r="E9" s="143">
        <f>'RRT - Subgrpupo - Gênero'!D42</f>
        <v>10300.411254820599</v>
      </c>
      <c r="F9" s="137">
        <f>'RRT - Subgrpupo - Gênero'!E42</f>
        <v>0.39868531489444581</v>
      </c>
      <c r="G9" s="158">
        <f t="shared" si="0"/>
        <v>25835.943462195719</v>
      </c>
      <c r="I9" s="161" t="s">
        <v>312</v>
      </c>
      <c r="J9" s="63">
        <v>46409.03074062596</v>
      </c>
      <c r="K9" s="63">
        <v>29996.078444508912</v>
      </c>
    </row>
    <row r="10" spans="1:21" ht="24" customHeight="1">
      <c r="A10" s="1179" t="s">
        <v>307</v>
      </c>
      <c r="B10" s="1179" t="s">
        <v>316</v>
      </c>
      <c r="C10" s="143">
        <f>'RRT - Subgrpupo - Gênero'!B43</f>
        <v>3023.7199518324956</v>
      </c>
      <c r="D10" s="137">
        <f>'RRT - Subgrpupo - Gênero'!C43</f>
        <v>0.66370189843172056</v>
      </c>
      <c r="E10" s="143">
        <f>'RRT - Subgrpupo - Gênero'!D43</f>
        <v>1532.1204924653546</v>
      </c>
      <c r="F10" s="137">
        <f>'RRT - Subgrpupo - Gênero'!E43</f>
        <v>0.33629810156827972</v>
      </c>
      <c r="G10" s="158">
        <f t="shared" si="0"/>
        <v>4555.8404442978499</v>
      </c>
      <c r="I10" s="161" t="s">
        <v>313</v>
      </c>
      <c r="J10" s="63">
        <v>1679.6782720638732</v>
      </c>
      <c r="K10" s="63">
        <v>1624.7906832621034</v>
      </c>
    </row>
    <row r="11" spans="1:21" ht="24" customHeight="1">
      <c r="A11" s="1179" t="s">
        <v>307</v>
      </c>
      <c r="B11" s="1179" t="s">
        <v>317</v>
      </c>
      <c r="C11" s="143">
        <f>'RRT - Subgrpupo - Gênero'!B44</f>
        <v>3029.1507420667213</v>
      </c>
      <c r="D11" s="137">
        <f>'RRT - Subgrpupo - Gênero'!C44</f>
        <v>0.5679857120857138</v>
      </c>
      <c r="E11" s="143">
        <f>'RRT - Subgrpupo - Gênero'!D44</f>
        <v>2303.9952818769184</v>
      </c>
      <c r="F11" s="137">
        <f>'RRT - Subgrpupo - Gênero'!E44</f>
        <v>0.43201428791428625</v>
      </c>
      <c r="G11" s="158">
        <f t="shared" si="0"/>
        <v>5333.1460239436401</v>
      </c>
      <c r="I11" s="161" t="s">
        <v>314</v>
      </c>
      <c r="J11" s="63">
        <v>8169.6398994087886</v>
      </c>
      <c r="K11" s="63">
        <v>6794.3358263174841</v>
      </c>
    </row>
    <row r="12" spans="1:21" ht="24" customHeight="1">
      <c r="A12" s="1179" t="s">
        <v>307</v>
      </c>
      <c r="B12" s="1179" t="s">
        <v>318</v>
      </c>
      <c r="C12" s="143">
        <f>'RRT - Subgrpupo - Gênero'!B45</f>
        <v>310.69257770701853</v>
      </c>
      <c r="D12" s="137">
        <f>'RRT - Subgrpupo - Gênero'!C45</f>
        <v>0.55109988402965071</v>
      </c>
      <c r="E12" s="143">
        <f>'RRT - Subgrpupo - Gênero'!D45</f>
        <v>253.07560064066988</v>
      </c>
      <c r="F12" s="137">
        <f>'RRT - Subgrpupo - Gênero'!E45</f>
        <v>0.44890011597034929</v>
      </c>
      <c r="G12" s="158">
        <f t="shared" si="0"/>
        <v>563.76817834768838</v>
      </c>
      <c r="I12" s="161" t="s">
        <v>315</v>
      </c>
      <c r="J12" s="63">
        <v>15535.532207375118</v>
      </c>
      <c r="K12" s="63">
        <v>10300.411254820599</v>
      </c>
    </row>
    <row r="13" spans="1:21" ht="24" customHeight="1">
      <c r="A13" s="1179" t="s">
        <v>319</v>
      </c>
      <c r="B13" s="1179" t="s">
        <v>320</v>
      </c>
      <c r="C13" s="143">
        <f>'RRT - Subgrpupo - Gênero'!B47</f>
        <v>81177.179502435189</v>
      </c>
      <c r="D13" s="137">
        <f>'RRT - Subgrpupo - Gênero'!C47</f>
        <v>0.58344910974417197</v>
      </c>
      <c r="E13" s="143">
        <f>'RRT - Subgrpupo - Gênero'!D47</f>
        <v>57956.0853302584</v>
      </c>
      <c r="F13" s="137">
        <f>'RRT - Subgrpupo - Gênero'!E47</f>
        <v>0.41655089025582798</v>
      </c>
      <c r="G13" s="158">
        <f t="shared" si="0"/>
        <v>139133.26483269359</v>
      </c>
      <c r="I13" s="161" t="s">
        <v>316</v>
      </c>
      <c r="J13" s="63">
        <v>3023.7199518324956</v>
      </c>
      <c r="K13" s="63">
        <v>1532.1204924653546</v>
      </c>
    </row>
    <row r="14" spans="1:21" ht="24" customHeight="1">
      <c r="A14" s="1179" t="s">
        <v>319</v>
      </c>
      <c r="B14" s="1179" t="s">
        <v>321</v>
      </c>
      <c r="C14" s="143">
        <f>'RRT - Subgrpupo - Gênero'!B48</f>
        <v>22778.620547344457</v>
      </c>
      <c r="D14" s="137">
        <f>'RRT - Subgrpupo - Gênero'!C48</f>
        <v>0.62768891747712496</v>
      </c>
      <c r="E14" s="143">
        <f>'RRT - Subgrpupo - Gênero'!D48</f>
        <v>13511.044465220601</v>
      </c>
      <c r="F14" s="137">
        <f>'RRT - Subgrpupo - Gênero'!E48</f>
        <v>0.37231108252287509</v>
      </c>
      <c r="G14" s="158">
        <f t="shared" si="0"/>
        <v>36289.665012565056</v>
      </c>
      <c r="I14" s="1020" t="s">
        <v>1081</v>
      </c>
      <c r="J14" s="63">
        <v>236107.1914101312</v>
      </c>
      <c r="K14" s="63">
        <v>207944.01304918353</v>
      </c>
    </row>
    <row r="15" spans="1:21" ht="24" customHeight="1">
      <c r="A15" s="1179" t="s">
        <v>319</v>
      </c>
      <c r="B15" s="1179" t="s">
        <v>322</v>
      </c>
      <c r="C15" s="143">
        <f>'RRT - Subgrpupo - Gênero'!B49</f>
        <v>2521.165367086478</v>
      </c>
      <c r="D15" s="137">
        <f>'RRT - Subgrpupo - Gênero'!C49</f>
        <v>0.6075614210829644</v>
      </c>
      <c r="E15" s="143">
        <f>'RRT - Subgrpupo - Gênero'!D49</f>
        <v>1628.4815321398719</v>
      </c>
      <c r="F15" s="137">
        <f>'RRT - Subgrpupo - Gênero'!E49</f>
        <v>0.3924385789170356</v>
      </c>
      <c r="G15" s="158">
        <f t="shared" si="0"/>
        <v>4149.6468992263499</v>
      </c>
      <c r="I15" s="1020" t="s">
        <v>306</v>
      </c>
      <c r="J15" s="63">
        <v>236107.1914101312</v>
      </c>
      <c r="K15" s="63">
        <v>207944.01304918353</v>
      </c>
    </row>
    <row r="16" spans="1:21" ht="24" customHeight="1">
      <c r="A16" s="1179" t="s">
        <v>319</v>
      </c>
      <c r="B16" s="1179" t="s">
        <v>323</v>
      </c>
      <c r="C16" s="143">
        <f>'RRT - Subgrpupo - Gênero'!B50</f>
        <v>12848.636202125774</v>
      </c>
      <c r="D16" s="137">
        <f>'RRT - Subgrpupo - Gênero'!C50</f>
        <v>0.39520387408837532</v>
      </c>
      <c r="E16" s="143">
        <f>'RRT - Subgrpupo - Gênero'!D50</f>
        <v>19662.776373886991</v>
      </c>
      <c r="F16" s="137">
        <f>'RRT - Subgrpupo - Gênero'!E50</f>
        <v>0.60479612591162446</v>
      </c>
      <c r="G16" s="158">
        <f t="shared" si="0"/>
        <v>32511.412576012764</v>
      </c>
      <c r="J16"/>
      <c r="K16"/>
    </row>
    <row r="17" spans="1:11" ht="24" customHeight="1">
      <c r="A17" s="1179" t="s">
        <v>319</v>
      </c>
      <c r="B17" s="1179" t="s">
        <v>324</v>
      </c>
      <c r="C17" s="143">
        <f>'RRT - Subgrpupo - Gênero'!B51</f>
        <v>37121.62283464674</v>
      </c>
      <c r="D17" s="137">
        <f>'RRT - Subgrpupo - Gênero'!C51</f>
        <v>0.61613368148376246</v>
      </c>
      <c r="E17" s="143">
        <f>'RRT - Subgrpupo - Gênero'!D51</f>
        <v>23127.676871305193</v>
      </c>
      <c r="F17" s="137">
        <f>'RRT - Subgrpupo - Gênero'!E51</f>
        <v>0.38386631851623737</v>
      </c>
      <c r="G17" s="158">
        <f t="shared" si="0"/>
        <v>60249.299705951933</v>
      </c>
      <c r="J17"/>
      <c r="K17"/>
    </row>
    <row r="18" spans="1:11" ht="24" customHeight="1">
      <c r="A18" s="1179" t="s">
        <v>319</v>
      </c>
      <c r="B18" s="1179" t="s">
        <v>325</v>
      </c>
      <c r="C18" s="143">
        <f>'RRT - Subgrpupo - Gênero'!B52</f>
        <v>350.53047768489483</v>
      </c>
      <c r="D18" s="137">
        <f>'RRT - Subgrpupo - Gênero'!C52</f>
        <v>0.65089963836080877</v>
      </c>
      <c r="E18" s="143">
        <f>'RRT - Subgrpupo - Gênero'!D52</f>
        <v>188.00181980977305</v>
      </c>
      <c r="F18" s="137">
        <f>'RRT - Subgrpupo - Gênero'!E52</f>
        <v>0.34910036163919117</v>
      </c>
      <c r="G18" s="158">
        <f t="shared" si="0"/>
        <v>538.53229749466789</v>
      </c>
      <c r="J18"/>
      <c r="K18"/>
    </row>
    <row r="19" spans="1:11" ht="24" customHeight="1">
      <c r="A19" s="1179" t="s">
        <v>319</v>
      </c>
      <c r="B19" s="1179" t="s">
        <v>326</v>
      </c>
      <c r="C19" s="143">
        <f>'RRT - Subgrpupo - Gênero'!B53</f>
        <v>892.14774947109879</v>
      </c>
      <c r="D19" s="137">
        <f>'RRT - Subgrpupo - Gênero'!C53</f>
        <v>0.60100833606959103</v>
      </c>
      <c r="E19" s="143">
        <f>'RRT - Subgrpupo - Gênero'!D53</f>
        <v>592.2705121880814</v>
      </c>
      <c r="F19" s="137">
        <f>'RRT - Subgrpupo - Gênero'!E53</f>
        <v>0.3989916639304088</v>
      </c>
      <c r="G19" s="158">
        <f t="shared" si="0"/>
        <v>1484.4182616591802</v>
      </c>
      <c r="J19"/>
      <c r="K19"/>
    </row>
    <row r="20" spans="1:11" ht="24" customHeight="1">
      <c r="A20" s="1179" t="s">
        <v>319</v>
      </c>
      <c r="B20" s="1179" t="s">
        <v>327</v>
      </c>
      <c r="C20" s="143">
        <f>'RRT - Subgrpupo - Gênero'!B54</f>
        <v>1631.1560422071991</v>
      </c>
      <c r="D20" s="137">
        <f>'RRT - Subgrpupo - Gênero'!C54</f>
        <v>0.67144412053638114</v>
      </c>
      <c r="E20" s="143">
        <f>'RRT - Subgrpupo - Gênero'!D54</f>
        <v>798.16903834329378</v>
      </c>
      <c r="F20" s="137">
        <f>'RRT - Subgrpupo - Gênero'!E54</f>
        <v>0.32855587946361875</v>
      </c>
      <c r="G20" s="158">
        <f t="shared" si="0"/>
        <v>2429.3250805504931</v>
      </c>
      <c r="J20"/>
      <c r="K20"/>
    </row>
    <row r="21" spans="1:11" ht="24" customHeight="1">
      <c r="A21" s="1179" t="s">
        <v>319</v>
      </c>
      <c r="B21" s="1179" t="s">
        <v>328</v>
      </c>
      <c r="C21" s="143">
        <f>'RRT - Subgrpupo - Gênero'!B55</f>
        <v>178.4455044842509</v>
      </c>
      <c r="D21" s="137">
        <f>'RRT - Subgrpupo - Gênero'!C55</f>
        <v>0.69683299977617974</v>
      </c>
      <c r="E21" s="143">
        <f>'RRT - Subgrpupo - Gênero'!D55</f>
        <v>77.635227257166292</v>
      </c>
      <c r="F21" s="137">
        <f>'RRT - Subgrpupo - Gênero'!E55</f>
        <v>0.30316700022382032</v>
      </c>
      <c r="G21" s="158">
        <f t="shared" si="0"/>
        <v>256.0807317414172</v>
      </c>
      <c r="J21"/>
      <c r="K21"/>
    </row>
    <row r="22" spans="1:11" ht="24" customHeight="1">
      <c r="A22" s="1179" t="s">
        <v>329</v>
      </c>
      <c r="B22" s="1179" t="s">
        <v>330</v>
      </c>
      <c r="C22" s="143">
        <f>'RRT - Subgrpupo - Gênero'!B57</f>
        <v>1109.9201288618913</v>
      </c>
      <c r="D22" s="137">
        <f>'RRT - Subgrpupo - Gênero'!C57</f>
        <v>0.49185102248612761</v>
      </c>
      <c r="E22" s="143">
        <f>'RRT - Subgrpupo - Gênero'!D57</f>
        <v>1146.6983960964378</v>
      </c>
      <c r="F22" s="137">
        <f>'RRT - Subgrpupo - Gênero'!E57</f>
        <v>0.50814897751387234</v>
      </c>
      <c r="G22" s="158">
        <f t="shared" si="0"/>
        <v>2256.6185249583291</v>
      </c>
      <c r="J22"/>
      <c r="K22"/>
    </row>
    <row r="23" spans="1:11" ht="24" customHeight="1">
      <c r="A23" s="1179" t="s">
        <v>329</v>
      </c>
      <c r="B23" s="1179" t="s">
        <v>331</v>
      </c>
      <c r="C23" s="143">
        <f>'RRT - Subgrpupo - Gênero'!B58</f>
        <v>1276.2094419440025</v>
      </c>
      <c r="D23" s="137">
        <f>'RRT - Subgrpupo - Gênero'!C58</f>
        <v>0.56746361795311773</v>
      </c>
      <c r="E23" s="143">
        <f>'RRT - Subgrpupo - Gênero'!D58</f>
        <v>972.76194858739757</v>
      </c>
      <c r="F23" s="137">
        <f>'RRT - Subgrpupo - Gênero'!E58</f>
        <v>0.43253638204688216</v>
      </c>
      <c r="G23" s="158">
        <f t="shared" si="0"/>
        <v>2248.9713905314002</v>
      </c>
      <c r="J23"/>
      <c r="K23"/>
    </row>
    <row r="24" spans="1:11" ht="24" customHeight="1">
      <c r="A24" s="1179" t="s">
        <v>329</v>
      </c>
      <c r="B24" s="1179" t="s">
        <v>332</v>
      </c>
      <c r="C24" s="143">
        <f>'RRT - Subgrpupo - Gênero'!B59</f>
        <v>3807.1971311344005</v>
      </c>
      <c r="D24" s="137">
        <f>'RRT - Subgrpupo - Gênero'!C59</f>
        <v>0.47883923549839852</v>
      </c>
      <c r="E24" s="143">
        <f>'RRT - Subgrpupo - Gênero'!D59</f>
        <v>4143.6908681994255</v>
      </c>
      <c r="F24" s="137">
        <f>'RRT - Subgrpupo - Gênero'!E59</f>
        <v>0.52116076450160154</v>
      </c>
      <c r="G24" s="158">
        <f t="shared" si="0"/>
        <v>7950.887999333826</v>
      </c>
      <c r="J24"/>
      <c r="K24"/>
    </row>
    <row r="25" spans="1:11" ht="24" customHeight="1">
      <c r="A25" s="1179" t="s">
        <v>329</v>
      </c>
      <c r="B25" s="1179" t="s">
        <v>333</v>
      </c>
      <c r="C25" s="143">
        <f>'RRT - Subgrpupo - Gênero'!B60</f>
        <v>673.07735987614603</v>
      </c>
      <c r="D25" s="137">
        <f>'RRT - Subgrpupo - Gênero'!C60</f>
        <v>0.50171555089365716</v>
      </c>
      <c r="E25" s="143">
        <f>'RRT - Subgrpupo - Gênero'!D60</f>
        <v>668.47435937445073</v>
      </c>
      <c r="F25" s="137">
        <f>'RRT - Subgrpupo - Gênero'!E60</f>
        <v>0.49828444910634284</v>
      </c>
      <c r="G25" s="158">
        <f t="shared" si="0"/>
        <v>1341.5517192505968</v>
      </c>
      <c r="J25"/>
      <c r="K25"/>
    </row>
    <row r="26" spans="1:11" ht="24" customHeight="1">
      <c r="A26" s="1179" t="s">
        <v>329</v>
      </c>
      <c r="B26" s="1179" t="s">
        <v>334</v>
      </c>
      <c r="C26" s="143">
        <f>'RRT - Subgrpupo - Gênero'!B61</f>
        <v>1137.5158904378518</v>
      </c>
      <c r="D26" s="137">
        <f>'RRT - Subgrpupo - Gênero'!C61</f>
        <v>0.49688788326658195</v>
      </c>
      <c r="E26" s="143">
        <f>'RRT - Subgrpupo - Gênero'!D61</f>
        <v>1151.764908602222</v>
      </c>
      <c r="F26" s="137">
        <f>'RRT - Subgrpupo - Gênero'!E61</f>
        <v>0.50311211673341794</v>
      </c>
      <c r="G26" s="158">
        <f t="shared" si="0"/>
        <v>2289.2807990400738</v>
      </c>
      <c r="J26"/>
      <c r="K26"/>
    </row>
    <row r="27" spans="1:11" ht="24" customHeight="1">
      <c r="A27" s="1179" t="s">
        <v>329</v>
      </c>
      <c r="B27" s="1179" t="s">
        <v>335</v>
      </c>
      <c r="C27" s="143">
        <f>'RRT - Subgrpupo - Gênero'!B62</f>
        <v>2576.8090005956801</v>
      </c>
      <c r="D27" s="137">
        <f>'RRT - Subgrpupo - Gênero'!C62</f>
        <v>0.54346721661784814</v>
      </c>
      <c r="E27" s="143">
        <f>'RRT - Subgrpupo - Gênero'!D62</f>
        <v>2164.6159130024184</v>
      </c>
      <c r="F27" s="137">
        <f>'RRT - Subgrpupo - Gênero'!E62</f>
        <v>0.45653278338215175</v>
      </c>
      <c r="G27" s="158">
        <f t="shared" si="0"/>
        <v>4741.424913598099</v>
      </c>
      <c r="J27"/>
      <c r="K27"/>
    </row>
    <row r="28" spans="1:11" ht="24" customHeight="1">
      <c r="A28" s="1179" t="s">
        <v>329</v>
      </c>
      <c r="B28" s="1179" t="s">
        <v>336</v>
      </c>
      <c r="C28" s="143">
        <f>'RRT - Subgrpupo - Gênero'!B63</f>
        <v>2053.812917364588</v>
      </c>
      <c r="D28" s="137">
        <f>'RRT - Subgrpupo - Gênero'!C63</f>
        <v>0.48165289939250805</v>
      </c>
      <c r="E28" s="143">
        <f>'RRT - Subgrpupo - Gênero'!D63</f>
        <v>2210.2804161438166</v>
      </c>
      <c r="F28" s="137">
        <f>'RRT - Subgrpupo - Gênero'!E63</f>
        <v>0.5183471006074919</v>
      </c>
      <c r="G28" s="158">
        <f t="shared" si="0"/>
        <v>4264.0933335084046</v>
      </c>
      <c r="J28"/>
      <c r="K28"/>
    </row>
    <row r="29" spans="1:11" ht="24" customHeight="1">
      <c r="A29" s="1179" t="s">
        <v>337</v>
      </c>
      <c r="B29" s="1179" t="s">
        <v>338</v>
      </c>
      <c r="C29" s="143">
        <f>'RRT - Subgrpupo - Gênero'!B65</f>
        <v>4558.3811272795938</v>
      </c>
      <c r="D29" s="137">
        <f>'RRT - Subgrpupo - Gênero'!C65</f>
        <v>0.64866090351662953</v>
      </c>
      <c r="E29" s="143">
        <f>'RRT - Subgrpupo - Gênero'!D65</f>
        <v>2468.9903430324462</v>
      </c>
      <c r="F29" s="137">
        <f>'RRT - Subgrpupo - Gênero'!E65</f>
        <v>0.35133909648337036</v>
      </c>
      <c r="G29" s="158">
        <f t="shared" si="0"/>
        <v>7027.3714703120404</v>
      </c>
      <c r="J29"/>
      <c r="K29"/>
    </row>
    <row r="30" spans="1:11" ht="24" customHeight="1">
      <c r="A30" s="1179" t="s">
        <v>337</v>
      </c>
      <c r="B30" s="1179" t="s">
        <v>339</v>
      </c>
      <c r="C30" s="143">
        <f>'RRT - Subgrpupo - Gênero'!B66</f>
        <v>2683.0171964142014</v>
      </c>
      <c r="D30" s="137">
        <f>'RRT - Subgrpupo - Gênero'!C66</f>
        <v>0.53325114606412449</v>
      </c>
      <c r="E30" s="143">
        <f>'RRT - Subgrpupo - Gênero'!D66</f>
        <v>2348.415396309309</v>
      </c>
      <c r="F30" s="137">
        <f>'RRT - Subgrpupo - Gênero'!E66</f>
        <v>0.46674885393587551</v>
      </c>
      <c r="G30" s="158">
        <f t="shared" ref="G30:G54" si="1">C30+E30</f>
        <v>5031.4325927235104</v>
      </c>
      <c r="J30"/>
      <c r="K30"/>
    </row>
    <row r="31" spans="1:11" ht="24" customHeight="1">
      <c r="A31" s="1179" t="s">
        <v>337</v>
      </c>
      <c r="B31" s="1179" t="s">
        <v>340</v>
      </c>
      <c r="C31" s="143">
        <f>'RRT - Subgrpupo - Gênero'!B67</f>
        <v>70.59730489141964</v>
      </c>
      <c r="D31" s="137">
        <f>'RRT - Subgrpupo - Gênero'!C67</f>
        <v>0.45411502985032404</v>
      </c>
      <c r="E31" s="143">
        <f>'RRT - Subgrpupo - Gênero'!D67</f>
        <v>84.863977494870142</v>
      </c>
      <c r="F31" s="137">
        <f>'RRT - Subgrpupo - Gênero'!E67</f>
        <v>0.54588497014967596</v>
      </c>
      <c r="G31" s="158">
        <f t="shared" si="1"/>
        <v>155.46128238628978</v>
      </c>
      <c r="J31"/>
      <c r="K31"/>
    </row>
    <row r="32" spans="1:11" ht="24" customHeight="1">
      <c r="A32" s="1179" t="s">
        <v>337</v>
      </c>
      <c r="B32" s="1179" t="s">
        <v>341</v>
      </c>
      <c r="C32" s="143">
        <f>'RRT - Subgrpupo - Gênero'!B68</f>
        <v>333.24467344256016</v>
      </c>
      <c r="D32" s="137">
        <f>'RRT - Subgrpupo - Gênero'!C68</f>
        <v>0.43187507816981952</v>
      </c>
      <c r="E32" s="143">
        <f>'RRT - Subgrpupo - Gênero'!D68</f>
        <v>438.37816447336968</v>
      </c>
      <c r="F32" s="137">
        <f>'RRT - Subgrpupo - Gênero'!E68</f>
        <v>0.56812492183018048</v>
      </c>
      <c r="G32" s="158">
        <f t="shared" si="1"/>
        <v>771.62283791592984</v>
      </c>
      <c r="J32"/>
      <c r="K32"/>
    </row>
    <row r="33" spans="1:11" ht="24" customHeight="1">
      <c r="A33" s="1179" t="s">
        <v>342</v>
      </c>
      <c r="B33" s="1179" t="s">
        <v>343</v>
      </c>
      <c r="C33" s="143">
        <f>'RRT - Subgrpupo - Gênero'!B70</f>
        <v>1038.192891826254</v>
      </c>
      <c r="D33" s="137">
        <f>'RRT - Subgrpupo - Gênero'!C70</f>
        <v>0.44010060345073276</v>
      </c>
      <c r="E33" s="143">
        <f>'RRT - Subgrpupo - Gênero'!D70</f>
        <v>1320.7970383988134</v>
      </c>
      <c r="F33" s="137">
        <f>'RRT - Subgrpupo - Gênero'!E70</f>
        <v>0.55989939654926735</v>
      </c>
      <c r="G33" s="158">
        <f t="shared" si="1"/>
        <v>2358.9899302250674</v>
      </c>
      <c r="J33"/>
      <c r="K33"/>
    </row>
    <row r="34" spans="1:11" ht="24" customHeight="1">
      <c r="A34" s="1179" t="s">
        <v>342</v>
      </c>
      <c r="B34" s="1179" t="s">
        <v>344</v>
      </c>
      <c r="C34" s="143">
        <f>'RRT - Subgrpupo - Gênero'!B71</f>
        <v>650.63567717260207</v>
      </c>
      <c r="D34" s="137">
        <f>'RRT - Subgrpupo - Gênero'!C71</f>
        <v>0.4580788253013035</v>
      </c>
      <c r="E34" s="143">
        <f>'RRT - Subgrpupo - Gênero'!D71</f>
        <v>769.72178367410561</v>
      </c>
      <c r="F34" s="137">
        <f>'RRT - Subgrpupo - Gênero'!E71</f>
        <v>0.5419211746986965</v>
      </c>
      <c r="G34" s="158">
        <f t="shared" si="1"/>
        <v>1420.3574608467077</v>
      </c>
      <c r="J34"/>
      <c r="K34"/>
    </row>
    <row r="35" spans="1:11" ht="24" customHeight="1">
      <c r="A35" s="1179" t="s">
        <v>342</v>
      </c>
      <c r="B35" s="1179" t="s">
        <v>345</v>
      </c>
      <c r="C35" s="143">
        <f>'RRT - Subgrpupo - Gênero'!B72</f>
        <v>667.67836335217692</v>
      </c>
      <c r="D35" s="137">
        <f>'RRT - Subgrpupo - Gênero'!C72</f>
        <v>0.53262810843554809</v>
      </c>
      <c r="E35" s="143">
        <f>'RRT - Subgrpupo - Gênero'!D72</f>
        <v>585.87613889386989</v>
      </c>
      <c r="F35" s="137">
        <f>'RRT - Subgrpupo - Gênero'!E72</f>
        <v>0.46737189156445197</v>
      </c>
      <c r="G35" s="158">
        <f t="shared" si="1"/>
        <v>1253.5545022460469</v>
      </c>
      <c r="J35"/>
      <c r="K35"/>
    </row>
    <row r="36" spans="1:11" ht="24" customHeight="1">
      <c r="A36" s="1179" t="s">
        <v>342</v>
      </c>
      <c r="B36" s="1179" t="s">
        <v>346</v>
      </c>
      <c r="C36" s="143">
        <f>'RRT - Subgrpupo - Gênero'!B73</f>
        <v>9088.9117039678949</v>
      </c>
      <c r="D36" s="137">
        <f>'RRT - Subgrpupo - Gênero'!C73</f>
        <v>0.53373185281539914</v>
      </c>
      <c r="E36" s="143">
        <f>'RRT - Subgrpupo - Gênero'!D73</f>
        <v>7940.0732742088921</v>
      </c>
      <c r="F36" s="137">
        <f>'RRT - Subgrpupo - Gênero'!E73</f>
        <v>0.46626814718460097</v>
      </c>
      <c r="G36" s="158">
        <f t="shared" si="1"/>
        <v>17028.984978176788</v>
      </c>
      <c r="J36"/>
      <c r="K36"/>
    </row>
    <row r="37" spans="1:11" ht="24" customHeight="1">
      <c r="A37" s="1179" t="s">
        <v>342</v>
      </c>
      <c r="B37" s="1179" t="s">
        <v>347</v>
      </c>
      <c r="C37" s="143">
        <f>'RRT - Subgrpupo - Gênero'!B74</f>
        <v>374.80037682416344</v>
      </c>
      <c r="D37" s="137">
        <f>'RRT - Subgrpupo - Gênero'!C74</f>
        <v>0.67789000067979155</v>
      </c>
      <c r="E37" s="143">
        <f>'RRT - Subgrpupo - Gênero'!D74</f>
        <v>178.09224063340588</v>
      </c>
      <c r="F37" s="137">
        <f>'RRT - Subgrpupo - Gênero'!E74</f>
        <v>0.32210999932020834</v>
      </c>
      <c r="G37" s="158">
        <f t="shared" si="1"/>
        <v>552.89261745756926</v>
      </c>
      <c r="J37"/>
      <c r="K37"/>
    </row>
    <row r="38" spans="1:11" ht="24" customHeight="1">
      <c r="A38" s="1179" t="s">
        <v>342</v>
      </c>
      <c r="B38" s="1179" t="s">
        <v>348</v>
      </c>
      <c r="C38" s="143">
        <f>'RRT - Subgrpupo - Gênero'!B75</f>
        <v>3499.9751322873481</v>
      </c>
      <c r="D38" s="137">
        <f>'RRT - Subgrpupo - Gênero'!C75</f>
        <v>0.45526911391380009</v>
      </c>
      <c r="E38" s="143">
        <f>'RRT - Subgrpupo - Gênero'!D75</f>
        <v>4187.7309415976188</v>
      </c>
      <c r="F38" s="137">
        <f>'RRT - Subgrpupo - Gênero'!E75</f>
        <v>0.54473088608619991</v>
      </c>
      <c r="G38" s="158">
        <f t="shared" si="1"/>
        <v>7687.7060738849668</v>
      </c>
      <c r="J38"/>
      <c r="K38"/>
    </row>
    <row r="39" spans="1:11" ht="24" customHeight="1">
      <c r="A39" s="1179" t="s">
        <v>342</v>
      </c>
      <c r="B39" s="1179" t="s">
        <v>349</v>
      </c>
      <c r="C39" s="143">
        <f>'RRT - Subgrpupo - Gênero'!B76</f>
        <v>20053.959164199721</v>
      </c>
      <c r="D39" s="137">
        <f>'RRT - Subgrpupo - Gênero'!C76</f>
        <v>0.5308981109620079</v>
      </c>
      <c r="E39" s="143">
        <f>'RRT - Subgrpupo - Gênero'!D76</f>
        <v>17719.690336758518</v>
      </c>
      <c r="F39" s="137">
        <f>'RRT - Subgrpupo - Gênero'!E76</f>
        <v>0.46910188903799216</v>
      </c>
      <c r="G39" s="158">
        <f t="shared" si="1"/>
        <v>37773.649500958243</v>
      </c>
      <c r="J39"/>
      <c r="K39"/>
    </row>
    <row r="40" spans="1:11" ht="24" customHeight="1">
      <c r="A40" s="1179" t="s">
        <v>342</v>
      </c>
      <c r="B40" s="1179" t="s">
        <v>350</v>
      </c>
      <c r="C40" s="143">
        <f>'RRT - Subgrpupo - Gênero'!B77</f>
        <v>2268.1074541954436</v>
      </c>
      <c r="D40" s="137">
        <f>'RRT - Subgrpupo - Gênero'!C77</f>
        <v>0.59957468232853328</v>
      </c>
      <c r="E40" s="143">
        <f>'RRT - Subgrpupo - Gênero'!D77</f>
        <v>1514.753165247203</v>
      </c>
      <c r="F40" s="137">
        <f>'RRT - Subgrpupo - Gênero'!E77</f>
        <v>0.40042531767146666</v>
      </c>
      <c r="G40" s="158">
        <f t="shared" si="1"/>
        <v>3782.8606194426466</v>
      </c>
      <c r="J40"/>
      <c r="K40"/>
    </row>
    <row r="41" spans="1:11" ht="24" customHeight="1">
      <c r="A41" s="1179" t="s">
        <v>342</v>
      </c>
      <c r="B41" s="1179" t="s">
        <v>351</v>
      </c>
      <c r="C41" s="143">
        <f>'RRT - Subgrpupo - Gênero'!B78</f>
        <v>19.598027550070153</v>
      </c>
      <c r="D41" s="137">
        <f>'RRT - Subgrpupo - Gênero'!C78</f>
        <v>0.46795454545454546</v>
      </c>
      <c r="E41" s="143">
        <f>'RRT - Subgrpupo - Gênero'!D78</f>
        <v>22.282167311663052</v>
      </c>
      <c r="F41" s="137">
        <f>'RRT - Subgrpupo - Gênero'!E78</f>
        <v>0.53204545454545449</v>
      </c>
      <c r="G41" s="158">
        <f t="shared" si="1"/>
        <v>41.880194861733202</v>
      </c>
      <c r="J41"/>
      <c r="K41"/>
    </row>
    <row r="42" spans="1:11" ht="24" customHeight="1">
      <c r="A42" s="1179" t="s">
        <v>342</v>
      </c>
      <c r="B42" s="1179" t="s">
        <v>352</v>
      </c>
      <c r="C42" s="143">
        <f>'RRT - Subgrpupo - Gênero'!B79</f>
        <v>9.5676983582726933</v>
      </c>
      <c r="D42" s="137">
        <f>'RRT - Subgrpupo - Gênero'!C79</f>
        <v>0.62916666666666665</v>
      </c>
      <c r="E42" s="143">
        <f>'RRT - Subgrpupo - Gênero'!D79</f>
        <v>5.639239429710396</v>
      </c>
      <c r="F42" s="137">
        <f>'RRT - Subgrpupo - Gênero'!E79</f>
        <v>0.37083333333333335</v>
      </c>
      <c r="G42" s="158">
        <f t="shared" si="1"/>
        <v>15.20693778798309</v>
      </c>
      <c r="J42"/>
      <c r="K42"/>
    </row>
    <row r="43" spans="1:11" ht="24" customHeight="1">
      <c r="A43" s="1179" t="s">
        <v>342</v>
      </c>
      <c r="B43" s="1179" t="s">
        <v>353</v>
      </c>
      <c r="C43" s="143">
        <f>'RRT - Subgrpupo - Gênero'!B80</f>
        <v>1581.2057912593341</v>
      </c>
      <c r="D43" s="137">
        <f>'RRT - Subgrpupo - Gênero'!C80</f>
        <v>0.56714699830874804</v>
      </c>
      <c r="E43" s="143">
        <f>'RRT - Subgrpupo - Gênero'!D80</f>
        <v>1206.7941381673304</v>
      </c>
      <c r="F43" s="137">
        <f>'RRT - Subgrpupo - Gênero'!E80</f>
        <v>0.43285300169125202</v>
      </c>
      <c r="G43" s="158">
        <f t="shared" si="1"/>
        <v>2787.9999294266645</v>
      </c>
      <c r="J43"/>
      <c r="K43"/>
    </row>
    <row r="44" spans="1:11" ht="24" customHeight="1">
      <c r="A44" s="1179" t="s">
        <v>354</v>
      </c>
      <c r="B44" s="1179" t="s">
        <v>355</v>
      </c>
      <c r="C44" s="143">
        <f>'RRT - Subgrpupo - Gênero'!B82</f>
        <v>61.198676678120314</v>
      </c>
      <c r="D44" s="137">
        <f>'RRT - Subgrpupo - Gênero'!C82</f>
        <v>0.51671448087431704</v>
      </c>
      <c r="E44" s="143">
        <f>'RRT - Subgrpupo - Gênero'!D82</f>
        <v>57.239414266356178</v>
      </c>
      <c r="F44" s="137">
        <f>'RRT - Subgrpupo - Gênero'!E82</f>
        <v>0.48328551912568302</v>
      </c>
      <c r="G44" s="158">
        <f t="shared" si="1"/>
        <v>118.4380909444765</v>
      </c>
      <c r="J44"/>
      <c r="K44"/>
    </row>
    <row r="45" spans="1:11" ht="24" customHeight="1">
      <c r="A45" s="1179" t="s">
        <v>354</v>
      </c>
      <c r="B45" s="1179" t="s">
        <v>356</v>
      </c>
      <c r="C45" s="143">
        <f>'RRT - Subgrpupo - Gênero'!B83</f>
        <v>1.7737568085074529</v>
      </c>
      <c r="D45" s="137">
        <f>'RRT - Subgrpupo - Gênero'!C83</f>
        <v>0.11076711386308909</v>
      </c>
      <c r="E45" s="143">
        <f>'RRT - Subgrpupo - Gênero'!D83</f>
        <v>14.239631521713559</v>
      </c>
      <c r="F45" s="137">
        <f>'RRT - Subgrpupo - Gênero'!E83</f>
        <v>0.88923288613691087</v>
      </c>
      <c r="G45" s="158">
        <f t="shared" si="1"/>
        <v>16.013388330221012</v>
      </c>
      <c r="J45"/>
      <c r="K45"/>
    </row>
    <row r="46" spans="1:11" ht="24" customHeight="1">
      <c r="A46" s="1179" t="s">
        <v>354</v>
      </c>
      <c r="B46" s="1179" t="s">
        <v>357</v>
      </c>
      <c r="C46" s="143">
        <f>'RRT - Subgrpupo - Gênero'!B84</f>
        <v>67.466248263621694</v>
      </c>
      <c r="D46" s="137">
        <f>'RRT - Subgrpupo - Gênero'!C84</f>
        <v>0.68046464646464644</v>
      </c>
      <c r="E46" s="143">
        <f>'RRT - Subgrpupo - Gênero'!D84</f>
        <v>31.681074986957938</v>
      </c>
      <c r="F46" s="137">
        <f>'RRT - Subgrpupo - Gênero'!E84</f>
        <v>0.31953535353535351</v>
      </c>
      <c r="G46" s="158">
        <f t="shared" si="1"/>
        <v>99.147323250579632</v>
      </c>
      <c r="J46"/>
      <c r="K46"/>
    </row>
    <row r="47" spans="1:11" ht="24" customHeight="1">
      <c r="A47" s="1179" t="s">
        <v>358</v>
      </c>
      <c r="B47" s="1179" t="s">
        <v>359</v>
      </c>
      <c r="C47" s="143">
        <f>'RRT - Subgrpupo - Gênero'!B86</f>
        <v>158.10504231756278</v>
      </c>
      <c r="D47" s="137">
        <f>'RRT - Subgrpupo - Gênero'!C86</f>
        <v>0.57098342329154339</v>
      </c>
      <c r="E47" s="143">
        <f>'RRT - Subgrpupo - Gênero'!D86</f>
        <v>118.79448903158908</v>
      </c>
      <c r="F47" s="137">
        <f>'RRT - Subgrpupo - Gênero'!E86</f>
        <v>0.42901657670845655</v>
      </c>
      <c r="G47" s="158">
        <f t="shared" si="1"/>
        <v>276.89953134915186</v>
      </c>
      <c r="J47"/>
      <c r="K47"/>
    </row>
    <row r="48" spans="1:11" ht="24" customHeight="1">
      <c r="A48" s="1179" t="s">
        <v>358</v>
      </c>
      <c r="B48" s="1179" t="s">
        <v>360</v>
      </c>
      <c r="C48" s="143">
        <f>'RRT - Subgrpupo - Gênero'!B87</f>
        <v>600.43206087178567</v>
      </c>
      <c r="D48" s="137">
        <f>'RRT - Subgrpupo - Gênero'!C87</f>
        <v>0.53036152468733011</v>
      </c>
      <c r="E48" s="143">
        <f>'RRT - Subgrpupo - Gênero'!D87</f>
        <v>531.68637706687332</v>
      </c>
      <c r="F48" s="137">
        <f>'RRT - Subgrpupo - Gênero'!E87</f>
        <v>0.46963847531266995</v>
      </c>
      <c r="G48" s="158">
        <f t="shared" si="1"/>
        <v>1132.1184379386591</v>
      </c>
      <c r="J48"/>
      <c r="K48"/>
    </row>
    <row r="49" spans="1:11" ht="24" customHeight="1">
      <c r="A49" s="1179" t="s">
        <v>358</v>
      </c>
      <c r="B49" s="1179" t="s">
        <v>361</v>
      </c>
      <c r="C49" s="143">
        <f>'RRT - Subgrpupo - Gênero'!B88</f>
        <v>230.14547753024689</v>
      </c>
      <c r="D49" s="137">
        <f>'RRT - Subgrpupo - Gênero'!C88</f>
        <v>0.71336930914386154</v>
      </c>
      <c r="E49" s="143">
        <f>'RRT - Subgrpupo - Gênero'!D88</f>
        <v>92.472098780194912</v>
      </c>
      <c r="F49" s="137">
        <f>'RRT - Subgrpupo - Gênero'!E88</f>
        <v>0.28663069085613851</v>
      </c>
      <c r="G49" s="158">
        <f t="shared" si="1"/>
        <v>322.61757631044179</v>
      </c>
      <c r="J49"/>
      <c r="K49"/>
    </row>
    <row r="50" spans="1:11" ht="24" customHeight="1">
      <c r="A50" s="1179" t="s">
        <v>358</v>
      </c>
      <c r="B50" s="1179" t="s">
        <v>362</v>
      </c>
      <c r="C50" s="143">
        <f>IFERROR('RRT - Subgrpupo - Gênero'!B89,)</f>
        <v>18.655315724121113</v>
      </c>
      <c r="D50" s="137">
        <f>IFERROR('RRT - Subgrpupo - Gênero'!C89,)</f>
        <v>0.62798848203958491</v>
      </c>
      <c r="E50" s="143">
        <f>IFERROR('RRT - Subgrpupo - Gênero'!D89,)</f>
        <v>11.051145871372265</v>
      </c>
      <c r="F50" s="137">
        <f>IFERROR('RRT - Subgrpupo - Gênero'!E89,)</f>
        <v>0.37201151796041504</v>
      </c>
      <c r="G50" s="158">
        <f t="shared" si="1"/>
        <v>29.70646159549338</v>
      </c>
      <c r="J50"/>
      <c r="K50"/>
    </row>
    <row r="51" spans="1:11" ht="24" customHeight="1">
      <c r="A51" s="1179" t="s">
        <v>358</v>
      </c>
      <c r="B51" s="1179" t="s">
        <v>363</v>
      </c>
      <c r="C51" s="143">
        <f>IFERROR('RRT - Subgrpupo - Gênero'!B90,)</f>
        <v>65.045915995666377</v>
      </c>
      <c r="D51" s="137">
        <f>IFERROR('RRT - Subgrpupo - Gênero'!C90,)</f>
        <v>0.66388888888888897</v>
      </c>
      <c r="E51" s="143">
        <f>IFERROR('RRT - Subgrpupo - Gênero'!D90,)</f>
        <v>32.931195964333192</v>
      </c>
      <c r="F51" s="137">
        <f>IFERROR('RRT - Subgrpupo - Gênero'!E90,)</f>
        <v>0.33611111111111114</v>
      </c>
      <c r="G51" s="158">
        <f t="shared" si="1"/>
        <v>97.977111959999576</v>
      </c>
      <c r="J51"/>
      <c r="K51"/>
    </row>
    <row r="52" spans="1:11" ht="24" customHeight="1">
      <c r="A52" s="1179" t="s">
        <v>358</v>
      </c>
      <c r="B52" s="1179" t="s">
        <v>364</v>
      </c>
      <c r="C52" s="143">
        <f>'RRT - Subgrpupo - Gênero'!B91</f>
        <v>133.44409584448974</v>
      </c>
      <c r="D52" s="137">
        <f>'RRT - Subgrpupo - Gênero'!C91</f>
        <v>0.50471875862674964</v>
      </c>
      <c r="E52" s="143">
        <f>'RRT - Subgrpupo - Gênero'!D91</f>
        <v>130.94888254919525</v>
      </c>
      <c r="F52" s="137">
        <f>'RRT - Subgrpupo - Gênero'!E91</f>
        <v>0.49528124137325036</v>
      </c>
      <c r="G52" s="158">
        <f t="shared" si="1"/>
        <v>264.39297839368498</v>
      </c>
      <c r="J52"/>
      <c r="K52"/>
    </row>
    <row r="53" spans="1:11" ht="24" customHeight="1">
      <c r="A53" s="1179" t="s">
        <v>358</v>
      </c>
      <c r="B53" s="1179" t="s">
        <v>365</v>
      </c>
      <c r="C53" s="143">
        <f>'RRT - Subgrpupo - Gênero'!B92</f>
        <v>468.86361454930039</v>
      </c>
      <c r="D53" s="137">
        <f>'RRT - Subgrpupo - Gênero'!C92</f>
        <v>0.58332639541144182</v>
      </c>
      <c r="E53" s="143">
        <f>'RRT - Subgrpupo - Gênero'!D92</f>
        <v>334.91214159249648</v>
      </c>
      <c r="F53" s="137">
        <f>'RRT - Subgrpupo - Gênero'!E92</f>
        <v>0.41667360458855823</v>
      </c>
      <c r="G53" s="158">
        <f t="shared" si="1"/>
        <v>803.77575614179682</v>
      </c>
      <c r="J53"/>
      <c r="K53"/>
    </row>
    <row r="54" spans="1:11" ht="24" customHeight="1">
      <c r="A54" s="1179" t="s">
        <v>358</v>
      </c>
      <c r="B54" s="1180" t="s">
        <v>366</v>
      </c>
      <c r="C54" s="143">
        <f>'RRT - Subgrpupo - Gênero'!B93</f>
        <v>739.65694642108531</v>
      </c>
      <c r="D54" s="137">
        <f>'RRT - Subgrpupo - Gênero'!C93</f>
        <v>0.31166232856380138</v>
      </c>
      <c r="E54" s="143">
        <f>'RRT - Subgrpupo - Gênero'!D93</f>
        <v>1633.6069312813102</v>
      </c>
      <c r="F54" s="137">
        <f>'RRT - Subgrpupo - Gênero'!E93</f>
        <v>0.68833767143619862</v>
      </c>
      <c r="G54" s="159">
        <f t="shared" si="1"/>
        <v>2373.2638777023953</v>
      </c>
      <c r="J54"/>
      <c r="K54"/>
    </row>
    <row r="55" spans="1:11">
      <c r="B55" s="1181"/>
      <c r="C55" s="995">
        <f>SUBTOTAL(109,Tabela2[Masc. RRT])</f>
        <v>457683.89724185754</v>
      </c>
      <c r="D55" s="996"/>
      <c r="E55" s="995">
        <f>SUBTOTAL(109,Tabela2[Fem. RRT])</f>
        <v>381726.10275814252</v>
      </c>
      <c r="F55" s="996"/>
      <c r="G55" s="997">
        <f>SUBTOTAL(109,Tabela2[Total RRT])</f>
        <v>839410</v>
      </c>
      <c r="J55"/>
      <c r="K55"/>
    </row>
    <row r="56" spans="1:11">
      <c r="J56"/>
      <c r="K56"/>
    </row>
    <row r="57" spans="1:11">
      <c r="G57" s="97" t="b">
        <f>Tabela2[[#Totals],[Total RRT]]=GETPIVOTDATA("Soma de Masc. RRT",$I$1)+GETPIVOTDATA("Soma de Fem. RRT",$I$1)</f>
        <v>0</v>
      </c>
      <c r="J57"/>
      <c r="K57"/>
    </row>
    <row r="58" spans="1:11">
      <c r="J58"/>
      <c r="K58"/>
    </row>
    <row r="59" spans="1:11">
      <c r="J59"/>
      <c r="K59"/>
    </row>
    <row r="60" spans="1:11">
      <c r="J60"/>
      <c r="K60"/>
    </row>
    <row r="61" spans="1:11">
      <c r="J61"/>
      <c r="K61"/>
    </row>
    <row r="62" spans="1:11">
      <c r="J62"/>
      <c r="K62"/>
    </row>
    <row r="63" spans="1:11">
      <c r="J63"/>
      <c r="K63"/>
    </row>
    <row r="64" spans="1:11">
      <c r="J64"/>
      <c r="K64"/>
    </row>
    <row r="65" spans="10:11">
      <c r="J65"/>
      <c r="K65"/>
    </row>
    <row r="66" spans="10:11">
      <c r="J66"/>
      <c r="K66"/>
    </row>
    <row r="67" spans="10:11">
      <c r="J67"/>
      <c r="K67"/>
    </row>
    <row r="68" spans="10:11">
      <c r="J68"/>
      <c r="K68"/>
    </row>
    <row r="69" spans="10:11">
      <c r="J69"/>
      <c r="K69"/>
    </row>
  </sheetData>
  <pageMargins left="0.511811024" right="0.511811024" top="0.78740157499999996" bottom="0.78740157499999996" header="0.31496062000000002" footer="0.31496062000000002"/>
  <pageSetup paperSize="9" orientation="portrait" verticalDpi="0"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theme="9" tint="0.59999389629810485"/>
  </sheetPr>
  <dimension ref="A1:XFC37"/>
  <sheetViews>
    <sheetView showGridLines="0" showRowColHeaders="0" zoomScale="69" zoomScaleNormal="6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theme="9" tint="0.59999389629810485"/>
  </sheetPr>
  <dimension ref="A1:XFC37"/>
  <sheetViews>
    <sheetView showGridLines="0" showRowColHeaders="0" tabSelected="1" zoomScale="62" zoomScaleNormal="62"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5">
    <tabColor theme="9" tint="0.59999389629810485"/>
  </sheetPr>
  <dimension ref="A1:XFC37"/>
  <sheetViews>
    <sheetView showRowColHeaders="0" zoomScale="60" zoomScaleNormal="60" zoomScaleSheetLayoutView="4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7">
    <tabColor theme="9" tint="0.59999389629810485"/>
  </sheetPr>
  <dimension ref="A1:XFC37"/>
  <sheetViews>
    <sheetView showGridLines="0" showRowColHeaders="0" zoomScale="59" zoomScaleNormal="59"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tabColor theme="9" tint="0.59999389629810485"/>
  </sheetPr>
  <dimension ref="A1:XFC37"/>
  <sheetViews>
    <sheetView showGridLines="0" showRowColHeaders="0" zoomScale="68" zoomScaleNormal="68"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theme="9" tint="0.59999389629810485"/>
  </sheetPr>
  <dimension ref="A1:XFC37"/>
  <sheetViews>
    <sheetView showGridLines="0" showRowColHeaders="0" topLeftCell="A2"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2:AQ135"/>
  <sheetViews>
    <sheetView topLeftCell="R33" zoomScale="70" zoomScaleNormal="70" workbookViewId="0">
      <selection activeCell="AI67" sqref="AI67"/>
    </sheetView>
  </sheetViews>
  <sheetFormatPr defaultRowHeight="15"/>
  <cols>
    <col min="1" max="1" width="23.140625" style="1087" hidden="1" customWidth="1"/>
    <col min="2" max="2" width="13.85546875" style="1087" hidden="1" customWidth="1"/>
    <col min="3" max="3" width="13.7109375" style="1087" hidden="1" customWidth="1"/>
    <col min="4" max="4" width="13.28515625" style="1087" hidden="1" customWidth="1"/>
    <col min="5" max="5" width="13.42578125" style="1087" hidden="1" customWidth="1"/>
    <col min="6" max="6" width="13.85546875" style="1087" hidden="1" customWidth="1"/>
    <col min="7" max="7" width="19.7109375" style="1087" hidden="1" customWidth="1"/>
    <col min="8" max="8" width="11.5703125" style="1087" hidden="1" customWidth="1"/>
    <col min="9" max="9" width="15.7109375" style="1087" hidden="1" customWidth="1"/>
    <col min="10" max="10" width="13.140625" style="1087" hidden="1" customWidth="1"/>
    <col min="11" max="11" width="20.42578125" style="1087" hidden="1" customWidth="1"/>
    <col min="12" max="14" width="20.28515625" style="1087" hidden="1" customWidth="1"/>
    <col min="15" max="15" width="15.140625" style="1087" hidden="1" customWidth="1"/>
    <col min="16" max="16" width="13.28515625" style="1087" hidden="1" customWidth="1"/>
    <col min="17" max="17" width="11.5703125" style="1087" hidden="1" customWidth="1"/>
    <col min="18" max="18" width="20.7109375" style="1101" customWidth="1"/>
    <col min="19" max="29" width="20.7109375" style="1087" customWidth="1"/>
    <col min="30" max="30" width="14.5703125" style="1087" customWidth="1"/>
    <col min="31" max="31" width="20.7109375" style="1087" customWidth="1"/>
    <col min="32" max="32" width="19.28515625" style="1087" customWidth="1"/>
    <col min="33" max="33" width="19.140625" style="1087" customWidth="1"/>
    <col min="34" max="34" width="18.85546875" style="1087" customWidth="1"/>
    <col min="35" max="35" width="20.7109375" style="1087" customWidth="1"/>
    <col min="36" max="41" width="15.7109375" style="1087" customWidth="1"/>
    <col min="42" max="42" width="14.140625" style="1087" bestFit="1" customWidth="1"/>
    <col min="43" max="43" width="13.28515625" style="1087" bestFit="1" customWidth="1"/>
    <col min="44" max="16384" width="9.140625" style="1087"/>
  </cols>
  <sheetData>
    <row r="2" spans="1:43" ht="46.5">
      <c r="A2" s="1223" t="s">
        <v>67</v>
      </c>
      <c r="B2" s="1224"/>
      <c r="C2" s="1224"/>
      <c r="D2" s="1224"/>
      <c r="E2" s="1224"/>
      <c r="F2" s="1224"/>
      <c r="G2" s="1224"/>
      <c r="H2" s="1224"/>
      <c r="I2" s="1224"/>
      <c r="J2" s="1224"/>
      <c r="K2" s="1224"/>
      <c r="L2" s="1224"/>
      <c r="M2" s="1224"/>
      <c r="N2" s="1224"/>
      <c r="O2" s="1225"/>
      <c r="R2" s="1220" t="s">
        <v>70</v>
      </c>
      <c r="S2" s="1221"/>
      <c r="T2" s="1221"/>
      <c r="U2" s="1221"/>
      <c r="V2" s="1221"/>
      <c r="W2" s="1221"/>
      <c r="X2" s="1221"/>
      <c r="Y2" s="1221"/>
      <c r="Z2" s="1221"/>
      <c r="AA2" s="1221"/>
      <c r="AB2" s="1221"/>
      <c r="AC2" s="1221"/>
      <c r="AD2" s="1221"/>
      <c r="AE2" s="1221"/>
      <c r="AF2" s="1221"/>
      <c r="AG2" s="1221"/>
      <c r="AH2" s="1221"/>
      <c r="AI2" s="1222"/>
    </row>
    <row r="3" spans="1:43" s="1104" customFormat="1" ht="35.1" customHeight="1">
      <c r="A3" s="1226" t="s">
        <v>33</v>
      </c>
      <c r="B3" s="1228" t="s">
        <v>27</v>
      </c>
      <c r="C3" s="1229"/>
      <c r="D3" s="1228" t="s">
        <v>29</v>
      </c>
      <c r="E3" s="1229"/>
      <c r="F3" s="1226" t="s">
        <v>28</v>
      </c>
      <c r="G3" s="1226" t="s">
        <v>36</v>
      </c>
      <c r="H3" s="1226" t="s">
        <v>30</v>
      </c>
      <c r="I3" s="1226" t="s">
        <v>31</v>
      </c>
      <c r="J3" s="1226" t="s">
        <v>41</v>
      </c>
      <c r="K3" s="1226" t="s">
        <v>35</v>
      </c>
      <c r="L3" s="1226" t="s">
        <v>40</v>
      </c>
      <c r="M3" s="1226" t="s">
        <v>42</v>
      </c>
      <c r="N3" s="1226" t="s">
        <v>45</v>
      </c>
      <c r="O3" s="1226" t="s">
        <v>34</v>
      </c>
      <c r="R3" s="1226" t="s">
        <v>33</v>
      </c>
      <c r="S3" s="1228" t="s">
        <v>27</v>
      </c>
      <c r="T3" s="1229"/>
      <c r="U3" s="1228" t="s">
        <v>29</v>
      </c>
      <c r="V3" s="1229"/>
      <c r="W3" s="1226" t="s">
        <v>28</v>
      </c>
      <c r="X3" s="1226" t="s">
        <v>36</v>
      </c>
      <c r="Y3" s="1226" t="s">
        <v>30</v>
      </c>
      <c r="Z3" s="1226" t="s">
        <v>31</v>
      </c>
      <c r="AA3" s="1226" t="s">
        <v>41</v>
      </c>
      <c r="AB3" s="1226" t="s">
        <v>35</v>
      </c>
      <c r="AC3" s="1226" t="s">
        <v>40</v>
      </c>
      <c r="AD3" s="1226" t="s">
        <v>42</v>
      </c>
      <c r="AE3" s="1226" t="s">
        <v>45</v>
      </c>
      <c r="AF3" s="1226" t="s">
        <v>411</v>
      </c>
      <c r="AG3" s="1228" t="s">
        <v>51</v>
      </c>
      <c r="AH3" s="1229"/>
      <c r="AI3" s="1226" t="s">
        <v>34</v>
      </c>
    </row>
    <row r="4" spans="1:43" s="1104" customFormat="1" ht="35.1" customHeight="1">
      <c r="A4" s="1227"/>
      <c r="B4" s="1091" t="s">
        <v>43</v>
      </c>
      <c r="C4" s="1091" t="s">
        <v>44</v>
      </c>
      <c r="D4" s="1091" t="s">
        <v>43</v>
      </c>
      <c r="E4" s="1091" t="s">
        <v>44</v>
      </c>
      <c r="F4" s="1227"/>
      <c r="G4" s="1227"/>
      <c r="H4" s="1227"/>
      <c r="I4" s="1227"/>
      <c r="J4" s="1227"/>
      <c r="K4" s="1227"/>
      <c r="L4" s="1227"/>
      <c r="M4" s="1227"/>
      <c r="N4" s="1227"/>
      <c r="O4" s="1227"/>
      <c r="R4" s="1227"/>
      <c r="S4" s="1091" t="s">
        <v>43</v>
      </c>
      <c r="T4" s="1091" t="s">
        <v>44</v>
      </c>
      <c r="U4" s="1091" t="s">
        <v>43</v>
      </c>
      <c r="V4" s="1091" t="s">
        <v>44</v>
      </c>
      <c r="W4" s="1227"/>
      <c r="X4" s="1227"/>
      <c r="Y4" s="1227"/>
      <c r="Z4" s="1227"/>
      <c r="AA4" s="1227"/>
      <c r="AB4" s="1227"/>
      <c r="AC4" s="1227"/>
      <c r="AD4" s="1227"/>
      <c r="AE4" s="1227"/>
      <c r="AF4" s="1227"/>
      <c r="AG4" s="1092" t="s">
        <v>52</v>
      </c>
      <c r="AH4" s="1092" t="s">
        <v>53</v>
      </c>
      <c r="AI4" s="1227"/>
      <c r="AJ4" s="1104" t="s">
        <v>183</v>
      </c>
      <c r="AK4" s="1104" t="s">
        <v>424</v>
      </c>
      <c r="AL4" s="1104" t="s">
        <v>184</v>
      </c>
      <c r="AM4" s="1104" t="s">
        <v>425</v>
      </c>
      <c r="AN4" s="1104" t="s">
        <v>28</v>
      </c>
      <c r="AO4" s="1104" t="s">
        <v>185</v>
      </c>
    </row>
    <row r="5" spans="1:43">
      <c r="A5" s="2" t="s">
        <v>0</v>
      </c>
      <c r="B5" s="20"/>
      <c r="C5" s="20"/>
      <c r="D5" s="20"/>
      <c r="E5" s="20"/>
      <c r="F5" s="20"/>
      <c r="G5" s="20"/>
      <c r="H5" s="20"/>
      <c r="I5" s="20"/>
      <c r="J5" s="20"/>
      <c r="K5" s="20"/>
      <c r="L5" s="20"/>
      <c r="M5" s="20"/>
      <c r="N5" s="20"/>
      <c r="O5" s="10">
        <f t="shared" ref="O5:O31" si="0">SUM(B5:N5)</f>
        <v>0</v>
      </c>
      <c r="P5" s="1093"/>
      <c r="R5" s="2" t="s">
        <v>87</v>
      </c>
      <c r="S5" s="20">
        <f t="shared" ref="S5:AH20" si="1">S75*0.8</f>
        <v>6038.5120000000006</v>
      </c>
      <c r="T5" s="20">
        <f t="shared" si="1"/>
        <v>1214.288</v>
      </c>
      <c r="U5" s="20">
        <f t="shared" si="1"/>
        <v>510.45600000000007</v>
      </c>
      <c r="V5" s="20">
        <f t="shared" si="1"/>
        <v>184.584</v>
      </c>
      <c r="W5" s="20">
        <f t="shared" si="1"/>
        <v>7836</v>
      </c>
      <c r="X5" s="20">
        <f t="shared" si="1"/>
        <v>313.44000000000005</v>
      </c>
      <c r="Y5" s="20">
        <f t="shared" si="1"/>
        <v>163.77600000000001</v>
      </c>
      <c r="Z5" s="20">
        <f t="shared" si="1"/>
        <v>0</v>
      </c>
      <c r="AA5" s="20">
        <f t="shared" si="1"/>
        <v>137.75200000000001</v>
      </c>
      <c r="AB5" s="20">
        <f t="shared" si="1"/>
        <v>78.360000000000014</v>
      </c>
      <c r="AC5" s="20">
        <f t="shared" si="1"/>
        <v>0</v>
      </c>
      <c r="AD5" s="20">
        <f t="shared" si="1"/>
        <v>0</v>
      </c>
      <c r="AE5" s="20">
        <f t="shared" si="1"/>
        <v>0</v>
      </c>
      <c r="AF5" s="20">
        <f t="shared" si="1"/>
        <v>0</v>
      </c>
      <c r="AG5" s="20">
        <f t="shared" si="1"/>
        <v>0</v>
      </c>
      <c r="AH5" s="20">
        <f t="shared" si="1"/>
        <v>0</v>
      </c>
      <c r="AI5" s="10">
        <f t="shared" ref="AI5:AI31" si="2">SUM(S5:AH5)</f>
        <v>16477.168000000001</v>
      </c>
      <c r="AJ5" s="1093">
        <f t="shared" ref="AJ5:AJ31" si="3">S5</f>
        <v>6038.5120000000006</v>
      </c>
      <c r="AK5" s="1093">
        <f t="shared" ref="AK5:AK31" si="4">T5</f>
        <v>1214.288</v>
      </c>
      <c r="AL5" s="1093">
        <f t="shared" ref="AL5:AL31" si="5">U5</f>
        <v>510.45600000000007</v>
      </c>
      <c r="AM5" s="1093">
        <f t="shared" ref="AM5:AM31" si="6">V5</f>
        <v>184.584</v>
      </c>
      <c r="AN5" s="1093">
        <f t="shared" ref="AN5:AN31" si="7">W5</f>
        <v>7836</v>
      </c>
      <c r="AO5" s="1093">
        <f t="shared" ref="AO5:AO31" si="8">SUM(X5:AH5)</f>
        <v>693.32800000000009</v>
      </c>
      <c r="AP5" s="1093"/>
      <c r="AQ5" s="1093"/>
    </row>
    <row r="6" spans="1:43">
      <c r="A6" s="2" t="s">
        <v>1</v>
      </c>
      <c r="B6" s="20"/>
      <c r="C6" s="20"/>
      <c r="D6" s="20"/>
      <c r="E6" s="20"/>
      <c r="F6" s="20"/>
      <c r="G6" s="20"/>
      <c r="H6" s="20"/>
      <c r="I6" s="20"/>
      <c r="J6" s="20"/>
      <c r="K6" s="20"/>
      <c r="L6" s="20"/>
      <c r="M6" s="20"/>
      <c r="N6" s="20"/>
      <c r="O6" s="10">
        <f t="shared" si="0"/>
        <v>0</v>
      </c>
      <c r="P6" s="1093"/>
      <c r="R6" s="2" t="s">
        <v>88</v>
      </c>
      <c r="S6" s="20">
        <f t="shared" ref="S6:AH6" si="9">S76*0.8</f>
        <v>17309.544000000002</v>
      </c>
      <c r="T6" s="20">
        <f t="shared" si="9"/>
        <v>10478.880000000001</v>
      </c>
      <c r="U6" s="20">
        <f t="shared" si="9"/>
        <v>746.64</v>
      </c>
      <c r="V6" s="20">
        <f t="shared" si="9"/>
        <v>506.52800000000002</v>
      </c>
      <c r="W6" s="20">
        <f t="shared" si="9"/>
        <v>30482.040000000005</v>
      </c>
      <c r="X6" s="20">
        <f t="shared" si="9"/>
        <v>391.8</v>
      </c>
      <c r="Y6" s="20">
        <f t="shared" si="9"/>
        <v>1822.4639999999999</v>
      </c>
      <c r="Z6" s="20">
        <f t="shared" si="9"/>
        <v>457.12799999999999</v>
      </c>
      <c r="AA6" s="20">
        <f t="shared" si="9"/>
        <v>1116.08</v>
      </c>
      <c r="AB6" s="20">
        <f t="shared" si="9"/>
        <v>0</v>
      </c>
      <c r="AC6" s="20">
        <f t="shared" si="9"/>
        <v>0</v>
      </c>
      <c r="AD6" s="20">
        <f t="shared" si="9"/>
        <v>0</v>
      </c>
      <c r="AE6" s="20">
        <f t="shared" si="9"/>
        <v>0</v>
      </c>
      <c r="AF6" s="20">
        <f t="shared" si="1"/>
        <v>0</v>
      </c>
      <c r="AG6" s="20">
        <f t="shared" si="9"/>
        <v>0</v>
      </c>
      <c r="AH6" s="20">
        <f t="shared" si="9"/>
        <v>0</v>
      </c>
      <c r="AI6" s="10">
        <f t="shared" si="2"/>
        <v>63311.104000000007</v>
      </c>
      <c r="AJ6" s="1093">
        <f t="shared" si="3"/>
        <v>17309.544000000002</v>
      </c>
      <c r="AK6" s="1093">
        <f t="shared" si="4"/>
        <v>10478.880000000001</v>
      </c>
      <c r="AL6" s="1093">
        <f t="shared" si="5"/>
        <v>746.64</v>
      </c>
      <c r="AM6" s="1093">
        <f t="shared" si="6"/>
        <v>506.52800000000002</v>
      </c>
      <c r="AN6" s="1093">
        <f t="shared" si="7"/>
        <v>30482.040000000005</v>
      </c>
      <c r="AO6" s="1093">
        <f t="shared" si="8"/>
        <v>3787.4720000000002</v>
      </c>
      <c r="AP6" s="1093"/>
      <c r="AQ6" s="1093"/>
    </row>
    <row r="7" spans="1:43">
      <c r="A7" s="2" t="s">
        <v>2</v>
      </c>
      <c r="B7" s="20"/>
      <c r="C7" s="20"/>
      <c r="D7" s="20"/>
      <c r="E7" s="20"/>
      <c r="F7" s="20"/>
      <c r="G7" s="20"/>
      <c r="H7" s="20"/>
      <c r="I7" s="20"/>
      <c r="J7" s="20"/>
      <c r="K7" s="20"/>
      <c r="L7" s="20"/>
      <c r="M7" s="20"/>
      <c r="N7" s="20"/>
      <c r="O7" s="10">
        <f t="shared" si="0"/>
        <v>0</v>
      </c>
      <c r="P7" s="1093"/>
      <c r="R7" s="2" t="s">
        <v>89</v>
      </c>
      <c r="S7" s="20">
        <f t="shared" ref="S7:AH7" si="10">S77*0.8</f>
        <v>8337.8240000000005</v>
      </c>
      <c r="T7" s="20">
        <f t="shared" si="10"/>
        <v>3079.4400000000005</v>
      </c>
      <c r="U7" s="20">
        <f t="shared" si="10"/>
        <v>1828.5119999999999</v>
      </c>
      <c r="V7" s="20">
        <f t="shared" si="10"/>
        <v>871.51200000000017</v>
      </c>
      <c r="W7" s="20">
        <f t="shared" si="10"/>
        <v>13481.592000000002</v>
      </c>
      <c r="X7" s="20">
        <f t="shared" si="10"/>
        <v>1410.48</v>
      </c>
      <c r="Y7" s="20">
        <f t="shared" si="10"/>
        <v>471.79200000000003</v>
      </c>
      <c r="Z7" s="20">
        <f t="shared" si="10"/>
        <v>0</v>
      </c>
      <c r="AA7" s="20">
        <f t="shared" si="10"/>
        <v>720.63200000000006</v>
      </c>
      <c r="AB7" s="20">
        <f t="shared" si="10"/>
        <v>235.08000000000004</v>
      </c>
      <c r="AC7" s="20">
        <f t="shared" si="10"/>
        <v>0</v>
      </c>
      <c r="AD7" s="20">
        <f t="shared" si="10"/>
        <v>0</v>
      </c>
      <c r="AE7" s="20">
        <f t="shared" si="10"/>
        <v>0</v>
      </c>
      <c r="AF7" s="20">
        <f t="shared" si="1"/>
        <v>0</v>
      </c>
      <c r="AG7" s="20">
        <f t="shared" si="10"/>
        <v>0</v>
      </c>
      <c r="AH7" s="20">
        <f t="shared" si="10"/>
        <v>0</v>
      </c>
      <c r="AI7" s="10">
        <f t="shared" si="2"/>
        <v>30436.864000000009</v>
      </c>
      <c r="AJ7" s="1093">
        <f t="shared" si="3"/>
        <v>8337.8240000000005</v>
      </c>
      <c r="AK7" s="1093">
        <f t="shared" si="4"/>
        <v>3079.4400000000005</v>
      </c>
      <c r="AL7" s="1093">
        <f t="shared" si="5"/>
        <v>1828.5119999999999</v>
      </c>
      <c r="AM7" s="1093">
        <f t="shared" si="6"/>
        <v>871.51200000000017</v>
      </c>
      <c r="AN7" s="1093">
        <f t="shared" si="7"/>
        <v>13481.592000000002</v>
      </c>
      <c r="AO7" s="1093">
        <f t="shared" si="8"/>
        <v>2837.9839999999999</v>
      </c>
      <c r="AP7" s="1093"/>
      <c r="AQ7" s="1093"/>
    </row>
    <row r="8" spans="1:43">
      <c r="A8" s="2" t="s">
        <v>3</v>
      </c>
      <c r="B8" s="20"/>
      <c r="C8" s="20"/>
      <c r="D8" s="20"/>
      <c r="E8" s="20"/>
      <c r="F8" s="20"/>
      <c r="G8" s="20"/>
      <c r="H8" s="20"/>
      <c r="I8" s="20"/>
      <c r="J8" s="20"/>
      <c r="K8" s="20"/>
      <c r="L8" s="20"/>
      <c r="M8" s="20"/>
      <c r="N8" s="20"/>
      <c r="O8" s="10">
        <f t="shared" si="0"/>
        <v>0</v>
      </c>
      <c r="P8" s="1093"/>
      <c r="R8" s="2" t="s">
        <v>90</v>
      </c>
      <c r="S8" s="20">
        <f t="shared" ref="S8:AE8" si="11">S78*0.8</f>
        <v>17888.84</v>
      </c>
      <c r="T8" s="20">
        <f t="shared" si="11"/>
        <v>7205.8640000000005</v>
      </c>
      <c r="U8" s="20">
        <f t="shared" si="11"/>
        <v>1211.3920000000001</v>
      </c>
      <c r="V8" s="20">
        <f t="shared" si="11"/>
        <v>824.24</v>
      </c>
      <c r="W8" s="20">
        <f t="shared" si="11"/>
        <v>16612.320000000003</v>
      </c>
      <c r="X8" s="20">
        <f t="shared" si="11"/>
        <v>391.8</v>
      </c>
      <c r="Y8" s="20">
        <f t="shared" si="11"/>
        <v>933.28800000000001</v>
      </c>
      <c r="Z8" s="20">
        <f t="shared" si="11"/>
        <v>0</v>
      </c>
      <c r="AA8" s="20">
        <f t="shared" si="11"/>
        <v>935.74400000000014</v>
      </c>
      <c r="AB8" s="20">
        <f t="shared" si="11"/>
        <v>156.72000000000003</v>
      </c>
      <c r="AC8" s="20">
        <f t="shared" si="11"/>
        <v>0</v>
      </c>
      <c r="AD8" s="20">
        <f t="shared" si="11"/>
        <v>0</v>
      </c>
      <c r="AE8" s="20">
        <f t="shared" si="11"/>
        <v>22.856000000000002</v>
      </c>
      <c r="AF8" s="20">
        <f t="shared" si="1"/>
        <v>0</v>
      </c>
      <c r="AG8" s="20">
        <f>AG78</f>
        <v>0</v>
      </c>
      <c r="AH8" s="20">
        <f>AH78</f>
        <v>0</v>
      </c>
      <c r="AI8" s="10">
        <f t="shared" si="2"/>
        <v>46183.064000000006</v>
      </c>
      <c r="AJ8" s="1093">
        <f t="shared" si="3"/>
        <v>17888.84</v>
      </c>
      <c r="AK8" s="1093">
        <f t="shared" si="4"/>
        <v>7205.8640000000005</v>
      </c>
      <c r="AL8" s="1093">
        <f t="shared" si="5"/>
        <v>1211.3920000000001</v>
      </c>
      <c r="AM8" s="1093">
        <f t="shared" si="6"/>
        <v>824.24</v>
      </c>
      <c r="AN8" s="1093">
        <f t="shared" si="7"/>
        <v>16612.320000000003</v>
      </c>
      <c r="AO8" s="1093">
        <f t="shared" si="8"/>
        <v>2440.4080000000008</v>
      </c>
      <c r="AP8" s="1093"/>
      <c r="AQ8" s="1093"/>
    </row>
    <row r="9" spans="1:43">
      <c r="A9" s="2" t="s">
        <v>4</v>
      </c>
      <c r="B9" s="20"/>
      <c r="C9" s="20"/>
      <c r="D9" s="20"/>
      <c r="E9" s="20"/>
      <c r="F9" s="20"/>
      <c r="G9" s="20"/>
      <c r="H9" s="20"/>
      <c r="I9" s="20"/>
      <c r="J9" s="20"/>
      <c r="K9" s="20"/>
      <c r="L9" s="20"/>
      <c r="M9" s="20"/>
      <c r="N9" s="20"/>
      <c r="O9" s="10">
        <f t="shared" si="0"/>
        <v>0</v>
      </c>
      <c r="P9" s="1093"/>
      <c r="R9" s="2" t="s">
        <v>91</v>
      </c>
      <c r="S9" s="20">
        <f t="shared" ref="S9:AE9" si="12">S79*0.8</f>
        <v>53443.19200000001</v>
      </c>
      <c r="T9" s="20">
        <f t="shared" si="12"/>
        <v>19805.048000000003</v>
      </c>
      <c r="U9" s="20">
        <f t="shared" si="12"/>
        <v>8719.68</v>
      </c>
      <c r="V9" s="20">
        <f t="shared" si="12"/>
        <v>1494.7920000000001</v>
      </c>
      <c r="W9" s="20">
        <f t="shared" si="12"/>
        <v>59396.880000000005</v>
      </c>
      <c r="X9" s="20">
        <f t="shared" si="12"/>
        <v>1802.28</v>
      </c>
      <c r="Y9" s="20">
        <f t="shared" si="12"/>
        <v>3049.08</v>
      </c>
      <c r="Z9" s="20">
        <f t="shared" si="12"/>
        <v>0</v>
      </c>
      <c r="AA9" s="20">
        <f t="shared" si="12"/>
        <v>2209.0720000000001</v>
      </c>
      <c r="AB9" s="20">
        <f t="shared" si="12"/>
        <v>626.88000000000011</v>
      </c>
      <c r="AC9" s="20">
        <f t="shared" si="12"/>
        <v>0</v>
      </c>
      <c r="AD9" s="20">
        <f t="shared" si="12"/>
        <v>0</v>
      </c>
      <c r="AE9" s="20">
        <f t="shared" si="12"/>
        <v>45.712000000000003</v>
      </c>
      <c r="AF9" s="20">
        <f t="shared" si="1"/>
        <v>0</v>
      </c>
      <c r="AG9" s="20">
        <f t="shared" ref="AG9:AH21" si="13">AG79*0.8</f>
        <v>0</v>
      </c>
      <c r="AH9" s="20">
        <f t="shared" si="13"/>
        <v>0</v>
      </c>
      <c r="AI9" s="10">
        <f t="shared" si="2"/>
        <v>150592.61599999998</v>
      </c>
      <c r="AJ9" s="1093">
        <f t="shared" si="3"/>
        <v>53443.19200000001</v>
      </c>
      <c r="AK9" s="1093">
        <f t="shared" si="4"/>
        <v>19805.048000000003</v>
      </c>
      <c r="AL9" s="1093">
        <f t="shared" si="5"/>
        <v>8719.68</v>
      </c>
      <c r="AM9" s="1093">
        <f t="shared" si="6"/>
        <v>1494.7920000000001</v>
      </c>
      <c r="AN9" s="1093">
        <f t="shared" si="7"/>
        <v>59396.880000000005</v>
      </c>
      <c r="AO9" s="1093">
        <f t="shared" si="8"/>
        <v>7733.0240000000003</v>
      </c>
      <c r="AP9" s="1093"/>
      <c r="AQ9" s="1093"/>
    </row>
    <row r="10" spans="1:43">
      <c r="A10" s="2" t="s">
        <v>5</v>
      </c>
      <c r="B10" s="20"/>
      <c r="C10" s="20"/>
      <c r="D10" s="20"/>
      <c r="E10" s="20"/>
      <c r="F10" s="20"/>
      <c r="G10" s="20"/>
      <c r="H10" s="20"/>
      <c r="I10" s="20"/>
      <c r="J10" s="20"/>
      <c r="K10" s="20"/>
      <c r="L10" s="20"/>
      <c r="M10" s="20"/>
      <c r="N10" s="20"/>
      <c r="O10" s="10">
        <f t="shared" si="0"/>
        <v>0</v>
      </c>
      <c r="P10" s="1093"/>
      <c r="R10" s="2" t="s">
        <v>92</v>
      </c>
      <c r="S10" s="20">
        <f t="shared" ref="S10:AE10" si="14">S80*0.8</f>
        <v>24080.440000000002</v>
      </c>
      <c r="T10" s="20">
        <f t="shared" si="14"/>
        <v>8071.8880000000008</v>
      </c>
      <c r="U10" s="20">
        <f t="shared" si="14"/>
        <v>1452.6320000000001</v>
      </c>
      <c r="V10" s="20">
        <f t="shared" si="14"/>
        <v>88.448000000000008</v>
      </c>
      <c r="W10" s="20">
        <f t="shared" si="14"/>
        <v>26642.400000000001</v>
      </c>
      <c r="X10" s="20">
        <f t="shared" si="14"/>
        <v>1018.68</v>
      </c>
      <c r="Y10" s="20">
        <f t="shared" si="14"/>
        <v>1061.8240000000001</v>
      </c>
      <c r="Z10" s="20">
        <f t="shared" si="14"/>
        <v>705.24</v>
      </c>
      <c r="AA10" s="20">
        <f t="shared" si="14"/>
        <v>1044.48</v>
      </c>
      <c r="AB10" s="20">
        <f t="shared" si="14"/>
        <v>78.360000000000014</v>
      </c>
      <c r="AC10" s="20">
        <f t="shared" si="14"/>
        <v>0</v>
      </c>
      <c r="AD10" s="20">
        <f t="shared" si="14"/>
        <v>0</v>
      </c>
      <c r="AE10" s="20">
        <f t="shared" si="14"/>
        <v>22.856000000000002</v>
      </c>
      <c r="AF10" s="20">
        <f t="shared" si="1"/>
        <v>0</v>
      </c>
      <c r="AG10" s="20">
        <f t="shared" si="13"/>
        <v>0</v>
      </c>
      <c r="AH10" s="20">
        <f t="shared" si="13"/>
        <v>0</v>
      </c>
      <c r="AI10" s="10">
        <f t="shared" si="2"/>
        <v>64267.248</v>
      </c>
      <c r="AJ10" s="1093">
        <f t="shared" si="3"/>
        <v>24080.440000000002</v>
      </c>
      <c r="AK10" s="1093">
        <f t="shared" si="4"/>
        <v>8071.8880000000008</v>
      </c>
      <c r="AL10" s="1093">
        <f t="shared" si="5"/>
        <v>1452.6320000000001</v>
      </c>
      <c r="AM10" s="1093">
        <f t="shared" si="6"/>
        <v>88.448000000000008</v>
      </c>
      <c r="AN10" s="1093">
        <f t="shared" si="7"/>
        <v>26642.400000000001</v>
      </c>
      <c r="AO10" s="1093">
        <f t="shared" si="8"/>
        <v>3931.44</v>
      </c>
      <c r="AP10" s="1093"/>
      <c r="AQ10" s="1093"/>
    </row>
    <row r="11" spans="1:43">
      <c r="A11" s="2" t="s">
        <v>6</v>
      </c>
      <c r="B11" s="20"/>
      <c r="C11" s="20"/>
      <c r="D11" s="20"/>
      <c r="E11" s="20"/>
      <c r="F11" s="20"/>
      <c r="G11" s="20"/>
      <c r="H11" s="20"/>
      <c r="I11" s="20"/>
      <c r="J11" s="20"/>
      <c r="K11" s="20"/>
      <c r="L11" s="20"/>
      <c r="M11" s="20"/>
      <c r="N11" s="20"/>
      <c r="O11" s="10">
        <f t="shared" si="0"/>
        <v>0</v>
      </c>
      <c r="P11" s="1093"/>
      <c r="R11" s="2" t="s">
        <v>93</v>
      </c>
      <c r="S11" s="20">
        <f t="shared" ref="S11:AE11" si="15">S81*0.8</f>
        <v>72820.504000000001</v>
      </c>
      <c r="T11" s="20">
        <f t="shared" si="15"/>
        <v>33072.103999999999</v>
      </c>
      <c r="U11" s="20">
        <f t="shared" si="15"/>
        <v>7362.2640000000001</v>
      </c>
      <c r="V11" s="20">
        <f t="shared" si="15"/>
        <v>1098.0160000000001</v>
      </c>
      <c r="W11" s="20">
        <f t="shared" si="15"/>
        <v>51952.68</v>
      </c>
      <c r="X11" s="20">
        <f t="shared" si="15"/>
        <v>1802.28</v>
      </c>
      <c r="Y11" s="20">
        <f t="shared" si="15"/>
        <v>5403.2960000000003</v>
      </c>
      <c r="Z11" s="20">
        <f t="shared" si="15"/>
        <v>0</v>
      </c>
      <c r="AA11" s="20">
        <f t="shared" si="15"/>
        <v>2783.0160000000001</v>
      </c>
      <c r="AB11" s="20">
        <f t="shared" si="15"/>
        <v>626.88000000000011</v>
      </c>
      <c r="AC11" s="20">
        <f t="shared" si="15"/>
        <v>0</v>
      </c>
      <c r="AD11" s="20">
        <f t="shared" si="15"/>
        <v>0</v>
      </c>
      <c r="AE11" s="20">
        <f t="shared" si="15"/>
        <v>68.567999999999998</v>
      </c>
      <c r="AF11" s="20">
        <f t="shared" si="1"/>
        <v>0</v>
      </c>
      <c r="AG11" s="20">
        <f t="shared" si="13"/>
        <v>0</v>
      </c>
      <c r="AH11" s="20">
        <f t="shared" si="13"/>
        <v>0</v>
      </c>
      <c r="AI11" s="10">
        <f t="shared" si="2"/>
        <v>176989.60800000001</v>
      </c>
      <c r="AJ11" s="1093">
        <f t="shared" si="3"/>
        <v>72820.504000000001</v>
      </c>
      <c r="AK11" s="1093">
        <f t="shared" si="4"/>
        <v>33072.103999999999</v>
      </c>
      <c r="AL11" s="1093">
        <f t="shared" si="5"/>
        <v>7362.2640000000001</v>
      </c>
      <c r="AM11" s="1093">
        <f t="shared" si="6"/>
        <v>1098.0160000000001</v>
      </c>
      <c r="AN11" s="1093">
        <f t="shared" si="7"/>
        <v>51952.68</v>
      </c>
      <c r="AO11" s="1093">
        <f t="shared" si="8"/>
        <v>10684.04</v>
      </c>
      <c r="AP11" s="1093"/>
      <c r="AQ11" s="1093"/>
    </row>
    <row r="12" spans="1:43">
      <c r="A12" s="2" t="s">
        <v>7</v>
      </c>
      <c r="B12" s="20"/>
      <c r="C12" s="20"/>
      <c r="D12" s="20"/>
      <c r="E12" s="20"/>
      <c r="F12" s="20"/>
      <c r="G12" s="20"/>
      <c r="H12" s="20"/>
      <c r="I12" s="20"/>
      <c r="J12" s="20"/>
      <c r="K12" s="20"/>
      <c r="L12" s="20"/>
      <c r="M12" s="20"/>
      <c r="N12" s="20"/>
      <c r="O12" s="10">
        <f t="shared" si="0"/>
        <v>0</v>
      </c>
      <c r="P12" s="1093"/>
      <c r="R12" s="2" t="s">
        <v>94</v>
      </c>
      <c r="S12" s="20">
        <f t="shared" ref="S12:AE12" si="16">S82*0.8</f>
        <v>42986.024000000005</v>
      </c>
      <c r="T12" s="20">
        <f t="shared" si="16"/>
        <v>9887.4480000000003</v>
      </c>
      <c r="U12" s="20">
        <f t="shared" si="16"/>
        <v>3329.384</v>
      </c>
      <c r="V12" s="20">
        <f t="shared" si="16"/>
        <v>1503.4</v>
      </c>
      <c r="W12" s="20">
        <f t="shared" si="16"/>
        <v>44351.76</v>
      </c>
      <c r="X12" s="20">
        <f t="shared" si="16"/>
        <v>783.6</v>
      </c>
      <c r="Y12" s="20">
        <f t="shared" si="16"/>
        <v>2174.8319999999999</v>
      </c>
      <c r="Z12" s="20">
        <f t="shared" si="16"/>
        <v>2620.9520000000002</v>
      </c>
      <c r="AA12" s="20">
        <f t="shared" si="16"/>
        <v>944.06399999999996</v>
      </c>
      <c r="AB12" s="20">
        <f t="shared" si="16"/>
        <v>78.360000000000014</v>
      </c>
      <c r="AC12" s="20">
        <f t="shared" si="16"/>
        <v>313.44000000000005</v>
      </c>
      <c r="AD12" s="20">
        <f t="shared" si="16"/>
        <v>0</v>
      </c>
      <c r="AE12" s="20">
        <f t="shared" si="16"/>
        <v>68.567999999999998</v>
      </c>
      <c r="AF12" s="20">
        <f t="shared" si="1"/>
        <v>0</v>
      </c>
      <c r="AG12" s="20">
        <f t="shared" si="13"/>
        <v>0</v>
      </c>
      <c r="AH12" s="20">
        <f t="shared" si="13"/>
        <v>0</v>
      </c>
      <c r="AI12" s="10">
        <f t="shared" si="2"/>
        <v>109041.83200000001</v>
      </c>
      <c r="AJ12" s="1093">
        <f t="shared" si="3"/>
        <v>42986.024000000005</v>
      </c>
      <c r="AK12" s="1093">
        <f t="shared" si="4"/>
        <v>9887.4480000000003</v>
      </c>
      <c r="AL12" s="1093">
        <f t="shared" si="5"/>
        <v>3329.384</v>
      </c>
      <c r="AM12" s="1093">
        <f t="shared" si="6"/>
        <v>1503.4</v>
      </c>
      <c r="AN12" s="1093">
        <f t="shared" si="7"/>
        <v>44351.76</v>
      </c>
      <c r="AO12" s="1093">
        <f t="shared" si="8"/>
        <v>6983.8159999999998</v>
      </c>
      <c r="AP12" s="1093"/>
      <c r="AQ12" s="1093"/>
    </row>
    <row r="13" spans="1:43">
      <c r="A13" s="2" t="s">
        <v>8</v>
      </c>
      <c r="B13" s="20"/>
      <c r="C13" s="20"/>
      <c r="D13" s="20"/>
      <c r="E13" s="20"/>
      <c r="F13" s="20"/>
      <c r="G13" s="20"/>
      <c r="H13" s="20"/>
      <c r="I13" s="20"/>
      <c r="J13" s="20"/>
      <c r="K13" s="20"/>
      <c r="L13" s="20"/>
      <c r="M13" s="20"/>
      <c r="N13" s="20"/>
      <c r="O13" s="10">
        <f t="shared" si="0"/>
        <v>0</v>
      </c>
      <c r="P13" s="1093"/>
      <c r="R13" s="2" t="s">
        <v>95</v>
      </c>
      <c r="S13" s="20">
        <f t="shared" ref="S13:AE13" si="17">S83*0.8</f>
        <v>52267.320000000007</v>
      </c>
      <c r="T13" s="20">
        <f t="shared" si="17"/>
        <v>15206.256000000001</v>
      </c>
      <c r="U13" s="20">
        <f t="shared" si="17"/>
        <v>6578.8160000000007</v>
      </c>
      <c r="V13" s="20">
        <f t="shared" si="17"/>
        <v>3891.4320000000002</v>
      </c>
      <c r="W13" s="20">
        <f t="shared" si="17"/>
        <v>110409.23999999999</v>
      </c>
      <c r="X13" s="20">
        <f t="shared" si="17"/>
        <v>1175.4000000000001</v>
      </c>
      <c r="Y13" s="20">
        <f t="shared" si="17"/>
        <v>3003.92</v>
      </c>
      <c r="Z13" s="20">
        <f t="shared" si="17"/>
        <v>4674.0960000000005</v>
      </c>
      <c r="AA13" s="20">
        <f t="shared" si="17"/>
        <v>1797.0160000000001</v>
      </c>
      <c r="AB13" s="20">
        <f t="shared" si="17"/>
        <v>78.360000000000014</v>
      </c>
      <c r="AC13" s="20">
        <f t="shared" si="17"/>
        <v>0</v>
      </c>
      <c r="AD13" s="20">
        <f t="shared" si="17"/>
        <v>0</v>
      </c>
      <c r="AE13" s="20">
        <f t="shared" si="17"/>
        <v>91.424000000000007</v>
      </c>
      <c r="AF13" s="20">
        <f t="shared" si="1"/>
        <v>0</v>
      </c>
      <c r="AG13" s="20">
        <f t="shared" si="13"/>
        <v>0</v>
      </c>
      <c r="AH13" s="20">
        <f t="shared" si="13"/>
        <v>0</v>
      </c>
      <c r="AI13" s="10">
        <f t="shared" si="2"/>
        <v>199173.28</v>
      </c>
      <c r="AJ13" s="1093">
        <f t="shared" si="3"/>
        <v>52267.320000000007</v>
      </c>
      <c r="AK13" s="1093">
        <f t="shared" si="4"/>
        <v>15206.256000000001</v>
      </c>
      <c r="AL13" s="1093">
        <f t="shared" si="5"/>
        <v>6578.8160000000007</v>
      </c>
      <c r="AM13" s="1093">
        <f t="shared" si="6"/>
        <v>3891.4320000000002</v>
      </c>
      <c r="AN13" s="1093">
        <f t="shared" si="7"/>
        <v>110409.23999999999</v>
      </c>
      <c r="AO13" s="1093">
        <f t="shared" si="8"/>
        <v>10820.216000000002</v>
      </c>
      <c r="AP13" s="1093"/>
      <c r="AQ13" s="1093"/>
    </row>
    <row r="14" spans="1:43">
      <c r="A14" s="2" t="s">
        <v>9</v>
      </c>
      <c r="B14" s="20"/>
      <c r="C14" s="20"/>
      <c r="D14" s="20"/>
      <c r="E14" s="20"/>
      <c r="F14" s="20"/>
      <c r="G14" s="20"/>
      <c r="H14" s="20"/>
      <c r="I14" s="20"/>
      <c r="J14" s="20"/>
      <c r="K14" s="20"/>
      <c r="L14" s="20"/>
      <c r="M14" s="20"/>
      <c r="N14" s="20"/>
      <c r="O14" s="10">
        <f t="shared" si="0"/>
        <v>0</v>
      </c>
      <c r="P14" s="1093"/>
      <c r="R14" s="2" t="s">
        <v>96</v>
      </c>
      <c r="S14" s="20">
        <f t="shared" ref="S14:AE14" si="18">S84*0.8</f>
        <v>16393.696</v>
      </c>
      <c r="T14" s="20">
        <f t="shared" si="18"/>
        <v>11482.784</v>
      </c>
      <c r="U14" s="20">
        <f t="shared" si="18"/>
        <v>319.98400000000004</v>
      </c>
      <c r="V14" s="20">
        <f t="shared" si="18"/>
        <v>189.024</v>
      </c>
      <c r="W14" s="20">
        <f t="shared" si="18"/>
        <v>14653.320000000002</v>
      </c>
      <c r="X14" s="20">
        <f t="shared" si="18"/>
        <v>470.16000000000008</v>
      </c>
      <c r="Y14" s="20">
        <f t="shared" si="18"/>
        <v>1955.88</v>
      </c>
      <c r="Z14" s="20">
        <f t="shared" si="18"/>
        <v>0</v>
      </c>
      <c r="AA14" s="20">
        <f t="shared" si="18"/>
        <v>911.93600000000015</v>
      </c>
      <c r="AB14" s="20">
        <f t="shared" si="18"/>
        <v>783.6</v>
      </c>
      <c r="AC14" s="20">
        <f t="shared" si="18"/>
        <v>0</v>
      </c>
      <c r="AD14" s="20">
        <f t="shared" si="18"/>
        <v>0</v>
      </c>
      <c r="AE14" s="20">
        <f t="shared" si="18"/>
        <v>0</v>
      </c>
      <c r="AF14" s="20">
        <f t="shared" si="1"/>
        <v>0</v>
      </c>
      <c r="AG14" s="20">
        <f t="shared" si="13"/>
        <v>0</v>
      </c>
      <c r="AH14" s="20">
        <f t="shared" si="13"/>
        <v>0</v>
      </c>
      <c r="AI14" s="10">
        <f t="shared" si="2"/>
        <v>47160.384000000005</v>
      </c>
      <c r="AJ14" s="1093">
        <f t="shared" si="3"/>
        <v>16393.696</v>
      </c>
      <c r="AK14" s="1093">
        <f t="shared" si="4"/>
        <v>11482.784</v>
      </c>
      <c r="AL14" s="1093">
        <f t="shared" si="5"/>
        <v>319.98400000000004</v>
      </c>
      <c r="AM14" s="1093">
        <f t="shared" si="6"/>
        <v>189.024</v>
      </c>
      <c r="AN14" s="1093">
        <f t="shared" si="7"/>
        <v>14653.320000000002</v>
      </c>
      <c r="AO14" s="1093">
        <f t="shared" si="8"/>
        <v>4121.576</v>
      </c>
      <c r="AP14" s="1093"/>
      <c r="AQ14" s="1093"/>
    </row>
    <row r="15" spans="1:43">
      <c r="A15" s="2" t="s">
        <v>10</v>
      </c>
      <c r="B15" s="20"/>
      <c r="C15" s="20"/>
      <c r="D15" s="20"/>
      <c r="E15" s="20"/>
      <c r="F15" s="20"/>
      <c r="G15" s="20"/>
      <c r="H15" s="20"/>
      <c r="I15" s="20"/>
      <c r="J15" s="20"/>
      <c r="K15" s="20"/>
      <c r="L15" s="20"/>
      <c r="M15" s="20"/>
      <c r="N15" s="20"/>
      <c r="O15" s="10">
        <f t="shared" si="0"/>
        <v>0</v>
      </c>
      <c r="P15" s="1093"/>
      <c r="R15" s="2" t="s">
        <v>97</v>
      </c>
      <c r="S15" s="20">
        <f t="shared" ref="S15:AE15" si="19">S85*0.8</f>
        <v>48535.088000000003</v>
      </c>
      <c r="T15" s="20">
        <f t="shared" si="19"/>
        <v>8215.344000000001</v>
      </c>
      <c r="U15" s="20">
        <f t="shared" si="19"/>
        <v>6268.32</v>
      </c>
      <c r="V15" s="20">
        <f t="shared" si="19"/>
        <v>1093.08</v>
      </c>
      <c r="W15" s="20">
        <f t="shared" si="19"/>
        <v>147316.80000000002</v>
      </c>
      <c r="X15" s="20">
        <f t="shared" si="19"/>
        <v>1097.04</v>
      </c>
      <c r="Y15" s="20">
        <f t="shared" si="19"/>
        <v>1425.3520000000001</v>
      </c>
      <c r="Z15" s="20">
        <f t="shared" si="19"/>
        <v>0</v>
      </c>
      <c r="AA15" s="20">
        <f t="shared" si="19"/>
        <v>790.74400000000003</v>
      </c>
      <c r="AB15" s="20">
        <f t="shared" si="19"/>
        <v>313.44000000000005</v>
      </c>
      <c r="AC15" s="20">
        <f t="shared" si="19"/>
        <v>0</v>
      </c>
      <c r="AD15" s="20">
        <f t="shared" si="19"/>
        <v>0</v>
      </c>
      <c r="AE15" s="20">
        <f t="shared" si="19"/>
        <v>45.712000000000003</v>
      </c>
      <c r="AF15" s="20">
        <f t="shared" si="1"/>
        <v>0</v>
      </c>
      <c r="AG15" s="20">
        <f t="shared" si="13"/>
        <v>0</v>
      </c>
      <c r="AH15" s="20">
        <f t="shared" si="13"/>
        <v>0</v>
      </c>
      <c r="AI15" s="10">
        <f t="shared" si="2"/>
        <v>215100.92000000004</v>
      </c>
      <c r="AJ15" s="1093">
        <f t="shared" si="3"/>
        <v>48535.088000000003</v>
      </c>
      <c r="AK15" s="1093">
        <f t="shared" si="4"/>
        <v>8215.344000000001</v>
      </c>
      <c r="AL15" s="1093">
        <f t="shared" si="5"/>
        <v>6268.32</v>
      </c>
      <c r="AM15" s="1093">
        <f t="shared" si="6"/>
        <v>1093.08</v>
      </c>
      <c r="AN15" s="1093">
        <f t="shared" si="7"/>
        <v>147316.80000000002</v>
      </c>
      <c r="AO15" s="1093">
        <f t="shared" si="8"/>
        <v>3672.288</v>
      </c>
      <c r="AP15" s="1093"/>
      <c r="AQ15" s="1093"/>
    </row>
    <row r="16" spans="1:43">
      <c r="A16" s="2" t="s">
        <v>11</v>
      </c>
      <c r="B16" s="20"/>
      <c r="C16" s="20"/>
      <c r="D16" s="20"/>
      <c r="E16" s="20"/>
      <c r="F16" s="20"/>
      <c r="G16" s="20"/>
      <c r="H16" s="20"/>
      <c r="I16" s="20"/>
      <c r="J16" s="20"/>
      <c r="K16" s="20"/>
      <c r="L16" s="20"/>
      <c r="M16" s="20"/>
      <c r="N16" s="20"/>
      <c r="O16" s="10">
        <f t="shared" si="0"/>
        <v>0</v>
      </c>
      <c r="P16" s="1093"/>
      <c r="R16" s="2" t="s">
        <v>98</v>
      </c>
      <c r="S16" s="20">
        <f t="shared" ref="S16:AE16" si="20">S86*0.8</f>
        <v>35176.056000000004</v>
      </c>
      <c r="T16" s="20">
        <f t="shared" si="20"/>
        <v>12041.232000000002</v>
      </c>
      <c r="U16" s="20">
        <f t="shared" si="20"/>
        <v>5594.3919999999998</v>
      </c>
      <c r="V16" s="20">
        <f t="shared" si="20"/>
        <v>1956.5840000000001</v>
      </c>
      <c r="W16" s="20">
        <f t="shared" si="20"/>
        <v>93091.680000000008</v>
      </c>
      <c r="X16" s="20">
        <f t="shared" si="20"/>
        <v>1880.6400000000003</v>
      </c>
      <c r="Y16" s="20">
        <f t="shared" si="20"/>
        <v>2913.4160000000002</v>
      </c>
      <c r="Z16" s="20">
        <f t="shared" si="20"/>
        <v>233</v>
      </c>
      <c r="AA16" s="20">
        <f t="shared" si="20"/>
        <v>1531.5840000000001</v>
      </c>
      <c r="AB16" s="20">
        <f t="shared" si="20"/>
        <v>861.96</v>
      </c>
      <c r="AC16" s="20">
        <f t="shared" si="20"/>
        <v>0</v>
      </c>
      <c r="AD16" s="20">
        <f t="shared" si="20"/>
        <v>873.91200000000015</v>
      </c>
      <c r="AE16" s="20">
        <f t="shared" si="20"/>
        <v>22.856000000000002</v>
      </c>
      <c r="AF16" s="20">
        <f t="shared" si="1"/>
        <v>0</v>
      </c>
      <c r="AG16" s="20">
        <f t="shared" si="13"/>
        <v>12.904</v>
      </c>
      <c r="AH16" s="20">
        <f t="shared" si="13"/>
        <v>0</v>
      </c>
      <c r="AI16" s="10">
        <f t="shared" si="2"/>
        <v>156190.21600000004</v>
      </c>
      <c r="AJ16" s="1093">
        <f t="shared" si="3"/>
        <v>35176.056000000004</v>
      </c>
      <c r="AK16" s="1093">
        <f t="shared" si="4"/>
        <v>12041.232000000002</v>
      </c>
      <c r="AL16" s="1093">
        <f t="shared" si="5"/>
        <v>5594.3919999999998</v>
      </c>
      <c r="AM16" s="1093">
        <f t="shared" si="6"/>
        <v>1956.5840000000001</v>
      </c>
      <c r="AN16" s="1093">
        <f t="shared" si="7"/>
        <v>93091.680000000008</v>
      </c>
      <c r="AO16" s="1093">
        <f t="shared" si="8"/>
        <v>8330.2720000000008</v>
      </c>
      <c r="AP16" s="1093"/>
      <c r="AQ16" s="1093"/>
    </row>
    <row r="17" spans="1:43">
      <c r="A17" s="2" t="s">
        <v>12</v>
      </c>
      <c r="B17" s="20"/>
      <c r="C17" s="20"/>
      <c r="D17" s="20"/>
      <c r="E17" s="20"/>
      <c r="F17" s="20"/>
      <c r="G17" s="20"/>
      <c r="H17" s="20"/>
      <c r="I17" s="20"/>
      <c r="J17" s="20"/>
      <c r="K17" s="20"/>
      <c r="L17" s="20"/>
      <c r="M17" s="20"/>
      <c r="N17" s="20"/>
      <c r="O17" s="10">
        <f t="shared" si="0"/>
        <v>0</v>
      </c>
      <c r="P17" s="1093"/>
      <c r="R17" s="2" t="s">
        <v>99</v>
      </c>
      <c r="S17" s="20">
        <f t="shared" ref="S17:AE17" si="21">S87*0.8</f>
        <v>160160.76800000001</v>
      </c>
      <c r="T17" s="20">
        <f t="shared" si="21"/>
        <v>84243.983999999997</v>
      </c>
      <c r="U17" s="20">
        <f t="shared" si="21"/>
        <v>14156.248000000001</v>
      </c>
      <c r="V17" s="20">
        <f t="shared" si="21"/>
        <v>9891.9760000000006</v>
      </c>
      <c r="W17" s="20">
        <f t="shared" si="21"/>
        <v>193784.28000000003</v>
      </c>
      <c r="X17" s="20">
        <f t="shared" si="21"/>
        <v>2429.16</v>
      </c>
      <c r="Y17" s="20">
        <f t="shared" si="21"/>
        <v>16045.135999999999</v>
      </c>
      <c r="Z17" s="20">
        <f t="shared" si="21"/>
        <v>0</v>
      </c>
      <c r="AA17" s="20">
        <f t="shared" si="21"/>
        <v>8493.0960000000014</v>
      </c>
      <c r="AB17" s="20">
        <f t="shared" si="21"/>
        <v>1175.4000000000001</v>
      </c>
      <c r="AC17" s="20">
        <f t="shared" si="21"/>
        <v>0</v>
      </c>
      <c r="AD17" s="20">
        <f t="shared" si="21"/>
        <v>1828.5119999999999</v>
      </c>
      <c r="AE17" s="20">
        <f t="shared" si="21"/>
        <v>159.99200000000002</v>
      </c>
      <c r="AF17" s="20">
        <f t="shared" si="1"/>
        <v>0</v>
      </c>
      <c r="AG17" s="20">
        <f t="shared" si="13"/>
        <v>0</v>
      </c>
      <c r="AH17" s="20">
        <f t="shared" si="13"/>
        <v>0</v>
      </c>
      <c r="AI17" s="10">
        <f t="shared" si="2"/>
        <v>492368.55200000008</v>
      </c>
      <c r="AJ17" s="1093">
        <f t="shared" si="3"/>
        <v>160160.76800000001</v>
      </c>
      <c r="AK17" s="1093">
        <f t="shared" si="4"/>
        <v>84243.983999999997</v>
      </c>
      <c r="AL17" s="1093">
        <f t="shared" si="5"/>
        <v>14156.248000000001</v>
      </c>
      <c r="AM17" s="1093">
        <f t="shared" si="6"/>
        <v>9891.9760000000006</v>
      </c>
      <c r="AN17" s="1093">
        <f t="shared" si="7"/>
        <v>193784.28000000003</v>
      </c>
      <c r="AO17" s="1093">
        <f t="shared" si="8"/>
        <v>30131.295999999998</v>
      </c>
      <c r="AP17" s="1093"/>
      <c r="AQ17" s="1093"/>
    </row>
    <row r="18" spans="1:43">
      <c r="A18" s="2" t="s">
        <v>15</v>
      </c>
      <c r="B18" s="20"/>
      <c r="C18" s="20"/>
      <c r="D18" s="20"/>
      <c r="E18" s="20"/>
      <c r="F18" s="20"/>
      <c r="G18" s="20"/>
      <c r="H18" s="20"/>
      <c r="I18" s="20"/>
      <c r="J18" s="20"/>
      <c r="K18" s="20"/>
      <c r="L18" s="20"/>
      <c r="M18" s="20"/>
      <c r="N18" s="20"/>
      <c r="O18" s="10">
        <f t="shared" si="0"/>
        <v>0</v>
      </c>
      <c r="P18" s="1093"/>
      <c r="R18" s="2" t="s">
        <v>100</v>
      </c>
      <c r="S18" s="20">
        <f t="shared" ref="S18:AE18" si="22">S88*0.8</f>
        <v>25953.616000000002</v>
      </c>
      <c r="T18" s="20">
        <f t="shared" si="22"/>
        <v>18431.128000000001</v>
      </c>
      <c r="U18" s="20">
        <f t="shared" si="22"/>
        <v>1417.096</v>
      </c>
      <c r="V18" s="20">
        <f t="shared" si="22"/>
        <v>259.22399999999999</v>
      </c>
      <c r="W18" s="20">
        <f t="shared" si="22"/>
        <v>29071.559999999998</v>
      </c>
      <c r="X18" s="20">
        <f t="shared" si="22"/>
        <v>156.72000000000003</v>
      </c>
      <c r="Y18" s="20">
        <f t="shared" si="22"/>
        <v>3243.192</v>
      </c>
      <c r="Z18" s="20">
        <f t="shared" si="22"/>
        <v>0</v>
      </c>
      <c r="AA18" s="20">
        <f t="shared" si="22"/>
        <v>1264.4160000000002</v>
      </c>
      <c r="AB18" s="20">
        <f t="shared" si="22"/>
        <v>548.52</v>
      </c>
      <c r="AC18" s="20">
        <f t="shared" si="22"/>
        <v>0</v>
      </c>
      <c r="AD18" s="20">
        <f t="shared" si="22"/>
        <v>0</v>
      </c>
      <c r="AE18" s="20">
        <f t="shared" si="22"/>
        <v>45.712000000000003</v>
      </c>
      <c r="AF18" s="20">
        <f t="shared" si="1"/>
        <v>0</v>
      </c>
      <c r="AG18" s="20">
        <f t="shared" si="13"/>
        <v>0</v>
      </c>
      <c r="AH18" s="20">
        <f t="shared" si="13"/>
        <v>0</v>
      </c>
      <c r="AI18" s="10">
        <f t="shared" si="2"/>
        <v>80391.184000000008</v>
      </c>
      <c r="AJ18" s="1093">
        <f t="shared" si="3"/>
        <v>25953.616000000002</v>
      </c>
      <c r="AK18" s="1093">
        <f t="shared" si="4"/>
        <v>18431.128000000001</v>
      </c>
      <c r="AL18" s="1093">
        <f t="shared" si="5"/>
        <v>1417.096</v>
      </c>
      <c r="AM18" s="1093">
        <f t="shared" si="6"/>
        <v>259.22399999999999</v>
      </c>
      <c r="AN18" s="1093">
        <f t="shared" si="7"/>
        <v>29071.559999999998</v>
      </c>
      <c r="AO18" s="1093">
        <f t="shared" si="8"/>
        <v>5258.56</v>
      </c>
      <c r="AP18" s="1093"/>
      <c r="AQ18" s="1093"/>
    </row>
    <row r="19" spans="1:43">
      <c r="A19" s="2" t="s">
        <v>14</v>
      </c>
      <c r="B19" s="20"/>
      <c r="C19" s="20"/>
      <c r="D19" s="20"/>
      <c r="E19" s="20"/>
      <c r="F19" s="20"/>
      <c r="G19" s="20"/>
      <c r="H19" s="20"/>
      <c r="I19" s="20"/>
      <c r="J19" s="20"/>
      <c r="K19" s="20"/>
      <c r="L19" s="20"/>
      <c r="M19" s="20"/>
      <c r="N19" s="20"/>
      <c r="O19" s="10">
        <f t="shared" si="0"/>
        <v>0</v>
      </c>
      <c r="P19" s="1093"/>
      <c r="R19" s="2" t="s">
        <v>101</v>
      </c>
      <c r="S19" s="20">
        <f t="shared" ref="S19:AE19" si="23">S89*0.8</f>
        <v>26024.184000000001</v>
      </c>
      <c r="T19" s="20">
        <f t="shared" si="23"/>
        <v>16525.216</v>
      </c>
      <c r="U19" s="20">
        <f t="shared" si="23"/>
        <v>2062.1439999999998</v>
      </c>
      <c r="V19" s="20">
        <f t="shared" si="23"/>
        <v>618.30400000000009</v>
      </c>
      <c r="W19" s="20">
        <f t="shared" si="23"/>
        <v>28209.600000000002</v>
      </c>
      <c r="X19" s="20">
        <f t="shared" si="23"/>
        <v>235.08000000000004</v>
      </c>
      <c r="Y19" s="20">
        <f t="shared" si="23"/>
        <v>2715.92</v>
      </c>
      <c r="Z19" s="20">
        <f t="shared" si="23"/>
        <v>0</v>
      </c>
      <c r="AA19" s="20">
        <f t="shared" si="23"/>
        <v>1591.1040000000003</v>
      </c>
      <c r="AB19" s="20">
        <f t="shared" si="23"/>
        <v>313.44000000000005</v>
      </c>
      <c r="AC19" s="20">
        <f t="shared" si="23"/>
        <v>0</v>
      </c>
      <c r="AD19" s="20">
        <f t="shared" si="23"/>
        <v>0</v>
      </c>
      <c r="AE19" s="20">
        <f t="shared" si="23"/>
        <v>45.712000000000003</v>
      </c>
      <c r="AF19" s="20">
        <f t="shared" si="1"/>
        <v>0</v>
      </c>
      <c r="AG19" s="20">
        <f t="shared" si="13"/>
        <v>0</v>
      </c>
      <c r="AH19" s="20">
        <f t="shared" si="13"/>
        <v>116.72000000000001</v>
      </c>
      <c r="AI19" s="10">
        <f t="shared" si="2"/>
        <v>78457.424000000014</v>
      </c>
      <c r="AJ19" s="1093">
        <f t="shared" si="3"/>
        <v>26024.184000000001</v>
      </c>
      <c r="AK19" s="1093">
        <f t="shared" si="4"/>
        <v>16525.216</v>
      </c>
      <c r="AL19" s="1093">
        <f t="shared" si="5"/>
        <v>2062.1439999999998</v>
      </c>
      <c r="AM19" s="1093">
        <f t="shared" si="6"/>
        <v>618.30400000000009</v>
      </c>
      <c r="AN19" s="1093">
        <f t="shared" si="7"/>
        <v>28209.600000000002</v>
      </c>
      <c r="AO19" s="1093">
        <f t="shared" si="8"/>
        <v>5017.9760000000006</v>
      </c>
      <c r="AP19" s="1093"/>
      <c r="AQ19" s="1093"/>
    </row>
    <row r="20" spans="1:43">
      <c r="A20" s="2" t="s">
        <v>13</v>
      </c>
      <c r="B20" s="20"/>
      <c r="C20" s="20"/>
      <c r="D20" s="20"/>
      <c r="E20" s="20"/>
      <c r="F20" s="20"/>
      <c r="G20" s="20"/>
      <c r="H20" s="20"/>
      <c r="I20" s="20"/>
      <c r="J20" s="20"/>
      <c r="K20" s="20"/>
      <c r="L20" s="20"/>
      <c r="M20" s="20"/>
      <c r="N20" s="20"/>
      <c r="O20" s="10">
        <f t="shared" si="0"/>
        <v>0</v>
      </c>
      <c r="P20" s="1093"/>
      <c r="R20" s="2" t="s">
        <v>102</v>
      </c>
      <c r="S20" s="20">
        <f t="shared" ref="S20:AE20" si="24">S90*0.8</f>
        <v>149972.90400000001</v>
      </c>
      <c r="T20" s="20">
        <f t="shared" si="24"/>
        <v>61886.456000000006</v>
      </c>
      <c r="U20" s="20">
        <f t="shared" si="24"/>
        <v>32472.976000000002</v>
      </c>
      <c r="V20" s="20">
        <f t="shared" si="24"/>
        <v>17739.04</v>
      </c>
      <c r="W20" s="20">
        <f t="shared" si="24"/>
        <v>291264.12000000005</v>
      </c>
      <c r="X20" s="20">
        <f t="shared" si="24"/>
        <v>5093.4000000000005</v>
      </c>
      <c r="Y20" s="20">
        <f t="shared" si="24"/>
        <v>10921.376</v>
      </c>
      <c r="Z20" s="20">
        <f t="shared" si="24"/>
        <v>0</v>
      </c>
      <c r="AA20" s="20">
        <f t="shared" si="24"/>
        <v>7554.9840000000004</v>
      </c>
      <c r="AB20" s="20">
        <f t="shared" si="24"/>
        <v>2115.7200000000003</v>
      </c>
      <c r="AC20" s="20">
        <f t="shared" si="24"/>
        <v>0</v>
      </c>
      <c r="AD20" s="20">
        <f t="shared" si="24"/>
        <v>0</v>
      </c>
      <c r="AE20" s="20">
        <f t="shared" si="24"/>
        <v>22.856000000000002</v>
      </c>
      <c r="AF20" s="20">
        <f t="shared" si="1"/>
        <v>0</v>
      </c>
      <c r="AG20" s="20">
        <f t="shared" si="13"/>
        <v>0</v>
      </c>
      <c r="AH20" s="20">
        <f t="shared" si="13"/>
        <v>0</v>
      </c>
      <c r="AI20" s="10">
        <f t="shared" si="2"/>
        <v>579043.83200000017</v>
      </c>
      <c r="AJ20" s="1093">
        <f t="shared" si="3"/>
        <v>149972.90400000001</v>
      </c>
      <c r="AK20" s="1093">
        <f t="shared" si="4"/>
        <v>61886.456000000006</v>
      </c>
      <c r="AL20" s="1093">
        <f t="shared" si="5"/>
        <v>32472.976000000002</v>
      </c>
      <c r="AM20" s="1093">
        <f t="shared" si="6"/>
        <v>17739.04</v>
      </c>
      <c r="AN20" s="1093">
        <f t="shared" si="7"/>
        <v>291264.12000000005</v>
      </c>
      <c r="AO20" s="1093">
        <f t="shared" si="8"/>
        <v>25708.336000000003</v>
      </c>
      <c r="AP20" s="1093"/>
      <c r="AQ20" s="1093"/>
    </row>
    <row r="21" spans="1:43">
      <c r="A21" s="2" t="s">
        <v>16</v>
      </c>
      <c r="B21" s="20"/>
      <c r="C21" s="20"/>
      <c r="D21" s="20"/>
      <c r="E21" s="20"/>
      <c r="F21" s="20"/>
      <c r="G21" s="20"/>
      <c r="H21" s="20"/>
      <c r="I21" s="20"/>
      <c r="J21" s="20"/>
      <c r="K21" s="20"/>
      <c r="L21" s="20"/>
      <c r="M21" s="20"/>
      <c r="N21" s="20"/>
      <c r="O21" s="10">
        <f t="shared" si="0"/>
        <v>0</v>
      </c>
      <c r="P21" s="1093"/>
      <c r="R21" s="2" t="s">
        <v>103</v>
      </c>
      <c r="S21" s="20">
        <f t="shared" ref="S21:AF31" si="25">S91*0.8</f>
        <v>46351.528000000006</v>
      </c>
      <c r="T21" s="20">
        <f t="shared" si="25"/>
        <v>17392.135999999999</v>
      </c>
      <c r="U21" s="20">
        <f t="shared" si="25"/>
        <v>5470.2560000000003</v>
      </c>
      <c r="V21" s="20">
        <f t="shared" si="25"/>
        <v>746.50400000000002</v>
      </c>
      <c r="W21" s="20">
        <f t="shared" si="25"/>
        <v>42471.12</v>
      </c>
      <c r="X21" s="20">
        <f t="shared" si="25"/>
        <v>1097.04</v>
      </c>
      <c r="Y21" s="20">
        <f t="shared" si="25"/>
        <v>2744.4639999999999</v>
      </c>
      <c r="Z21" s="20">
        <f t="shared" si="25"/>
        <v>0</v>
      </c>
      <c r="AA21" s="20">
        <f t="shared" si="25"/>
        <v>2833.0640000000003</v>
      </c>
      <c r="AB21" s="20">
        <f t="shared" si="25"/>
        <v>78.360000000000014</v>
      </c>
      <c r="AC21" s="20">
        <f t="shared" si="25"/>
        <v>0</v>
      </c>
      <c r="AD21" s="20">
        <f t="shared" si="25"/>
        <v>0</v>
      </c>
      <c r="AE21" s="20">
        <f t="shared" si="25"/>
        <v>68.567999999999998</v>
      </c>
      <c r="AF21" s="20">
        <f t="shared" si="25"/>
        <v>0</v>
      </c>
      <c r="AG21" s="20">
        <f t="shared" si="13"/>
        <v>0</v>
      </c>
      <c r="AH21" s="20">
        <f t="shared" si="13"/>
        <v>0</v>
      </c>
      <c r="AI21" s="10">
        <f t="shared" si="2"/>
        <v>119253.03999999998</v>
      </c>
      <c r="AJ21" s="1093">
        <f t="shared" si="3"/>
        <v>46351.528000000006</v>
      </c>
      <c r="AK21" s="1093">
        <f t="shared" si="4"/>
        <v>17392.135999999999</v>
      </c>
      <c r="AL21" s="1093">
        <f t="shared" si="5"/>
        <v>5470.2560000000003</v>
      </c>
      <c r="AM21" s="1093">
        <f t="shared" si="6"/>
        <v>746.50400000000002</v>
      </c>
      <c r="AN21" s="1093">
        <f t="shared" si="7"/>
        <v>42471.12</v>
      </c>
      <c r="AO21" s="1093">
        <f t="shared" si="8"/>
        <v>6821.4960000000001</v>
      </c>
      <c r="AP21" s="1093"/>
      <c r="AQ21" s="1093"/>
    </row>
    <row r="22" spans="1:43">
      <c r="A22" s="2" t="s">
        <v>17</v>
      </c>
      <c r="B22" s="20"/>
      <c r="C22" s="20"/>
      <c r="D22" s="20"/>
      <c r="E22" s="20"/>
      <c r="F22" s="20"/>
      <c r="G22" s="20"/>
      <c r="H22" s="20"/>
      <c r="I22" s="20"/>
      <c r="J22" s="20"/>
      <c r="K22" s="20"/>
      <c r="L22" s="20"/>
      <c r="M22" s="20"/>
      <c r="N22" s="20"/>
      <c r="O22" s="10">
        <f t="shared" si="0"/>
        <v>0</v>
      </c>
      <c r="P22" s="1093"/>
      <c r="R22" s="2" t="s">
        <v>104</v>
      </c>
      <c r="S22" s="20">
        <f t="shared" ref="S22:AE22" si="26">S92*0.8</f>
        <v>12301.304</v>
      </c>
      <c r="T22" s="20">
        <f t="shared" si="26"/>
        <v>3246.9040000000005</v>
      </c>
      <c r="U22" s="20">
        <f t="shared" si="26"/>
        <v>914.24800000000005</v>
      </c>
      <c r="V22" s="20">
        <f t="shared" si="26"/>
        <v>216.76</v>
      </c>
      <c r="W22" s="20">
        <f t="shared" si="26"/>
        <v>12772.68</v>
      </c>
      <c r="X22" s="20">
        <f t="shared" si="26"/>
        <v>313.44000000000005</v>
      </c>
      <c r="Y22" s="20">
        <f t="shared" si="26"/>
        <v>417.12799999999999</v>
      </c>
      <c r="Z22" s="20">
        <f t="shared" si="26"/>
        <v>914.25599999999997</v>
      </c>
      <c r="AA22" s="20">
        <f t="shared" si="26"/>
        <v>522.69600000000003</v>
      </c>
      <c r="AB22" s="20">
        <f t="shared" si="26"/>
        <v>0</v>
      </c>
      <c r="AC22" s="20">
        <f t="shared" si="26"/>
        <v>0</v>
      </c>
      <c r="AD22" s="20">
        <f t="shared" si="26"/>
        <v>0</v>
      </c>
      <c r="AE22" s="20">
        <f t="shared" si="26"/>
        <v>0</v>
      </c>
      <c r="AF22" s="20">
        <f t="shared" si="25"/>
        <v>0</v>
      </c>
      <c r="AG22" s="20">
        <f>AG92</f>
        <v>0</v>
      </c>
      <c r="AH22" s="20">
        <f>AH92</f>
        <v>0</v>
      </c>
      <c r="AI22" s="10">
        <f t="shared" si="2"/>
        <v>31619.416000000001</v>
      </c>
      <c r="AJ22" s="1093">
        <f t="shared" si="3"/>
        <v>12301.304</v>
      </c>
      <c r="AK22" s="1093">
        <f t="shared" si="4"/>
        <v>3246.9040000000005</v>
      </c>
      <c r="AL22" s="1093">
        <f t="shared" si="5"/>
        <v>914.24800000000005</v>
      </c>
      <c r="AM22" s="1093">
        <f t="shared" si="6"/>
        <v>216.76</v>
      </c>
      <c r="AN22" s="1093">
        <f t="shared" si="7"/>
        <v>12772.68</v>
      </c>
      <c r="AO22" s="1093">
        <f t="shared" si="8"/>
        <v>2167.52</v>
      </c>
      <c r="AP22" s="1093"/>
      <c r="AQ22" s="1093"/>
    </row>
    <row r="23" spans="1:43">
      <c r="A23" s="2" t="s">
        <v>18</v>
      </c>
      <c r="B23" s="20"/>
      <c r="C23" s="20"/>
      <c r="D23" s="20"/>
      <c r="E23" s="20"/>
      <c r="F23" s="20"/>
      <c r="G23" s="20"/>
      <c r="H23" s="20"/>
      <c r="I23" s="20"/>
      <c r="J23" s="20"/>
      <c r="K23" s="20"/>
      <c r="L23" s="20"/>
      <c r="M23" s="20"/>
      <c r="N23" s="20"/>
      <c r="O23" s="10">
        <f t="shared" si="0"/>
        <v>0</v>
      </c>
      <c r="P23" s="1093"/>
      <c r="R23" s="2" t="s">
        <v>105</v>
      </c>
      <c r="S23" s="20">
        <f t="shared" ref="S23:AE23" si="27">S93*0.8</f>
        <v>166387.23200000002</v>
      </c>
      <c r="T23" s="20">
        <f t="shared" si="27"/>
        <v>55580.104000000007</v>
      </c>
      <c r="U23" s="20">
        <f t="shared" si="27"/>
        <v>23336.848000000002</v>
      </c>
      <c r="V23" s="20">
        <f t="shared" si="27"/>
        <v>8184.8</v>
      </c>
      <c r="W23" s="20">
        <f t="shared" si="27"/>
        <v>123649.52800000001</v>
      </c>
      <c r="X23" s="20">
        <f t="shared" si="27"/>
        <v>10500.24</v>
      </c>
      <c r="Y23" s="20">
        <f t="shared" si="27"/>
        <v>13007.224000000002</v>
      </c>
      <c r="Z23" s="20">
        <f t="shared" si="27"/>
        <v>1534.5600000000002</v>
      </c>
      <c r="AA23" s="20">
        <f t="shared" si="27"/>
        <v>5338.0960000000005</v>
      </c>
      <c r="AB23" s="20">
        <f t="shared" si="27"/>
        <v>626.88000000000011</v>
      </c>
      <c r="AC23" s="20">
        <f t="shared" si="27"/>
        <v>313.44000000000005</v>
      </c>
      <c r="AD23" s="20">
        <f t="shared" si="27"/>
        <v>0</v>
      </c>
      <c r="AE23" s="20">
        <f t="shared" si="27"/>
        <v>205.70400000000001</v>
      </c>
      <c r="AF23" s="20">
        <f t="shared" si="25"/>
        <v>0</v>
      </c>
      <c r="AG23" s="20">
        <f t="shared" ref="AG23:AH28" si="28">AG93*0.8</f>
        <v>0</v>
      </c>
      <c r="AH23" s="20">
        <f t="shared" si="28"/>
        <v>0</v>
      </c>
      <c r="AI23" s="10">
        <f t="shared" si="2"/>
        <v>408664.65600000002</v>
      </c>
      <c r="AJ23" s="1093">
        <f t="shared" si="3"/>
        <v>166387.23200000002</v>
      </c>
      <c r="AK23" s="1093">
        <f t="shared" si="4"/>
        <v>55580.104000000007</v>
      </c>
      <c r="AL23" s="1093">
        <f t="shared" si="5"/>
        <v>23336.848000000002</v>
      </c>
      <c r="AM23" s="1093">
        <f t="shared" si="6"/>
        <v>8184.8</v>
      </c>
      <c r="AN23" s="1093">
        <f t="shared" si="7"/>
        <v>123649.52800000001</v>
      </c>
      <c r="AO23" s="1093">
        <f t="shared" si="8"/>
        <v>31526.144000000004</v>
      </c>
      <c r="AP23" s="1093"/>
      <c r="AQ23" s="1093"/>
    </row>
    <row r="24" spans="1:43">
      <c r="A24" s="2" t="s">
        <v>20</v>
      </c>
      <c r="B24" s="20"/>
      <c r="C24" s="20"/>
      <c r="D24" s="20"/>
      <c r="E24" s="20"/>
      <c r="F24" s="20"/>
      <c r="G24" s="20"/>
      <c r="H24" s="20"/>
      <c r="I24" s="20"/>
      <c r="J24" s="20"/>
      <c r="K24" s="20"/>
      <c r="L24" s="20"/>
      <c r="M24" s="20"/>
      <c r="N24" s="20"/>
      <c r="O24" s="10">
        <f t="shared" si="0"/>
        <v>0</v>
      </c>
      <c r="P24" s="1093"/>
      <c r="R24" s="2" t="s">
        <v>106</v>
      </c>
      <c r="S24" s="20">
        <f t="shared" ref="S24:AE24" si="29">S94*0.8</f>
        <v>26968.224000000002</v>
      </c>
      <c r="T24" s="20">
        <f t="shared" si="29"/>
        <v>17326.952000000001</v>
      </c>
      <c r="U24" s="20">
        <f t="shared" si="29"/>
        <v>1932.6320000000001</v>
      </c>
      <c r="V24" s="20">
        <f t="shared" si="29"/>
        <v>340.48800000000006</v>
      </c>
      <c r="W24" s="20">
        <f t="shared" si="29"/>
        <v>28758.120000000003</v>
      </c>
      <c r="X24" s="20">
        <f t="shared" si="29"/>
        <v>548.52</v>
      </c>
      <c r="Y24" s="20">
        <f t="shared" si="29"/>
        <v>3150.4240000000004</v>
      </c>
      <c r="Z24" s="20">
        <f t="shared" si="29"/>
        <v>0</v>
      </c>
      <c r="AA24" s="20">
        <f t="shared" si="29"/>
        <v>1802.4960000000001</v>
      </c>
      <c r="AB24" s="20">
        <f t="shared" si="29"/>
        <v>156.72000000000003</v>
      </c>
      <c r="AC24" s="20">
        <f t="shared" si="29"/>
        <v>0</v>
      </c>
      <c r="AD24" s="20">
        <f t="shared" si="29"/>
        <v>0</v>
      </c>
      <c r="AE24" s="20">
        <f t="shared" si="29"/>
        <v>45.712000000000003</v>
      </c>
      <c r="AF24" s="20">
        <f t="shared" si="25"/>
        <v>0</v>
      </c>
      <c r="AG24" s="20">
        <f t="shared" si="28"/>
        <v>0</v>
      </c>
      <c r="AH24" s="20">
        <f t="shared" si="28"/>
        <v>0</v>
      </c>
      <c r="AI24" s="10">
        <f t="shared" si="2"/>
        <v>81030.288</v>
      </c>
      <c r="AJ24" s="1093">
        <f t="shared" si="3"/>
        <v>26968.224000000002</v>
      </c>
      <c r="AK24" s="1093">
        <f t="shared" si="4"/>
        <v>17326.952000000001</v>
      </c>
      <c r="AL24" s="1093">
        <f t="shared" si="5"/>
        <v>1932.6320000000001</v>
      </c>
      <c r="AM24" s="1093">
        <f t="shared" si="6"/>
        <v>340.48800000000006</v>
      </c>
      <c r="AN24" s="1093">
        <f t="shared" si="7"/>
        <v>28758.120000000003</v>
      </c>
      <c r="AO24" s="1093">
        <f t="shared" si="8"/>
        <v>5703.8720000000012</v>
      </c>
      <c r="AP24" s="1093"/>
      <c r="AQ24" s="1093"/>
    </row>
    <row r="25" spans="1:43">
      <c r="A25" s="2" t="s">
        <v>19</v>
      </c>
      <c r="B25" s="20"/>
      <c r="C25" s="20"/>
      <c r="D25" s="20"/>
      <c r="E25" s="20"/>
      <c r="F25" s="20"/>
      <c r="G25" s="20"/>
      <c r="H25" s="20"/>
      <c r="I25" s="20"/>
      <c r="J25" s="20"/>
      <c r="K25" s="20"/>
      <c r="L25" s="20"/>
      <c r="M25" s="20"/>
      <c r="N25" s="20"/>
      <c r="O25" s="10">
        <f t="shared" si="0"/>
        <v>0</v>
      </c>
      <c r="P25" s="1093"/>
      <c r="R25" s="2" t="s">
        <v>107</v>
      </c>
      <c r="S25" s="20">
        <f t="shared" ref="S25:AE25" si="30">S95*0.8</f>
        <v>173775.40000000002</v>
      </c>
      <c r="T25" s="20">
        <f t="shared" si="30"/>
        <v>55000.512000000002</v>
      </c>
      <c r="U25" s="20">
        <f t="shared" si="30"/>
        <v>28207.768</v>
      </c>
      <c r="V25" s="20">
        <f t="shared" si="30"/>
        <v>11017.24</v>
      </c>
      <c r="W25" s="20">
        <f t="shared" si="30"/>
        <v>314145.24</v>
      </c>
      <c r="X25" s="20">
        <f t="shared" si="30"/>
        <v>6347.16</v>
      </c>
      <c r="Y25" s="20">
        <f t="shared" si="30"/>
        <v>10886.144</v>
      </c>
      <c r="Z25" s="20">
        <f t="shared" si="30"/>
        <v>218.768</v>
      </c>
      <c r="AA25" s="20">
        <f t="shared" si="30"/>
        <v>5694.5280000000002</v>
      </c>
      <c r="AB25" s="20">
        <f t="shared" si="30"/>
        <v>626.88000000000011</v>
      </c>
      <c r="AC25" s="20">
        <f t="shared" si="30"/>
        <v>156.72000000000003</v>
      </c>
      <c r="AD25" s="20">
        <f t="shared" si="30"/>
        <v>447.13599999999997</v>
      </c>
      <c r="AE25" s="20">
        <f t="shared" si="30"/>
        <v>68.567999999999998</v>
      </c>
      <c r="AF25" s="20">
        <f t="shared" si="25"/>
        <v>0</v>
      </c>
      <c r="AG25" s="20">
        <f t="shared" si="28"/>
        <v>0</v>
      </c>
      <c r="AH25" s="20">
        <f t="shared" si="28"/>
        <v>0</v>
      </c>
      <c r="AI25" s="10">
        <f t="shared" si="2"/>
        <v>606592.06400000013</v>
      </c>
      <c r="AJ25" s="1093">
        <f t="shared" si="3"/>
        <v>173775.40000000002</v>
      </c>
      <c r="AK25" s="1093">
        <f t="shared" si="4"/>
        <v>55000.512000000002</v>
      </c>
      <c r="AL25" s="1093">
        <f t="shared" si="5"/>
        <v>28207.768</v>
      </c>
      <c r="AM25" s="1093">
        <f t="shared" si="6"/>
        <v>11017.24</v>
      </c>
      <c r="AN25" s="1093">
        <f t="shared" si="7"/>
        <v>314145.24</v>
      </c>
      <c r="AO25" s="1093">
        <f t="shared" si="8"/>
        <v>24445.903999999999</v>
      </c>
      <c r="AP25" s="1093"/>
      <c r="AQ25" s="1093"/>
    </row>
    <row r="26" spans="1:43">
      <c r="A26" s="2" t="s">
        <v>21</v>
      </c>
      <c r="B26" s="20"/>
      <c r="C26" s="20"/>
      <c r="D26" s="20"/>
      <c r="E26" s="20"/>
      <c r="F26" s="20"/>
      <c r="G26" s="20"/>
      <c r="H26" s="20"/>
      <c r="I26" s="20"/>
      <c r="J26" s="20"/>
      <c r="K26" s="20"/>
      <c r="L26" s="20"/>
      <c r="M26" s="20"/>
      <c r="N26" s="20"/>
      <c r="O26" s="10">
        <f t="shared" si="0"/>
        <v>0</v>
      </c>
      <c r="P26" s="1093"/>
      <c r="R26" s="2" t="s">
        <v>108</v>
      </c>
      <c r="S26" s="20">
        <f t="shared" ref="S26:AE26" si="31">S96*0.8</f>
        <v>12444.976000000001</v>
      </c>
      <c r="T26" s="20">
        <f t="shared" si="31"/>
        <v>5218.4480000000003</v>
      </c>
      <c r="U26" s="20">
        <f t="shared" si="31"/>
        <v>2232.2959999999998</v>
      </c>
      <c r="V26" s="20">
        <f t="shared" si="31"/>
        <v>652.77600000000007</v>
      </c>
      <c r="W26" s="20">
        <f t="shared" si="31"/>
        <v>40355.4</v>
      </c>
      <c r="X26" s="20">
        <f t="shared" si="31"/>
        <v>783.6</v>
      </c>
      <c r="Y26" s="20">
        <f t="shared" si="31"/>
        <v>641.97600000000011</v>
      </c>
      <c r="Z26" s="20">
        <f t="shared" si="31"/>
        <v>0</v>
      </c>
      <c r="AA26" s="20">
        <f t="shared" si="31"/>
        <v>990.58400000000006</v>
      </c>
      <c r="AB26" s="20">
        <f t="shared" si="31"/>
        <v>548.52</v>
      </c>
      <c r="AC26" s="20">
        <f t="shared" si="31"/>
        <v>0</v>
      </c>
      <c r="AD26" s="20">
        <f t="shared" si="31"/>
        <v>0</v>
      </c>
      <c r="AE26" s="20">
        <f t="shared" si="31"/>
        <v>22.856000000000002</v>
      </c>
      <c r="AF26" s="20">
        <f t="shared" si="25"/>
        <v>0</v>
      </c>
      <c r="AG26" s="20">
        <f t="shared" si="28"/>
        <v>0</v>
      </c>
      <c r="AH26" s="20">
        <f t="shared" si="28"/>
        <v>0</v>
      </c>
      <c r="AI26" s="10">
        <f t="shared" si="2"/>
        <v>63891.432000000001</v>
      </c>
      <c r="AJ26" s="1093">
        <f t="shared" si="3"/>
        <v>12444.976000000001</v>
      </c>
      <c r="AK26" s="1093">
        <f t="shared" si="4"/>
        <v>5218.4480000000003</v>
      </c>
      <c r="AL26" s="1093">
        <f t="shared" si="5"/>
        <v>2232.2959999999998</v>
      </c>
      <c r="AM26" s="1093">
        <f t="shared" si="6"/>
        <v>652.77600000000007</v>
      </c>
      <c r="AN26" s="1093">
        <f t="shared" si="7"/>
        <v>40355.4</v>
      </c>
      <c r="AO26" s="1093">
        <f t="shared" si="8"/>
        <v>2987.5360000000001</v>
      </c>
      <c r="AP26" s="1093"/>
      <c r="AQ26" s="1093"/>
    </row>
    <row r="27" spans="1:43">
      <c r="A27" s="2" t="s">
        <v>22</v>
      </c>
      <c r="B27" s="20"/>
      <c r="C27" s="20"/>
      <c r="D27" s="20"/>
      <c r="E27" s="20"/>
      <c r="F27" s="20"/>
      <c r="G27" s="20"/>
      <c r="H27" s="20"/>
      <c r="I27" s="20"/>
      <c r="J27" s="20"/>
      <c r="K27" s="20"/>
      <c r="L27" s="20"/>
      <c r="M27" s="20"/>
      <c r="N27" s="20"/>
      <c r="O27" s="10">
        <f t="shared" si="0"/>
        <v>0</v>
      </c>
      <c r="P27" s="1093"/>
      <c r="R27" s="2" t="s">
        <v>109</v>
      </c>
      <c r="S27" s="20">
        <f t="shared" ref="S27:AE27" si="32">S97*0.8</f>
        <v>1356.152</v>
      </c>
      <c r="T27" s="20">
        <f t="shared" si="32"/>
        <v>0</v>
      </c>
      <c r="U27" s="20">
        <f t="shared" si="32"/>
        <v>0</v>
      </c>
      <c r="V27" s="20">
        <f t="shared" si="32"/>
        <v>0</v>
      </c>
      <c r="W27" s="20">
        <f t="shared" si="32"/>
        <v>4153.0800000000008</v>
      </c>
      <c r="X27" s="20">
        <f t="shared" si="32"/>
        <v>0</v>
      </c>
      <c r="Y27" s="20">
        <f t="shared" si="32"/>
        <v>0</v>
      </c>
      <c r="Z27" s="20">
        <f t="shared" si="32"/>
        <v>0</v>
      </c>
      <c r="AA27" s="20">
        <f t="shared" si="32"/>
        <v>0</v>
      </c>
      <c r="AB27" s="20">
        <f t="shared" si="32"/>
        <v>0</v>
      </c>
      <c r="AC27" s="20">
        <f t="shared" si="32"/>
        <v>0</v>
      </c>
      <c r="AD27" s="20">
        <f t="shared" si="32"/>
        <v>0</v>
      </c>
      <c r="AE27" s="20">
        <f t="shared" si="32"/>
        <v>0</v>
      </c>
      <c r="AF27" s="20">
        <f t="shared" si="25"/>
        <v>0</v>
      </c>
      <c r="AG27" s="20">
        <f t="shared" si="28"/>
        <v>0</v>
      </c>
      <c r="AH27" s="20">
        <f t="shared" si="28"/>
        <v>0</v>
      </c>
      <c r="AI27" s="10">
        <f t="shared" si="2"/>
        <v>5509.2320000000009</v>
      </c>
      <c r="AJ27" s="1093">
        <f t="shared" si="3"/>
        <v>1356.152</v>
      </c>
      <c r="AK27" s="1093">
        <f t="shared" si="4"/>
        <v>0</v>
      </c>
      <c r="AL27" s="1093">
        <f t="shared" si="5"/>
        <v>0</v>
      </c>
      <c r="AM27" s="1093">
        <f t="shared" si="6"/>
        <v>0</v>
      </c>
      <c r="AN27" s="1093">
        <f t="shared" si="7"/>
        <v>4153.0800000000008</v>
      </c>
      <c r="AO27" s="1093">
        <f t="shared" si="8"/>
        <v>0</v>
      </c>
      <c r="AP27" s="1093"/>
      <c r="AQ27" s="1093"/>
    </row>
    <row r="28" spans="1:43">
      <c r="A28" s="2" t="s">
        <v>23</v>
      </c>
      <c r="B28" s="20"/>
      <c r="C28" s="20"/>
      <c r="D28" s="20"/>
      <c r="E28" s="20"/>
      <c r="F28" s="20"/>
      <c r="G28" s="20"/>
      <c r="H28" s="20"/>
      <c r="I28" s="20"/>
      <c r="J28" s="20"/>
      <c r="K28" s="20"/>
      <c r="L28" s="20"/>
      <c r="M28" s="20"/>
      <c r="N28" s="20"/>
      <c r="O28" s="10">
        <f t="shared" si="0"/>
        <v>0</v>
      </c>
      <c r="P28" s="1093"/>
      <c r="R28" s="2" t="s">
        <v>110</v>
      </c>
      <c r="S28" s="20">
        <f t="shared" ref="S28:AE28" si="33">S98*0.8</f>
        <v>138726.52800000002</v>
      </c>
      <c r="T28" s="20">
        <f t="shared" si="33"/>
        <v>19525.808000000001</v>
      </c>
      <c r="U28" s="20">
        <f t="shared" si="33"/>
        <v>20754.440000000002</v>
      </c>
      <c r="V28" s="20">
        <f t="shared" si="33"/>
        <v>4669.7120000000004</v>
      </c>
      <c r="W28" s="20">
        <f t="shared" si="33"/>
        <v>238998</v>
      </c>
      <c r="X28" s="20">
        <f t="shared" si="33"/>
        <v>2115.7200000000003</v>
      </c>
      <c r="Y28" s="20">
        <f t="shared" si="33"/>
        <v>3309.4160000000006</v>
      </c>
      <c r="Z28" s="20">
        <f t="shared" si="33"/>
        <v>0</v>
      </c>
      <c r="AA28" s="20">
        <f t="shared" si="33"/>
        <v>3018.328</v>
      </c>
      <c r="AB28" s="20">
        <f t="shared" si="33"/>
        <v>1018.68</v>
      </c>
      <c r="AC28" s="20">
        <f t="shared" si="33"/>
        <v>156.72000000000003</v>
      </c>
      <c r="AD28" s="20">
        <f t="shared" si="33"/>
        <v>0</v>
      </c>
      <c r="AE28" s="20">
        <f t="shared" si="33"/>
        <v>45.712000000000003</v>
      </c>
      <c r="AF28" s="20">
        <f t="shared" si="25"/>
        <v>0</v>
      </c>
      <c r="AG28" s="20">
        <f t="shared" si="28"/>
        <v>0</v>
      </c>
      <c r="AH28" s="20">
        <f t="shared" si="28"/>
        <v>0</v>
      </c>
      <c r="AI28" s="10">
        <f t="shared" si="2"/>
        <v>432339.06399999995</v>
      </c>
      <c r="AJ28" s="1093">
        <f t="shared" si="3"/>
        <v>138726.52800000002</v>
      </c>
      <c r="AK28" s="1093">
        <f t="shared" si="4"/>
        <v>19525.808000000001</v>
      </c>
      <c r="AL28" s="1093">
        <f t="shared" si="5"/>
        <v>20754.440000000002</v>
      </c>
      <c r="AM28" s="1093">
        <f t="shared" si="6"/>
        <v>4669.7120000000004</v>
      </c>
      <c r="AN28" s="1093">
        <f t="shared" si="7"/>
        <v>238998</v>
      </c>
      <c r="AO28" s="1093">
        <f t="shared" si="8"/>
        <v>9664.5759999999991</v>
      </c>
      <c r="AP28" s="1093"/>
      <c r="AQ28" s="1093"/>
    </row>
    <row r="29" spans="1:43">
      <c r="A29" s="2" t="s">
        <v>25</v>
      </c>
      <c r="B29" s="20"/>
      <c r="C29" s="20"/>
      <c r="D29" s="20"/>
      <c r="E29" s="20"/>
      <c r="F29" s="20"/>
      <c r="G29" s="20"/>
      <c r="H29" s="20"/>
      <c r="I29" s="20"/>
      <c r="J29" s="20"/>
      <c r="K29" s="20"/>
      <c r="L29" s="20"/>
      <c r="M29" s="20"/>
      <c r="N29" s="20"/>
      <c r="O29" s="10">
        <f t="shared" si="0"/>
        <v>0</v>
      </c>
      <c r="P29" s="1093"/>
      <c r="R29" s="2" t="s">
        <v>111</v>
      </c>
      <c r="S29" s="20">
        <f t="shared" ref="S29:AE29" si="34">S99*0.8</f>
        <v>719121.79200000002</v>
      </c>
      <c r="T29" s="20">
        <f t="shared" si="34"/>
        <v>237978.12000000002</v>
      </c>
      <c r="U29" s="20">
        <f t="shared" si="34"/>
        <v>95789.352000000014</v>
      </c>
      <c r="V29" s="20">
        <f t="shared" si="34"/>
        <v>24785.312000000002</v>
      </c>
      <c r="W29" s="20">
        <f t="shared" si="34"/>
        <v>1007239.4400000001</v>
      </c>
      <c r="X29" s="20">
        <f t="shared" si="34"/>
        <v>12851.04</v>
      </c>
      <c r="Y29" s="20">
        <f t="shared" si="34"/>
        <v>51910.815999999999</v>
      </c>
      <c r="Z29" s="20">
        <f t="shared" si="34"/>
        <v>0</v>
      </c>
      <c r="AA29" s="20">
        <f t="shared" si="34"/>
        <v>21898.328000000001</v>
      </c>
      <c r="AB29" s="20">
        <f t="shared" si="34"/>
        <v>3369.4800000000005</v>
      </c>
      <c r="AC29" s="20">
        <f t="shared" si="34"/>
        <v>313.44000000000005</v>
      </c>
      <c r="AD29" s="20">
        <f t="shared" si="34"/>
        <v>0</v>
      </c>
      <c r="AE29" s="20">
        <f t="shared" si="34"/>
        <v>594.25600000000009</v>
      </c>
      <c r="AF29" s="20">
        <f t="shared" si="25"/>
        <v>0</v>
      </c>
      <c r="AG29" s="20">
        <f>AG99</f>
        <v>85.35</v>
      </c>
      <c r="AH29" s="20">
        <f>AH99</f>
        <v>871.05</v>
      </c>
      <c r="AI29" s="10">
        <f t="shared" si="2"/>
        <v>2176807.7760000001</v>
      </c>
      <c r="AJ29" s="1093">
        <f t="shared" si="3"/>
        <v>719121.79200000002</v>
      </c>
      <c r="AK29" s="1093">
        <f t="shared" si="4"/>
        <v>237978.12000000002</v>
      </c>
      <c r="AL29" s="1093">
        <f t="shared" si="5"/>
        <v>95789.352000000014</v>
      </c>
      <c r="AM29" s="1093">
        <f t="shared" si="6"/>
        <v>24785.312000000002</v>
      </c>
      <c r="AN29" s="1093">
        <f t="shared" si="7"/>
        <v>1007239.4400000001</v>
      </c>
      <c r="AO29" s="1093">
        <f t="shared" si="8"/>
        <v>91893.760000000009</v>
      </c>
      <c r="AP29" s="1093"/>
      <c r="AQ29" s="1093"/>
    </row>
    <row r="30" spans="1:43">
      <c r="A30" s="2" t="s">
        <v>24</v>
      </c>
      <c r="B30" s="20"/>
      <c r="C30" s="20"/>
      <c r="D30" s="20"/>
      <c r="E30" s="20"/>
      <c r="F30" s="20"/>
      <c r="G30" s="20"/>
      <c r="H30" s="20"/>
      <c r="I30" s="20"/>
      <c r="J30" s="20"/>
      <c r="K30" s="20"/>
      <c r="L30" s="20"/>
      <c r="M30" s="20"/>
      <c r="N30" s="20"/>
      <c r="O30" s="10">
        <f t="shared" si="0"/>
        <v>0</v>
      </c>
      <c r="P30" s="1093"/>
      <c r="R30" s="2" t="s">
        <v>112</v>
      </c>
      <c r="S30" s="20">
        <f t="shared" ref="S30:AE30" si="35">S100*0.8</f>
        <v>17529.223999999998</v>
      </c>
      <c r="T30" s="20">
        <f t="shared" si="35"/>
        <v>4609.6160000000009</v>
      </c>
      <c r="U30" s="20">
        <f t="shared" si="35"/>
        <v>967.58400000000006</v>
      </c>
      <c r="V30" s="20">
        <f t="shared" si="35"/>
        <v>110.56</v>
      </c>
      <c r="W30" s="20">
        <f t="shared" si="35"/>
        <v>28601.4</v>
      </c>
      <c r="X30" s="20">
        <f t="shared" si="35"/>
        <v>783.6</v>
      </c>
      <c r="Y30" s="20">
        <f t="shared" si="35"/>
        <v>343.44800000000004</v>
      </c>
      <c r="Z30" s="20">
        <f t="shared" si="35"/>
        <v>0</v>
      </c>
      <c r="AA30" s="20">
        <f t="shared" si="35"/>
        <v>790.05600000000004</v>
      </c>
      <c r="AB30" s="20">
        <f t="shared" si="35"/>
        <v>156.72000000000003</v>
      </c>
      <c r="AC30" s="20">
        <f t="shared" si="35"/>
        <v>0</v>
      </c>
      <c r="AD30" s="20">
        <f t="shared" si="35"/>
        <v>0</v>
      </c>
      <c r="AE30" s="20">
        <f t="shared" si="35"/>
        <v>0</v>
      </c>
      <c r="AF30" s="20">
        <f t="shared" si="25"/>
        <v>0</v>
      </c>
      <c r="AG30" s="20">
        <f>AG100*0.8</f>
        <v>0</v>
      </c>
      <c r="AH30" s="20">
        <f>AH100*0.8</f>
        <v>0</v>
      </c>
      <c r="AI30" s="10">
        <f t="shared" si="2"/>
        <v>53892.207999999999</v>
      </c>
      <c r="AJ30" s="1093">
        <f t="shared" si="3"/>
        <v>17529.223999999998</v>
      </c>
      <c r="AK30" s="1093">
        <f t="shared" si="4"/>
        <v>4609.6160000000009</v>
      </c>
      <c r="AL30" s="1093">
        <f t="shared" si="5"/>
        <v>967.58400000000006</v>
      </c>
      <c r="AM30" s="1093">
        <f t="shared" si="6"/>
        <v>110.56</v>
      </c>
      <c r="AN30" s="1093">
        <f t="shared" si="7"/>
        <v>28601.4</v>
      </c>
      <c r="AO30" s="1093">
        <f t="shared" si="8"/>
        <v>2073.8240000000001</v>
      </c>
      <c r="AP30" s="1093"/>
      <c r="AQ30" s="1093"/>
    </row>
    <row r="31" spans="1:43">
      <c r="A31" s="2" t="s">
        <v>26</v>
      </c>
      <c r="B31" s="20"/>
      <c r="C31" s="20"/>
      <c r="D31" s="20"/>
      <c r="E31" s="20"/>
      <c r="F31" s="20"/>
      <c r="G31" s="20"/>
      <c r="H31" s="20"/>
      <c r="I31" s="20"/>
      <c r="J31" s="20"/>
      <c r="K31" s="20"/>
      <c r="L31" s="20"/>
      <c r="M31" s="20"/>
      <c r="N31" s="20"/>
      <c r="O31" s="10">
        <f t="shared" si="0"/>
        <v>0</v>
      </c>
      <c r="P31" s="1093"/>
      <c r="R31" s="2" t="s">
        <v>113</v>
      </c>
      <c r="S31" s="20">
        <f t="shared" ref="S31:AE31" si="36">S101*0.8</f>
        <v>5583.9279999999999</v>
      </c>
      <c r="T31" s="20">
        <f t="shared" si="36"/>
        <v>5174.84</v>
      </c>
      <c r="U31" s="20">
        <f t="shared" si="36"/>
        <v>1036.1600000000001</v>
      </c>
      <c r="V31" s="20">
        <f t="shared" si="36"/>
        <v>678.67200000000003</v>
      </c>
      <c r="W31" s="20">
        <f t="shared" si="36"/>
        <v>14810.04</v>
      </c>
      <c r="X31" s="20">
        <f t="shared" si="36"/>
        <v>78.360000000000014</v>
      </c>
      <c r="Y31" s="20">
        <f t="shared" si="36"/>
        <v>940.76800000000003</v>
      </c>
      <c r="Z31" s="20">
        <f t="shared" si="36"/>
        <v>0</v>
      </c>
      <c r="AA31" s="20">
        <f t="shared" si="36"/>
        <v>286.75200000000001</v>
      </c>
      <c r="AB31" s="20">
        <f t="shared" si="36"/>
        <v>313.44000000000005</v>
      </c>
      <c r="AC31" s="20">
        <f t="shared" si="36"/>
        <v>0</v>
      </c>
      <c r="AD31" s="20">
        <f t="shared" si="36"/>
        <v>0</v>
      </c>
      <c r="AE31" s="20">
        <f t="shared" si="36"/>
        <v>0</v>
      </c>
      <c r="AF31" s="20">
        <f t="shared" si="25"/>
        <v>0</v>
      </c>
      <c r="AG31" s="20">
        <f>AG101*0.8</f>
        <v>0</v>
      </c>
      <c r="AH31" s="20">
        <f>AH101*0.8</f>
        <v>0</v>
      </c>
      <c r="AI31" s="10">
        <f t="shared" si="2"/>
        <v>28902.959999999999</v>
      </c>
      <c r="AJ31" s="1093">
        <f t="shared" si="3"/>
        <v>5583.9279999999999</v>
      </c>
      <c r="AK31" s="1093">
        <f t="shared" si="4"/>
        <v>5174.84</v>
      </c>
      <c r="AL31" s="1093">
        <f t="shared" si="5"/>
        <v>1036.1600000000001</v>
      </c>
      <c r="AM31" s="1093">
        <f t="shared" si="6"/>
        <v>678.67200000000003</v>
      </c>
      <c r="AN31" s="1093">
        <f t="shared" si="7"/>
        <v>14810.04</v>
      </c>
      <c r="AO31" s="1093">
        <f t="shared" si="8"/>
        <v>1619.3200000000002</v>
      </c>
      <c r="AP31" s="1093"/>
      <c r="AQ31" s="1093"/>
    </row>
    <row r="32" spans="1:43">
      <c r="A32" s="1105" t="s">
        <v>37</v>
      </c>
      <c r="B32" s="10">
        <f t="shared" ref="B32:O32" si="37">SUM(B5:B31)</f>
        <v>0</v>
      </c>
      <c r="C32" s="10">
        <f t="shared" si="37"/>
        <v>0</v>
      </c>
      <c r="D32" s="10">
        <f t="shared" si="37"/>
        <v>0</v>
      </c>
      <c r="E32" s="10">
        <f t="shared" si="37"/>
        <v>0</v>
      </c>
      <c r="F32" s="10">
        <f t="shared" si="37"/>
        <v>0</v>
      </c>
      <c r="G32" s="10">
        <f t="shared" si="37"/>
        <v>0</v>
      </c>
      <c r="H32" s="10">
        <f t="shared" si="37"/>
        <v>0</v>
      </c>
      <c r="I32" s="10">
        <f t="shared" si="37"/>
        <v>0</v>
      </c>
      <c r="J32" s="10">
        <f t="shared" si="37"/>
        <v>0</v>
      </c>
      <c r="K32" s="10">
        <f t="shared" si="37"/>
        <v>0</v>
      </c>
      <c r="L32" s="10">
        <f t="shared" si="37"/>
        <v>0</v>
      </c>
      <c r="M32" s="10">
        <f t="shared" si="37"/>
        <v>0</v>
      </c>
      <c r="N32" s="10">
        <f t="shared" si="37"/>
        <v>0</v>
      </c>
      <c r="O32" s="10">
        <f t="shared" si="37"/>
        <v>0</v>
      </c>
      <c r="R32" s="5" t="s">
        <v>37</v>
      </c>
      <c r="S32" s="6">
        <f t="shared" ref="S32:AJ32" si="38">SUM(S5:S31)</f>
        <v>2077934.8</v>
      </c>
      <c r="T32" s="6">
        <f t="shared" si="38"/>
        <v>741900.79999999993</v>
      </c>
      <c r="U32" s="6">
        <f t="shared" si="38"/>
        <v>274672.51999999996</v>
      </c>
      <c r="V32" s="6">
        <f t="shared" si="38"/>
        <v>93613.008000000016</v>
      </c>
      <c r="W32" s="6">
        <f t="shared" si="38"/>
        <v>3014510.3200000003</v>
      </c>
      <c r="X32" s="6">
        <f t="shared" si="38"/>
        <v>55870.68</v>
      </c>
      <c r="Y32" s="6">
        <f t="shared" si="38"/>
        <v>144656.35199999998</v>
      </c>
      <c r="Z32" s="6">
        <f t="shared" si="38"/>
        <v>11358</v>
      </c>
      <c r="AA32" s="6">
        <f t="shared" si="38"/>
        <v>77000.647999999986</v>
      </c>
      <c r="AB32" s="6">
        <f t="shared" si="38"/>
        <v>14966.759999999998</v>
      </c>
      <c r="AC32" s="6">
        <f t="shared" si="38"/>
        <v>1253.7600000000002</v>
      </c>
      <c r="AD32" s="6">
        <f t="shared" si="38"/>
        <v>3149.56</v>
      </c>
      <c r="AE32" s="6">
        <f t="shared" si="38"/>
        <v>1714.2</v>
      </c>
      <c r="AF32" s="6">
        <f>SUM(AF5:AF31)</f>
        <v>0</v>
      </c>
      <c r="AG32" s="6">
        <f t="shared" si="38"/>
        <v>98.253999999999991</v>
      </c>
      <c r="AH32" s="6">
        <f t="shared" si="38"/>
        <v>987.77</v>
      </c>
      <c r="AI32" s="6">
        <f t="shared" si="38"/>
        <v>6513687.432</v>
      </c>
      <c r="AJ32" s="1093">
        <f t="shared" si="38"/>
        <v>2077934.8</v>
      </c>
      <c r="AK32" s="1093">
        <f t="shared" ref="AK32:AO32" si="39">SUM(AK5:AK31)</f>
        <v>741900.79999999993</v>
      </c>
      <c r="AL32" s="1093">
        <f t="shared" si="39"/>
        <v>274672.51999999996</v>
      </c>
      <c r="AM32" s="1093">
        <f t="shared" si="39"/>
        <v>93613.008000000016</v>
      </c>
      <c r="AN32" s="1093">
        <f t="shared" si="39"/>
        <v>3014510.3200000003</v>
      </c>
      <c r="AO32" s="1093">
        <f t="shared" si="39"/>
        <v>311055.98400000005</v>
      </c>
      <c r="AP32" s="1093"/>
      <c r="AQ32" s="1093"/>
    </row>
    <row r="33" spans="1:43">
      <c r="A33" s="1108"/>
      <c r="B33" s="1108"/>
      <c r="C33" s="1109"/>
      <c r="D33" s="1109"/>
      <c r="E33" s="1109"/>
      <c r="F33" s="1109"/>
      <c r="G33" s="1109"/>
      <c r="H33" s="1109"/>
      <c r="I33" s="1109"/>
      <c r="J33" s="1109"/>
      <c r="K33" s="1109"/>
      <c r="L33" s="1109"/>
      <c r="M33" s="1109"/>
      <c r="N33" s="1109"/>
      <c r="O33" s="1101"/>
      <c r="R33" s="1080" t="s">
        <v>50</v>
      </c>
      <c r="S33" s="1081"/>
      <c r="T33" s="1082"/>
      <c r="U33" s="1082"/>
      <c r="V33" s="1082"/>
      <c r="W33" s="1082"/>
      <c r="X33" s="1082"/>
      <c r="Y33" s="1082"/>
      <c r="Z33" s="1082"/>
      <c r="AA33" s="1082"/>
      <c r="AB33" s="1082"/>
      <c r="AC33" s="1082"/>
      <c r="AD33" s="1082"/>
      <c r="AE33" s="1082"/>
      <c r="AF33" s="1082"/>
      <c r="AG33" s="1082"/>
      <c r="AH33" s="1082"/>
      <c r="AI33" s="1081"/>
      <c r="AP33" s="1093"/>
      <c r="AQ33" s="1093"/>
    </row>
    <row r="34" spans="1:43">
      <c r="A34" s="1094"/>
      <c r="B34" s="1094"/>
      <c r="C34" s="1095"/>
      <c r="D34" s="1095"/>
      <c r="E34" s="1095"/>
      <c r="F34" s="1095"/>
      <c r="G34" s="1095"/>
      <c r="H34" s="1095"/>
      <c r="I34" s="1095"/>
      <c r="J34" s="1095"/>
      <c r="K34" s="1095"/>
      <c r="L34" s="1095"/>
      <c r="M34" s="1095"/>
      <c r="N34" s="1095"/>
      <c r="O34" s="1096"/>
      <c r="R34" s="1094"/>
      <c r="S34" s="1094"/>
      <c r="T34" s="1095"/>
      <c r="U34" s="1095"/>
      <c r="V34" s="1095"/>
      <c r="W34" s="1095"/>
      <c r="X34" s="1095"/>
      <c r="Y34" s="1095"/>
      <c r="Z34" s="1095"/>
      <c r="AA34" s="1095"/>
      <c r="AB34" s="1095"/>
      <c r="AC34" s="1095"/>
      <c r="AD34" s="1095"/>
      <c r="AE34" s="1095"/>
      <c r="AF34" s="1095"/>
      <c r="AG34" s="1095"/>
      <c r="AH34" s="1095"/>
      <c r="AI34" s="1096"/>
    </row>
    <row r="35" spans="1:43">
      <c r="A35" s="1097" t="s">
        <v>14</v>
      </c>
      <c r="B35" s="1230" t="s">
        <v>46</v>
      </c>
      <c r="C35" s="1230"/>
      <c r="D35" s="1230"/>
      <c r="E35" s="1230"/>
      <c r="F35" s="1230"/>
      <c r="G35" s="1230"/>
      <c r="H35" s="1230"/>
      <c r="I35" s="1089"/>
      <c r="J35" s="1089"/>
      <c r="K35" s="1089"/>
      <c r="L35" s="1089"/>
      <c r="M35" s="1089"/>
      <c r="N35" s="1089"/>
      <c r="O35" s="1090"/>
      <c r="R35" s="1088"/>
      <c r="S35" s="1088"/>
      <c r="T35" s="1089"/>
      <c r="U35" s="1089"/>
      <c r="V35" s="1089"/>
      <c r="W35" s="1089"/>
      <c r="X35" s="1089"/>
      <c r="Y35" s="1089"/>
      <c r="Z35" s="1089"/>
      <c r="AA35" s="1089"/>
      <c r="AB35" s="1089"/>
      <c r="AC35" s="1089"/>
      <c r="AD35" s="1089"/>
      <c r="AE35" s="1089"/>
      <c r="AF35" s="1089"/>
      <c r="AG35" s="1089"/>
      <c r="AH35" s="1089"/>
      <c r="AI35" s="1090"/>
    </row>
    <row r="36" spans="1:43">
      <c r="A36" s="1098"/>
      <c r="B36" s="1098"/>
      <c r="C36" s="1099"/>
      <c r="D36" s="1099"/>
      <c r="E36" s="1099"/>
      <c r="F36" s="1099"/>
      <c r="G36" s="1099"/>
      <c r="H36" s="1099"/>
      <c r="I36" s="1099"/>
      <c r="J36" s="1099"/>
      <c r="K36" s="1099"/>
      <c r="L36" s="1099"/>
      <c r="M36" s="1099"/>
      <c r="N36" s="1099"/>
      <c r="O36" s="1100"/>
      <c r="R36" s="1098"/>
      <c r="S36" s="1098"/>
      <c r="T36" s="1099"/>
      <c r="U36" s="1099"/>
      <c r="V36" s="1099"/>
      <c r="W36" s="1099"/>
      <c r="X36" s="1099"/>
      <c r="Y36" s="1099"/>
      <c r="Z36" s="1099"/>
      <c r="AA36" s="1099"/>
      <c r="AB36" s="1099"/>
      <c r="AC36" s="1099"/>
      <c r="AD36" s="1099"/>
      <c r="AE36" s="1099"/>
      <c r="AF36" s="1099"/>
      <c r="AG36" s="1099"/>
      <c r="AH36" s="1099"/>
      <c r="AI36" s="1100"/>
    </row>
    <row r="37" spans="1:43" ht="46.5">
      <c r="A37" s="1223" t="s">
        <v>68</v>
      </c>
      <c r="B37" s="1224"/>
      <c r="C37" s="1224"/>
      <c r="D37" s="1224"/>
      <c r="E37" s="1224"/>
      <c r="F37" s="1224"/>
      <c r="G37" s="1224"/>
      <c r="H37" s="1224"/>
      <c r="I37" s="1224"/>
      <c r="J37" s="1224"/>
      <c r="K37" s="1224"/>
      <c r="L37" s="1224"/>
      <c r="M37" s="1224"/>
      <c r="N37" s="1224"/>
      <c r="O37" s="1225"/>
      <c r="R37" s="1220" t="s">
        <v>69</v>
      </c>
      <c r="S37" s="1221"/>
      <c r="T37" s="1221"/>
      <c r="U37" s="1221"/>
      <c r="V37" s="1221"/>
      <c r="W37" s="1221"/>
      <c r="X37" s="1221"/>
      <c r="Y37" s="1221"/>
      <c r="Z37" s="1221"/>
      <c r="AA37" s="1221"/>
      <c r="AB37" s="1221"/>
      <c r="AC37" s="1221"/>
      <c r="AD37" s="1221"/>
      <c r="AE37" s="1221"/>
      <c r="AF37" s="1221"/>
      <c r="AG37" s="1221"/>
      <c r="AH37" s="1221"/>
      <c r="AI37" s="1222"/>
    </row>
    <row r="38" spans="1:43" s="1104" customFormat="1" ht="35.1" customHeight="1">
      <c r="A38" s="1226" t="s">
        <v>33</v>
      </c>
      <c r="B38" s="1228" t="s">
        <v>27</v>
      </c>
      <c r="C38" s="1229"/>
      <c r="D38" s="1228" t="s">
        <v>29</v>
      </c>
      <c r="E38" s="1229"/>
      <c r="F38" s="1226" t="s">
        <v>28</v>
      </c>
      <c r="G38" s="1226" t="s">
        <v>36</v>
      </c>
      <c r="H38" s="1226" t="s">
        <v>30</v>
      </c>
      <c r="I38" s="1226" t="s">
        <v>31</v>
      </c>
      <c r="J38" s="1226" t="s">
        <v>41</v>
      </c>
      <c r="K38" s="1226" t="s">
        <v>35</v>
      </c>
      <c r="L38" s="1226" t="s">
        <v>40</v>
      </c>
      <c r="M38" s="1226" t="s">
        <v>42</v>
      </c>
      <c r="N38" s="1226" t="s">
        <v>45</v>
      </c>
      <c r="O38" s="1226" t="s">
        <v>34</v>
      </c>
      <c r="R38" s="1226" t="s">
        <v>33</v>
      </c>
      <c r="S38" s="1228" t="s">
        <v>27</v>
      </c>
      <c r="T38" s="1229"/>
      <c r="U38" s="1228" t="s">
        <v>29</v>
      </c>
      <c r="V38" s="1229"/>
      <c r="W38" s="1226" t="s">
        <v>28</v>
      </c>
      <c r="X38" s="1226" t="s">
        <v>36</v>
      </c>
      <c r="Y38" s="1226" t="s">
        <v>30</v>
      </c>
      <c r="Z38" s="1226" t="s">
        <v>31</v>
      </c>
      <c r="AA38" s="1226" t="s">
        <v>41</v>
      </c>
      <c r="AB38" s="1226" t="s">
        <v>35</v>
      </c>
      <c r="AC38" s="1226" t="s">
        <v>40</v>
      </c>
      <c r="AD38" s="1226" t="s">
        <v>42</v>
      </c>
      <c r="AE38" s="1226" t="s">
        <v>45</v>
      </c>
      <c r="AF38" s="1226" t="s">
        <v>411</v>
      </c>
      <c r="AG38" s="1228" t="s">
        <v>51</v>
      </c>
      <c r="AH38" s="1229"/>
      <c r="AI38" s="1226" t="s">
        <v>34</v>
      </c>
    </row>
    <row r="39" spans="1:43" s="1104" customFormat="1" ht="35.1" customHeight="1">
      <c r="A39" s="1227"/>
      <c r="B39" s="1091" t="s">
        <v>43</v>
      </c>
      <c r="C39" s="1091" t="s">
        <v>44</v>
      </c>
      <c r="D39" s="1091" t="s">
        <v>43</v>
      </c>
      <c r="E39" s="1091" t="s">
        <v>44</v>
      </c>
      <c r="F39" s="1227"/>
      <c r="G39" s="1227"/>
      <c r="H39" s="1227"/>
      <c r="I39" s="1227"/>
      <c r="J39" s="1227"/>
      <c r="K39" s="1227"/>
      <c r="L39" s="1227"/>
      <c r="M39" s="1227"/>
      <c r="N39" s="1227"/>
      <c r="O39" s="1227"/>
      <c r="R39" s="1227"/>
      <c r="S39" s="1091" t="s">
        <v>43</v>
      </c>
      <c r="T39" s="1091" t="s">
        <v>44</v>
      </c>
      <c r="U39" s="1091" t="s">
        <v>43</v>
      </c>
      <c r="V39" s="1091" t="s">
        <v>44</v>
      </c>
      <c r="W39" s="1227"/>
      <c r="X39" s="1227"/>
      <c r="Y39" s="1227"/>
      <c r="Z39" s="1227"/>
      <c r="AA39" s="1227"/>
      <c r="AB39" s="1227"/>
      <c r="AC39" s="1227"/>
      <c r="AD39" s="1227"/>
      <c r="AE39" s="1227"/>
      <c r="AF39" s="1227"/>
      <c r="AG39" s="1092" t="s">
        <v>52</v>
      </c>
      <c r="AH39" s="1092" t="s">
        <v>53</v>
      </c>
      <c r="AI39" s="1227"/>
      <c r="AJ39" s="1104" t="s">
        <v>183</v>
      </c>
      <c r="AK39" s="1104" t="s">
        <v>424</v>
      </c>
      <c r="AL39" s="1104" t="s">
        <v>184</v>
      </c>
      <c r="AM39" s="1104" t="s">
        <v>425</v>
      </c>
      <c r="AN39" s="1104" t="s">
        <v>28</v>
      </c>
      <c r="AO39" s="1104" t="s">
        <v>185</v>
      </c>
    </row>
    <row r="40" spans="1:43">
      <c r="A40" s="2" t="s">
        <v>0</v>
      </c>
      <c r="B40" s="20"/>
      <c r="C40" s="20"/>
      <c r="D40" s="20"/>
      <c r="E40" s="20"/>
      <c r="F40" s="20"/>
      <c r="G40" s="20"/>
      <c r="H40" s="20"/>
      <c r="I40" s="20"/>
      <c r="J40" s="20"/>
      <c r="K40" s="20"/>
      <c r="L40" s="20"/>
      <c r="M40" s="20"/>
      <c r="N40" s="20"/>
      <c r="O40" s="10">
        <f t="shared" ref="O40:O66" si="40">SUM(B40:N40)</f>
        <v>0</v>
      </c>
      <c r="R40" s="2" t="s">
        <v>87</v>
      </c>
      <c r="S40" s="20">
        <f t="shared" ref="S40:AH55" si="41">S75*0.2</f>
        <v>1509.6280000000002</v>
      </c>
      <c r="T40" s="20">
        <f t="shared" si="41"/>
        <v>303.572</v>
      </c>
      <c r="U40" s="20">
        <f t="shared" si="41"/>
        <v>127.61400000000002</v>
      </c>
      <c r="V40" s="20">
        <f t="shared" si="41"/>
        <v>46.146000000000001</v>
      </c>
      <c r="W40" s="20">
        <f t="shared" si="41"/>
        <v>1959</v>
      </c>
      <c r="X40" s="20">
        <f t="shared" si="41"/>
        <v>78.360000000000014</v>
      </c>
      <c r="Y40" s="20">
        <f t="shared" si="41"/>
        <v>40.944000000000003</v>
      </c>
      <c r="Z40" s="20">
        <f t="shared" si="41"/>
        <v>0</v>
      </c>
      <c r="AA40" s="20">
        <f t="shared" si="41"/>
        <v>34.438000000000002</v>
      </c>
      <c r="AB40" s="20">
        <f t="shared" si="41"/>
        <v>19.590000000000003</v>
      </c>
      <c r="AC40" s="20">
        <f t="shared" si="41"/>
        <v>0</v>
      </c>
      <c r="AD40" s="20">
        <f t="shared" si="41"/>
        <v>0</v>
      </c>
      <c r="AE40" s="20">
        <f t="shared" si="41"/>
        <v>0</v>
      </c>
      <c r="AF40" s="20">
        <f t="shared" si="41"/>
        <v>0</v>
      </c>
      <c r="AG40" s="20">
        <f t="shared" si="41"/>
        <v>0</v>
      </c>
      <c r="AH40" s="20">
        <f t="shared" si="41"/>
        <v>0</v>
      </c>
      <c r="AI40" s="10">
        <f t="shared" ref="AI40:AI66" si="42">SUM(S40:AH40)</f>
        <v>4119.2920000000004</v>
      </c>
      <c r="AJ40" s="1093">
        <f t="shared" ref="AJ40:AJ66" si="43">S40</f>
        <v>1509.6280000000002</v>
      </c>
      <c r="AK40" s="1093">
        <f t="shared" ref="AK40:AK66" si="44">T40</f>
        <v>303.572</v>
      </c>
      <c r="AL40" s="1093">
        <f t="shared" ref="AL40:AL66" si="45">U40</f>
        <v>127.61400000000002</v>
      </c>
      <c r="AM40" s="1093">
        <f t="shared" ref="AM40:AM66" si="46">V40</f>
        <v>46.146000000000001</v>
      </c>
      <c r="AN40" s="1093">
        <f t="shared" ref="AN40:AN66" si="47">W40</f>
        <v>1959</v>
      </c>
      <c r="AO40" s="1093">
        <f t="shared" ref="AO40:AO66" si="48">SUM(X40:AH40)</f>
        <v>173.33200000000002</v>
      </c>
    </row>
    <row r="41" spans="1:43">
      <c r="A41" s="2" t="s">
        <v>1</v>
      </c>
      <c r="B41" s="20"/>
      <c r="C41" s="20"/>
      <c r="D41" s="20"/>
      <c r="E41" s="20"/>
      <c r="F41" s="20"/>
      <c r="G41" s="20"/>
      <c r="H41" s="20"/>
      <c r="I41" s="20"/>
      <c r="J41" s="20"/>
      <c r="K41" s="20"/>
      <c r="L41" s="20"/>
      <c r="M41" s="20"/>
      <c r="N41" s="20"/>
      <c r="O41" s="10">
        <f t="shared" si="40"/>
        <v>0</v>
      </c>
      <c r="R41" s="2" t="s">
        <v>88</v>
      </c>
      <c r="S41" s="20">
        <f t="shared" ref="S41:AH41" si="49">S76*0.2</f>
        <v>4327.3860000000004</v>
      </c>
      <c r="T41" s="20">
        <f t="shared" si="49"/>
        <v>2619.7200000000003</v>
      </c>
      <c r="U41" s="20">
        <f t="shared" si="49"/>
        <v>186.66</v>
      </c>
      <c r="V41" s="20">
        <f t="shared" si="49"/>
        <v>126.63200000000001</v>
      </c>
      <c r="W41" s="20">
        <f t="shared" si="49"/>
        <v>7620.5100000000011</v>
      </c>
      <c r="X41" s="20">
        <f t="shared" si="49"/>
        <v>97.95</v>
      </c>
      <c r="Y41" s="20">
        <f t="shared" si="49"/>
        <v>455.61599999999999</v>
      </c>
      <c r="Z41" s="20">
        <f t="shared" si="49"/>
        <v>114.282</v>
      </c>
      <c r="AA41" s="20">
        <f t="shared" si="49"/>
        <v>279.02</v>
      </c>
      <c r="AB41" s="20">
        <f t="shared" si="49"/>
        <v>0</v>
      </c>
      <c r="AC41" s="20">
        <f t="shared" si="49"/>
        <v>0</v>
      </c>
      <c r="AD41" s="20">
        <f t="shared" si="49"/>
        <v>0</v>
      </c>
      <c r="AE41" s="20">
        <f t="shared" si="49"/>
        <v>0</v>
      </c>
      <c r="AF41" s="20">
        <f t="shared" si="41"/>
        <v>0</v>
      </c>
      <c r="AG41" s="20">
        <f t="shared" si="49"/>
        <v>0</v>
      </c>
      <c r="AH41" s="20">
        <f t="shared" si="49"/>
        <v>0</v>
      </c>
      <c r="AI41" s="10">
        <f t="shared" si="42"/>
        <v>15827.776000000002</v>
      </c>
      <c r="AJ41" s="1093">
        <f t="shared" si="43"/>
        <v>4327.3860000000004</v>
      </c>
      <c r="AK41" s="1093">
        <f t="shared" si="44"/>
        <v>2619.7200000000003</v>
      </c>
      <c r="AL41" s="1093">
        <f t="shared" si="45"/>
        <v>186.66</v>
      </c>
      <c r="AM41" s="1093">
        <f t="shared" si="46"/>
        <v>126.63200000000001</v>
      </c>
      <c r="AN41" s="1093">
        <f t="shared" si="47"/>
        <v>7620.5100000000011</v>
      </c>
      <c r="AO41" s="1093">
        <f t="shared" si="48"/>
        <v>946.86800000000005</v>
      </c>
    </row>
    <row r="42" spans="1:43">
      <c r="A42" s="2" t="s">
        <v>2</v>
      </c>
      <c r="B42" s="20"/>
      <c r="C42" s="20"/>
      <c r="D42" s="20"/>
      <c r="E42" s="20"/>
      <c r="F42" s="20"/>
      <c r="G42" s="20"/>
      <c r="H42" s="20"/>
      <c r="I42" s="20"/>
      <c r="J42" s="20"/>
      <c r="K42" s="20"/>
      <c r="L42" s="20"/>
      <c r="M42" s="20"/>
      <c r="N42" s="20"/>
      <c r="O42" s="10">
        <f t="shared" si="40"/>
        <v>0</v>
      </c>
      <c r="R42" s="2" t="s">
        <v>89</v>
      </c>
      <c r="S42" s="20">
        <f t="shared" ref="S42:AH42" si="50">S77*0.2</f>
        <v>2084.4560000000001</v>
      </c>
      <c r="T42" s="20">
        <f t="shared" si="50"/>
        <v>769.86000000000013</v>
      </c>
      <c r="U42" s="20">
        <f t="shared" si="50"/>
        <v>457.12799999999999</v>
      </c>
      <c r="V42" s="20">
        <f t="shared" si="50"/>
        <v>217.87800000000004</v>
      </c>
      <c r="W42" s="20">
        <f t="shared" si="50"/>
        <v>3370.3980000000006</v>
      </c>
      <c r="X42" s="20">
        <f t="shared" si="50"/>
        <v>352.62</v>
      </c>
      <c r="Y42" s="20">
        <f t="shared" si="50"/>
        <v>117.94800000000001</v>
      </c>
      <c r="Z42" s="20">
        <f t="shared" si="50"/>
        <v>0</v>
      </c>
      <c r="AA42" s="20">
        <f t="shared" si="50"/>
        <v>180.15800000000002</v>
      </c>
      <c r="AB42" s="20">
        <f t="shared" si="50"/>
        <v>58.77000000000001</v>
      </c>
      <c r="AC42" s="20">
        <f t="shared" si="50"/>
        <v>0</v>
      </c>
      <c r="AD42" s="20">
        <f t="shared" si="50"/>
        <v>0</v>
      </c>
      <c r="AE42" s="20">
        <f t="shared" si="50"/>
        <v>0</v>
      </c>
      <c r="AF42" s="20">
        <f t="shared" si="41"/>
        <v>0</v>
      </c>
      <c r="AG42" s="20">
        <f t="shared" si="50"/>
        <v>0</v>
      </c>
      <c r="AH42" s="20">
        <f t="shared" si="50"/>
        <v>0</v>
      </c>
      <c r="AI42" s="10">
        <f t="shared" si="42"/>
        <v>7609.2160000000022</v>
      </c>
      <c r="AJ42" s="1093">
        <f t="shared" si="43"/>
        <v>2084.4560000000001</v>
      </c>
      <c r="AK42" s="1093">
        <f t="shared" si="44"/>
        <v>769.86000000000013</v>
      </c>
      <c r="AL42" s="1093">
        <f t="shared" si="45"/>
        <v>457.12799999999999</v>
      </c>
      <c r="AM42" s="1093">
        <f t="shared" si="46"/>
        <v>217.87800000000004</v>
      </c>
      <c r="AN42" s="1093">
        <f t="shared" si="47"/>
        <v>3370.3980000000006</v>
      </c>
      <c r="AO42" s="1093">
        <f t="shared" si="48"/>
        <v>709.49599999999998</v>
      </c>
    </row>
    <row r="43" spans="1:43">
      <c r="A43" s="2" t="s">
        <v>3</v>
      </c>
      <c r="B43" s="20"/>
      <c r="C43" s="20"/>
      <c r="D43" s="20"/>
      <c r="E43" s="20"/>
      <c r="F43" s="20"/>
      <c r="G43" s="20"/>
      <c r="H43" s="20"/>
      <c r="I43" s="20"/>
      <c r="J43" s="20"/>
      <c r="K43" s="20"/>
      <c r="L43" s="20"/>
      <c r="M43" s="20"/>
      <c r="N43" s="20"/>
      <c r="O43" s="10">
        <f t="shared" si="40"/>
        <v>0</v>
      </c>
      <c r="R43" s="2" t="s">
        <v>90</v>
      </c>
      <c r="S43" s="20">
        <f t="shared" ref="S43:AE43" si="51">S78*0.2</f>
        <v>4472.21</v>
      </c>
      <c r="T43" s="20">
        <f t="shared" si="51"/>
        <v>1801.4660000000001</v>
      </c>
      <c r="U43" s="20">
        <f t="shared" si="51"/>
        <v>302.84800000000001</v>
      </c>
      <c r="V43" s="20">
        <f t="shared" si="51"/>
        <v>206.06</v>
      </c>
      <c r="W43" s="20">
        <f t="shared" si="51"/>
        <v>4153.0800000000008</v>
      </c>
      <c r="X43" s="20">
        <f t="shared" si="51"/>
        <v>97.95</v>
      </c>
      <c r="Y43" s="20">
        <f t="shared" si="51"/>
        <v>233.322</v>
      </c>
      <c r="Z43" s="20">
        <f t="shared" si="51"/>
        <v>0</v>
      </c>
      <c r="AA43" s="20">
        <f t="shared" si="51"/>
        <v>233.93600000000004</v>
      </c>
      <c r="AB43" s="20">
        <f t="shared" si="51"/>
        <v>39.180000000000007</v>
      </c>
      <c r="AC43" s="20">
        <f t="shared" si="51"/>
        <v>0</v>
      </c>
      <c r="AD43" s="20">
        <f t="shared" si="51"/>
        <v>0</v>
      </c>
      <c r="AE43" s="20">
        <f t="shared" si="51"/>
        <v>5.7140000000000004</v>
      </c>
      <c r="AF43" s="20">
        <f t="shared" si="41"/>
        <v>0</v>
      </c>
      <c r="AG43" s="20">
        <v>0</v>
      </c>
      <c r="AH43" s="20">
        <v>0</v>
      </c>
      <c r="AI43" s="10">
        <f t="shared" si="42"/>
        <v>11545.766000000001</v>
      </c>
      <c r="AJ43" s="1093">
        <f t="shared" si="43"/>
        <v>4472.21</v>
      </c>
      <c r="AK43" s="1093">
        <f t="shared" si="44"/>
        <v>1801.4660000000001</v>
      </c>
      <c r="AL43" s="1093">
        <f t="shared" si="45"/>
        <v>302.84800000000001</v>
      </c>
      <c r="AM43" s="1093">
        <f t="shared" si="46"/>
        <v>206.06</v>
      </c>
      <c r="AN43" s="1093">
        <f t="shared" si="47"/>
        <v>4153.0800000000008</v>
      </c>
      <c r="AO43" s="1093">
        <f t="shared" si="48"/>
        <v>610.1020000000002</v>
      </c>
    </row>
    <row r="44" spans="1:43">
      <c r="A44" s="2" t="s">
        <v>4</v>
      </c>
      <c r="B44" s="20"/>
      <c r="C44" s="20"/>
      <c r="D44" s="20"/>
      <c r="E44" s="20"/>
      <c r="F44" s="20"/>
      <c r="G44" s="20"/>
      <c r="H44" s="20"/>
      <c r="I44" s="20"/>
      <c r="J44" s="20"/>
      <c r="K44" s="20"/>
      <c r="L44" s="20"/>
      <c r="M44" s="20"/>
      <c r="N44" s="20"/>
      <c r="O44" s="10">
        <f t="shared" si="40"/>
        <v>0</v>
      </c>
      <c r="R44" s="2" t="s">
        <v>91</v>
      </c>
      <c r="S44" s="20">
        <f t="shared" ref="S44:AE44" si="52">S79*0.2</f>
        <v>13360.798000000003</v>
      </c>
      <c r="T44" s="20">
        <f t="shared" si="52"/>
        <v>4951.2620000000006</v>
      </c>
      <c r="U44" s="20">
        <f t="shared" si="52"/>
        <v>2179.92</v>
      </c>
      <c r="V44" s="20">
        <f t="shared" si="52"/>
        <v>373.69800000000004</v>
      </c>
      <c r="W44" s="20">
        <f t="shared" si="52"/>
        <v>14849.220000000001</v>
      </c>
      <c r="X44" s="20">
        <f t="shared" si="52"/>
        <v>450.57</v>
      </c>
      <c r="Y44" s="20">
        <f t="shared" si="52"/>
        <v>762.27</v>
      </c>
      <c r="Z44" s="20">
        <f t="shared" si="52"/>
        <v>0</v>
      </c>
      <c r="AA44" s="20">
        <f t="shared" si="52"/>
        <v>552.26800000000003</v>
      </c>
      <c r="AB44" s="20">
        <f t="shared" si="52"/>
        <v>156.72000000000003</v>
      </c>
      <c r="AC44" s="20">
        <f t="shared" si="52"/>
        <v>0</v>
      </c>
      <c r="AD44" s="20">
        <f t="shared" si="52"/>
        <v>0</v>
      </c>
      <c r="AE44" s="20">
        <f t="shared" si="52"/>
        <v>11.428000000000001</v>
      </c>
      <c r="AF44" s="20">
        <f t="shared" si="41"/>
        <v>0</v>
      </c>
      <c r="AG44" s="20">
        <f t="shared" ref="AG44:AH56" si="53">AG79*0.2</f>
        <v>0</v>
      </c>
      <c r="AH44" s="20">
        <f t="shared" si="53"/>
        <v>0</v>
      </c>
      <c r="AI44" s="10">
        <f t="shared" si="42"/>
        <v>37648.153999999995</v>
      </c>
      <c r="AJ44" s="1093">
        <f t="shared" si="43"/>
        <v>13360.798000000003</v>
      </c>
      <c r="AK44" s="1093">
        <f t="shared" si="44"/>
        <v>4951.2620000000006</v>
      </c>
      <c r="AL44" s="1093">
        <f t="shared" si="45"/>
        <v>2179.92</v>
      </c>
      <c r="AM44" s="1093">
        <f t="shared" si="46"/>
        <v>373.69800000000004</v>
      </c>
      <c r="AN44" s="1093">
        <f t="shared" si="47"/>
        <v>14849.220000000001</v>
      </c>
      <c r="AO44" s="1093">
        <f t="shared" si="48"/>
        <v>1933.2560000000001</v>
      </c>
    </row>
    <row r="45" spans="1:43">
      <c r="A45" s="2" t="s">
        <v>5</v>
      </c>
      <c r="B45" s="20"/>
      <c r="C45" s="20"/>
      <c r="D45" s="20"/>
      <c r="E45" s="20"/>
      <c r="F45" s="20"/>
      <c r="G45" s="20"/>
      <c r="H45" s="20"/>
      <c r="I45" s="20"/>
      <c r="J45" s="20"/>
      <c r="K45" s="20"/>
      <c r="L45" s="20"/>
      <c r="M45" s="20"/>
      <c r="N45" s="20"/>
      <c r="O45" s="10">
        <f t="shared" si="40"/>
        <v>0</v>
      </c>
      <c r="R45" s="2" t="s">
        <v>92</v>
      </c>
      <c r="S45" s="20">
        <f t="shared" ref="S45:AE45" si="54">S80*0.2</f>
        <v>6020.1100000000006</v>
      </c>
      <c r="T45" s="20">
        <f t="shared" si="54"/>
        <v>2017.9720000000002</v>
      </c>
      <c r="U45" s="20">
        <f t="shared" si="54"/>
        <v>363.15800000000002</v>
      </c>
      <c r="V45" s="20">
        <f t="shared" si="54"/>
        <v>22.112000000000002</v>
      </c>
      <c r="W45" s="20">
        <f t="shared" si="54"/>
        <v>6660.6</v>
      </c>
      <c r="X45" s="20">
        <f t="shared" si="54"/>
        <v>254.67</v>
      </c>
      <c r="Y45" s="20">
        <f t="shared" si="54"/>
        <v>265.45600000000002</v>
      </c>
      <c r="Z45" s="20">
        <f t="shared" si="54"/>
        <v>176.31</v>
      </c>
      <c r="AA45" s="20">
        <f t="shared" si="54"/>
        <v>261.12</v>
      </c>
      <c r="AB45" s="20">
        <f t="shared" si="54"/>
        <v>19.590000000000003</v>
      </c>
      <c r="AC45" s="20">
        <f t="shared" si="54"/>
        <v>0</v>
      </c>
      <c r="AD45" s="20">
        <f t="shared" si="54"/>
        <v>0</v>
      </c>
      <c r="AE45" s="20">
        <f t="shared" si="54"/>
        <v>5.7140000000000004</v>
      </c>
      <c r="AF45" s="20">
        <f t="shared" si="41"/>
        <v>0</v>
      </c>
      <c r="AG45" s="20">
        <f t="shared" si="53"/>
        <v>0</v>
      </c>
      <c r="AH45" s="20">
        <f t="shared" si="53"/>
        <v>0</v>
      </c>
      <c r="AI45" s="10">
        <f t="shared" si="42"/>
        <v>16066.812</v>
      </c>
      <c r="AJ45" s="1093">
        <f t="shared" si="43"/>
        <v>6020.1100000000006</v>
      </c>
      <c r="AK45" s="1093">
        <f t="shared" si="44"/>
        <v>2017.9720000000002</v>
      </c>
      <c r="AL45" s="1093">
        <f t="shared" si="45"/>
        <v>363.15800000000002</v>
      </c>
      <c r="AM45" s="1093">
        <f t="shared" si="46"/>
        <v>22.112000000000002</v>
      </c>
      <c r="AN45" s="1093">
        <f t="shared" si="47"/>
        <v>6660.6</v>
      </c>
      <c r="AO45" s="1093">
        <f t="shared" si="48"/>
        <v>982.86</v>
      </c>
    </row>
    <row r="46" spans="1:43">
      <c r="A46" s="2" t="s">
        <v>6</v>
      </c>
      <c r="B46" s="20"/>
      <c r="C46" s="20"/>
      <c r="D46" s="20"/>
      <c r="E46" s="20"/>
      <c r="F46" s="20"/>
      <c r="G46" s="20"/>
      <c r="H46" s="20"/>
      <c r="I46" s="20"/>
      <c r="J46" s="20"/>
      <c r="K46" s="20"/>
      <c r="L46" s="20"/>
      <c r="M46" s="20"/>
      <c r="N46" s="20"/>
      <c r="O46" s="10">
        <f t="shared" si="40"/>
        <v>0</v>
      </c>
      <c r="R46" s="2" t="s">
        <v>93</v>
      </c>
      <c r="S46" s="20">
        <f t="shared" ref="S46:AE46" si="55">S81*0.2</f>
        <v>18205.126</v>
      </c>
      <c r="T46" s="20">
        <f t="shared" si="55"/>
        <v>8268.0259999999998</v>
      </c>
      <c r="U46" s="20">
        <f t="shared" si="55"/>
        <v>1840.566</v>
      </c>
      <c r="V46" s="20">
        <f t="shared" si="55"/>
        <v>274.50400000000002</v>
      </c>
      <c r="W46" s="20">
        <f t="shared" si="55"/>
        <v>12988.17</v>
      </c>
      <c r="X46" s="20">
        <f t="shared" si="55"/>
        <v>450.57</v>
      </c>
      <c r="Y46" s="20">
        <f t="shared" si="55"/>
        <v>1350.8240000000001</v>
      </c>
      <c r="Z46" s="20">
        <f t="shared" si="55"/>
        <v>0</v>
      </c>
      <c r="AA46" s="20">
        <f t="shared" si="55"/>
        <v>695.75400000000002</v>
      </c>
      <c r="AB46" s="20">
        <f t="shared" si="55"/>
        <v>156.72000000000003</v>
      </c>
      <c r="AC46" s="20">
        <f t="shared" si="55"/>
        <v>0</v>
      </c>
      <c r="AD46" s="20">
        <f t="shared" si="55"/>
        <v>0</v>
      </c>
      <c r="AE46" s="20">
        <f t="shared" si="55"/>
        <v>17.141999999999999</v>
      </c>
      <c r="AF46" s="20">
        <f t="shared" si="41"/>
        <v>0</v>
      </c>
      <c r="AG46" s="20">
        <f t="shared" si="53"/>
        <v>0</v>
      </c>
      <c r="AH46" s="20">
        <f t="shared" si="53"/>
        <v>0</v>
      </c>
      <c r="AI46" s="10">
        <f t="shared" si="42"/>
        <v>44247.402000000002</v>
      </c>
      <c r="AJ46" s="1093">
        <f t="shared" si="43"/>
        <v>18205.126</v>
      </c>
      <c r="AK46" s="1093">
        <f t="shared" si="44"/>
        <v>8268.0259999999998</v>
      </c>
      <c r="AL46" s="1093">
        <f t="shared" si="45"/>
        <v>1840.566</v>
      </c>
      <c r="AM46" s="1093">
        <f t="shared" si="46"/>
        <v>274.50400000000002</v>
      </c>
      <c r="AN46" s="1093">
        <f t="shared" si="47"/>
        <v>12988.17</v>
      </c>
      <c r="AO46" s="1093">
        <f t="shared" si="48"/>
        <v>2671.01</v>
      </c>
    </row>
    <row r="47" spans="1:43">
      <c r="A47" s="2" t="s">
        <v>7</v>
      </c>
      <c r="B47" s="20"/>
      <c r="C47" s="20"/>
      <c r="D47" s="20"/>
      <c r="E47" s="20"/>
      <c r="F47" s="20"/>
      <c r="G47" s="20"/>
      <c r="H47" s="20"/>
      <c r="I47" s="20"/>
      <c r="J47" s="20"/>
      <c r="K47" s="20"/>
      <c r="L47" s="20"/>
      <c r="M47" s="20"/>
      <c r="N47" s="20"/>
      <c r="O47" s="10">
        <f t="shared" si="40"/>
        <v>0</v>
      </c>
      <c r="R47" s="2" t="s">
        <v>94</v>
      </c>
      <c r="S47" s="20">
        <f t="shared" ref="S47:AE47" si="56">S82*0.2</f>
        <v>10746.506000000001</v>
      </c>
      <c r="T47" s="20">
        <f t="shared" si="56"/>
        <v>2471.8620000000001</v>
      </c>
      <c r="U47" s="20">
        <f t="shared" si="56"/>
        <v>832.346</v>
      </c>
      <c r="V47" s="20">
        <f t="shared" si="56"/>
        <v>375.85</v>
      </c>
      <c r="W47" s="20">
        <f t="shared" si="56"/>
        <v>11087.94</v>
      </c>
      <c r="X47" s="20">
        <f t="shared" si="56"/>
        <v>195.9</v>
      </c>
      <c r="Y47" s="20">
        <f t="shared" si="56"/>
        <v>543.70799999999997</v>
      </c>
      <c r="Z47" s="20">
        <f t="shared" si="56"/>
        <v>655.23800000000006</v>
      </c>
      <c r="AA47" s="20">
        <f t="shared" si="56"/>
        <v>236.01599999999999</v>
      </c>
      <c r="AB47" s="20">
        <f t="shared" si="56"/>
        <v>19.590000000000003</v>
      </c>
      <c r="AC47" s="20">
        <f t="shared" si="56"/>
        <v>78.360000000000014</v>
      </c>
      <c r="AD47" s="20">
        <f t="shared" si="56"/>
        <v>0</v>
      </c>
      <c r="AE47" s="20">
        <f t="shared" si="56"/>
        <v>17.141999999999999</v>
      </c>
      <c r="AF47" s="20">
        <f t="shared" si="41"/>
        <v>0</v>
      </c>
      <c r="AG47" s="20">
        <f t="shared" si="53"/>
        <v>0</v>
      </c>
      <c r="AH47" s="20">
        <f t="shared" si="53"/>
        <v>0</v>
      </c>
      <c r="AI47" s="10">
        <f t="shared" si="42"/>
        <v>27260.458000000002</v>
      </c>
      <c r="AJ47" s="1093">
        <f t="shared" si="43"/>
        <v>10746.506000000001</v>
      </c>
      <c r="AK47" s="1093">
        <f t="shared" si="44"/>
        <v>2471.8620000000001</v>
      </c>
      <c r="AL47" s="1093">
        <f t="shared" si="45"/>
        <v>832.346</v>
      </c>
      <c r="AM47" s="1093">
        <f t="shared" si="46"/>
        <v>375.85</v>
      </c>
      <c r="AN47" s="1093">
        <f t="shared" si="47"/>
        <v>11087.94</v>
      </c>
      <c r="AO47" s="1093">
        <f t="shared" si="48"/>
        <v>1745.954</v>
      </c>
    </row>
    <row r="48" spans="1:43">
      <c r="A48" s="2" t="s">
        <v>8</v>
      </c>
      <c r="B48" s="20"/>
      <c r="C48" s="20"/>
      <c r="D48" s="20"/>
      <c r="E48" s="20"/>
      <c r="F48" s="20"/>
      <c r="G48" s="20"/>
      <c r="H48" s="20"/>
      <c r="I48" s="20"/>
      <c r="J48" s="20"/>
      <c r="K48" s="20"/>
      <c r="L48" s="20"/>
      <c r="M48" s="20"/>
      <c r="N48" s="20"/>
      <c r="O48" s="10">
        <f t="shared" si="40"/>
        <v>0</v>
      </c>
      <c r="R48" s="2" t="s">
        <v>95</v>
      </c>
      <c r="S48" s="20">
        <f t="shared" ref="S48:AE48" si="57">S83*0.2</f>
        <v>13066.830000000002</v>
      </c>
      <c r="T48" s="20">
        <f t="shared" si="57"/>
        <v>3801.5640000000003</v>
      </c>
      <c r="U48" s="20">
        <f t="shared" si="57"/>
        <v>1644.7040000000002</v>
      </c>
      <c r="V48" s="20">
        <f t="shared" si="57"/>
        <v>972.85800000000006</v>
      </c>
      <c r="W48" s="20">
        <f t="shared" si="57"/>
        <v>27602.309999999998</v>
      </c>
      <c r="X48" s="20">
        <f t="shared" si="57"/>
        <v>293.85000000000002</v>
      </c>
      <c r="Y48" s="20">
        <f t="shared" si="57"/>
        <v>750.98</v>
      </c>
      <c r="Z48" s="20">
        <f t="shared" si="57"/>
        <v>1168.5240000000001</v>
      </c>
      <c r="AA48" s="20">
        <f t="shared" si="57"/>
        <v>449.25400000000002</v>
      </c>
      <c r="AB48" s="20">
        <f t="shared" si="57"/>
        <v>19.590000000000003</v>
      </c>
      <c r="AC48" s="20">
        <f t="shared" si="57"/>
        <v>0</v>
      </c>
      <c r="AD48" s="20">
        <f t="shared" si="57"/>
        <v>0</v>
      </c>
      <c r="AE48" s="20">
        <f t="shared" si="57"/>
        <v>22.856000000000002</v>
      </c>
      <c r="AF48" s="20">
        <f t="shared" si="41"/>
        <v>0</v>
      </c>
      <c r="AG48" s="20">
        <f t="shared" si="53"/>
        <v>0</v>
      </c>
      <c r="AH48" s="20">
        <f t="shared" si="53"/>
        <v>0</v>
      </c>
      <c r="AI48" s="10">
        <f t="shared" si="42"/>
        <v>49793.32</v>
      </c>
      <c r="AJ48" s="1093">
        <f t="shared" si="43"/>
        <v>13066.830000000002</v>
      </c>
      <c r="AK48" s="1093">
        <f t="shared" si="44"/>
        <v>3801.5640000000003</v>
      </c>
      <c r="AL48" s="1093">
        <f t="shared" si="45"/>
        <v>1644.7040000000002</v>
      </c>
      <c r="AM48" s="1093">
        <f t="shared" si="46"/>
        <v>972.85800000000006</v>
      </c>
      <c r="AN48" s="1093">
        <f t="shared" si="47"/>
        <v>27602.309999999998</v>
      </c>
      <c r="AO48" s="1093">
        <f t="shared" si="48"/>
        <v>2705.0540000000005</v>
      </c>
    </row>
    <row r="49" spans="1:41">
      <c r="A49" s="2" t="s">
        <v>9</v>
      </c>
      <c r="B49" s="20"/>
      <c r="C49" s="20"/>
      <c r="D49" s="20"/>
      <c r="E49" s="20"/>
      <c r="F49" s="20"/>
      <c r="G49" s="20"/>
      <c r="H49" s="20"/>
      <c r="I49" s="20"/>
      <c r="J49" s="20"/>
      <c r="K49" s="20"/>
      <c r="L49" s="20"/>
      <c r="M49" s="20"/>
      <c r="N49" s="20"/>
      <c r="O49" s="10">
        <f t="shared" si="40"/>
        <v>0</v>
      </c>
      <c r="R49" s="2" t="s">
        <v>96</v>
      </c>
      <c r="S49" s="20">
        <f t="shared" ref="S49:AE49" si="58">S84*0.2</f>
        <v>4098.424</v>
      </c>
      <c r="T49" s="20">
        <f t="shared" si="58"/>
        <v>2870.6959999999999</v>
      </c>
      <c r="U49" s="20">
        <f t="shared" si="58"/>
        <v>79.996000000000009</v>
      </c>
      <c r="V49" s="20">
        <f t="shared" si="58"/>
        <v>47.256</v>
      </c>
      <c r="W49" s="20">
        <f t="shared" si="58"/>
        <v>3663.3300000000004</v>
      </c>
      <c r="X49" s="20">
        <f t="shared" si="58"/>
        <v>117.54000000000002</v>
      </c>
      <c r="Y49" s="20">
        <f t="shared" si="58"/>
        <v>488.97</v>
      </c>
      <c r="Z49" s="20">
        <f t="shared" si="58"/>
        <v>0</v>
      </c>
      <c r="AA49" s="20">
        <f t="shared" si="58"/>
        <v>227.98400000000004</v>
      </c>
      <c r="AB49" s="20">
        <f t="shared" si="58"/>
        <v>195.9</v>
      </c>
      <c r="AC49" s="20">
        <f t="shared" si="58"/>
        <v>0</v>
      </c>
      <c r="AD49" s="20">
        <f t="shared" si="58"/>
        <v>0</v>
      </c>
      <c r="AE49" s="20">
        <f t="shared" si="58"/>
        <v>0</v>
      </c>
      <c r="AF49" s="20">
        <f t="shared" si="41"/>
        <v>0</v>
      </c>
      <c r="AG49" s="20">
        <f t="shared" si="53"/>
        <v>0</v>
      </c>
      <c r="AH49" s="20">
        <f t="shared" si="53"/>
        <v>0</v>
      </c>
      <c r="AI49" s="10">
        <f t="shared" si="42"/>
        <v>11790.096000000001</v>
      </c>
      <c r="AJ49" s="1093">
        <f t="shared" si="43"/>
        <v>4098.424</v>
      </c>
      <c r="AK49" s="1093">
        <f t="shared" si="44"/>
        <v>2870.6959999999999</v>
      </c>
      <c r="AL49" s="1093">
        <f t="shared" si="45"/>
        <v>79.996000000000009</v>
      </c>
      <c r="AM49" s="1093">
        <f t="shared" si="46"/>
        <v>47.256</v>
      </c>
      <c r="AN49" s="1093">
        <f t="shared" si="47"/>
        <v>3663.3300000000004</v>
      </c>
      <c r="AO49" s="1093">
        <f t="shared" si="48"/>
        <v>1030.394</v>
      </c>
    </row>
    <row r="50" spans="1:41">
      <c r="A50" s="2" t="s">
        <v>10</v>
      </c>
      <c r="B50" s="20"/>
      <c r="C50" s="20"/>
      <c r="D50" s="20"/>
      <c r="E50" s="20"/>
      <c r="F50" s="20"/>
      <c r="G50" s="20"/>
      <c r="H50" s="20"/>
      <c r="I50" s="20"/>
      <c r="J50" s="20"/>
      <c r="K50" s="20"/>
      <c r="L50" s="20"/>
      <c r="M50" s="20"/>
      <c r="N50" s="20"/>
      <c r="O50" s="10">
        <f t="shared" si="40"/>
        <v>0</v>
      </c>
      <c r="R50" s="2" t="s">
        <v>97</v>
      </c>
      <c r="S50" s="20">
        <f t="shared" ref="S50:AE50" si="59">S85*0.2</f>
        <v>12133.772000000001</v>
      </c>
      <c r="T50" s="20">
        <f t="shared" si="59"/>
        <v>2053.8360000000002</v>
      </c>
      <c r="U50" s="20">
        <f t="shared" si="59"/>
        <v>1567.08</v>
      </c>
      <c r="V50" s="20">
        <f t="shared" si="59"/>
        <v>273.27</v>
      </c>
      <c r="W50" s="20">
        <f t="shared" si="59"/>
        <v>36829.200000000004</v>
      </c>
      <c r="X50" s="20">
        <f t="shared" si="59"/>
        <v>274.26</v>
      </c>
      <c r="Y50" s="20">
        <f t="shared" si="59"/>
        <v>356.33800000000002</v>
      </c>
      <c r="Z50" s="20">
        <f t="shared" si="59"/>
        <v>0</v>
      </c>
      <c r="AA50" s="20">
        <f t="shared" si="59"/>
        <v>197.68600000000001</v>
      </c>
      <c r="AB50" s="20">
        <f t="shared" si="59"/>
        <v>78.360000000000014</v>
      </c>
      <c r="AC50" s="20">
        <f t="shared" si="59"/>
        <v>0</v>
      </c>
      <c r="AD50" s="20">
        <f t="shared" si="59"/>
        <v>0</v>
      </c>
      <c r="AE50" s="20">
        <f t="shared" si="59"/>
        <v>11.428000000000001</v>
      </c>
      <c r="AF50" s="20">
        <f t="shared" si="41"/>
        <v>0</v>
      </c>
      <c r="AG50" s="20">
        <f t="shared" si="53"/>
        <v>0</v>
      </c>
      <c r="AH50" s="20">
        <f t="shared" si="53"/>
        <v>0</v>
      </c>
      <c r="AI50" s="10">
        <f t="shared" si="42"/>
        <v>53775.23000000001</v>
      </c>
      <c r="AJ50" s="1093">
        <f t="shared" si="43"/>
        <v>12133.772000000001</v>
      </c>
      <c r="AK50" s="1093">
        <f t="shared" si="44"/>
        <v>2053.8360000000002</v>
      </c>
      <c r="AL50" s="1093">
        <f t="shared" si="45"/>
        <v>1567.08</v>
      </c>
      <c r="AM50" s="1093">
        <f t="shared" si="46"/>
        <v>273.27</v>
      </c>
      <c r="AN50" s="1093">
        <f t="shared" si="47"/>
        <v>36829.200000000004</v>
      </c>
      <c r="AO50" s="1093">
        <f t="shared" si="48"/>
        <v>918.072</v>
      </c>
    </row>
    <row r="51" spans="1:41">
      <c r="A51" s="2" t="s">
        <v>11</v>
      </c>
      <c r="B51" s="20"/>
      <c r="C51" s="20"/>
      <c r="D51" s="20"/>
      <c r="E51" s="20"/>
      <c r="F51" s="20"/>
      <c r="G51" s="20"/>
      <c r="H51" s="20"/>
      <c r="I51" s="20"/>
      <c r="J51" s="20"/>
      <c r="K51" s="20"/>
      <c r="L51" s="20"/>
      <c r="M51" s="20"/>
      <c r="N51" s="20"/>
      <c r="O51" s="10">
        <f t="shared" si="40"/>
        <v>0</v>
      </c>
      <c r="R51" s="2" t="s">
        <v>98</v>
      </c>
      <c r="S51" s="20">
        <f t="shared" ref="S51:AE51" si="60">S86*0.2</f>
        <v>8794.014000000001</v>
      </c>
      <c r="T51" s="20">
        <f t="shared" si="60"/>
        <v>3010.3080000000004</v>
      </c>
      <c r="U51" s="20">
        <f t="shared" si="60"/>
        <v>1398.598</v>
      </c>
      <c r="V51" s="20">
        <f t="shared" si="60"/>
        <v>489.14600000000002</v>
      </c>
      <c r="W51" s="20">
        <f t="shared" si="60"/>
        <v>23272.920000000002</v>
      </c>
      <c r="X51" s="20">
        <f t="shared" si="60"/>
        <v>470.16000000000008</v>
      </c>
      <c r="Y51" s="20">
        <f t="shared" si="60"/>
        <v>728.35400000000004</v>
      </c>
      <c r="Z51" s="20">
        <f t="shared" si="60"/>
        <v>58.25</v>
      </c>
      <c r="AA51" s="20">
        <f t="shared" si="60"/>
        <v>382.89600000000002</v>
      </c>
      <c r="AB51" s="20">
        <f t="shared" si="60"/>
        <v>215.49</v>
      </c>
      <c r="AC51" s="20">
        <f t="shared" si="60"/>
        <v>0</v>
      </c>
      <c r="AD51" s="20">
        <f t="shared" si="60"/>
        <v>218.47800000000004</v>
      </c>
      <c r="AE51" s="20">
        <f t="shared" si="60"/>
        <v>5.7140000000000004</v>
      </c>
      <c r="AF51" s="20">
        <f t="shared" si="41"/>
        <v>0</v>
      </c>
      <c r="AG51" s="20">
        <f t="shared" si="53"/>
        <v>3.226</v>
      </c>
      <c r="AH51" s="20">
        <f t="shared" si="53"/>
        <v>0</v>
      </c>
      <c r="AI51" s="10">
        <f t="shared" si="42"/>
        <v>39047.554000000011</v>
      </c>
      <c r="AJ51" s="1093">
        <f t="shared" si="43"/>
        <v>8794.014000000001</v>
      </c>
      <c r="AK51" s="1093">
        <f t="shared" si="44"/>
        <v>3010.3080000000004</v>
      </c>
      <c r="AL51" s="1093">
        <f t="shared" si="45"/>
        <v>1398.598</v>
      </c>
      <c r="AM51" s="1093">
        <f t="shared" si="46"/>
        <v>489.14600000000002</v>
      </c>
      <c r="AN51" s="1093">
        <f t="shared" si="47"/>
        <v>23272.920000000002</v>
      </c>
      <c r="AO51" s="1093">
        <f t="shared" si="48"/>
        <v>2082.5680000000002</v>
      </c>
    </row>
    <row r="52" spans="1:41">
      <c r="A52" s="2" t="s">
        <v>12</v>
      </c>
      <c r="B52" s="20"/>
      <c r="C52" s="20"/>
      <c r="D52" s="20"/>
      <c r="E52" s="20"/>
      <c r="F52" s="20"/>
      <c r="G52" s="20"/>
      <c r="H52" s="20"/>
      <c r="I52" s="20"/>
      <c r="J52" s="20"/>
      <c r="K52" s="20"/>
      <c r="L52" s="20"/>
      <c r="M52" s="20"/>
      <c r="N52" s="20"/>
      <c r="O52" s="10">
        <f t="shared" si="40"/>
        <v>0</v>
      </c>
      <c r="R52" s="2" t="s">
        <v>99</v>
      </c>
      <c r="S52" s="20">
        <f t="shared" ref="S52:AE52" si="61">S87*0.2</f>
        <v>40040.192000000003</v>
      </c>
      <c r="T52" s="20">
        <f t="shared" si="61"/>
        <v>21060.995999999999</v>
      </c>
      <c r="U52" s="20">
        <f t="shared" si="61"/>
        <v>3539.0620000000004</v>
      </c>
      <c r="V52" s="20">
        <f t="shared" si="61"/>
        <v>2472.9940000000001</v>
      </c>
      <c r="W52" s="20">
        <f t="shared" si="61"/>
        <v>48446.070000000007</v>
      </c>
      <c r="X52" s="20">
        <f t="shared" si="61"/>
        <v>607.29</v>
      </c>
      <c r="Y52" s="20">
        <f t="shared" si="61"/>
        <v>4011.2839999999997</v>
      </c>
      <c r="Z52" s="20">
        <f t="shared" si="61"/>
        <v>0</v>
      </c>
      <c r="AA52" s="20">
        <f t="shared" si="61"/>
        <v>2123.2740000000003</v>
      </c>
      <c r="AB52" s="20">
        <f t="shared" si="61"/>
        <v>293.85000000000002</v>
      </c>
      <c r="AC52" s="20">
        <f t="shared" si="61"/>
        <v>0</v>
      </c>
      <c r="AD52" s="20">
        <f t="shared" si="61"/>
        <v>457.12799999999999</v>
      </c>
      <c r="AE52" s="20">
        <f t="shared" si="61"/>
        <v>39.998000000000005</v>
      </c>
      <c r="AF52" s="20">
        <f t="shared" si="41"/>
        <v>0</v>
      </c>
      <c r="AG52" s="20">
        <f t="shared" si="53"/>
        <v>0</v>
      </c>
      <c r="AH52" s="20">
        <f t="shared" si="53"/>
        <v>0</v>
      </c>
      <c r="AI52" s="10">
        <f t="shared" si="42"/>
        <v>123092.13800000002</v>
      </c>
      <c r="AJ52" s="1093">
        <f t="shared" si="43"/>
        <v>40040.192000000003</v>
      </c>
      <c r="AK52" s="1093">
        <f t="shared" si="44"/>
        <v>21060.995999999999</v>
      </c>
      <c r="AL52" s="1093">
        <f t="shared" si="45"/>
        <v>3539.0620000000004</v>
      </c>
      <c r="AM52" s="1093">
        <f t="shared" si="46"/>
        <v>2472.9940000000001</v>
      </c>
      <c r="AN52" s="1093">
        <f t="shared" si="47"/>
        <v>48446.070000000007</v>
      </c>
      <c r="AO52" s="1093">
        <f t="shared" si="48"/>
        <v>7532.8239999999996</v>
      </c>
    </row>
    <row r="53" spans="1:41">
      <c r="A53" s="2" t="s">
        <v>15</v>
      </c>
      <c r="B53" s="20"/>
      <c r="C53" s="20"/>
      <c r="D53" s="20"/>
      <c r="E53" s="20"/>
      <c r="F53" s="20"/>
      <c r="G53" s="20"/>
      <c r="H53" s="20"/>
      <c r="I53" s="20"/>
      <c r="J53" s="20"/>
      <c r="K53" s="20"/>
      <c r="L53" s="20"/>
      <c r="M53" s="20"/>
      <c r="N53" s="20"/>
      <c r="O53" s="10">
        <f t="shared" si="40"/>
        <v>0</v>
      </c>
      <c r="R53" s="2" t="s">
        <v>100</v>
      </c>
      <c r="S53" s="20">
        <f t="shared" ref="S53:AE53" si="62">S88*0.2</f>
        <v>6488.4040000000005</v>
      </c>
      <c r="T53" s="20">
        <f t="shared" si="62"/>
        <v>4607.7820000000002</v>
      </c>
      <c r="U53" s="20">
        <f t="shared" si="62"/>
        <v>354.274</v>
      </c>
      <c r="V53" s="20">
        <f t="shared" si="62"/>
        <v>64.805999999999997</v>
      </c>
      <c r="W53" s="20">
        <f t="shared" si="62"/>
        <v>7267.8899999999994</v>
      </c>
      <c r="X53" s="20">
        <f t="shared" si="62"/>
        <v>39.180000000000007</v>
      </c>
      <c r="Y53" s="20">
        <f t="shared" si="62"/>
        <v>810.798</v>
      </c>
      <c r="Z53" s="20">
        <f t="shared" si="62"/>
        <v>0</v>
      </c>
      <c r="AA53" s="20">
        <f t="shared" si="62"/>
        <v>316.10400000000004</v>
      </c>
      <c r="AB53" s="20">
        <f t="shared" si="62"/>
        <v>137.13</v>
      </c>
      <c r="AC53" s="20">
        <f t="shared" si="62"/>
        <v>0</v>
      </c>
      <c r="AD53" s="20">
        <f t="shared" si="62"/>
        <v>0</v>
      </c>
      <c r="AE53" s="20">
        <f t="shared" si="62"/>
        <v>11.428000000000001</v>
      </c>
      <c r="AF53" s="20">
        <f t="shared" si="41"/>
        <v>0</v>
      </c>
      <c r="AG53" s="20">
        <f t="shared" si="53"/>
        <v>0</v>
      </c>
      <c r="AH53" s="20">
        <f t="shared" si="53"/>
        <v>0</v>
      </c>
      <c r="AI53" s="10">
        <f t="shared" si="42"/>
        <v>20097.796000000002</v>
      </c>
      <c r="AJ53" s="1093">
        <f t="shared" si="43"/>
        <v>6488.4040000000005</v>
      </c>
      <c r="AK53" s="1093">
        <f t="shared" si="44"/>
        <v>4607.7820000000002</v>
      </c>
      <c r="AL53" s="1093">
        <f t="shared" si="45"/>
        <v>354.274</v>
      </c>
      <c r="AM53" s="1093">
        <f t="shared" si="46"/>
        <v>64.805999999999997</v>
      </c>
      <c r="AN53" s="1093">
        <f t="shared" si="47"/>
        <v>7267.8899999999994</v>
      </c>
      <c r="AO53" s="1093">
        <f t="shared" si="48"/>
        <v>1314.64</v>
      </c>
    </row>
    <row r="54" spans="1:41">
      <c r="A54" s="2" t="s">
        <v>14</v>
      </c>
      <c r="B54" s="20"/>
      <c r="C54" s="20"/>
      <c r="D54" s="20"/>
      <c r="E54" s="20"/>
      <c r="F54" s="20"/>
      <c r="G54" s="20"/>
      <c r="H54" s="20"/>
      <c r="I54" s="20"/>
      <c r="J54" s="20"/>
      <c r="K54" s="20"/>
      <c r="L54" s="20"/>
      <c r="M54" s="20"/>
      <c r="N54" s="20"/>
      <c r="O54" s="10">
        <f t="shared" si="40"/>
        <v>0</v>
      </c>
      <c r="R54" s="2" t="s">
        <v>101</v>
      </c>
      <c r="S54" s="20">
        <f t="shared" ref="S54:AE54" si="63">S89*0.2</f>
        <v>6506.0460000000003</v>
      </c>
      <c r="T54" s="20">
        <f t="shared" si="63"/>
        <v>4131.3040000000001</v>
      </c>
      <c r="U54" s="20">
        <f t="shared" si="63"/>
        <v>515.53599999999994</v>
      </c>
      <c r="V54" s="20">
        <f t="shared" si="63"/>
        <v>154.57600000000002</v>
      </c>
      <c r="W54" s="20">
        <f t="shared" si="63"/>
        <v>7052.4000000000005</v>
      </c>
      <c r="X54" s="20">
        <f t="shared" si="63"/>
        <v>58.77000000000001</v>
      </c>
      <c r="Y54" s="20">
        <f t="shared" si="63"/>
        <v>678.98</v>
      </c>
      <c r="Z54" s="20">
        <f t="shared" si="63"/>
        <v>0</v>
      </c>
      <c r="AA54" s="20">
        <f t="shared" si="63"/>
        <v>397.77600000000007</v>
      </c>
      <c r="AB54" s="20">
        <f t="shared" si="63"/>
        <v>78.360000000000014</v>
      </c>
      <c r="AC54" s="20">
        <f t="shared" si="63"/>
        <v>0</v>
      </c>
      <c r="AD54" s="20">
        <f t="shared" si="63"/>
        <v>0</v>
      </c>
      <c r="AE54" s="20">
        <f t="shared" si="63"/>
        <v>11.428000000000001</v>
      </c>
      <c r="AF54" s="20">
        <f t="shared" si="41"/>
        <v>0</v>
      </c>
      <c r="AG54" s="20">
        <f t="shared" si="53"/>
        <v>0</v>
      </c>
      <c r="AH54" s="20">
        <f t="shared" si="53"/>
        <v>29.180000000000003</v>
      </c>
      <c r="AI54" s="10">
        <f t="shared" si="42"/>
        <v>19614.356000000003</v>
      </c>
      <c r="AJ54" s="1093">
        <f t="shared" si="43"/>
        <v>6506.0460000000003</v>
      </c>
      <c r="AK54" s="1093">
        <f t="shared" si="44"/>
        <v>4131.3040000000001</v>
      </c>
      <c r="AL54" s="1093">
        <f t="shared" si="45"/>
        <v>515.53599999999994</v>
      </c>
      <c r="AM54" s="1093">
        <f t="shared" si="46"/>
        <v>154.57600000000002</v>
      </c>
      <c r="AN54" s="1093">
        <f t="shared" si="47"/>
        <v>7052.4000000000005</v>
      </c>
      <c r="AO54" s="1093">
        <f t="shared" si="48"/>
        <v>1254.4940000000001</v>
      </c>
    </row>
    <row r="55" spans="1:41">
      <c r="A55" s="2" t="s">
        <v>13</v>
      </c>
      <c r="B55" s="20"/>
      <c r="C55" s="20"/>
      <c r="D55" s="20"/>
      <c r="E55" s="20"/>
      <c r="F55" s="20"/>
      <c r="G55" s="20"/>
      <c r="H55" s="20"/>
      <c r="I55" s="20"/>
      <c r="J55" s="20"/>
      <c r="K55" s="20"/>
      <c r="L55" s="20"/>
      <c r="M55" s="20"/>
      <c r="N55" s="20"/>
      <c r="O55" s="10">
        <f t="shared" si="40"/>
        <v>0</v>
      </c>
      <c r="R55" s="2" t="s">
        <v>102</v>
      </c>
      <c r="S55" s="20">
        <f t="shared" ref="S55:AE55" si="64">S90*0.2</f>
        <v>37493.226000000002</v>
      </c>
      <c r="T55" s="20">
        <f t="shared" si="64"/>
        <v>15471.614000000001</v>
      </c>
      <c r="U55" s="20">
        <f t="shared" si="64"/>
        <v>8118.2440000000006</v>
      </c>
      <c r="V55" s="20">
        <f t="shared" si="64"/>
        <v>4434.76</v>
      </c>
      <c r="W55" s="20">
        <f t="shared" si="64"/>
        <v>72816.030000000013</v>
      </c>
      <c r="X55" s="20">
        <f t="shared" si="64"/>
        <v>1273.3500000000001</v>
      </c>
      <c r="Y55" s="20">
        <f t="shared" si="64"/>
        <v>2730.3440000000001</v>
      </c>
      <c r="Z55" s="20">
        <f t="shared" si="64"/>
        <v>0</v>
      </c>
      <c r="AA55" s="20">
        <f t="shared" si="64"/>
        <v>1888.7460000000001</v>
      </c>
      <c r="AB55" s="20">
        <f t="shared" si="64"/>
        <v>528.93000000000006</v>
      </c>
      <c r="AC55" s="20">
        <f t="shared" si="64"/>
        <v>0</v>
      </c>
      <c r="AD55" s="20">
        <f t="shared" si="64"/>
        <v>0</v>
      </c>
      <c r="AE55" s="20">
        <f t="shared" si="64"/>
        <v>5.7140000000000004</v>
      </c>
      <c r="AF55" s="20">
        <f t="shared" si="41"/>
        <v>0</v>
      </c>
      <c r="AG55" s="20">
        <f t="shared" si="53"/>
        <v>0</v>
      </c>
      <c r="AH55" s="20">
        <f t="shared" si="53"/>
        <v>0</v>
      </c>
      <c r="AI55" s="10">
        <f t="shared" si="42"/>
        <v>144760.95800000004</v>
      </c>
      <c r="AJ55" s="1093">
        <f t="shared" si="43"/>
        <v>37493.226000000002</v>
      </c>
      <c r="AK55" s="1093">
        <f t="shared" si="44"/>
        <v>15471.614000000001</v>
      </c>
      <c r="AL55" s="1093">
        <f t="shared" si="45"/>
        <v>8118.2440000000006</v>
      </c>
      <c r="AM55" s="1093">
        <f t="shared" si="46"/>
        <v>4434.76</v>
      </c>
      <c r="AN55" s="1093">
        <f t="shared" si="47"/>
        <v>72816.030000000013</v>
      </c>
      <c r="AO55" s="1093">
        <f t="shared" si="48"/>
        <v>6427.0840000000007</v>
      </c>
    </row>
    <row r="56" spans="1:41">
      <c r="A56" s="2" t="s">
        <v>16</v>
      </c>
      <c r="B56" s="20"/>
      <c r="C56" s="20"/>
      <c r="D56" s="20"/>
      <c r="E56" s="20"/>
      <c r="F56" s="20"/>
      <c r="G56" s="20"/>
      <c r="H56" s="20"/>
      <c r="I56" s="20"/>
      <c r="J56" s="20"/>
      <c r="K56" s="20"/>
      <c r="L56" s="20"/>
      <c r="M56" s="20"/>
      <c r="N56" s="20"/>
      <c r="O56" s="10">
        <f t="shared" si="40"/>
        <v>0</v>
      </c>
      <c r="R56" s="2" t="s">
        <v>103</v>
      </c>
      <c r="S56" s="20">
        <f t="shared" ref="S56:AF66" si="65">S91*0.2</f>
        <v>11587.882000000001</v>
      </c>
      <c r="T56" s="20">
        <f t="shared" si="65"/>
        <v>4348.0339999999997</v>
      </c>
      <c r="U56" s="20">
        <f t="shared" si="65"/>
        <v>1367.5640000000001</v>
      </c>
      <c r="V56" s="20">
        <f t="shared" si="65"/>
        <v>186.626</v>
      </c>
      <c r="W56" s="20">
        <f t="shared" si="65"/>
        <v>10617.78</v>
      </c>
      <c r="X56" s="20">
        <f t="shared" si="65"/>
        <v>274.26</v>
      </c>
      <c r="Y56" s="20">
        <f t="shared" si="65"/>
        <v>686.11599999999999</v>
      </c>
      <c r="Z56" s="20">
        <f t="shared" si="65"/>
        <v>0</v>
      </c>
      <c r="AA56" s="20">
        <f t="shared" si="65"/>
        <v>708.26600000000008</v>
      </c>
      <c r="AB56" s="20">
        <f t="shared" si="65"/>
        <v>19.590000000000003</v>
      </c>
      <c r="AC56" s="20">
        <f t="shared" si="65"/>
        <v>0</v>
      </c>
      <c r="AD56" s="20">
        <f t="shared" si="65"/>
        <v>0</v>
      </c>
      <c r="AE56" s="20">
        <f t="shared" si="65"/>
        <v>17.141999999999999</v>
      </c>
      <c r="AF56" s="20">
        <f t="shared" si="65"/>
        <v>0</v>
      </c>
      <c r="AG56" s="20">
        <f t="shared" si="53"/>
        <v>0</v>
      </c>
      <c r="AH56" s="20">
        <f t="shared" si="53"/>
        <v>0</v>
      </c>
      <c r="AI56" s="10">
        <f t="shared" si="42"/>
        <v>29813.259999999995</v>
      </c>
      <c r="AJ56" s="1093">
        <f t="shared" si="43"/>
        <v>11587.882000000001</v>
      </c>
      <c r="AK56" s="1093">
        <f t="shared" si="44"/>
        <v>4348.0339999999997</v>
      </c>
      <c r="AL56" s="1093">
        <f t="shared" si="45"/>
        <v>1367.5640000000001</v>
      </c>
      <c r="AM56" s="1093">
        <f t="shared" si="46"/>
        <v>186.626</v>
      </c>
      <c r="AN56" s="1093">
        <f t="shared" si="47"/>
        <v>10617.78</v>
      </c>
      <c r="AO56" s="1093">
        <f t="shared" si="48"/>
        <v>1705.374</v>
      </c>
    </row>
    <row r="57" spans="1:41">
      <c r="A57" s="2" t="s">
        <v>17</v>
      </c>
      <c r="B57" s="20"/>
      <c r="C57" s="20"/>
      <c r="D57" s="20"/>
      <c r="E57" s="20"/>
      <c r="F57" s="20"/>
      <c r="G57" s="20"/>
      <c r="H57" s="20"/>
      <c r="I57" s="20"/>
      <c r="J57" s="20"/>
      <c r="K57" s="20"/>
      <c r="L57" s="20"/>
      <c r="M57" s="20"/>
      <c r="N57" s="20"/>
      <c r="O57" s="10">
        <f t="shared" si="40"/>
        <v>0</v>
      </c>
      <c r="R57" s="2" t="s">
        <v>104</v>
      </c>
      <c r="S57" s="20">
        <f t="shared" ref="S57:AE57" si="66">S92*0.2</f>
        <v>3075.326</v>
      </c>
      <c r="T57" s="20">
        <f t="shared" si="66"/>
        <v>811.72600000000011</v>
      </c>
      <c r="U57" s="20">
        <f t="shared" si="66"/>
        <v>228.56200000000001</v>
      </c>
      <c r="V57" s="20">
        <f t="shared" si="66"/>
        <v>54.19</v>
      </c>
      <c r="W57" s="20">
        <f t="shared" si="66"/>
        <v>3193.17</v>
      </c>
      <c r="X57" s="20">
        <f t="shared" si="66"/>
        <v>78.360000000000014</v>
      </c>
      <c r="Y57" s="20">
        <f t="shared" si="66"/>
        <v>104.282</v>
      </c>
      <c r="Z57" s="20">
        <f t="shared" si="66"/>
        <v>228.56399999999999</v>
      </c>
      <c r="AA57" s="20">
        <f t="shared" si="66"/>
        <v>130.67400000000001</v>
      </c>
      <c r="AB57" s="20">
        <f t="shared" si="66"/>
        <v>0</v>
      </c>
      <c r="AC57" s="20">
        <f t="shared" si="66"/>
        <v>0</v>
      </c>
      <c r="AD57" s="20">
        <f t="shared" si="66"/>
        <v>0</v>
      </c>
      <c r="AE57" s="20">
        <f t="shared" si="66"/>
        <v>0</v>
      </c>
      <c r="AF57" s="20">
        <f t="shared" si="65"/>
        <v>0</v>
      </c>
      <c r="AG57" s="20">
        <v>0</v>
      </c>
      <c r="AH57" s="20">
        <v>0</v>
      </c>
      <c r="AI57" s="10">
        <f t="shared" si="42"/>
        <v>7904.8540000000003</v>
      </c>
      <c r="AJ57" s="1093">
        <f t="shared" si="43"/>
        <v>3075.326</v>
      </c>
      <c r="AK57" s="1093">
        <f t="shared" si="44"/>
        <v>811.72600000000011</v>
      </c>
      <c r="AL57" s="1093">
        <f t="shared" si="45"/>
        <v>228.56200000000001</v>
      </c>
      <c r="AM57" s="1093">
        <f t="shared" si="46"/>
        <v>54.19</v>
      </c>
      <c r="AN57" s="1093">
        <f t="shared" si="47"/>
        <v>3193.17</v>
      </c>
      <c r="AO57" s="1093">
        <f t="shared" si="48"/>
        <v>541.88</v>
      </c>
    </row>
    <row r="58" spans="1:41">
      <c r="A58" s="2" t="s">
        <v>18</v>
      </c>
      <c r="B58" s="20"/>
      <c r="C58" s="20"/>
      <c r="D58" s="20"/>
      <c r="E58" s="20"/>
      <c r="F58" s="20"/>
      <c r="G58" s="20"/>
      <c r="H58" s="20"/>
      <c r="I58" s="20"/>
      <c r="J58" s="20"/>
      <c r="K58" s="20"/>
      <c r="L58" s="20"/>
      <c r="M58" s="20"/>
      <c r="N58" s="20"/>
      <c r="O58" s="10">
        <f t="shared" si="40"/>
        <v>0</v>
      </c>
      <c r="R58" s="2" t="s">
        <v>105</v>
      </c>
      <c r="S58" s="20">
        <f t="shared" ref="S58:AE58" si="67">S93*0.2</f>
        <v>41596.808000000005</v>
      </c>
      <c r="T58" s="20">
        <f t="shared" si="67"/>
        <v>13895.026000000002</v>
      </c>
      <c r="U58" s="20">
        <f t="shared" si="67"/>
        <v>5834.2120000000004</v>
      </c>
      <c r="V58" s="20">
        <f t="shared" si="67"/>
        <v>2046.2</v>
      </c>
      <c r="W58" s="20">
        <f t="shared" si="67"/>
        <v>30912.382000000001</v>
      </c>
      <c r="X58" s="20">
        <f t="shared" si="67"/>
        <v>2625.06</v>
      </c>
      <c r="Y58" s="20">
        <f t="shared" si="67"/>
        <v>3251.8060000000005</v>
      </c>
      <c r="Z58" s="20">
        <f t="shared" si="67"/>
        <v>383.64000000000004</v>
      </c>
      <c r="AA58" s="20">
        <f t="shared" si="67"/>
        <v>1334.5240000000001</v>
      </c>
      <c r="AB58" s="20">
        <f t="shared" si="67"/>
        <v>156.72000000000003</v>
      </c>
      <c r="AC58" s="20">
        <f t="shared" si="67"/>
        <v>78.360000000000014</v>
      </c>
      <c r="AD58" s="20">
        <f t="shared" si="67"/>
        <v>0</v>
      </c>
      <c r="AE58" s="20">
        <f t="shared" si="67"/>
        <v>51.426000000000002</v>
      </c>
      <c r="AF58" s="20">
        <f t="shared" si="65"/>
        <v>0</v>
      </c>
      <c r="AG58" s="20">
        <f t="shared" ref="AG58:AH63" si="68">AG93*0.2</f>
        <v>0</v>
      </c>
      <c r="AH58" s="20">
        <f t="shared" si="68"/>
        <v>0</v>
      </c>
      <c r="AI58" s="10">
        <f t="shared" si="42"/>
        <v>102166.164</v>
      </c>
      <c r="AJ58" s="1093">
        <f t="shared" si="43"/>
        <v>41596.808000000005</v>
      </c>
      <c r="AK58" s="1093">
        <f t="shared" si="44"/>
        <v>13895.026000000002</v>
      </c>
      <c r="AL58" s="1093">
        <f t="shared" si="45"/>
        <v>5834.2120000000004</v>
      </c>
      <c r="AM58" s="1093">
        <f t="shared" si="46"/>
        <v>2046.2</v>
      </c>
      <c r="AN58" s="1093">
        <f t="shared" si="47"/>
        <v>30912.382000000001</v>
      </c>
      <c r="AO58" s="1093">
        <f t="shared" si="48"/>
        <v>7881.536000000001</v>
      </c>
    </row>
    <row r="59" spans="1:41">
      <c r="A59" s="2" t="s">
        <v>20</v>
      </c>
      <c r="B59" s="20"/>
      <c r="C59" s="20"/>
      <c r="D59" s="20"/>
      <c r="E59" s="20"/>
      <c r="F59" s="20"/>
      <c r="G59" s="20"/>
      <c r="H59" s="20"/>
      <c r="I59" s="20"/>
      <c r="J59" s="20"/>
      <c r="K59" s="20"/>
      <c r="L59" s="20"/>
      <c r="M59" s="20"/>
      <c r="N59" s="20"/>
      <c r="O59" s="10">
        <f t="shared" si="40"/>
        <v>0</v>
      </c>
      <c r="R59" s="2" t="s">
        <v>106</v>
      </c>
      <c r="S59" s="20">
        <f t="shared" ref="S59:AE59" si="69">S94*0.2</f>
        <v>6742.0560000000005</v>
      </c>
      <c r="T59" s="20">
        <f t="shared" si="69"/>
        <v>4331.7380000000003</v>
      </c>
      <c r="U59" s="20">
        <f t="shared" si="69"/>
        <v>483.15800000000002</v>
      </c>
      <c r="V59" s="20">
        <f t="shared" si="69"/>
        <v>85.122000000000014</v>
      </c>
      <c r="W59" s="20">
        <f t="shared" si="69"/>
        <v>7189.5300000000007</v>
      </c>
      <c r="X59" s="20">
        <f t="shared" si="69"/>
        <v>137.13</v>
      </c>
      <c r="Y59" s="20">
        <f t="shared" si="69"/>
        <v>787.60600000000011</v>
      </c>
      <c r="Z59" s="20">
        <f t="shared" si="69"/>
        <v>0</v>
      </c>
      <c r="AA59" s="20">
        <f t="shared" si="69"/>
        <v>450.62400000000002</v>
      </c>
      <c r="AB59" s="20">
        <f t="shared" si="69"/>
        <v>39.180000000000007</v>
      </c>
      <c r="AC59" s="20">
        <f t="shared" si="69"/>
        <v>0</v>
      </c>
      <c r="AD59" s="20">
        <f t="shared" si="69"/>
        <v>0</v>
      </c>
      <c r="AE59" s="20">
        <f t="shared" si="69"/>
        <v>11.428000000000001</v>
      </c>
      <c r="AF59" s="20">
        <f t="shared" si="65"/>
        <v>0</v>
      </c>
      <c r="AG59" s="20">
        <f t="shared" si="68"/>
        <v>0</v>
      </c>
      <c r="AH59" s="20">
        <f t="shared" si="68"/>
        <v>0</v>
      </c>
      <c r="AI59" s="10">
        <f t="shared" si="42"/>
        <v>20257.572</v>
      </c>
      <c r="AJ59" s="1093">
        <f t="shared" si="43"/>
        <v>6742.0560000000005</v>
      </c>
      <c r="AK59" s="1093">
        <f t="shared" si="44"/>
        <v>4331.7380000000003</v>
      </c>
      <c r="AL59" s="1093">
        <f t="shared" si="45"/>
        <v>483.15800000000002</v>
      </c>
      <c r="AM59" s="1093">
        <f t="shared" si="46"/>
        <v>85.122000000000014</v>
      </c>
      <c r="AN59" s="1093">
        <f t="shared" si="47"/>
        <v>7189.5300000000007</v>
      </c>
      <c r="AO59" s="1093">
        <f t="shared" si="48"/>
        <v>1425.9680000000003</v>
      </c>
    </row>
    <row r="60" spans="1:41">
      <c r="A60" s="2" t="s">
        <v>19</v>
      </c>
      <c r="B60" s="20"/>
      <c r="C60" s="20"/>
      <c r="D60" s="20"/>
      <c r="E60" s="20"/>
      <c r="F60" s="20"/>
      <c r="G60" s="20"/>
      <c r="H60" s="20"/>
      <c r="I60" s="20"/>
      <c r="J60" s="20"/>
      <c r="K60" s="20"/>
      <c r="L60" s="20"/>
      <c r="M60" s="20"/>
      <c r="N60" s="20"/>
      <c r="O60" s="10">
        <f t="shared" si="40"/>
        <v>0</v>
      </c>
      <c r="R60" s="2" t="s">
        <v>107</v>
      </c>
      <c r="S60" s="20">
        <f t="shared" ref="S60:AE60" si="70">S95*0.2</f>
        <v>43443.850000000006</v>
      </c>
      <c r="T60" s="20">
        <f t="shared" si="70"/>
        <v>13750.128000000001</v>
      </c>
      <c r="U60" s="20">
        <f t="shared" si="70"/>
        <v>7051.942</v>
      </c>
      <c r="V60" s="20">
        <f t="shared" si="70"/>
        <v>2754.31</v>
      </c>
      <c r="W60" s="20">
        <f t="shared" si="70"/>
        <v>78536.31</v>
      </c>
      <c r="X60" s="20">
        <f t="shared" si="70"/>
        <v>1586.79</v>
      </c>
      <c r="Y60" s="20">
        <f t="shared" si="70"/>
        <v>2721.5360000000001</v>
      </c>
      <c r="Z60" s="20">
        <f t="shared" si="70"/>
        <v>54.692</v>
      </c>
      <c r="AA60" s="20">
        <f t="shared" si="70"/>
        <v>1423.6320000000001</v>
      </c>
      <c r="AB60" s="20">
        <f t="shared" si="70"/>
        <v>156.72000000000003</v>
      </c>
      <c r="AC60" s="20">
        <f t="shared" si="70"/>
        <v>39.180000000000007</v>
      </c>
      <c r="AD60" s="20">
        <f t="shared" si="70"/>
        <v>111.78399999999999</v>
      </c>
      <c r="AE60" s="20">
        <f t="shared" si="70"/>
        <v>17.141999999999999</v>
      </c>
      <c r="AF60" s="20">
        <f t="shared" si="65"/>
        <v>0</v>
      </c>
      <c r="AG60" s="20">
        <f t="shared" si="68"/>
        <v>0</v>
      </c>
      <c r="AH60" s="20">
        <f t="shared" si="68"/>
        <v>0</v>
      </c>
      <c r="AI60" s="10">
        <f t="shared" si="42"/>
        <v>151648.01600000003</v>
      </c>
      <c r="AJ60" s="1093">
        <f t="shared" si="43"/>
        <v>43443.850000000006</v>
      </c>
      <c r="AK60" s="1093">
        <f t="shared" si="44"/>
        <v>13750.128000000001</v>
      </c>
      <c r="AL60" s="1093">
        <f t="shared" si="45"/>
        <v>7051.942</v>
      </c>
      <c r="AM60" s="1093">
        <f t="shared" si="46"/>
        <v>2754.31</v>
      </c>
      <c r="AN60" s="1093">
        <f t="shared" si="47"/>
        <v>78536.31</v>
      </c>
      <c r="AO60" s="1093">
        <f t="shared" si="48"/>
        <v>6111.4759999999997</v>
      </c>
    </row>
    <row r="61" spans="1:41">
      <c r="A61" s="2" t="s">
        <v>21</v>
      </c>
      <c r="B61" s="20"/>
      <c r="C61" s="20"/>
      <c r="D61" s="20"/>
      <c r="E61" s="20"/>
      <c r="F61" s="20"/>
      <c r="G61" s="20"/>
      <c r="H61" s="20"/>
      <c r="I61" s="20"/>
      <c r="J61" s="20"/>
      <c r="K61" s="20"/>
      <c r="L61" s="20"/>
      <c r="M61" s="20"/>
      <c r="N61" s="20"/>
      <c r="O61" s="10">
        <f t="shared" si="40"/>
        <v>0</v>
      </c>
      <c r="R61" s="2" t="s">
        <v>108</v>
      </c>
      <c r="S61" s="20">
        <f t="shared" ref="S61:AE61" si="71">S96*0.2</f>
        <v>3111.2440000000001</v>
      </c>
      <c r="T61" s="20">
        <f t="shared" si="71"/>
        <v>1304.6120000000001</v>
      </c>
      <c r="U61" s="20">
        <f t="shared" si="71"/>
        <v>558.07399999999996</v>
      </c>
      <c r="V61" s="20">
        <f t="shared" si="71"/>
        <v>163.19400000000002</v>
      </c>
      <c r="W61" s="20">
        <f t="shared" si="71"/>
        <v>10088.85</v>
      </c>
      <c r="X61" s="20">
        <f t="shared" si="71"/>
        <v>195.9</v>
      </c>
      <c r="Y61" s="20">
        <f t="shared" si="71"/>
        <v>160.49400000000003</v>
      </c>
      <c r="Z61" s="20">
        <f t="shared" si="71"/>
        <v>0</v>
      </c>
      <c r="AA61" s="20">
        <f t="shared" si="71"/>
        <v>247.64600000000002</v>
      </c>
      <c r="AB61" s="20">
        <f t="shared" si="71"/>
        <v>137.13</v>
      </c>
      <c r="AC61" s="20">
        <f t="shared" si="71"/>
        <v>0</v>
      </c>
      <c r="AD61" s="20">
        <f t="shared" si="71"/>
        <v>0</v>
      </c>
      <c r="AE61" s="20">
        <f t="shared" si="71"/>
        <v>5.7140000000000004</v>
      </c>
      <c r="AF61" s="20">
        <f t="shared" si="65"/>
        <v>0</v>
      </c>
      <c r="AG61" s="20">
        <f t="shared" si="68"/>
        <v>0</v>
      </c>
      <c r="AH61" s="20">
        <f t="shared" si="68"/>
        <v>0</v>
      </c>
      <c r="AI61" s="10">
        <f t="shared" si="42"/>
        <v>15972.858</v>
      </c>
      <c r="AJ61" s="1093">
        <f t="shared" si="43"/>
        <v>3111.2440000000001</v>
      </c>
      <c r="AK61" s="1093">
        <f t="shared" si="44"/>
        <v>1304.6120000000001</v>
      </c>
      <c r="AL61" s="1093">
        <f t="shared" si="45"/>
        <v>558.07399999999996</v>
      </c>
      <c r="AM61" s="1093">
        <f t="shared" si="46"/>
        <v>163.19400000000002</v>
      </c>
      <c r="AN61" s="1093">
        <f t="shared" si="47"/>
        <v>10088.85</v>
      </c>
      <c r="AO61" s="1093">
        <f t="shared" si="48"/>
        <v>746.88400000000001</v>
      </c>
    </row>
    <row r="62" spans="1:41">
      <c r="A62" s="2" t="s">
        <v>22</v>
      </c>
      <c r="B62" s="20"/>
      <c r="C62" s="20"/>
      <c r="D62" s="20"/>
      <c r="E62" s="20"/>
      <c r="F62" s="20"/>
      <c r="G62" s="20"/>
      <c r="H62" s="20"/>
      <c r="I62" s="20"/>
      <c r="J62" s="20"/>
      <c r="K62" s="20"/>
      <c r="L62" s="20"/>
      <c r="M62" s="20"/>
      <c r="N62" s="20"/>
      <c r="O62" s="10">
        <f t="shared" si="40"/>
        <v>0</v>
      </c>
      <c r="R62" s="2" t="s">
        <v>109</v>
      </c>
      <c r="S62" s="20">
        <f t="shared" ref="S62:AE62" si="72">S97*0.2</f>
        <v>339.03800000000001</v>
      </c>
      <c r="T62" s="20">
        <f t="shared" si="72"/>
        <v>0</v>
      </c>
      <c r="U62" s="20">
        <f t="shared" si="72"/>
        <v>0</v>
      </c>
      <c r="V62" s="20">
        <f t="shared" si="72"/>
        <v>0</v>
      </c>
      <c r="W62" s="20">
        <f t="shared" si="72"/>
        <v>1038.2700000000002</v>
      </c>
      <c r="X62" s="20">
        <f t="shared" si="72"/>
        <v>0</v>
      </c>
      <c r="Y62" s="20">
        <f t="shared" si="72"/>
        <v>0</v>
      </c>
      <c r="Z62" s="20">
        <f t="shared" si="72"/>
        <v>0</v>
      </c>
      <c r="AA62" s="20">
        <f t="shared" si="72"/>
        <v>0</v>
      </c>
      <c r="AB62" s="20">
        <f t="shared" si="72"/>
        <v>0</v>
      </c>
      <c r="AC62" s="20">
        <f t="shared" si="72"/>
        <v>0</v>
      </c>
      <c r="AD62" s="20">
        <f t="shared" si="72"/>
        <v>0</v>
      </c>
      <c r="AE62" s="20">
        <f t="shared" si="72"/>
        <v>0</v>
      </c>
      <c r="AF62" s="20">
        <f t="shared" si="65"/>
        <v>0</v>
      </c>
      <c r="AG62" s="20">
        <f t="shared" si="68"/>
        <v>0</v>
      </c>
      <c r="AH62" s="20">
        <f t="shared" si="68"/>
        <v>0</v>
      </c>
      <c r="AI62" s="10">
        <f t="shared" si="42"/>
        <v>1377.3080000000002</v>
      </c>
      <c r="AJ62" s="1093">
        <f t="shared" si="43"/>
        <v>339.03800000000001</v>
      </c>
      <c r="AK62" s="1093">
        <f t="shared" si="44"/>
        <v>0</v>
      </c>
      <c r="AL62" s="1093">
        <f t="shared" si="45"/>
        <v>0</v>
      </c>
      <c r="AM62" s="1093">
        <f t="shared" si="46"/>
        <v>0</v>
      </c>
      <c r="AN62" s="1093">
        <f t="shared" si="47"/>
        <v>1038.2700000000002</v>
      </c>
      <c r="AO62" s="1093">
        <f t="shared" si="48"/>
        <v>0</v>
      </c>
    </row>
    <row r="63" spans="1:41">
      <c r="A63" s="2" t="s">
        <v>23</v>
      </c>
      <c r="B63" s="20"/>
      <c r="C63" s="20"/>
      <c r="D63" s="20"/>
      <c r="E63" s="20"/>
      <c r="F63" s="20"/>
      <c r="G63" s="20"/>
      <c r="H63" s="20"/>
      <c r="I63" s="20"/>
      <c r="J63" s="20"/>
      <c r="K63" s="20"/>
      <c r="L63" s="20"/>
      <c r="M63" s="20"/>
      <c r="N63" s="20"/>
      <c r="O63" s="10">
        <f t="shared" si="40"/>
        <v>0</v>
      </c>
      <c r="R63" s="2" t="s">
        <v>110</v>
      </c>
      <c r="S63" s="20">
        <f t="shared" ref="S63:AE63" si="73">S98*0.2</f>
        <v>34681.632000000005</v>
      </c>
      <c r="T63" s="20">
        <f t="shared" si="73"/>
        <v>4881.4520000000002</v>
      </c>
      <c r="U63" s="20">
        <f t="shared" si="73"/>
        <v>5188.6100000000006</v>
      </c>
      <c r="V63" s="20">
        <f t="shared" si="73"/>
        <v>1167.4280000000001</v>
      </c>
      <c r="W63" s="20">
        <f t="shared" si="73"/>
        <v>59749.5</v>
      </c>
      <c r="X63" s="20">
        <f t="shared" si="73"/>
        <v>528.93000000000006</v>
      </c>
      <c r="Y63" s="20">
        <f t="shared" si="73"/>
        <v>827.35400000000016</v>
      </c>
      <c r="Z63" s="20">
        <f t="shared" si="73"/>
        <v>0</v>
      </c>
      <c r="AA63" s="20">
        <f t="shared" si="73"/>
        <v>754.58199999999999</v>
      </c>
      <c r="AB63" s="20">
        <f t="shared" si="73"/>
        <v>254.67</v>
      </c>
      <c r="AC63" s="20">
        <f t="shared" si="73"/>
        <v>39.180000000000007</v>
      </c>
      <c r="AD63" s="20">
        <f t="shared" si="73"/>
        <v>0</v>
      </c>
      <c r="AE63" s="20">
        <f t="shared" si="73"/>
        <v>11.428000000000001</v>
      </c>
      <c r="AF63" s="20">
        <f t="shared" si="65"/>
        <v>0</v>
      </c>
      <c r="AG63" s="20">
        <f t="shared" si="68"/>
        <v>0</v>
      </c>
      <c r="AH63" s="20">
        <f t="shared" si="68"/>
        <v>0</v>
      </c>
      <c r="AI63" s="10">
        <f t="shared" si="42"/>
        <v>108084.76599999999</v>
      </c>
      <c r="AJ63" s="1093">
        <f t="shared" si="43"/>
        <v>34681.632000000005</v>
      </c>
      <c r="AK63" s="1093">
        <f t="shared" si="44"/>
        <v>4881.4520000000002</v>
      </c>
      <c r="AL63" s="1093">
        <f t="shared" si="45"/>
        <v>5188.6100000000006</v>
      </c>
      <c r="AM63" s="1093">
        <f t="shared" si="46"/>
        <v>1167.4280000000001</v>
      </c>
      <c r="AN63" s="1093">
        <f t="shared" si="47"/>
        <v>59749.5</v>
      </c>
      <c r="AO63" s="1093">
        <f t="shared" si="48"/>
        <v>2416.1439999999998</v>
      </c>
    </row>
    <row r="64" spans="1:41">
      <c r="A64" s="2" t="s">
        <v>25</v>
      </c>
      <c r="B64" s="20"/>
      <c r="C64" s="20"/>
      <c r="D64" s="20"/>
      <c r="E64" s="20"/>
      <c r="F64" s="20"/>
      <c r="G64" s="20"/>
      <c r="H64" s="20"/>
      <c r="I64" s="20"/>
      <c r="J64" s="20"/>
      <c r="K64" s="20"/>
      <c r="L64" s="20"/>
      <c r="M64" s="20"/>
      <c r="N64" s="20"/>
      <c r="O64" s="10">
        <f t="shared" si="40"/>
        <v>0</v>
      </c>
      <c r="R64" s="2" t="s">
        <v>111</v>
      </c>
      <c r="S64" s="20">
        <f t="shared" ref="S64:AE64" si="74">S99*0.2</f>
        <v>179780.448</v>
      </c>
      <c r="T64" s="20">
        <f t="shared" si="74"/>
        <v>59494.530000000006</v>
      </c>
      <c r="U64" s="20">
        <f t="shared" si="74"/>
        <v>23947.338000000003</v>
      </c>
      <c r="V64" s="20">
        <f t="shared" si="74"/>
        <v>6196.3280000000004</v>
      </c>
      <c r="W64" s="20">
        <f t="shared" si="74"/>
        <v>251809.86000000002</v>
      </c>
      <c r="X64" s="20">
        <f t="shared" si="74"/>
        <v>3212.76</v>
      </c>
      <c r="Y64" s="20">
        <f t="shared" si="74"/>
        <v>12977.704</v>
      </c>
      <c r="Z64" s="20">
        <f t="shared" si="74"/>
        <v>0</v>
      </c>
      <c r="AA64" s="20">
        <f t="shared" si="74"/>
        <v>5474.5820000000003</v>
      </c>
      <c r="AB64" s="20">
        <f t="shared" si="74"/>
        <v>842.37000000000012</v>
      </c>
      <c r="AC64" s="20">
        <f t="shared" si="74"/>
        <v>78.360000000000014</v>
      </c>
      <c r="AD64" s="20">
        <f t="shared" si="74"/>
        <v>0</v>
      </c>
      <c r="AE64" s="20">
        <f t="shared" si="74"/>
        <v>148.56400000000002</v>
      </c>
      <c r="AF64" s="20">
        <f t="shared" si="65"/>
        <v>0</v>
      </c>
      <c r="AG64" s="20">
        <v>0</v>
      </c>
      <c r="AH64" s="20">
        <v>0</v>
      </c>
      <c r="AI64" s="10">
        <f t="shared" si="42"/>
        <v>543962.84400000004</v>
      </c>
      <c r="AJ64" s="1093">
        <f t="shared" si="43"/>
        <v>179780.448</v>
      </c>
      <c r="AK64" s="1093">
        <f t="shared" si="44"/>
        <v>59494.530000000006</v>
      </c>
      <c r="AL64" s="1093">
        <f t="shared" si="45"/>
        <v>23947.338000000003</v>
      </c>
      <c r="AM64" s="1093">
        <f t="shared" si="46"/>
        <v>6196.3280000000004</v>
      </c>
      <c r="AN64" s="1093">
        <f t="shared" si="47"/>
        <v>251809.86000000002</v>
      </c>
      <c r="AO64" s="1093">
        <f t="shared" si="48"/>
        <v>22734.34</v>
      </c>
    </row>
    <row r="65" spans="1:41">
      <c r="A65" s="2" t="s">
        <v>24</v>
      </c>
      <c r="B65" s="20"/>
      <c r="C65" s="20"/>
      <c r="D65" s="20"/>
      <c r="E65" s="20"/>
      <c r="F65" s="20"/>
      <c r="G65" s="20"/>
      <c r="H65" s="20"/>
      <c r="I65" s="20"/>
      <c r="J65" s="20"/>
      <c r="K65" s="20"/>
      <c r="L65" s="20"/>
      <c r="M65" s="20"/>
      <c r="N65" s="20"/>
      <c r="O65" s="10">
        <f t="shared" si="40"/>
        <v>0</v>
      </c>
      <c r="R65" s="2" t="s">
        <v>112</v>
      </c>
      <c r="S65" s="20">
        <f t="shared" ref="S65:AE65" si="75">S100*0.2</f>
        <v>4382.3059999999996</v>
      </c>
      <c r="T65" s="20">
        <f t="shared" si="75"/>
        <v>1152.4040000000002</v>
      </c>
      <c r="U65" s="20">
        <f t="shared" si="75"/>
        <v>241.89600000000002</v>
      </c>
      <c r="V65" s="20">
        <f t="shared" si="75"/>
        <v>27.64</v>
      </c>
      <c r="W65" s="20">
        <f t="shared" si="75"/>
        <v>7150.35</v>
      </c>
      <c r="X65" s="20">
        <f t="shared" si="75"/>
        <v>195.9</v>
      </c>
      <c r="Y65" s="20">
        <f t="shared" si="75"/>
        <v>85.862000000000009</v>
      </c>
      <c r="Z65" s="20">
        <f t="shared" si="75"/>
        <v>0</v>
      </c>
      <c r="AA65" s="20">
        <f t="shared" si="75"/>
        <v>197.51400000000001</v>
      </c>
      <c r="AB65" s="20">
        <f t="shared" si="75"/>
        <v>39.180000000000007</v>
      </c>
      <c r="AC65" s="20">
        <f t="shared" si="75"/>
        <v>0</v>
      </c>
      <c r="AD65" s="20">
        <f t="shared" si="75"/>
        <v>0</v>
      </c>
      <c r="AE65" s="20">
        <f t="shared" si="75"/>
        <v>0</v>
      </c>
      <c r="AF65" s="20">
        <f t="shared" si="65"/>
        <v>0</v>
      </c>
      <c r="AG65" s="20">
        <f>AG100*0.2</f>
        <v>0</v>
      </c>
      <c r="AH65" s="20">
        <f>AH100*0.2</f>
        <v>0</v>
      </c>
      <c r="AI65" s="10">
        <f t="shared" si="42"/>
        <v>13473.052</v>
      </c>
      <c r="AJ65" s="1093">
        <f t="shared" si="43"/>
        <v>4382.3059999999996</v>
      </c>
      <c r="AK65" s="1093">
        <f t="shared" si="44"/>
        <v>1152.4040000000002</v>
      </c>
      <c r="AL65" s="1093">
        <f t="shared" si="45"/>
        <v>241.89600000000002</v>
      </c>
      <c r="AM65" s="1093">
        <f t="shared" si="46"/>
        <v>27.64</v>
      </c>
      <c r="AN65" s="1093">
        <f t="shared" si="47"/>
        <v>7150.35</v>
      </c>
      <c r="AO65" s="1093">
        <f t="shared" si="48"/>
        <v>518.45600000000002</v>
      </c>
    </row>
    <row r="66" spans="1:41">
      <c r="A66" s="2" t="s">
        <v>26</v>
      </c>
      <c r="B66" s="20"/>
      <c r="C66" s="20"/>
      <c r="D66" s="20"/>
      <c r="E66" s="20"/>
      <c r="F66" s="20"/>
      <c r="G66" s="20"/>
      <c r="H66" s="20"/>
      <c r="I66" s="20"/>
      <c r="J66" s="20"/>
      <c r="K66" s="20"/>
      <c r="L66" s="20"/>
      <c r="M66" s="20"/>
      <c r="N66" s="20"/>
      <c r="O66" s="10">
        <f t="shared" si="40"/>
        <v>0</v>
      </c>
      <c r="R66" s="2" t="s">
        <v>113</v>
      </c>
      <c r="S66" s="20">
        <f t="shared" ref="S66:AE66" si="76">S101*0.2</f>
        <v>1395.982</v>
      </c>
      <c r="T66" s="20">
        <f t="shared" si="76"/>
        <v>1293.71</v>
      </c>
      <c r="U66" s="20">
        <f t="shared" si="76"/>
        <v>259.04000000000002</v>
      </c>
      <c r="V66" s="20">
        <f t="shared" si="76"/>
        <v>169.66800000000001</v>
      </c>
      <c r="W66" s="20">
        <f t="shared" si="76"/>
        <v>3702.51</v>
      </c>
      <c r="X66" s="20">
        <f t="shared" si="76"/>
        <v>19.590000000000003</v>
      </c>
      <c r="Y66" s="20">
        <f t="shared" si="76"/>
        <v>235.19200000000001</v>
      </c>
      <c r="Z66" s="20">
        <f t="shared" si="76"/>
        <v>0</v>
      </c>
      <c r="AA66" s="20">
        <f t="shared" si="76"/>
        <v>71.688000000000002</v>
      </c>
      <c r="AB66" s="20">
        <f t="shared" si="76"/>
        <v>78.360000000000014</v>
      </c>
      <c r="AC66" s="20">
        <f t="shared" si="76"/>
        <v>0</v>
      </c>
      <c r="AD66" s="20">
        <f t="shared" si="76"/>
        <v>0</v>
      </c>
      <c r="AE66" s="20">
        <f t="shared" si="76"/>
        <v>0</v>
      </c>
      <c r="AF66" s="20">
        <f t="shared" si="65"/>
        <v>0</v>
      </c>
      <c r="AG66" s="20">
        <f>AG101*0.2</f>
        <v>0</v>
      </c>
      <c r="AH66" s="20">
        <f>AH101*0.2</f>
        <v>0</v>
      </c>
      <c r="AI66" s="10">
        <f t="shared" si="42"/>
        <v>7225.74</v>
      </c>
      <c r="AJ66" s="1093">
        <f t="shared" si="43"/>
        <v>1395.982</v>
      </c>
      <c r="AK66" s="1093">
        <f t="shared" si="44"/>
        <v>1293.71</v>
      </c>
      <c r="AL66" s="1093">
        <f t="shared" si="45"/>
        <v>259.04000000000002</v>
      </c>
      <c r="AM66" s="1093">
        <f t="shared" si="46"/>
        <v>169.66800000000001</v>
      </c>
      <c r="AN66" s="1093">
        <f t="shared" si="47"/>
        <v>3702.51</v>
      </c>
      <c r="AO66" s="1093">
        <f t="shared" si="48"/>
        <v>404.83000000000004</v>
      </c>
    </row>
    <row r="67" spans="1:41">
      <c r="A67" s="2" t="s">
        <v>37</v>
      </c>
      <c r="B67" s="1106">
        <f t="shared" ref="B67:O67" si="77">SUM(B40:B66)</f>
        <v>0</v>
      </c>
      <c r="C67" s="1106">
        <f t="shared" si="77"/>
        <v>0</v>
      </c>
      <c r="D67" s="1106">
        <f t="shared" si="77"/>
        <v>0</v>
      </c>
      <c r="E67" s="1106">
        <f t="shared" si="77"/>
        <v>0</v>
      </c>
      <c r="F67" s="1106">
        <f t="shared" si="77"/>
        <v>0</v>
      </c>
      <c r="G67" s="1106">
        <f t="shared" si="77"/>
        <v>0</v>
      </c>
      <c r="H67" s="1106">
        <f t="shared" si="77"/>
        <v>0</v>
      </c>
      <c r="I67" s="1106">
        <f t="shared" si="77"/>
        <v>0</v>
      </c>
      <c r="J67" s="1106">
        <f t="shared" si="77"/>
        <v>0</v>
      </c>
      <c r="K67" s="1106">
        <f t="shared" si="77"/>
        <v>0</v>
      </c>
      <c r="L67" s="1106">
        <f t="shared" si="77"/>
        <v>0</v>
      </c>
      <c r="M67" s="1106">
        <f t="shared" si="77"/>
        <v>0</v>
      </c>
      <c r="N67" s="1106">
        <f t="shared" si="77"/>
        <v>0</v>
      </c>
      <c r="O67" s="1107">
        <f t="shared" si="77"/>
        <v>0</v>
      </c>
      <c r="R67" s="7" t="s">
        <v>37</v>
      </c>
      <c r="S67" s="8">
        <f t="shared" ref="S67:AJ67" si="78">SUM(S40:S66)</f>
        <v>519483.7</v>
      </c>
      <c r="T67" s="8">
        <f t="shared" si="78"/>
        <v>185475.19999999998</v>
      </c>
      <c r="U67" s="8">
        <f t="shared" si="78"/>
        <v>68668.12999999999</v>
      </c>
      <c r="V67" s="8">
        <f t="shared" si="78"/>
        <v>23403.252000000004</v>
      </c>
      <c r="W67" s="8">
        <f t="shared" si="78"/>
        <v>753627.58000000007</v>
      </c>
      <c r="X67" s="8">
        <f t="shared" si="78"/>
        <v>13967.67</v>
      </c>
      <c r="Y67" s="8">
        <f t="shared" si="78"/>
        <v>36164.087999999996</v>
      </c>
      <c r="Z67" s="8">
        <f t="shared" si="78"/>
        <v>2839.5</v>
      </c>
      <c r="AA67" s="8">
        <f t="shared" si="78"/>
        <v>19250.161999999997</v>
      </c>
      <c r="AB67" s="8">
        <f t="shared" si="78"/>
        <v>3741.6899999999996</v>
      </c>
      <c r="AC67" s="8">
        <f t="shared" si="78"/>
        <v>313.44000000000005</v>
      </c>
      <c r="AD67" s="8">
        <f t="shared" si="78"/>
        <v>787.39</v>
      </c>
      <c r="AE67" s="8">
        <f t="shared" si="78"/>
        <v>428.55</v>
      </c>
      <c r="AF67" s="8">
        <f t="shared" ref="AF67" si="79">SUM(AF40:AF66)</f>
        <v>0</v>
      </c>
      <c r="AG67" s="8">
        <f t="shared" si="78"/>
        <v>3.226</v>
      </c>
      <c r="AH67" s="8">
        <f t="shared" si="78"/>
        <v>29.180000000000003</v>
      </c>
      <c r="AI67" s="11">
        <f t="shared" si="78"/>
        <v>1628182.7580000001</v>
      </c>
      <c r="AJ67" s="1093">
        <f t="shared" si="78"/>
        <v>519483.7</v>
      </c>
      <c r="AK67" s="1093">
        <f t="shared" ref="AK67:AO67" si="80">SUM(AK40:AK66)</f>
        <v>185475.19999999998</v>
      </c>
      <c r="AL67" s="1093">
        <f t="shared" si="80"/>
        <v>68668.12999999999</v>
      </c>
      <c r="AM67" s="1093">
        <f t="shared" si="80"/>
        <v>23403.252000000004</v>
      </c>
      <c r="AN67" s="1093">
        <f t="shared" si="80"/>
        <v>753627.58000000007</v>
      </c>
      <c r="AO67" s="1093">
        <f t="shared" si="80"/>
        <v>77524.896000000008</v>
      </c>
    </row>
    <row r="68" spans="1:41">
      <c r="O68" s="605"/>
      <c r="R68" s="1080" t="s">
        <v>49</v>
      </c>
      <c r="S68" s="1084"/>
      <c r="T68" s="1084"/>
      <c r="U68" s="1084"/>
      <c r="V68" s="1084"/>
      <c r="W68" s="1084"/>
      <c r="X68" s="1084"/>
      <c r="Y68" s="1084"/>
      <c r="Z68" s="1084"/>
      <c r="AA68" s="1084"/>
      <c r="AB68" s="1084"/>
      <c r="AC68" s="1084"/>
      <c r="AD68" s="1084"/>
      <c r="AE68" s="1084"/>
      <c r="AF68" s="1084"/>
      <c r="AG68" s="1084"/>
      <c r="AH68" s="1084"/>
      <c r="AI68" s="1085"/>
    </row>
    <row r="69" spans="1:41">
      <c r="A69" s="2" t="s">
        <v>14</v>
      </c>
      <c r="B69" s="20">
        <f>C19*0.2</f>
        <v>0</v>
      </c>
      <c r="C69" s="20">
        <f>D19*0.2</f>
        <v>0</v>
      </c>
      <c r="D69" s="20">
        <f>E19*0.2</f>
        <v>0</v>
      </c>
      <c r="E69" s="20">
        <f>F19*0.2</f>
        <v>0</v>
      </c>
      <c r="F69" s="20">
        <f t="shared" ref="F69:N69" si="81">F19*0.2</f>
        <v>0</v>
      </c>
      <c r="G69" s="20">
        <f t="shared" si="81"/>
        <v>0</v>
      </c>
      <c r="H69" s="20">
        <f t="shared" si="81"/>
        <v>0</v>
      </c>
      <c r="I69" s="20">
        <f t="shared" si="81"/>
        <v>0</v>
      </c>
      <c r="J69" s="20">
        <f t="shared" si="81"/>
        <v>0</v>
      </c>
      <c r="K69" s="20">
        <f t="shared" si="81"/>
        <v>0</v>
      </c>
      <c r="L69" s="20">
        <f t="shared" si="81"/>
        <v>0</v>
      </c>
      <c r="M69" s="20">
        <f t="shared" si="81"/>
        <v>0</v>
      </c>
      <c r="N69" s="20">
        <f t="shared" si="81"/>
        <v>0</v>
      </c>
      <c r="O69" s="10">
        <f>SUM(B69:N69)</f>
        <v>0</v>
      </c>
      <c r="R69" s="1088"/>
      <c r="S69" s="1088"/>
      <c r="T69" s="1089"/>
      <c r="U69" s="1089"/>
      <c r="V69" s="1089"/>
      <c r="W69" s="1089"/>
      <c r="X69" s="1089"/>
      <c r="Y69" s="1089"/>
      <c r="Z69" s="1089"/>
      <c r="AA69" s="1089"/>
      <c r="AB69" s="1089"/>
      <c r="AI69" s="1090"/>
    </row>
    <row r="70" spans="1:41">
      <c r="L70" s="605"/>
      <c r="M70" s="605"/>
      <c r="N70" s="605"/>
      <c r="R70" s="1087"/>
      <c r="AC70" s="605"/>
      <c r="AD70" s="605"/>
      <c r="AE70" s="605"/>
      <c r="AF70" s="605"/>
      <c r="AG70" s="605"/>
      <c r="AH70" s="605"/>
    </row>
    <row r="71" spans="1:41">
      <c r="R71" s="1087"/>
    </row>
    <row r="72" spans="1:41" ht="46.5">
      <c r="A72" s="1223" t="s">
        <v>38</v>
      </c>
      <c r="B72" s="1224"/>
      <c r="C72" s="1224"/>
      <c r="D72" s="1224"/>
      <c r="E72" s="1224"/>
      <c r="F72" s="1224"/>
      <c r="G72" s="1224"/>
      <c r="H72" s="1224"/>
      <c r="I72" s="1224"/>
      <c r="J72" s="1224"/>
      <c r="K72" s="1224"/>
      <c r="L72" s="1224"/>
      <c r="M72" s="1224"/>
      <c r="N72" s="1224"/>
      <c r="O72" s="1225"/>
      <c r="R72" s="1220" t="s">
        <v>47</v>
      </c>
      <c r="S72" s="1221"/>
      <c r="T72" s="1221"/>
      <c r="U72" s="1221"/>
      <c r="V72" s="1221"/>
      <c r="W72" s="1221"/>
      <c r="X72" s="1221"/>
      <c r="Y72" s="1221"/>
      <c r="Z72" s="1221"/>
      <c r="AA72" s="1221"/>
      <c r="AB72" s="1221"/>
      <c r="AC72" s="1221"/>
      <c r="AD72" s="1221"/>
      <c r="AE72" s="1221"/>
      <c r="AF72" s="1221"/>
      <c r="AG72" s="1221"/>
      <c r="AH72" s="1221"/>
      <c r="AI72" s="1222"/>
    </row>
    <row r="73" spans="1:41" s="1104" customFormat="1" ht="35.1" customHeight="1">
      <c r="A73" s="1226" t="s">
        <v>33</v>
      </c>
      <c r="B73" s="1228" t="s">
        <v>27</v>
      </c>
      <c r="C73" s="1229"/>
      <c r="D73" s="1228" t="s">
        <v>29</v>
      </c>
      <c r="E73" s="1229"/>
      <c r="F73" s="1226" t="s">
        <v>28</v>
      </c>
      <c r="G73" s="1226" t="s">
        <v>36</v>
      </c>
      <c r="H73" s="1226" t="s">
        <v>30</v>
      </c>
      <c r="I73" s="1226" t="s">
        <v>31</v>
      </c>
      <c r="J73" s="1226" t="s">
        <v>41</v>
      </c>
      <c r="K73" s="1226" t="s">
        <v>35</v>
      </c>
      <c r="L73" s="1226" t="s">
        <v>40</v>
      </c>
      <c r="M73" s="1226" t="s">
        <v>42</v>
      </c>
      <c r="N73" s="1226" t="s">
        <v>45</v>
      </c>
      <c r="O73" s="1226" t="s">
        <v>34</v>
      </c>
      <c r="R73" s="1226" t="s">
        <v>33</v>
      </c>
      <c r="S73" s="1228" t="s">
        <v>27</v>
      </c>
      <c r="T73" s="1229"/>
      <c r="U73" s="1228" t="s">
        <v>29</v>
      </c>
      <c r="V73" s="1229"/>
      <c r="W73" s="1226" t="s">
        <v>28</v>
      </c>
      <c r="X73" s="1226" t="s">
        <v>36</v>
      </c>
      <c r="Y73" s="1226" t="s">
        <v>30</v>
      </c>
      <c r="Z73" s="1226" t="s">
        <v>31</v>
      </c>
      <c r="AA73" s="1226" t="s">
        <v>41</v>
      </c>
      <c r="AB73" s="1226" t="s">
        <v>35</v>
      </c>
      <c r="AC73" s="1226" t="s">
        <v>40</v>
      </c>
      <c r="AD73" s="1226" t="s">
        <v>42</v>
      </c>
      <c r="AE73" s="1226" t="s">
        <v>45</v>
      </c>
      <c r="AF73" s="1226" t="s">
        <v>411</v>
      </c>
      <c r="AG73" s="1228" t="s">
        <v>51</v>
      </c>
      <c r="AH73" s="1229"/>
      <c r="AI73" s="1226" t="s">
        <v>34</v>
      </c>
    </row>
    <row r="74" spans="1:41" s="1104" customFormat="1" ht="35.1" customHeight="1">
      <c r="A74" s="1227"/>
      <c r="B74" s="1091" t="s">
        <v>43</v>
      </c>
      <c r="C74" s="1091" t="s">
        <v>44</v>
      </c>
      <c r="D74" s="1091" t="s">
        <v>43</v>
      </c>
      <c r="E74" s="1091" t="s">
        <v>44</v>
      </c>
      <c r="F74" s="1227"/>
      <c r="G74" s="1227"/>
      <c r="H74" s="1227"/>
      <c r="I74" s="1227"/>
      <c r="J74" s="1227"/>
      <c r="K74" s="1227"/>
      <c r="L74" s="1227"/>
      <c r="M74" s="1227"/>
      <c r="N74" s="1227"/>
      <c r="O74" s="1227"/>
      <c r="R74" s="1227"/>
      <c r="S74" s="1091" t="s">
        <v>43</v>
      </c>
      <c r="T74" s="1091" t="s">
        <v>44</v>
      </c>
      <c r="U74" s="1091" t="s">
        <v>43</v>
      </c>
      <c r="V74" s="1091" t="s">
        <v>44</v>
      </c>
      <c r="W74" s="1227"/>
      <c r="X74" s="1227"/>
      <c r="Y74" s="1227"/>
      <c r="Z74" s="1227"/>
      <c r="AA74" s="1227"/>
      <c r="AB74" s="1227"/>
      <c r="AC74" s="1227"/>
      <c r="AD74" s="1227"/>
      <c r="AE74" s="1227"/>
      <c r="AF74" s="1227"/>
      <c r="AG74" s="1092" t="s">
        <v>52</v>
      </c>
      <c r="AH74" s="1092" t="s">
        <v>53</v>
      </c>
      <c r="AI74" s="1227"/>
      <c r="AJ74" s="1104" t="s">
        <v>183</v>
      </c>
      <c r="AK74" s="1104" t="s">
        <v>424</v>
      </c>
      <c r="AL74" s="1104" t="s">
        <v>184</v>
      </c>
      <c r="AM74" s="1104" t="s">
        <v>425</v>
      </c>
      <c r="AN74" s="1104" t="s">
        <v>28</v>
      </c>
      <c r="AO74" s="1104" t="s">
        <v>185</v>
      </c>
    </row>
    <row r="75" spans="1:41">
      <c r="A75" s="2" t="s">
        <v>0</v>
      </c>
      <c r="B75" s="20">
        <f t="shared" ref="B75:N75" si="82">B5+B40</f>
        <v>0</v>
      </c>
      <c r="C75" s="20">
        <f t="shared" si="82"/>
        <v>0</v>
      </c>
      <c r="D75" s="20">
        <f t="shared" si="82"/>
        <v>0</v>
      </c>
      <c r="E75" s="20">
        <f t="shared" si="82"/>
        <v>0</v>
      </c>
      <c r="F75" s="20">
        <f t="shared" si="82"/>
        <v>0</v>
      </c>
      <c r="G75" s="20">
        <f t="shared" si="82"/>
        <v>0</v>
      </c>
      <c r="H75" s="20">
        <f t="shared" si="82"/>
        <v>0</v>
      </c>
      <c r="I75" s="20">
        <f t="shared" si="82"/>
        <v>0</v>
      </c>
      <c r="J75" s="20">
        <f t="shared" si="82"/>
        <v>0</v>
      </c>
      <c r="K75" s="20">
        <f t="shared" si="82"/>
        <v>0</v>
      </c>
      <c r="L75" s="20">
        <f t="shared" si="82"/>
        <v>0</v>
      </c>
      <c r="M75" s="20">
        <f t="shared" si="82"/>
        <v>0</v>
      </c>
      <c r="N75" s="20">
        <f t="shared" si="82"/>
        <v>0</v>
      </c>
      <c r="O75" s="10">
        <f t="shared" ref="O75:O101" si="83">SUM(B75:N75)</f>
        <v>0</v>
      </c>
      <c r="R75" s="2" t="s">
        <v>87</v>
      </c>
      <c r="S75" s="20">
        <v>7548.14</v>
      </c>
      <c r="T75" s="20">
        <v>1517.86</v>
      </c>
      <c r="U75" s="20">
        <v>638.07000000000005</v>
      </c>
      <c r="V75" s="20">
        <v>230.73</v>
      </c>
      <c r="W75" s="20">
        <v>9795</v>
      </c>
      <c r="X75" s="20">
        <v>391.8</v>
      </c>
      <c r="Y75" s="20">
        <v>204.72</v>
      </c>
      <c r="Z75" s="20"/>
      <c r="AA75" s="20">
        <v>172.19</v>
      </c>
      <c r="AB75" s="20">
        <v>97.95</v>
      </c>
      <c r="AC75" s="20"/>
      <c r="AD75" s="20"/>
      <c r="AE75" s="20"/>
      <c r="AF75" s="20"/>
      <c r="AG75" s="20"/>
      <c r="AH75" s="20"/>
      <c r="AI75" s="10">
        <f>SUM(S75:AH75)</f>
        <v>20596.46</v>
      </c>
      <c r="AJ75" s="1093">
        <f t="shared" ref="AJ75:AJ101" si="84">S75</f>
        <v>7548.14</v>
      </c>
      <c r="AK75" s="1093">
        <f t="shared" ref="AK75:AK101" si="85">T75</f>
        <v>1517.86</v>
      </c>
      <c r="AL75" s="1093">
        <f t="shared" ref="AL75:AL101" si="86">U75</f>
        <v>638.07000000000005</v>
      </c>
      <c r="AM75" s="1093">
        <f t="shared" ref="AM75:AM101" si="87">V75</f>
        <v>230.73</v>
      </c>
      <c r="AN75" s="1093">
        <f t="shared" ref="AN75:AN101" si="88">W75</f>
        <v>9795</v>
      </c>
      <c r="AO75" s="1093">
        <f t="shared" ref="AO75:AO101" si="89">SUM(X75:AH75)</f>
        <v>866.66000000000008</v>
      </c>
    </row>
    <row r="76" spans="1:41">
      <c r="A76" s="2" t="s">
        <v>1</v>
      </c>
      <c r="B76" s="20">
        <f t="shared" ref="B76:N76" si="90">B6+B41</f>
        <v>0</v>
      </c>
      <c r="C76" s="20">
        <f t="shared" si="90"/>
        <v>0</v>
      </c>
      <c r="D76" s="20">
        <f t="shared" si="90"/>
        <v>0</v>
      </c>
      <c r="E76" s="20">
        <f t="shared" si="90"/>
        <v>0</v>
      </c>
      <c r="F76" s="20">
        <f t="shared" si="90"/>
        <v>0</v>
      </c>
      <c r="G76" s="20">
        <f t="shared" si="90"/>
        <v>0</v>
      </c>
      <c r="H76" s="20">
        <f t="shared" si="90"/>
        <v>0</v>
      </c>
      <c r="I76" s="20">
        <f t="shared" si="90"/>
        <v>0</v>
      </c>
      <c r="J76" s="20">
        <f t="shared" si="90"/>
        <v>0</v>
      </c>
      <c r="K76" s="20">
        <f t="shared" si="90"/>
        <v>0</v>
      </c>
      <c r="L76" s="20">
        <f t="shared" si="90"/>
        <v>0</v>
      </c>
      <c r="M76" s="20">
        <f t="shared" si="90"/>
        <v>0</v>
      </c>
      <c r="N76" s="20">
        <f t="shared" si="90"/>
        <v>0</v>
      </c>
      <c r="O76" s="10">
        <f t="shared" si="83"/>
        <v>0</v>
      </c>
      <c r="R76" s="2" t="s">
        <v>88</v>
      </c>
      <c r="S76" s="20">
        <v>21636.93</v>
      </c>
      <c r="T76" s="20">
        <v>13098.6</v>
      </c>
      <c r="U76" s="20">
        <v>933.3</v>
      </c>
      <c r="V76" s="20">
        <v>633.16</v>
      </c>
      <c r="W76" s="20">
        <v>38102.550000000003</v>
      </c>
      <c r="X76" s="20">
        <v>489.75</v>
      </c>
      <c r="Y76" s="20">
        <v>2278.08</v>
      </c>
      <c r="Z76" s="20">
        <v>571.41</v>
      </c>
      <c r="AA76" s="20">
        <v>1395.1</v>
      </c>
      <c r="AB76" s="20"/>
      <c r="AC76" s="20"/>
      <c r="AD76" s="20"/>
      <c r="AE76" s="20"/>
      <c r="AF76" s="20"/>
      <c r="AG76" s="20"/>
      <c r="AH76" s="20"/>
      <c r="AI76" s="10">
        <f t="shared" ref="AI76:AI101" si="91">SUM(S76:AH76)</f>
        <v>79138.880000000019</v>
      </c>
      <c r="AJ76" s="1093">
        <f t="shared" si="84"/>
        <v>21636.93</v>
      </c>
      <c r="AK76" s="1093">
        <f t="shared" si="85"/>
        <v>13098.6</v>
      </c>
      <c r="AL76" s="1093">
        <f t="shared" si="86"/>
        <v>933.3</v>
      </c>
      <c r="AM76" s="1093">
        <f t="shared" si="87"/>
        <v>633.16</v>
      </c>
      <c r="AN76" s="1093">
        <f t="shared" si="88"/>
        <v>38102.550000000003</v>
      </c>
      <c r="AO76" s="1093">
        <f t="shared" si="89"/>
        <v>4734.34</v>
      </c>
    </row>
    <row r="77" spans="1:41">
      <c r="A77" s="2" t="s">
        <v>2</v>
      </c>
      <c r="B77" s="20">
        <f t="shared" ref="B77:N77" si="92">B7+B42</f>
        <v>0</v>
      </c>
      <c r="C77" s="20">
        <f t="shared" si="92"/>
        <v>0</v>
      </c>
      <c r="D77" s="20">
        <f t="shared" si="92"/>
        <v>0</v>
      </c>
      <c r="E77" s="20">
        <f t="shared" si="92"/>
        <v>0</v>
      </c>
      <c r="F77" s="20">
        <f t="shared" si="92"/>
        <v>0</v>
      </c>
      <c r="G77" s="20">
        <f t="shared" si="92"/>
        <v>0</v>
      </c>
      <c r="H77" s="20">
        <f t="shared" si="92"/>
        <v>0</v>
      </c>
      <c r="I77" s="20">
        <f t="shared" si="92"/>
        <v>0</v>
      </c>
      <c r="J77" s="20">
        <f t="shared" si="92"/>
        <v>0</v>
      </c>
      <c r="K77" s="20">
        <f t="shared" si="92"/>
        <v>0</v>
      </c>
      <c r="L77" s="20">
        <f t="shared" si="92"/>
        <v>0</v>
      </c>
      <c r="M77" s="20">
        <f t="shared" si="92"/>
        <v>0</v>
      </c>
      <c r="N77" s="20">
        <f t="shared" si="92"/>
        <v>0</v>
      </c>
      <c r="O77" s="10">
        <f t="shared" si="83"/>
        <v>0</v>
      </c>
      <c r="R77" s="2" t="s">
        <v>89</v>
      </c>
      <c r="S77" s="20">
        <v>10422.280000000001</v>
      </c>
      <c r="T77" s="20">
        <v>3849.3</v>
      </c>
      <c r="U77" s="20">
        <v>2285.64</v>
      </c>
      <c r="V77" s="20">
        <v>1089.3900000000001</v>
      </c>
      <c r="W77" s="20">
        <v>16851.990000000002</v>
      </c>
      <c r="X77" s="20">
        <v>1763.1</v>
      </c>
      <c r="Y77" s="20">
        <v>589.74</v>
      </c>
      <c r="Z77" s="20"/>
      <c r="AA77" s="20">
        <v>900.79</v>
      </c>
      <c r="AB77" s="20">
        <v>293.85000000000002</v>
      </c>
      <c r="AC77" s="20"/>
      <c r="AD77" s="20"/>
      <c r="AE77" s="20"/>
      <c r="AF77" s="20"/>
      <c r="AG77" s="20"/>
      <c r="AH77" s="20"/>
      <c r="AI77" s="10">
        <f t="shared" si="91"/>
        <v>38046.080000000002</v>
      </c>
      <c r="AJ77" s="1093">
        <f t="shared" si="84"/>
        <v>10422.280000000001</v>
      </c>
      <c r="AK77" s="1093">
        <f t="shared" si="85"/>
        <v>3849.3</v>
      </c>
      <c r="AL77" s="1093">
        <f t="shared" si="86"/>
        <v>2285.64</v>
      </c>
      <c r="AM77" s="1093">
        <f t="shared" si="87"/>
        <v>1089.3900000000001</v>
      </c>
      <c r="AN77" s="1093">
        <f t="shared" si="88"/>
        <v>16851.990000000002</v>
      </c>
      <c r="AO77" s="1093">
        <f t="shared" si="89"/>
        <v>3547.48</v>
      </c>
    </row>
    <row r="78" spans="1:41">
      <c r="A78" s="2" t="s">
        <v>3</v>
      </c>
      <c r="B78" s="20">
        <f t="shared" ref="B78:N78" si="93">B8+B43</f>
        <v>0</v>
      </c>
      <c r="C78" s="20">
        <f t="shared" si="93"/>
        <v>0</v>
      </c>
      <c r="D78" s="20">
        <f t="shared" si="93"/>
        <v>0</v>
      </c>
      <c r="E78" s="20">
        <f t="shared" si="93"/>
        <v>0</v>
      </c>
      <c r="F78" s="20">
        <f t="shared" si="93"/>
        <v>0</v>
      </c>
      <c r="G78" s="20">
        <f t="shared" si="93"/>
        <v>0</v>
      </c>
      <c r="H78" s="20">
        <f t="shared" si="93"/>
        <v>0</v>
      </c>
      <c r="I78" s="20">
        <f t="shared" si="93"/>
        <v>0</v>
      </c>
      <c r="J78" s="20">
        <f t="shared" si="93"/>
        <v>0</v>
      </c>
      <c r="K78" s="20">
        <f t="shared" si="93"/>
        <v>0</v>
      </c>
      <c r="L78" s="20">
        <f t="shared" si="93"/>
        <v>0</v>
      </c>
      <c r="M78" s="20">
        <f t="shared" si="93"/>
        <v>0</v>
      </c>
      <c r="N78" s="20">
        <f t="shared" si="93"/>
        <v>0</v>
      </c>
      <c r="O78" s="10">
        <f t="shared" si="83"/>
        <v>0</v>
      </c>
      <c r="R78" s="2" t="s">
        <v>90</v>
      </c>
      <c r="S78" s="20">
        <v>22361.05</v>
      </c>
      <c r="T78" s="20">
        <v>9007.33</v>
      </c>
      <c r="U78" s="20">
        <v>1514.24</v>
      </c>
      <c r="V78" s="20">
        <v>1030.3</v>
      </c>
      <c r="W78" s="20">
        <v>20765.400000000001</v>
      </c>
      <c r="X78" s="20">
        <v>489.75</v>
      </c>
      <c r="Y78" s="20">
        <v>1166.6099999999999</v>
      </c>
      <c r="Z78" s="20"/>
      <c r="AA78" s="20">
        <v>1169.68</v>
      </c>
      <c r="AB78" s="20">
        <v>195.9</v>
      </c>
      <c r="AC78" s="20"/>
      <c r="AD78" s="20"/>
      <c r="AE78" s="20">
        <v>28.57</v>
      </c>
      <c r="AF78" s="20"/>
      <c r="AG78" s="20"/>
      <c r="AH78" s="20"/>
      <c r="AI78" s="10">
        <f t="shared" si="91"/>
        <v>57728.83</v>
      </c>
      <c r="AJ78" s="1093">
        <f t="shared" si="84"/>
        <v>22361.05</v>
      </c>
      <c r="AK78" s="1093">
        <f t="shared" si="85"/>
        <v>9007.33</v>
      </c>
      <c r="AL78" s="1093">
        <f t="shared" si="86"/>
        <v>1514.24</v>
      </c>
      <c r="AM78" s="1093">
        <f t="shared" si="87"/>
        <v>1030.3</v>
      </c>
      <c r="AN78" s="1093">
        <f t="shared" si="88"/>
        <v>20765.400000000001</v>
      </c>
      <c r="AO78" s="1093">
        <f t="shared" si="89"/>
        <v>3050.51</v>
      </c>
    </row>
    <row r="79" spans="1:41">
      <c r="A79" s="2" t="s">
        <v>4</v>
      </c>
      <c r="B79" s="20">
        <f t="shared" ref="B79:N79" si="94">B9+B44</f>
        <v>0</v>
      </c>
      <c r="C79" s="20">
        <f t="shared" si="94"/>
        <v>0</v>
      </c>
      <c r="D79" s="20">
        <f t="shared" si="94"/>
        <v>0</v>
      </c>
      <c r="E79" s="20">
        <f t="shared" si="94"/>
        <v>0</v>
      </c>
      <c r="F79" s="20">
        <f t="shared" si="94"/>
        <v>0</v>
      </c>
      <c r="G79" s="20">
        <f t="shared" si="94"/>
        <v>0</v>
      </c>
      <c r="H79" s="20">
        <f t="shared" si="94"/>
        <v>0</v>
      </c>
      <c r="I79" s="20">
        <f t="shared" si="94"/>
        <v>0</v>
      </c>
      <c r="J79" s="20">
        <f t="shared" si="94"/>
        <v>0</v>
      </c>
      <c r="K79" s="20">
        <f t="shared" si="94"/>
        <v>0</v>
      </c>
      <c r="L79" s="20">
        <f t="shared" si="94"/>
        <v>0</v>
      </c>
      <c r="M79" s="20">
        <f t="shared" si="94"/>
        <v>0</v>
      </c>
      <c r="N79" s="20">
        <f t="shared" si="94"/>
        <v>0</v>
      </c>
      <c r="O79" s="10">
        <f t="shared" si="83"/>
        <v>0</v>
      </c>
      <c r="R79" s="2" t="s">
        <v>91</v>
      </c>
      <c r="S79" s="20">
        <v>66803.990000000005</v>
      </c>
      <c r="T79" s="20">
        <v>24756.31</v>
      </c>
      <c r="U79" s="20">
        <v>10899.6</v>
      </c>
      <c r="V79" s="20">
        <v>1868.49</v>
      </c>
      <c r="W79" s="20">
        <v>74246.100000000006</v>
      </c>
      <c r="X79" s="20">
        <v>2252.85</v>
      </c>
      <c r="Y79" s="20">
        <v>3811.35</v>
      </c>
      <c r="Z79" s="20"/>
      <c r="AA79" s="20">
        <v>2761.34</v>
      </c>
      <c r="AB79" s="20">
        <v>783.6</v>
      </c>
      <c r="AC79" s="20"/>
      <c r="AD79" s="20"/>
      <c r="AE79" s="20">
        <v>57.14</v>
      </c>
      <c r="AF79" s="20"/>
      <c r="AG79" s="20"/>
      <c r="AH79" s="20"/>
      <c r="AI79" s="10">
        <f t="shared" si="91"/>
        <v>188240.77000000005</v>
      </c>
      <c r="AJ79" s="1093">
        <f t="shared" si="84"/>
        <v>66803.990000000005</v>
      </c>
      <c r="AK79" s="1093">
        <f t="shared" si="85"/>
        <v>24756.31</v>
      </c>
      <c r="AL79" s="1093">
        <f t="shared" si="86"/>
        <v>10899.6</v>
      </c>
      <c r="AM79" s="1093">
        <f t="shared" si="87"/>
        <v>1868.49</v>
      </c>
      <c r="AN79" s="1093">
        <f t="shared" si="88"/>
        <v>74246.100000000006</v>
      </c>
      <c r="AO79" s="1093">
        <f t="shared" si="89"/>
        <v>9666.2800000000007</v>
      </c>
    </row>
    <row r="80" spans="1:41">
      <c r="A80" s="2" t="s">
        <v>5</v>
      </c>
      <c r="B80" s="20">
        <f t="shared" ref="B80:N80" si="95">B10+B45</f>
        <v>0</v>
      </c>
      <c r="C80" s="20">
        <f t="shared" si="95"/>
        <v>0</v>
      </c>
      <c r="D80" s="20">
        <f t="shared" si="95"/>
        <v>0</v>
      </c>
      <c r="E80" s="20">
        <f t="shared" si="95"/>
        <v>0</v>
      </c>
      <c r="F80" s="20">
        <f t="shared" si="95"/>
        <v>0</v>
      </c>
      <c r="G80" s="20">
        <f t="shared" si="95"/>
        <v>0</v>
      </c>
      <c r="H80" s="20">
        <f t="shared" si="95"/>
        <v>0</v>
      </c>
      <c r="I80" s="20">
        <f t="shared" si="95"/>
        <v>0</v>
      </c>
      <c r="J80" s="20">
        <f t="shared" si="95"/>
        <v>0</v>
      </c>
      <c r="K80" s="20">
        <f t="shared" si="95"/>
        <v>0</v>
      </c>
      <c r="L80" s="20">
        <f t="shared" si="95"/>
        <v>0</v>
      </c>
      <c r="M80" s="20">
        <f t="shared" si="95"/>
        <v>0</v>
      </c>
      <c r="N80" s="20">
        <f t="shared" si="95"/>
        <v>0</v>
      </c>
      <c r="O80" s="10">
        <f t="shared" si="83"/>
        <v>0</v>
      </c>
      <c r="R80" s="2" t="s">
        <v>92</v>
      </c>
      <c r="S80" s="20">
        <v>30100.55</v>
      </c>
      <c r="T80" s="20">
        <v>10089.86</v>
      </c>
      <c r="U80" s="20">
        <v>1815.79</v>
      </c>
      <c r="V80" s="20">
        <v>110.56</v>
      </c>
      <c r="W80" s="20">
        <v>33303</v>
      </c>
      <c r="X80" s="20">
        <v>1273.3499999999999</v>
      </c>
      <c r="Y80" s="20">
        <v>1327.28</v>
      </c>
      <c r="Z80" s="20">
        <v>881.55</v>
      </c>
      <c r="AA80" s="20">
        <v>1305.5999999999999</v>
      </c>
      <c r="AB80" s="20">
        <v>97.95</v>
      </c>
      <c r="AC80" s="20"/>
      <c r="AD80" s="20"/>
      <c r="AE80" s="20">
        <v>28.57</v>
      </c>
      <c r="AF80" s="20"/>
      <c r="AG80" s="20"/>
      <c r="AH80" s="20"/>
      <c r="AI80" s="10">
        <f t="shared" si="91"/>
        <v>80334.060000000027</v>
      </c>
      <c r="AJ80" s="1093">
        <f t="shared" si="84"/>
        <v>30100.55</v>
      </c>
      <c r="AK80" s="1093">
        <f t="shared" si="85"/>
        <v>10089.86</v>
      </c>
      <c r="AL80" s="1093">
        <f t="shared" si="86"/>
        <v>1815.79</v>
      </c>
      <c r="AM80" s="1093">
        <f t="shared" si="87"/>
        <v>110.56</v>
      </c>
      <c r="AN80" s="1093">
        <f t="shared" si="88"/>
        <v>33303</v>
      </c>
      <c r="AO80" s="1093">
        <f t="shared" si="89"/>
        <v>4914.3</v>
      </c>
    </row>
    <row r="81" spans="1:41">
      <c r="A81" s="2" t="s">
        <v>6</v>
      </c>
      <c r="B81" s="20">
        <f t="shared" ref="B81:N81" si="96">B11+B46</f>
        <v>0</v>
      </c>
      <c r="C81" s="20">
        <f t="shared" si="96"/>
        <v>0</v>
      </c>
      <c r="D81" s="20">
        <f t="shared" si="96"/>
        <v>0</v>
      </c>
      <c r="E81" s="20">
        <f t="shared" si="96"/>
        <v>0</v>
      </c>
      <c r="F81" s="20">
        <f t="shared" si="96"/>
        <v>0</v>
      </c>
      <c r="G81" s="20">
        <f t="shared" si="96"/>
        <v>0</v>
      </c>
      <c r="H81" s="20">
        <f t="shared" si="96"/>
        <v>0</v>
      </c>
      <c r="I81" s="20">
        <f t="shared" si="96"/>
        <v>0</v>
      </c>
      <c r="J81" s="20">
        <f t="shared" si="96"/>
        <v>0</v>
      </c>
      <c r="K81" s="20">
        <f t="shared" si="96"/>
        <v>0</v>
      </c>
      <c r="L81" s="20">
        <f t="shared" si="96"/>
        <v>0</v>
      </c>
      <c r="M81" s="20">
        <f t="shared" si="96"/>
        <v>0</v>
      </c>
      <c r="N81" s="20">
        <f t="shared" si="96"/>
        <v>0</v>
      </c>
      <c r="O81" s="10">
        <f t="shared" si="83"/>
        <v>0</v>
      </c>
      <c r="R81" s="2" t="s">
        <v>93</v>
      </c>
      <c r="S81" s="20">
        <v>91025.63</v>
      </c>
      <c r="T81" s="20">
        <v>41340.129999999997</v>
      </c>
      <c r="U81" s="20">
        <v>9202.83</v>
      </c>
      <c r="V81" s="20">
        <v>1372.52</v>
      </c>
      <c r="W81" s="20">
        <v>64940.85</v>
      </c>
      <c r="X81" s="20">
        <v>2252.85</v>
      </c>
      <c r="Y81" s="20">
        <v>6754.12</v>
      </c>
      <c r="Z81" s="20"/>
      <c r="AA81" s="20">
        <v>3478.77</v>
      </c>
      <c r="AB81" s="20">
        <v>783.6</v>
      </c>
      <c r="AC81" s="20"/>
      <c r="AD81" s="20"/>
      <c r="AE81" s="20">
        <v>85.71</v>
      </c>
      <c r="AF81" s="20"/>
      <c r="AG81" s="20"/>
      <c r="AH81" s="20"/>
      <c r="AI81" s="10">
        <f t="shared" si="91"/>
        <v>221237.00999999998</v>
      </c>
      <c r="AJ81" s="1093">
        <f t="shared" si="84"/>
        <v>91025.63</v>
      </c>
      <c r="AK81" s="1093">
        <f t="shared" si="85"/>
        <v>41340.129999999997</v>
      </c>
      <c r="AL81" s="1093">
        <f t="shared" si="86"/>
        <v>9202.83</v>
      </c>
      <c r="AM81" s="1093">
        <f t="shared" si="87"/>
        <v>1372.52</v>
      </c>
      <c r="AN81" s="1093">
        <f t="shared" si="88"/>
        <v>64940.85</v>
      </c>
      <c r="AO81" s="1093">
        <f t="shared" si="89"/>
        <v>13355.05</v>
      </c>
    </row>
    <row r="82" spans="1:41">
      <c r="A82" s="2" t="s">
        <v>7</v>
      </c>
      <c r="B82" s="20">
        <f t="shared" ref="B82:N82" si="97">B12+B47</f>
        <v>0</v>
      </c>
      <c r="C82" s="20">
        <f t="shared" si="97"/>
        <v>0</v>
      </c>
      <c r="D82" s="20">
        <f t="shared" si="97"/>
        <v>0</v>
      </c>
      <c r="E82" s="20">
        <f t="shared" si="97"/>
        <v>0</v>
      </c>
      <c r="F82" s="20">
        <f t="shared" si="97"/>
        <v>0</v>
      </c>
      <c r="G82" s="20">
        <f t="shared" si="97"/>
        <v>0</v>
      </c>
      <c r="H82" s="20">
        <f t="shared" si="97"/>
        <v>0</v>
      </c>
      <c r="I82" s="20">
        <f t="shared" si="97"/>
        <v>0</v>
      </c>
      <c r="J82" s="20">
        <f t="shared" si="97"/>
        <v>0</v>
      </c>
      <c r="K82" s="20">
        <f t="shared" si="97"/>
        <v>0</v>
      </c>
      <c r="L82" s="20">
        <f t="shared" si="97"/>
        <v>0</v>
      </c>
      <c r="M82" s="20">
        <f t="shared" si="97"/>
        <v>0</v>
      </c>
      <c r="N82" s="20">
        <f t="shared" si="97"/>
        <v>0</v>
      </c>
      <c r="O82" s="10">
        <f t="shared" si="83"/>
        <v>0</v>
      </c>
      <c r="R82" s="2" t="s">
        <v>94</v>
      </c>
      <c r="S82" s="20">
        <v>53732.53</v>
      </c>
      <c r="T82" s="20">
        <v>12359.31</v>
      </c>
      <c r="U82" s="20">
        <v>4161.7299999999996</v>
      </c>
      <c r="V82" s="20">
        <v>1879.25</v>
      </c>
      <c r="W82" s="20">
        <v>55439.7</v>
      </c>
      <c r="X82" s="20">
        <v>979.5</v>
      </c>
      <c r="Y82" s="20">
        <v>2718.54</v>
      </c>
      <c r="Z82" s="20">
        <v>3276.19</v>
      </c>
      <c r="AA82" s="20">
        <v>1180.08</v>
      </c>
      <c r="AB82" s="20">
        <v>97.95</v>
      </c>
      <c r="AC82" s="20">
        <v>391.8</v>
      </c>
      <c r="AD82" s="20"/>
      <c r="AE82" s="20">
        <v>85.71</v>
      </c>
      <c r="AF82" s="20"/>
      <c r="AG82" s="20"/>
      <c r="AH82" s="20"/>
      <c r="AI82" s="10">
        <f t="shared" si="91"/>
        <v>136302.28999999998</v>
      </c>
      <c r="AJ82" s="1093">
        <f t="shared" si="84"/>
        <v>53732.53</v>
      </c>
      <c r="AK82" s="1093">
        <f t="shared" si="85"/>
        <v>12359.31</v>
      </c>
      <c r="AL82" s="1093">
        <f t="shared" si="86"/>
        <v>4161.7299999999996</v>
      </c>
      <c r="AM82" s="1093">
        <f t="shared" si="87"/>
        <v>1879.25</v>
      </c>
      <c r="AN82" s="1093">
        <f t="shared" si="88"/>
        <v>55439.7</v>
      </c>
      <c r="AO82" s="1093">
        <f t="shared" si="89"/>
        <v>8729.7699999999986</v>
      </c>
    </row>
    <row r="83" spans="1:41">
      <c r="A83" s="2" t="s">
        <v>8</v>
      </c>
      <c r="B83" s="20">
        <f t="shared" ref="B83:N83" si="98">B13+B48</f>
        <v>0</v>
      </c>
      <c r="C83" s="20">
        <f t="shared" si="98"/>
        <v>0</v>
      </c>
      <c r="D83" s="20">
        <f t="shared" si="98"/>
        <v>0</v>
      </c>
      <c r="E83" s="20">
        <f t="shared" si="98"/>
        <v>0</v>
      </c>
      <c r="F83" s="20">
        <f t="shared" si="98"/>
        <v>0</v>
      </c>
      <c r="G83" s="20">
        <f t="shared" si="98"/>
        <v>0</v>
      </c>
      <c r="H83" s="20">
        <f t="shared" si="98"/>
        <v>0</v>
      </c>
      <c r="I83" s="20">
        <f t="shared" si="98"/>
        <v>0</v>
      </c>
      <c r="J83" s="20">
        <f t="shared" si="98"/>
        <v>0</v>
      </c>
      <c r="K83" s="20">
        <f t="shared" si="98"/>
        <v>0</v>
      </c>
      <c r="L83" s="20">
        <f t="shared" si="98"/>
        <v>0</v>
      </c>
      <c r="M83" s="20">
        <f t="shared" si="98"/>
        <v>0</v>
      </c>
      <c r="N83" s="20">
        <f t="shared" si="98"/>
        <v>0</v>
      </c>
      <c r="O83" s="10">
        <f t="shared" si="83"/>
        <v>0</v>
      </c>
      <c r="R83" s="2" t="s">
        <v>95</v>
      </c>
      <c r="S83" s="20">
        <v>65334.15</v>
      </c>
      <c r="T83" s="20">
        <v>19007.82</v>
      </c>
      <c r="U83" s="20">
        <v>8223.52</v>
      </c>
      <c r="V83" s="20">
        <v>4864.29</v>
      </c>
      <c r="W83" s="20">
        <v>138011.54999999999</v>
      </c>
      <c r="X83" s="20">
        <v>1469.25</v>
      </c>
      <c r="Y83" s="20">
        <v>3754.9</v>
      </c>
      <c r="Z83" s="20">
        <v>5842.62</v>
      </c>
      <c r="AA83" s="20">
        <v>2246.27</v>
      </c>
      <c r="AB83" s="20">
        <v>97.95</v>
      </c>
      <c r="AC83" s="20"/>
      <c r="AD83" s="20"/>
      <c r="AE83" s="20">
        <v>114.28</v>
      </c>
      <c r="AF83" s="20"/>
      <c r="AG83" s="20"/>
      <c r="AH83" s="20"/>
      <c r="AI83" s="10">
        <f t="shared" si="91"/>
        <v>248966.59999999998</v>
      </c>
      <c r="AJ83" s="1093">
        <f t="shared" si="84"/>
        <v>65334.15</v>
      </c>
      <c r="AK83" s="1093">
        <f t="shared" si="85"/>
        <v>19007.82</v>
      </c>
      <c r="AL83" s="1093">
        <f t="shared" si="86"/>
        <v>8223.52</v>
      </c>
      <c r="AM83" s="1093">
        <f t="shared" si="87"/>
        <v>4864.29</v>
      </c>
      <c r="AN83" s="1093">
        <f t="shared" si="88"/>
        <v>138011.54999999999</v>
      </c>
      <c r="AO83" s="1093">
        <f t="shared" si="89"/>
        <v>13525.270000000002</v>
      </c>
    </row>
    <row r="84" spans="1:41">
      <c r="A84" s="2" t="s">
        <v>9</v>
      </c>
      <c r="B84" s="20">
        <f t="shared" ref="B84:N84" si="99">B14+B49</f>
        <v>0</v>
      </c>
      <c r="C84" s="20">
        <f t="shared" si="99"/>
        <v>0</v>
      </c>
      <c r="D84" s="20">
        <f t="shared" si="99"/>
        <v>0</v>
      </c>
      <c r="E84" s="20">
        <f t="shared" si="99"/>
        <v>0</v>
      </c>
      <c r="F84" s="20">
        <f t="shared" si="99"/>
        <v>0</v>
      </c>
      <c r="G84" s="20">
        <f t="shared" si="99"/>
        <v>0</v>
      </c>
      <c r="H84" s="20">
        <f t="shared" si="99"/>
        <v>0</v>
      </c>
      <c r="I84" s="20">
        <f t="shared" si="99"/>
        <v>0</v>
      </c>
      <c r="J84" s="20">
        <f t="shared" si="99"/>
        <v>0</v>
      </c>
      <c r="K84" s="20">
        <f t="shared" si="99"/>
        <v>0</v>
      </c>
      <c r="L84" s="20">
        <f t="shared" si="99"/>
        <v>0</v>
      </c>
      <c r="M84" s="20">
        <f t="shared" si="99"/>
        <v>0</v>
      </c>
      <c r="N84" s="20">
        <f t="shared" si="99"/>
        <v>0</v>
      </c>
      <c r="O84" s="10">
        <f t="shared" si="83"/>
        <v>0</v>
      </c>
      <c r="R84" s="2" t="s">
        <v>96</v>
      </c>
      <c r="S84" s="20">
        <v>20492.12</v>
      </c>
      <c r="T84" s="20">
        <v>14353.48</v>
      </c>
      <c r="U84" s="20">
        <v>399.98</v>
      </c>
      <c r="V84" s="20">
        <v>236.28</v>
      </c>
      <c r="W84" s="20">
        <v>18316.650000000001</v>
      </c>
      <c r="X84" s="20">
        <v>587.70000000000005</v>
      </c>
      <c r="Y84" s="20">
        <v>2444.85</v>
      </c>
      <c r="Z84" s="20"/>
      <c r="AA84" s="20">
        <v>1139.92</v>
      </c>
      <c r="AB84" s="20">
        <v>979.5</v>
      </c>
      <c r="AC84" s="20"/>
      <c r="AD84" s="20"/>
      <c r="AE84" s="20"/>
      <c r="AF84" s="20"/>
      <c r="AG84" s="20"/>
      <c r="AH84" s="20"/>
      <c r="AI84" s="10">
        <f t="shared" si="91"/>
        <v>58950.479999999996</v>
      </c>
      <c r="AJ84" s="1093">
        <f t="shared" si="84"/>
        <v>20492.12</v>
      </c>
      <c r="AK84" s="1093">
        <f t="shared" si="85"/>
        <v>14353.48</v>
      </c>
      <c r="AL84" s="1093">
        <f t="shared" si="86"/>
        <v>399.98</v>
      </c>
      <c r="AM84" s="1093">
        <f t="shared" si="87"/>
        <v>236.28</v>
      </c>
      <c r="AN84" s="1093">
        <f t="shared" si="88"/>
        <v>18316.650000000001</v>
      </c>
      <c r="AO84" s="1093">
        <f t="shared" si="89"/>
        <v>5151.97</v>
      </c>
    </row>
    <row r="85" spans="1:41">
      <c r="A85" s="2" t="s">
        <v>10</v>
      </c>
      <c r="B85" s="20">
        <f t="shared" ref="B85:N85" si="100">B15+B50</f>
        <v>0</v>
      </c>
      <c r="C85" s="20">
        <f t="shared" si="100"/>
        <v>0</v>
      </c>
      <c r="D85" s="20">
        <f t="shared" si="100"/>
        <v>0</v>
      </c>
      <c r="E85" s="20">
        <f t="shared" si="100"/>
        <v>0</v>
      </c>
      <c r="F85" s="20">
        <f t="shared" si="100"/>
        <v>0</v>
      </c>
      <c r="G85" s="20">
        <f t="shared" si="100"/>
        <v>0</v>
      </c>
      <c r="H85" s="20">
        <f t="shared" si="100"/>
        <v>0</v>
      </c>
      <c r="I85" s="20">
        <f t="shared" si="100"/>
        <v>0</v>
      </c>
      <c r="J85" s="20">
        <f t="shared" si="100"/>
        <v>0</v>
      </c>
      <c r="K85" s="20">
        <f t="shared" si="100"/>
        <v>0</v>
      </c>
      <c r="L85" s="20">
        <f t="shared" si="100"/>
        <v>0</v>
      </c>
      <c r="M85" s="20">
        <f t="shared" si="100"/>
        <v>0</v>
      </c>
      <c r="N85" s="20">
        <f t="shared" si="100"/>
        <v>0</v>
      </c>
      <c r="O85" s="10">
        <f t="shared" si="83"/>
        <v>0</v>
      </c>
      <c r="R85" s="2" t="s">
        <v>97</v>
      </c>
      <c r="S85" s="20">
        <v>60668.86</v>
      </c>
      <c r="T85" s="20">
        <v>10269.18</v>
      </c>
      <c r="U85" s="20">
        <v>7835.4</v>
      </c>
      <c r="V85" s="20">
        <v>1366.35</v>
      </c>
      <c r="W85" s="20">
        <v>184146</v>
      </c>
      <c r="X85" s="20">
        <v>1371.3</v>
      </c>
      <c r="Y85" s="20">
        <v>1781.69</v>
      </c>
      <c r="Z85" s="20"/>
      <c r="AA85" s="20">
        <v>988.43</v>
      </c>
      <c r="AB85" s="20">
        <v>391.8</v>
      </c>
      <c r="AC85" s="20"/>
      <c r="AD85" s="20"/>
      <c r="AE85" s="20">
        <v>57.14</v>
      </c>
      <c r="AF85" s="20"/>
      <c r="AG85" s="20"/>
      <c r="AH85" s="20"/>
      <c r="AI85" s="10">
        <f t="shared" si="91"/>
        <v>268876.15000000002</v>
      </c>
      <c r="AJ85" s="1093">
        <f t="shared" si="84"/>
        <v>60668.86</v>
      </c>
      <c r="AK85" s="1093">
        <f t="shared" si="85"/>
        <v>10269.18</v>
      </c>
      <c r="AL85" s="1093">
        <f t="shared" si="86"/>
        <v>7835.4</v>
      </c>
      <c r="AM85" s="1093">
        <f t="shared" si="87"/>
        <v>1366.35</v>
      </c>
      <c r="AN85" s="1093">
        <f t="shared" si="88"/>
        <v>184146</v>
      </c>
      <c r="AO85" s="1093">
        <f t="shared" si="89"/>
        <v>4590.3600000000006</v>
      </c>
    </row>
    <row r="86" spans="1:41">
      <c r="A86" s="2" t="s">
        <v>11</v>
      </c>
      <c r="B86" s="20">
        <f t="shared" ref="B86:N86" si="101">B16+B51</f>
        <v>0</v>
      </c>
      <c r="C86" s="20">
        <f t="shared" si="101"/>
        <v>0</v>
      </c>
      <c r="D86" s="20">
        <f t="shared" si="101"/>
        <v>0</v>
      </c>
      <c r="E86" s="20">
        <f t="shared" si="101"/>
        <v>0</v>
      </c>
      <c r="F86" s="20">
        <f t="shared" si="101"/>
        <v>0</v>
      </c>
      <c r="G86" s="20">
        <f t="shared" si="101"/>
        <v>0</v>
      </c>
      <c r="H86" s="20">
        <f t="shared" si="101"/>
        <v>0</v>
      </c>
      <c r="I86" s="20">
        <f t="shared" si="101"/>
        <v>0</v>
      </c>
      <c r="J86" s="20">
        <f t="shared" si="101"/>
        <v>0</v>
      </c>
      <c r="K86" s="20">
        <f t="shared" si="101"/>
        <v>0</v>
      </c>
      <c r="L86" s="20">
        <f t="shared" si="101"/>
        <v>0</v>
      </c>
      <c r="M86" s="20">
        <f t="shared" si="101"/>
        <v>0</v>
      </c>
      <c r="N86" s="20">
        <f t="shared" si="101"/>
        <v>0</v>
      </c>
      <c r="O86" s="10">
        <f t="shared" si="83"/>
        <v>0</v>
      </c>
      <c r="R86" s="2" t="s">
        <v>98</v>
      </c>
      <c r="S86" s="20">
        <v>43970.07</v>
      </c>
      <c r="T86" s="20">
        <v>15051.54</v>
      </c>
      <c r="U86" s="20">
        <v>6992.99</v>
      </c>
      <c r="V86" s="20">
        <v>2445.73</v>
      </c>
      <c r="W86" s="20">
        <v>116364.6</v>
      </c>
      <c r="X86" s="20">
        <v>2350.8000000000002</v>
      </c>
      <c r="Y86" s="20">
        <v>3641.77</v>
      </c>
      <c r="Z86" s="20">
        <v>291.25</v>
      </c>
      <c r="AA86" s="20">
        <v>1914.48</v>
      </c>
      <c r="AB86" s="20">
        <v>1077.45</v>
      </c>
      <c r="AC86" s="20"/>
      <c r="AD86" s="20">
        <v>1092.3900000000001</v>
      </c>
      <c r="AE86" s="20">
        <v>28.57</v>
      </c>
      <c r="AF86" s="20"/>
      <c r="AG86" s="20">
        <v>16.13</v>
      </c>
      <c r="AH86" s="20"/>
      <c r="AI86" s="10">
        <f t="shared" si="91"/>
        <v>195237.77000000002</v>
      </c>
      <c r="AJ86" s="1093">
        <f t="shared" si="84"/>
        <v>43970.07</v>
      </c>
      <c r="AK86" s="1093">
        <f t="shared" si="85"/>
        <v>15051.54</v>
      </c>
      <c r="AL86" s="1093">
        <f t="shared" si="86"/>
        <v>6992.99</v>
      </c>
      <c r="AM86" s="1093">
        <f t="shared" si="87"/>
        <v>2445.73</v>
      </c>
      <c r="AN86" s="1093">
        <f t="shared" si="88"/>
        <v>116364.6</v>
      </c>
      <c r="AO86" s="1093">
        <f t="shared" si="89"/>
        <v>10412.839999999998</v>
      </c>
    </row>
    <row r="87" spans="1:41">
      <c r="A87" s="2" t="s">
        <v>12</v>
      </c>
      <c r="B87" s="20">
        <f t="shared" ref="B87:N87" si="102">B17+B52</f>
        <v>0</v>
      </c>
      <c r="C87" s="20">
        <f t="shared" si="102"/>
        <v>0</v>
      </c>
      <c r="D87" s="20">
        <f t="shared" si="102"/>
        <v>0</v>
      </c>
      <c r="E87" s="20">
        <f t="shared" si="102"/>
        <v>0</v>
      </c>
      <c r="F87" s="20">
        <f t="shared" si="102"/>
        <v>0</v>
      </c>
      <c r="G87" s="20">
        <f t="shared" si="102"/>
        <v>0</v>
      </c>
      <c r="H87" s="20">
        <f t="shared" si="102"/>
        <v>0</v>
      </c>
      <c r="I87" s="20">
        <f t="shared" si="102"/>
        <v>0</v>
      </c>
      <c r="J87" s="20">
        <f t="shared" si="102"/>
        <v>0</v>
      </c>
      <c r="K87" s="20">
        <f t="shared" si="102"/>
        <v>0</v>
      </c>
      <c r="L87" s="20">
        <f t="shared" si="102"/>
        <v>0</v>
      </c>
      <c r="M87" s="20">
        <f t="shared" si="102"/>
        <v>0</v>
      </c>
      <c r="N87" s="20">
        <f t="shared" si="102"/>
        <v>0</v>
      </c>
      <c r="O87" s="10">
        <f t="shared" si="83"/>
        <v>0</v>
      </c>
      <c r="R87" s="2" t="s">
        <v>99</v>
      </c>
      <c r="S87" s="20">
        <v>200200.95999999999</v>
      </c>
      <c r="T87" s="20">
        <v>105304.98</v>
      </c>
      <c r="U87" s="20">
        <v>17695.310000000001</v>
      </c>
      <c r="V87" s="20">
        <v>12364.97</v>
      </c>
      <c r="W87" s="20">
        <v>242230.35</v>
      </c>
      <c r="X87" s="20">
        <v>3036.45</v>
      </c>
      <c r="Y87" s="20">
        <v>20056.419999999998</v>
      </c>
      <c r="Z87" s="20"/>
      <c r="AA87" s="20">
        <v>10616.37</v>
      </c>
      <c r="AB87" s="20">
        <v>1469.25</v>
      </c>
      <c r="AC87" s="20"/>
      <c r="AD87" s="20">
        <v>2285.64</v>
      </c>
      <c r="AE87" s="20">
        <v>199.99</v>
      </c>
      <c r="AF87" s="20"/>
      <c r="AG87" s="20"/>
      <c r="AH87" s="20"/>
      <c r="AI87" s="10">
        <f t="shared" si="91"/>
        <v>615460.68999999994</v>
      </c>
      <c r="AJ87" s="1093">
        <f t="shared" si="84"/>
        <v>200200.95999999999</v>
      </c>
      <c r="AK87" s="1093">
        <f t="shared" si="85"/>
        <v>105304.98</v>
      </c>
      <c r="AL87" s="1093">
        <f t="shared" si="86"/>
        <v>17695.310000000001</v>
      </c>
      <c r="AM87" s="1093">
        <f t="shared" si="87"/>
        <v>12364.97</v>
      </c>
      <c r="AN87" s="1093">
        <f t="shared" si="88"/>
        <v>242230.35</v>
      </c>
      <c r="AO87" s="1093">
        <f t="shared" si="89"/>
        <v>37664.119999999995</v>
      </c>
    </row>
    <row r="88" spans="1:41">
      <c r="A88" s="2" t="s">
        <v>15</v>
      </c>
      <c r="B88" s="20">
        <f t="shared" ref="B88:N88" si="103">B18+B53</f>
        <v>0</v>
      </c>
      <c r="C88" s="20">
        <f t="shared" si="103"/>
        <v>0</v>
      </c>
      <c r="D88" s="20">
        <f t="shared" si="103"/>
        <v>0</v>
      </c>
      <c r="E88" s="20">
        <f t="shared" si="103"/>
        <v>0</v>
      </c>
      <c r="F88" s="20">
        <f t="shared" si="103"/>
        <v>0</v>
      </c>
      <c r="G88" s="20">
        <f t="shared" si="103"/>
        <v>0</v>
      </c>
      <c r="H88" s="20">
        <f t="shared" si="103"/>
        <v>0</v>
      </c>
      <c r="I88" s="20">
        <f t="shared" si="103"/>
        <v>0</v>
      </c>
      <c r="J88" s="20">
        <f t="shared" si="103"/>
        <v>0</v>
      </c>
      <c r="K88" s="20">
        <f t="shared" si="103"/>
        <v>0</v>
      </c>
      <c r="L88" s="20">
        <f t="shared" si="103"/>
        <v>0</v>
      </c>
      <c r="M88" s="20">
        <f t="shared" si="103"/>
        <v>0</v>
      </c>
      <c r="N88" s="20">
        <f t="shared" si="103"/>
        <v>0</v>
      </c>
      <c r="O88" s="10">
        <f t="shared" si="83"/>
        <v>0</v>
      </c>
      <c r="R88" s="2" t="s">
        <v>100</v>
      </c>
      <c r="S88" s="20">
        <v>32442.02</v>
      </c>
      <c r="T88" s="20">
        <v>23038.91</v>
      </c>
      <c r="U88" s="20">
        <v>1771.37</v>
      </c>
      <c r="V88" s="20">
        <v>324.02999999999997</v>
      </c>
      <c r="W88" s="20">
        <v>36339.449999999997</v>
      </c>
      <c r="X88" s="20">
        <v>195.9</v>
      </c>
      <c r="Y88" s="20">
        <v>4053.99</v>
      </c>
      <c r="Z88" s="20"/>
      <c r="AA88" s="20">
        <v>1580.52</v>
      </c>
      <c r="AB88" s="20">
        <v>685.65</v>
      </c>
      <c r="AC88" s="20"/>
      <c r="AD88" s="20"/>
      <c r="AE88" s="20">
        <v>57.14</v>
      </c>
      <c r="AF88" s="20"/>
      <c r="AG88" s="20"/>
      <c r="AH88" s="20"/>
      <c r="AI88" s="10">
        <f t="shared" si="91"/>
        <v>100488.98</v>
      </c>
      <c r="AJ88" s="1093">
        <f t="shared" si="84"/>
        <v>32442.02</v>
      </c>
      <c r="AK88" s="1093">
        <f t="shared" si="85"/>
        <v>23038.91</v>
      </c>
      <c r="AL88" s="1093">
        <f t="shared" si="86"/>
        <v>1771.37</v>
      </c>
      <c r="AM88" s="1093">
        <f t="shared" si="87"/>
        <v>324.02999999999997</v>
      </c>
      <c r="AN88" s="1093">
        <f t="shared" si="88"/>
        <v>36339.449999999997</v>
      </c>
      <c r="AO88" s="1093">
        <f t="shared" si="89"/>
        <v>6573.2</v>
      </c>
    </row>
    <row r="89" spans="1:41">
      <c r="A89" s="2" t="s">
        <v>14</v>
      </c>
      <c r="B89" s="20">
        <f t="shared" ref="B89:N89" si="104">B19+B54</f>
        <v>0</v>
      </c>
      <c r="C89" s="20">
        <f t="shared" si="104"/>
        <v>0</v>
      </c>
      <c r="D89" s="20">
        <f t="shared" si="104"/>
        <v>0</v>
      </c>
      <c r="E89" s="20">
        <f t="shared" si="104"/>
        <v>0</v>
      </c>
      <c r="F89" s="20">
        <f t="shared" si="104"/>
        <v>0</v>
      </c>
      <c r="G89" s="20">
        <f t="shared" si="104"/>
        <v>0</v>
      </c>
      <c r="H89" s="20">
        <f t="shared" si="104"/>
        <v>0</v>
      </c>
      <c r="I89" s="20">
        <f t="shared" si="104"/>
        <v>0</v>
      </c>
      <c r="J89" s="20">
        <f t="shared" si="104"/>
        <v>0</v>
      </c>
      <c r="K89" s="20">
        <f t="shared" si="104"/>
        <v>0</v>
      </c>
      <c r="L89" s="20">
        <f t="shared" si="104"/>
        <v>0</v>
      </c>
      <c r="M89" s="20">
        <f t="shared" si="104"/>
        <v>0</v>
      </c>
      <c r="N89" s="20">
        <f t="shared" si="104"/>
        <v>0</v>
      </c>
      <c r="O89" s="10">
        <f t="shared" si="83"/>
        <v>0</v>
      </c>
      <c r="R89" s="2" t="s">
        <v>101</v>
      </c>
      <c r="S89" s="20">
        <v>32530.23</v>
      </c>
      <c r="T89" s="20">
        <v>20656.52</v>
      </c>
      <c r="U89" s="20">
        <v>2577.6799999999998</v>
      </c>
      <c r="V89" s="20">
        <v>772.88</v>
      </c>
      <c r="W89" s="20">
        <v>35262</v>
      </c>
      <c r="X89" s="20">
        <v>293.85000000000002</v>
      </c>
      <c r="Y89" s="20">
        <v>3394.9</v>
      </c>
      <c r="Z89" s="20"/>
      <c r="AA89" s="20">
        <v>1988.88</v>
      </c>
      <c r="AB89" s="20">
        <v>391.8</v>
      </c>
      <c r="AC89" s="20"/>
      <c r="AD89" s="20"/>
      <c r="AE89" s="20">
        <v>57.14</v>
      </c>
      <c r="AF89" s="20"/>
      <c r="AG89" s="20"/>
      <c r="AH89" s="20">
        <v>145.9</v>
      </c>
      <c r="AI89" s="10">
        <f t="shared" si="91"/>
        <v>98071.78</v>
      </c>
      <c r="AJ89" s="1093">
        <f t="shared" si="84"/>
        <v>32530.23</v>
      </c>
      <c r="AK89" s="1093">
        <f t="shared" si="85"/>
        <v>20656.52</v>
      </c>
      <c r="AL89" s="1093">
        <f t="shared" si="86"/>
        <v>2577.6799999999998</v>
      </c>
      <c r="AM89" s="1093">
        <f t="shared" si="87"/>
        <v>772.88</v>
      </c>
      <c r="AN89" s="1093">
        <f t="shared" si="88"/>
        <v>35262</v>
      </c>
      <c r="AO89" s="1093">
        <f t="shared" si="89"/>
        <v>6272.47</v>
      </c>
    </row>
    <row r="90" spans="1:41">
      <c r="A90" s="2" t="s">
        <v>13</v>
      </c>
      <c r="B90" s="20">
        <f t="shared" ref="B90:N90" si="105">B20+B55</f>
        <v>0</v>
      </c>
      <c r="C90" s="20">
        <f t="shared" si="105"/>
        <v>0</v>
      </c>
      <c r="D90" s="20">
        <f t="shared" si="105"/>
        <v>0</v>
      </c>
      <c r="E90" s="20">
        <f t="shared" si="105"/>
        <v>0</v>
      </c>
      <c r="F90" s="20">
        <f t="shared" si="105"/>
        <v>0</v>
      </c>
      <c r="G90" s="20">
        <f t="shared" si="105"/>
        <v>0</v>
      </c>
      <c r="H90" s="20">
        <f t="shared" si="105"/>
        <v>0</v>
      </c>
      <c r="I90" s="20">
        <f t="shared" si="105"/>
        <v>0</v>
      </c>
      <c r="J90" s="20">
        <f t="shared" si="105"/>
        <v>0</v>
      </c>
      <c r="K90" s="20">
        <f t="shared" si="105"/>
        <v>0</v>
      </c>
      <c r="L90" s="20">
        <f t="shared" si="105"/>
        <v>0</v>
      </c>
      <c r="M90" s="20">
        <f t="shared" si="105"/>
        <v>0</v>
      </c>
      <c r="N90" s="20">
        <f t="shared" si="105"/>
        <v>0</v>
      </c>
      <c r="O90" s="10">
        <f t="shared" si="83"/>
        <v>0</v>
      </c>
      <c r="R90" s="2" t="s">
        <v>102</v>
      </c>
      <c r="S90" s="20">
        <v>187466.13</v>
      </c>
      <c r="T90" s="20">
        <v>77358.070000000007</v>
      </c>
      <c r="U90" s="20">
        <v>40591.22</v>
      </c>
      <c r="V90" s="20">
        <v>22173.8</v>
      </c>
      <c r="W90" s="20">
        <v>364080.15</v>
      </c>
      <c r="X90" s="20">
        <v>6366.75</v>
      </c>
      <c r="Y90" s="20">
        <v>13651.72</v>
      </c>
      <c r="Z90" s="20"/>
      <c r="AA90" s="20">
        <v>9443.73</v>
      </c>
      <c r="AB90" s="20">
        <v>2644.65</v>
      </c>
      <c r="AC90" s="20"/>
      <c r="AD90" s="20"/>
      <c r="AE90" s="20">
        <v>28.57</v>
      </c>
      <c r="AF90" s="20"/>
      <c r="AG90" s="20"/>
      <c r="AH90" s="20"/>
      <c r="AI90" s="10">
        <f t="shared" si="91"/>
        <v>723804.79</v>
      </c>
      <c r="AJ90" s="1093">
        <f t="shared" si="84"/>
        <v>187466.13</v>
      </c>
      <c r="AK90" s="1093">
        <f t="shared" si="85"/>
        <v>77358.070000000007</v>
      </c>
      <c r="AL90" s="1093">
        <f t="shared" si="86"/>
        <v>40591.22</v>
      </c>
      <c r="AM90" s="1093">
        <f t="shared" si="87"/>
        <v>22173.8</v>
      </c>
      <c r="AN90" s="1093">
        <f t="shared" si="88"/>
        <v>364080.15</v>
      </c>
      <c r="AO90" s="1093">
        <f t="shared" si="89"/>
        <v>32135.420000000002</v>
      </c>
    </row>
    <row r="91" spans="1:41">
      <c r="A91" s="2" t="s">
        <v>16</v>
      </c>
      <c r="B91" s="20">
        <f t="shared" ref="B91:N91" si="106">B21+B56</f>
        <v>0</v>
      </c>
      <c r="C91" s="20">
        <f t="shared" si="106"/>
        <v>0</v>
      </c>
      <c r="D91" s="20">
        <f t="shared" si="106"/>
        <v>0</v>
      </c>
      <c r="E91" s="20">
        <f t="shared" si="106"/>
        <v>0</v>
      </c>
      <c r="F91" s="20">
        <f t="shared" si="106"/>
        <v>0</v>
      </c>
      <c r="G91" s="20">
        <f t="shared" si="106"/>
        <v>0</v>
      </c>
      <c r="H91" s="20">
        <f t="shared" si="106"/>
        <v>0</v>
      </c>
      <c r="I91" s="20">
        <f t="shared" si="106"/>
        <v>0</v>
      </c>
      <c r="J91" s="20">
        <f t="shared" si="106"/>
        <v>0</v>
      </c>
      <c r="K91" s="20">
        <f t="shared" si="106"/>
        <v>0</v>
      </c>
      <c r="L91" s="20">
        <f t="shared" si="106"/>
        <v>0</v>
      </c>
      <c r="M91" s="20">
        <f t="shared" si="106"/>
        <v>0</v>
      </c>
      <c r="N91" s="20">
        <f t="shared" si="106"/>
        <v>0</v>
      </c>
      <c r="O91" s="10">
        <f t="shared" si="83"/>
        <v>0</v>
      </c>
      <c r="R91" s="2" t="s">
        <v>103</v>
      </c>
      <c r="S91" s="20">
        <v>57939.41</v>
      </c>
      <c r="T91" s="20">
        <v>21740.17</v>
      </c>
      <c r="U91" s="20">
        <v>6837.82</v>
      </c>
      <c r="V91" s="20">
        <v>933.13</v>
      </c>
      <c r="W91" s="20">
        <v>53088.9</v>
      </c>
      <c r="X91" s="20">
        <v>1371.3</v>
      </c>
      <c r="Y91" s="20">
        <v>3430.58</v>
      </c>
      <c r="Z91" s="20"/>
      <c r="AA91" s="20">
        <v>3541.33</v>
      </c>
      <c r="AB91" s="20">
        <v>97.95</v>
      </c>
      <c r="AC91" s="20"/>
      <c r="AD91" s="20"/>
      <c r="AE91" s="111">
        <v>85.71</v>
      </c>
      <c r="AF91" s="20"/>
      <c r="AG91" s="20"/>
      <c r="AH91" s="20"/>
      <c r="AI91" s="10">
        <f t="shared" si="91"/>
        <v>149066.29999999996</v>
      </c>
      <c r="AJ91" s="1093">
        <f t="shared" si="84"/>
        <v>57939.41</v>
      </c>
      <c r="AK91" s="1093">
        <f t="shared" si="85"/>
        <v>21740.17</v>
      </c>
      <c r="AL91" s="1093">
        <f t="shared" si="86"/>
        <v>6837.82</v>
      </c>
      <c r="AM91" s="1093">
        <f t="shared" si="87"/>
        <v>933.13</v>
      </c>
      <c r="AN91" s="1093">
        <f t="shared" si="88"/>
        <v>53088.9</v>
      </c>
      <c r="AO91" s="1093">
        <f t="shared" si="89"/>
        <v>8526.869999999999</v>
      </c>
    </row>
    <row r="92" spans="1:41">
      <c r="A92" s="2" t="s">
        <v>17</v>
      </c>
      <c r="B92" s="20">
        <f t="shared" ref="B92:N92" si="107">B22+B57</f>
        <v>0</v>
      </c>
      <c r="C92" s="20">
        <f t="shared" si="107"/>
        <v>0</v>
      </c>
      <c r="D92" s="20">
        <f t="shared" si="107"/>
        <v>0</v>
      </c>
      <c r="E92" s="20">
        <f t="shared" si="107"/>
        <v>0</v>
      </c>
      <c r="F92" s="20">
        <f t="shared" si="107"/>
        <v>0</v>
      </c>
      <c r="G92" s="20">
        <f t="shared" si="107"/>
        <v>0</v>
      </c>
      <c r="H92" s="20">
        <f t="shared" si="107"/>
        <v>0</v>
      </c>
      <c r="I92" s="20">
        <f t="shared" si="107"/>
        <v>0</v>
      </c>
      <c r="J92" s="20">
        <f t="shared" si="107"/>
        <v>0</v>
      </c>
      <c r="K92" s="20">
        <f t="shared" si="107"/>
        <v>0</v>
      </c>
      <c r="L92" s="20">
        <f t="shared" si="107"/>
        <v>0</v>
      </c>
      <c r="M92" s="20">
        <f t="shared" si="107"/>
        <v>0</v>
      </c>
      <c r="N92" s="20">
        <f t="shared" si="107"/>
        <v>0</v>
      </c>
      <c r="O92" s="10">
        <f t="shared" si="83"/>
        <v>0</v>
      </c>
      <c r="R92" s="2" t="s">
        <v>104</v>
      </c>
      <c r="S92" s="20">
        <v>15376.63</v>
      </c>
      <c r="T92" s="20">
        <v>4058.63</v>
      </c>
      <c r="U92" s="20">
        <v>1142.81</v>
      </c>
      <c r="V92" s="20">
        <v>270.95</v>
      </c>
      <c r="W92" s="20">
        <v>15965.85</v>
      </c>
      <c r="X92" s="20">
        <v>391.8</v>
      </c>
      <c r="Y92" s="20">
        <v>521.41</v>
      </c>
      <c r="Z92" s="20">
        <v>1142.82</v>
      </c>
      <c r="AA92" s="20">
        <v>653.37</v>
      </c>
      <c r="AB92" s="20"/>
      <c r="AC92" s="20"/>
      <c r="AD92" s="20"/>
      <c r="AE92" s="20"/>
      <c r="AF92" s="20"/>
      <c r="AG92" s="20"/>
      <c r="AH92" s="20"/>
      <c r="AI92" s="10">
        <f t="shared" si="91"/>
        <v>39524.270000000011</v>
      </c>
      <c r="AJ92" s="1093">
        <f t="shared" si="84"/>
        <v>15376.63</v>
      </c>
      <c r="AK92" s="1093">
        <f t="shared" si="85"/>
        <v>4058.63</v>
      </c>
      <c r="AL92" s="1093">
        <f t="shared" si="86"/>
        <v>1142.81</v>
      </c>
      <c r="AM92" s="1093">
        <f t="shared" si="87"/>
        <v>270.95</v>
      </c>
      <c r="AN92" s="1093">
        <f t="shared" si="88"/>
        <v>15965.85</v>
      </c>
      <c r="AO92" s="1093">
        <f t="shared" si="89"/>
        <v>2709.3999999999996</v>
      </c>
    </row>
    <row r="93" spans="1:41">
      <c r="A93" s="2" t="s">
        <v>18</v>
      </c>
      <c r="B93" s="20">
        <f t="shared" ref="B93:N93" si="108">B23+B58</f>
        <v>0</v>
      </c>
      <c r="C93" s="20">
        <f t="shared" si="108"/>
        <v>0</v>
      </c>
      <c r="D93" s="20">
        <f t="shared" si="108"/>
        <v>0</v>
      </c>
      <c r="E93" s="20">
        <f t="shared" si="108"/>
        <v>0</v>
      </c>
      <c r="F93" s="20">
        <f t="shared" si="108"/>
        <v>0</v>
      </c>
      <c r="G93" s="20">
        <f t="shared" si="108"/>
        <v>0</v>
      </c>
      <c r="H93" s="20">
        <f t="shared" si="108"/>
        <v>0</v>
      </c>
      <c r="I93" s="20">
        <f t="shared" si="108"/>
        <v>0</v>
      </c>
      <c r="J93" s="20">
        <f t="shared" si="108"/>
        <v>0</v>
      </c>
      <c r="K93" s="20">
        <f t="shared" si="108"/>
        <v>0</v>
      </c>
      <c r="L93" s="20">
        <f t="shared" si="108"/>
        <v>0</v>
      </c>
      <c r="M93" s="20">
        <f t="shared" si="108"/>
        <v>0</v>
      </c>
      <c r="N93" s="20">
        <f t="shared" si="108"/>
        <v>0</v>
      </c>
      <c r="O93" s="10">
        <f t="shared" si="83"/>
        <v>0</v>
      </c>
      <c r="R93" s="2" t="s">
        <v>105</v>
      </c>
      <c r="S93" s="20">
        <v>207984.04</v>
      </c>
      <c r="T93" s="20">
        <v>69475.13</v>
      </c>
      <c r="U93" s="20">
        <v>29171.06</v>
      </c>
      <c r="V93" s="20">
        <v>10231</v>
      </c>
      <c r="W93" s="20">
        <v>154561.91</v>
      </c>
      <c r="X93" s="20">
        <v>13125.3</v>
      </c>
      <c r="Y93" s="20">
        <v>16259.03</v>
      </c>
      <c r="Z93" s="20">
        <v>1918.2</v>
      </c>
      <c r="AA93" s="20">
        <v>6672.62</v>
      </c>
      <c r="AB93" s="20">
        <v>783.6</v>
      </c>
      <c r="AC93" s="20">
        <v>391.8</v>
      </c>
      <c r="AD93" s="20"/>
      <c r="AE93" s="20">
        <v>257.13</v>
      </c>
      <c r="AF93" s="20"/>
      <c r="AG93" s="20"/>
      <c r="AH93" s="20"/>
      <c r="AI93" s="10">
        <f t="shared" si="91"/>
        <v>510830.82</v>
      </c>
      <c r="AJ93" s="1093">
        <f t="shared" si="84"/>
        <v>207984.04</v>
      </c>
      <c r="AK93" s="1093">
        <f t="shared" si="85"/>
        <v>69475.13</v>
      </c>
      <c r="AL93" s="1093">
        <f t="shared" si="86"/>
        <v>29171.06</v>
      </c>
      <c r="AM93" s="1093">
        <f t="shared" si="87"/>
        <v>10231</v>
      </c>
      <c r="AN93" s="1093">
        <f t="shared" si="88"/>
        <v>154561.91</v>
      </c>
      <c r="AO93" s="1093">
        <f t="shared" si="89"/>
        <v>39407.68</v>
      </c>
    </row>
    <row r="94" spans="1:41">
      <c r="A94" s="2" t="s">
        <v>20</v>
      </c>
      <c r="B94" s="20">
        <f t="shared" ref="B94:N94" si="109">B24+B59</f>
        <v>0</v>
      </c>
      <c r="C94" s="20">
        <f t="shared" si="109"/>
        <v>0</v>
      </c>
      <c r="D94" s="20">
        <f t="shared" si="109"/>
        <v>0</v>
      </c>
      <c r="E94" s="20">
        <f t="shared" si="109"/>
        <v>0</v>
      </c>
      <c r="F94" s="20">
        <f t="shared" si="109"/>
        <v>0</v>
      </c>
      <c r="G94" s="20">
        <f t="shared" si="109"/>
        <v>0</v>
      </c>
      <c r="H94" s="20">
        <f t="shared" si="109"/>
        <v>0</v>
      </c>
      <c r="I94" s="20">
        <f t="shared" si="109"/>
        <v>0</v>
      </c>
      <c r="J94" s="20">
        <f t="shared" si="109"/>
        <v>0</v>
      </c>
      <c r="K94" s="20">
        <f t="shared" si="109"/>
        <v>0</v>
      </c>
      <c r="L94" s="20">
        <f t="shared" si="109"/>
        <v>0</v>
      </c>
      <c r="M94" s="20">
        <f t="shared" si="109"/>
        <v>0</v>
      </c>
      <c r="N94" s="20">
        <f t="shared" si="109"/>
        <v>0</v>
      </c>
      <c r="O94" s="10">
        <f t="shared" si="83"/>
        <v>0</v>
      </c>
      <c r="R94" s="2" t="s">
        <v>106</v>
      </c>
      <c r="S94" s="20">
        <v>33710.28</v>
      </c>
      <c r="T94" s="20">
        <v>21658.69</v>
      </c>
      <c r="U94" s="20">
        <v>2415.79</v>
      </c>
      <c r="V94" s="20">
        <v>425.61</v>
      </c>
      <c r="W94" s="20">
        <v>35947.65</v>
      </c>
      <c r="X94" s="20">
        <v>685.65</v>
      </c>
      <c r="Y94" s="20">
        <v>3938.03</v>
      </c>
      <c r="Z94" s="20"/>
      <c r="AA94" s="20">
        <v>2253.12</v>
      </c>
      <c r="AB94" s="20">
        <v>195.9</v>
      </c>
      <c r="AC94" s="20"/>
      <c r="AD94" s="20"/>
      <c r="AE94" s="20">
        <v>57.14</v>
      </c>
      <c r="AF94" s="20"/>
      <c r="AG94" s="20"/>
      <c r="AH94" s="20"/>
      <c r="AI94" s="10">
        <f t="shared" si="91"/>
        <v>101287.85999999999</v>
      </c>
      <c r="AJ94" s="1093">
        <f t="shared" si="84"/>
        <v>33710.28</v>
      </c>
      <c r="AK94" s="1093">
        <f t="shared" si="85"/>
        <v>21658.69</v>
      </c>
      <c r="AL94" s="1093">
        <f t="shared" si="86"/>
        <v>2415.79</v>
      </c>
      <c r="AM94" s="1093">
        <f t="shared" si="87"/>
        <v>425.61</v>
      </c>
      <c r="AN94" s="1093">
        <f t="shared" si="88"/>
        <v>35947.65</v>
      </c>
      <c r="AO94" s="1093">
        <f t="shared" si="89"/>
        <v>7129.84</v>
      </c>
    </row>
    <row r="95" spans="1:41">
      <c r="A95" s="2" t="s">
        <v>19</v>
      </c>
      <c r="B95" s="20">
        <f t="shared" ref="B95:N95" si="110">B25+B60</f>
        <v>0</v>
      </c>
      <c r="C95" s="20">
        <f t="shared" si="110"/>
        <v>0</v>
      </c>
      <c r="D95" s="20">
        <f t="shared" si="110"/>
        <v>0</v>
      </c>
      <c r="E95" s="20">
        <f t="shared" si="110"/>
        <v>0</v>
      </c>
      <c r="F95" s="20">
        <f t="shared" si="110"/>
        <v>0</v>
      </c>
      <c r="G95" s="20">
        <f t="shared" si="110"/>
        <v>0</v>
      </c>
      <c r="H95" s="20">
        <f t="shared" si="110"/>
        <v>0</v>
      </c>
      <c r="I95" s="20">
        <f t="shared" si="110"/>
        <v>0</v>
      </c>
      <c r="J95" s="20">
        <f t="shared" si="110"/>
        <v>0</v>
      </c>
      <c r="K95" s="20">
        <f t="shared" si="110"/>
        <v>0</v>
      </c>
      <c r="L95" s="20">
        <f t="shared" si="110"/>
        <v>0</v>
      </c>
      <c r="M95" s="20">
        <f t="shared" si="110"/>
        <v>0</v>
      </c>
      <c r="N95" s="20">
        <f t="shared" si="110"/>
        <v>0</v>
      </c>
      <c r="O95" s="10">
        <f t="shared" si="83"/>
        <v>0</v>
      </c>
      <c r="R95" s="2" t="s">
        <v>107</v>
      </c>
      <c r="S95" s="20">
        <v>217219.25</v>
      </c>
      <c r="T95" s="20">
        <v>68750.64</v>
      </c>
      <c r="U95" s="20">
        <v>35259.71</v>
      </c>
      <c r="V95" s="20">
        <v>13771.55</v>
      </c>
      <c r="W95" s="20">
        <v>392681.55</v>
      </c>
      <c r="X95" s="20">
        <v>7933.95</v>
      </c>
      <c r="Y95" s="111">
        <v>13607.68</v>
      </c>
      <c r="Z95" s="20">
        <v>273.45999999999998</v>
      </c>
      <c r="AA95" s="20">
        <v>7118.16</v>
      </c>
      <c r="AB95" s="20">
        <v>783.6</v>
      </c>
      <c r="AC95" s="20">
        <v>195.9</v>
      </c>
      <c r="AD95" s="20">
        <v>558.91999999999996</v>
      </c>
      <c r="AE95" s="20">
        <v>85.71</v>
      </c>
      <c r="AF95" s="20"/>
      <c r="AG95" s="20"/>
      <c r="AH95" s="20"/>
      <c r="AI95" s="10">
        <f t="shared" si="91"/>
        <v>758240.08</v>
      </c>
      <c r="AJ95" s="1093">
        <f t="shared" si="84"/>
        <v>217219.25</v>
      </c>
      <c r="AK95" s="1093">
        <f t="shared" si="85"/>
        <v>68750.64</v>
      </c>
      <c r="AL95" s="1093">
        <f t="shared" si="86"/>
        <v>35259.71</v>
      </c>
      <c r="AM95" s="1093">
        <f t="shared" si="87"/>
        <v>13771.55</v>
      </c>
      <c r="AN95" s="1093">
        <f t="shared" si="88"/>
        <v>392681.55</v>
      </c>
      <c r="AO95" s="1093">
        <f t="shared" si="89"/>
        <v>30557.379999999997</v>
      </c>
    </row>
    <row r="96" spans="1:41">
      <c r="A96" s="2" t="s">
        <v>21</v>
      </c>
      <c r="B96" s="20">
        <f t="shared" ref="B96:N96" si="111">B26+B61</f>
        <v>0</v>
      </c>
      <c r="C96" s="20">
        <f t="shared" si="111"/>
        <v>0</v>
      </c>
      <c r="D96" s="20">
        <f t="shared" si="111"/>
        <v>0</v>
      </c>
      <c r="E96" s="20">
        <f t="shared" si="111"/>
        <v>0</v>
      </c>
      <c r="F96" s="20">
        <f t="shared" si="111"/>
        <v>0</v>
      </c>
      <c r="G96" s="20">
        <f t="shared" si="111"/>
        <v>0</v>
      </c>
      <c r="H96" s="20">
        <f t="shared" si="111"/>
        <v>0</v>
      </c>
      <c r="I96" s="20">
        <f t="shared" si="111"/>
        <v>0</v>
      </c>
      <c r="J96" s="20">
        <f t="shared" si="111"/>
        <v>0</v>
      </c>
      <c r="K96" s="20">
        <f t="shared" si="111"/>
        <v>0</v>
      </c>
      <c r="L96" s="20">
        <f t="shared" si="111"/>
        <v>0</v>
      </c>
      <c r="M96" s="20">
        <f t="shared" si="111"/>
        <v>0</v>
      </c>
      <c r="N96" s="20">
        <f t="shared" si="111"/>
        <v>0</v>
      </c>
      <c r="O96" s="10">
        <f t="shared" si="83"/>
        <v>0</v>
      </c>
      <c r="R96" s="2" t="s">
        <v>108</v>
      </c>
      <c r="S96" s="20">
        <v>15556.22</v>
      </c>
      <c r="T96" s="20">
        <v>6523.06</v>
      </c>
      <c r="U96" s="20">
        <v>2790.37</v>
      </c>
      <c r="V96" s="20">
        <v>815.97</v>
      </c>
      <c r="W96" s="20">
        <v>50444.25</v>
      </c>
      <c r="X96" s="20">
        <v>979.5</v>
      </c>
      <c r="Y96" s="20">
        <v>802.47</v>
      </c>
      <c r="Z96" s="20"/>
      <c r="AA96" s="20">
        <v>1238.23</v>
      </c>
      <c r="AB96" s="20">
        <v>685.65</v>
      </c>
      <c r="AC96" s="20"/>
      <c r="AD96" s="20"/>
      <c r="AE96" s="20">
        <v>28.57</v>
      </c>
      <c r="AF96" s="20"/>
      <c r="AG96" s="20"/>
      <c r="AH96" s="20"/>
      <c r="AI96" s="10">
        <f t="shared" si="91"/>
        <v>79864.289999999994</v>
      </c>
      <c r="AJ96" s="1093">
        <f t="shared" si="84"/>
        <v>15556.22</v>
      </c>
      <c r="AK96" s="1093">
        <f t="shared" si="85"/>
        <v>6523.06</v>
      </c>
      <c r="AL96" s="1093">
        <f t="shared" si="86"/>
        <v>2790.37</v>
      </c>
      <c r="AM96" s="1093">
        <f t="shared" si="87"/>
        <v>815.97</v>
      </c>
      <c r="AN96" s="1093">
        <f t="shared" si="88"/>
        <v>50444.25</v>
      </c>
      <c r="AO96" s="1093">
        <f t="shared" si="89"/>
        <v>3734.42</v>
      </c>
    </row>
    <row r="97" spans="1:41">
      <c r="A97" s="2" t="s">
        <v>22</v>
      </c>
      <c r="B97" s="20">
        <f t="shared" ref="B97:N97" si="112">B27+B62</f>
        <v>0</v>
      </c>
      <c r="C97" s="20">
        <f t="shared" si="112"/>
        <v>0</v>
      </c>
      <c r="D97" s="20">
        <f t="shared" si="112"/>
        <v>0</v>
      </c>
      <c r="E97" s="20">
        <f t="shared" si="112"/>
        <v>0</v>
      </c>
      <c r="F97" s="20">
        <f t="shared" si="112"/>
        <v>0</v>
      </c>
      <c r="G97" s="20">
        <f t="shared" si="112"/>
        <v>0</v>
      </c>
      <c r="H97" s="20">
        <f t="shared" si="112"/>
        <v>0</v>
      </c>
      <c r="I97" s="20">
        <f t="shared" si="112"/>
        <v>0</v>
      </c>
      <c r="J97" s="20">
        <f t="shared" si="112"/>
        <v>0</v>
      </c>
      <c r="K97" s="20">
        <f t="shared" si="112"/>
        <v>0</v>
      </c>
      <c r="L97" s="20">
        <f t="shared" si="112"/>
        <v>0</v>
      </c>
      <c r="M97" s="20">
        <f t="shared" si="112"/>
        <v>0</v>
      </c>
      <c r="N97" s="20">
        <f t="shared" si="112"/>
        <v>0</v>
      </c>
      <c r="O97" s="10">
        <f t="shared" si="83"/>
        <v>0</v>
      </c>
      <c r="R97" s="2" t="s">
        <v>109</v>
      </c>
      <c r="S97" s="20">
        <v>1695.19</v>
      </c>
      <c r="T97" s="20"/>
      <c r="U97" s="20"/>
      <c r="V97" s="20"/>
      <c r="W97" s="20">
        <v>5191.3500000000004</v>
      </c>
      <c r="X97" s="20"/>
      <c r="Y97" s="20"/>
      <c r="Z97" s="20"/>
      <c r="AA97" s="20"/>
      <c r="AB97" s="20"/>
      <c r="AC97" s="20"/>
      <c r="AD97" s="20"/>
      <c r="AE97" s="20"/>
      <c r="AF97" s="20"/>
      <c r="AG97" s="20"/>
      <c r="AH97" s="20"/>
      <c r="AI97" s="10">
        <f t="shared" si="91"/>
        <v>6886.5400000000009</v>
      </c>
      <c r="AJ97" s="1093">
        <f t="shared" si="84"/>
        <v>1695.19</v>
      </c>
      <c r="AK97" s="1093">
        <f t="shared" si="85"/>
        <v>0</v>
      </c>
      <c r="AL97" s="1093">
        <f t="shared" si="86"/>
        <v>0</v>
      </c>
      <c r="AM97" s="1093">
        <f t="shared" si="87"/>
        <v>0</v>
      </c>
      <c r="AN97" s="1093">
        <f t="shared" si="88"/>
        <v>5191.3500000000004</v>
      </c>
      <c r="AO97" s="1093">
        <f t="shared" si="89"/>
        <v>0</v>
      </c>
    </row>
    <row r="98" spans="1:41">
      <c r="A98" s="2" t="s">
        <v>23</v>
      </c>
      <c r="B98" s="20">
        <f t="shared" ref="B98:N98" si="113">B28+B63</f>
        <v>0</v>
      </c>
      <c r="C98" s="20">
        <f t="shared" si="113"/>
        <v>0</v>
      </c>
      <c r="D98" s="20">
        <f t="shared" si="113"/>
        <v>0</v>
      </c>
      <c r="E98" s="20">
        <f t="shared" si="113"/>
        <v>0</v>
      </c>
      <c r="F98" s="20">
        <f t="shared" si="113"/>
        <v>0</v>
      </c>
      <c r="G98" s="20">
        <f t="shared" si="113"/>
        <v>0</v>
      </c>
      <c r="H98" s="20">
        <f t="shared" si="113"/>
        <v>0</v>
      </c>
      <c r="I98" s="20">
        <f t="shared" si="113"/>
        <v>0</v>
      </c>
      <c r="J98" s="20">
        <f t="shared" si="113"/>
        <v>0</v>
      </c>
      <c r="K98" s="20">
        <f t="shared" si="113"/>
        <v>0</v>
      </c>
      <c r="L98" s="20">
        <f t="shared" si="113"/>
        <v>0</v>
      </c>
      <c r="M98" s="20">
        <f t="shared" si="113"/>
        <v>0</v>
      </c>
      <c r="N98" s="20">
        <f t="shared" si="113"/>
        <v>0</v>
      </c>
      <c r="O98" s="10">
        <f t="shared" si="83"/>
        <v>0</v>
      </c>
      <c r="R98" s="2" t="s">
        <v>110</v>
      </c>
      <c r="S98" s="20">
        <v>173408.16</v>
      </c>
      <c r="T98" s="20">
        <v>24407.26</v>
      </c>
      <c r="U98" s="20">
        <v>25943.05</v>
      </c>
      <c r="V98" s="20">
        <v>5837.14</v>
      </c>
      <c r="W98" s="20">
        <v>298747.5</v>
      </c>
      <c r="X98" s="20">
        <v>2644.65</v>
      </c>
      <c r="Y98" s="20">
        <v>4136.7700000000004</v>
      </c>
      <c r="Z98" s="20"/>
      <c r="AA98" s="20">
        <v>3772.91</v>
      </c>
      <c r="AB98" s="20">
        <v>1273.3499999999999</v>
      </c>
      <c r="AC98" s="20">
        <v>195.9</v>
      </c>
      <c r="AD98" s="20"/>
      <c r="AE98" s="20">
        <v>57.14</v>
      </c>
      <c r="AF98" s="20"/>
      <c r="AG98" s="20"/>
      <c r="AH98" s="20"/>
      <c r="AI98" s="10">
        <f t="shared" si="91"/>
        <v>540423.83000000007</v>
      </c>
      <c r="AJ98" s="1093">
        <f t="shared" si="84"/>
        <v>173408.16</v>
      </c>
      <c r="AK98" s="1093">
        <f t="shared" si="85"/>
        <v>24407.26</v>
      </c>
      <c r="AL98" s="1093">
        <f t="shared" si="86"/>
        <v>25943.05</v>
      </c>
      <c r="AM98" s="1093">
        <f t="shared" si="87"/>
        <v>5837.14</v>
      </c>
      <c r="AN98" s="1093">
        <f t="shared" si="88"/>
        <v>298747.5</v>
      </c>
      <c r="AO98" s="1093">
        <f t="shared" si="89"/>
        <v>12080.72</v>
      </c>
    </row>
    <row r="99" spans="1:41">
      <c r="A99" s="2" t="s">
        <v>25</v>
      </c>
      <c r="B99" s="20">
        <f t="shared" ref="B99:N99" si="114">B29+B64</f>
        <v>0</v>
      </c>
      <c r="C99" s="20">
        <f t="shared" si="114"/>
        <v>0</v>
      </c>
      <c r="D99" s="20">
        <f t="shared" si="114"/>
        <v>0</v>
      </c>
      <c r="E99" s="20">
        <f t="shared" si="114"/>
        <v>0</v>
      </c>
      <c r="F99" s="20">
        <f t="shared" si="114"/>
        <v>0</v>
      </c>
      <c r="G99" s="20">
        <f t="shared" si="114"/>
        <v>0</v>
      </c>
      <c r="H99" s="20">
        <f t="shared" si="114"/>
        <v>0</v>
      </c>
      <c r="I99" s="20">
        <f t="shared" si="114"/>
        <v>0</v>
      </c>
      <c r="J99" s="20">
        <f t="shared" si="114"/>
        <v>0</v>
      </c>
      <c r="K99" s="20">
        <f t="shared" si="114"/>
        <v>0</v>
      </c>
      <c r="L99" s="20">
        <f t="shared" si="114"/>
        <v>0</v>
      </c>
      <c r="M99" s="20">
        <f t="shared" si="114"/>
        <v>0</v>
      </c>
      <c r="N99" s="20">
        <f t="shared" si="114"/>
        <v>0</v>
      </c>
      <c r="O99" s="10">
        <f t="shared" si="83"/>
        <v>0</v>
      </c>
      <c r="R99" s="2" t="s">
        <v>111</v>
      </c>
      <c r="S99" s="20">
        <v>898902.24</v>
      </c>
      <c r="T99" s="20">
        <v>297472.65000000002</v>
      </c>
      <c r="U99" s="20">
        <v>119736.69</v>
      </c>
      <c r="V99" s="20">
        <v>30981.64</v>
      </c>
      <c r="W99" s="20">
        <v>1259049.3</v>
      </c>
      <c r="X99" s="20">
        <v>16063.8</v>
      </c>
      <c r="Y99" s="20">
        <v>64888.52</v>
      </c>
      <c r="Z99" s="20"/>
      <c r="AA99" s="20">
        <v>27372.91</v>
      </c>
      <c r="AB99" s="20">
        <v>4211.8500000000004</v>
      </c>
      <c r="AC99" s="20">
        <v>391.8</v>
      </c>
      <c r="AD99" s="20"/>
      <c r="AE99" s="20">
        <v>742.82</v>
      </c>
      <c r="AF99" s="20"/>
      <c r="AG99" s="20">
        <v>85.35</v>
      </c>
      <c r="AH99" s="20">
        <v>871.05</v>
      </c>
      <c r="AI99" s="10">
        <f t="shared" si="91"/>
        <v>2720770.6199999996</v>
      </c>
      <c r="AJ99" s="1093">
        <f t="shared" si="84"/>
        <v>898902.24</v>
      </c>
      <c r="AK99" s="1093">
        <f t="shared" si="85"/>
        <v>297472.65000000002</v>
      </c>
      <c r="AL99" s="1093">
        <f t="shared" si="86"/>
        <v>119736.69</v>
      </c>
      <c r="AM99" s="1093">
        <f t="shared" si="87"/>
        <v>30981.64</v>
      </c>
      <c r="AN99" s="1093">
        <f t="shared" si="88"/>
        <v>1259049.3</v>
      </c>
      <c r="AO99" s="1093">
        <f t="shared" si="89"/>
        <v>114628.10000000002</v>
      </c>
    </row>
    <row r="100" spans="1:41">
      <c r="A100" s="2" t="s">
        <v>24</v>
      </c>
      <c r="B100" s="20">
        <f t="shared" ref="B100:N100" si="115">B30+B65</f>
        <v>0</v>
      </c>
      <c r="C100" s="20">
        <f t="shared" si="115"/>
        <v>0</v>
      </c>
      <c r="D100" s="20">
        <f t="shared" si="115"/>
        <v>0</v>
      </c>
      <c r="E100" s="20">
        <f t="shared" si="115"/>
        <v>0</v>
      </c>
      <c r="F100" s="20">
        <f t="shared" si="115"/>
        <v>0</v>
      </c>
      <c r="G100" s="20">
        <f t="shared" si="115"/>
        <v>0</v>
      </c>
      <c r="H100" s="20">
        <f t="shared" si="115"/>
        <v>0</v>
      </c>
      <c r="I100" s="20">
        <f t="shared" si="115"/>
        <v>0</v>
      </c>
      <c r="J100" s="20">
        <f t="shared" si="115"/>
        <v>0</v>
      </c>
      <c r="K100" s="20">
        <f t="shared" si="115"/>
        <v>0</v>
      </c>
      <c r="L100" s="20">
        <f t="shared" si="115"/>
        <v>0</v>
      </c>
      <c r="M100" s="20">
        <f t="shared" si="115"/>
        <v>0</v>
      </c>
      <c r="N100" s="20">
        <f t="shared" si="115"/>
        <v>0</v>
      </c>
      <c r="O100" s="10">
        <f t="shared" si="83"/>
        <v>0</v>
      </c>
      <c r="R100" s="2" t="s">
        <v>112</v>
      </c>
      <c r="S100" s="20">
        <v>21911.53</v>
      </c>
      <c r="T100" s="20">
        <v>5762.02</v>
      </c>
      <c r="U100" s="20">
        <v>1209.48</v>
      </c>
      <c r="V100" s="20">
        <v>138.19999999999999</v>
      </c>
      <c r="W100" s="20">
        <v>35751.75</v>
      </c>
      <c r="X100" s="20">
        <v>979.5</v>
      </c>
      <c r="Y100" s="20">
        <v>429.31</v>
      </c>
      <c r="Z100" s="20"/>
      <c r="AA100" s="20">
        <v>987.57</v>
      </c>
      <c r="AB100" s="20">
        <v>195.9</v>
      </c>
      <c r="AC100" s="20"/>
      <c r="AD100" s="20"/>
      <c r="AE100" s="20"/>
      <c r="AF100" s="20"/>
      <c r="AG100" s="20"/>
      <c r="AH100" s="20"/>
      <c r="AI100" s="10">
        <f t="shared" si="91"/>
        <v>67365.259999999995</v>
      </c>
      <c r="AJ100" s="1093">
        <f t="shared" si="84"/>
        <v>21911.53</v>
      </c>
      <c r="AK100" s="1093">
        <f t="shared" si="85"/>
        <v>5762.02</v>
      </c>
      <c r="AL100" s="1093">
        <f t="shared" si="86"/>
        <v>1209.48</v>
      </c>
      <c r="AM100" s="1093">
        <f t="shared" si="87"/>
        <v>138.19999999999999</v>
      </c>
      <c r="AN100" s="1093">
        <f t="shared" si="88"/>
        <v>35751.75</v>
      </c>
      <c r="AO100" s="1093">
        <f t="shared" si="89"/>
        <v>2592.2800000000002</v>
      </c>
    </row>
    <row r="101" spans="1:41">
      <c r="A101" s="2" t="s">
        <v>26</v>
      </c>
      <c r="B101" s="20">
        <f t="shared" ref="B101:N101" si="116">B31+B66</f>
        <v>0</v>
      </c>
      <c r="C101" s="20">
        <f t="shared" si="116"/>
        <v>0</v>
      </c>
      <c r="D101" s="20">
        <f t="shared" si="116"/>
        <v>0</v>
      </c>
      <c r="E101" s="20">
        <f t="shared" si="116"/>
        <v>0</v>
      </c>
      <c r="F101" s="20">
        <f t="shared" si="116"/>
        <v>0</v>
      </c>
      <c r="G101" s="20">
        <f t="shared" si="116"/>
        <v>0</v>
      </c>
      <c r="H101" s="20">
        <f t="shared" si="116"/>
        <v>0</v>
      </c>
      <c r="I101" s="20">
        <f t="shared" si="116"/>
        <v>0</v>
      </c>
      <c r="J101" s="20">
        <f t="shared" si="116"/>
        <v>0</v>
      </c>
      <c r="K101" s="20">
        <f t="shared" si="116"/>
        <v>0</v>
      </c>
      <c r="L101" s="20">
        <f t="shared" si="116"/>
        <v>0</v>
      </c>
      <c r="M101" s="20">
        <f t="shared" si="116"/>
        <v>0</v>
      </c>
      <c r="N101" s="20">
        <f t="shared" si="116"/>
        <v>0</v>
      </c>
      <c r="O101" s="10">
        <f t="shared" si="83"/>
        <v>0</v>
      </c>
      <c r="R101" s="2" t="s">
        <v>113</v>
      </c>
      <c r="S101" s="20">
        <v>6979.91</v>
      </c>
      <c r="T101" s="20">
        <v>6468.55</v>
      </c>
      <c r="U101" s="20">
        <v>1295.2</v>
      </c>
      <c r="V101" s="20">
        <v>848.34</v>
      </c>
      <c r="W101" s="20">
        <v>18512.55</v>
      </c>
      <c r="X101" s="20">
        <v>97.95</v>
      </c>
      <c r="Y101" s="20">
        <v>1175.96</v>
      </c>
      <c r="Z101" s="20"/>
      <c r="AA101" s="20">
        <v>358.44</v>
      </c>
      <c r="AB101" s="20">
        <v>391.8</v>
      </c>
      <c r="AC101" s="20"/>
      <c r="AD101" s="20"/>
      <c r="AE101" s="20"/>
      <c r="AF101" s="20"/>
      <c r="AG101" s="20"/>
      <c r="AH101" s="20"/>
      <c r="AI101" s="10">
        <f t="shared" si="91"/>
        <v>36128.700000000004</v>
      </c>
      <c r="AJ101" s="1093">
        <f t="shared" si="84"/>
        <v>6979.91</v>
      </c>
      <c r="AK101" s="1093">
        <f t="shared" si="85"/>
        <v>6468.55</v>
      </c>
      <c r="AL101" s="1093">
        <f t="shared" si="86"/>
        <v>1295.2</v>
      </c>
      <c r="AM101" s="1093">
        <f t="shared" si="87"/>
        <v>848.34</v>
      </c>
      <c r="AN101" s="1093">
        <f t="shared" si="88"/>
        <v>18512.55</v>
      </c>
      <c r="AO101" s="1093">
        <f t="shared" si="89"/>
        <v>2024.15</v>
      </c>
    </row>
    <row r="102" spans="1:41">
      <c r="A102" s="2" t="s">
        <v>37</v>
      </c>
      <c r="B102" s="1103">
        <f t="shared" ref="B102:O102" si="117">SUM(B75:B101)</f>
        <v>0</v>
      </c>
      <c r="C102" s="1103">
        <f t="shared" si="117"/>
        <v>0</v>
      </c>
      <c r="D102" s="1103">
        <f t="shared" si="117"/>
        <v>0</v>
      </c>
      <c r="E102" s="1103">
        <f t="shared" si="117"/>
        <v>0</v>
      </c>
      <c r="F102" s="1103">
        <f t="shared" si="117"/>
        <v>0</v>
      </c>
      <c r="G102" s="1103">
        <f t="shared" si="117"/>
        <v>0</v>
      </c>
      <c r="H102" s="1103">
        <f t="shared" si="117"/>
        <v>0</v>
      </c>
      <c r="I102" s="1103">
        <f t="shared" si="117"/>
        <v>0</v>
      </c>
      <c r="J102" s="1103">
        <f t="shared" si="117"/>
        <v>0</v>
      </c>
      <c r="K102" s="1103">
        <f t="shared" si="117"/>
        <v>0</v>
      </c>
      <c r="L102" s="1103">
        <f t="shared" si="117"/>
        <v>0</v>
      </c>
      <c r="M102" s="1103">
        <f t="shared" si="117"/>
        <v>0</v>
      </c>
      <c r="N102" s="1103">
        <f t="shared" si="117"/>
        <v>0</v>
      </c>
      <c r="O102" s="10">
        <f t="shared" si="117"/>
        <v>0</v>
      </c>
      <c r="R102" s="7" t="s">
        <v>37</v>
      </c>
      <c r="S102" s="6">
        <f t="shared" ref="S102:AJ102" si="118">SUM(S75:S101)</f>
        <v>2597418.4999999995</v>
      </c>
      <c r="T102" s="6">
        <f t="shared" si="118"/>
        <v>927376.00000000012</v>
      </c>
      <c r="U102" s="6">
        <f t="shared" si="118"/>
        <v>343340.64999999997</v>
      </c>
      <c r="V102" s="6">
        <f t="shared" si="118"/>
        <v>117016.25999999998</v>
      </c>
      <c r="W102" s="6">
        <f t="shared" si="118"/>
        <v>3768137.8999999994</v>
      </c>
      <c r="X102" s="6">
        <f t="shared" si="118"/>
        <v>69838.349999999991</v>
      </c>
      <c r="Y102" s="6">
        <f t="shared" si="118"/>
        <v>180820.44</v>
      </c>
      <c r="Z102" s="6">
        <f t="shared" si="118"/>
        <v>14197.5</v>
      </c>
      <c r="AA102" s="6">
        <f t="shared" si="118"/>
        <v>96250.810000000027</v>
      </c>
      <c r="AB102" s="6">
        <f t="shared" si="118"/>
        <v>18708.45</v>
      </c>
      <c r="AC102" s="6">
        <f t="shared" si="118"/>
        <v>1567.2</v>
      </c>
      <c r="AD102" s="6">
        <f t="shared" si="118"/>
        <v>3936.95</v>
      </c>
      <c r="AE102" s="6">
        <f t="shared" si="118"/>
        <v>2142.7500000000005</v>
      </c>
      <c r="AF102" s="27">
        <f t="shared" ref="AF102" si="119">SUM(AF75:AF101)</f>
        <v>0</v>
      </c>
      <c r="AG102" s="6">
        <f t="shared" si="118"/>
        <v>101.47999999999999</v>
      </c>
      <c r="AH102" s="6">
        <f t="shared" si="118"/>
        <v>1016.9499999999999</v>
      </c>
      <c r="AI102" s="6">
        <f>SUM(AI75:AI101)</f>
        <v>8141870.1899999985</v>
      </c>
      <c r="AJ102" s="1093">
        <f t="shared" si="118"/>
        <v>2597418.4999999995</v>
      </c>
      <c r="AK102" s="1093">
        <f t="shared" ref="AK102:AO102" si="120">SUM(AK75:AK101)</f>
        <v>927376.00000000012</v>
      </c>
      <c r="AL102" s="1093">
        <f t="shared" si="120"/>
        <v>343340.64999999997</v>
      </c>
      <c r="AM102" s="1093">
        <f t="shared" si="120"/>
        <v>117016.25999999998</v>
      </c>
      <c r="AN102" s="1093">
        <f t="shared" si="120"/>
        <v>3768137.8999999994</v>
      </c>
      <c r="AO102" s="1093">
        <f t="shared" si="120"/>
        <v>388580.88000000006</v>
      </c>
    </row>
    <row r="103" spans="1:41">
      <c r="AI103" s="1093"/>
    </row>
    <row r="104" spans="1:41">
      <c r="O104" s="1093" t="e">
        <f>O102+#REF!+#REF!+#REF!+#REF!</f>
        <v>#REF!</v>
      </c>
    </row>
    <row r="105" spans="1:41" ht="46.5">
      <c r="K105" s="1234" t="s">
        <v>48</v>
      </c>
      <c r="L105" s="1234"/>
      <c r="M105" s="1234"/>
      <c r="N105" s="1234"/>
      <c r="O105" s="1234"/>
      <c r="P105" s="1234"/>
      <c r="Q105" s="1234"/>
      <c r="R105" s="1234"/>
      <c r="S105" s="1234"/>
      <c r="T105" s="1234"/>
      <c r="U105" s="1234"/>
      <c r="V105" s="1234"/>
      <c r="W105" s="1234"/>
      <c r="X105" s="1234"/>
      <c r="Y105" s="1234"/>
      <c r="Z105" s="1234"/>
      <c r="AA105" s="1234"/>
    </row>
    <row r="106" spans="1:41" ht="35.1" customHeight="1">
      <c r="K106" s="1226" t="s">
        <v>33</v>
      </c>
      <c r="L106" s="1228" t="s">
        <v>27</v>
      </c>
      <c r="M106" s="1229"/>
      <c r="N106" s="1228" t="s">
        <v>29</v>
      </c>
      <c r="O106" s="1229"/>
      <c r="P106" s="1226" t="s">
        <v>28</v>
      </c>
      <c r="Q106" s="1226" t="s">
        <v>36</v>
      </c>
      <c r="R106" s="1226" t="s">
        <v>30</v>
      </c>
      <c r="S106" s="1226" t="s">
        <v>31</v>
      </c>
      <c r="T106" s="1226" t="s">
        <v>41</v>
      </c>
      <c r="U106" s="1226" t="s">
        <v>35</v>
      </c>
      <c r="V106" s="1226" t="s">
        <v>40</v>
      </c>
      <c r="W106" s="1226" t="s">
        <v>42</v>
      </c>
      <c r="X106" s="1226" t="s">
        <v>45</v>
      </c>
      <c r="Y106" s="1228" t="s">
        <v>51</v>
      </c>
      <c r="Z106" s="1229"/>
      <c r="AA106" s="1226" t="s">
        <v>34</v>
      </c>
    </row>
    <row r="107" spans="1:41" ht="35.1" customHeight="1">
      <c r="K107" s="1227"/>
      <c r="L107" s="1091" t="s">
        <v>43</v>
      </c>
      <c r="M107" s="1091" t="s">
        <v>44</v>
      </c>
      <c r="N107" s="1091" t="s">
        <v>43</v>
      </c>
      <c r="O107" s="1091" t="s">
        <v>44</v>
      </c>
      <c r="P107" s="1227"/>
      <c r="Q107" s="1227"/>
      <c r="R107" s="1227"/>
      <c r="S107" s="1227"/>
      <c r="T107" s="1227"/>
      <c r="U107" s="1227"/>
      <c r="V107" s="1227"/>
      <c r="W107" s="1227"/>
      <c r="X107" s="1227"/>
      <c r="Y107" s="1092" t="s">
        <v>52</v>
      </c>
      <c r="Z107" s="1092" t="s">
        <v>53</v>
      </c>
      <c r="AA107" s="1227"/>
    </row>
    <row r="108" spans="1:41">
      <c r="K108" s="2" t="s">
        <v>0</v>
      </c>
      <c r="L108" s="20">
        <f t="shared" ref="L108:L134" si="121">B75+S75</f>
        <v>7548.14</v>
      </c>
      <c r="M108" s="20">
        <f t="shared" ref="M108:M134" si="122">C75+T75</f>
        <v>1517.86</v>
      </c>
      <c r="N108" s="20">
        <f t="shared" ref="N108:N134" si="123">D75+U75</f>
        <v>638.07000000000005</v>
      </c>
      <c r="O108" s="20">
        <f t="shared" ref="O108:O134" si="124">E75+V75</f>
        <v>230.73</v>
      </c>
      <c r="P108" s="20">
        <f t="shared" ref="P108:P134" si="125">F75+W75</f>
        <v>9795</v>
      </c>
      <c r="Q108" s="20">
        <f t="shared" ref="Q108:Q134" si="126">G75+X75</f>
        <v>391.8</v>
      </c>
      <c r="R108" s="20">
        <f t="shared" ref="R108:R134" si="127">H75+Y75</f>
        <v>204.72</v>
      </c>
      <c r="S108" s="20">
        <f t="shared" ref="S108:S134" si="128">I75+Z75</f>
        <v>0</v>
      </c>
      <c r="T108" s="20">
        <f t="shared" ref="T108:T134" si="129">J75+AA75</f>
        <v>172.19</v>
      </c>
      <c r="U108" s="20">
        <f t="shared" ref="U108:U134" si="130">K75+AB75</f>
        <v>97.95</v>
      </c>
      <c r="V108" s="20">
        <f t="shared" ref="V108:V134" si="131">L75+AC75</f>
        <v>0</v>
      </c>
      <c r="W108" s="20">
        <f t="shared" ref="W108:W134" si="132">M75+AD75</f>
        <v>0</v>
      </c>
      <c r="X108" s="20">
        <f t="shared" ref="X108:X134" si="133">N75+AE75</f>
        <v>0</v>
      </c>
      <c r="Y108" s="20">
        <f t="shared" ref="Y108:Y134" si="134">AG75</f>
        <v>0</v>
      </c>
      <c r="Z108" s="20">
        <f t="shared" ref="Z108:Z134" si="135">AH75</f>
        <v>0</v>
      </c>
      <c r="AA108" s="10">
        <f t="shared" ref="AA108:AA134" si="136">SUM(L108:Z108)</f>
        <v>20596.46</v>
      </c>
    </row>
    <row r="109" spans="1:41">
      <c r="K109" s="2" t="s">
        <v>1</v>
      </c>
      <c r="L109" s="20">
        <f t="shared" si="121"/>
        <v>21636.93</v>
      </c>
      <c r="M109" s="20">
        <f t="shared" si="122"/>
        <v>13098.6</v>
      </c>
      <c r="N109" s="20">
        <f t="shared" si="123"/>
        <v>933.3</v>
      </c>
      <c r="O109" s="20">
        <f t="shared" si="124"/>
        <v>633.16</v>
      </c>
      <c r="P109" s="20">
        <f t="shared" si="125"/>
        <v>38102.550000000003</v>
      </c>
      <c r="Q109" s="20">
        <f t="shared" si="126"/>
        <v>489.75</v>
      </c>
      <c r="R109" s="20">
        <f t="shared" si="127"/>
        <v>2278.08</v>
      </c>
      <c r="S109" s="20">
        <f t="shared" si="128"/>
        <v>571.41</v>
      </c>
      <c r="T109" s="20">
        <f t="shared" si="129"/>
        <v>1395.1</v>
      </c>
      <c r="U109" s="20">
        <f t="shared" si="130"/>
        <v>0</v>
      </c>
      <c r="V109" s="20">
        <f t="shared" si="131"/>
        <v>0</v>
      </c>
      <c r="W109" s="20">
        <f t="shared" si="132"/>
        <v>0</v>
      </c>
      <c r="X109" s="20">
        <f t="shared" si="133"/>
        <v>0</v>
      </c>
      <c r="Y109" s="20">
        <f t="shared" si="134"/>
        <v>0</v>
      </c>
      <c r="Z109" s="20">
        <f t="shared" si="135"/>
        <v>0</v>
      </c>
      <c r="AA109" s="10">
        <f t="shared" si="136"/>
        <v>79138.880000000019</v>
      </c>
    </row>
    <row r="110" spans="1:41">
      <c r="K110" s="2" t="s">
        <v>2</v>
      </c>
      <c r="L110" s="20">
        <f t="shared" si="121"/>
        <v>10422.280000000001</v>
      </c>
      <c r="M110" s="20">
        <f t="shared" si="122"/>
        <v>3849.3</v>
      </c>
      <c r="N110" s="20">
        <f t="shared" si="123"/>
        <v>2285.64</v>
      </c>
      <c r="O110" s="20">
        <f t="shared" si="124"/>
        <v>1089.3900000000001</v>
      </c>
      <c r="P110" s="20">
        <f t="shared" si="125"/>
        <v>16851.990000000002</v>
      </c>
      <c r="Q110" s="20">
        <f t="shared" si="126"/>
        <v>1763.1</v>
      </c>
      <c r="R110" s="20">
        <f t="shared" si="127"/>
        <v>589.74</v>
      </c>
      <c r="S110" s="20">
        <f t="shared" si="128"/>
        <v>0</v>
      </c>
      <c r="T110" s="20">
        <f t="shared" si="129"/>
        <v>900.79</v>
      </c>
      <c r="U110" s="20">
        <f t="shared" si="130"/>
        <v>293.85000000000002</v>
      </c>
      <c r="V110" s="20">
        <f t="shared" si="131"/>
        <v>0</v>
      </c>
      <c r="W110" s="20">
        <f t="shared" si="132"/>
        <v>0</v>
      </c>
      <c r="X110" s="20">
        <f t="shared" si="133"/>
        <v>0</v>
      </c>
      <c r="Y110" s="20">
        <f t="shared" si="134"/>
        <v>0</v>
      </c>
      <c r="Z110" s="20">
        <f t="shared" si="135"/>
        <v>0</v>
      </c>
      <c r="AA110" s="10">
        <f t="shared" si="136"/>
        <v>38046.080000000002</v>
      </c>
    </row>
    <row r="111" spans="1:41">
      <c r="K111" s="2" t="s">
        <v>3</v>
      </c>
      <c r="L111" s="20">
        <f t="shared" si="121"/>
        <v>22361.05</v>
      </c>
      <c r="M111" s="20">
        <f t="shared" si="122"/>
        <v>9007.33</v>
      </c>
      <c r="N111" s="20">
        <f t="shared" si="123"/>
        <v>1514.24</v>
      </c>
      <c r="O111" s="20">
        <f t="shared" si="124"/>
        <v>1030.3</v>
      </c>
      <c r="P111" s="20">
        <f t="shared" si="125"/>
        <v>20765.400000000001</v>
      </c>
      <c r="Q111" s="20">
        <f t="shared" si="126"/>
        <v>489.75</v>
      </c>
      <c r="R111" s="20">
        <f t="shared" si="127"/>
        <v>1166.6099999999999</v>
      </c>
      <c r="S111" s="20">
        <f t="shared" si="128"/>
        <v>0</v>
      </c>
      <c r="T111" s="20">
        <f t="shared" si="129"/>
        <v>1169.68</v>
      </c>
      <c r="U111" s="20">
        <f t="shared" si="130"/>
        <v>195.9</v>
      </c>
      <c r="V111" s="20">
        <f t="shared" si="131"/>
        <v>0</v>
      </c>
      <c r="W111" s="20">
        <f t="shared" si="132"/>
        <v>0</v>
      </c>
      <c r="X111" s="20">
        <f t="shared" si="133"/>
        <v>28.57</v>
      </c>
      <c r="Y111" s="20">
        <f t="shared" si="134"/>
        <v>0</v>
      </c>
      <c r="Z111" s="20">
        <f t="shared" si="135"/>
        <v>0</v>
      </c>
      <c r="AA111" s="10">
        <f t="shared" si="136"/>
        <v>57728.83</v>
      </c>
    </row>
    <row r="112" spans="1:41">
      <c r="K112" s="2" t="s">
        <v>4</v>
      </c>
      <c r="L112" s="20">
        <f t="shared" si="121"/>
        <v>66803.990000000005</v>
      </c>
      <c r="M112" s="20">
        <f t="shared" si="122"/>
        <v>24756.31</v>
      </c>
      <c r="N112" s="20">
        <f t="shared" si="123"/>
        <v>10899.6</v>
      </c>
      <c r="O112" s="20">
        <f t="shared" si="124"/>
        <v>1868.49</v>
      </c>
      <c r="P112" s="20">
        <f t="shared" si="125"/>
        <v>74246.100000000006</v>
      </c>
      <c r="Q112" s="20">
        <f t="shared" si="126"/>
        <v>2252.85</v>
      </c>
      <c r="R112" s="20">
        <f t="shared" si="127"/>
        <v>3811.35</v>
      </c>
      <c r="S112" s="20">
        <f t="shared" si="128"/>
        <v>0</v>
      </c>
      <c r="T112" s="20">
        <f t="shared" si="129"/>
        <v>2761.34</v>
      </c>
      <c r="U112" s="20">
        <f t="shared" si="130"/>
        <v>783.6</v>
      </c>
      <c r="V112" s="20">
        <f t="shared" si="131"/>
        <v>0</v>
      </c>
      <c r="W112" s="20">
        <f t="shared" si="132"/>
        <v>0</v>
      </c>
      <c r="X112" s="20">
        <f t="shared" si="133"/>
        <v>57.14</v>
      </c>
      <c r="Y112" s="20">
        <f t="shared" si="134"/>
        <v>0</v>
      </c>
      <c r="Z112" s="20">
        <f t="shared" si="135"/>
        <v>0</v>
      </c>
      <c r="AA112" s="10">
        <f t="shared" si="136"/>
        <v>188240.77000000005</v>
      </c>
    </row>
    <row r="113" spans="11:27">
      <c r="K113" s="2" t="s">
        <v>5</v>
      </c>
      <c r="L113" s="20">
        <f t="shared" si="121"/>
        <v>30100.55</v>
      </c>
      <c r="M113" s="20">
        <f t="shared" si="122"/>
        <v>10089.86</v>
      </c>
      <c r="N113" s="20">
        <f t="shared" si="123"/>
        <v>1815.79</v>
      </c>
      <c r="O113" s="20">
        <f t="shared" si="124"/>
        <v>110.56</v>
      </c>
      <c r="P113" s="20">
        <f t="shared" si="125"/>
        <v>33303</v>
      </c>
      <c r="Q113" s="20">
        <f t="shared" si="126"/>
        <v>1273.3499999999999</v>
      </c>
      <c r="R113" s="20">
        <f t="shared" si="127"/>
        <v>1327.28</v>
      </c>
      <c r="S113" s="20">
        <f t="shared" si="128"/>
        <v>881.55</v>
      </c>
      <c r="T113" s="20">
        <f t="shared" si="129"/>
        <v>1305.5999999999999</v>
      </c>
      <c r="U113" s="20">
        <f t="shared" si="130"/>
        <v>97.95</v>
      </c>
      <c r="V113" s="20">
        <f t="shared" si="131"/>
        <v>0</v>
      </c>
      <c r="W113" s="20">
        <f t="shared" si="132"/>
        <v>0</v>
      </c>
      <c r="X113" s="20">
        <f t="shared" si="133"/>
        <v>28.57</v>
      </c>
      <c r="Y113" s="20">
        <f t="shared" si="134"/>
        <v>0</v>
      </c>
      <c r="Z113" s="20">
        <f t="shared" si="135"/>
        <v>0</v>
      </c>
      <c r="AA113" s="10">
        <f t="shared" si="136"/>
        <v>80334.060000000027</v>
      </c>
    </row>
    <row r="114" spans="11:27">
      <c r="K114" s="2" t="s">
        <v>6</v>
      </c>
      <c r="L114" s="20">
        <f t="shared" si="121"/>
        <v>91025.63</v>
      </c>
      <c r="M114" s="20">
        <f t="shared" si="122"/>
        <v>41340.129999999997</v>
      </c>
      <c r="N114" s="20">
        <f t="shared" si="123"/>
        <v>9202.83</v>
      </c>
      <c r="O114" s="20">
        <f t="shared" si="124"/>
        <v>1372.52</v>
      </c>
      <c r="P114" s="20">
        <f t="shared" si="125"/>
        <v>64940.85</v>
      </c>
      <c r="Q114" s="20">
        <f t="shared" si="126"/>
        <v>2252.85</v>
      </c>
      <c r="R114" s="20">
        <f t="shared" si="127"/>
        <v>6754.12</v>
      </c>
      <c r="S114" s="20">
        <f t="shared" si="128"/>
        <v>0</v>
      </c>
      <c r="T114" s="20">
        <f t="shared" si="129"/>
        <v>3478.77</v>
      </c>
      <c r="U114" s="20">
        <f t="shared" si="130"/>
        <v>783.6</v>
      </c>
      <c r="V114" s="20">
        <f t="shared" si="131"/>
        <v>0</v>
      </c>
      <c r="W114" s="20">
        <f t="shared" si="132"/>
        <v>0</v>
      </c>
      <c r="X114" s="20">
        <f t="shared" si="133"/>
        <v>85.71</v>
      </c>
      <c r="Y114" s="20">
        <f t="shared" si="134"/>
        <v>0</v>
      </c>
      <c r="Z114" s="20">
        <f t="shared" si="135"/>
        <v>0</v>
      </c>
      <c r="AA114" s="10">
        <f t="shared" si="136"/>
        <v>221237.00999999998</v>
      </c>
    </row>
    <row r="115" spans="11:27">
      <c r="K115" s="2" t="s">
        <v>7</v>
      </c>
      <c r="L115" s="20">
        <f t="shared" si="121"/>
        <v>53732.53</v>
      </c>
      <c r="M115" s="20">
        <f t="shared" si="122"/>
        <v>12359.31</v>
      </c>
      <c r="N115" s="20">
        <f t="shared" si="123"/>
        <v>4161.7299999999996</v>
      </c>
      <c r="O115" s="20">
        <f t="shared" si="124"/>
        <v>1879.25</v>
      </c>
      <c r="P115" s="20">
        <f t="shared" si="125"/>
        <v>55439.7</v>
      </c>
      <c r="Q115" s="20">
        <f t="shared" si="126"/>
        <v>979.5</v>
      </c>
      <c r="R115" s="20">
        <f t="shared" si="127"/>
        <v>2718.54</v>
      </c>
      <c r="S115" s="20">
        <f t="shared" si="128"/>
        <v>3276.19</v>
      </c>
      <c r="T115" s="20">
        <f t="shared" si="129"/>
        <v>1180.08</v>
      </c>
      <c r="U115" s="20">
        <f t="shared" si="130"/>
        <v>97.95</v>
      </c>
      <c r="V115" s="20">
        <f t="shared" si="131"/>
        <v>391.8</v>
      </c>
      <c r="W115" s="20">
        <f t="shared" si="132"/>
        <v>0</v>
      </c>
      <c r="X115" s="20">
        <f t="shared" si="133"/>
        <v>85.71</v>
      </c>
      <c r="Y115" s="20">
        <f t="shared" si="134"/>
        <v>0</v>
      </c>
      <c r="Z115" s="20">
        <f t="shared" si="135"/>
        <v>0</v>
      </c>
      <c r="AA115" s="10">
        <f t="shared" si="136"/>
        <v>136302.28999999998</v>
      </c>
    </row>
    <row r="116" spans="11:27">
      <c r="K116" s="2" t="s">
        <v>8</v>
      </c>
      <c r="L116" s="20">
        <f t="shared" si="121"/>
        <v>65334.15</v>
      </c>
      <c r="M116" s="20">
        <f t="shared" si="122"/>
        <v>19007.82</v>
      </c>
      <c r="N116" s="20">
        <f t="shared" si="123"/>
        <v>8223.52</v>
      </c>
      <c r="O116" s="20">
        <f t="shared" si="124"/>
        <v>4864.29</v>
      </c>
      <c r="P116" s="20">
        <f t="shared" si="125"/>
        <v>138011.54999999999</v>
      </c>
      <c r="Q116" s="20">
        <f t="shared" si="126"/>
        <v>1469.25</v>
      </c>
      <c r="R116" s="20">
        <f t="shared" si="127"/>
        <v>3754.9</v>
      </c>
      <c r="S116" s="20">
        <f t="shared" si="128"/>
        <v>5842.62</v>
      </c>
      <c r="T116" s="20">
        <f t="shared" si="129"/>
        <v>2246.27</v>
      </c>
      <c r="U116" s="20">
        <f t="shared" si="130"/>
        <v>97.95</v>
      </c>
      <c r="V116" s="20">
        <f t="shared" si="131"/>
        <v>0</v>
      </c>
      <c r="W116" s="20">
        <f t="shared" si="132"/>
        <v>0</v>
      </c>
      <c r="X116" s="20">
        <f t="shared" si="133"/>
        <v>114.28</v>
      </c>
      <c r="Y116" s="20">
        <f t="shared" si="134"/>
        <v>0</v>
      </c>
      <c r="Z116" s="20">
        <f t="shared" si="135"/>
        <v>0</v>
      </c>
      <c r="AA116" s="10">
        <f t="shared" si="136"/>
        <v>248966.59999999998</v>
      </c>
    </row>
    <row r="117" spans="11:27">
      <c r="K117" s="2" t="s">
        <v>9</v>
      </c>
      <c r="L117" s="20">
        <f t="shared" si="121"/>
        <v>20492.12</v>
      </c>
      <c r="M117" s="20">
        <f t="shared" si="122"/>
        <v>14353.48</v>
      </c>
      <c r="N117" s="20">
        <f t="shared" si="123"/>
        <v>399.98</v>
      </c>
      <c r="O117" s="20">
        <f t="shared" si="124"/>
        <v>236.28</v>
      </c>
      <c r="P117" s="20">
        <f t="shared" si="125"/>
        <v>18316.650000000001</v>
      </c>
      <c r="Q117" s="20">
        <f t="shared" si="126"/>
        <v>587.70000000000005</v>
      </c>
      <c r="R117" s="20">
        <f t="shared" si="127"/>
        <v>2444.85</v>
      </c>
      <c r="S117" s="20">
        <f t="shared" si="128"/>
        <v>0</v>
      </c>
      <c r="T117" s="20">
        <f t="shared" si="129"/>
        <v>1139.92</v>
      </c>
      <c r="U117" s="20">
        <f t="shared" si="130"/>
        <v>979.5</v>
      </c>
      <c r="V117" s="20">
        <f t="shared" si="131"/>
        <v>0</v>
      </c>
      <c r="W117" s="20">
        <f t="shared" si="132"/>
        <v>0</v>
      </c>
      <c r="X117" s="20">
        <f t="shared" si="133"/>
        <v>0</v>
      </c>
      <c r="Y117" s="20">
        <f t="shared" si="134"/>
        <v>0</v>
      </c>
      <c r="Z117" s="20">
        <f t="shared" si="135"/>
        <v>0</v>
      </c>
      <c r="AA117" s="10">
        <f t="shared" si="136"/>
        <v>58950.479999999996</v>
      </c>
    </row>
    <row r="118" spans="11:27">
      <c r="K118" s="2" t="s">
        <v>10</v>
      </c>
      <c r="L118" s="20">
        <f t="shared" si="121"/>
        <v>60668.86</v>
      </c>
      <c r="M118" s="20">
        <f t="shared" si="122"/>
        <v>10269.18</v>
      </c>
      <c r="N118" s="20">
        <f t="shared" si="123"/>
        <v>7835.4</v>
      </c>
      <c r="O118" s="20">
        <f t="shared" si="124"/>
        <v>1366.35</v>
      </c>
      <c r="P118" s="20">
        <f t="shared" si="125"/>
        <v>184146</v>
      </c>
      <c r="Q118" s="20">
        <f t="shared" si="126"/>
        <v>1371.3</v>
      </c>
      <c r="R118" s="20">
        <f t="shared" si="127"/>
        <v>1781.69</v>
      </c>
      <c r="S118" s="20">
        <f t="shared" si="128"/>
        <v>0</v>
      </c>
      <c r="T118" s="20">
        <f t="shared" si="129"/>
        <v>988.43</v>
      </c>
      <c r="U118" s="20">
        <f t="shared" si="130"/>
        <v>391.8</v>
      </c>
      <c r="V118" s="20">
        <f t="shared" si="131"/>
        <v>0</v>
      </c>
      <c r="W118" s="20">
        <f t="shared" si="132"/>
        <v>0</v>
      </c>
      <c r="X118" s="20">
        <f t="shared" si="133"/>
        <v>57.14</v>
      </c>
      <c r="Y118" s="20">
        <f t="shared" si="134"/>
        <v>0</v>
      </c>
      <c r="Z118" s="20">
        <f t="shared" si="135"/>
        <v>0</v>
      </c>
      <c r="AA118" s="10">
        <f t="shared" si="136"/>
        <v>268876.15000000002</v>
      </c>
    </row>
    <row r="119" spans="11:27">
      <c r="K119" s="2" t="s">
        <v>11</v>
      </c>
      <c r="L119" s="20">
        <f t="shared" si="121"/>
        <v>43970.07</v>
      </c>
      <c r="M119" s="20">
        <f t="shared" si="122"/>
        <v>15051.54</v>
      </c>
      <c r="N119" s="20">
        <f t="shared" si="123"/>
        <v>6992.99</v>
      </c>
      <c r="O119" s="20">
        <f t="shared" si="124"/>
        <v>2445.73</v>
      </c>
      <c r="P119" s="20">
        <f t="shared" si="125"/>
        <v>116364.6</v>
      </c>
      <c r="Q119" s="20">
        <f t="shared" si="126"/>
        <v>2350.8000000000002</v>
      </c>
      <c r="R119" s="20">
        <f t="shared" si="127"/>
        <v>3641.77</v>
      </c>
      <c r="S119" s="20">
        <f t="shared" si="128"/>
        <v>291.25</v>
      </c>
      <c r="T119" s="20">
        <f t="shared" si="129"/>
        <v>1914.48</v>
      </c>
      <c r="U119" s="20">
        <f t="shared" si="130"/>
        <v>1077.45</v>
      </c>
      <c r="V119" s="20">
        <f t="shared" si="131"/>
        <v>0</v>
      </c>
      <c r="W119" s="20">
        <f t="shared" si="132"/>
        <v>1092.3900000000001</v>
      </c>
      <c r="X119" s="20">
        <f t="shared" si="133"/>
        <v>28.57</v>
      </c>
      <c r="Y119" s="20">
        <f t="shared" si="134"/>
        <v>16.13</v>
      </c>
      <c r="Z119" s="20">
        <f t="shared" si="135"/>
        <v>0</v>
      </c>
      <c r="AA119" s="10">
        <f t="shared" si="136"/>
        <v>195237.77000000002</v>
      </c>
    </row>
    <row r="120" spans="11:27">
      <c r="K120" s="2" t="s">
        <v>12</v>
      </c>
      <c r="L120" s="20">
        <f t="shared" si="121"/>
        <v>200200.95999999999</v>
      </c>
      <c r="M120" s="20">
        <f t="shared" si="122"/>
        <v>105304.98</v>
      </c>
      <c r="N120" s="20">
        <f t="shared" si="123"/>
        <v>17695.310000000001</v>
      </c>
      <c r="O120" s="20">
        <f t="shared" si="124"/>
        <v>12364.97</v>
      </c>
      <c r="P120" s="20">
        <f t="shared" si="125"/>
        <v>242230.35</v>
      </c>
      <c r="Q120" s="20">
        <f t="shared" si="126"/>
        <v>3036.45</v>
      </c>
      <c r="R120" s="20">
        <f t="shared" si="127"/>
        <v>20056.419999999998</v>
      </c>
      <c r="S120" s="20">
        <f t="shared" si="128"/>
        <v>0</v>
      </c>
      <c r="T120" s="20">
        <f t="shared" si="129"/>
        <v>10616.37</v>
      </c>
      <c r="U120" s="20">
        <f t="shared" si="130"/>
        <v>1469.25</v>
      </c>
      <c r="V120" s="20">
        <f t="shared" si="131"/>
        <v>0</v>
      </c>
      <c r="W120" s="20">
        <f t="shared" si="132"/>
        <v>2285.64</v>
      </c>
      <c r="X120" s="20">
        <f t="shared" si="133"/>
        <v>199.99</v>
      </c>
      <c r="Y120" s="20">
        <f t="shared" si="134"/>
        <v>0</v>
      </c>
      <c r="Z120" s="20">
        <f t="shared" si="135"/>
        <v>0</v>
      </c>
      <c r="AA120" s="10">
        <f t="shared" si="136"/>
        <v>615460.68999999994</v>
      </c>
    </row>
    <row r="121" spans="11:27">
      <c r="K121" s="2" t="s">
        <v>15</v>
      </c>
      <c r="L121" s="20">
        <f t="shared" si="121"/>
        <v>32442.02</v>
      </c>
      <c r="M121" s="20">
        <f t="shared" si="122"/>
        <v>23038.91</v>
      </c>
      <c r="N121" s="20">
        <f t="shared" si="123"/>
        <v>1771.37</v>
      </c>
      <c r="O121" s="20">
        <f t="shared" si="124"/>
        <v>324.02999999999997</v>
      </c>
      <c r="P121" s="20">
        <f t="shared" si="125"/>
        <v>36339.449999999997</v>
      </c>
      <c r="Q121" s="20">
        <f t="shared" si="126"/>
        <v>195.9</v>
      </c>
      <c r="R121" s="20">
        <f t="shared" si="127"/>
        <v>4053.99</v>
      </c>
      <c r="S121" s="20">
        <f t="shared" si="128"/>
        <v>0</v>
      </c>
      <c r="T121" s="20">
        <f t="shared" si="129"/>
        <v>1580.52</v>
      </c>
      <c r="U121" s="20">
        <f t="shared" si="130"/>
        <v>685.65</v>
      </c>
      <c r="V121" s="20">
        <f t="shared" si="131"/>
        <v>0</v>
      </c>
      <c r="W121" s="20">
        <f t="shared" si="132"/>
        <v>0</v>
      </c>
      <c r="X121" s="20">
        <f t="shared" si="133"/>
        <v>57.14</v>
      </c>
      <c r="Y121" s="20">
        <f t="shared" si="134"/>
        <v>0</v>
      </c>
      <c r="Z121" s="20">
        <f t="shared" si="135"/>
        <v>0</v>
      </c>
      <c r="AA121" s="10">
        <f t="shared" si="136"/>
        <v>100488.98</v>
      </c>
    </row>
    <row r="122" spans="11:27">
      <c r="K122" s="2" t="s">
        <v>14</v>
      </c>
      <c r="L122" s="20">
        <f t="shared" si="121"/>
        <v>32530.23</v>
      </c>
      <c r="M122" s="20">
        <f t="shared" si="122"/>
        <v>20656.52</v>
      </c>
      <c r="N122" s="20">
        <f t="shared" si="123"/>
        <v>2577.6799999999998</v>
      </c>
      <c r="O122" s="20">
        <f t="shared" si="124"/>
        <v>772.88</v>
      </c>
      <c r="P122" s="20">
        <f t="shared" si="125"/>
        <v>35262</v>
      </c>
      <c r="Q122" s="20">
        <f t="shared" si="126"/>
        <v>293.85000000000002</v>
      </c>
      <c r="R122" s="20">
        <f t="shared" si="127"/>
        <v>3394.9</v>
      </c>
      <c r="S122" s="20">
        <f t="shared" si="128"/>
        <v>0</v>
      </c>
      <c r="T122" s="20">
        <f t="shared" si="129"/>
        <v>1988.88</v>
      </c>
      <c r="U122" s="20">
        <f t="shared" si="130"/>
        <v>391.8</v>
      </c>
      <c r="V122" s="20">
        <f t="shared" si="131"/>
        <v>0</v>
      </c>
      <c r="W122" s="20">
        <f t="shared" si="132"/>
        <v>0</v>
      </c>
      <c r="X122" s="20">
        <f t="shared" si="133"/>
        <v>57.14</v>
      </c>
      <c r="Y122" s="20">
        <f t="shared" si="134"/>
        <v>0</v>
      </c>
      <c r="Z122" s="20">
        <f t="shared" si="135"/>
        <v>145.9</v>
      </c>
      <c r="AA122" s="10">
        <f t="shared" si="136"/>
        <v>98071.78</v>
      </c>
    </row>
    <row r="123" spans="11:27">
      <c r="K123" s="2" t="s">
        <v>13</v>
      </c>
      <c r="L123" s="20">
        <f t="shared" si="121"/>
        <v>187466.13</v>
      </c>
      <c r="M123" s="20">
        <f t="shared" si="122"/>
        <v>77358.070000000007</v>
      </c>
      <c r="N123" s="20">
        <f t="shared" si="123"/>
        <v>40591.22</v>
      </c>
      <c r="O123" s="20">
        <f t="shared" si="124"/>
        <v>22173.8</v>
      </c>
      <c r="P123" s="20">
        <f t="shared" si="125"/>
        <v>364080.15</v>
      </c>
      <c r="Q123" s="20">
        <f t="shared" si="126"/>
        <v>6366.75</v>
      </c>
      <c r="R123" s="20">
        <f t="shared" si="127"/>
        <v>13651.72</v>
      </c>
      <c r="S123" s="20">
        <f t="shared" si="128"/>
        <v>0</v>
      </c>
      <c r="T123" s="20">
        <f t="shared" si="129"/>
        <v>9443.73</v>
      </c>
      <c r="U123" s="20">
        <f t="shared" si="130"/>
        <v>2644.65</v>
      </c>
      <c r="V123" s="20">
        <f t="shared" si="131"/>
        <v>0</v>
      </c>
      <c r="W123" s="20">
        <f t="shared" si="132"/>
        <v>0</v>
      </c>
      <c r="X123" s="20">
        <f t="shared" si="133"/>
        <v>28.57</v>
      </c>
      <c r="Y123" s="20">
        <f t="shared" si="134"/>
        <v>0</v>
      </c>
      <c r="Z123" s="20">
        <f t="shared" si="135"/>
        <v>0</v>
      </c>
      <c r="AA123" s="10">
        <f t="shared" si="136"/>
        <v>723804.79</v>
      </c>
    </row>
    <row r="124" spans="11:27">
      <c r="K124" s="2" t="s">
        <v>16</v>
      </c>
      <c r="L124" s="20">
        <f t="shared" si="121"/>
        <v>57939.41</v>
      </c>
      <c r="M124" s="20">
        <f t="shared" si="122"/>
        <v>21740.17</v>
      </c>
      <c r="N124" s="20">
        <f t="shared" si="123"/>
        <v>6837.82</v>
      </c>
      <c r="O124" s="20">
        <f t="shared" si="124"/>
        <v>933.13</v>
      </c>
      <c r="P124" s="20">
        <f t="shared" si="125"/>
        <v>53088.9</v>
      </c>
      <c r="Q124" s="20">
        <f t="shared" si="126"/>
        <v>1371.3</v>
      </c>
      <c r="R124" s="20">
        <f t="shared" si="127"/>
        <v>3430.58</v>
      </c>
      <c r="S124" s="20">
        <f t="shared" si="128"/>
        <v>0</v>
      </c>
      <c r="T124" s="20">
        <f t="shared" si="129"/>
        <v>3541.33</v>
      </c>
      <c r="U124" s="20">
        <f t="shared" si="130"/>
        <v>97.95</v>
      </c>
      <c r="V124" s="20">
        <f t="shared" si="131"/>
        <v>0</v>
      </c>
      <c r="W124" s="20">
        <f t="shared" si="132"/>
        <v>0</v>
      </c>
      <c r="X124" s="20">
        <f t="shared" si="133"/>
        <v>85.71</v>
      </c>
      <c r="Y124" s="20">
        <f t="shared" si="134"/>
        <v>0</v>
      </c>
      <c r="Z124" s="20">
        <f t="shared" si="135"/>
        <v>0</v>
      </c>
      <c r="AA124" s="10">
        <f t="shared" si="136"/>
        <v>149066.29999999996</v>
      </c>
    </row>
    <row r="125" spans="11:27">
      <c r="K125" s="2" t="s">
        <v>17</v>
      </c>
      <c r="L125" s="20">
        <f t="shared" si="121"/>
        <v>15376.63</v>
      </c>
      <c r="M125" s="20">
        <f t="shared" si="122"/>
        <v>4058.63</v>
      </c>
      <c r="N125" s="20">
        <f t="shared" si="123"/>
        <v>1142.81</v>
      </c>
      <c r="O125" s="20">
        <f t="shared" si="124"/>
        <v>270.95</v>
      </c>
      <c r="P125" s="20">
        <f t="shared" si="125"/>
        <v>15965.85</v>
      </c>
      <c r="Q125" s="20">
        <f t="shared" si="126"/>
        <v>391.8</v>
      </c>
      <c r="R125" s="20">
        <f t="shared" si="127"/>
        <v>521.41</v>
      </c>
      <c r="S125" s="20">
        <f t="shared" si="128"/>
        <v>1142.82</v>
      </c>
      <c r="T125" s="20">
        <f t="shared" si="129"/>
        <v>653.37</v>
      </c>
      <c r="U125" s="20">
        <f t="shared" si="130"/>
        <v>0</v>
      </c>
      <c r="V125" s="20">
        <f t="shared" si="131"/>
        <v>0</v>
      </c>
      <c r="W125" s="20">
        <f t="shared" si="132"/>
        <v>0</v>
      </c>
      <c r="X125" s="20">
        <f t="shared" si="133"/>
        <v>0</v>
      </c>
      <c r="Y125" s="20">
        <f t="shared" si="134"/>
        <v>0</v>
      </c>
      <c r="Z125" s="20">
        <f t="shared" si="135"/>
        <v>0</v>
      </c>
      <c r="AA125" s="10">
        <f t="shared" si="136"/>
        <v>39524.270000000011</v>
      </c>
    </row>
    <row r="126" spans="11:27">
      <c r="K126" s="2" t="s">
        <v>18</v>
      </c>
      <c r="L126" s="20">
        <f t="shared" si="121"/>
        <v>207984.04</v>
      </c>
      <c r="M126" s="20">
        <f t="shared" si="122"/>
        <v>69475.13</v>
      </c>
      <c r="N126" s="20">
        <f t="shared" si="123"/>
        <v>29171.06</v>
      </c>
      <c r="O126" s="20">
        <f t="shared" si="124"/>
        <v>10231</v>
      </c>
      <c r="P126" s="20">
        <f t="shared" si="125"/>
        <v>154561.91</v>
      </c>
      <c r="Q126" s="20">
        <f t="shared" si="126"/>
        <v>13125.3</v>
      </c>
      <c r="R126" s="20">
        <f t="shared" si="127"/>
        <v>16259.03</v>
      </c>
      <c r="S126" s="20">
        <f t="shared" si="128"/>
        <v>1918.2</v>
      </c>
      <c r="T126" s="20">
        <f t="shared" si="129"/>
        <v>6672.62</v>
      </c>
      <c r="U126" s="20">
        <f t="shared" si="130"/>
        <v>783.6</v>
      </c>
      <c r="V126" s="20">
        <f t="shared" si="131"/>
        <v>391.8</v>
      </c>
      <c r="W126" s="20">
        <f t="shared" si="132"/>
        <v>0</v>
      </c>
      <c r="X126" s="20">
        <f t="shared" si="133"/>
        <v>257.13</v>
      </c>
      <c r="Y126" s="20">
        <f t="shared" si="134"/>
        <v>0</v>
      </c>
      <c r="Z126" s="20">
        <f t="shared" si="135"/>
        <v>0</v>
      </c>
      <c r="AA126" s="10">
        <f t="shared" si="136"/>
        <v>510830.82</v>
      </c>
    </row>
    <row r="127" spans="11:27">
      <c r="K127" s="2" t="s">
        <v>20</v>
      </c>
      <c r="L127" s="20">
        <f t="shared" si="121"/>
        <v>33710.28</v>
      </c>
      <c r="M127" s="20">
        <f t="shared" si="122"/>
        <v>21658.69</v>
      </c>
      <c r="N127" s="20">
        <f t="shared" si="123"/>
        <v>2415.79</v>
      </c>
      <c r="O127" s="20">
        <f t="shared" si="124"/>
        <v>425.61</v>
      </c>
      <c r="P127" s="20">
        <f t="shared" si="125"/>
        <v>35947.65</v>
      </c>
      <c r="Q127" s="20">
        <f t="shared" si="126"/>
        <v>685.65</v>
      </c>
      <c r="R127" s="20">
        <f t="shared" si="127"/>
        <v>3938.03</v>
      </c>
      <c r="S127" s="20">
        <f t="shared" si="128"/>
        <v>0</v>
      </c>
      <c r="T127" s="20">
        <f t="shared" si="129"/>
        <v>2253.12</v>
      </c>
      <c r="U127" s="20">
        <f t="shared" si="130"/>
        <v>195.9</v>
      </c>
      <c r="V127" s="20">
        <f t="shared" si="131"/>
        <v>0</v>
      </c>
      <c r="W127" s="20">
        <f t="shared" si="132"/>
        <v>0</v>
      </c>
      <c r="X127" s="20">
        <f t="shared" si="133"/>
        <v>57.14</v>
      </c>
      <c r="Y127" s="20">
        <f t="shared" si="134"/>
        <v>0</v>
      </c>
      <c r="Z127" s="20">
        <f t="shared" si="135"/>
        <v>0</v>
      </c>
      <c r="AA127" s="10">
        <f t="shared" si="136"/>
        <v>101287.85999999999</v>
      </c>
    </row>
    <row r="128" spans="11:27">
      <c r="K128" s="2" t="s">
        <v>19</v>
      </c>
      <c r="L128" s="20">
        <f t="shared" si="121"/>
        <v>217219.25</v>
      </c>
      <c r="M128" s="20">
        <f t="shared" si="122"/>
        <v>68750.64</v>
      </c>
      <c r="N128" s="20">
        <f t="shared" si="123"/>
        <v>35259.71</v>
      </c>
      <c r="O128" s="20">
        <f t="shared" si="124"/>
        <v>13771.55</v>
      </c>
      <c r="P128" s="20">
        <f t="shared" si="125"/>
        <v>392681.55</v>
      </c>
      <c r="Q128" s="20">
        <f t="shared" si="126"/>
        <v>7933.95</v>
      </c>
      <c r="R128" s="20">
        <f t="shared" si="127"/>
        <v>13607.68</v>
      </c>
      <c r="S128" s="20">
        <f t="shared" si="128"/>
        <v>273.45999999999998</v>
      </c>
      <c r="T128" s="20">
        <f t="shared" si="129"/>
        <v>7118.16</v>
      </c>
      <c r="U128" s="20">
        <f t="shared" si="130"/>
        <v>783.6</v>
      </c>
      <c r="V128" s="20">
        <f t="shared" si="131"/>
        <v>195.9</v>
      </c>
      <c r="W128" s="20">
        <f t="shared" si="132"/>
        <v>558.91999999999996</v>
      </c>
      <c r="X128" s="20">
        <f t="shared" si="133"/>
        <v>85.71</v>
      </c>
      <c r="Y128" s="20">
        <f t="shared" si="134"/>
        <v>0</v>
      </c>
      <c r="Z128" s="20">
        <f t="shared" si="135"/>
        <v>0</v>
      </c>
      <c r="AA128" s="10">
        <f t="shared" si="136"/>
        <v>758240.08</v>
      </c>
    </row>
    <row r="129" spans="11:27">
      <c r="K129" s="2" t="s">
        <v>21</v>
      </c>
      <c r="L129" s="20">
        <f t="shared" si="121"/>
        <v>15556.22</v>
      </c>
      <c r="M129" s="20">
        <f t="shared" si="122"/>
        <v>6523.06</v>
      </c>
      <c r="N129" s="20">
        <f t="shared" si="123"/>
        <v>2790.37</v>
      </c>
      <c r="O129" s="20">
        <f t="shared" si="124"/>
        <v>815.97</v>
      </c>
      <c r="P129" s="20">
        <f t="shared" si="125"/>
        <v>50444.25</v>
      </c>
      <c r="Q129" s="20">
        <f t="shared" si="126"/>
        <v>979.5</v>
      </c>
      <c r="R129" s="20">
        <f t="shared" si="127"/>
        <v>802.47</v>
      </c>
      <c r="S129" s="20">
        <f t="shared" si="128"/>
        <v>0</v>
      </c>
      <c r="T129" s="20">
        <f t="shared" si="129"/>
        <v>1238.23</v>
      </c>
      <c r="U129" s="20">
        <f t="shared" si="130"/>
        <v>685.65</v>
      </c>
      <c r="V129" s="20">
        <f t="shared" si="131"/>
        <v>0</v>
      </c>
      <c r="W129" s="20">
        <f t="shared" si="132"/>
        <v>0</v>
      </c>
      <c r="X129" s="20">
        <f t="shared" si="133"/>
        <v>28.57</v>
      </c>
      <c r="Y129" s="20">
        <f t="shared" si="134"/>
        <v>0</v>
      </c>
      <c r="Z129" s="20">
        <f t="shared" si="135"/>
        <v>0</v>
      </c>
      <c r="AA129" s="10">
        <f t="shared" si="136"/>
        <v>79864.289999999994</v>
      </c>
    </row>
    <row r="130" spans="11:27">
      <c r="K130" s="2" t="s">
        <v>22</v>
      </c>
      <c r="L130" s="20">
        <f t="shared" si="121"/>
        <v>1695.19</v>
      </c>
      <c r="M130" s="20">
        <f t="shared" si="122"/>
        <v>0</v>
      </c>
      <c r="N130" s="20">
        <f t="shared" si="123"/>
        <v>0</v>
      </c>
      <c r="O130" s="20">
        <f t="shared" si="124"/>
        <v>0</v>
      </c>
      <c r="P130" s="20">
        <f t="shared" si="125"/>
        <v>5191.3500000000004</v>
      </c>
      <c r="Q130" s="20">
        <f t="shared" si="126"/>
        <v>0</v>
      </c>
      <c r="R130" s="20">
        <f t="shared" si="127"/>
        <v>0</v>
      </c>
      <c r="S130" s="20">
        <f t="shared" si="128"/>
        <v>0</v>
      </c>
      <c r="T130" s="20">
        <f t="shared" si="129"/>
        <v>0</v>
      </c>
      <c r="U130" s="20">
        <f t="shared" si="130"/>
        <v>0</v>
      </c>
      <c r="V130" s="20">
        <f t="shared" si="131"/>
        <v>0</v>
      </c>
      <c r="W130" s="20">
        <f t="shared" si="132"/>
        <v>0</v>
      </c>
      <c r="X130" s="20">
        <f t="shared" si="133"/>
        <v>0</v>
      </c>
      <c r="Y130" s="20">
        <f t="shared" si="134"/>
        <v>0</v>
      </c>
      <c r="Z130" s="20">
        <f t="shared" si="135"/>
        <v>0</v>
      </c>
      <c r="AA130" s="10">
        <f t="shared" si="136"/>
        <v>6886.5400000000009</v>
      </c>
    </row>
    <row r="131" spans="11:27">
      <c r="K131" s="2" t="s">
        <v>23</v>
      </c>
      <c r="L131" s="20">
        <f t="shared" si="121"/>
        <v>173408.16</v>
      </c>
      <c r="M131" s="20">
        <f t="shared" si="122"/>
        <v>24407.26</v>
      </c>
      <c r="N131" s="20">
        <f t="shared" si="123"/>
        <v>25943.05</v>
      </c>
      <c r="O131" s="20">
        <f t="shared" si="124"/>
        <v>5837.14</v>
      </c>
      <c r="P131" s="20">
        <f t="shared" si="125"/>
        <v>298747.5</v>
      </c>
      <c r="Q131" s="20">
        <f t="shared" si="126"/>
        <v>2644.65</v>
      </c>
      <c r="R131" s="20">
        <f t="shared" si="127"/>
        <v>4136.7700000000004</v>
      </c>
      <c r="S131" s="20">
        <f t="shared" si="128"/>
        <v>0</v>
      </c>
      <c r="T131" s="20">
        <f t="shared" si="129"/>
        <v>3772.91</v>
      </c>
      <c r="U131" s="20">
        <f t="shared" si="130"/>
        <v>1273.3499999999999</v>
      </c>
      <c r="V131" s="20">
        <f t="shared" si="131"/>
        <v>195.9</v>
      </c>
      <c r="W131" s="20">
        <f t="shared" si="132"/>
        <v>0</v>
      </c>
      <c r="X131" s="20">
        <f t="shared" si="133"/>
        <v>57.14</v>
      </c>
      <c r="Y131" s="20">
        <f t="shared" si="134"/>
        <v>0</v>
      </c>
      <c r="Z131" s="20">
        <f t="shared" si="135"/>
        <v>0</v>
      </c>
      <c r="AA131" s="10">
        <f t="shared" si="136"/>
        <v>540423.83000000007</v>
      </c>
    </row>
    <row r="132" spans="11:27">
      <c r="K132" s="2" t="s">
        <v>25</v>
      </c>
      <c r="L132" s="20">
        <f t="shared" si="121"/>
        <v>898902.24</v>
      </c>
      <c r="M132" s="20">
        <f t="shared" si="122"/>
        <v>297472.65000000002</v>
      </c>
      <c r="N132" s="20">
        <f t="shared" si="123"/>
        <v>119736.69</v>
      </c>
      <c r="O132" s="20">
        <f t="shared" si="124"/>
        <v>30981.64</v>
      </c>
      <c r="P132" s="20">
        <f t="shared" si="125"/>
        <v>1259049.3</v>
      </c>
      <c r="Q132" s="20">
        <f t="shared" si="126"/>
        <v>16063.8</v>
      </c>
      <c r="R132" s="20">
        <f t="shared" si="127"/>
        <v>64888.52</v>
      </c>
      <c r="S132" s="20">
        <f t="shared" si="128"/>
        <v>0</v>
      </c>
      <c r="T132" s="20">
        <f t="shared" si="129"/>
        <v>27372.91</v>
      </c>
      <c r="U132" s="20">
        <f t="shared" si="130"/>
        <v>4211.8500000000004</v>
      </c>
      <c r="V132" s="20">
        <f t="shared" si="131"/>
        <v>391.8</v>
      </c>
      <c r="W132" s="20">
        <f t="shared" si="132"/>
        <v>0</v>
      </c>
      <c r="X132" s="20">
        <f t="shared" si="133"/>
        <v>742.82</v>
      </c>
      <c r="Y132" s="20">
        <f t="shared" si="134"/>
        <v>85.35</v>
      </c>
      <c r="Z132" s="20">
        <f t="shared" si="135"/>
        <v>871.05</v>
      </c>
      <c r="AA132" s="10">
        <f t="shared" si="136"/>
        <v>2720770.6199999996</v>
      </c>
    </row>
    <row r="133" spans="11:27">
      <c r="K133" s="2" t="s">
        <v>24</v>
      </c>
      <c r="L133" s="20">
        <f t="shared" si="121"/>
        <v>21911.53</v>
      </c>
      <c r="M133" s="20">
        <f t="shared" si="122"/>
        <v>5762.02</v>
      </c>
      <c r="N133" s="20">
        <f t="shared" si="123"/>
        <v>1209.48</v>
      </c>
      <c r="O133" s="20">
        <f t="shared" si="124"/>
        <v>138.19999999999999</v>
      </c>
      <c r="P133" s="20">
        <f t="shared" si="125"/>
        <v>35751.75</v>
      </c>
      <c r="Q133" s="20">
        <f t="shared" si="126"/>
        <v>979.5</v>
      </c>
      <c r="R133" s="20">
        <f t="shared" si="127"/>
        <v>429.31</v>
      </c>
      <c r="S133" s="20">
        <f t="shared" si="128"/>
        <v>0</v>
      </c>
      <c r="T133" s="20">
        <f t="shared" si="129"/>
        <v>987.57</v>
      </c>
      <c r="U133" s="20">
        <f t="shared" si="130"/>
        <v>195.9</v>
      </c>
      <c r="V133" s="20">
        <f t="shared" si="131"/>
        <v>0</v>
      </c>
      <c r="W133" s="20">
        <f t="shared" si="132"/>
        <v>0</v>
      </c>
      <c r="X133" s="20">
        <f t="shared" si="133"/>
        <v>0</v>
      </c>
      <c r="Y133" s="20">
        <f t="shared" si="134"/>
        <v>0</v>
      </c>
      <c r="Z133" s="20">
        <f t="shared" si="135"/>
        <v>0</v>
      </c>
      <c r="AA133" s="10">
        <f t="shared" si="136"/>
        <v>67365.259999999995</v>
      </c>
    </row>
    <row r="134" spans="11:27">
      <c r="K134" s="2" t="s">
        <v>26</v>
      </c>
      <c r="L134" s="20">
        <f t="shared" si="121"/>
        <v>6979.91</v>
      </c>
      <c r="M134" s="20">
        <f t="shared" si="122"/>
        <v>6468.55</v>
      </c>
      <c r="N134" s="20">
        <f t="shared" si="123"/>
        <v>1295.2</v>
      </c>
      <c r="O134" s="20">
        <f t="shared" si="124"/>
        <v>848.34</v>
      </c>
      <c r="P134" s="20">
        <f t="shared" si="125"/>
        <v>18512.55</v>
      </c>
      <c r="Q134" s="20">
        <f t="shared" si="126"/>
        <v>97.95</v>
      </c>
      <c r="R134" s="20">
        <f t="shared" si="127"/>
        <v>1175.96</v>
      </c>
      <c r="S134" s="20">
        <f t="shared" si="128"/>
        <v>0</v>
      </c>
      <c r="T134" s="20">
        <f t="shared" si="129"/>
        <v>358.44</v>
      </c>
      <c r="U134" s="20">
        <f t="shared" si="130"/>
        <v>391.8</v>
      </c>
      <c r="V134" s="20">
        <f t="shared" si="131"/>
        <v>0</v>
      </c>
      <c r="W134" s="20">
        <f t="shared" si="132"/>
        <v>0</v>
      </c>
      <c r="X134" s="20">
        <f t="shared" si="133"/>
        <v>0</v>
      </c>
      <c r="Y134" s="20">
        <f t="shared" si="134"/>
        <v>0</v>
      </c>
      <c r="Z134" s="20">
        <f t="shared" si="135"/>
        <v>0</v>
      </c>
      <c r="AA134" s="10">
        <f t="shared" si="136"/>
        <v>36128.700000000004</v>
      </c>
    </row>
    <row r="135" spans="11:27">
      <c r="K135" s="2" t="s">
        <v>37</v>
      </c>
      <c r="L135" s="1103">
        <f t="shared" ref="L135:AA135" si="137">SUM(L108:L134)</f>
        <v>2597418.4999999995</v>
      </c>
      <c r="M135" s="1103">
        <f t="shared" si="137"/>
        <v>927376.00000000012</v>
      </c>
      <c r="N135" s="1103">
        <f t="shared" si="137"/>
        <v>343340.64999999997</v>
      </c>
      <c r="O135" s="1103">
        <f t="shared" si="137"/>
        <v>117016.25999999998</v>
      </c>
      <c r="P135" s="1103">
        <f t="shared" si="137"/>
        <v>3768137.8999999994</v>
      </c>
      <c r="Q135" s="1103">
        <f t="shared" si="137"/>
        <v>69838.349999999991</v>
      </c>
      <c r="R135" s="14">
        <f t="shared" si="137"/>
        <v>180820.44</v>
      </c>
      <c r="S135" s="14">
        <f t="shared" si="137"/>
        <v>14197.5</v>
      </c>
      <c r="T135" s="14">
        <f t="shared" si="137"/>
        <v>96250.810000000027</v>
      </c>
      <c r="U135" s="14">
        <f t="shared" si="137"/>
        <v>18708.45</v>
      </c>
      <c r="V135" s="14">
        <f t="shared" si="137"/>
        <v>1567.2</v>
      </c>
      <c r="W135" s="14">
        <f t="shared" si="137"/>
        <v>3936.95</v>
      </c>
      <c r="X135" s="14">
        <f t="shared" si="137"/>
        <v>2142.7500000000005</v>
      </c>
      <c r="Y135" s="14">
        <f t="shared" si="137"/>
        <v>101.47999999999999</v>
      </c>
      <c r="Z135" s="14">
        <f t="shared" si="137"/>
        <v>1016.9499999999999</v>
      </c>
      <c r="AA135" s="6">
        <f t="shared" si="137"/>
        <v>8141870.1899999985</v>
      </c>
    </row>
  </sheetData>
  <mergeCells count="106">
    <mergeCell ref="X106:X107"/>
    <mergeCell ref="Y106:Z106"/>
    <mergeCell ref="AA3:AA4"/>
    <mergeCell ref="AB3:AB4"/>
    <mergeCell ref="R72:AI72"/>
    <mergeCell ref="R73:R74"/>
    <mergeCell ref="S73:T73"/>
    <mergeCell ref="U73:V73"/>
    <mergeCell ref="W73:W74"/>
    <mergeCell ref="K105:AA105"/>
    <mergeCell ref="K106:K107"/>
    <mergeCell ref="L106:M106"/>
    <mergeCell ref="N106:O106"/>
    <mergeCell ref="P106:P107"/>
    <mergeCell ref="Q106:Q107"/>
    <mergeCell ref="R106:R107"/>
    <mergeCell ref="S106:S107"/>
    <mergeCell ref="T106:T107"/>
    <mergeCell ref="U106:U107"/>
    <mergeCell ref="Y73:Y74"/>
    <mergeCell ref="Z73:Z74"/>
    <mergeCell ref="AA73:AA74"/>
    <mergeCell ref="AB73:AB74"/>
    <mergeCell ref="AC73:AC74"/>
    <mergeCell ref="V106:V107"/>
    <mergeCell ref="W106:W107"/>
    <mergeCell ref="Z3:Z4"/>
    <mergeCell ref="X73:X74"/>
    <mergeCell ref="AA106:AA107"/>
    <mergeCell ref="R2:AI2"/>
    <mergeCell ref="R3:R4"/>
    <mergeCell ref="S3:T3"/>
    <mergeCell ref="U3:V3"/>
    <mergeCell ref="W3:W4"/>
    <mergeCell ref="X3:X4"/>
    <mergeCell ref="Y3:Y4"/>
    <mergeCell ref="Y38:Y39"/>
    <mergeCell ref="Z38:Z39"/>
    <mergeCell ref="AA38:AA39"/>
    <mergeCell ref="AB38:AB39"/>
    <mergeCell ref="AC38:AC39"/>
    <mergeCell ref="AD38:AD39"/>
    <mergeCell ref="R37:AI37"/>
    <mergeCell ref="R38:R39"/>
    <mergeCell ref="S38:T38"/>
    <mergeCell ref="U38:V38"/>
    <mergeCell ref="W38:W39"/>
    <mergeCell ref="X38:X39"/>
    <mergeCell ref="AG3:AH3"/>
    <mergeCell ref="AI3:AI4"/>
    <mergeCell ref="AC3:AC4"/>
    <mergeCell ref="AD3:AD4"/>
    <mergeCell ref="AE3:AE4"/>
    <mergeCell ref="AE38:AE39"/>
    <mergeCell ref="AG38:AH38"/>
    <mergeCell ref="AI38:AI39"/>
    <mergeCell ref="AD73:AD74"/>
    <mergeCell ref="AE73:AE74"/>
    <mergeCell ref="AG73:AH73"/>
    <mergeCell ref="AI73:AI74"/>
    <mergeCell ref="AF3:AF4"/>
    <mergeCell ref="AF38:AF39"/>
    <mergeCell ref="AF73:AF74"/>
    <mergeCell ref="D38:E38"/>
    <mergeCell ref="F38:F39"/>
    <mergeCell ref="G38:G39"/>
    <mergeCell ref="A72:O72"/>
    <mergeCell ref="A73:A74"/>
    <mergeCell ref="B73:C73"/>
    <mergeCell ref="D73:E73"/>
    <mergeCell ref="F73:F74"/>
    <mergeCell ref="G73:G74"/>
    <mergeCell ref="H73:H74"/>
    <mergeCell ref="I73:I74"/>
    <mergeCell ref="J73:J74"/>
    <mergeCell ref="K73:K74"/>
    <mergeCell ref="L73:L74"/>
    <mergeCell ref="M73:M74"/>
    <mergeCell ref="N73:N74"/>
    <mergeCell ref="O73:O74"/>
    <mergeCell ref="N38:N39"/>
    <mergeCell ref="O38:O39"/>
    <mergeCell ref="B35:H35"/>
    <mergeCell ref="K3:K4"/>
    <mergeCell ref="M38:M39"/>
    <mergeCell ref="L3:L4"/>
    <mergeCell ref="M3:M4"/>
    <mergeCell ref="N3:N4"/>
    <mergeCell ref="O3:O4"/>
    <mergeCell ref="L38:L39"/>
    <mergeCell ref="A2:O2"/>
    <mergeCell ref="A3:A4"/>
    <mergeCell ref="B3:C3"/>
    <mergeCell ref="D3:E3"/>
    <mergeCell ref="F3:F4"/>
    <mergeCell ref="G3:G4"/>
    <mergeCell ref="H3:H4"/>
    <mergeCell ref="I3:I4"/>
    <mergeCell ref="J3:J4"/>
    <mergeCell ref="H38:H39"/>
    <mergeCell ref="I38:I39"/>
    <mergeCell ref="J38:J39"/>
    <mergeCell ref="K38:K39"/>
    <mergeCell ref="A37:O37"/>
    <mergeCell ref="A38:A39"/>
    <mergeCell ref="B38:C38"/>
  </mergeCells>
  <pageMargins left="0.511811024" right="0.511811024" top="0.78740157499999996" bottom="0.78740157499999996" header="0.31496062000000002" footer="0.31496062000000002"/>
  <pageSetup paperSize="9" scale="15" orientation="landscape" r:id="rId1"/>
  <ignoredErrors>
    <ignoredError sqref="AO75:AO101"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tabColor theme="9" tint="0.59999389629810485"/>
  </sheetPr>
  <dimension ref="A1:XFC37"/>
  <sheetViews>
    <sheetView showGridLines="0" showRowColHeaders="0"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tabColor theme="9" tint="0.59999389629810485"/>
  </sheetPr>
  <dimension ref="A1:XFC37"/>
  <sheetViews>
    <sheetView showGridLines="0" showRowColHeaders="0" zoomScale="68" zoomScaleNormal="68"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theme="9" tint="0.59999389629810485"/>
  </sheetPr>
  <dimension ref="A1:XFC37"/>
  <sheetViews>
    <sheetView showGridLines="0" showRowColHeaders="0" zoomScale="60" zoomScaleNormal="60" zoomScaleSheetLayoutView="5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scale="33"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tabColor theme="9" tint="0.59999389629810485"/>
  </sheetPr>
  <dimension ref="A1:XFC37"/>
  <sheetViews>
    <sheetView showGridLines="0" showRowColHeaders="0" zoomScale="68" zoomScaleNormal="68"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tabColor theme="9" tint="0.59999389629810485"/>
  </sheetPr>
  <dimension ref="A1:XFC37"/>
  <sheetViews>
    <sheetView showGridLines="0" showRowColHeaders="0" zoomScale="64" zoomScaleNormal="64"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2:Y105"/>
  <sheetViews>
    <sheetView topLeftCell="K31" zoomScale="70" zoomScaleNormal="7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71</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5366.7760000000007</v>
      </c>
      <c r="D5" s="20">
        <f t="shared" si="0"/>
        <v>1032.5040000000001</v>
      </c>
      <c r="E5" s="20">
        <f t="shared" si="0"/>
        <v>1119.96</v>
      </c>
      <c r="F5" s="20">
        <f t="shared" si="0"/>
        <v>439.20000000000005</v>
      </c>
      <c r="G5" s="20">
        <f t="shared" si="0"/>
        <v>11048.760000000002</v>
      </c>
      <c r="H5" s="20">
        <f t="shared" si="0"/>
        <v>1802.28</v>
      </c>
      <c r="I5" s="20">
        <f t="shared" si="0"/>
        <v>98.816000000000003</v>
      </c>
      <c r="J5" s="20">
        <f t="shared" si="0"/>
        <v>0</v>
      </c>
      <c r="K5" s="20">
        <f t="shared" si="0"/>
        <v>202.84800000000001</v>
      </c>
      <c r="L5" s="20">
        <f t="shared" si="0"/>
        <v>391.8</v>
      </c>
      <c r="M5" s="20">
        <f t="shared" si="0"/>
        <v>0</v>
      </c>
      <c r="N5" s="20">
        <f t="shared" si="0"/>
        <v>0</v>
      </c>
      <c r="O5" s="20">
        <f t="shared" si="0"/>
        <v>0</v>
      </c>
      <c r="P5" s="20">
        <f t="shared" ref="P5:P31" si="1">P75*0.8</f>
        <v>0</v>
      </c>
      <c r="Q5" s="20">
        <f t="shared" si="0"/>
        <v>0</v>
      </c>
      <c r="R5" s="20">
        <f t="shared" si="0"/>
        <v>0</v>
      </c>
      <c r="S5" s="10">
        <f t="shared" ref="S5:S31" si="2">SUM(C5:R5)</f>
        <v>21502.944000000003</v>
      </c>
      <c r="T5" s="1093">
        <f t="shared" ref="T5:T31" si="3">C5</f>
        <v>5366.7760000000007</v>
      </c>
      <c r="U5" s="1093">
        <f t="shared" ref="U5:U31" si="4">D5</f>
        <v>1032.5040000000001</v>
      </c>
      <c r="V5" s="1093">
        <f t="shared" ref="V5:V31" si="5">E5</f>
        <v>1119.96</v>
      </c>
      <c r="W5" s="1093">
        <f t="shared" ref="W5:W31" si="6">F5</f>
        <v>439.20000000000005</v>
      </c>
      <c r="X5" s="1093">
        <f t="shared" ref="X5:X31" si="7">G5</f>
        <v>11048.760000000002</v>
      </c>
      <c r="Y5" s="1093">
        <f>SUM(H5:R5)</f>
        <v>2495.7440000000001</v>
      </c>
    </row>
    <row r="6" spans="2:25">
      <c r="B6" s="2" t="s">
        <v>88</v>
      </c>
      <c r="C6" s="20">
        <f t="shared" ref="C6:R6" si="8">C76*0.8</f>
        <v>17241.904000000002</v>
      </c>
      <c r="D6" s="20">
        <f t="shared" si="8"/>
        <v>8710.2320000000018</v>
      </c>
      <c r="E6" s="20">
        <f t="shared" si="8"/>
        <v>959.96800000000007</v>
      </c>
      <c r="F6" s="20">
        <f t="shared" si="8"/>
        <v>233.80799999999999</v>
      </c>
      <c r="G6" s="20">
        <f t="shared" si="8"/>
        <v>30403.68</v>
      </c>
      <c r="H6" s="20">
        <f t="shared" si="8"/>
        <v>391.8</v>
      </c>
      <c r="I6" s="20">
        <f t="shared" si="8"/>
        <v>1565.672</v>
      </c>
      <c r="J6" s="20">
        <f t="shared" si="8"/>
        <v>0</v>
      </c>
      <c r="K6" s="20">
        <f t="shared" si="8"/>
        <v>898.22400000000005</v>
      </c>
      <c r="L6" s="20">
        <f t="shared" si="8"/>
        <v>0</v>
      </c>
      <c r="M6" s="20">
        <f t="shared" si="8"/>
        <v>0</v>
      </c>
      <c r="N6" s="20">
        <f t="shared" si="8"/>
        <v>0</v>
      </c>
      <c r="O6" s="20">
        <f t="shared" si="8"/>
        <v>0</v>
      </c>
      <c r="P6" s="20">
        <f t="shared" si="1"/>
        <v>0</v>
      </c>
      <c r="Q6" s="20">
        <f t="shared" si="8"/>
        <v>0</v>
      </c>
      <c r="R6" s="20">
        <f t="shared" si="8"/>
        <v>0</v>
      </c>
      <c r="S6" s="10">
        <f t="shared" si="2"/>
        <v>60405.288000000008</v>
      </c>
      <c r="T6" s="1093">
        <f t="shared" si="3"/>
        <v>17241.904000000002</v>
      </c>
      <c r="U6" s="1093">
        <f t="shared" si="4"/>
        <v>8710.2320000000018</v>
      </c>
      <c r="V6" s="1093">
        <f t="shared" si="5"/>
        <v>959.96800000000007</v>
      </c>
      <c r="W6" s="1093">
        <f t="shared" si="6"/>
        <v>233.80799999999999</v>
      </c>
      <c r="X6" s="1093">
        <f t="shared" si="7"/>
        <v>30403.68</v>
      </c>
      <c r="Y6" s="1093">
        <f t="shared" ref="Y6:Y31" si="9">SUM(H6:R6)</f>
        <v>2855.6959999999999</v>
      </c>
    </row>
    <row r="7" spans="2:25">
      <c r="B7" s="2" t="s">
        <v>89</v>
      </c>
      <c r="C7" s="20">
        <f t="shared" ref="C7:R7" si="10">C77*0.8</f>
        <v>4209.384</v>
      </c>
      <c r="D7" s="20">
        <f t="shared" si="10"/>
        <v>3016.1759999999999</v>
      </c>
      <c r="E7" s="20">
        <f t="shared" si="10"/>
        <v>548.55200000000002</v>
      </c>
      <c r="F7" s="20">
        <f t="shared" si="10"/>
        <v>311.56799999999998</v>
      </c>
      <c r="G7" s="20">
        <f t="shared" si="10"/>
        <v>13477.920000000002</v>
      </c>
      <c r="H7" s="20">
        <f t="shared" si="10"/>
        <v>313.44000000000005</v>
      </c>
      <c r="I7" s="20">
        <f t="shared" si="10"/>
        <v>446.16800000000006</v>
      </c>
      <c r="J7" s="20">
        <f t="shared" si="10"/>
        <v>0</v>
      </c>
      <c r="K7" s="20">
        <f t="shared" si="10"/>
        <v>134.4</v>
      </c>
      <c r="L7" s="20">
        <f t="shared" si="10"/>
        <v>235.08000000000004</v>
      </c>
      <c r="M7" s="20">
        <f t="shared" si="10"/>
        <v>0</v>
      </c>
      <c r="N7" s="20">
        <f t="shared" si="10"/>
        <v>0</v>
      </c>
      <c r="O7" s="20">
        <f t="shared" si="10"/>
        <v>0</v>
      </c>
      <c r="P7" s="20">
        <f t="shared" si="1"/>
        <v>0</v>
      </c>
      <c r="Q7" s="20">
        <f t="shared" si="10"/>
        <v>0</v>
      </c>
      <c r="R7" s="20">
        <f t="shared" si="10"/>
        <v>0</v>
      </c>
      <c r="S7" s="10">
        <f t="shared" si="2"/>
        <v>22692.688000000006</v>
      </c>
      <c r="T7" s="1093">
        <f t="shared" si="3"/>
        <v>4209.384</v>
      </c>
      <c r="U7" s="1093">
        <f t="shared" si="4"/>
        <v>3016.1759999999999</v>
      </c>
      <c r="V7" s="1093">
        <f t="shared" si="5"/>
        <v>548.55200000000002</v>
      </c>
      <c r="W7" s="1093">
        <f t="shared" si="6"/>
        <v>311.56799999999998</v>
      </c>
      <c r="X7" s="1093">
        <f t="shared" si="7"/>
        <v>13477.920000000002</v>
      </c>
      <c r="Y7" s="1093">
        <f t="shared" si="9"/>
        <v>1129.0880000000002</v>
      </c>
    </row>
    <row r="8" spans="2:25">
      <c r="B8" s="2" t="s">
        <v>90</v>
      </c>
      <c r="C8" s="20">
        <f t="shared" ref="C8:O8" si="11">C78*0.8</f>
        <v>19643.088</v>
      </c>
      <c r="D8" s="20">
        <f t="shared" si="11"/>
        <v>10934.152000000002</v>
      </c>
      <c r="E8" s="20">
        <f t="shared" si="11"/>
        <v>182.84800000000001</v>
      </c>
      <c r="F8" s="20">
        <f t="shared" si="11"/>
        <v>801.37600000000009</v>
      </c>
      <c r="G8" s="20">
        <f t="shared" si="11"/>
        <v>21000.48</v>
      </c>
      <c r="H8" s="20">
        <f t="shared" si="11"/>
        <v>626.88000000000011</v>
      </c>
      <c r="I8" s="20">
        <f t="shared" si="11"/>
        <v>1490.4160000000002</v>
      </c>
      <c r="J8" s="20">
        <f t="shared" si="11"/>
        <v>0</v>
      </c>
      <c r="K8" s="20">
        <f t="shared" si="11"/>
        <v>1050.7440000000001</v>
      </c>
      <c r="L8" s="20">
        <f t="shared" si="11"/>
        <v>78.360000000000014</v>
      </c>
      <c r="M8" s="20">
        <f t="shared" si="11"/>
        <v>0</v>
      </c>
      <c r="N8" s="20">
        <f t="shared" si="11"/>
        <v>312.512</v>
      </c>
      <c r="O8" s="20">
        <f t="shared" si="11"/>
        <v>0</v>
      </c>
      <c r="P8" s="20">
        <f t="shared" si="1"/>
        <v>0</v>
      </c>
      <c r="Q8" s="20">
        <f>Q78</f>
        <v>0</v>
      </c>
      <c r="R8" s="20">
        <f>R78</f>
        <v>0</v>
      </c>
      <c r="S8" s="10">
        <f t="shared" si="2"/>
        <v>56120.856</v>
      </c>
      <c r="T8" s="1093">
        <f t="shared" si="3"/>
        <v>19643.088</v>
      </c>
      <c r="U8" s="1093">
        <f t="shared" si="4"/>
        <v>10934.152000000002</v>
      </c>
      <c r="V8" s="1093">
        <f t="shared" si="5"/>
        <v>182.84800000000001</v>
      </c>
      <c r="W8" s="1093">
        <f t="shared" si="6"/>
        <v>801.37600000000009</v>
      </c>
      <c r="X8" s="1093">
        <f t="shared" si="7"/>
        <v>21000.48</v>
      </c>
      <c r="Y8" s="1093">
        <f t="shared" si="9"/>
        <v>3558.9120000000007</v>
      </c>
    </row>
    <row r="9" spans="2:25">
      <c r="B9" s="2" t="s">
        <v>91</v>
      </c>
      <c r="C9" s="20">
        <f t="shared" ref="C9:O9" si="12">C79*0.8</f>
        <v>49621.16</v>
      </c>
      <c r="D9" s="20">
        <f t="shared" si="12"/>
        <v>14971.176000000001</v>
      </c>
      <c r="E9" s="20">
        <f t="shared" si="12"/>
        <v>4533.152</v>
      </c>
      <c r="F9" s="20">
        <f t="shared" si="12"/>
        <v>1919.3440000000001</v>
      </c>
      <c r="G9" s="20">
        <f t="shared" si="12"/>
        <v>62844.72</v>
      </c>
      <c r="H9" s="20">
        <f t="shared" si="12"/>
        <v>1567.2</v>
      </c>
      <c r="I9" s="20">
        <f t="shared" si="12"/>
        <v>2274.848</v>
      </c>
      <c r="J9" s="20">
        <f t="shared" si="12"/>
        <v>0</v>
      </c>
      <c r="K9" s="20">
        <f t="shared" si="12"/>
        <v>1947.0240000000003</v>
      </c>
      <c r="L9" s="20">
        <f t="shared" si="12"/>
        <v>705.24</v>
      </c>
      <c r="M9" s="20">
        <f t="shared" si="12"/>
        <v>0</v>
      </c>
      <c r="N9" s="20">
        <f t="shared" si="12"/>
        <v>0</v>
      </c>
      <c r="O9" s="20">
        <f t="shared" si="12"/>
        <v>22.856000000000002</v>
      </c>
      <c r="P9" s="20">
        <f t="shared" si="1"/>
        <v>0</v>
      </c>
      <c r="Q9" s="20">
        <f t="shared" ref="Q9:R21" si="13">Q79*0.8</f>
        <v>0</v>
      </c>
      <c r="R9" s="20">
        <f t="shared" si="13"/>
        <v>0</v>
      </c>
      <c r="S9" s="10">
        <f t="shared" si="2"/>
        <v>140406.72</v>
      </c>
      <c r="T9" s="1093">
        <f t="shared" si="3"/>
        <v>49621.16</v>
      </c>
      <c r="U9" s="1093">
        <f t="shared" si="4"/>
        <v>14971.176000000001</v>
      </c>
      <c r="V9" s="1093">
        <f t="shared" si="5"/>
        <v>4533.152</v>
      </c>
      <c r="W9" s="1093">
        <f t="shared" si="6"/>
        <v>1919.3440000000001</v>
      </c>
      <c r="X9" s="1093">
        <f t="shared" si="7"/>
        <v>62844.72</v>
      </c>
      <c r="Y9" s="1093">
        <f t="shared" si="9"/>
        <v>6517.1679999999997</v>
      </c>
    </row>
    <row r="10" spans="2:25">
      <c r="B10" s="2" t="s">
        <v>92</v>
      </c>
      <c r="C10" s="20">
        <f t="shared" ref="C10:O10" si="14">C80*0.8</f>
        <v>23167.584000000003</v>
      </c>
      <c r="D10" s="20">
        <f t="shared" si="14"/>
        <v>6142.2640000000001</v>
      </c>
      <c r="E10" s="20">
        <f t="shared" si="14"/>
        <v>3304.0080000000003</v>
      </c>
      <c r="F10" s="20">
        <f t="shared" si="14"/>
        <v>1261.384</v>
      </c>
      <c r="G10" s="20">
        <f t="shared" si="14"/>
        <v>27582.720000000001</v>
      </c>
      <c r="H10" s="20">
        <f t="shared" si="14"/>
        <v>940.32000000000016</v>
      </c>
      <c r="I10" s="20">
        <f t="shared" si="14"/>
        <v>879.18400000000008</v>
      </c>
      <c r="J10" s="20">
        <f t="shared" si="14"/>
        <v>1582.0320000000002</v>
      </c>
      <c r="K10" s="20">
        <f t="shared" si="14"/>
        <v>1020.256</v>
      </c>
      <c r="L10" s="20">
        <f t="shared" si="14"/>
        <v>0</v>
      </c>
      <c r="M10" s="20">
        <f t="shared" si="14"/>
        <v>156.72000000000003</v>
      </c>
      <c r="N10" s="20">
        <f t="shared" si="14"/>
        <v>0</v>
      </c>
      <c r="O10" s="20">
        <f t="shared" si="14"/>
        <v>0</v>
      </c>
      <c r="P10" s="20">
        <f t="shared" si="1"/>
        <v>0</v>
      </c>
      <c r="Q10" s="20">
        <f t="shared" si="13"/>
        <v>0</v>
      </c>
      <c r="R10" s="20">
        <f t="shared" si="13"/>
        <v>0</v>
      </c>
      <c r="S10" s="10">
        <f t="shared" si="2"/>
        <v>66036.472000000009</v>
      </c>
      <c r="T10" s="1093">
        <f t="shared" si="3"/>
        <v>23167.584000000003</v>
      </c>
      <c r="U10" s="1093">
        <f t="shared" si="4"/>
        <v>6142.2640000000001</v>
      </c>
      <c r="V10" s="1093">
        <f t="shared" si="5"/>
        <v>3304.0080000000003</v>
      </c>
      <c r="W10" s="1093">
        <f t="shared" si="6"/>
        <v>1261.384</v>
      </c>
      <c r="X10" s="1093">
        <f t="shared" si="7"/>
        <v>27582.720000000001</v>
      </c>
      <c r="Y10" s="1093">
        <f t="shared" si="9"/>
        <v>4578.5120000000006</v>
      </c>
    </row>
    <row r="11" spans="2:25">
      <c r="B11" s="2" t="s">
        <v>93</v>
      </c>
      <c r="C11" s="20">
        <f t="shared" ref="C11:O11" si="15">C81*0.8</f>
        <v>59736.216000000008</v>
      </c>
      <c r="D11" s="20">
        <f t="shared" si="15"/>
        <v>30243.520000000004</v>
      </c>
      <c r="E11" s="20">
        <f t="shared" si="15"/>
        <v>4771.88</v>
      </c>
      <c r="F11" s="20">
        <f t="shared" si="15"/>
        <v>619.13599999999997</v>
      </c>
      <c r="G11" s="20">
        <f t="shared" si="15"/>
        <v>73815.12</v>
      </c>
      <c r="H11" s="20">
        <f t="shared" si="15"/>
        <v>2272.44</v>
      </c>
      <c r="I11" s="20">
        <f t="shared" si="15"/>
        <v>4572.152</v>
      </c>
      <c r="J11" s="20">
        <f t="shared" si="15"/>
        <v>3773.0160000000005</v>
      </c>
      <c r="K11" s="20">
        <f t="shared" si="15"/>
        <v>3260.0560000000005</v>
      </c>
      <c r="L11" s="20">
        <f t="shared" si="15"/>
        <v>861.96</v>
      </c>
      <c r="M11" s="20">
        <f t="shared" si="15"/>
        <v>156.72000000000003</v>
      </c>
      <c r="N11" s="20">
        <f t="shared" si="15"/>
        <v>0</v>
      </c>
      <c r="O11" s="20">
        <f t="shared" si="15"/>
        <v>45.712000000000003</v>
      </c>
      <c r="P11" s="20">
        <f t="shared" si="1"/>
        <v>0</v>
      </c>
      <c r="Q11" s="20">
        <f t="shared" si="13"/>
        <v>0</v>
      </c>
      <c r="R11" s="20">
        <f t="shared" si="13"/>
        <v>0</v>
      </c>
      <c r="S11" s="10">
        <f t="shared" si="2"/>
        <v>184127.92800000001</v>
      </c>
      <c r="T11" s="1093">
        <f t="shared" si="3"/>
        <v>59736.216000000008</v>
      </c>
      <c r="U11" s="1093">
        <f t="shared" si="4"/>
        <v>30243.520000000004</v>
      </c>
      <c r="V11" s="1093">
        <f t="shared" si="5"/>
        <v>4771.88</v>
      </c>
      <c r="W11" s="1093">
        <f t="shared" si="6"/>
        <v>619.13599999999997</v>
      </c>
      <c r="X11" s="1093">
        <f t="shared" si="7"/>
        <v>73815.12</v>
      </c>
      <c r="Y11" s="1093">
        <f t="shared" si="9"/>
        <v>14942.055999999999</v>
      </c>
    </row>
    <row r="12" spans="2:25">
      <c r="B12" s="2" t="s">
        <v>94</v>
      </c>
      <c r="C12" s="20">
        <f t="shared" ref="C12:O12" si="16">C82*0.8</f>
        <v>38097.896000000001</v>
      </c>
      <c r="D12" s="20">
        <f t="shared" si="16"/>
        <v>9854.9600000000009</v>
      </c>
      <c r="E12" s="20">
        <f t="shared" si="16"/>
        <v>4197.9279999999999</v>
      </c>
      <c r="F12" s="20">
        <f t="shared" si="16"/>
        <v>1018.3920000000001</v>
      </c>
      <c r="G12" s="20">
        <f t="shared" si="16"/>
        <v>65822.400000000009</v>
      </c>
      <c r="H12" s="20">
        <f t="shared" si="16"/>
        <v>1488.8400000000001</v>
      </c>
      <c r="I12" s="20">
        <f t="shared" si="16"/>
        <v>2475.4880000000003</v>
      </c>
      <c r="J12" s="20">
        <f t="shared" si="16"/>
        <v>0</v>
      </c>
      <c r="K12" s="20">
        <f t="shared" si="16"/>
        <v>561.31200000000001</v>
      </c>
      <c r="L12" s="20">
        <f t="shared" si="16"/>
        <v>313.44000000000005</v>
      </c>
      <c r="M12" s="20">
        <f t="shared" si="16"/>
        <v>0</v>
      </c>
      <c r="N12" s="20">
        <f t="shared" si="16"/>
        <v>0</v>
      </c>
      <c r="O12" s="20">
        <f t="shared" si="16"/>
        <v>22.856000000000002</v>
      </c>
      <c r="P12" s="20">
        <f t="shared" si="1"/>
        <v>0</v>
      </c>
      <c r="Q12" s="20">
        <f t="shared" si="13"/>
        <v>0</v>
      </c>
      <c r="R12" s="20">
        <f t="shared" si="13"/>
        <v>0</v>
      </c>
      <c r="S12" s="10">
        <f t="shared" si="2"/>
        <v>123853.512</v>
      </c>
      <c r="T12" s="1093">
        <f t="shared" si="3"/>
        <v>38097.896000000001</v>
      </c>
      <c r="U12" s="1093">
        <f t="shared" si="4"/>
        <v>9854.9600000000009</v>
      </c>
      <c r="V12" s="1093">
        <f t="shared" si="5"/>
        <v>4197.9279999999999</v>
      </c>
      <c r="W12" s="1093">
        <f t="shared" si="6"/>
        <v>1018.3920000000001</v>
      </c>
      <c r="X12" s="1093">
        <f t="shared" si="7"/>
        <v>65822.400000000009</v>
      </c>
      <c r="Y12" s="1093">
        <f t="shared" si="9"/>
        <v>4861.9359999999997</v>
      </c>
    </row>
    <row r="13" spans="2:25">
      <c r="B13" s="2" t="s">
        <v>95</v>
      </c>
      <c r="C13" s="20">
        <f t="shared" ref="C13:O13" si="17">C83*0.8</f>
        <v>45166.648000000001</v>
      </c>
      <c r="D13" s="20">
        <f t="shared" si="17"/>
        <v>19263.848000000002</v>
      </c>
      <c r="E13" s="20">
        <f t="shared" si="17"/>
        <v>8007.344000000001</v>
      </c>
      <c r="F13" s="20">
        <f t="shared" si="17"/>
        <v>2114</v>
      </c>
      <c r="G13" s="20">
        <f t="shared" si="17"/>
        <v>149197.44</v>
      </c>
      <c r="H13" s="20">
        <f t="shared" si="17"/>
        <v>78.360000000000014</v>
      </c>
      <c r="I13" s="20">
        <f t="shared" si="17"/>
        <v>3148.3440000000001</v>
      </c>
      <c r="J13" s="20">
        <f t="shared" si="17"/>
        <v>1332</v>
      </c>
      <c r="K13" s="20">
        <f t="shared" si="17"/>
        <v>2205.136</v>
      </c>
      <c r="L13" s="20">
        <f t="shared" si="17"/>
        <v>78.360000000000014</v>
      </c>
      <c r="M13" s="20">
        <f t="shared" si="17"/>
        <v>0</v>
      </c>
      <c r="N13" s="20">
        <f t="shared" si="17"/>
        <v>0</v>
      </c>
      <c r="O13" s="20">
        <f t="shared" si="17"/>
        <v>22.856000000000002</v>
      </c>
      <c r="P13" s="20">
        <f t="shared" si="1"/>
        <v>0</v>
      </c>
      <c r="Q13" s="20">
        <f t="shared" si="13"/>
        <v>0</v>
      </c>
      <c r="R13" s="20">
        <f t="shared" si="13"/>
        <v>0</v>
      </c>
      <c r="S13" s="10">
        <f t="shared" si="2"/>
        <v>230614.33599999998</v>
      </c>
      <c r="T13" s="1093">
        <f t="shared" si="3"/>
        <v>45166.648000000001</v>
      </c>
      <c r="U13" s="1093">
        <f t="shared" si="4"/>
        <v>19263.848000000002</v>
      </c>
      <c r="V13" s="1093">
        <f t="shared" si="5"/>
        <v>8007.344000000001</v>
      </c>
      <c r="W13" s="1093">
        <f t="shared" si="6"/>
        <v>2114</v>
      </c>
      <c r="X13" s="1093">
        <f t="shared" si="7"/>
        <v>149197.44</v>
      </c>
      <c r="Y13" s="1093">
        <f t="shared" si="9"/>
        <v>6865.0559999999996</v>
      </c>
    </row>
    <row r="14" spans="2:25">
      <c r="B14" s="2" t="s">
        <v>96</v>
      </c>
      <c r="C14" s="20">
        <f t="shared" ref="C14:O14" si="18">C84*0.8</f>
        <v>11440.864000000001</v>
      </c>
      <c r="D14" s="20">
        <f t="shared" si="18"/>
        <v>7851.44</v>
      </c>
      <c r="E14" s="20">
        <f t="shared" si="18"/>
        <v>685.6880000000001</v>
      </c>
      <c r="F14" s="20">
        <f t="shared" si="18"/>
        <v>644.32000000000005</v>
      </c>
      <c r="G14" s="20">
        <f t="shared" si="18"/>
        <v>12537.6</v>
      </c>
      <c r="H14" s="20">
        <f t="shared" si="18"/>
        <v>235.08000000000004</v>
      </c>
      <c r="I14" s="20">
        <f t="shared" si="18"/>
        <v>1389.5200000000002</v>
      </c>
      <c r="J14" s="20">
        <f t="shared" si="18"/>
        <v>0</v>
      </c>
      <c r="K14" s="20">
        <f t="shared" si="18"/>
        <v>529.048</v>
      </c>
      <c r="L14" s="20">
        <f t="shared" si="18"/>
        <v>156.72000000000003</v>
      </c>
      <c r="M14" s="20">
        <f t="shared" si="18"/>
        <v>0</v>
      </c>
      <c r="N14" s="20">
        <f t="shared" si="18"/>
        <v>0</v>
      </c>
      <c r="O14" s="20">
        <f t="shared" si="18"/>
        <v>0</v>
      </c>
      <c r="P14" s="20">
        <f t="shared" si="1"/>
        <v>0</v>
      </c>
      <c r="Q14" s="20">
        <f t="shared" si="13"/>
        <v>0</v>
      </c>
      <c r="R14" s="20">
        <f t="shared" si="13"/>
        <v>0</v>
      </c>
      <c r="S14" s="10">
        <f t="shared" si="2"/>
        <v>35470.28</v>
      </c>
      <c r="T14" s="1093">
        <f t="shared" si="3"/>
        <v>11440.864000000001</v>
      </c>
      <c r="U14" s="1093">
        <f t="shared" si="4"/>
        <v>7851.44</v>
      </c>
      <c r="V14" s="1093">
        <f t="shared" si="5"/>
        <v>685.6880000000001</v>
      </c>
      <c r="W14" s="1093">
        <f t="shared" si="6"/>
        <v>644.32000000000005</v>
      </c>
      <c r="X14" s="1093">
        <f t="shared" si="7"/>
        <v>12537.6</v>
      </c>
      <c r="Y14" s="1093">
        <f t="shared" si="9"/>
        <v>2310.3680000000004</v>
      </c>
    </row>
    <row r="15" spans="2:25">
      <c r="B15" s="2" t="s">
        <v>97</v>
      </c>
      <c r="C15" s="20">
        <f t="shared" ref="C15:O15" si="19">C85*0.8</f>
        <v>35019.336000000003</v>
      </c>
      <c r="D15" s="20">
        <f t="shared" si="19"/>
        <v>16833.312000000002</v>
      </c>
      <c r="E15" s="20">
        <f t="shared" si="19"/>
        <v>4585.2240000000002</v>
      </c>
      <c r="F15" s="20">
        <f t="shared" si="19"/>
        <v>1615.864</v>
      </c>
      <c r="G15" s="20">
        <f t="shared" si="19"/>
        <v>197075.40000000002</v>
      </c>
      <c r="H15" s="20">
        <f t="shared" si="19"/>
        <v>3359.16</v>
      </c>
      <c r="I15" s="20">
        <f t="shared" si="19"/>
        <v>2172.8960000000002</v>
      </c>
      <c r="J15" s="20">
        <f t="shared" si="19"/>
        <v>0</v>
      </c>
      <c r="K15" s="20">
        <f t="shared" si="19"/>
        <v>2121.848</v>
      </c>
      <c r="L15" s="20">
        <f t="shared" si="19"/>
        <v>235.08000000000004</v>
      </c>
      <c r="M15" s="20">
        <f t="shared" si="19"/>
        <v>156.72000000000003</v>
      </c>
      <c r="N15" s="20">
        <f t="shared" si="19"/>
        <v>0</v>
      </c>
      <c r="O15" s="20">
        <f t="shared" si="19"/>
        <v>45.712000000000003</v>
      </c>
      <c r="P15" s="20">
        <f t="shared" si="1"/>
        <v>0</v>
      </c>
      <c r="Q15" s="20">
        <f t="shared" si="13"/>
        <v>0</v>
      </c>
      <c r="R15" s="20">
        <f t="shared" si="13"/>
        <v>0</v>
      </c>
      <c r="S15" s="10">
        <f t="shared" si="2"/>
        <v>263220.55200000003</v>
      </c>
      <c r="T15" s="1093">
        <f t="shared" si="3"/>
        <v>35019.336000000003</v>
      </c>
      <c r="U15" s="1093">
        <f t="shared" si="4"/>
        <v>16833.312000000002</v>
      </c>
      <c r="V15" s="1093">
        <f t="shared" si="5"/>
        <v>4585.2240000000002</v>
      </c>
      <c r="W15" s="1093">
        <f t="shared" si="6"/>
        <v>1615.864</v>
      </c>
      <c r="X15" s="1093">
        <f t="shared" si="7"/>
        <v>197075.40000000002</v>
      </c>
      <c r="Y15" s="1093">
        <f t="shared" si="9"/>
        <v>8091.4160000000011</v>
      </c>
    </row>
    <row r="16" spans="2:25">
      <c r="B16" s="2" t="s">
        <v>98</v>
      </c>
      <c r="C16" s="20">
        <f t="shared" ref="C16:O16" si="20">C86*0.8</f>
        <v>30022.096000000005</v>
      </c>
      <c r="D16" s="20">
        <f t="shared" si="20"/>
        <v>12309.456</v>
      </c>
      <c r="E16" s="20">
        <f t="shared" si="20"/>
        <v>7232.4480000000003</v>
      </c>
      <c r="F16" s="20">
        <f t="shared" si="20"/>
        <v>1447.7440000000001</v>
      </c>
      <c r="G16" s="20">
        <f t="shared" si="20"/>
        <v>104297.16</v>
      </c>
      <c r="H16" s="20">
        <f t="shared" si="20"/>
        <v>548.52</v>
      </c>
      <c r="I16" s="20">
        <f t="shared" si="20"/>
        <v>2345.616</v>
      </c>
      <c r="J16" s="20">
        <f t="shared" si="20"/>
        <v>0</v>
      </c>
      <c r="K16" s="20">
        <f t="shared" si="20"/>
        <v>1486.5200000000002</v>
      </c>
      <c r="L16" s="20">
        <f t="shared" si="20"/>
        <v>548.52</v>
      </c>
      <c r="M16" s="20">
        <f t="shared" si="20"/>
        <v>0</v>
      </c>
      <c r="N16" s="20">
        <f t="shared" si="20"/>
        <v>368.52</v>
      </c>
      <c r="O16" s="20">
        <f t="shared" si="20"/>
        <v>22.856000000000002</v>
      </c>
      <c r="P16" s="20">
        <f t="shared" si="1"/>
        <v>0</v>
      </c>
      <c r="Q16" s="20">
        <f t="shared" si="13"/>
        <v>0</v>
      </c>
      <c r="R16" s="20">
        <f t="shared" si="13"/>
        <v>0</v>
      </c>
      <c r="S16" s="10">
        <f t="shared" si="2"/>
        <v>160629.45599999998</v>
      </c>
      <c r="T16" s="1093">
        <f t="shared" si="3"/>
        <v>30022.096000000005</v>
      </c>
      <c r="U16" s="1093">
        <f t="shared" si="4"/>
        <v>12309.456</v>
      </c>
      <c r="V16" s="1093">
        <f t="shared" si="5"/>
        <v>7232.4480000000003</v>
      </c>
      <c r="W16" s="1093">
        <f t="shared" si="6"/>
        <v>1447.7440000000001</v>
      </c>
      <c r="X16" s="1093">
        <f t="shared" si="7"/>
        <v>104297.16</v>
      </c>
      <c r="Y16" s="1093">
        <f t="shared" si="9"/>
        <v>5320.5519999999997</v>
      </c>
    </row>
    <row r="17" spans="2:25">
      <c r="B17" s="2" t="s">
        <v>99</v>
      </c>
      <c r="C17" s="20">
        <f t="shared" ref="C17:O17" si="21">C87*0.8</f>
        <v>150660.78400000001</v>
      </c>
      <c r="D17" s="20">
        <f t="shared" si="21"/>
        <v>67184.504000000001</v>
      </c>
      <c r="E17" s="20">
        <f t="shared" si="21"/>
        <v>16198.752</v>
      </c>
      <c r="F17" s="20">
        <f t="shared" si="21"/>
        <v>11258.352000000001</v>
      </c>
      <c r="G17" s="20">
        <f t="shared" si="21"/>
        <v>251457.24</v>
      </c>
      <c r="H17" s="20">
        <f t="shared" si="21"/>
        <v>5641.92</v>
      </c>
      <c r="I17" s="20">
        <f t="shared" si="21"/>
        <v>14148.48</v>
      </c>
      <c r="J17" s="20">
        <f t="shared" si="21"/>
        <v>0</v>
      </c>
      <c r="K17" s="20">
        <f t="shared" si="21"/>
        <v>5766.2400000000007</v>
      </c>
      <c r="L17" s="20">
        <f t="shared" si="21"/>
        <v>5877</v>
      </c>
      <c r="M17" s="20">
        <f t="shared" si="21"/>
        <v>0</v>
      </c>
      <c r="N17" s="20">
        <f t="shared" si="21"/>
        <v>1828.5119999999999</v>
      </c>
      <c r="O17" s="20">
        <f t="shared" si="21"/>
        <v>137.136</v>
      </c>
      <c r="P17" s="20">
        <f t="shared" si="1"/>
        <v>0</v>
      </c>
      <c r="Q17" s="20">
        <f t="shared" si="13"/>
        <v>0</v>
      </c>
      <c r="R17" s="20">
        <f t="shared" si="13"/>
        <v>0</v>
      </c>
      <c r="S17" s="10">
        <f t="shared" si="2"/>
        <v>530158.91999999993</v>
      </c>
      <c r="T17" s="1093">
        <f t="shared" si="3"/>
        <v>150660.78400000001</v>
      </c>
      <c r="U17" s="1093">
        <f t="shared" si="4"/>
        <v>67184.504000000001</v>
      </c>
      <c r="V17" s="1093">
        <f t="shared" si="5"/>
        <v>16198.752</v>
      </c>
      <c r="W17" s="1093">
        <f t="shared" si="6"/>
        <v>11258.352000000001</v>
      </c>
      <c r="X17" s="1093">
        <f t="shared" si="7"/>
        <v>251457.24</v>
      </c>
      <c r="Y17" s="1093">
        <f t="shared" si="9"/>
        <v>33399.288</v>
      </c>
    </row>
    <row r="18" spans="2:25">
      <c r="B18" s="2" t="s">
        <v>100</v>
      </c>
      <c r="C18" s="20">
        <f t="shared" ref="C18:O18" si="22">C88*0.8</f>
        <v>21439.800000000003</v>
      </c>
      <c r="D18" s="20">
        <f t="shared" si="22"/>
        <v>11827.856</v>
      </c>
      <c r="E18" s="20">
        <f t="shared" si="22"/>
        <v>1531.3760000000002</v>
      </c>
      <c r="F18" s="20">
        <f t="shared" si="22"/>
        <v>497.19200000000001</v>
      </c>
      <c r="G18" s="20">
        <f t="shared" si="22"/>
        <v>20687.04</v>
      </c>
      <c r="H18" s="20">
        <f t="shared" si="22"/>
        <v>1332.1200000000001</v>
      </c>
      <c r="I18" s="20">
        <f t="shared" si="22"/>
        <v>2508.3520000000003</v>
      </c>
      <c r="J18" s="20">
        <f t="shared" si="22"/>
        <v>0</v>
      </c>
      <c r="K18" s="20">
        <f t="shared" si="22"/>
        <v>375.03200000000004</v>
      </c>
      <c r="L18" s="20">
        <f t="shared" si="22"/>
        <v>626.88000000000011</v>
      </c>
      <c r="M18" s="20">
        <f t="shared" si="22"/>
        <v>0</v>
      </c>
      <c r="N18" s="20">
        <f t="shared" si="22"/>
        <v>0</v>
      </c>
      <c r="O18" s="20">
        <f t="shared" si="22"/>
        <v>0</v>
      </c>
      <c r="P18" s="20">
        <f t="shared" si="1"/>
        <v>0</v>
      </c>
      <c r="Q18" s="20">
        <f t="shared" si="13"/>
        <v>0</v>
      </c>
      <c r="R18" s="20">
        <f t="shared" si="13"/>
        <v>0</v>
      </c>
      <c r="S18" s="10">
        <f t="shared" si="2"/>
        <v>60825.648000000008</v>
      </c>
      <c r="T18" s="1093">
        <f t="shared" si="3"/>
        <v>21439.800000000003</v>
      </c>
      <c r="U18" s="1093">
        <f t="shared" si="4"/>
        <v>11827.856</v>
      </c>
      <c r="V18" s="1093">
        <f t="shared" si="5"/>
        <v>1531.3760000000002</v>
      </c>
      <c r="W18" s="1093">
        <f t="shared" si="6"/>
        <v>497.19200000000001</v>
      </c>
      <c r="X18" s="1093">
        <f t="shared" si="7"/>
        <v>20687.04</v>
      </c>
      <c r="Y18" s="1093">
        <f t="shared" si="9"/>
        <v>4842.3840000000009</v>
      </c>
    </row>
    <row r="19" spans="2:25">
      <c r="B19" s="2" t="s">
        <v>101</v>
      </c>
      <c r="C19" s="20">
        <f t="shared" ref="C19:O19" si="23">C89*0.8</f>
        <v>18356.448</v>
      </c>
      <c r="D19" s="20">
        <f t="shared" si="23"/>
        <v>9397.9840000000004</v>
      </c>
      <c r="E19" s="20">
        <f t="shared" si="23"/>
        <v>2270.4</v>
      </c>
      <c r="F19" s="20">
        <f t="shared" si="23"/>
        <v>546.72799999999995</v>
      </c>
      <c r="G19" s="20">
        <f t="shared" si="23"/>
        <v>36123.96</v>
      </c>
      <c r="H19" s="20">
        <f t="shared" si="23"/>
        <v>313.44000000000005</v>
      </c>
      <c r="I19" s="20">
        <f t="shared" si="23"/>
        <v>1536.768</v>
      </c>
      <c r="J19" s="20">
        <f t="shared" si="23"/>
        <v>0</v>
      </c>
      <c r="K19" s="20">
        <f t="shared" si="23"/>
        <v>832.75200000000007</v>
      </c>
      <c r="L19" s="20">
        <f t="shared" si="23"/>
        <v>0</v>
      </c>
      <c r="M19" s="20">
        <f t="shared" si="23"/>
        <v>0</v>
      </c>
      <c r="N19" s="20">
        <f t="shared" si="23"/>
        <v>0</v>
      </c>
      <c r="O19" s="20">
        <f t="shared" si="23"/>
        <v>22.856000000000002</v>
      </c>
      <c r="P19" s="20">
        <f t="shared" si="1"/>
        <v>0</v>
      </c>
      <c r="Q19" s="20">
        <f t="shared" si="13"/>
        <v>0</v>
      </c>
      <c r="R19" s="20">
        <f t="shared" si="13"/>
        <v>0</v>
      </c>
      <c r="S19" s="10">
        <f t="shared" si="2"/>
        <v>69401.335999999996</v>
      </c>
      <c r="T19" s="1093">
        <f t="shared" si="3"/>
        <v>18356.448</v>
      </c>
      <c r="U19" s="1093">
        <f t="shared" si="4"/>
        <v>9397.9840000000004</v>
      </c>
      <c r="V19" s="1093">
        <f t="shared" si="5"/>
        <v>2270.4</v>
      </c>
      <c r="W19" s="1093">
        <f t="shared" si="6"/>
        <v>546.72799999999995</v>
      </c>
      <c r="X19" s="1093">
        <f t="shared" si="7"/>
        <v>36123.96</v>
      </c>
      <c r="Y19" s="1093">
        <f t="shared" si="9"/>
        <v>2705.8160000000003</v>
      </c>
    </row>
    <row r="20" spans="2:25">
      <c r="B20" s="2" t="s">
        <v>102</v>
      </c>
      <c r="C20" s="20">
        <f t="shared" ref="C20:O20" si="24">C90*0.8</f>
        <v>155391.22400000002</v>
      </c>
      <c r="D20" s="20">
        <f t="shared" si="24"/>
        <v>58469.368000000009</v>
      </c>
      <c r="E20" s="20">
        <f t="shared" si="24"/>
        <v>30086.440000000002</v>
      </c>
      <c r="F20" s="20">
        <f t="shared" si="24"/>
        <v>12153.68</v>
      </c>
      <c r="G20" s="20">
        <f t="shared" si="24"/>
        <v>427218.72000000003</v>
      </c>
      <c r="H20" s="20">
        <f t="shared" si="24"/>
        <v>4858.32</v>
      </c>
      <c r="I20" s="20">
        <f t="shared" si="24"/>
        <v>10328.872000000001</v>
      </c>
      <c r="J20" s="20">
        <f t="shared" si="24"/>
        <v>0</v>
      </c>
      <c r="K20" s="20">
        <f t="shared" si="24"/>
        <v>5902.6080000000002</v>
      </c>
      <c r="L20" s="20">
        <f t="shared" si="24"/>
        <v>5328.4800000000005</v>
      </c>
      <c r="M20" s="20">
        <f t="shared" si="24"/>
        <v>0</v>
      </c>
      <c r="N20" s="20">
        <f t="shared" si="24"/>
        <v>0</v>
      </c>
      <c r="O20" s="20">
        <f t="shared" si="24"/>
        <v>114.28</v>
      </c>
      <c r="P20" s="20">
        <f t="shared" si="1"/>
        <v>0</v>
      </c>
      <c r="Q20" s="20">
        <f t="shared" si="13"/>
        <v>0</v>
      </c>
      <c r="R20" s="20">
        <f t="shared" si="13"/>
        <v>0</v>
      </c>
      <c r="S20" s="10">
        <f t="shared" si="2"/>
        <v>709851.99199999997</v>
      </c>
      <c r="T20" s="1093">
        <f t="shared" si="3"/>
        <v>155391.22400000002</v>
      </c>
      <c r="U20" s="1093">
        <f t="shared" si="4"/>
        <v>58469.368000000009</v>
      </c>
      <c r="V20" s="1093">
        <f t="shared" si="5"/>
        <v>30086.440000000002</v>
      </c>
      <c r="W20" s="1093">
        <f t="shared" si="6"/>
        <v>12153.68</v>
      </c>
      <c r="X20" s="1093">
        <f t="shared" si="7"/>
        <v>427218.72000000003</v>
      </c>
      <c r="Y20" s="1093">
        <f t="shared" si="9"/>
        <v>26532.560000000001</v>
      </c>
    </row>
    <row r="21" spans="2:25">
      <c r="B21" s="2" t="s">
        <v>103</v>
      </c>
      <c r="C21" s="20">
        <f t="shared" ref="C21:O21" si="25">C91*0.8</f>
        <v>39281.784000000007</v>
      </c>
      <c r="D21" s="20">
        <f t="shared" si="25"/>
        <v>14371.872000000001</v>
      </c>
      <c r="E21" s="20">
        <f t="shared" si="25"/>
        <v>4723.6160000000009</v>
      </c>
      <c r="F21" s="20">
        <f t="shared" si="25"/>
        <v>512.25600000000009</v>
      </c>
      <c r="G21" s="20">
        <f t="shared" si="25"/>
        <v>55713.96</v>
      </c>
      <c r="H21" s="20">
        <f t="shared" si="25"/>
        <v>1175.4000000000001</v>
      </c>
      <c r="I21" s="20">
        <f t="shared" si="25"/>
        <v>2812.6880000000001</v>
      </c>
      <c r="J21" s="20">
        <f t="shared" si="25"/>
        <v>0</v>
      </c>
      <c r="K21" s="20">
        <f t="shared" si="25"/>
        <v>1972.528</v>
      </c>
      <c r="L21" s="20">
        <f t="shared" si="25"/>
        <v>156.72000000000003</v>
      </c>
      <c r="M21" s="20">
        <f t="shared" si="25"/>
        <v>0</v>
      </c>
      <c r="N21" s="20">
        <f t="shared" si="25"/>
        <v>0</v>
      </c>
      <c r="O21" s="20">
        <f t="shared" si="25"/>
        <v>0</v>
      </c>
      <c r="P21" s="20">
        <f t="shared" si="1"/>
        <v>0</v>
      </c>
      <c r="Q21" s="20">
        <f t="shared" si="13"/>
        <v>0</v>
      </c>
      <c r="R21" s="20">
        <f t="shared" si="13"/>
        <v>0</v>
      </c>
      <c r="S21" s="10">
        <f t="shared" si="2"/>
        <v>120720.82400000001</v>
      </c>
      <c r="T21" s="1093">
        <f t="shared" si="3"/>
        <v>39281.784000000007</v>
      </c>
      <c r="U21" s="1093">
        <f t="shared" si="4"/>
        <v>14371.872000000001</v>
      </c>
      <c r="V21" s="1093">
        <f t="shared" si="5"/>
        <v>4723.6160000000009</v>
      </c>
      <c r="W21" s="1093">
        <f t="shared" si="6"/>
        <v>512.25600000000009</v>
      </c>
      <c r="X21" s="1093">
        <f t="shared" si="7"/>
        <v>55713.96</v>
      </c>
      <c r="Y21" s="1093">
        <f t="shared" si="9"/>
        <v>6117.3360000000002</v>
      </c>
    </row>
    <row r="22" spans="2:25">
      <c r="B22" s="2" t="s">
        <v>104</v>
      </c>
      <c r="C22" s="20">
        <f t="shared" ref="C22:O22" si="26">C92*0.8</f>
        <v>13853.008</v>
      </c>
      <c r="D22" s="20">
        <f t="shared" si="26"/>
        <v>3917.9440000000004</v>
      </c>
      <c r="E22" s="20">
        <f t="shared" si="26"/>
        <v>1024.72</v>
      </c>
      <c r="F22" s="20">
        <f t="shared" si="26"/>
        <v>278.84000000000003</v>
      </c>
      <c r="G22" s="20">
        <f t="shared" si="26"/>
        <v>13477.920000000002</v>
      </c>
      <c r="H22" s="20">
        <f t="shared" si="26"/>
        <v>313.44000000000005</v>
      </c>
      <c r="I22" s="20">
        <f t="shared" si="26"/>
        <v>530.16000000000008</v>
      </c>
      <c r="J22" s="20">
        <f t="shared" si="26"/>
        <v>0</v>
      </c>
      <c r="K22" s="20">
        <f t="shared" si="26"/>
        <v>587.72</v>
      </c>
      <c r="L22" s="20">
        <f t="shared" si="26"/>
        <v>0</v>
      </c>
      <c r="M22" s="20">
        <f t="shared" si="26"/>
        <v>0</v>
      </c>
      <c r="N22" s="20">
        <f t="shared" si="26"/>
        <v>0</v>
      </c>
      <c r="O22" s="20">
        <f t="shared" si="26"/>
        <v>0</v>
      </c>
      <c r="P22" s="20">
        <f t="shared" si="1"/>
        <v>0</v>
      </c>
      <c r="Q22" s="20">
        <f>Q92</f>
        <v>0</v>
      </c>
      <c r="R22" s="20">
        <f>R92</f>
        <v>0</v>
      </c>
      <c r="S22" s="10">
        <f t="shared" si="2"/>
        <v>33983.752000000008</v>
      </c>
      <c r="T22" s="1093">
        <f t="shared" si="3"/>
        <v>13853.008</v>
      </c>
      <c r="U22" s="1093">
        <f t="shared" si="4"/>
        <v>3917.9440000000004</v>
      </c>
      <c r="V22" s="1093">
        <f t="shared" si="5"/>
        <v>1024.72</v>
      </c>
      <c r="W22" s="1093">
        <f t="shared" si="6"/>
        <v>278.84000000000003</v>
      </c>
      <c r="X22" s="1093">
        <f t="shared" si="7"/>
        <v>13477.920000000002</v>
      </c>
      <c r="Y22" s="1093">
        <f t="shared" si="9"/>
        <v>1431.3200000000002</v>
      </c>
    </row>
    <row r="23" spans="2:25">
      <c r="B23" s="2" t="s">
        <v>105</v>
      </c>
      <c r="C23" s="20">
        <f t="shared" ref="C23:O23" si="27">C93*0.8</f>
        <v>140905.04</v>
      </c>
      <c r="D23" s="20">
        <f t="shared" si="27"/>
        <v>44998.815999999999</v>
      </c>
      <c r="E23" s="20">
        <f t="shared" si="27"/>
        <v>15936.495999999999</v>
      </c>
      <c r="F23" s="20">
        <f t="shared" si="27"/>
        <v>7156.4240000000009</v>
      </c>
      <c r="G23" s="20">
        <f t="shared" si="27"/>
        <v>149824.32000000001</v>
      </c>
      <c r="H23" s="20">
        <f t="shared" si="27"/>
        <v>5720.2800000000007</v>
      </c>
      <c r="I23" s="20">
        <f t="shared" si="27"/>
        <v>11649.216</v>
      </c>
      <c r="J23" s="20">
        <f t="shared" si="27"/>
        <v>491.59200000000004</v>
      </c>
      <c r="K23" s="20">
        <f t="shared" si="27"/>
        <v>3868.2240000000002</v>
      </c>
      <c r="L23" s="20">
        <f t="shared" si="27"/>
        <v>783.6</v>
      </c>
      <c r="M23" s="20">
        <f t="shared" si="27"/>
        <v>313.44000000000005</v>
      </c>
      <c r="N23" s="20">
        <f t="shared" si="27"/>
        <v>0</v>
      </c>
      <c r="O23" s="20">
        <f t="shared" si="27"/>
        <v>114.28</v>
      </c>
      <c r="P23" s="20">
        <f t="shared" si="1"/>
        <v>0</v>
      </c>
      <c r="Q23" s="20">
        <f t="shared" ref="Q23:R28" si="28">Q93*0.8</f>
        <v>0</v>
      </c>
      <c r="R23" s="20">
        <f t="shared" si="28"/>
        <v>0</v>
      </c>
      <c r="S23" s="10">
        <f t="shared" si="2"/>
        <v>381761.72800000006</v>
      </c>
      <c r="T23" s="1093">
        <f t="shared" si="3"/>
        <v>140905.04</v>
      </c>
      <c r="U23" s="1093">
        <f t="shared" si="4"/>
        <v>44998.815999999999</v>
      </c>
      <c r="V23" s="1093">
        <f t="shared" si="5"/>
        <v>15936.495999999999</v>
      </c>
      <c r="W23" s="1093">
        <f t="shared" si="6"/>
        <v>7156.4240000000009</v>
      </c>
      <c r="X23" s="1093">
        <f t="shared" si="7"/>
        <v>149824.32000000001</v>
      </c>
      <c r="Y23" s="1093">
        <f t="shared" si="9"/>
        <v>22940.631999999994</v>
      </c>
    </row>
    <row r="24" spans="2:25">
      <c r="B24" s="2" t="s">
        <v>106</v>
      </c>
      <c r="C24" s="20">
        <f t="shared" ref="C24:O24" si="29">C94*0.8</f>
        <v>20763.696</v>
      </c>
      <c r="D24" s="20">
        <f t="shared" si="29"/>
        <v>15047.36</v>
      </c>
      <c r="E24" s="20">
        <f t="shared" si="29"/>
        <v>2811.328</v>
      </c>
      <c r="F24" s="20">
        <f t="shared" si="29"/>
        <v>845.12000000000012</v>
      </c>
      <c r="G24" s="20">
        <f t="shared" si="29"/>
        <v>38082.959999999999</v>
      </c>
      <c r="H24" s="20">
        <f t="shared" si="29"/>
        <v>548.52</v>
      </c>
      <c r="I24" s="20">
        <f t="shared" si="29"/>
        <v>2265.9919999999997</v>
      </c>
      <c r="J24" s="20">
        <f t="shared" si="29"/>
        <v>0</v>
      </c>
      <c r="K24" s="20">
        <f t="shared" si="29"/>
        <v>1091.8</v>
      </c>
      <c r="L24" s="20">
        <f t="shared" si="29"/>
        <v>0</v>
      </c>
      <c r="M24" s="20">
        <f t="shared" si="29"/>
        <v>0</v>
      </c>
      <c r="N24" s="20">
        <f t="shared" si="29"/>
        <v>0</v>
      </c>
      <c r="O24" s="20">
        <f t="shared" si="29"/>
        <v>0</v>
      </c>
      <c r="P24" s="20">
        <f t="shared" si="1"/>
        <v>0</v>
      </c>
      <c r="Q24" s="20">
        <f t="shared" si="28"/>
        <v>0</v>
      </c>
      <c r="R24" s="20">
        <f t="shared" si="28"/>
        <v>0</v>
      </c>
      <c r="S24" s="10">
        <f t="shared" si="2"/>
        <v>81456.776000000013</v>
      </c>
      <c r="T24" s="1093">
        <f t="shared" si="3"/>
        <v>20763.696</v>
      </c>
      <c r="U24" s="1093">
        <f t="shared" si="4"/>
        <v>15047.36</v>
      </c>
      <c r="V24" s="1093">
        <f t="shared" si="5"/>
        <v>2811.328</v>
      </c>
      <c r="W24" s="1093">
        <f t="shared" si="6"/>
        <v>845.12000000000012</v>
      </c>
      <c r="X24" s="1093">
        <f t="shared" si="7"/>
        <v>38082.959999999999</v>
      </c>
      <c r="Y24" s="1093">
        <f t="shared" si="9"/>
        <v>3906.3119999999999</v>
      </c>
    </row>
    <row r="25" spans="2:25">
      <c r="B25" s="2" t="s">
        <v>107</v>
      </c>
      <c r="C25" s="20">
        <f t="shared" ref="C25:O25" si="30">C95*0.8</f>
        <v>163836.448</v>
      </c>
      <c r="D25" s="20">
        <f t="shared" si="30"/>
        <v>44244.456000000006</v>
      </c>
      <c r="E25" s="20">
        <f t="shared" si="30"/>
        <v>25030.760000000002</v>
      </c>
      <c r="F25" s="20">
        <f t="shared" si="30"/>
        <v>8636.344000000001</v>
      </c>
      <c r="G25" s="20">
        <f t="shared" si="30"/>
        <v>446652</v>
      </c>
      <c r="H25" s="20">
        <f t="shared" si="30"/>
        <v>1802.28</v>
      </c>
      <c r="I25" s="20">
        <f t="shared" si="30"/>
        <v>8923.4160000000011</v>
      </c>
      <c r="J25" s="20">
        <f t="shared" si="30"/>
        <v>675.88800000000003</v>
      </c>
      <c r="K25" s="20">
        <f t="shared" si="30"/>
        <v>3767.056</v>
      </c>
      <c r="L25" s="20">
        <f t="shared" si="30"/>
        <v>2194.08</v>
      </c>
      <c r="M25" s="20">
        <f t="shared" si="30"/>
        <v>0</v>
      </c>
      <c r="N25" s="20">
        <f t="shared" si="30"/>
        <v>226.04000000000002</v>
      </c>
      <c r="O25" s="20">
        <f t="shared" si="30"/>
        <v>114.28</v>
      </c>
      <c r="P25" s="20">
        <f t="shared" si="1"/>
        <v>0</v>
      </c>
      <c r="Q25" s="20">
        <f t="shared" si="28"/>
        <v>0</v>
      </c>
      <c r="R25" s="20">
        <f t="shared" si="28"/>
        <v>0</v>
      </c>
      <c r="S25" s="10">
        <f t="shared" si="2"/>
        <v>706103.04800000007</v>
      </c>
      <c r="T25" s="1093">
        <f t="shared" si="3"/>
        <v>163836.448</v>
      </c>
      <c r="U25" s="1093">
        <f t="shared" si="4"/>
        <v>44244.456000000006</v>
      </c>
      <c r="V25" s="1093">
        <f t="shared" si="5"/>
        <v>25030.760000000002</v>
      </c>
      <c r="W25" s="1093">
        <f t="shared" si="6"/>
        <v>8636.344000000001</v>
      </c>
      <c r="X25" s="1093">
        <f t="shared" si="7"/>
        <v>446652</v>
      </c>
      <c r="Y25" s="1093">
        <f t="shared" si="9"/>
        <v>17703.04</v>
      </c>
    </row>
    <row r="26" spans="2:25">
      <c r="B26" s="2" t="s">
        <v>108</v>
      </c>
      <c r="C26" s="20">
        <f t="shared" ref="C26:O26" si="31">C96*0.8</f>
        <v>12404.936000000002</v>
      </c>
      <c r="D26" s="20">
        <f t="shared" si="31"/>
        <v>5513.0160000000005</v>
      </c>
      <c r="E26" s="20">
        <f t="shared" si="31"/>
        <v>2095.1680000000001</v>
      </c>
      <c r="F26" s="20">
        <f t="shared" si="31"/>
        <v>311.16000000000003</v>
      </c>
      <c r="G26" s="20">
        <f t="shared" si="31"/>
        <v>53519.880000000005</v>
      </c>
      <c r="H26" s="20">
        <f t="shared" si="31"/>
        <v>313.44000000000005</v>
      </c>
      <c r="I26" s="20">
        <f t="shared" si="31"/>
        <v>696.61599999999999</v>
      </c>
      <c r="J26" s="20">
        <f t="shared" si="31"/>
        <v>0</v>
      </c>
      <c r="K26" s="20">
        <f t="shared" si="31"/>
        <v>570.89600000000007</v>
      </c>
      <c r="L26" s="20">
        <f t="shared" si="31"/>
        <v>235.08000000000004</v>
      </c>
      <c r="M26" s="20">
        <f t="shared" si="31"/>
        <v>0</v>
      </c>
      <c r="N26" s="20">
        <f t="shared" si="31"/>
        <v>0</v>
      </c>
      <c r="O26" s="20">
        <f t="shared" si="31"/>
        <v>22.856000000000002</v>
      </c>
      <c r="P26" s="20">
        <f t="shared" si="1"/>
        <v>0</v>
      </c>
      <c r="Q26" s="20">
        <f t="shared" si="28"/>
        <v>4</v>
      </c>
      <c r="R26" s="20">
        <f t="shared" si="28"/>
        <v>0</v>
      </c>
      <c r="S26" s="10">
        <f t="shared" si="2"/>
        <v>75687.047999999995</v>
      </c>
      <c r="T26" s="1093">
        <f t="shared" si="3"/>
        <v>12404.936000000002</v>
      </c>
      <c r="U26" s="1093">
        <f t="shared" si="4"/>
        <v>5513.0160000000005</v>
      </c>
      <c r="V26" s="1093">
        <f t="shared" si="5"/>
        <v>2095.1680000000001</v>
      </c>
      <c r="W26" s="1093">
        <f t="shared" si="6"/>
        <v>311.16000000000003</v>
      </c>
      <c r="X26" s="1093">
        <f t="shared" si="7"/>
        <v>53519.880000000005</v>
      </c>
      <c r="Y26" s="1093">
        <f t="shared" si="9"/>
        <v>1842.8880000000001</v>
      </c>
    </row>
    <row r="27" spans="2:25">
      <c r="B27" s="2" t="s">
        <v>109</v>
      </c>
      <c r="C27" s="20">
        <f t="shared" ref="C27:O27" si="32">C97*0.8</f>
        <v>2464.6720000000005</v>
      </c>
      <c r="D27" s="20">
        <f t="shared" si="32"/>
        <v>461.82400000000001</v>
      </c>
      <c r="E27" s="20">
        <f t="shared" si="32"/>
        <v>0</v>
      </c>
      <c r="F27" s="20">
        <f t="shared" si="32"/>
        <v>0</v>
      </c>
      <c r="G27" s="20">
        <f t="shared" si="32"/>
        <v>5877</v>
      </c>
      <c r="H27" s="20">
        <f t="shared" si="32"/>
        <v>156.72000000000003</v>
      </c>
      <c r="I27" s="20">
        <f t="shared" si="32"/>
        <v>100.08</v>
      </c>
      <c r="J27" s="20">
        <f t="shared" si="32"/>
        <v>0</v>
      </c>
      <c r="K27" s="20">
        <f t="shared" si="32"/>
        <v>112.376</v>
      </c>
      <c r="L27" s="20">
        <f t="shared" si="32"/>
        <v>0</v>
      </c>
      <c r="M27" s="20">
        <f t="shared" si="32"/>
        <v>0</v>
      </c>
      <c r="N27" s="20">
        <f t="shared" si="32"/>
        <v>0</v>
      </c>
      <c r="O27" s="20">
        <f t="shared" si="32"/>
        <v>0</v>
      </c>
      <c r="P27" s="20">
        <f t="shared" si="1"/>
        <v>0</v>
      </c>
      <c r="Q27" s="20">
        <f t="shared" si="28"/>
        <v>0</v>
      </c>
      <c r="R27" s="20">
        <f t="shared" si="28"/>
        <v>0</v>
      </c>
      <c r="S27" s="10">
        <f t="shared" si="2"/>
        <v>9172.6720000000005</v>
      </c>
      <c r="T27" s="1093">
        <f t="shared" si="3"/>
        <v>2464.6720000000005</v>
      </c>
      <c r="U27" s="1093">
        <f t="shared" si="4"/>
        <v>461.82400000000001</v>
      </c>
      <c r="V27" s="1093">
        <f t="shared" si="5"/>
        <v>0</v>
      </c>
      <c r="W27" s="1093">
        <f t="shared" si="6"/>
        <v>0</v>
      </c>
      <c r="X27" s="1093">
        <f t="shared" si="7"/>
        <v>5877</v>
      </c>
      <c r="Y27" s="1093">
        <f t="shared" si="9"/>
        <v>369.17600000000004</v>
      </c>
    </row>
    <row r="28" spans="2:25">
      <c r="B28" s="2" t="s">
        <v>110</v>
      </c>
      <c r="C28" s="20">
        <f t="shared" ref="C28:O28" si="33">C98*0.8</f>
        <v>118827.63200000001</v>
      </c>
      <c r="D28" s="20">
        <f t="shared" si="33"/>
        <v>20184.176000000003</v>
      </c>
      <c r="E28" s="20">
        <f t="shared" si="33"/>
        <v>14580.064000000002</v>
      </c>
      <c r="F28" s="20">
        <f t="shared" si="33"/>
        <v>3281.1040000000003</v>
      </c>
      <c r="G28" s="20">
        <f t="shared" si="33"/>
        <v>322529.76</v>
      </c>
      <c r="H28" s="20">
        <f t="shared" si="33"/>
        <v>1097.04</v>
      </c>
      <c r="I28" s="20">
        <f t="shared" si="33"/>
        <v>3254.7840000000001</v>
      </c>
      <c r="J28" s="20">
        <f t="shared" si="33"/>
        <v>0</v>
      </c>
      <c r="K28" s="20">
        <f t="shared" si="33"/>
        <v>2792.864</v>
      </c>
      <c r="L28" s="20">
        <f t="shared" si="33"/>
        <v>2429.16</v>
      </c>
      <c r="M28" s="20">
        <f t="shared" si="33"/>
        <v>0</v>
      </c>
      <c r="N28" s="20">
        <f t="shared" si="33"/>
        <v>0</v>
      </c>
      <c r="O28" s="20">
        <f t="shared" si="33"/>
        <v>68.567999999999998</v>
      </c>
      <c r="P28" s="20">
        <f t="shared" si="1"/>
        <v>0</v>
      </c>
      <c r="Q28" s="20">
        <f t="shared" si="28"/>
        <v>0</v>
      </c>
      <c r="R28" s="20">
        <f t="shared" si="28"/>
        <v>0</v>
      </c>
      <c r="S28" s="10">
        <f t="shared" si="2"/>
        <v>489045.152</v>
      </c>
      <c r="T28" s="1093">
        <f t="shared" si="3"/>
        <v>118827.63200000001</v>
      </c>
      <c r="U28" s="1093">
        <f t="shared" si="4"/>
        <v>20184.176000000003</v>
      </c>
      <c r="V28" s="1093">
        <f t="shared" si="5"/>
        <v>14580.064000000002</v>
      </c>
      <c r="W28" s="1093">
        <f t="shared" si="6"/>
        <v>3281.1040000000003</v>
      </c>
      <c r="X28" s="1093">
        <f t="shared" si="7"/>
        <v>322529.76</v>
      </c>
      <c r="Y28" s="1093">
        <f t="shared" si="9"/>
        <v>9642.4159999999993</v>
      </c>
    </row>
    <row r="29" spans="2:25">
      <c r="B29" s="2" t="s">
        <v>111</v>
      </c>
      <c r="C29" s="20">
        <f t="shared" ref="C29:O29" si="34">C99*0.8</f>
        <v>603814.90399999998</v>
      </c>
      <c r="D29" s="20">
        <f t="shared" si="34"/>
        <v>205530.61600000001</v>
      </c>
      <c r="E29" s="20">
        <f t="shared" si="34"/>
        <v>72968.072</v>
      </c>
      <c r="F29" s="20">
        <f t="shared" si="34"/>
        <v>25577.872000000003</v>
      </c>
      <c r="G29" s="20">
        <f t="shared" si="34"/>
        <v>1204236.4800000002</v>
      </c>
      <c r="H29" s="20">
        <f t="shared" si="34"/>
        <v>14026.44</v>
      </c>
      <c r="I29" s="20">
        <f t="shared" si="34"/>
        <v>44665.392</v>
      </c>
      <c r="J29" s="20">
        <f t="shared" si="34"/>
        <v>0</v>
      </c>
      <c r="K29" s="20">
        <f t="shared" si="34"/>
        <v>17943.736000000001</v>
      </c>
      <c r="L29" s="20">
        <f t="shared" si="34"/>
        <v>4858.32</v>
      </c>
      <c r="M29" s="20">
        <f t="shared" si="34"/>
        <v>0</v>
      </c>
      <c r="N29" s="20">
        <f t="shared" si="34"/>
        <v>0</v>
      </c>
      <c r="O29" s="20">
        <f t="shared" si="34"/>
        <v>685.68000000000006</v>
      </c>
      <c r="P29" s="20">
        <f t="shared" si="1"/>
        <v>0</v>
      </c>
      <c r="Q29" s="20">
        <f>Q99</f>
        <v>68.28</v>
      </c>
      <c r="R29" s="20">
        <f>R99</f>
        <v>876.79</v>
      </c>
      <c r="S29" s="10">
        <f t="shared" si="2"/>
        <v>2195252.5819999999</v>
      </c>
      <c r="T29" s="1093">
        <f t="shared" si="3"/>
        <v>603814.90399999998</v>
      </c>
      <c r="U29" s="1093">
        <f t="shared" si="4"/>
        <v>205530.61600000001</v>
      </c>
      <c r="V29" s="1093">
        <f t="shared" si="5"/>
        <v>72968.072</v>
      </c>
      <c r="W29" s="1093">
        <f t="shared" si="6"/>
        <v>25577.872000000003</v>
      </c>
      <c r="X29" s="1093">
        <f t="shared" si="7"/>
        <v>1204236.4800000002</v>
      </c>
      <c r="Y29" s="1093">
        <f t="shared" si="9"/>
        <v>83124.637999999992</v>
      </c>
    </row>
    <row r="30" spans="2:25">
      <c r="B30" s="2" t="s">
        <v>112</v>
      </c>
      <c r="C30" s="20">
        <f t="shared" ref="C30:O30" si="35">C100*0.8</f>
        <v>13182.032000000001</v>
      </c>
      <c r="D30" s="20">
        <f t="shared" si="35"/>
        <v>4824.8480000000009</v>
      </c>
      <c r="E30" s="20">
        <f t="shared" si="35"/>
        <v>1005.672</v>
      </c>
      <c r="F30" s="20">
        <f t="shared" si="35"/>
        <v>639.18400000000008</v>
      </c>
      <c r="G30" s="20">
        <f t="shared" si="35"/>
        <v>27739.440000000002</v>
      </c>
      <c r="H30" s="20">
        <f t="shared" si="35"/>
        <v>548.52</v>
      </c>
      <c r="I30" s="20">
        <f t="shared" si="35"/>
        <v>808.56000000000006</v>
      </c>
      <c r="J30" s="20">
        <f t="shared" si="35"/>
        <v>0</v>
      </c>
      <c r="K30" s="20">
        <f t="shared" si="35"/>
        <v>361.94400000000002</v>
      </c>
      <c r="L30" s="20">
        <f t="shared" si="35"/>
        <v>0</v>
      </c>
      <c r="M30" s="20">
        <f t="shared" si="35"/>
        <v>0</v>
      </c>
      <c r="N30" s="20">
        <f t="shared" si="35"/>
        <v>0</v>
      </c>
      <c r="O30" s="20">
        <f t="shared" si="35"/>
        <v>0</v>
      </c>
      <c r="P30" s="20">
        <f t="shared" si="1"/>
        <v>0</v>
      </c>
      <c r="Q30" s="20">
        <f>Q100*0.8</f>
        <v>0</v>
      </c>
      <c r="R30" s="20">
        <f>R100*0.8</f>
        <v>0</v>
      </c>
      <c r="S30" s="10">
        <f t="shared" si="2"/>
        <v>49110.200000000004</v>
      </c>
      <c r="T30" s="1093">
        <f t="shared" si="3"/>
        <v>13182.032000000001</v>
      </c>
      <c r="U30" s="1093">
        <f t="shared" si="4"/>
        <v>4824.8480000000009</v>
      </c>
      <c r="V30" s="1093">
        <f t="shared" si="5"/>
        <v>1005.672</v>
      </c>
      <c r="W30" s="1093">
        <f t="shared" si="6"/>
        <v>639.18400000000008</v>
      </c>
      <c r="X30" s="1093">
        <f t="shared" si="7"/>
        <v>27739.440000000002</v>
      </c>
      <c r="Y30" s="1093">
        <f t="shared" si="9"/>
        <v>1719.0239999999999</v>
      </c>
    </row>
    <row r="31" spans="2:25">
      <c r="B31" s="2" t="s">
        <v>113</v>
      </c>
      <c r="C31" s="20">
        <f t="shared" ref="C31:O31" si="36">C101*0.8</f>
        <v>7324.2080000000005</v>
      </c>
      <c r="D31" s="20">
        <f t="shared" si="36"/>
        <v>9993.384</v>
      </c>
      <c r="E31" s="20">
        <f t="shared" si="36"/>
        <v>700.928</v>
      </c>
      <c r="F31" s="20">
        <f t="shared" si="36"/>
        <v>1525.3040000000001</v>
      </c>
      <c r="G31" s="20">
        <f t="shared" si="36"/>
        <v>26093.88</v>
      </c>
      <c r="H31" s="20">
        <f t="shared" si="36"/>
        <v>783.6</v>
      </c>
      <c r="I31" s="20">
        <f t="shared" si="36"/>
        <v>1902.9840000000002</v>
      </c>
      <c r="J31" s="20">
        <f t="shared" si="36"/>
        <v>0</v>
      </c>
      <c r="K31" s="20">
        <f t="shared" si="36"/>
        <v>981.64800000000002</v>
      </c>
      <c r="L31" s="20">
        <f t="shared" si="36"/>
        <v>235.08000000000004</v>
      </c>
      <c r="M31" s="20">
        <f t="shared" si="36"/>
        <v>0</v>
      </c>
      <c r="N31" s="20">
        <f t="shared" si="36"/>
        <v>0</v>
      </c>
      <c r="O31" s="20">
        <f t="shared" si="36"/>
        <v>0</v>
      </c>
      <c r="P31" s="20">
        <f t="shared" si="1"/>
        <v>0</v>
      </c>
      <c r="Q31" s="20">
        <f>Q101*0.8</f>
        <v>0</v>
      </c>
      <c r="R31" s="20">
        <f>R101*0.8</f>
        <v>0</v>
      </c>
      <c r="S31" s="10">
        <f t="shared" si="2"/>
        <v>49541.015999999996</v>
      </c>
      <c r="T31" s="1093">
        <f t="shared" si="3"/>
        <v>7324.2080000000005</v>
      </c>
      <c r="U31" s="1093">
        <f t="shared" si="4"/>
        <v>9993.384</v>
      </c>
      <c r="V31" s="1093">
        <f t="shared" si="5"/>
        <v>700.928</v>
      </c>
      <c r="W31" s="1093">
        <f t="shared" si="6"/>
        <v>1525.3040000000001</v>
      </c>
      <c r="X31" s="1093">
        <f t="shared" si="7"/>
        <v>26093.88</v>
      </c>
      <c r="Y31" s="1093">
        <f t="shared" si="9"/>
        <v>3903.3120000000004</v>
      </c>
    </row>
    <row r="32" spans="2:25">
      <c r="B32" s="5" t="s">
        <v>37</v>
      </c>
      <c r="C32" s="6">
        <f t="shared" ref="C32:T32" si="37">SUM(C5:C31)</f>
        <v>1821239.5680000002</v>
      </c>
      <c r="D32" s="6">
        <f t="shared" si="37"/>
        <v>657131.0639999999</v>
      </c>
      <c r="E32" s="6">
        <f t="shared" si="37"/>
        <v>231092.79199999999</v>
      </c>
      <c r="F32" s="6">
        <f t="shared" si="37"/>
        <v>85645.696000000011</v>
      </c>
      <c r="G32" s="6">
        <f t="shared" si="37"/>
        <v>3848337.9600000004</v>
      </c>
      <c r="H32" s="6">
        <f t="shared" si="37"/>
        <v>52255.799999999996</v>
      </c>
      <c r="I32" s="6">
        <f t="shared" si="37"/>
        <v>128991.48000000001</v>
      </c>
      <c r="J32" s="6">
        <f t="shared" si="37"/>
        <v>7854.5280000000002</v>
      </c>
      <c r="K32" s="6">
        <f t="shared" si="37"/>
        <v>62344.840000000011</v>
      </c>
      <c r="L32" s="6">
        <f t="shared" si="37"/>
        <v>26328.960000000003</v>
      </c>
      <c r="M32" s="6">
        <f t="shared" si="37"/>
        <v>783.60000000000014</v>
      </c>
      <c r="N32" s="6">
        <f t="shared" si="37"/>
        <v>2735.5839999999998</v>
      </c>
      <c r="O32" s="6">
        <f t="shared" si="37"/>
        <v>1462.7840000000001</v>
      </c>
      <c r="P32" s="6">
        <f>SUM(P5:P31)</f>
        <v>0</v>
      </c>
      <c r="Q32" s="6">
        <f t="shared" si="37"/>
        <v>72.28</v>
      </c>
      <c r="R32" s="6">
        <f t="shared" si="37"/>
        <v>876.79</v>
      </c>
      <c r="S32" s="6">
        <f t="shared" si="37"/>
        <v>6927153.7259999998</v>
      </c>
      <c r="T32" s="1093">
        <f t="shared" si="37"/>
        <v>1821239.5680000002</v>
      </c>
      <c r="U32" s="1093">
        <f t="shared" ref="U32:Y32" si="38">SUM(U5:U31)</f>
        <v>657131.0639999999</v>
      </c>
      <c r="V32" s="1093">
        <f t="shared" si="38"/>
        <v>231092.79199999999</v>
      </c>
      <c r="W32" s="1093">
        <f t="shared" si="38"/>
        <v>85645.696000000011</v>
      </c>
      <c r="X32" s="1093">
        <f t="shared" si="38"/>
        <v>3848337.9600000004</v>
      </c>
      <c r="Y32" s="1093">
        <f t="shared" si="38"/>
        <v>283706.64599999995</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72</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9">C75*0.2</f>
        <v>1341.6940000000002</v>
      </c>
      <c r="D40" s="20">
        <f t="shared" si="39"/>
        <v>258.12600000000003</v>
      </c>
      <c r="E40" s="20">
        <f t="shared" si="39"/>
        <v>279.99</v>
      </c>
      <c r="F40" s="20">
        <f t="shared" si="39"/>
        <v>109.80000000000001</v>
      </c>
      <c r="G40" s="20">
        <f t="shared" si="39"/>
        <v>2762.1900000000005</v>
      </c>
      <c r="H40" s="20">
        <f t="shared" si="39"/>
        <v>450.57</v>
      </c>
      <c r="I40" s="20">
        <f t="shared" si="39"/>
        <v>24.704000000000001</v>
      </c>
      <c r="J40" s="20">
        <f t="shared" si="39"/>
        <v>0</v>
      </c>
      <c r="K40" s="20">
        <f t="shared" si="39"/>
        <v>50.712000000000003</v>
      </c>
      <c r="L40" s="20">
        <f t="shared" si="39"/>
        <v>97.95</v>
      </c>
      <c r="M40" s="20">
        <f t="shared" si="39"/>
        <v>0</v>
      </c>
      <c r="N40" s="20">
        <f t="shared" si="39"/>
        <v>0</v>
      </c>
      <c r="O40" s="20">
        <f t="shared" si="39"/>
        <v>0</v>
      </c>
      <c r="P40" s="20">
        <f t="shared" ref="P40:P66" si="40">P75*0.2</f>
        <v>0</v>
      </c>
      <c r="Q40" s="20">
        <f t="shared" si="39"/>
        <v>0</v>
      </c>
      <c r="R40" s="20">
        <f t="shared" si="39"/>
        <v>0</v>
      </c>
      <c r="S40" s="10">
        <f t="shared" ref="S40:S66" si="41">SUM(C40:R40)</f>
        <v>5375.7360000000008</v>
      </c>
      <c r="T40" s="1093">
        <f t="shared" ref="T40:T66" si="42">C40</f>
        <v>1341.6940000000002</v>
      </c>
      <c r="U40" s="1093">
        <f t="shared" ref="U40:U66" si="43">D40</f>
        <v>258.12600000000003</v>
      </c>
      <c r="V40" s="1093">
        <f t="shared" ref="V40:V66" si="44">E40</f>
        <v>279.99</v>
      </c>
      <c r="W40" s="1093">
        <f t="shared" ref="W40:W66" si="45">F40</f>
        <v>109.80000000000001</v>
      </c>
      <c r="X40" s="1093">
        <f t="shared" ref="X40:X66" si="46">G40</f>
        <v>2762.1900000000005</v>
      </c>
      <c r="Y40" s="1093">
        <f>SUM(H40:R40)</f>
        <v>623.93600000000004</v>
      </c>
    </row>
    <row r="41" spans="2:25">
      <c r="B41" s="2" t="s">
        <v>88</v>
      </c>
      <c r="C41" s="20">
        <f t="shared" ref="C41:R41" si="47">C76*0.2</f>
        <v>4310.4760000000006</v>
      </c>
      <c r="D41" s="20">
        <f t="shared" si="47"/>
        <v>2177.5580000000004</v>
      </c>
      <c r="E41" s="20">
        <f t="shared" si="47"/>
        <v>239.99200000000002</v>
      </c>
      <c r="F41" s="20">
        <f t="shared" si="47"/>
        <v>58.451999999999998</v>
      </c>
      <c r="G41" s="20">
        <f t="shared" si="47"/>
        <v>7600.92</v>
      </c>
      <c r="H41" s="20">
        <f t="shared" si="47"/>
        <v>97.95</v>
      </c>
      <c r="I41" s="20">
        <f t="shared" si="47"/>
        <v>391.41800000000001</v>
      </c>
      <c r="J41" s="20">
        <f t="shared" si="47"/>
        <v>0</v>
      </c>
      <c r="K41" s="20">
        <f t="shared" si="47"/>
        <v>224.55600000000001</v>
      </c>
      <c r="L41" s="20">
        <f t="shared" si="47"/>
        <v>0</v>
      </c>
      <c r="M41" s="20">
        <f t="shared" si="47"/>
        <v>0</v>
      </c>
      <c r="N41" s="20">
        <f t="shared" si="47"/>
        <v>0</v>
      </c>
      <c r="O41" s="20">
        <f t="shared" si="47"/>
        <v>0</v>
      </c>
      <c r="P41" s="20">
        <f t="shared" si="40"/>
        <v>0</v>
      </c>
      <c r="Q41" s="20">
        <f t="shared" si="47"/>
        <v>0</v>
      </c>
      <c r="R41" s="20">
        <f t="shared" si="47"/>
        <v>0</v>
      </c>
      <c r="S41" s="10">
        <f t="shared" si="41"/>
        <v>15101.322000000002</v>
      </c>
      <c r="T41" s="1093">
        <f t="shared" si="42"/>
        <v>4310.4760000000006</v>
      </c>
      <c r="U41" s="1093">
        <f t="shared" si="43"/>
        <v>2177.5580000000004</v>
      </c>
      <c r="V41" s="1093">
        <f t="shared" si="44"/>
        <v>239.99200000000002</v>
      </c>
      <c r="W41" s="1093">
        <f t="shared" si="45"/>
        <v>58.451999999999998</v>
      </c>
      <c r="X41" s="1093">
        <f t="shared" si="46"/>
        <v>7600.92</v>
      </c>
      <c r="Y41" s="1093">
        <f t="shared" ref="Y41:Y66" si="48">SUM(H41:R41)</f>
        <v>713.92399999999998</v>
      </c>
    </row>
    <row r="42" spans="2:25">
      <c r="B42" s="2" t="s">
        <v>89</v>
      </c>
      <c r="C42" s="20">
        <f t="shared" ref="C42:R42" si="49">C77*0.2</f>
        <v>1052.346</v>
      </c>
      <c r="D42" s="20">
        <f t="shared" si="49"/>
        <v>754.04399999999998</v>
      </c>
      <c r="E42" s="20">
        <f t="shared" si="49"/>
        <v>137.13800000000001</v>
      </c>
      <c r="F42" s="20">
        <f t="shared" si="49"/>
        <v>77.891999999999996</v>
      </c>
      <c r="G42" s="20">
        <f t="shared" si="49"/>
        <v>3369.4800000000005</v>
      </c>
      <c r="H42" s="20">
        <f t="shared" si="49"/>
        <v>78.360000000000014</v>
      </c>
      <c r="I42" s="20">
        <f t="shared" si="49"/>
        <v>111.54200000000002</v>
      </c>
      <c r="J42" s="20">
        <f t="shared" si="49"/>
        <v>0</v>
      </c>
      <c r="K42" s="20">
        <f t="shared" si="49"/>
        <v>33.6</v>
      </c>
      <c r="L42" s="20">
        <f t="shared" si="49"/>
        <v>58.77000000000001</v>
      </c>
      <c r="M42" s="20">
        <f t="shared" si="49"/>
        <v>0</v>
      </c>
      <c r="N42" s="20">
        <f t="shared" si="49"/>
        <v>0</v>
      </c>
      <c r="O42" s="20">
        <f t="shared" si="49"/>
        <v>0</v>
      </c>
      <c r="P42" s="20">
        <f t="shared" si="40"/>
        <v>0</v>
      </c>
      <c r="Q42" s="20">
        <f t="shared" si="49"/>
        <v>0</v>
      </c>
      <c r="R42" s="20">
        <f t="shared" si="49"/>
        <v>0</v>
      </c>
      <c r="S42" s="10">
        <f t="shared" si="41"/>
        <v>5673.1720000000014</v>
      </c>
      <c r="T42" s="1093">
        <f t="shared" si="42"/>
        <v>1052.346</v>
      </c>
      <c r="U42" s="1093">
        <f t="shared" si="43"/>
        <v>754.04399999999998</v>
      </c>
      <c r="V42" s="1093">
        <f t="shared" si="44"/>
        <v>137.13800000000001</v>
      </c>
      <c r="W42" s="1093">
        <f t="shared" si="45"/>
        <v>77.891999999999996</v>
      </c>
      <c r="X42" s="1093">
        <f t="shared" si="46"/>
        <v>3369.4800000000005</v>
      </c>
      <c r="Y42" s="1093">
        <f t="shared" si="48"/>
        <v>282.27200000000005</v>
      </c>
    </row>
    <row r="43" spans="2:25">
      <c r="B43" s="2" t="s">
        <v>90</v>
      </c>
      <c r="C43" s="20">
        <f t="shared" ref="C43:O43" si="50">C78*0.2</f>
        <v>4910.7719999999999</v>
      </c>
      <c r="D43" s="20">
        <f t="shared" si="50"/>
        <v>2733.5380000000005</v>
      </c>
      <c r="E43" s="20">
        <f t="shared" si="50"/>
        <v>45.712000000000003</v>
      </c>
      <c r="F43" s="20">
        <f t="shared" si="50"/>
        <v>200.34400000000002</v>
      </c>
      <c r="G43" s="20">
        <f t="shared" si="50"/>
        <v>5250.12</v>
      </c>
      <c r="H43" s="20">
        <f t="shared" si="50"/>
        <v>156.72000000000003</v>
      </c>
      <c r="I43" s="20">
        <f t="shared" si="50"/>
        <v>372.60400000000004</v>
      </c>
      <c r="J43" s="20">
        <f t="shared" si="50"/>
        <v>0</v>
      </c>
      <c r="K43" s="20">
        <f t="shared" si="50"/>
        <v>262.68600000000004</v>
      </c>
      <c r="L43" s="20">
        <f t="shared" si="50"/>
        <v>19.590000000000003</v>
      </c>
      <c r="M43" s="20">
        <f t="shared" si="50"/>
        <v>0</v>
      </c>
      <c r="N43" s="20">
        <f t="shared" si="50"/>
        <v>78.128</v>
      </c>
      <c r="O43" s="20">
        <f t="shared" si="50"/>
        <v>0</v>
      </c>
      <c r="P43" s="20">
        <f t="shared" si="40"/>
        <v>0</v>
      </c>
      <c r="Q43" s="20">
        <v>0</v>
      </c>
      <c r="R43" s="20">
        <v>0</v>
      </c>
      <c r="S43" s="10">
        <f t="shared" si="41"/>
        <v>14030.214</v>
      </c>
      <c r="T43" s="1093">
        <f t="shared" si="42"/>
        <v>4910.7719999999999</v>
      </c>
      <c r="U43" s="1093">
        <f t="shared" si="43"/>
        <v>2733.5380000000005</v>
      </c>
      <c r="V43" s="1093">
        <f t="shared" si="44"/>
        <v>45.712000000000003</v>
      </c>
      <c r="W43" s="1093">
        <f t="shared" si="45"/>
        <v>200.34400000000002</v>
      </c>
      <c r="X43" s="1093">
        <f t="shared" si="46"/>
        <v>5250.12</v>
      </c>
      <c r="Y43" s="1093">
        <f t="shared" si="48"/>
        <v>889.72800000000018</v>
      </c>
    </row>
    <row r="44" spans="2:25">
      <c r="B44" s="2" t="s">
        <v>91</v>
      </c>
      <c r="C44" s="20">
        <f t="shared" ref="C44:O44" si="51">C79*0.2</f>
        <v>12405.29</v>
      </c>
      <c r="D44" s="20">
        <f t="shared" si="51"/>
        <v>3742.7940000000003</v>
      </c>
      <c r="E44" s="20">
        <f t="shared" si="51"/>
        <v>1133.288</v>
      </c>
      <c r="F44" s="20">
        <f t="shared" si="51"/>
        <v>479.83600000000001</v>
      </c>
      <c r="G44" s="20">
        <f t="shared" si="51"/>
        <v>15711.18</v>
      </c>
      <c r="H44" s="20">
        <f t="shared" si="51"/>
        <v>391.8</v>
      </c>
      <c r="I44" s="20">
        <f t="shared" si="51"/>
        <v>568.71199999999999</v>
      </c>
      <c r="J44" s="20">
        <f t="shared" si="51"/>
        <v>0</v>
      </c>
      <c r="K44" s="20">
        <f t="shared" si="51"/>
        <v>486.75600000000009</v>
      </c>
      <c r="L44" s="20">
        <f t="shared" si="51"/>
        <v>176.31</v>
      </c>
      <c r="M44" s="20">
        <f t="shared" si="51"/>
        <v>0</v>
      </c>
      <c r="N44" s="20">
        <f t="shared" si="51"/>
        <v>0</v>
      </c>
      <c r="O44" s="20">
        <f t="shared" si="51"/>
        <v>5.7140000000000004</v>
      </c>
      <c r="P44" s="20">
        <f t="shared" si="40"/>
        <v>0</v>
      </c>
      <c r="Q44" s="20">
        <f t="shared" ref="Q44:R56" si="52">Q79*0.2</f>
        <v>0</v>
      </c>
      <c r="R44" s="20">
        <f t="shared" si="52"/>
        <v>0</v>
      </c>
      <c r="S44" s="10">
        <f t="shared" si="41"/>
        <v>35101.68</v>
      </c>
      <c r="T44" s="1093">
        <f t="shared" si="42"/>
        <v>12405.29</v>
      </c>
      <c r="U44" s="1093">
        <f t="shared" si="43"/>
        <v>3742.7940000000003</v>
      </c>
      <c r="V44" s="1093">
        <f t="shared" si="44"/>
        <v>1133.288</v>
      </c>
      <c r="W44" s="1093">
        <f t="shared" si="45"/>
        <v>479.83600000000001</v>
      </c>
      <c r="X44" s="1093">
        <f t="shared" si="46"/>
        <v>15711.18</v>
      </c>
      <c r="Y44" s="1093">
        <f t="shared" si="48"/>
        <v>1629.2919999999999</v>
      </c>
    </row>
    <row r="45" spans="2:25">
      <c r="B45" s="2" t="s">
        <v>92</v>
      </c>
      <c r="C45" s="20">
        <f t="shared" ref="C45:O45" si="53">C80*0.2</f>
        <v>5791.8960000000006</v>
      </c>
      <c r="D45" s="20">
        <f t="shared" si="53"/>
        <v>1535.566</v>
      </c>
      <c r="E45" s="20">
        <f t="shared" si="53"/>
        <v>826.00200000000007</v>
      </c>
      <c r="F45" s="20">
        <f t="shared" si="53"/>
        <v>315.346</v>
      </c>
      <c r="G45" s="20">
        <f t="shared" si="53"/>
        <v>6895.68</v>
      </c>
      <c r="H45" s="20">
        <f t="shared" si="53"/>
        <v>235.08000000000004</v>
      </c>
      <c r="I45" s="20">
        <f t="shared" si="53"/>
        <v>219.79600000000002</v>
      </c>
      <c r="J45" s="20">
        <f t="shared" si="53"/>
        <v>395.50800000000004</v>
      </c>
      <c r="K45" s="20">
        <f t="shared" si="53"/>
        <v>255.06399999999999</v>
      </c>
      <c r="L45" s="20">
        <f t="shared" si="53"/>
        <v>0</v>
      </c>
      <c r="M45" s="20">
        <f t="shared" si="53"/>
        <v>39.180000000000007</v>
      </c>
      <c r="N45" s="20">
        <f t="shared" si="53"/>
        <v>0</v>
      </c>
      <c r="O45" s="20">
        <f t="shared" si="53"/>
        <v>0</v>
      </c>
      <c r="P45" s="20">
        <f t="shared" si="40"/>
        <v>0</v>
      </c>
      <c r="Q45" s="20">
        <f t="shared" si="52"/>
        <v>0</v>
      </c>
      <c r="R45" s="20">
        <f t="shared" si="52"/>
        <v>0</v>
      </c>
      <c r="S45" s="10">
        <f t="shared" si="41"/>
        <v>16509.118000000002</v>
      </c>
      <c r="T45" s="1093">
        <f t="shared" si="42"/>
        <v>5791.8960000000006</v>
      </c>
      <c r="U45" s="1093">
        <f t="shared" si="43"/>
        <v>1535.566</v>
      </c>
      <c r="V45" s="1093">
        <f t="shared" si="44"/>
        <v>826.00200000000007</v>
      </c>
      <c r="W45" s="1093">
        <f t="shared" si="45"/>
        <v>315.346</v>
      </c>
      <c r="X45" s="1093">
        <f t="shared" si="46"/>
        <v>6895.68</v>
      </c>
      <c r="Y45" s="1093">
        <f t="shared" si="48"/>
        <v>1144.6280000000002</v>
      </c>
    </row>
    <row r="46" spans="2:25">
      <c r="B46" s="2" t="s">
        <v>93</v>
      </c>
      <c r="C46" s="20">
        <f t="shared" ref="C46:O46" si="54">C81*0.2</f>
        <v>14934.054000000002</v>
      </c>
      <c r="D46" s="20">
        <f t="shared" si="54"/>
        <v>7560.880000000001</v>
      </c>
      <c r="E46" s="20">
        <f t="shared" si="54"/>
        <v>1192.97</v>
      </c>
      <c r="F46" s="20">
        <f t="shared" si="54"/>
        <v>154.78399999999999</v>
      </c>
      <c r="G46" s="20">
        <f t="shared" si="54"/>
        <v>18453.78</v>
      </c>
      <c r="H46" s="20">
        <f t="shared" si="54"/>
        <v>568.11</v>
      </c>
      <c r="I46" s="20">
        <f t="shared" si="54"/>
        <v>1143.038</v>
      </c>
      <c r="J46" s="20">
        <f t="shared" si="54"/>
        <v>943.25400000000013</v>
      </c>
      <c r="K46" s="20">
        <f t="shared" si="54"/>
        <v>815.01400000000012</v>
      </c>
      <c r="L46" s="20">
        <f t="shared" si="54"/>
        <v>215.49</v>
      </c>
      <c r="M46" s="20">
        <f t="shared" si="54"/>
        <v>39.180000000000007</v>
      </c>
      <c r="N46" s="20">
        <f t="shared" si="54"/>
        <v>0</v>
      </c>
      <c r="O46" s="20">
        <f t="shared" si="54"/>
        <v>11.428000000000001</v>
      </c>
      <c r="P46" s="20">
        <f t="shared" si="40"/>
        <v>0</v>
      </c>
      <c r="Q46" s="20">
        <f t="shared" si="52"/>
        <v>0</v>
      </c>
      <c r="R46" s="20">
        <f t="shared" si="52"/>
        <v>0</v>
      </c>
      <c r="S46" s="10">
        <f t="shared" si="41"/>
        <v>46031.982000000004</v>
      </c>
      <c r="T46" s="1093">
        <f t="shared" si="42"/>
        <v>14934.054000000002</v>
      </c>
      <c r="U46" s="1093">
        <f t="shared" si="43"/>
        <v>7560.880000000001</v>
      </c>
      <c r="V46" s="1093">
        <f t="shared" si="44"/>
        <v>1192.97</v>
      </c>
      <c r="W46" s="1093">
        <f t="shared" si="45"/>
        <v>154.78399999999999</v>
      </c>
      <c r="X46" s="1093">
        <f t="shared" si="46"/>
        <v>18453.78</v>
      </c>
      <c r="Y46" s="1093">
        <f t="shared" si="48"/>
        <v>3735.5139999999997</v>
      </c>
    </row>
    <row r="47" spans="2:25">
      <c r="B47" s="2" t="s">
        <v>94</v>
      </c>
      <c r="C47" s="20">
        <f t="shared" ref="C47:O47" si="55">C82*0.2</f>
        <v>9524.4740000000002</v>
      </c>
      <c r="D47" s="20">
        <f t="shared" si="55"/>
        <v>2463.7400000000002</v>
      </c>
      <c r="E47" s="20">
        <f t="shared" si="55"/>
        <v>1049.482</v>
      </c>
      <c r="F47" s="20">
        <f t="shared" si="55"/>
        <v>254.59800000000001</v>
      </c>
      <c r="G47" s="20">
        <f t="shared" si="55"/>
        <v>16455.600000000002</v>
      </c>
      <c r="H47" s="20">
        <f t="shared" si="55"/>
        <v>372.21000000000004</v>
      </c>
      <c r="I47" s="20">
        <f t="shared" si="55"/>
        <v>618.87200000000007</v>
      </c>
      <c r="J47" s="20">
        <f t="shared" si="55"/>
        <v>0</v>
      </c>
      <c r="K47" s="20">
        <f t="shared" si="55"/>
        <v>140.328</v>
      </c>
      <c r="L47" s="20">
        <f t="shared" si="55"/>
        <v>78.360000000000014</v>
      </c>
      <c r="M47" s="20">
        <f t="shared" si="55"/>
        <v>0</v>
      </c>
      <c r="N47" s="20">
        <f t="shared" si="55"/>
        <v>0</v>
      </c>
      <c r="O47" s="20">
        <f t="shared" si="55"/>
        <v>5.7140000000000004</v>
      </c>
      <c r="P47" s="20">
        <f t="shared" si="40"/>
        <v>0</v>
      </c>
      <c r="Q47" s="20">
        <f t="shared" si="52"/>
        <v>0</v>
      </c>
      <c r="R47" s="20">
        <f t="shared" si="52"/>
        <v>0</v>
      </c>
      <c r="S47" s="10">
        <f t="shared" si="41"/>
        <v>30963.378000000001</v>
      </c>
      <c r="T47" s="1093">
        <f t="shared" si="42"/>
        <v>9524.4740000000002</v>
      </c>
      <c r="U47" s="1093">
        <f t="shared" si="43"/>
        <v>2463.7400000000002</v>
      </c>
      <c r="V47" s="1093">
        <f t="shared" si="44"/>
        <v>1049.482</v>
      </c>
      <c r="W47" s="1093">
        <f t="shared" si="45"/>
        <v>254.59800000000001</v>
      </c>
      <c r="X47" s="1093">
        <f t="shared" si="46"/>
        <v>16455.600000000002</v>
      </c>
      <c r="Y47" s="1093">
        <f t="shared" si="48"/>
        <v>1215.4839999999999</v>
      </c>
    </row>
    <row r="48" spans="2:25">
      <c r="B48" s="2" t="s">
        <v>95</v>
      </c>
      <c r="C48" s="20">
        <f t="shared" ref="C48:O48" si="56">C83*0.2</f>
        <v>11291.662</v>
      </c>
      <c r="D48" s="20">
        <f t="shared" si="56"/>
        <v>4815.9620000000004</v>
      </c>
      <c r="E48" s="20">
        <f t="shared" si="56"/>
        <v>2001.8360000000002</v>
      </c>
      <c r="F48" s="20">
        <f t="shared" si="56"/>
        <v>528.5</v>
      </c>
      <c r="G48" s="20">
        <f t="shared" si="56"/>
        <v>37299.360000000001</v>
      </c>
      <c r="H48" s="20">
        <f t="shared" si="56"/>
        <v>19.590000000000003</v>
      </c>
      <c r="I48" s="20">
        <f t="shared" si="56"/>
        <v>787.08600000000001</v>
      </c>
      <c r="J48" s="20">
        <f t="shared" si="56"/>
        <v>333</v>
      </c>
      <c r="K48" s="20">
        <f t="shared" si="56"/>
        <v>551.28399999999999</v>
      </c>
      <c r="L48" s="20">
        <f t="shared" si="56"/>
        <v>19.590000000000003</v>
      </c>
      <c r="M48" s="20">
        <f t="shared" si="56"/>
        <v>0</v>
      </c>
      <c r="N48" s="20">
        <f t="shared" si="56"/>
        <v>0</v>
      </c>
      <c r="O48" s="20">
        <f t="shared" si="56"/>
        <v>5.7140000000000004</v>
      </c>
      <c r="P48" s="20">
        <f t="shared" si="40"/>
        <v>0</v>
      </c>
      <c r="Q48" s="20">
        <f t="shared" si="52"/>
        <v>0</v>
      </c>
      <c r="R48" s="20">
        <f t="shared" si="52"/>
        <v>0</v>
      </c>
      <c r="S48" s="10">
        <f t="shared" si="41"/>
        <v>57653.583999999995</v>
      </c>
      <c r="T48" s="1093">
        <f t="shared" si="42"/>
        <v>11291.662</v>
      </c>
      <c r="U48" s="1093">
        <f t="shared" si="43"/>
        <v>4815.9620000000004</v>
      </c>
      <c r="V48" s="1093">
        <f t="shared" si="44"/>
        <v>2001.8360000000002</v>
      </c>
      <c r="W48" s="1093">
        <f t="shared" si="45"/>
        <v>528.5</v>
      </c>
      <c r="X48" s="1093">
        <f t="shared" si="46"/>
        <v>37299.360000000001</v>
      </c>
      <c r="Y48" s="1093">
        <f t="shared" si="48"/>
        <v>1716.2639999999999</v>
      </c>
    </row>
    <row r="49" spans="2:25">
      <c r="B49" s="2" t="s">
        <v>96</v>
      </c>
      <c r="C49" s="20">
        <f t="shared" ref="C49:O49" si="57">C84*0.2</f>
        <v>2860.2160000000003</v>
      </c>
      <c r="D49" s="20">
        <f t="shared" si="57"/>
        <v>1962.86</v>
      </c>
      <c r="E49" s="20">
        <f t="shared" si="57"/>
        <v>171.42200000000003</v>
      </c>
      <c r="F49" s="20">
        <f t="shared" si="57"/>
        <v>161.08000000000001</v>
      </c>
      <c r="G49" s="20">
        <f t="shared" si="57"/>
        <v>3134.4</v>
      </c>
      <c r="H49" s="20">
        <f t="shared" si="57"/>
        <v>58.77000000000001</v>
      </c>
      <c r="I49" s="20">
        <f t="shared" si="57"/>
        <v>347.38000000000005</v>
      </c>
      <c r="J49" s="20">
        <f t="shared" si="57"/>
        <v>0</v>
      </c>
      <c r="K49" s="20">
        <f t="shared" si="57"/>
        <v>132.262</v>
      </c>
      <c r="L49" s="20">
        <f t="shared" si="57"/>
        <v>39.180000000000007</v>
      </c>
      <c r="M49" s="20">
        <f t="shared" si="57"/>
        <v>0</v>
      </c>
      <c r="N49" s="20">
        <f t="shared" si="57"/>
        <v>0</v>
      </c>
      <c r="O49" s="20">
        <f t="shared" si="57"/>
        <v>0</v>
      </c>
      <c r="P49" s="20">
        <f t="shared" si="40"/>
        <v>0</v>
      </c>
      <c r="Q49" s="20">
        <f t="shared" si="52"/>
        <v>0</v>
      </c>
      <c r="R49" s="20">
        <f t="shared" si="52"/>
        <v>0</v>
      </c>
      <c r="S49" s="10">
        <f t="shared" si="41"/>
        <v>8867.57</v>
      </c>
      <c r="T49" s="1093">
        <f t="shared" si="42"/>
        <v>2860.2160000000003</v>
      </c>
      <c r="U49" s="1093">
        <f t="shared" si="43"/>
        <v>1962.86</v>
      </c>
      <c r="V49" s="1093">
        <f t="shared" si="44"/>
        <v>171.42200000000003</v>
      </c>
      <c r="W49" s="1093">
        <f t="shared" si="45"/>
        <v>161.08000000000001</v>
      </c>
      <c r="X49" s="1093">
        <f t="shared" si="46"/>
        <v>3134.4</v>
      </c>
      <c r="Y49" s="1093">
        <f t="shared" si="48"/>
        <v>577.5920000000001</v>
      </c>
    </row>
    <row r="50" spans="2:25">
      <c r="B50" s="2" t="s">
        <v>97</v>
      </c>
      <c r="C50" s="20">
        <f t="shared" ref="C50:O50" si="58">C85*0.2</f>
        <v>8754.8340000000007</v>
      </c>
      <c r="D50" s="20">
        <f t="shared" si="58"/>
        <v>4208.3280000000004</v>
      </c>
      <c r="E50" s="20">
        <f t="shared" si="58"/>
        <v>1146.306</v>
      </c>
      <c r="F50" s="20">
        <f t="shared" si="58"/>
        <v>403.96600000000001</v>
      </c>
      <c r="G50" s="20">
        <f t="shared" si="58"/>
        <v>49268.850000000006</v>
      </c>
      <c r="H50" s="20">
        <f t="shared" si="58"/>
        <v>839.79</v>
      </c>
      <c r="I50" s="20">
        <f t="shared" si="58"/>
        <v>543.22400000000005</v>
      </c>
      <c r="J50" s="20">
        <f t="shared" si="58"/>
        <v>0</v>
      </c>
      <c r="K50" s="20">
        <f t="shared" si="58"/>
        <v>530.46199999999999</v>
      </c>
      <c r="L50" s="20">
        <f t="shared" si="58"/>
        <v>58.77000000000001</v>
      </c>
      <c r="M50" s="20">
        <f t="shared" si="58"/>
        <v>39.180000000000007</v>
      </c>
      <c r="N50" s="20">
        <f t="shared" si="58"/>
        <v>0</v>
      </c>
      <c r="O50" s="20">
        <f t="shared" si="58"/>
        <v>11.428000000000001</v>
      </c>
      <c r="P50" s="20">
        <f t="shared" si="40"/>
        <v>0</v>
      </c>
      <c r="Q50" s="20">
        <f t="shared" si="52"/>
        <v>0</v>
      </c>
      <c r="R50" s="20">
        <f t="shared" si="52"/>
        <v>0</v>
      </c>
      <c r="S50" s="10">
        <f t="shared" si="41"/>
        <v>65805.138000000006</v>
      </c>
      <c r="T50" s="1093">
        <f t="shared" si="42"/>
        <v>8754.8340000000007</v>
      </c>
      <c r="U50" s="1093">
        <f t="shared" si="43"/>
        <v>4208.3280000000004</v>
      </c>
      <c r="V50" s="1093">
        <f t="shared" si="44"/>
        <v>1146.306</v>
      </c>
      <c r="W50" s="1093">
        <f t="shared" si="45"/>
        <v>403.96600000000001</v>
      </c>
      <c r="X50" s="1093">
        <f t="shared" si="46"/>
        <v>49268.850000000006</v>
      </c>
      <c r="Y50" s="1093">
        <f t="shared" si="48"/>
        <v>2022.8540000000003</v>
      </c>
    </row>
    <row r="51" spans="2:25">
      <c r="B51" s="2" t="s">
        <v>98</v>
      </c>
      <c r="C51" s="20">
        <f t="shared" ref="C51:O51" si="59">C86*0.2</f>
        <v>7505.5240000000013</v>
      </c>
      <c r="D51" s="20">
        <f t="shared" si="59"/>
        <v>3077.364</v>
      </c>
      <c r="E51" s="20">
        <f t="shared" si="59"/>
        <v>1808.1120000000001</v>
      </c>
      <c r="F51" s="20">
        <f t="shared" si="59"/>
        <v>361.93600000000004</v>
      </c>
      <c r="G51" s="20">
        <f t="shared" si="59"/>
        <v>26074.29</v>
      </c>
      <c r="H51" s="20">
        <f t="shared" si="59"/>
        <v>137.13</v>
      </c>
      <c r="I51" s="20">
        <f t="shared" si="59"/>
        <v>586.404</v>
      </c>
      <c r="J51" s="20">
        <f t="shared" si="59"/>
        <v>0</v>
      </c>
      <c r="K51" s="20">
        <f t="shared" si="59"/>
        <v>371.63000000000005</v>
      </c>
      <c r="L51" s="20">
        <f t="shared" si="59"/>
        <v>137.13</v>
      </c>
      <c r="M51" s="20">
        <f t="shared" si="59"/>
        <v>0</v>
      </c>
      <c r="N51" s="20">
        <f t="shared" si="59"/>
        <v>92.13</v>
      </c>
      <c r="O51" s="20">
        <f t="shared" si="59"/>
        <v>5.7140000000000004</v>
      </c>
      <c r="P51" s="20">
        <f t="shared" si="40"/>
        <v>0</v>
      </c>
      <c r="Q51" s="20">
        <f t="shared" si="52"/>
        <v>0</v>
      </c>
      <c r="R51" s="20">
        <f t="shared" si="52"/>
        <v>0</v>
      </c>
      <c r="S51" s="10">
        <f t="shared" si="41"/>
        <v>40157.363999999994</v>
      </c>
      <c r="T51" s="1093">
        <f t="shared" si="42"/>
        <v>7505.5240000000013</v>
      </c>
      <c r="U51" s="1093">
        <f t="shared" si="43"/>
        <v>3077.364</v>
      </c>
      <c r="V51" s="1093">
        <f t="shared" si="44"/>
        <v>1808.1120000000001</v>
      </c>
      <c r="W51" s="1093">
        <f t="shared" si="45"/>
        <v>361.93600000000004</v>
      </c>
      <c r="X51" s="1093">
        <f t="shared" si="46"/>
        <v>26074.29</v>
      </c>
      <c r="Y51" s="1093">
        <f t="shared" si="48"/>
        <v>1330.1379999999999</v>
      </c>
    </row>
    <row r="52" spans="2:25">
      <c r="B52" s="2" t="s">
        <v>99</v>
      </c>
      <c r="C52" s="20">
        <f t="shared" ref="C52:O52" si="60">C87*0.2</f>
        <v>37665.196000000004</v>
      </c>
      <c r="D52" s="20">
        <f t="shared" si="60"/>
        <v>16796.126</v>
      </c>
      <c r="E52" s="20">
        <f t="shared" si="60"/>
        <v>4049.6880000000001</v>
      </c>
      <c r="F52" s="20">
        <f t="shared" si="60"/>
        <v>2814.5880000000002</v>
      </c>
      <c r="G52" s="20">
        <f t="shared" si="60"/>
        <v>62864.31</v>
      </c>
      <c r="H52" s="20">
        <f t="shared" si="60"/>
        <v>1410.48</v>
      </c>
      <c r="I52" s="20">
        <f t="shared" si="60"/>
        <v>3537.12</v>
      </c>
      <c r="J52" s="20">
        <f t="shared" si="60"/>
        <v>0</v>
      </c>
      <c r="K52" s="20">
        <f t="shared" si="60"/>
        <v>1441.5600000000002</v>
      </c>
      <c r="L52" s="20">
        <f t="shared" si="60"/>
        <v>1469.25</v>
      </c>
      <c r="M52" s="20">
        <f t="shared" si="60"/>
        <v>0</v>
      </c>
      <c r="N52" s="20">
        <f t="shared" si="60"/>
        <v>457.12799999999999</v>
      </c>
      <c r="O52" s="20">
        <f t="shared" si="60"/>
        <v>34.283999999999999</v>
      </c>
      <c r="P52" s="20">
        <f t="shared" si="40"/>
        <v>0</v>
      </c>
      <c r="Q52" s="20">
        <f t="shared" si="52"/>
        <v>0</v>
      </c>
      <c r="R52" s="20">
        <f t="shared" si="52"/>
        <v>0</v>
      </c>
      <c r="S52" s="10">
        <f t="shared" si="41"/>
        <v>132539.72999999998</v>
      </c>
      <c r="T52" s="1093">
        <f t="shared" si="42"/>
        <v>37665.196000000004</v>
      </c>
      <c r="U52" s="1093">
        <f t="shared" si="43"/>
        <v>16796.126</v>
      </c>
      <c r="V52" s="1093">
        <f t="shared" si="44"/>
        <v>4049.6880000000001</v>
      </c>
      <c r="W52" s="1093">
        <f t="shared" si="45"/>
        <v>2814.5880000000002</v>
      </c>
      <c r="X52" s="1093">
        <f t="shared" si="46"/>
        <v>62864.31</v>
      </c>
      <c r="Y52" s="1093">
        <f t="shared" si="48"/>
        <v>8349.8220000000001</v>
      </c>
    </row>
    <row r="53" spans="2:25">
      <c r="B53" s="2" t="s">
        <v>100</v>
      </c>
      <c r="C53" s="20">
        <f t="shared" ref="C53:O53" si="61">C88*0.2</f>
        <v>5359.9500000000007</v>
      </c>
      <c r="D53" s="20">
        <f t="shared" si="61"/>
        <v>2956.9639999999999</v>
      </c>
      <c r="E53" s="20">
        <f t="shared" si="61"/>
        <v>382.84400000000005</v>
      </c>
      <c r="F53" s="20">
        <f t="shared" si="61"/>
        <v>124.298</v>
      </c>
      <c r="G53" s="20">
        <f t="shared" si="61"/>
        <v>5171.76</v>
      </c>
      <c r="H53" s="20">
        <f t="shared" si="61"/>
        <v>333.03000000000003</v>
      </c>
      <c r="I53" s="20">
        <f t="shared" si="61"/>
        <v>627.08800000000008</v>
      </c>
      <c r="J53" s="20">
        <f t="shared" si="61"/>
        <v>0</v>
      </c>
      <c r="K53" s="20">
        <f t="shared" si="61"/>
        <v>93.75800000000001</v>
      </c>
      <c r="L53" s="20">
        <f t="shared" si="61"/>
        <v>156.72000000000003</v>
      </c>
      <c r="M53" s="20">
        <f t="shared" si="61"/>
        <v>0</v>
      </c>
      <c r="N53" s="20">
        <f t="shared" si="61"/>
        <v>0</v>
      </c>
      <c r="O53" s="20">
        <f t="shared" si="61"/>
        <v>0</v>
      </c>
      <c r="P53" s="20">
        <f t="shared" si="40"/>
        <v>0</v>
      </c>
      <c r="Q53" s="20">
        <f t="shared" si="52"/>
        <v>0</v>
      </c>
      <c r="R53" s="20">
        <f t="shared" si="52"/>
        <v>0</v>
      </c>
      <c r="S53" s="10">
        <f t="shared" si="41"/>
        <v>15206.412000000002</v>
      </c>
      <c r="T53" s="1093">
        <f t="shared" si="42"/>
        <v>5359.9500000000007</v>
      </c>
      <c r="U53" s="1093">
        <f t="shared" si="43"/>
        <v>2956.9639999999999</v>
      </c>
      <c r="V53" s="1093">
        <f t="shared" si="44"/>
        <v>382.84400000000005</v>
      </c>
      <c r="W53" s="1093">
        <f t="shared" si="45"/>
        <v>124.298</v>
      </c>
      <c r="X53" s="1093">
        <f t="shared" si="46"/>
        <v>5171.76</v>
      </c>
      <c r="Y53" s="1093">
        <f t="shared" si="48"/>
        <v>1210.5960000000002</v>
      </c>
    </row>
    <row r="54" spans="2:25">
      <c r="B54" s="2" t="s">
        <v>101</v>
      </c>
      <c r="C54" s="20">
        <f t="shared" ref="C54:O54" si="62">C89*0.2</f>
        <v>4589.1120000000001</v>
      </c>
      <c r="D54" s="20">
        <f t="shared" si="62"/>
        <v>2349.4960000000001</v>
      </c>
      <c r="E54" s="20">
        <f t="shared" si="62"/>
        <v>567.6</v>
      </c>
      <c r="F54" s="20">
        <f t="shared" si="62"/>
        <v>136.68199999999999</v>
      </c>
      <c r="G54" s="20">
        <f t="shared" si="62"/>
        <v>9030.99</v>
      </c>
      <c r="H54" s="20">
        <f t="shared" si="62"/>
        <v>78.360000000000014</v>
      </c>
      <c r="I54" s="20">
        <f t="shared" si="62"/>
        <v>384.19200000000001</v>
      </c>
      <c r="J54" s="20">
        <f t="shared" si="62"/>
        <v>0</v>
      </c>
      <c r="K54" s="20">
        <f t="shared" si="62"/>
        <v>208.18800000000002</v>
      </c>
      <c r="L54" s="20">
        <f t="shared" si="62"/>
        <v>0</v>
      </c>
      <c r="M54" s="20">
        <f t="shared" si="62"/>
        <v>0</v>
      </c>
      <c r="N54" s="20">
        <f t="shared" si="62"/>
        <v>0</v>
      </c>
      <c r="O54" s="20">
        <f t="shared" si="62"/>
        <v>5.7140000000000004</v>
      </c>
      <c r="P54" s="20">
        <f t="shared" si="40"/>
        <v>0</v>
      </c>
      <c r="Q54" s="20">
        <f t="shared" si="52"/>
        <v>0</v>
      </c>
      <c r="R54" s="20">
        <f t="shared" si="52"/>
        <v>0</v>
      </c>
      <c r="S54" s="10">
        <f t="shared" si="41"/>
        <v>17350.333999999999</v>
      </c>
      <c r="T54" s="1093">
        <f t="shared" si="42"/>
        <v>4589.1120000000001</v>
      </c>
      <c r="U54" s="1093">
        <f t="shared" si="43"/>
        <v>2349.4960000000001</v>
      </c>
      <c r="V54" s="1093">
        <f t="shared" si="44"/>
        <v>567.6</v>
      </c>
      <c r="W54" s="1093">
        <f t="shared" si="45"/>
        <v>136.68199999999999</v>
      </c>
      <c r="X54" s="1093">
        <f t="shared" si="46"/>
        <v>9030.99</v>
      </c>
      <c r="Y54" s="1093">
        <f t="shared" si="48"/>
        <v>676.45400000000006</v>
      </c>
    </row>
    <row r="55" spans="2:25">
      <c r="B55" s="2" t="s">
        <v>102</v>
      </c>
      <c r="C55" s="20">
        <f t="shared" ref="C55:O55" si="63">C90*0.2</f>
        <v>38847.806000000004</v>
      </c>
      <c r="D55" s="20">
        <f t="shared" si="63"/>
        <v>14617.342000000002</v>
      </c>
      <c r="E55" s="20">
        <f t="shared" si="63"/>
        <v>7521.6100000000006</v>
      </c>
      <c r="F55" s="20">
        <f t="shared" si="63"/>
        <v>3038.42</v>
      </c>
      <c r="G55" s="20">
        <f t="shared" si="63"/>
        <v>106804.68000000001</v>
      </c>
      <c r="H55" s="20">
        <f t="shared" si="63"/>
        <v>1214.58</v>
      </c>
      <c r="I55" s="20">
        <f t="shared" si="63"/>
        <v>2582.2180000000003</v>
      </c>
      <c r="J55" s="20">
        <f t="shared" si="63"/>
        <v>0</v>
      </c>
      <c r="K55" s="20">
        <f t="shared" si="63"/>
        <v>1475.652</v>
      </c>
      <c r="L55" s="20">
        <f t="shared" si="63"/>
        <v>1332.1200000000001</v>
      </c>
      <c r="M55" s="20">
        <f t="shared" si="63"/>
        <v>0</v>
      </c>
      <c r="N55" s="20">
        <f t="shared" si="63"/>
        <v>0</v>
      </c>
      <c r="O55" s="20">
        <f t="shared" si="63"/>
        <v>28.57</v>
      </c>
      <c r="P55" s="20">
        <f t="shared" si="40"/>
        <v>0</v>
      </c>
      <c r="Q55" s="20">
        <f t="shared" si="52"/>
        <v>0</v>
      </c>
      <c r="R55" s="20">
        <f t="shared" si="52"/>
        <v>0</v>
      </c>
      <c r="S55" s="10">
        <f t="shared" si="41"/>
        <v>177462.99799999999</v>
      </c>
      <c r="T55" s="1093">
        <f t="shared" si="42"/>
        <v>38847.806000000004</v>
      </c>
      <c r="U55" s="1093">
        <f t="shared" si="43"/>
        <v>14617.342000000002</v>
      </c>
      <c r="V55" s="1093">
        <f t="shared" si="44"/>
        <v>7521.6100000000006</v>
      </c>
      <c r="W55" s="1093">
        <f t="shared" si="45"/>
        <v>3038.42</v>
      </c>
      <c r="X55" s="1093">
        <f t="shared" si="46"/>
        <v>106804.68000000001</v>
      </c>
      <c r="Y55" s="1093">
        <f t="shared" si="48"/>
        <v>6633.14</v>
      </c>
    </row>
    <row r="56" spans="2:25">
      <c r="B56" s="2" t="s">
        <v>103</v>
      </c>
      <c r="C56" s="20">
        <f t="shared" ref="C56:O56" si="64">C91*0.2</f>
        <v>9820.4460000000017</v>
      </c>
      <c r="D56" s="20">
        <f t="shared" si="64"/>
        <v>3592.9680000000003</v>
      </c>
      <c r="E56" s="20">
        <f t="shared" si="64"/>
        <v>1180.9040000000002</v>
      </c>
      <c r="F56" s="20">
        <f t="shared" si="64"/>
        <v>128.06400000000002</v>
      </c>
      <c r="G56" s="20">
        <f t="shared" si="64"/>
        <v>13928.49</v>
      </c>
      <c r="H56" s="20">
        <f t="shared" si="64"/>
        <v>293.85000000000002</v>
      </c>
      <c r="I56" s="20">
        <f t="shared" si="64"/>
        <v>703.17200000000003</v>
      </c>
      <c r="J56" s="20">
        <f t="shared" si="64"/>
        <v>0</v>
      </c>
      <c r="K56" s="20">
        <f t="shared" si="64"/>
        <v>493.13200000000001</v>
      </c>
      <c r="L56" s="20">
        <f t="shared" si="64"/>
        <v>39.180000000000007</v>
      </c>
      <c r="M56" s="20">
        <f t="shared" si="64"/>
        <v>0</v>
      </c>
      <c r="N56" s="20">
        <f t="shared" si="64"/>
        <v>0</v>
      </c>
      <c r="O56" s="20">
        <f t="shared" si="64"/>
        <v>0</v>
      </c>
      <c r="P56" s="20">
        <f t="shared" si="40"/>
        <v>0</v>
      </c>
      <c r="Q56" s="20">
        <f t="shared" si="52"/>
        <v>0</v>
      </c>
      <c r="R56" s="20">
        <f t="shared" si="52"/>
        <v>0</v>
      </c>
      <c r="S56" s="10">
        <f t="shared" si="41"/>
        <v>30180.206000000002</v>
      </c>
      <c r="T56" s="1093">
        <f t="shared" si="42"/>
        <v>9820.4460000000017</v>
      </c>
      <c r="U56" s="1093">
        <f t="shared" si="43"/>
        <v>3592.9680000000003</v>
      </c>
      <c r="V56" s="1093">
        <f t="shared" si="44"/>
        <v>1180.9040000000002</v>
      </c>
      <c r="W56" s="1093">
        <f t="shared" si="45"/>
        <v>128.06400000000002</v>
      </c>
      <c r="X56" s="1093">
        <f t="shared" si="46"/>
        <v>13928.49</v>
      </c>
      <c r="Y56" s="1093">
        <f t="shared" si="48"/>
        <v>1529.3340000000001</v>
      </c>
    </row>
    <row r="57" spans="2:25">
      <c r="B57" s="2" t="s">
        <v>104</v>
      </c>
      <c r="C57" s="20">
        <f t="shared" ref="C57:O57" si="65">C92*0.2</f>
        <v>3463.252</v>
      </c>
      <c r="D57" s="20">
        <f t="shared" si="65"/>
        <v>979.4860000000001</v>
      </c>
      <c r="E57" s="20">
        <f t="shared" si="65"/>
        <v>256.18</v>
      </c>
      <c r="F57" s="20">
        <f t="shared" si="65"/>
        <v>69.710000000000008</v>
      </c>
      <c r="G57" s="20">
        <f t="shared" si="65"/>
        <v>3369.4800000000005</v>
      </c>
      <c r="H57" s="20">
        <f t="shared" si="65"/>
        <v>78.360000000000014</v>
      </c>
      <c r="I57" s="20">
        <f t="shared" si="65"/>
        <v>132.54000000000002</v>
      </c>
      <c r="J57" s="20">
        <f t="shared" si="65"/>
        <v>0</v>
      </c>
      <c r="K57" s="20">
        <f t="shared" si="65"/>
        <v>146.93</v>
      </c>
      <c r="L57" s="20">
        <f t="shared" si="65"/>
        <v>0</v>
      </c>
      <c r="M57" s="20">
        <f t="shared" si="65"/>
        <v>0</v>
      </c>
      <c r="N57" s="20">
        <f t="shared" si="65"/>
        <v>0</v>
      </c>
      <c r="O57" s="20">
        <f t="shared" si="65"/>
        <v>0</v>
      </c>
      <c r="P57" s="20">
        <f t="shared" si="40"/>
        <v>0</v>
      </c>
      <c r="Q57" s="20">
        <v>0</v>
      </c>
      <c r="R57" s="20">
        <v>0</v>
      </c>
      <c r="S57" s="10">
        <f t="shared" si="41"/>
        <v>8495.9380000000019</v>
      </c>
      <c r="T57" s="1093">
        <f t="shared" si="42"/>
        <v>3463.252</v>
      </c>
      <c r="U57" s="1093">
        <f t="shared" si="43"/>
        <v>979.4860000000001</v>
      </c>
      <c r="V57" s="1093">
        <f t="shared" si="44"/>
        <v>256.18</v>
      </c>
      <c r="W57" s="1093">
        <f t="shared" si="45"/>
        <v>69.710000000000008</v>
      </c>
      <c r="X57" s="1093">
        <f t="shared" si="46"/>
        <v>3369.4800000000005</v>
      </c>
      <c r="Y57" s="1093">
        <f t="shared" si="48"/>
        <v>357.83000000000004</v>
      </c>
    </row>
    <row r="58" spans="2:25">
      <c r="B58" s="2" t="s">
        <v>105</v>
      </c>
      <c r="C58" s="20">
        <f t="shared" ref="C58:O58" si="66">C93*0.2</f>
        <v>35226.26</v>
      </c>
      <c r="D58" s="20">
        <f t="shared" si="66"/>
        <v>11249.704</v>
      </c>
      <c r="E58" s="20">
        <f t="shared" si="66"/>
        <v>3984.1239999999998</v>
      </c>
      <c r="F58" s="20">
        <f t="shared" si="66"/>
        <v>1789.1060000000002</v>
      </c>
      <c r="G58" s="20">
        <f t="shared" si="66"/>
        <v>37456.080000000002</v>
      </c>
      <c r="H58" s="20">
        <f t="shared" si="66"/>
        <v>1430.0700000000002</v>
      </c>
      <c r="I58" s="20">
        <f t="shared" si="66"/>
        <v>2912.3040000000001</v>
      </c>
      <c r="J58" s="20">
        <f t="shared" si="66"/>
        <v>122.89800000000001</v>
      </c>
      <c r="K58" s="20">
        <f t="shared" si="66"/>
        <v>967.05600000000004</v>
      </c>
      <c r="L58" s="20">
        <f t="shared" si="66"/>
        <v>195.9</v>
      </c>
      <c r="M58" s="20">
        <f t="shared" si="66"/>
        <v>78.360000000000014</v>
      </c>
      <c r="N58" s="20">
        <f t="shared" si="66"/>
        <v>0</v>
      </c>
      <c r="O58" s="20">
        <f t="shared" si="66"/>
        <v>28.57</v>
      </c>
      <c r="P58" s="20">
        <f t="shared" si="40"/>
        <v>0</v>
      </c>
      <c r="Q58" s="20">
        <f t="shared" ref="Q58:R63" si="67">Q93*0.2</f>
        <v>0</v>
      </c>
      <c r="R58" s="20">
        <f t="shared" si="67"/>
        <v>0</v>
      </c>
      <c r="S58" s="10">
        <f t="shared" si="41"/>
        <v>95440.432000000015</v>
      </c>
      <c r="T58" s="1093">
        <f t="shared" si="42"/>
        <v>35226.26</v>
      </c>
      <c r="U58" s="1093">
        <f t="shared" si="43"/>
        <v>11249.704</v>
      </c>
      <c r="V58" s="1093">
        <f t="shared" si="44"/>
        <v>3984.1239999999998</v>
      </c>
      <c r="W58" s="1093">
        <f t="shared" si="45"/>
        <v>1789.1060000000002</v>
      </c>
      <c r="X58" s="1093">
        <f t="shared" si="46"/>
        <v>37456.080000000002</v>
      </c>
      <c r="Y58" s="1093">
        <f t="shared" si="48"/>
        <v>5735.1579999999985</v>
      </c>
    </row>
    <row r="59" spans="2:25">
      <c r="B59" s="2" t="s">
        <v>106</v>
      </c>
      <c r="C59" s="20">
        <f t="shared" ref="C59:O59" si="68">C94*0.2</f>
        <v>5190.924</v>
      </c>
      <c r="D59" s="20">
        <f t="shared" si="68"/>
        <v>3761.84</v>
      </c>
      <c r="E59" s="20">
        <f t="shared" si="68"/>
        <v>702.83199999999999</v>
      </c>
      <c r="F59" s="20">
        <f t="shared" si="68"/>
        <v>211.28000000000003</v>
      </c>
      <c r="G59" s="20">
        <f t="shared" si="68"/>
        <v>9520.74</v>
      </c>
      <c r="H59" s="20">
        <f t="shared" si="68"/>
        <v>137.13</v>
      </c>
      <c r="I59" s="20">
        <f t="shared" si="68"/>
        <v>566.49799999999993</v>
      </c>
      <c r="J59" s="20">
        <f t="shared" si="68"/>
        <v>0</v>
      </c>
      <c r="K59" s="20">
        <f t="shared" si="68"/>
        <v>272.95</v>
      </c>
      <c r="L59" s="20">
        <f t="shared" si="68"/>
        <v>0</v>
      </c>
      <c r="M59" s="20">
        <f t="shared" si="68"/>
        <v>0</v>
      </c>
      <c r="N59" s="20">
        <f t="shared" si="68"/>
        <v>0</v>
      </c>
      <c r="O59" s="20">
        <f t="shared" si="68"/>
        <v>0</v>
      </c>
      <c r="P59" s="20">
        <f t="shared" si="40"/>
        <v>0</v>
      </c>
      <c r="Q59" s="20">
        <f t="shared" si="67"/>
        <v>0</v>
      </c>
      <c r="R59" s="20">
        <f t="shared" si="67"/>
        <v>0</v>
      </c>
      <c r="S59" s="10">
        <f t="shared" si="41"/>
        <v>20364.194000000003</v>
      </c>
      <c r="T59" s="1093">
        <f t="shared" si="42"/>
        <v>5190.924</v>
      </c>
      <c r="U59" s="1093">
        <f t="shared" si="43"/>
        <v>3761.84</v>
      </c>
      <c r="V59" s="1093">
        <f t="shared" si="44"/>
        <v>702.83199999999999</v>
      </c>
      <c r="W59" s="1093">
        <f t="shared" si="45"/>
        <v>211.28000000000003</v>
      </c>
      <c r="X59" s="1093">
        <f t="shared" si="46"/>
        <v>9520.74</v>
      </c>
      <c r="Y59" s="1093">
        <f t="shared" si="48"/>
        <v>976.57799999999997</v>
      </c>
    </row>
    <row r="60" spans="2:25">
      <c r="B60" s="2" t="s">
        <v>107</v>
      </c>
      <c r="C60" s="20">
        <f t="shared" ref="C60:O60" si="69">C95*0.2</f>
        <v>40959.112000000001</v>
      </c>
      <c r="D60" s="20">
        <f t="shared" si="69"/>
        <v>11061.114000000001</v>
      </c>
      <c r="E60" s="20">
        <f t="shared" si="69"/>
        <v>6257.6900000000005</v>
      </c>
      <c r="F60" s="20">
        <f t="shared" si="69"/>
        <v>2159.0860000000002</v>
      </c>
      <c r="G60" s="20">
        <f t="shared" si="69"/>
        <v>111663</v>
      </c>
      <c r="H60" s="20">
        <f t="shared" si="69"/>
        <v>450.57</v>
      </c>
      <c r="I60" s="20">
        <f t="shared" si="69"/>
        <v>2230.8540000000003</v>
      </c>
      <c r="J60" s="20">
        <f t="shared" si="69"/>
        <v>168.97200000000001</v>
      </c>
      <c r="K60" s="20">
        <f t="shared" si="69"/>
        <v>941.76400000000001</v>
      </c>
      <c r="L60" s="20">
        <f t="shared" si="69"/>
        <v>548.52</v>
      </c>
      <c r="M60" s="20">
        <f t="shared" si="69"/>
        <v>0</v>
      </c>
      <c r="N60" s="20">
        <f t="shared" si="69"/>
        <v>56.510000000000005</v>
      </c>
      <c r="O60" s="20">
        <f t="shared" si="69"/>
        <v>28.57</v>
      </c>
      <c r="P60" s="20">
        <f t="shared" si="40"/>
        <v>0</v>
      </c>
      <c r="Q60" s="20">
        <f t="shared" si="67"/>
        <v>0</v>
      </c>
      <c r="R60" s="20">
        <f t="shared" si="67"/>
        <v>0</v>
      </c>
      <c r="S60" s="10">
        <f t="shared" si="41"/>
        <v>176525.76200000002</v>
      </c>
      <c r="T60" s="1093">
        <f t="shared" si="42"/>
        <v>40959.112000000001</v>
      </c>
      <c r="U60" s="1093">
        <f t="shared" si="43"/>
        <v>11061.114000000001</v>
      </c>
      <c r="V60" s="1093">
        <f t="shared" si="44"/>
        <v>6257.6900000000005</v>
      </c>
      <c r="W60" s="1093">
        <f t="shared" si="45"/>
        <v>2159.0860000000002</v>
      </c>
      <c r="X60" s="1093">
        <f t="shared" si="46"/>
        <v>111663</v>
      </c>
      <c r="Y60" s="1093">
        <f t="shared" si="48"/>
        <v>4425.76</v>
      </c>
    </row>
    <row r="61" spans="2:25">
      <c r="B61" s="2" t="s">
        <v>108</v>
      </c>
      <c r="C61" s="20">
        <f t="shared" ref="C61:O61" si="70">C96*0.2</f>
        <v>3101.2340000000004</v>
      </c>
      <c r="D61" s="20">
        <f t="shared" si="70"/>
        <v>1378.2540000000001</v>
      </c>
      <c r="E61" s="20">
        <f t="shared" si="70"/>
        <v>523.79200000000003</v>
      </c>
      <c r="F61" s="20">
        <f t="shared" si="70"/>
        <v>77.790000000000006</v>
      </c>
      <c r="G61" s="20">
        <f t="shared" si="70"/>
        <v>13379.970000000001</v>
      </c>
      <c r="H61" s="20">
        <f t="shared" si="70"/>
        <v>78.360000000000014</v>
      </c>
      <c r="I61" s="20">
        <f t="shared" si="70"/>
        <v>174.154</v>
      </c>
      <c r="J61" s="20">
        <f t="shared" si="70"/>
        <v>0</v>
      </c>
      <c r="K61" s="20">
        <f t="shared" si="70"/>
        <v>142.72400000000002</v>
      </c>
      <c r="L61" s="20">
        <f t="shared" si="70"/>
        <v>58.77000000000001</v>
      </c>
      <c r="M61" s="20">
        <f t="shared" si="70"/>
        <v>0</v>
      </c>
      <c r="N61" s="20">
        <f t="shared" si="70"/>
        <v>0</v>
      </c>
      <c r="O61" s="20">
        <f t="shared" si="70"/>
        <v>5.7140000000000004</v>
      </c>
      <c r="P61" s="20">
        <f t="shared" si="40"/>
        <v>0</v>
      </c>
      <c r="Q61" s="20">
        <f t="shared" si="67"/>
        <v>1</v>
      </c>
      <c r="R61" s="20">
        <f t="shared" si="67"/>
        <v>0</v>
      </c>
      <c r="S61" s="10">
        <f t="shared" si="41"/>
        <v>18921.761999999999</v>
      </c>
      <c r="T61" s="1093">
        <f t="shared" si="42"/>
        <v>3101.2340000000004</v>
      </c>
      <c r="U61" s="1093">
        <f t="shared" si="43"/>
        <v>1378.2540000000001</v>
      </c>
      <c r="V61" s="1093">
        <f t="shared" si="44"/>
        <v>523.79200000000003</v>
      </c>
      <c r="W61" s="1093">
        <f t="shared" si="45"/>
        <v>77.790000000000006</v>
      </c>
      <c r="X61" s="1093">
        <f t="shared" si="46"/>
        <v>13379.970000000001</v>
      </c>
      <c r="Y61" s="1093">
        <f t="shared" si="48"/>
        <v>460.72200000000004</v>
      </c>
    </row>
    <row r="62" spans="2:25">
      <c r="B62" s="2" t="s">
        <v>109</v>
      </c>
      <c r="C62" s="20">
        <f t="shared" ref="C62:O62" si="71">C97*0.2</f>
        <v>616.16800000000012</v>
      </c>
      <c r="D62" s="20">
        <f t="shared" si="71"/>
        <v>115.456</v>
      </c>
      <c r="E62" s="20">
        <f t="shared" si="71"/>
        <v>0</v>
      </c>
      <c r="F62" s="20">
        <f t="shared" si="71"/>
        <v>0</v>
      </c>
      <c r="G62" s="20">
        <f t="shared" si="71"/>
        <v>1469.25</v>
      </c>
      <c r="H62" s="20">
        <f t="shared" si="71"/>
        <v>39.180000000000007</v>
      </c>
      <c r="I62" s="20">
        <f t="shared" si="71"/>
        <v>25.02</v>
      </c>
      <c r="J62" s="20">
        <f t="shared" si="71"/>
        <v>0</v>
      </c>
      <c r="K62" s="20">
        <f t="shared" si="71"/>
        <v>28.094000000000001</v>
      </c>
      <c r="L62" s="20">
        <f t="shared" si="71"/>
        <v>0</v>
      </c>
      <c r="M62" s="20">
        <f t="shared" si="71"/>
        <v>0</v>
      </c>
      <c r="N62" s="20">
        <f t="shared" si="71"/>
        <v>0</v>
      </c>
      <c r="O62" s="20">
        <f t="shared" si="71"/>
        <v>0</v>
      </c>
      <c r="P62" s="20">
        <f t="shared" si="40"/>
        <v>0</v>
      </c>
      <c r="Q62" s="20">
        <f t="shared" si="67"/>
        <v>0</v>
      </c>
      <c r="R62" s="20">
        <f t="shared" si="67"/>
        <v>0</v>
      </c>
      <c r="S62" s="10">
        <f t="shared" si="41"/>
        <v>2293.1680000000001</v>
      </c>
      <c r="T62" s="1093">
        <f t="shared" si="42"/>
        <v>616.16800000000012</v>
      </c>
      <c r="U62" s="1093">
        <f t="shared" si="43"/>
        <v>115.456</v>
      </c>
      <c r="V62" s="1093">
        <f t="shared" si="44"/>
        <v>0</v>
      </c>
      <c r="W62" s="1093">
        <f t="shared" si="45"/>
        <v>0</v>
      </c>
      <c r="X62" s="1093">
        <f t="shared" si="46"/>
        <v>1469.25</v>
      </c>
      <c r="Y62" s="1093">
        <f t="shared" si="48"/>
        <v>92.294000000000011</v>
      </c>
    </row>
    <row r="63" spans="2:25">
      <c r="B63" s="2" t="s">
        <v>110</v>
      </c>
      <c r="C63" s="20">
        <f t="shared" ref="C63:O63" si="72">C98*0.2</f>
        <v>29706.908000000003</v>
      </c>
      <c r="D63" s="20">
        <f t="shared" si="72"/>
        <v>5046.0440000000008</v>
      </c>
      <c r="E63" s="20">
        <f t="shared" si="72"/>
        <v>3645.0160000000005</v>
      </c>
      <c r="F63" s="20">
        <f t="shared" si="72"/>
        <v>820.27600000000007</v>
      </c>
      <c r="G63" s="20">
        <f t="shared" si="72"/>
        <v>80632.44</v>
      </c>
      <c r="H63" s="20">
        <f t="shared" si="72"/>
        <v>274.26</v>
      </c>
      <c r="I63" s="20">
        <f t="shared" si="72"/>
        <v>813.69600000000003</v>
      </c>
      <c r="J63" s="20">
        <f t="shared" si="72"/>
        <v>0</v>
      </c>
      <c r="K63" s="20">
        <f t="shared" si="72"/>
        <v>698.21600000000001</v>
      </c>
      <c r="L63" s="20">
        <f t="shared" si="72"/>
        <v>607.29</v>
      </c>
      <c r="M63" s="20">
        <f t="shared" si="72"/>
        <v>0</v>
      </c>
      <c r="N63" s="20">
        <f t="shared" si="72"/>
        <v>0</v>
      </c>
      <c r="O63" s="20">
        <f t="shared" si="72"/>
        <v>17.141999999999999</v>
      </c>
      <c r="P63" s="20">
        <f t="shared" si="40"/>
        <v>0</v>
      </c>
      <c r="Q63" s="20">
        <f t="shared" si="67"/>
        <v>0</v>
      </c>
      <c r="R63" s="20">
        <f t="shared" si="67"/>
        <v>0</v>
      </c>
      <c r="S63" s="10">
        <f t="shared" si="41"/>
        <v>122261.288</v>
      </c>
      <c r="T63" s="1093">
        <f t="shared" si="42"/>
        <v>29706.908000000003</v>
      </c>
      <c r="U63" s="1093">
        <f t="shared" si="43"/>
        <v>5046.0440000000008</v>
      </c>
      <c r="V63" s="1093">
        <f t="shared" si="44"/>
        <v>3645.0160000000005</v>
      </c>
      <c r="W63" s="1093">
        <f t="shared" si="45"/>
        <v>820.27600000000007</v>
      </c>
      <c r="X63" s="1093">
        <f t="shared" si="46"/>
        <v>80632.44</v>
      </c>
      <c r="Y63" s="1093">
        <f t="shared" si="48"/>
        <v>2410.6039999999998</v>
      </c>
    </row>
    <row r="64" spans="2:25">
      <c r="B64" s="2" t="s">
        <v>111</v>
      </c>
      <c r="C64" s="20">
        <f t="shared" ref="C64:O64" si="73">C99*0.2</f>
        <v>150953.726</v>
      </c>
      <c r="D64" s="20">
        <f t="shared" si="73"/>
        <v>51382.654000000002</v>
      </c>
      <c r="E64" s="20">
        <f t="shared" si="73"/>
        <v>18242.018</v>
      </c>
      <c r="F64" s="20">
        <f t="shared" si="73"/>
        <v>6394.4680000000008</v>
      </c>
      <c r="G64" s="20">
        <f t="shared" si="73"/>
        <v>301059.12000000005</v>
      </c>
      <c r="H64" s="20">
        <f t="shared" si="73"/>
        <v>3506.61</v>
      </c>
      <c r="I64" s="20">
        <f t="shared" si="73"/>
        <v>11166.348</v>
      </c>
      <c r="J64" s="20">
        <f t="shared" si="73"/>
        <v>0</v>
      </c>
      <c r="K64" s="20">
        <f t="shared" si="73"/>
        <v>4485.9340000000002</v>
      </c>
      <c r="L64" s="20">
        <f t="shared" si="73"/>
        <v>1214.58</v>
      </c>
      <c r="M64" s="20">
        <f t="shared" si="73"/>
        <v>0</v>
      </c>
      <c r="N64" s="20">
        <f t="shared" si="73"/>
        <v>0</v>
      </c>
      <c r="O64" s="20">
        <f t="shared" si="73"/>
        <v>171.42000000000002</v>
      </c>
      <c r="P64" s="20">
        <f t="shared" si="40"/>
        <v>0</v>
      </c>
      <c r="Q64" s="20">
        <v>0</v>
      </c>
      <c r="R64" s="20">
        <v>0</v>
      </c>
      <c r="S64" s="10">
        <f t="shared" si="41"/>
        <v>548576.87800000003</v>
      </c>
      <c r="T64" s="1093">
        <f t="shared" si="42"/>
        <v>150953.726</v>
      </c>
      <c r="U64" s="1093">
        <f t="shared" si="43"/>
        <v>51382.654000000002</v>
      </c>
      <c r="V64" s="1093">
        <f t="shared" si="44"/>
        <v>18242.018</v>
      </c>
      <c r="W64" s="1093">
        <f t="shared" si="45"/>
        <v>6394.4680000000008</v>
      </c>
      <c r="X64" s="1093">
        <f t="shared" si="46"/>
        <v>301059.12000000005</v>
      </c>
      <c r="Y64" s="1093">
        <f t="shared" si="48"/>
        <v>20544.892</v>
      </c>
    </row>
    <row r="65" spans="2:25">
      <c r="B65" s="2" t="s">
        <v>112</v>
      </c>
      <c r="C65" s="20">
        <f t="shared" ref="C65:O65" si="74">C100*0.2</f>
        <v>3295.5080000000003</v>
      </c>
      <c r="D65" s="20">
        <f t="shared" si="74"/>
        <v>1206.2120000000002</v>
      </c>
      <c r="E65" s="20">
        <f t="shared" si="74"/>
        <v>251.41800000000001</v>
      </c>
      <c r="F65" s="20">
        <f t="shared" si="74"/>
        <v>159.79600000000002</v>
      </c>
      <c r="G65" s="20">
        <f t="shared" si="74"/>
        <v>6934.8600000000006</v>
      </c>
      <c r="H65" s="20">
        <f t="shared" si="74"/>
        <v>137.13</v>
      </c>
      <c r="I65" s="20">
        <f t="shared" si="74"/>
        <v>202.14000000000001</v>
      </c>
      <c r="J65" s="20">
        <f t="shared" si="74"/>
        <v>0</v>
      </c>
      <c r="K65" s="20">
        <f t="shared" si="74"/>
        <v>90.486000000000004</v>
      </c>
      <c r="L65" s="20">
        <f t="shared" si="74"/>
        <v>0</v>
      </c>
      <c r="M65" s="20">
        <f t="shared" si="74"/>
        <v>0</v>
      </c>
      <c r="N65" s="20">
        <f t="shared" si="74"/>
        <v>0</v>
      </c>
      <c r="O65" s="20">
        <f t="shared" si="74"/>
        <v>0</v>
      </c>
      <c r="P65" s="20">
        <f t="shared" si="40"/>
        <v>0</v>
      </c>
      <c r="Q65" s="20">
        <f>Q100*0.2</f>
        <v>0</v>
      </c>
      <c r="R65" s="20">
        <f>R100*0.2</f>
        <v>0</v>
      </c>
      <c r="S65" s="10">
        <f t="shared" si="41"/>
        <v>12277.550000000001</v>
      </c>
      <c r="T65" s="1093">
        <f t="shared" si="42"/>
        <v>3295.5080000000003</v>
      </c>
      <c r="U65" s="1093">
        <f t="shared" si="43"/>
        <v>1206.2120000000002</v>
      </c>
      <c r="V65" s="1093">
        <f t="shared" si="44"/>
        <v>251.41800000000001</v>
      </c>
      <c r="W65" s="1093">
        <f t="shared" si="45"/>
        <v>159.79600000000002</v>
      </c>
      <c r="X65" s="1093">
        <f t="shared" si="46"/>
        <v>6934.8600000000006</v>
      </c>
      <c r="Y65" s="1093">
        <f t="shared" si="48"/>
        <v>429.75599999999997</v>
      </c>
    </row>
    <row r="66" spans="2:25">
      <c r="B66" s="2" t="s">
        <v>113</v>
      </c>
      <c r="C66" s="20">
        <f t="shared" ref="C66:O66" si="75">C101*0.2</f>
        <v>1831.0520000000001</v>
      </c>
      <c r="D66" s="20">
        <f t="shared" si="75"/>
        <v>2498.346</v>
      </c>
      <c r="E66" s="20">
        <f t="shared" si="75"/>
        <v>175.232</v>
      </c>
      <c r="F66" s="20">
        <f t="shared" si="75"/>
        <v>381.32600000000002</v>
      </c>
      <c r="G66" s="20">
        <f t="shared" si="75"/>
        <v>6523.47</v>
      </c>
      <c r="H66" s="20">
        <f t="shared" si="75"/>
        <v>195.9</v>
      </c>
      <c r="I66" s="20">
        <f t="shared" si="75"/>
        <v>475.74600000000004</v>
      </c>
      <c r="J66" s="20">
        <f t="shared" si="75"/>
        <v>0</v>
      </c>
      <c r="K66" s="20">
        <f t="shared" si="75"/>
        <v>245.41200000000001</v>
      </c>
      <c r="L66" s="20">
        <f t="shared" si="75"/>
        <v>58.77000000000001</v>
      </c>
      <c r="M66" s="20">
        <f t="shared" si="75"/>
        <v>0</v>
      </c>
      <c r="N66" s="20">
        <f t="shared" si="75"/>
        <v>0</v>
      </c>
      <c r="O66" s="20">
        <f t="shared" si="75"/>
        <v>0</v>
      </c>
      <c r="P66" s="20">
        <f t="shared" si="40"/>
        <v>0</v>
      </c>
      <c r="Q66" s="20">
        <f>Q101*0.2</f>
        <v>0</v>
      </c>
      <c r="R66" s="20">
        <f>R101*0.2</f>
        <v>0</v>
      </c>
      <c r="S66" s="10">
        <f t="shared" si="41"/>
        <v>12385.253999999999</v>
      </c>
      <c r="T66" s="1093">
        <f t="shared" si="42"/>
        <v>1831.0520000000001</v>
      </c>
      <c r="U66" s="1093">
        <f t="shared" si="43"/>
        <v>2498.346</v>
      </c>
      <c r="V66" s="1093">
        <f t="shared" si="44"/>
        <v>175.232</v>
      </c>
      <c r="W66" s="1093">
        <f t="shared" si="45"/>
        <v>381.32600000000002</v>
      </c>
      <c r="X66" s="1093">
        <f t="shared" si="46"/>
        <v>6523.47</v>
      </c>
      <c r="Y66" s="1093">
        <f t="shared" si="48"/>
        <v>975.82800000000009</v>
      </c>
    </row>
    <row r="67" spans="2:25">
      <c r="B67" s="7" t="s">
        <v>37</v>
      </c>
      <c r="C67" s="8">
        <f t="shared" ref="C67:T67" si="76">SUM(C40:C66)</f>
        <v>455309.89200000005</v>
      </c>
      <c r="D67" s="8">
        <f t="shared" si="76"/>
        <v>164282.76599999997</v>
      </c>
      <c r="E67" s="8">
        <f t="shared" si="76"/>
        <v>57773.197999999997</v>
      </c>
      <c r="F67" s="8">
        <f t="shared" si="76"/>
        <v>21411.424000000003</v>
      </c>
      <c r="G67" s="8">
        <f t="shared" si="76"/>
        <v>962084.49000000011</v>
      </c>
      <c r="H67" s="8">
        <f t="shared" si="76"/>
        <v>13063.949999999999</v>
      </c>
      <c r="I67" s="8">
        <f t="shared" si="76"/>
        <v>32247.870000000003</v>
      </c>
      <c r="J67" s="8">
        <f t="shared" si="76"/>
        <v>1963.6320000000001</v>
      </c>
      <c r="K67" s="8">
        <f t="shared" si="76"/>
        <v>15586.210000000003</v>
      </c>
      <c r="L67" s="8">
        <f t="shared" si="76"/>
        <v>6582.2400000000007</v>
      </c>
      <c r="M67" s="8">
        <f t="shared" si="76"/>
        <v>195.90000000000003</v>
      </c>
      <c r="N67" s="8">
        <f t="shared" si="76"/>
        <v>683.89599999999996</v>
      </c>
      <c r="O67" s="8">
        <f t="shared" si="76"/>
        <v>365.69600000000003</v>
      </c>
      <c r="P67" s="8">
        <f t="shared" ref="P67" si="77">SUM(P40:P66)</f>
        <v>0</v>
      </c>
      <c r="Q67" s="8">
        <f t="shared" si="76"/>
        <v>1</v>
      </c>
      <c r="R67" s="8">
        <f t="shared" si="76"/>
        <v>0</v>
      </c>
      <c r="S67" s="11">
        <f t="shared" si="76"/>
        <v>1731552.1639999999</v>
      </c>
      <c r="T67" s="1093">
        <f t="shared" si="76"/>
        <v>455309.89200000005</v>
      </c>
      <c r="U67" s="1093">
        <f t="shared" ref="U67:Y67" si="78">SUM(U40:U66)</f>
        <v>164282.76599999997</v>
      </c>
      <c r="V67" s="1093">
        <f t="shared" si="78"/>
        <v>57773.197999999997</v>
      </c>
      <c r="W67" s="1093">
        <f t="shared" si="78"/>
        <v>21411.424000000003</v>
      </c>
      <c r="X67" s="1093">
        <f t="shared" si="78"/>
        <v>962084.49000000011</v>
      </c>
      <c r="Y67" s="1093">
        <f t="shared" si="78"/>
        <v>70690.393999999986</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6708.47</v>
      </c>
      <c r="D75" s="20">
        <v>1290.6300000000001</v>
      </c>
      <c r="E75" s="20">
        <v>1399.95</v>
      </c>
      <c r="F75" s="20">
        <v>549</v>
      </c>
      <c r="G75" s="20">
        <v>13810.95</v>
      </c>
      <c r="H75" s="20">
        <v>2252.85</v>
      </c>
      <c r="I75" s="20">
        <v>123.52</v>
      </c>
      <c r="J75" s="20"/>
      <c r="K75" s="20">
        <v>253.56</v>
      </c>
      <c r="L75" s="20">
        <v>489.75</v>
      </c>
      <c r="M75" s="20"/>
      <c r="N75" s="20"/>
      <c r="O75" s="20"/>
      <c r="P75" s="20"/>
      <c r="Q75" s="20"/>
      <c r="R75" s="20"/>
      <c r="S75" s="10">
        <f t="shared" ref="S75:S101" si="79">SUM(C75:R75)</f>
        <v>26878.68</v>
      </c>
      <c r="T75" s="1093">
        <f t="shared" ref="T75:T101" si="80">C75</f>
        <v>6708.47</v>
      </c>
      <c r="U75" s="1093">
        <f t="shared" ref="U75:U101" si="81">D75</f>
        <v>1290.6300000000001</v>
      </c>
      <c r="V75" s="1093">
        <f t="shared" ref="V75:V101" si="82">E75</f>
        <v>1399.95</v>
      </c>
      <c r="W75" s="1093">
        <f t="shared" ref="W75:W101" si="83">F75</f>
        <v>549</v>
      </c>
      <c r="X75" s="1093">
        <f t="shared" ref="X75:X101" si="84">G75</f>
        <v>13810.95</v>
      </c>
      <c r="Y75" s="1093">
        <f>SUM(H75:R75)</f>
        <v>3119.68</v>
      </c>
    </row>
    <row r="76" spans="2:25">
      <c r="B76" s="2" t="s">
        <v>88</v>
      </c>
      <c r="C76" s="20">
        <v>21552.38</v>
      </c>
      <c r="D76" s="20">
        <v>10887.79</v>
      </c>
      <c r="E76" s="20">
        <v>1199.96</v>
      </c>
      <c r="F76" s="20">
        <v>292.26</v>
      </c>
      <c r="G76" s="20">
        <v>38004.6</v>
      </c>
      <c r="H76" s="20">
        <v>489.75</v>
      </c>
      <c r="I76" s="20">
        <v>1957.09</v>
      </c>
      <c r="J76" s="20"/>
      <c r="K76" s="20">
        <v>1122.78</v>
      </c>
      <c r="L76" s="20"/>
      <c r="M76" s="20"/>
      <c r="N76" s="20"/>
      <c r="O76" s="20"/>
      <c r="P76" s="20"/>
      <c r="Q76" s="20"/>
      <c r="R76" s="20"/>
      <c r="S76" s="10">
        <f t="shared" si="79"/>
        <v>75506.61</v>
      </c>
      <c r="T76" s="1093">
        <f t="shared" si="80"/>
        <v>21552.38</v>
      </c>
      <c r="U76" s="1093">
        <f t="shared" si="81"/>
        <v>10887.79</v>
      </c>
      <c r="V76" s="1093">
        <f t="shared" si="82"/>
        <v>1199.96</v>
      </c>
      <c r="W76" s="1093">
        <f t="shared" si="83"/>
        <v>292.26</v>
      </c>
      <c r="X76" s="1093">
        <f t="shared" si="84"/>
        <v>38004.6</v>
      </c>
      <c r="Y76" s="1093">
        <f t="shared" ref="Y76:Y101" si="85">SUM(H76:R76)</f>
        <v>3569.62</v>
      </c>
    </row>
    <row r="77" spans="2:25">
      <c r="B77" s="2" t="s">
        <v>89</v>
      </c>
      <c r="C77" s="20">
        <v>5261.73</v>
      </c>
      <c r="D77" s="20">
        <v>3770.22</v>
      </c>
      <c r="E77" s="20">
        <v>685.69</v>
      </c>
      <c r="F77" s="20">
        <v>389.46</v>
      </c>
      <c r="G77" s="20">
        <v>16847.400000000001</v>
      </c>
      <c r="H77" s="20">
        <v>391.8</v>
      </c>
      <c r="I77" s="20">
        <v>557.71</v>
      </c>
      <c r="J77" s="20"/>
      <c r="K77" s="20">
        <v>168</v>
      </c>
      <c r="L77" s="20">
        <v>293.85000000000002</v>
      </c>
      <c r="M77" s="20"/>
      <c r="N77" s="20"/>
      <c r="O77" s="20"/>
      <c r="P77" s="20"/>
      <c r="Q77" s="20"/>
      <c r="R77" s="20"/>
      <c r="S77" s="10">
        <f t="shared" si="79"/>
        <v>28365.859999999997</v>
      </c>
      <c r="T77" s="1093">
        <f t="shared" si="80"/>
        <v>5261.73</v>
      </c>
      <c r="U77" s="1093">
        <f t="shared" si="81"/>
        <v>3770.22</v>
      </c>
      <c r="V77" s="1093">
        <f t="shared" si="82"/>
        <v>685.69</v>
      </c>
      <c r="W77" s="1093">
        <f t="shared" si="83"/>
        <v>389.46</v>
      </c>
      <c r="X77" s="1093">
        <f t="shared" si="84"/>
        <v>16847.400000000001</v>
      </c>
      <c r="Y77" s="1093">
        <f t="shared" si="85"/>
        <v>1411.3600000000001</v>
      </c>
    </row>
    <row r="78" spans="2:25">
      <c r="B78" s="2" t="s">
        <v>90</v>
      </c>
      <c r="C78" s="20">
        <v>24553.86</v>
      </c>
      <c r="D78" s="20">
        <v>13667.69</v>
      </c>
      <c r="E78" s="20">
        <v>228.56</v>
      </c>
      <c r="F78" s="20">
        <v>1001.72</v>
      </c>
      <c r="G78" s="20">
        <v>26250.6</v>
      </c>
      <c r="H78" s="20">
        <v>783.6</v>
      </c>
      <c r="I78" s="20">
        <v>1863.02</v>
      </c>
      <c r="J78" s="20"/>
      <c r="K78" s="20">
        <v>1313.43</v>
      </c>
      <c r="L78" s="20">
        <v>97.95</v>
      </c>
      <c r="M78" s="20"/>
      <c r="N78" s="20">
        <v>390.64</v>
      </c>
      <c r="O78" s="20"/>
      <c r="P78" s="20"/>
      <c r="Q78" s="20"/>
      <c r="R78" s="20"/>
      <c r="S78" s="10">
        <f t="shared" si="79"/>
        <v>70151.069999999992</v>
      </c>
      <c r="T78" s="1093">
        <f t="shared" si="80"/>
        <v>24553.86</v>
      </c>
      <c r="U78" s="1093">
        <f t="shared" si="81"/>
        <v>13667.69</v>
      </c>
      <c r="V78" s="1093">
        <f t="shared" si="82"/>
        <v>228.56</v>
      </c>
      <c r="W78" s="1093">
        <f t="shared" si="83"/>
        <v>1001.72</v>
      </c>
      <c r="X78" s="1093">
        <f t="shared" si="84"/>
        <v>26250.6</v>
      </c>
      <c r="Y78" s="1093">
        <f t="shared" si="85"/>
        <v>4448.6400000000003</v>
      </c>
    </row>
    <row r="79" spans="2:25">
      <c r="B79" s="2" t="s">
        <v>91</v>
      </c>
      <c r="C79" s="20">
        <v>62026.45</v>
      </c>
      <c r="D79" s="20">
        <v>18713.97</v>
      </c>
      <c r="E79" s="20">
        <v>5666.44</v>
      </c>
      <c r="F79" s="20">
        <v>2399.1799999999998</v>
      </c>
      <c r="G79" s="20">
        <v>78555.899999999994</v>
      </c>
      <c r="H79" s="20">
        <v>1959</v>
      </c>
      <c r="I79" s="20">
        <v>2843.56</v>
      </c>
      <c r="J79" s="20"/>
      <c r="K79" s="20">
        <v>2433.7800000000002</v>
      </c>
      <c r="L79" s="20">
        <v>881.55</v>
      </c>
      <c r="M79" s="20"/>
      <c r="N79" s="20"/>
      <c r="O79" s="20">
        <v>28.57</v>
      </c>
      <c r="P79" s="20"/>
      <c r="Q79" s="20"/>
      <c r="R79" s="20"/>
      <c r="S79" s="10">
        <f t="shared" si="79"/>
        <v>175508.4</v>
      </c>
      <c r="T79" s="1093">
        <f t="shared" si="80"/>
        <v>62026.45</v>
      </c>
      <c r="U79" s="1093">
        <f t="shared" si="81"/>
        <v>18713.97</v>
      </c>
      <c r="V79" s="1093">
        <f t="shared" si="82"/>
        <v>5666.44</v>
      </c>
      <c r="W79" s="1093">
        <f t="shared" si="83"/>
        <v>2399.1799999999998</v>
      </c>
      <c r="X79" s="1093">
        <f t="shared" si="84"/>
        <v>78555.899999999994</v>
      </c>
      <c r="Y79" s="1093">
        <f t="shared" si="85"/>
        <v>8146.46</v>
      </c>
    </row>
    <row r="80" spans="2:25">
      <c r="B80" s="2" t="s">
        <v>92</v>
      </c>
      <c r="C80" s="20">
        <v>28959.48</v>
      </c>
      <c r="D80" s="20">
        <v>7677.83</v>
      </c>
      <c r="E80" s="20">
        <v>4130.01</v>
      </c>
      <c r="F80" s="20">
        <v>1576.73</v>
      </c>
      <c r="G80" s="20">
        <v>34478.400000000001</v>
      </c>
      <c r="H80" s="20">
        <v>1175.4000000000001</v>
      </c>
      <c r="I80" s="20">
        <v>1098.98</v>
      </c>
      <c r="J80" s="20">
        <v>1977.54</v>
      </c>
      <c r="K80" s="20">
        <v>1275.32</v>
      </c>
      <c r="L80" s="20"/>
      <c r="M80" s="20">
        <v>195.9</v>
      </c>
      <c r="N80" s="20"/>
      <c r="O80" s="20"/>
      <c r="P80" s="20"/>
      <c r="Q80" s="20"/>
      <c r="R80" s="20"/>
      <c r="S80" s="10">
        <f t="shared" si="79"/>
        <v>82545.59</v>
      </c>
      <c r="T80" s="1093">
        <f t="shared" si="80"/>
        <v>28959.48</v>
      </c>
      <c r="U80" s="1093">
        <f t="shared" si="81"/>
        <v>7677.83</v>
      </c>
      <c r="V80" s="1093">
        <f t="shared" si="82"/>
        <v>4130.01</v>
      </c>
      <c r="W80" s="1093">
        <f t="shared" si="83"/>
        <v>1576.73</v>
      </c>
      <c r="X80" s="1093">
        <f t="shared" si="84"/>
        <v>34478.400000000001</v>
      </c>
      <c r="Y80" s="1093">
        <f t="shared" si="85"/>
        <v>5723.1399999999994</v>
      </c>
    </row>
    <row r="81" spans="2:25">
      <c r="B81" s="2" t="s">
        <v>93</v>
      </c>
      <c r="C81" s="20">
        <v>74670.27</v>
      </c>
      <c r="D81" s="20">
        <v>37804.400000000001</v>
      </c>
      <c r="E81" s="20">
        <v>5964.85</v>
      </c>
      <c r="F81" s="20">
        <v>773.92</v>
      </c>
      <c r="G81" s="20">
        <v>92268.9</v>
      </c>
      <c r="H81" s="20">
        <v>2840.55</v>
      </c>
      <c r="I81" s="20">
        <v>5715.19</v>
      </c>
      <c r="J81" s="20">
        <v>4716.2700000000004</v>
      </c>
      <c r="K81" s="20">
        <v>4075.07</v>
      </c>
      <c r="L81" s="20">
        <v>1077.45</v>
      </c>
      <c r="M81" s="20">
        <v>195.9</v>
      </c>
      <c r="N81" s="20"/>
      <c r="O81" s="20">
        <v>57.14</v>
      </c>
      <c r="P81" s="20"/>
      <c r="Q81" s="20"/>
      <c r="R81" s="20"/>
      <c r="S81" s="10">
        <f t="shared" si="79"/>
        <v>230159.91000000003</v>
      </c>
      <c r="T81" s="1093">
        <f t="shared" si="80"/>
        <v>74670.27</v>
      </c>
      <c r="U81" s="1093">
        <f t="shared" si="81"/>
        <v>37804.400000000001</v>
      </c>
      <c r="V81" s="1093">
        <f t="shared" si="82"/>
        <v>5964.85</v>
      </c>
      <c r="W81" s="1093">
        <f t="shared" si="83"/>
        <v>773.92</v>
      </c>
      <c r="X81" s="1093">
        <f t="shared" si="84"/>
        <v>92268.9</v>
      </c>
      <c r="Y81" s="1093">
        <f t="shared" si="85"/>
        <v>18677.570000000003</v>
      </c>
    </row>
    <row r="82" spans="2:25">
      <c r="B82" s="2" t="s">
        <v>94</v>
      </c>
      <c r="C82" s="20">
        <v>47622.37</v>
      </c>
      <c r="D82" s="20">
        <v>12318.7</v>
      </c>
      <c r="E82" s="20">
        <v>5247.41</v>
      </c>
      <c r="F82" s="20">
        <v>1272.99</v>
      </c>
      <c r="G82" s="20">
        <v>82278</v>
      </c>
      <c r="H82" s="20">
        <v>1861.05</v>
      </c>
      <c r="I82" s="20">
        <v>3094.36</v>
      </c>
      <c r="J82" s="20"/>
      <c r="K82" s="20">
        <v>701.64</v>
      </c>
      <c r="L82" s="20">
        <v>391.8</v>
      </c>
      <c r="M82" s="20"/>
      <c r="N82" s="20"/>
      <c r="O82" s="20">
        <v>28.57</v>
      </c>
      <c r="P82" s="20"/>
      <c r="Q82" s="20"/>
      <c r="R82" s="20"/>
      <c r="S82" s="10">
        <f t="shared" si="79"/>
        <v>154816.89000000001</v>
      </c>
      <c r="T82" s="1093">
        <f t="shared" si="80"/>
        <v>47622.37</v>
      </c>
      <c r="U82" s="1093">
        <f t="shared" si="81"/>
        <v>12318.7</v>
      </c>
      <c r="V82" s="1093">
        <f t="shared" si="82"/>
        <v>5247.41</v>
      </c>
      <c r="W82" s="1093">
        <f t="shared" si="83"/>
        <v>1272.99</v>
      </c>
      <c r="X82" s="1093">
        <f t="shared" si="84"/>
        <v>82278</v>
      </c>
      <c r="Y82" s="1093">
        <f t="shared" si="85"/>
        <v>6077.42</v>
      </c>
    </row>
    <row r="83" spans="2:25">
      <c r="B83" s="2" t="s">
        <v>95</v>
      </c>
      <c r="C83" s="20">
        <v>56458.31</v>
      </c>
      <c r="D83" s="20">
        <v>24079.81</v>
      </c>
      <c r="E83" s="20">
        <v>10009.18</v>
      </c>
      <c r="F83" s="20">
        <v>2642.5</v>
      </c>
      <c r="G83" s="20">
        <v>186496.8</v>
      </c>
      <c r="H83" s="20">
        <v>97.95</v>
      </c>
      <c r="I83" s="20">
        <v>3935.43</v>
      </c>
      <c r="J83" s="20">
        <v>1665</v>
      </c>
      <c r="K83" s="20">
        <v>2756.42</v>
      </c>
      <c r="L83" s="20">
        <v>97.95</v>
      </c>
      <c r="M83" s="20"/>
      <c r="N83" s="20"/>
      <c r="O83" s="20">
        <v>28.57</v>
      </c>
      <c r="P83" s="20"/>
      <c r="Q83" s="20"/>
      <c r="R83" s="20"/>
      <c r="S83" s="10">
        <f t="shared" si="79"/>
        <v>288267.92</v>
      </c>
      <c r="T83" s="1093">
        <f t="shared" si="80"/>
        <v>56458.31</v>
      </c>
      <c r="U83" s="1093">
        <f t="shared" si="81"/>
        <v>24079.81</v>
      </c>
      <c r="V83" s="1093">
        <f t="shared" si="82"/>
        <v>10009.18</v>
      </c>
      <c r="W83" s="1093">
        <f t="shared" si="83"/>
        <v>2642.5</v>
      </c>
      <c r="X83" s="1093">
        <f t="shared" si="84"/>
        <v>186496.8</v>
      </c>
      <c r="Y83" s="1093">
        <f t="shared" si="85"/>
        <v>8581.32</v>
      </c>
    </row>
    <row r="84" spans="2:25">
      <c r="B84" s="2" t="s">
        <v>96</v>
      </c>
      <c r="C84" s="20">
        <v>14301.08</v>
      </c>
      <c r="D84" s="20">
        <v>9814.2999999999993</v>
      </c>
      <c r="E84" s="20">
        <v>857.11</v>
      </c>
      <c r="F84" s="20">
        <v>805.4</v>
      </c>
      <c r="G84" s="20">
        <v>15672</v>
      </c>
      <c r="H84" s="20">
        <v>293.85000000000002</v>
      </c>
      <c r="I84" s="20">
        <v>1736.9</v>
      </c>
      <c r="J84" s="20"/>
      <c r="K84" s="20">
        <v>661.31</v>
      </c>
      <c r="L84" s="20">
        <v>195.9</v>
      </c>
      <c r="M84" s="20"/>
      <c r="N84" s="20"/>
      <c r="O84" s="20"/>
      <c r="P84" s="20"/>
      <c r="Q84" s="20"/>
      <c r="R84" s="20"/>
      <c r="S84" s="10">
        <f t="shared" si="79"/>
        <v>44337.85</v>
      </c>
      <c r="T84" s="1093">
        <f t="shared" si="80"/>
        <v>14301.08</v>
      </c>
      <c r="U84" s="1093">
        <f t="shared" si="81"/>
        <v>9814.2999999999993</v>
      </c>
      <c r="V84" s="1093">
        <f t="shared" si="82"/>
        <v>857.11</v>
      </c>
      <c r="W84" s="1093">
        <f t="shared" si="83"/>
        <v>805.4</v>
      </c>
      <c r="X84" s="1093">
        <f t="shared" si="84"/>
        <v>15672</v>
      </c>
      <c r="Y84" s="1093">
        <f t="shared" si="85"/>
        <v>2887.96</v>
      </c>
    </row>
    <row r="85" spans="2:25">
      <c r="B85" s="2" t="s">
        <v>97</v>
      </c>
      <c r="C85" s="20">
        <v>43774.17</v>
      </c>
      <c r="D85" s="20">
        <v>21041.64</v>
      </c>
      <c r="E85" s="20">
        <v>5731.53</v>
      </c>
      <c r="F85" s="20">
        <v>2019.83</v>
      </c>
      <c r="G85" s="20">
        <v>246344.25</v>
      </c>
      <c r="H85" s="20">
        <v>4198.95</v>
      </c>
      <c r="I85" s="20">
        <v>2716.12</v>
      </c>
      <c r="J85" s="20"/>
      <c r="K85" s="20">
        <v>2652.31</v>
      </c>
      <c r="L85" s="20">
        <v>293.85000000000002</v>
      </c>
      <c r="M85" s="20">
        <v>195.9</v>
      </c>
      <c r="N85" s="20"/>
      <c r="O85" s="20">
        <v>57.14</v>
      </c>
      <c r="P85" s="20"/>
      <c r="Q85" s="20"/>
      <c r="R85" s="20"/>
      <c r="S85" s="10">
        <f t="shared" si="79"/>
        <v>329025.69</v>
      </c>
      <c r="T85" s="1093">
        <f t="shared" si="80"/>
        <v>43774.17</v>
      </c>
      <c r="U85" s="1093">
        <f t="shared" si="81"/>
        <v>21041.64</v>
      </c>
      <c r="V85" s="1093">
        <f t="shared" si="82"/>
        <v>5731.53</v>
      </c>
      <c r="W85" s="1093">
        <f t="shared" si="83"/>
        <v>2019.83</v>
      </c>
      <c r="X85" s="1093">
        <f t="shared" si="84"/>
        <v>246344.25</v>
      </c>
      <c r="Y85" s="1093">
        <f t="shared" si="85"/>
        <v>10114.269999999999</v>
      </c>
    </row>
    <row r="86" spans="2:25">
      <c r="B86" s="2" t="s">
        <v>98</v>
      </c>
      <c r="C86" s="20">
        <v>37527.620000000003</v>
      </c>
      <c r="D86" s="20">
        <v>15386.82</v>
      </c>
      <c r="E86" s="20">
        <v>9040.56</v>
      </c>
      <c r="F86" s="20">
        <v>1809.68</v>
      </c>
      <c r="G86" s="20">
        <v>130371.45</v>
      </c>
      <c r="H86" s="20">
        <v>685.65</v>
      </c>
      <c r="I86" s="20">
        <v>2932.02</v>
      </c>
      <c r="J86" s="20"/>
      <c r="K86" s="20">
        <v>1858.15</v>
      </c>
      <c r="L86" s="20">
        <v>685.65</v>
      </c>
      <c r="M86" s="20"/>
      <c r="N86" s="20">
        <v>460.65</v>
      </c>
      <c r="O86" s="20">
        <v>28.57</v>
      </c>
      <c r="P86" s="20"/>
      <c r="Q86" s="20"/>
      <c r="R86" s="20"/>
      <c r="S86" s="10">
        <f t="shared" si="79"/>
        <v>200786.81999999998</v>
      </c>
      <c r="T86" s="1093">
        <f t="shared" si="80"/>
        <v>37527.620000000003</v>
      </c>
      <c r="U86" s="1093">
        <f t="shared" si="81"/>
        <v>15386.82</v>
      </c>
      <c r="V86" s="1093">
        <f t="shared" si="82"/>
        <v>9040.56</v>
      </c>
      <c r="W86" s="1093">
        <f t="shared" si="83"/>
        <v>1809.68</v>
      </c>
      <c r="X86" s="1093">
        <f t="shared" si="84"/>
        <v>130371.45</v>
      </c>
      <c r="Y86" s="1093">
        <f t="shared" si="85"/>
        <v>6650.6899999999987</v>
      </c>
    </row>
    <row r="87" spans="2:25">
      <c r="B87" s="2" t="s">
        <v>99</v>
      </c>
      <c r="C87" s="20">
        <v>188325.98</v>
      </c>
      <c r="D87" s="20">
        <v>83980.63</v>
      </c>
      <c r="E87" s="20">
        <v>20248.439999999999</v>
      </c>
      <c r="F87" s="20">
        <v>14072.94</v>
      </c>
      <c r="G87" s="20">
        <v>314321.55</v>
      </c>
      <c r="H87" s="20">
        <v>7052.4</v>
      </c>
      <c r="I87" s="20">
        <v>17685.599999999999</v>
      </c>
      <c r="J87" s="20"/>
      <c r="K87" s="20">
        <v>7207.8</v>
      </c>
      <c r="L87" s="20">
        <v>7346.25</v>
      </c>
      <c r="M87" s="20"/>
      <c r="N87" s="20">
        <v>2285.64</v>
      </c>
      <c r="O87" s="20">
        <v>171.42</v>
      </c>
      <c r="P87" s="20"/>
      <c r="Q87" s="20"/>
      <c r="R87" s="20"/>
      <c r="S87" s="10">
        <f t="shared" si="79"/>
        <v>662698.65000000014</v>
      </c>
      <c r="T87" s="1093">
        <f t="shared" si="80"/>
        <v>188325.98</v>
      </c>
      <c r="U87" s="1093">
        <f t="shared" si="81"/>
        <v>83980.63</v>
      </c>
      <c r="V87" s="1093">
        <f t="shared" si="82"/>
        <v>20248.439999999999</v>
      </c>
      <c r="W87" s="1093">
        <f t="shared" si="83"/>
        <v>14072.94</v>
      </c>
      <c r="X87" s="1093">
        <f t="shared" si="84"/>
        <v>314321.55</v>
      </c>
      <c r="Y87" s="1093">
        <f t="shared" si="85"/>
        <v>41749.11</v>
      </c>
    </row>
    <row r="88" spans="2:25">
      <c r="B88" s="2" t="s">
        <v>100</v>
      </c>
      <c r="C88" s="20">
        <v>26799.75</v>
      </c>
      <c r="D88" s="20">
        <v>14784.82</v>
      </c>
      <c r="E88" s="20">
        <v>1914.22</v>
      </c>
      <c r="F88" s="20">
        <v>621.49</v>
      </c>
      <c r="G88" s="20">
        <v>25858.799999999999</v>
      </c>
      <c r="H88" s="20">
        <v>1665.15</v>
      </c>
      <c r="I88" s="20">
        <v>3135.44</v>
      </c>
      <c r="J88" s="20"/>
      <c r="K88" s="20">
        <v>468.79</v>
      </c>
      <c r="L88" s="20">
        <v>783.6</v>
      </c>
      <c r="M88" s="20"/>
      <c r="N88" s="20"/>
      <c r="O88" s="20"/>
      <c r="P88" s="20"/>
      <c r="Q88" s="20"/>
      <c r="R88" s="20"/>
      <c r="S88" s="10">
        <f t="shared" si="79"/>
        <v>76032.06</v>
      </c>
      <c r="T88" s="1093">
        <f t="shared" si="80"/>
        <v>26799.75</v>
      </c>
      <c r="U88" s="1093">
        <f t="shared" si="81"/>
        <v>14784.82</v>
      </c>
      <c r="V88" s="1093">
        <f t="shared" si="82"/>
        <v>1914.22</v>
      </c>
      <c r="W88" s="1093">
        <f t="shared" si="83"/>
        <v>621.49</v>
      </c>
      <c r="X88" s="1093">
        <f t="shared" si="84"/>
        <v>25858.799999999999</v>
      </c>
      <c r="Y88" s="1093">
        <f t="shared" si="85"/>
        <v>6052.9800000000005</v>
      </c>
    </row>
    <row r="89" spans="2:25">
      <c r="B89" s="2" t="s">
        <v>101</v>
      </c>
      <c r="C89" s="20">
        <v>22945.56</v>
      </c>
      <c r="D89" s="20">
        <v>11747.48</v>
      </c>
      <c r="E89" s="20">
        <v>2838</v>
      </c>
      <c r="F89" s="20">
        <v>683.41</v>
      </c>
      <c r="G89" s="20">
        <v>45154.95</v>
      </c>
      <c r="H89" s="20">
        <v>391.8</v>
      </c>
      <c r="I89" s="20">
        <v>1920.96</v>
      </c>
      <c r="J89" s="20"/>
      <c r="K89" s="20">
        <v>1040.94</v>
      </c>
      <c r="L89" s="20"/>
      <c r="M89" s="20"/>
      <c r="N89" s="20"/>
      <c r="O89" s="20">
        <v>28.57</v>
      </c>
      <c r="P89" s="20"/>
      <c r="Q89" s="20"/>
      <c r="R89" s="20"/>
      <c r="S89" s="10">
        <f t="shared" si="79"/>
        <v>86751.670000000013</v>
      </c>
      <c r="T89" s="1093">
        <f t="shared" si="80"/>
        <v>22945.56</v>
      </c>
      <c r="U89" s="1093">
        <f t="shared" si="81"/>
        <v>11747.48</v>
      </c>
      <c r="V89" s="1093">
        <f t="shared" si="82"/>
        <v>2838</v>
      </c>
      <c r="W89" s="1093">
        <f t="shared" si="83"/>
        <v>683.41</v>
      </c>
      <c r="X89" s="1093">
        <f t="shared" si="84"/>
        <v>45154.95</v>
      </c>
      <c r="Y89" s="1093">
        <f t="shared" si="85"/>
        <v>3382.2700000000004</v>
      </c>
    </row>
    <row r="90" spans="2:25">
      <c r="B90" s="2" t="s">
        <v>102</v>
      </c>
      <c r="C90" s="20">
        <v>194239.03</v>
      </c>
      <c r="D90" s="20">
        <v>73086.710000000006</v>
      </c>
      <c r="E90" s="20">
        <v>37608.050000000003</v>
      </c>
      <c r="F90" s="20">
        <v>15192.1</v>
      </c>
      <c r="G90" s="20">
        <v>534023.4</v>
      </c>
      <c r="H90" s="20">
        <v>6072.9</v>
      </c>
      <c r="I90" s="20">
        <v>12911.09</v>
      </c>
      <c r="J90" s="20"/>
      <c r="K90" s="20">
        <v>7378.26</v>
      </c>
      <c r="L90" s="20">
        <v>6660.6</v>
      </c>
      <c r="M90" s="20"/>
      <c r="N90" s="20"/>
      <c r="O90" s="20">
        <v>142.85</v>
      </c>
      <c r="P90" s="20"/>
      <c r="Q90" s="20"/>
      <c r="R90" s="20"/>
      <c r="S90" s="10">
        <f t="shared" si="79"/>
        <v>887314.99</v>
      </c>
      <c r="T90" s="1093">
        <f t="shared" si="80"/>
        <v>194239.03</v>
      </c>
      <c r="U90" s="1093">
        <f t="shared" si="81"/>
        <v>73086.710000000006</v>
      </c>
      <c r="V90" s="1093">
        <f t="shared" si="82"/>
        <v>37608.050000000003</v>
      </c>
      <c r="W90" s="1093">
        <f t="shared" si="83"/>
        <v>15192.1</v>
      </c>
      <c r="X90" s="1093">
        <f t="shared" si="84"/>
        <v>534023.4</v>
      </c>
      <c r="Y90" s="1093">
        <f t="shared" si="85"/>
        <v>33165.699999999997</v>
      </c>
    </row>
    <row r="91" spans="2:25">
      <c r="B91" s="2" t="s">
        <v>103</v>
      </c>
      <c r="C91" s="20">
        <v>49102.23</v>
      </c>
      <c r="D91" s="20">
        <v>17964.84</v>
      </c>
      <c r="E91" s="20">
        <v>5904.52</v>
      </c>
      <c r="F91" s="20">
        <v>640.32000000000005</v>
      </c>
      <c r="G91" s="20">
        <v>69642.45</v>
      </c>
      <c r="H91" s="20">
        <v>1469.25</v>
      </c>
      <c r="I91" s="20">
        <v>3515.86</v>
      </c>
      <c r="J91" s="20"/>
      <c r="K91" s="20">
        <v>2465.66</v>
      </c>
      <c r="L91" s="20">
        <v>195.9</v>
      </c>
      <c r="M91" s="20"/>
      <c r="N91" s="20"/>
      <c r="O91" s="20"/>
      <c r="P91" s="20"/>
      <c r="Q91" s="20"/>
      <c r="R91" s="20"/>
      <c r="S91" s="10">
        <f t="shared" si="79"/>
        <v>150901.03</v>
      </c>
      <c r="T91" s="1093">
        <f t="shared" si="80"/>
        <v>49102.23</v>
      </c>
      <c r="U91" s="1093">
        <f t="shared" si="81"/>
        <v>17964.84</v>
      </c>
      <c r="V91" s="1093">
        <f t="shared" si="82"/>
        <v>5904.52</v>
      </c>
      <c r="W91" s="1093">
        <f t="shared" si="83"/>
        <v>640.32000000000005</v>
      </c>
      <c r="X91" s="1093">
        <f t="shared" si="84"/>
        <v>69642.45</v>
      </c>
      <c r="Y91" s="1093">
        <f t="shared" si="85"/>
        <v>7646.67</v>
      </c>
    </row>
    <row r="92" spans="2:25">
      <c r="B92" s="2" t="s">
        <v>104</v>
      </c>
      <c r="C92" s="20">
        <v>17316.259999999998</v>
      </c>
      <c r="D92" s="20">
        <v>4897.43</v>
      </c>
      <c r="E92" s="20">
        <v>1280.9000000000001</v>
      </c>
      <c r="F92" s="20">
        <v>348.55</v>
      </c>
      <c r="G92" s="20">
        <v>16847.400000000001</v>
      </c>
      <c r="H92" s="20">
        <v>391.8</v>
      </c>
      <c r="I92" s="20">
        <v>662.7</v>
      </c>
      <c r="J92" s="20"/>
      <c r="K92" s="20">
        <v>734.65</v>
      </c>
      <c r="L92" s="20"/>
      <c r="M92" s="20"/>
      <c r="N92" s="20"/>
      <c r="O92" s="20"/>
      <c r="P92" s="20"/>
      <c r="Q92" s="20"/>
      <c r="R92" s="20"/>
      <c r="S92" s="10">
        <f t="shared" si="79"/>
        <v>42479.69</v>
      </c>
      <c r="T92" s="1093">
        <f t="shared" si="80"/>
        <v>17316.259999999998</v>
      </c>
      <c r="U92" s="1093">
        <f t="shared" si="81"/>
        <v>4897.43</v>
      </c>
      <c r="V92" s="1093">
        <f t="shared" si="82"/>
        <v>1280.9000000000001</v>
      </c>
      <c r="W92" s="1093">
        <f t="shared" si="83"/>
        <v>348.55</v>
      </c>
      <c r="X92" s="1093">
        <f t="shared" si="84"/>
        <v>16847.400000000001</v>
      </c>
      <c r="Y92" s="1093">
        <f t="shared" si="85"/>
        <v>1789.15</v>
      </c>
    </row>
    <row r="93" spans="2:25">
      <c r="B93" s="2" t="s">
        <v>105</v>
      </c>
      <c r="C93" s="20">
        <v>176131.3</v>
      </c>
      <c r="D93" s="20">
        <v>56248.52</v>
      </c>
      <c r="E93" s="20">
        <v>19920.62</v>
      </c>
      <c r="F93" s="20">
        <v>8945.5300000000007</v>
      </c>
      <c r="G93" s="20">
        <v>187280.4</v>
      </c>
      <c r="H93" s="20">
        <v>7150.35</v>
      </c>
      <c r="I93" s="20">
        <v>14561.52</v>
      </c>
      <c r="J93" s="20">
        <v>614.49</v>
      </c>
      <c r="K93" s="20">
        <v>4835.28</v>
      </c>
      <c r="L93" s="20">
        <v>979.5</v>
      </c>
      <c r="M93" s="20">
        <v>391.8</v>
      </c>
      <c r="N93" s="20"/>
      <c r="O93" s="20">
        <v>142.85</v>
      </c>
      <c r="P93" s="20"/>
      <c r="Q93" s="20"/>
      <c r="R93" s="20"/>
      <c r="S93" s="10">
        <f t="shared" si="79"/>
        <v>477202.16</v>
      </c>
      <c r="T93" s="1093">
        <f t="shared" si="80"/>
        <v>176131.3</v>
      </c>
      <c r="U93" s="1093">
        <f t="shared" si="81"/>
        <v>56248.52</v>
      </c>
      <c r="V93" s="1093">
        <f t="shared" si="82"/>
        <v>19920.62</v>
      </c>
      <c r="W93" s="1093">
        <f t="shared" si="83"/>
        <v>8945.5300000000007</v>
      </c>
      <c r="X93" s="1093">
        <f t="shared" si="84"/>
        <v>187280.4</v>
      </c>
      <c r="Y93" s="1093">
        <f t="shared" si="85"/>
        <v>28675.79</v>
      </c>
    </row>
    <row r="94" spans="2:25">
      <c r="B94" s="2" t="s">
        <v>106</v>
      </c>
      <c r="C94" s="20">
        <v>25954.62</v>
      </c>
      <c r="D94" s="20">
        <v>18809.2</v>
      </c>
      <c r="E94" s="20">
        <v>3514.16</v>
      </c>
      <c r="F94" s="20">
        <v>1056.4000000000001</v>
      </c>
      <c r="G94" s="20">
        <v>47603.7</v>
      </c>
      <c r="H94" s="20">
        <v>685.65</v>
      </c>
      <c r="I94" s="20">
        <v>2832.49</v>
      </c>
      <c r="J94" s="20"/>
      <c r="K94" s="20">
        <v>1364.75</v>
      </c>
      <c r="L94" s="20"/>
      <c r="M94" s="20"/>
      <c r="N94" s="20"/>
      <c r="O94" s="20"/>
      <c r="P94" s="20"/>
      <c r="Q94" s="20"/>
      <c r="R94" s="20"/>
      <c r="S94" s="10">
        <f t="shared" si="79"/>
        <v>101820.96999999999</v>
      </c>
      <c r="T94" s="1093">
        <f t="shared" si="80"/>
        <v>25954.62</v>
      </c>
      <c r="U94" s="1093">
        <f t="shared" si="81"/>
        <v>18809.2</v>
      </c>
      <c r="V94" s="1093">
        <f t="shared" si="82"/>
        <v>3514.16</v>
      </c>
      <c r="W94" s="1093">
        <f t="shared" si="83"/>
        <v>1056.4000000000001</v>
      </c>
      <c r="X94" s="1093">
        <f t="shared" si="84"/>
        <v>47603.7</v>
      </c>
      <c r="Y94" s="1093">
        <f t="shared" si="85"/>
        <v>4882.8899999999994</v>
      </c>
    </row>
    <row r="95" spans="2:25">
      <c r="B95" s="2" t="s">
        <v>107</v>
      </c>
      <c r="C95" s="20">
        <v>204795.56</v>
      </c>
      <c r="D95" s="20">
        <v>55305.57</v>
      </c>
      <c r="E95" s="20">
        <v>31288.45</v>
      </c>
      <c r="F95" s="20">
        <v>10795.43</v>
      </c>
      <c r="G95" s="20">
        <v>558315</v>
      </c>
      <c r="H95" s="20">
        <v>2252.85</v>
      </c>
      <c r="I95" s="20">
        <v>11154.27</v>
      </c>
      <c r="J95" s="20">
        <v>844.86</v>
      </c>
      <c r="K95" s="20">
        <v>4708.82</v>
      </c>
      <c r="L95" s="20">
        <v>2742.6</v>
      </c>
      <c r="M95" s="20"/>
      <c r="N95" s="20">
        <v>282.55</v>
      </c>
      <c r="O95" s="20">
        <v>142.85</v>
      </c>
      <c r="P95" s="20"/>
      <c r="Q95" s="20"/>
      <c r="R95" s="20"/>
      <c r="S95" s="10">
        <f t="shared" si="79"/>
        <v>882628.80999999994</v>
      </c>
      <c r="T95" s="1093">
        <f t="shared" si="80"/>
        <v>204795.56</v>
      </c>
      <c r="U95" s="1093">
        <f t="shared" si="81"/>
        <v>55305.57</v>
      </c>
      <c r="V95" s="1093">
        <f t="shared" si="82"/>
        <v>31288.45</v>
      </c>
      <c r="W95" s="1093">
        <f t="shared" si="83"/>
        <v>10795.43</v>
      </c>
      <c r="X95" s="1093">
        <f t="shared" si="84"/>
        <v>558315</v>
      </c>
      <c r="Y95" s="1093">
        <f t="shared" si="85"/>
        <v>22128.799999999999</v>
      </c>
    </row>
    <row r="96" spans="2:25">
      <c r="B96" s="2" t="s">
        <v>108</v>
      </c>
      <c r="C96" s="20">
        <v>15506.17</v>
      </c>
      <c r="D96" s="20">
        <v>6891.27</v>
      </c>
      <c r="E96" s="20">
        <v>2618.96</v>
      </c>
      <c r="F96" s="20">
        <v>388.95</v>
      </c>
      <c r="G96" s="20">
        <v>66899.850000000006</v>
      </c>
      <c r="H96" s="20">
        <v>391.8</v>
      </c>
      <c r="I96" s="20">
        <v>870.77</v>
      </c>
      <c r="J96" s="20"/>
      <c r="K96" s="20">
        <v>713.62</v>
      </c>
      <c r="L96" s="20">
        <v>293.85000000000002</v>
      </c>
      <c r="M96" s="20"/>
      <c r="N96" s="20"/>
      <c r="O96" s="20">
        <v>28.57</v>
      </c>
      <c r="P96" s="20"/>
      <c r="Q96" s="20">
        <v>5</v>
      </c>
      <c r="R96" s="20"/>
      <c r="S96" s="10">
        <f t="shared" si="79"/>
        <v>94608.810000000027</v>
      </c>
      <c r="T96" s="1093">
        <f t="shared" si="80"/>
        <v>15506.17</v>
      </c>
      <c r="U96" s="1093">
        <f t="shared" si="81"/>
        <v>6891.27</v>
      </c>
      <c r="V96" s="1093">
        <f t="shared" si="82"/>
        <v>2618.96</v>
      </c>
      <c r="W96" s="1093">
        <f t="shared" si="83"/>
        <v>388.95</v>
      </c>
      <c r="X96" s="1093">
        <f t="shared" si="84"/>
        <v>66899.850000000006</v>
      </c>
      <c r="Y96" s="1093">
        <f t="shared" si="85"/>
        <v>2303.61</v>
      </c>
    </row>
    <row r="97" spans="2:25">
      <c r="B97" s="2" t="s">
        <v>109</v>
      </c>
      <c r="C97" s="20">
        <v>3080.84</v>
      </c>
      <c r="D97" s="20">
        <v>577.28</v>
      </c>
      <c r="E97" s="20"/>
      <c r="F97" s="20"/>
      <c r="G97" s="20">
        <v>7346.25</v>
      </c>
      <c r="H97" s="20">
        <v>195.9</v>
      </c>
      <c r="I97" s="20">
        <v>125.1</v>
      </c>
      <c r="J97" s="20"/>
      <c r="K97" s="20">
        <v>140.47</v>
      </c>
      <c r="L97" s="20"/>
      <c r="M97" s="20"/>
      <c r="N97" s="20"/>
      <c r="O97" s="20"/>
      <c r="P97" s="20"/>
      <c r="Q97" s="20"/>
      <c r="R97" s="20"/>
      <c r="S97" s="10">
        <f t="shared" si="79"/>
        <v>11465.839999999998</v>
      </c>
      <c r="T97" s="1093">
        <f t="shared" si="80"/>
        <v>3080.84</v>
      </c>
      <c r="U97" s="1093">
        <f t="shared" si="81"/>
        <v>577.28</v>
      </c>
      <c r="V97" s="1093">
        <f t="shared" si="82"/>
        <v>0</v>
      </c>
      <c r="W97" s="1093">
        <f t="shared" si="83"/>
        <v>0</v>
      </c>
      <c r="X97" s="1093">
        <f t="shared" si="84"/>
        <v>7346.25</v>
      </c>
      <c r="Y97" s="1093">
        <f t="shared" si="85"/>
        <v>461.47</v>
      </c>
    </row>
    <row r="98" spans="2:25">
      <c r="B98" s="2" t="s">
        <v>110</v>
      </c>
      <c r="C98" s="20">
        <v>148534.54</v>
      </c>
      <c r="D98" s="20">
        <v>25230.22</v>
      </c>
      <c r="E98" s="20">
        <v>18225.080000000002</v>
      </c>
      <c r="F98" s="20">
        <v>4101.38</v>
      </c>
      <c r="G98" s="20">
        <v>403162.2</v>
      </c>
      <c r="H98" s="20">
        <v>1371.3</v>
      </c>
      <c r="I98" s="20">
        <v>4068.48</v>
      </c>
      <c r="J98" s="20"/>
      <c r="K98" s="20">
        <v>3491.08</v>
      </c>
      <c r="L98" s="20">
        <v>3036.45</v>
      </c>
      <c r="M98" s="20"/>
      <c r="N98" s="20"/>
      <c r="O98" s="20">
        <v>85.71</v>
      </c>
      <c r="P98" s="20"/>
      <c r="Q98" s="20"/>
      <c r="R98" s="20"/>
      <c r="S98" s="10">
        <f t="shared" si="79"/>
        <v>611306.43999999994</v>
      </c>
      <c r="T98" s="1093">
        <f t="shared" si="80"/>
        <v>148534.54</v>
      </c>
      <c r="U98" s="1093">
        <f t="shared" si="81"/>
        <v>25230.22</v>
      </c>
      <c r="V98" s="1093">
        <f t="shared" si="82"/>
        <v>18225.080000000002</v>
      </c>
      <c r="W98" s="1093">
        <f t="shared" si="83"/>
        <v>4101.38</v>
      </c>
      <c r="X98" s="1093">
        <f t="shared" si="84"/>
        <v>403162.2</v>
      </c>
      <c r="Y98" s="1093">
        <f t="shared" si="85"/>
        <v>12053.02</v>
      </c>
    </row>
    <row r="99" spans="2:25">
      <c r="B99" s="2" t="s">
        <v>111</v>
      </c>
      <c r="C99" s="20">
        <v>754768.63</v>
      </c>
      <c r="D99" s="20">
        <v>256913.27</v>
      </c>
      <c r="E99" s="20">
        <v>91210.09</v>
      </c>
      <c r="F99" s="20">
        <v>31972.34</v>
      </c>
      <c r="G99" s="20">
        <v>1505295.6</v>
      </c>
      <c r="H99" s="20">
        <v>17533.05</v>
      </c>
      <c r="I99" s="20">
        <v>55831.74</v>
      </c>
      <c r="J99" s="20"/>
      <c r="K99" s="20">
        <v>22429.67</v>
      </c>
      <c r="L99" s="20">
        <v>6072.9</v>
      </c>
      <c r="M99" s="20"/>
      <c r="N99" s="20"/>
      <c r="O99" s="20">
        <v>857.1</v>
      </c>
      <c r="P99" s="20"/>
      <c r="Q99" s="20">
        <v>68.28</v>
      </c>
      <c r="R99" s="20">
        <v>876.79</v>
      </c>
      <c r="S99" s="10">
        <f t="shared" si="79"/>
        <v>2743829.46</v>
      </c>
      <c r="T99" s="1093">
        <f t="shared" si="80"/>
        <v>754768.63</v>
      </c>
      <c r="U99" s="1093">
        <f t="shared" si="81"/>
        <v>256913.27</v>
      </c>
      <c r="V99" s="1093">
        <f t="shared" si="82"/>
        <v>91210.09</v>
      </c>
      <c r="W99" s="1093">
        <f t="shared" si="83"/>
        <v>31972.34</v>
      </c>
      <c r="X99" s="1093">
        <f t="shared" si="84"/>
        <v>1505295.6</v>
      </c>
      <c r="Y99" s="1093">
        <f t="shared" si="85"/>
        <v>103669.52999999998</v>
      </c>
    </row>
    <row r="100" spans="2:25">
      <c r="B100" s="2" t="s">
        <v>112</v>
      </c>
      <c r="C100" s="20">
        <v>16477.54</v>
      </c>
      <c r="D100" s="20">
        <v>6031.06</v>
      </c>
      <c r="E100" s="20">
        <v>1257.0899999999999</v>
      </c>
      <c r="F100" s="20">
        <v>798.98</v>
      </c>
      <c r="G100" s="20">
        <v>34674.300000000003</v>
      </c>
      <c r="H100" s="20">
        <v>685.65</v>
      </c>
      <c r="I100" s="20">
        <v>1010.7</v>
      </c>
      <c r="J100" s="20"/>
      <c r="K100" s="20">
        <v>452.43</v>
      </c>
      <c r="L100" s="20"/>
      <c r="M100" s="20"/>
      <c r="N100" s="20"/>
      <c r="O100" s="20"/>
      <c r="P100" s="20"/>
      <c r="Q100" s="20"/>
      <c r="R100" s="20"/>
      <c r="S100" s="10">
        <f t="shared" si="79"/>
        <v>61387.75</v>
      </c>
      <c r="T100" s="1093">
        <f t="shared" si="80"/>
        <v>16477.54</v>
      </c>
      <c r="U100" s="1093">
        <f t="shared" si="81"/>
        <v>6031.06</v>
      </c>
      <c r="V100" s="1093">
        <f t="shared" si="82"/>
        <v>1257.0899999999999</v>
      </c>
      <c r="W100" s="1093">
        <f t="shared" si="83"/>
        <v>798.98</v>
      </c>
      <c r="X100" s="1093">
        <f t="shared" si="84"/>
        <v>34674.300000000003</v>
      </c>
      <c r="Y100" s="1093">
        <f>SUM(H100:R100)</f>
        <v>2148.7799999999997</v>
      </c>
    </row>
    <row r="101" spans="2:25">
      <c r="B101" s="2" t="s">
        <v>113</v>
      </c>
      <c r="C101" s="20">
        <v>9155.26</v>
      </c>
      <c r="D101" s="20">
        <v>12491.73</v>
      </c>
      <c r="E101" s="20">
        <v>876.16</v>
      </c>
      <c r="F101" s="20">
        <v>1906.63</v>
      </c>
      <c r="G101" s="20">
        <v>32617.35</v>
      </c>
      <c r="H101" s="20">
        <v>979.5</v>
      </c>
      <c r="I101" s="20">
        <v>2378.73</v>
      </c>
      <c r="J101" s="20"/>
      <c r="K101" s="20">
        <v>1227.06</v>
      </c>
      <c r="L101" s="20">
        <v>293.85000000000002</v>
      </c>
      <c r="M101" s="20"/>
      <c r="N101" s="20"/>
      <c r="O101" s="20"/>
      <c r="P101" s="20"/>
      <c r="Q101" s="20"/>
      <c r="R101" s="20"/>
      <c r="S101" s="10">
        <f t="shared" si="79"/>
        <v>61926.27</v>
      </c>
      <c r="T101" s="1093">
        <f t="shared" si="80"/>
        <v>9155.26</v>
      </c>
      <c r="U101" s="1093">
        <f t="shared" si="81"/>
        <v>12491.73</v>
      </c>
      <c r="V101" s="1093">
        <f t="shared" si="82"/>
        <v>876.16</v>
      </c>
      <c r="W101" s="1093">
        <f t="shared" si="83"/>
        <v>1906.63</v>
      </c>
      <c r="X101" s="1093">
        <f t="shared" si="84"/>
        <v>32617.35</v>
      </c>
      <c r="Y101" s="1093">
        <f t="shared" si="85"/>
        <v>4879.1400000000003</v>
      </c>
    </row>
    <row r="102" spans="2:25">
      <c r="B102" s="7" t="s">
        <v>37</v>
      </c>
      <c r="C102" s="6">
        <f t="shared" ref="C102:T102" si="86">SUM(C75:C101)</f>
        <v>2276549.46</v>
      </c>
      <c r="D102" s="6">
        <f t="shared" si="86"/>
        <v>821413.83000000019</v>
      </c>
      <c r="E102" s="6">
        <f t="shared" si="86"/>
        <v>288865.99</v>
      </c>
      <c r="F102" s="6">
        <f t="shared" si="86"/>
        <v>107057.12</v>
      </c>
      <c r="G102" s="6">
        <f t="shared" si="86"/>
        <v>4810422.45</v>
      </c>
      <c r="H102" s="6">
        <f t="shared" si="86"/>
        <v>65319.750000000007</v>
      </c>
      <c r="I102" s="6">
        <f t="shared" si="86"/>
        <v>161239.35000000003</v>
      </c>
      <c r="J102" s="6">
        <f t="shared" si="86"/>
        <v>9818.1600000000017</v>
      </c>
      <c r="K102" s="6">
        <f t="shared" si="86"/>
        <v>77931.049999999988</v>
      </c>
      <c r="L102" s="6">
        <f t="shared" si="86"/>
        <v>32911.199999999997</v>
      </c>
      <c r="M102" s="6">
        <f t="shared" si="86"/>
        <v>979.5</v>
      </c>
      <c r="N102" s="6">
        <f t="shared" si="86"/>
        <v>3419.48</v>
      </c>
      <c r="O102" s="6">
        <f t="shared" si="86"/>
        <v>1828.48</v>
      </c>
      <c r="P102" s="27">
        <f t="shared" ref="P102" si="87">SUM(P75:P101)</f>
        <v>0</v>
      </c>
      <c r="Q102" s="6">
        <f t="shared" si="86"/>
        <v>73.28</v>
      </c>
      <c r="R102" s="6">
        <f t="shared" si="86"/>
        <v>876.79</v>
      </c>
      <c r="S102" s="6">
        <f t="shared" si="86"/>
        <v>8658705.8900000006</v>
      </c>
      <c r="T102" s="1093">
        <f t="shared" si="86"/>
        <v>2276549.46</v>
      </c>
      <c r="U102" s="1093">
        <f t="shared" ref="U102:Y102" si="88">SUM(U75:U101)</f>
        <v>821413.83000000019</v>
      </c>
      <c r="V102" s="1093">
        <f t="shared" si="88"/>
        <v>288865.99</v>
      </c>
      <c r="W102" s="1093">
        <f t="shared" si="88"/>
        <v>107057.12</v>
      </c>
      <c r="X102" s="1093">
        <f t="shared" si="88"/>
        <v>4810422.45</v>
      </c>
      <c r="Y102" s="1093">
        <f t="shared" si="88"/>
        <v>354397.04</v>
      </c>
    </row>
    <row r="103" spans="2:25">
      <c r="S103" s="1093"/>
    </row>
    <row r="104" spans="2:25">
      <c r="S104" s="1093"/>
    </row>
    <row r="105" spans="2:25">
      <c r="S105" s="1093"/>
    </row>
  </sheetData>
  <mergeCells count="48">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s>
  <pageMargins left="0.511811024" right="0.511811024" top="0.78740157499999996" bottom="0.78740157499999996" header="0.31496062000000002" footer="0.31496062000000002"/>
  <pageSetup paperSize="9" scale="15" orientation="landscape" r:id="rId1"/>
  <ignoredErrors>
    <ignoredError sqref="Y75:Y103"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tabColor theme="9" tint="0.59999389629810485"/>
    <pageSetUpPr fitToPage="1"/>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05"/>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ht="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row>
    <row r="3" spans="1:29" ht="15">
      <c r="A3" s="1506"/>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row>
    <row r="4" spans="1:29" ht="15">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row>
    <row r="5" spans="1:29" ht="15">
      <c r="A5" s="1506"/>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row>
    <row r="6" spans="1:29" ht="15">
      <c r="A6" s="1506"/>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row>
    <row r="7" spans="1:29" ht="15">
      <c r="A7" s="1506"/>
      <c r="B7" s="1506"/>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row>
    <row r="8" spans="1:29" ht="15">
      <c r="A8" s="1506"/>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row>
    <row r="9" spans="1:29" ht="15">
      <c r="A9" s="1506"/>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row>
    <row r="10" spans="1:29" ht="15">
      <c r="A10" s="1506"/>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row>
    <row r="11" spans="1:29" ht="15">
      <c r="A11" s="1506"/>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row>
    <row r="12" spans="1:29" ht="15">
      <c r="A12" s="1506"/>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29" ht="15">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row>
    <row r="14" spans="1:29" ht="15">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row>
    <row r="15" spans="1:29" ht="15">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row>
    <row r="16" spans="1:29" ht="15">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row>
    <row r="17" spans="1:29" ht="15">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8" spans="1:29" ht="15.75" customHeight="1">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row>
    <row r="19" spans="1:29" ht="15">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row>
    <row r="20" spans="1:29" ht="15">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row>
    <row r="21" spans="1:29" ht="15">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row>
    <row r="22" spans="1:29" ht="15">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row>
    <row r="23" spans="1:29" ht="15">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row>
    <row r="24" spans="1:29" ht="15">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row>
    <row r="25" spans="1:29" ht="15">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row>
    <row r="26" spans="1:29" ht="15">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row>
    <row r="27" spans="1:29" ht="15">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row>
    <row r="28" spans="1:29" ht="15">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row>
    <row r="29" spans="1:29" ht="15">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row>
    <row r="30" spans="1:29" ht="15">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row>
    <row r="31" spans="1:29" ht="15">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row>
    <row r="32" spans="1:29" ht="15">
      <c r="A32" s="1506"/>
      <c r="B32" s="1506"/>
      <c r="C32" s="1506"/>
      <c r="D32" s="1506"/>
      <c r="E32" s="1506"/>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row>
    <row r="33" spans="1:29" ht="15">
      <c r="A33" s="1506"/>
      <c r="B33" s="1506"/>
      <c r="C33" s="1506"/>
      <c r="D33" s="1506"/>
      <c r="E33" s="1506"/>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row>
    <row r="34" spans="1:29" ht="15">
      <c r="A34" s="1506"/>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row>
    <row r="35" spans="1:29" ht="15">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row>
    <row r="36" spans="1:29" ht="15">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row>
    <row r="37" spans="1:29" ht="54.75"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row>
  </sheetData>
  <mergeCells count="2">
    <mergeCell ref="A1:AC1"/>
    <mergeCell ref="A2:AC37"/>
  </mergeCells>
  <pageMargins left="0.511811024" right="0.511811024" top="0.78740157499999996" bottom="0.78740157499999996" header="0.31496062000000002" footer="0.31496062000000002"/>
  <pageSetup paperSize="9" scale="33"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pageSetUpPr fitToPage="1"/>
  </sheetPr>
  <dimension ref="A2:Z105"/>
  <sheetViews>
    <sheetView topLeftCell="B51" zoomScale="60" zoomScaleNormal="6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26" width="16.5703125" style="1087" bestFit="1" customWidth="1"/>
    <col min="27" max="16384" width="9.140625" style="1087"/>
  </cols>
  <sheetData>
    <row r="2" spans="2:26" ht="46.5">
      <c r="B2" s="1220" t="s">
        <v>73</v>
      </c>
      <c r="C2" s="1221"/>
      <c r="D2" s="1221"/>
      <c r="E2" s="1221"/>
      <c r="F2" s="1221"/>
      <c r="G2" s="1221"/>
      <c r="H2" s="1221"/>
      <c r="I2" s="1221"/>
      <c r="J2" s="1221"/>
      <c r="K2" s="1221"/>
      <c r="L2" s="1221"/>
      <c r="M2" s="1221"/>
      <c r="N2" s="1221"/>
      <c r="O2" s="1221"/>
      <c r="P2" s="1221"/>
      <c r="Q2" s="1221"/>
      <c r="R2" s="1221"/>
      <c r="S2" s="1222"/>
    </row>
    <row r="3" spans="2:26"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6"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6">
      <c r="B5" s="2" t="s">
        <v>87</v>
      </c>
      <c r="C5" s="20">
        <f t="shared" ref="C5:R5" si="0">C75*0.8</f>
        <v>9320.3120000000017</v>
      </c>
      <c r="D5" s="20">
        <f t="shared" si="0"/>
        <v>1915.1120000000001</v>
      </c>
      <c r="E5" s="20">
        <f t="shared" si="0"/>
        <v>1538.9920000000002</v>
      </c>
      <c r="F5" s="20">
        <f t="shared" si="0"/>
        <v>295.49600000000004</v>
      </c>
      <c r="G5" s="20">
        <f t="shared" si="0"/>
        <v>13164.48</v>
      </c>
      <c r="H5" s="20">
        <f t="shared" si="0"/>
        <v>1880.6400000000003</v>
      </c>
      <c r="I5" s="20">
        <f t="shared" si="0"/>
        <v>266.42400000000004</v>
      </c>
      <c r="J5" s="20">
        <f t="shared" si="0"/>
        <v>0</v>
      </c>
      <c r="K5" s="20">
        <f t="shared" si="0"/>
        <v>236.11199999999999</v>
      </c>
      <c r="L5" s="20">
        <f t="shared" si="0"/>
        <v>548.52</v>
      </c>
      <c r="M5" s="20">
        <f t="shared" si="0"/>
        <v>0</v>
      </c>
      <c r="N5" s="20">
        <f t="shared" si="0"/>
        <v>0</v>
      </c>
      <c r="O5" s="20">
        <f t="shared" si="0"/>
        <v>0</v>
      </c>
      <c r="P5" s="20">
        <f t="shared" ref="P5:P31" si="1">P75*0.8</f>
        <v>0</v>
      </c>
      <c r="Q5" s="20">
        <f t="shared" si="0"/>
        <v>0</v>
      </c>
      <c r="R5" s="20">
        <f t="shared" si="0"/>
        <v>0</v>
      </c>
      <c r="S5" s="10">
        <f t="shared" ref="S5:S31" si="2">SUM(C5:R5)</f>
        <v>29166.088</v>
      </c>
      <c r="T5" s="1093">
        <f t="shared" ref="T5:T31" si="3">C5</f>
        <v>9320.3120000000017</v>
      </c>
      <c r="U5" s="1093">
        <f t="shared" ref="U5:U31" si="4">D5</f>
        <v>1915.1120000000001</v>
      </c>
      <c r="V5" s="1093">
        <f t="shared" ref="V5:V31" si="5">E5</f>
        <v>1538.9920000000002</v>
      </c>
      <c r="W5" s="1093">
        <f t="shared" ref="W5:W31" si="6">F5</f>
        <v>295.49600000000004</v>
      </c>
      <c r="X5" s="1093">
        <f t="shared" ref="X5:X31" si="7">G5</f>
        <v>13164.48</v>
      </c>
      <c r="Y5" s="1093">
        <f>SUM(H5:R5)</f>
        <v>2931.6960000000004</v>
      </c>
      <c r="Z5" s="1093" t="e">
        <f>#REF!</f>
        <v>#REF!</v>
      </c>
    </row>
    <row r="6" spans="2:26">
      <c r="B6" s="2" t="s">
        <v>88</v>
      </c>
      <c r="C6" s="20">
        <f t="shared" ref="C6:R6" si="8">C76*0.8</f>
        <v>22298.959999999999</v>
      </c>
      <c r="D6" s="20">
        <f t="shared" si="8"/>
        <v>10994.336000000001</v>
      </c>
      <c r="E6" s="20">
        <f t="shared" si="8"/>
        <v>182.84800000000001</v>
      </c>
      <c r="F6" s="20">
        <f t="shared" si="8"/>
        <v>297.44</v>
      </c>
      <c r="G6" s="20">
        <f t="shared" si="8"/>
        <v>34400.04</v>
      </c>
      <c r="H6" s="20">
        <f t="shared" si="8"/>
        <v>235.08000000000004</v>
      </c>
      <c r="I6" s="20">
        <f t="shared" si="8"/>
        <v>2145.3360000000002</v>
      </c>
      <c r="J6" s="20">
        <f t="shared" si="8"/>
        <v>0</v>
      </c>
      <c r="K6" s="20">
        <f t="shared" si="8"/>
        <v>1265.1680000000001</v>
      </c>
      <c r="L6" s="20">
        <f t="shared" si="8"/>
        <v>0</v>
      </c>
      <c r="M6" s="20">
        <f t="shared" si="8"/>
        <v>0</v>
      </c>
      <c r="N6" s="20">
        <f t="shared" si="8"/>
        <v>0</v>
      </c>
      <c r="O6" s="20">
        <f t="shared" si="8"/>
        <v>0</v>
      </c>
      <c r="P6" s="20">
        <f t="shared" si="1"/>
        <v>0</v>
      </c>
      <c r="Q6" s="20">
        <f t="shared" si="8"/>
        <v>0</v>
      </c>
      <c r="R6" s="20">
        <f t="shared" si="8"/>
        <v>0</v>
      </c>
      <c r="S6" s="10">
        <f t="shared" si="2"/>
        <v>71819.208000000013</v>
      </c>
      <c r="T6" s="1093">
        <f t="shared" si="3"/>
        <v>22298.959999999999</v>
      </c>
      <c r="U6" s="1093">
        <f t="shared" si="4"/>
        <v>10994.336000000001</v>
      </c>
      <c r="V6" s="1093">
        <f t="shared" si="5"/>
        <v>182.84800000000001</v>
      </c>
      <c r="W6" s="1093">
        <f t="shared" si="6"/>
        <v>297.44</v>
      </c>
      <c r="X6" s="1093">
        <f t="shared" si="7"/>
        <v>34400.04</v>
      </c>
      <c r="Y6" s="1093">
        <f t="shared" ref="Y6:Y31" si="9">SUM(H6:R6)</f>
        <v>3645.5840000000003</v>
      </c>
      <c r="Z6" s="1093" t="e">
        <f>#REF!</f>
        <v>#REF!</v>
      </c>
    </row>
    <row r="7" spans="2:26">
      <c r="B7" s="2" t="s">
        <v>89</v>
      </c>
      <c r="C7" s="20">
        <f t="shared" ref="C7:R7" si="10">C77*0.8</f>
        <v>11290.143999999998</v>
      </c>
      <c r="D7" s="20">
        <f t="shared" si="10"/>
        <v>3764.2160000000003</v>
      </c>
      <c r="E7" s="20">
        <f t="shared" si="10"/>
        <v>2836.8240000000001</v>
      </c>
      <c r="F7" s="20">
        <f t="shared" si="10"/>
        <v>435.63200000000001</v>
      </c>
      <c r="G7" s="20">
        <f t="shared" si="10"/>
        <v>14888.400000000001</v>
      </c>
      <c r="H7" s="20">
        <f t="shared" si="10"/>
        <v>235.08000000000004</v>
      </c>
      <c r="I7" s="20">
        <f t="shared" si="10"/>
        <v>508.86400000000003</v>
      </c>
      <c r="J7" s="20">
        <f t="shared" si="10"/>
        <v>0</v>
      </c>
      <c r="K7" s="20">
        <f t="shared" si="10"/>
        <v>556.04800000000012</v>
      </c>
      <c r="L7" s="20">
        <f t="shared" si="10"/>
        <v>391.8</v>
      </c>
      <c r="M7" s="20">
        <f t="shared" si="10"/>
        <v>0</v>
      </c>
      <c r="N7" s="20">
        <f t="shared" si="10"/>
        <v>0</v>
      </c>
      <c r="O7" s="20">
        <f t="shared" si="10"/>
        <v>22.856000000000002</v>
      </c>
      <c r="P7" s="20">
        <f t="shared" si="1"/>
        <v>0</v>
      </c>
      <c r="Q7" s="20">
        <f t="shared" si="10"/>
        <v>0</v>
      </c>
      <c r="R7" s="20">
        <f t="shared" si="10"/>
        <v>0</v>
      </c>
      <c r="S7" s="10">
        <f t="shared" si="2"/>
        <v>34929.864000000009</v>
      </c>
      <c r="T7" s="1093">
        <f t="shared" si="3"/>
        <v>11290.143999999998</v>
      </c>
      <c r="U7" s="1093">
        <f t="shared" si="4"/>
        <v>3764.2160000000003</v>
      </c>
      <c r="V7" s="1093">
        <f t="shared" si="5"/>
        <v>2836.8240000000001</v>
      </c>
      <c r="W7" s="1093">
        <f t="shared" si="6"/>
        <v>435.63200000000001</v>
      </c>
      <c r="X7" s="1093">
        <f t="shared" si="7"/>
        <v>14888.400000000001</v>
      </c>
      <c r="Y7" s="1093">
        <f t="shared" si="9"/>
        <v>1714.6480000000001</v>
      </c>
      <c r="Z7" s="1093" t="e">
        <f>#REF!</f>
        <v>#REF!</v>
      </c>
    </row>
    <row r="8" spans="2:26">
      <c r="B8" s="2" t="s">
        <v>90</v>
      </c>
      <c r="C8" s="20">
        <f t="shared" ref="C8:O8" si="11">C78*0.8</f>
        <v>35431.775999999991</v>
      </c>
      <c r="D8" s="20">
        <f t="shared" si="11"/>
        <v>18924.511999999999</v>
      </c>
      <c r="E8" s="20">
        <f t="shared" si="11"/>
        <v>2697.0480000000002</v>
      </c>
      <c r="F8" s="20">
        <f t="shared" si="11"/>
        <v>0</v>
      </c>
      <c r="G8" s="20">
        <f t="shared" si="11"/>
        <v>37142.640000000007</v>
      </c>
      <c r="H8" s="20">
        <f t="shared" si="11"/>
        <v>783.6</v>
      </c>
      <c r="I8" s="20">
        <f t="shared" si="11"/>
        <v>2915.616</v>
      </c>
      <c r="J8" s="20">
        <f t="shared" si="11"/>
        <v>0</v>
      </c>
      <c r="K8" s="20">
        <f t="shared" si="11"/>
        <v>2336.1120000000001</v>
      </c>
      <c r="L8" s="20">
        <f t="shared" si="11"/>
        <v>470.16000000000008</v>
      </c>
      <c r="M8" s="20">
        <f t="shared" si="11"/>
        <v>0</v>
      </c>
      <c r="N8" s="20">
        <f t="shared" si="11"/>
        <v>312.512</v>
      </c>
      <c r="O8" s="20">
        <f t="shared" si="11"/>
        <v>0</v>
      </c>
      <c r="P8" s="20">
        <f t="shared" si="1"/>
        <v>0</v>
      </c>
      <c r="Q8" s="20">
        <f>Q78</f>
        <v>23.32</v>
      </c>
      <c r="R8" s="20">
        <f>R78</f>
        <v>233.22</v>
      </c>
      <c r="S8" s="10">
        <f t="shared" si="2"/>
        <v>101270.516</v>
      </c>
      <c r="T8" s="1093">
        <f t="shared" si="3"/>
        <v>35431.775999999991</v>
      </c>
      <c r="U8" s="1093">
        <f t="shared" si="4"/>
        <v>18924.511999999999</v>
      </c>
      <c r="V8" s="1093">
        <f t="shared" si="5"/>
        <v>2697.0480000000002</v>
      </c>
      <c r="W8" s="1093">
        <f t="shared" si="6"/>
        <v>0</v>
      </c>
      <c r="X8" s="1093">
        <f t="shared" si="7"/>
        <v>37142.640000000007</v>
      </c>
      <c r="Y8" s="1093">
        <f t="shared" si="9"/>
        <v>7074.5399999999991</v>
      </c>
      <c r="Z8" s="1093" t="e">
        <f>#REF!</f>
        <v>#REF!</v>
      </c>
    </row>
    <row r="9" spans="2:26">
      <c r="B9" s="2" t="s">
        <v>91</v>
      </c>
      <c r="C9" s="20">
        <f t="shared" ref="C9:O9" si="12">C79*0.8</f>
        <v>78866.736000000004</v>
      </c>
      <c r="D9" s="20">
        <f t="shared" si="12"/>
        <v>18748.416000000001</v>
      </c>
      <c r="E9" s="20">
        <f t="shared" si="12"/>
        <v>11102.448</v>
      </c>
      <c r="F9" s="20">
        <f t="shared" si="12"/>
        <v>1449.5440000000001</v>
      </c>
      <c r="G9" s="20">
        <f t="shared" si="12"/>
        <v>90819.24</v>
      </c>
      <c r="H9" s="20">
        <f t="shared" si="12"/>
        <v>1253.8400000000001</v>
      </c>
      <c r="I9" s="20">
        <f t="shared" si="12"/>
        <v>2621.6080000000002</v>
      </c>
      <c r="J9" s="20">
        <f t="shared" si="12"/>
        <v>0</v>
      </c>
      <c r="K9" s="20">
        <f t="shared" si="12"/>
        <v>2518.3360000000002</v>
      </c>
      <c r="L9" s="20">
        <f t="shared" si="12"/>
        <v>235.08000000000004</v>
      </c>
      <c r="M9" s="20">
        <f t="shared" si="12"/>
        <v>0</v>
      </c>
      <c r="N9" s="20">
        <f t="shared" si="12"/>
        <v>0</v>
      </c>
      <c r="O9" s="20">
        <f t="shared" si="12"/>
        <v>22.856000000000002</v>
      </c>
      <c r="P9" s="20">
        <f t="shared" si="1"/>
        <v>0</v>
      </c>
      <c r="Q9" s="20">
        <f t="shared" ref="Q9:R28" si="13">Q79*0.8</f>
        <v>0</v>
      </c>
      <c r="R9" s="20">
        <f t="shared" si="13"/>
        <v>0</v>
      </c>
      <c r="S9" s="10">
        <f t="shared" si="2"/>
        <v>207638.10400000002</v>
      </c>
      <c r="T9" s="1093">
        <f t="shared" si="3"/>
        <v>78866.736000000004</v>
      </c>
      <c r="U9" s="1093">
        <f t="shared" si="4"/>
        <v>18748.416000000001</v>
      </c>
      <c r="V9" s="1093">
        <f t="shared" si="5"/>
        <v>11102.448</v>
      </c>
      <c r="W9" s="1093">
        <f t="shared" si="6"/>
        <v>1449.5440000000001</v>
      </c>
      <c r="X9" s="1093">
        <f t="shared" si="7"/>
        <v>90819.24</v>
      </c>
      <c r="Y9" s="1093">
        <f t="shared" si="9"/>
        <v>6651.72</v>
      </c>
      <c r="Z9" s="1093" t="e">
        <f>#REF!</f>
        <v>#REF!</v>
      </c>
    </row>
    <row r="10" spans="2:26">
      <c r="B10" s="2" t="s">
        <v>92</v>
      </c>
      <c r="C10" s="20">
        <f t="shared" ref="C10:O10" si="14">C80*0.8</f>
        <v>51427.80000000001</v>
      </c>
      <c r="D10" s="20">
        <f t="shared" si="14"/>
        <v>8411.3680000000004</v>
      </c>
      <c r="E10" s="20">
        <f t="shared" si="14"/>
        <v>3276.0480000000002</v>
      </c>
      <c r="F10" s="20">
        <f t="shared" si="14"/>
        <v>678.08</v>
      </c>
      <c r="G10" s="20">
        <f t="shared" si="14"/>
        <v>68016.48000000001</v>
      </c>
      <c r="H10" s="20">
        <f t="shared" si="14"/>
        <v>2585.88</v>
      </c>
      <c r="I10" s="20">
        <f t="shared" si="14"/>
        <v>1267.4400000000003</v>
      </c>
      <c r="J10" s="20">
        <f t="shared" si="14"/>
        <v>4655.84</v>
      </c>
      <c r="K10" s="20">
        <f t="shared" si="14"/>
        <v>901.44799999999998</v>
      </c>
      <c r="L10" s="20">
        <f t="shared" si="14"/>
        <v>0</v>
      </c>
      <c r="M10" s="20">
        <f t="shared" si="14"/>
        <v>156.72000000000003</v>
      </c>
      <c r="N10" s="20">
        <f t="shared" si="14"/>
        <v>0</v>
      </c>
      <c r="O10" s="20">
        <f t="shared" si="14"/>
        <v>22.856000000000002</v>
      </c>
      <c r="P10" s="20">
        <f t="shared" si="1"/>
        <v>0</v>
      </c>
      <c r="Q10" s="20">
        <f t="shared" si="13"/>
        <v>0</v>
      </c>
      <c r="R10" s="20">
        <f t="shared" si="13"/>
        <v>0</v>
      </c>
      <c r="S10" s="10">
        <f t="shared" si="2"/>
        <v>141399.96000000002</v>
      </c>
      <c r="T10" s="1093">
        <f t="shared" si="3"/>
        <v>51427.80000000001</v>
      </c>
      <c r="U10" s="1093">
        <f t="shared" si="4"/>
        <v>8411.3680000000004</v>
      </c>
      <c r="V10" s="1093">
        <f t="shared" si="5"/>
        <v>3276.0480000000002</v>
      </c>
      <c r="W10" s="1093">
        <f t="shared" si="6"/>
        <v>678.08</v>
      </c>
      <c r="X10" s="1093">
        <f t="shared" si="7"/>
        <v>68016.48000000001</v>
      </c>
      <c r="Y10" s="1093">
        <f t="shared" si="9"/>
        <v>9590.1839999999993</v>
      </c>
      <c r="Z10" s="1093" t="e">
        <f>#REF!</f>
        <v>#REF!</v>
      </c>
    </row>
    <row r="11" spans="2:26">
      <c r="B11" s="2" t="s">
        <v>93</v>
      </c>
      <c r="C11" s="20">
        <f t="shared" ref="C11:O11" si="15">C81*0.8</f>
        <v>85062.576000000001</v>
      </c>
      <c r="D11" s="20">
        <f t="shared" si="15"/>
        <v>26023.592000000004</v>
      </c>
      <c r="E11" s="20">
        <f t="shared" si="15"/>
        <v>9762.2000000000007</v>
      </c>
      <c r="F11" s="20">
        <f t="shared" si="15"/>
        <v>2493.3040000000001</v>
      </c>
      <c r="G11" s="20">
        <f t="shared" si="15"/>
        <v>99047.040000000008</v>
      </c>
      <c r="H11" s="20">
        <f t="shared" si="15"/>
        <v>1567.2</v>
      </c>
      <c r="I11" s="20">
        <f t="shared" si="15"/>
        <v>3935.1120000000005</v>
      </c>
      <c r="J11" s="20">
        <f t="shared" si="15"/>
        <v>0</v>
      </c>
      <c r="K11" s="20">
        <f t="shared" si="15"/>
        <v>3317.7840000000006</v>
      </c>
      <c r="L11" s="20">
        <f t="shared" si="15"/>
        <v>1332.1200000000001</v>
      </c>
      <c r="M11" s="20">
        <f t="shared" si="15"/>
        <v>0</v>
      </c>
      <c r="N11" s="20">
        <f t="shared" si="15"/>
        <v>0</v>
      </c>
      <c r="O11" s="20">
        <f t="shared" si="15"/>
        <v>68.567999999999998</v>
      </c>
      <c r="P11" s="20">
        <f t="shared" si="1"/>
        <v>0</v>
      </c>
      <c r="Q11" s="20">
        <f t="shared" si="13"/>
        <v>0</v>
      </c>
      <c r="R11" s="20">
        <f t="shared" si="13"/>
        <v>0</v>
      </c>
      <c r="S11" s="10">
        <f t="shared" si="2"/>
        <v>232609.49600000001</v>
      </c>
      <c r="T11" s="1093">
        <f t="shared" si="3"/>
        <v>85062.576000000001</v>
      </c>
      <c r="U11" s="1093">
        <f t="shared" si="4"/>
        <v>26023.592000000004</v>
      </c>
      <c r="V11" s="1093">
        <f t="shared" si="5"/>
        <v>9762.2000000000007</v>
      </c>
      <c r="W11" s="1093">
        <f t="shared" si="6"/>
        <v>2493.3040000000001</v>
      </c>
      <c r="X11" s="1093">
        <f t="shared" si="7"/>
        <v>99047.040000000008</v>
      </c>
      <c r="Y11" s="1093">
        <f t="shared" si="9"/>
        <v>10220.784000000001</v>
      </c>
      <c r="Z11" s="1093" t="e">
        <f>#REF!</f>
        <v>#REF!</v>
      </c>
    </row>
    <row r="12" spans="2:26">
      <c r="B12" s="2" t="s">
        <v>94</v>
      </c>
      <c r="C12" s="20">
        <f t="shared" ref="C12:O12" si="16">C82*0.8</f>
        <v>50946.192000000003</v>
      </c>
      <c r="D12" s="20">
        <f t="shared" si="16"/>
        <v>8620.2960000000003</v>
      </c>
      <c r="E12" s="20">
        <f t="shared" si="16"/>
        <v>4214.4160000000002</v>
      </c>
      <c r="F12" s="20">
        <f t="shared" si="16"/>
        <v>519.52</v>
      </c>
      <c r="G12" s="20">
        <f t="shared" si="16"/>
        <v>75460.680000000008</v>
      </c>
      <c r="H12" s="20">
        <f t="shared" si="16"/>
        <v>626.88000000000011</v>
      </c>
      <c r="I12" s="20">
        <f t="shared" si="16"/>
        <v>1903.7520000000004</v>
      </c>
      <c r="J12" s="20">
        <f t="shared" si="16"/>
        <v>1671.7200000000003</v>
      </c>
      <c r="K12" s="20">
        <f t="shared" si="16"/>
        <v>518.20000000000005</v>
      </c>
      <c r="L12" s="20">
        <f t="shared" si="16"/>
        <v>235.08000000000004</v>
      </c>
      <c r="M12" s="20">
        <f t="shared" si="16"/>
        <v>0</v>
      </c>
      <c r="N12" s="20">
        <f t="shared" si="16"/>
        <v>0</v>
      </c>
      <c r="O12" s="20">
        <f t="shared" si="16"/>
        <v>0</v>
      </c>
      <c r="P12" s="20">
        <f t="shared" si="1"/>
        <v>0</v>
      </c>
      <c r="Q12" s="20">
        <f t="shared" si="13"/>
        <v>0</v>
      </c>
      <c r="R12" s="20">
        <f t="shared" si="13"/>
        <v>0</v>
      </c>
      <c r="S12" s="10">
        <f t="shared" si="2"/>
        <v>144716.736</v>
      </c>
      <c r="T12" s="1093">
        <f t="shared" si="3"/>
        <v>50946.192000000003</v>
      </c>
      <c r="U12" s="1093">
        <f t="shared" si="4"/>
        <v>8620.2960000000003</v>
      </c>
      <c r="V12" s="1093">
        <f t="shared" si="5"/>
        <v>4214.4160000000002</v>
      </c>
      <c r="W12" s="1093">
        <f t="shared" si="6"/>
        <v>519.52</v>
      </c>
      <c r="X12" s="1093">
        <f t="shared" si="7"/>
        <v>75460.680000000008</v>
      </c>
      <c r="Y12" s="1093">
        <f t="shared" si="9"/>
        <v>4955.6320000000005</v>
      </c>
      <c r="Z12" s="1093" t="e">
        <f>#REF!</f>
        <v>#REF!</v>
      </c>
    </row>
    <row r="13" spans="2:26">
      <c r="B13" s="2" t="s">
        <v>95</v>
      </c>
      <c r="C13" s="20">
        <f t="shared" ref="C13:O13" si="17">C83*0.8</f>
        <v>70346.64</v>
      </c>
      <c r="D13" s="20">
        <f t="shared" si="17"/>
        <v>24349</v>
      </c>
      <c r="E13" s="20">
        <f t="shared" si="17"/>
        <v>8813.6720000000005</v>
      </c>
      <c r="F13" s="20">
        <f t="shared" si="17"/>
        <v>1812.7919999999999</v>
      </c>
      <c r="G13" s="20">
        <f t="shared" si="17"/>
        <v>187828.92</v>
      </c>
      <c r="H13" s="20">
        <f t="shared" si="17"/>
        <v>2350.8000000000002</v>
      </c>
      <c r="I13" s="20">
        <f t="shared" si="17"/>
        <v>5176.8960000000006</v>
      </c>
      <c r="J13" s="20">
        <f t="shared" si="17"/>
        <v>1160.568</v>
      </c>
      <c r="K13" s="20">
        <f t="shared" si="17"/>
        <v>2601.248</v>
      </c>
      <c r="L13" s="20">
        <f t="shared" si="17"/>
        <v>156.72000000000003</v>
      </c>
      <c r="M13" s="20">
        <f t="shared" si="17"/>
        <v>0</v>
      </c>
      <c r="N13" s="20">
        <f t="shared" si="17"/>
        <v>0</v>
      </c>
      <c r="O13" s="20">
        <f t="shared" si="17"/>
        <v>0</v>
      </c>
      <c r="P13" s="20">
        <f t="shared" si="1"/>
        <v>0</v>
      </c>
      <c r="Q13" s="20">
        <f t="shared" si="13"/>
        <v>0</v>
      </c>
      <c r="R13" s="20">
        <f t="shared" si="13"/>
        <v>0</v>
      </c>
      <c r="S13" s="10">
        <f t="shared" si="2"/>
        <v>304597.25600000005</v>
      </c>
      <c r="T13" s="1093">
        <f t="shared" si="3"/>
        <v>70346.64</v>
      </c>
      <c r="U13" s="1093">
        <f t="shared" si="4"/>
        <v>24349</v>
      </c>
      <c r="V13" s="1093">
        <f t="shared" si="5"/>
        <v>8813.6720000000005</v>
      </c>
      <c r="W13" s="1093">
        <f t="shared" si="6"/>
        <v>1812.7919999999999</v>
      </c>
      <c r="X13" s="1093">
        <f t="shared" si="7"/>
        <v>187828.92</v>
      </c>
      <c r="Y13" s="1093">
        <f t="shared" si="9"/>
        <v>11446.232</v>
      </c>
      <c r="Z13" s="1093" t="e">
        <f>#REF!</f>
        <v>#REF!</v>
      </c>
    </row>
    <row r="14" spans="2:26">
      <c r="B14" s="2" t="s">
        <v>96</v>
      </c>
      <c r="C14" s="20">
        <f t="shared" ref="C14:O14" si="18">C84*0.8</f>
        <v>23737.912000000004</v>
      </c>
      <c r="D14" s="20">
        <f t="shared" si="18"/>
        <v>12072.192000000003</v>
      </c>
      <c r="E14" s="20">
        <f t="shared" si="18"/>
        <v>2110.4</v>
      </c>
      <c r="F14" s="20">
        <f t="shared" si="18"/>
        <v>163.56</v>
      </c>
      <c r="G14" s="20">
        <f t="shared" si="18"/>
        <v>27112.559999999998</v>
      </c>
      <c r="H14" s="20">
        <f t="shared" si="18"/>
        <v>391.8</v>
      </c>
      <c r="I14" s="20">
        <f t="shared" si="18"/>
        <v>2105.576</v>
      </c>
      <c r="J14" s="20">
        <f t="shared" si="18"/>
        <v>0</v>
      </c>
      <c r="K14" s="20">
        <f t="shared" si="18"/>
        <v>1111.7920000000001</v>
      </c>
      <c r="L14" s="20">
        <f t="shared" si="18"/>
        <v>78.360000000000014</v>
      </c>
      <c r="M14" s="20">
        <f t="shared" si="18"/>
        <v>0</v>
      </c>
      <c r="N14" s="20">
        <f t="shared" si="18"/>
        <v>0</v>
      </c>
      <c r="O14" s="20">
        <f t="shared" si="18"/>
        <v>0</v>
      </c>
      <c r="P14" s="20">
        <f t="shared" si="1"/>
        <v>0</v>
      </c>
      <c r="Q14" s="20">
        <f t="shared" si="13"/>
        <v>0</v>
      </c>
      <c r="R14" s="20">
        <f t="shared" si="13"/>
        <v>0</v>
      </c>
      <c r="S14" s="10">
        <f t="shared" si="2"/>
        <v>68884.152000000002</v>
      </c>
      <c r="T14" s="1093">
        <f t="shared" si="3"/>
        <v>23737.912000000004</v>
      </c>
      <c r="U14" s="1093">
        <f t="shared" si="4"/>
        <v>12072.192000000003</v>
      </c>
      <c r="V14" s="1093">
        <f t="shared" si="5"/>
        <v>2110.4</v>
      </c>
      <c r="W14" s="1093">
        <f t="shared" si="6"/>
        <v>163.56</v>
      </c>
      <c r="X14" s="1093">
        <f t="shared" si="7"/>
        <v>27112.559999999998</v>
      </c>
      <c r="Y14" s="1093">
        <f t="shared" si="9"/>
        <v>3687.5280000000007</v>
      </c>
      <c r="Z14" s="1093" t="e">
        <f>#REF!</f>
        <v>#REF!</v>
      </c>
    </row>
    <row r="15" spans="2:26">
      <c r="B15" s="2" t="s">
        <v>97</v>
      </c>
      <c r="C15" s="20">
        <f t="shared" ref="C15:O15" si="19">C85*0.8</f>
        <v>59305.888000000006</v>
      </c>
      <c r="D15" s="20">
        <f t="shared" si="19"/>
        <v>33394.536</v>
      </c>
      <c r="E15" s="20">
        <f t="shared" si="19"/>
        <v>5546.4480000000003</v>
      </c>
      <c r="F15" s="20">
        <f t="shared" si="19"/>
        <v>3602.7120000000004</v>
      </c>
      <c r="G15" s="20">
        <f t="shared" si="19"/>
        <v>221288.64</v>
      </c>
      <c r="H15" s="20">
        <f t="shared" si="19"/>
        <v>3599.4</v>
      </c>
      <c r="I15" s="20">
        <f t="shared" si="19"/>
        <v>5198.4880000000003</v>
      </c>
      <c r="J15" s="20">
        <f t="shared" si="19"/>
        <v>0</v>
      </c>
      <c r="K15" s="20">
        <f t="shared" si="19"/>
        <v>3524.1360000000004</v>
      </c>
      <c r="L15" s="20">
        <f t="shared" si="19"/>
        <v>705.24</v>
      </c>
      <c r="M15" s="20">
        <f t="shared" si="19"/>
        <v>156.72000000000003</v>
      </c>
      <c r="N15" s="20">
        <f t="shared" si="19"/>
        <v>0</v>
      </c>
      <c r="O15" s="20">
        <f t="shared" si="19"/>
        <v>0</v>
      </c>
      <c r="P15" s="20">
        <f t="shared" si="1"/>
        <v>0</v>
      </c>
      <c r="Q15" s="20">
        <f t="shared" si="13"/>
        <v>0</v>
      </c>
      <c r="R15" s="20">
        <f t="shared" si="13"/>
        <v>0</v>
      </c>
      <c r="S15" s="10">
        <f t="shared" si="2"/>
        <v>336322.20800000004</v>
      </c>
      <c r="T15" s="1093">
        <f t="shared" si="3"/>
        <v>59305.888000000006</v>
      </c>
      <c r="U15" s="1093">
        <f t="shared" si="4"/>
        <v>33394.536</v>
      </c>
      <c r="V15" s="1093">
        <f t="shared" si="5"/>
        <v>5546.4480000000003</v>
      </c>
      <c r="W15" s="1093">
        <f t="shared" si="6"/>
        <v>3602.7120000000004</v>
      </c>
      <c r="X15" s="1093">
        <f t="shared" si="7"/>
        <v>221288.64</v>
      </c>
      <c r="Y15" s="1093">
        <f t="shared" si="9"/>
        <v>13183.984</v>
      </c>
      <c r="Z15" s="1093" t="e">
        <f>#REF!</f>
        <v>#REF!</v>
      </c>
    </row>
    <row r="16" spans="2:26">
      <c r="B16" s="2" t="s">
        <v>98</v>
      </c>
      <c r="C16" s="20">
        <f t="shared" ref="C16:O16" si="20">C86*0.8</f>
        <v>42391.167999999998</v>
      </c>
      <c r="D16" s="20">
        <f t="shared" si="20"/>
        <v>15826.816000000001</v>
      </c>
      <c r="E16" s="20">
        <f t="shared" si="20"/>
        <v>5240.4480000000012</v>
      </c>
      <c r="F16" s="20">
        <f t="shared" si="20"/>
        <v>1705.88</v>
      </c>
      <c r="G16" s="20">
        <f t="shared" si="20"/>
        <v>133995.6</v>
      </c>
      <c r="H16" s="20">
        <f t="shared" si="20"/>
        <v>1018.68</v>
      </c>
      <c r="I16" s="20">
        <f t="shared" si="20"/>
        <v>2982.7200000000003</v>
      </c>
      <c r="J16" s="20">
        <f t="shared" si="20"/>
        <v>0</v>
      </c>
      <c r="K16" s="20">
        <f t="shared" si="20"/>
        <v>1495.1440000000002</v>
      </c>
      <c r="L16" s="20">
        <f t="shared" si="20"/>
        <v>626.88000000000011</v>
      </c>
      <c r="M16" s="20">
        <f t="shared" si="20"/>
        <v>0</v>
      </c>
      <c r="N16" s="20">
        <f t="shared" si="20"/>
        <v>368.52</v>
      </c>
      <c r="O16" s="20">
        <f t="shared" si="20"/>
        <v>0</v>
      </c>
      <c r="P16" s="20">
        <f t="shared" si="1"/>
        <v>0</v>
      </c>
      <c r="Q16" s="20">
        <f t="shared" si="13"/>
        <v>0</v>
      </c>
      <c r="R16" s="20">
        <f t="shared" si="13"/>
        <v>0</v>
      </c>
      <c r="S16" s="10">
        <f t="shared" si="2"/>
        <v>205651.856</v>
      </c>
      <c r="T16" s="1093">
        <f t="shared" si="3"/>
        <v>42391.167999999998</v>
      </c>
      <c r="U16" s="1093">
        <f t="shared" si="4"/>
        <v>15826.816000000001</v>
      </c>
      <c r="V16" s="1093">
        <f t="shared" si="5"/>
        <v>5240.4480000000012</v>
      </c>
      <c r="W16" s="1093">
        <f t="shared" si="6"/>
        <v>1705.88</v>
      </c>
      <c r="X16" s="1093">
        <f t="shared" si="7"/>
        <v>133995.6</v>
      </c>
      <c r="Y16" s="1093">
        <f t="shared" si="9"/>
        <v>6491.9439999999995</v>
      </c>
      <c r="Z16" s="1093" t="e">
        <f>#REF!</f>
        <v>#REF!</v>
      </c>
    </row>
    <row r="17" spans="2:26">
      <c r="B17" s="2" t="s">
        <v>99</v>
      </c>
      <c r="C17" s="20">
        <f t="shared" ref="C17:O17" si="21">C87*0.8</f>
        <v>234616.93599999999</v>
      </c>
      <c r="D17" s="20">
        <f t="shared" si="21"/>
        <v>87725.216000000015</v>
      </c>
      <c r="E17" s="20">
        <f t="shared" si="21"/>
        <v>25764.096000000005</v>
      </c>
      <c r="F17" s="20">
        <f t="shared" si="21"/>
        <v>11858.968000000001</v>
      </c>
      <c r="G17" s="20">
        <f t="shared" si="21"/>
        <v>317514.72000000003</v>
      </c>
      <c r="H17" s="20">
        <f t="shared" si="21"/>
        <v>4309.8</v>
      </c>
      <c r="I17" s="20">
        <f t="shared" si="21"/>
        <v>18374.576000000001</v>
      </c>
      <c r="J17" s="20">
        <f t="shared" si="21"/>
        <v>0</v>
      </c>
      <c r="K17" s="20">
        <f t="shared" si="21"/>
        <v>8393.6479999999992</v>
      </c>
      <c r="L17" s="20">
        <f t="shared" si="21"/>
        <v>4309.8</v>
      </c>
      <c r="M17" s="20">
        <f t="shared" si="21"/>
        <v>156.72000000000003</v>
      </c>
      <c r="N17" s="20">
        <f t="shared" si="21"/>
        <v>0</v>
      </c>
      <c r="O17" s="20">
        <f t="shared" si="21"/>
        <v>0</v>
      </c>
      <c r="P17" s="20">
        <f t="shared" si="1"/>
        <v>0</v>
      </c>
      <c r="Q17" s="20">
        <f t="shared" si="13"/>
        <v>0</v>
      </c>
      <c r="R17" s="20">
        <f t="shared" si="13"/>
        <v>0</v>
      </c>
      <c r="S17" s="10">
        <f t="shared" si="2"/>
        <v>713024.4800000001</v>
      </c>
      <c r="T17" s="1093">
        <f t="shared" si="3"/>
        <v>234616.93599999999</v>
      </c>
      <c r="U17" s="1093">
        <f t="shared" si="4"/>
        <v>87725.216000000015</v>
      </c>
      <c r="V17" s="1093">
        <f t="shared" si="5"/>
        <v>25764.096000000005</v>
      </c>
      <c r="W17" s="1093">
        <f t="shared" si="6"/>
        <v>11858.968000000001</v>
      </c>
      <c r="X17" s="1093">
        <f t="shared" si="7"/>
        <v>317514.72000000003</v>
      </c>
      <c r="Y17" s="1093">
        <f t="shared" si="9"/>
        <v>35544.544000000002</v>
      </c>
      <c r="Z17" s="1093" t="e">
        <f>#REF!</f>
        <v>#REF!</v>
      </c>
    </row>
    <row r="18" spans="2:26">
      <c r="B18" s="2" t="s">
        <v>100</v>
      </c>
      <c r="C18" s="20">
        <f t="shared" ref="C18:O18" si="22">C88*0.8</f>
        <v>41889.936000000002</v>
      </c>
      <c r="D18" s="20">
        <f t="shared" si="22"/>
        <v>16226.992000000002</v>
      </c>
      <c r="E18" s="20">
        <f t="shared" si="22"/>
        <v>4418.88</v>
      </c>
      <c r="F18" s="20">
        <f t="shared" si="22"/>
        <v>1148.7920000000001</v>
      </c>
      <c r="G18" s="20">
        <f t="shared" si="22"/>
        <v>44821.920000000006</v>
      </c>
      <c r="H18" s="20">
        <f t="shared" si="22"/>
        <v>783.6</v>
      </c>
      <c r="I18" s="20">
        <f t="shared" si="22"/>
        <v>2655.2240000000006</v>
      </c>
      <c r="J18" s="20">
        <f t="shared" si="22"/>
        <v>0</v>
      </c>
      <c r="K18" s="20">
        <f t="shared" si="22"/>
        <v>1607.6880000000001</v>
      </c>
      <c r="L18" s="20">
        <f t="shared" si="22"/>
        <v>156.72000000000003</v>
      </c>
      <c r="M18" s="20">
        <f t="shared" si="22"/>
        <v>0</v>
      </c>
      <c r="N18" s="20">
        <f t="shared" si="22"/>
        <v>0</v>
      </c>
      <c r="O18" s="20">
        <f t="shared" si="22"/>
        <v>22.856000000000002</v>
      </c>
      <c r="P18" s="20">
        <f t="shared" si="1"/>
        <v>0</v>
      </c>
      <c r="Q18" s="20">
        <f t="shared" si="13"/>
        <v>0</v>
      </c>
      <c r="R18" s="20">
        <f t="shared" si="13"/>
        <v>0</v>
      </c>
      <c r="S18" s="10">
        <f t="shared" si="2"/>
        <v>113732.60800000001</v>
      </c>
      <c r="T18" s="1093">
        <f t="shared" si="3"/>
        <v>41889.936000000002</v>
      </c>
      <c r="U18" s="1093">
        <f t="shared" si="4"/>
        <v>16226.992000000002</v>
      </c>
      <c r="V18" s="1093">
        <f t="shared" si="5"/>
        <v>4418.88</v>
      </c>
      <c r="W18" s="1093">
        <f t="shared" si="6"/>
        <v>1148.7920000000001</v>
      </c>
      <c r="X18" s="1093">
        <f t="shared" si="7"/>
        <v>44821.920000000006</v>
      </c>
      <c r="Y18" s="1093">
        <f t="shared" si="9"/>
        <v>5226.0880000000006</v>
      </c>
      <c r="Z18" s="1093" t="e">
        <f>#REF!</f>
        <v>#REF!</v>
      </c>
    </row>
    <row r="19" spans="2:26">
      <c r="B19" s="2" t="s">
        <v>101</v>
      </c>
      <c r="C19" s="20">
        <f t="shared" ref="C19:O19" si="23">C89*0.8</f>
        <v>34712.400000000001</v>
      </c>
      <c r="D19" s="20">
        <f t="shared" si="23"/>
        <v>11919.736000000001</v>
      </c>
      <c r="E19" s="20">
        <f t="shared" si="23"/>
        <v>3535.12</v>
      </c>
      <c r="F19" s="20">
        <f t="shared" si="23"/>
        <v>82.00800000000001</v>
      </c>
      <c r="G19" s="20">
        <f t="shared" si="23"/>
        <v>39963.600000000006</v>
      </c>
      <c r="H19" s="20">
        <f t="shared" si="23"/>
        <v>0</v>
      </c>
      <c r="I19" s="20">
        <f t="shared" si="23"/>
        <v>2000.6879999999999</v>
      </c>
      <c r="J19" s="20">
        <f t="shared" si="23"/>
        <v>0</v>
      </c>
      <c r="K19" s="20">
        <f t="shared" si="23"/>
        <v>1171.144</v>
      </c>
      <c r="L19" s="20">
        <f t="shared" si="23"/>
        <v>156.72000000000003</v>
      </c>
      <c r="M19" s="20">
        <f t="shared" si="23"/>
        <v>0</v>
      </c>
      <c r="N19" s="20">
        <f t="shared" si="23"/>
        <v>0</v>
      </c>
      <c r="O19" s="20">
        <f t="shared" si="23"/>
        <v>45.712000000000003</v>
      </c>
      <c r="P19" s="20">
        <f t="shared" si="1"/>
        <v>0</v>
      </c>
      <c r="Q19" s="20">
        <f t="shared" si="13"/>
        <v>0</v>
      </c>
      <c r="R19" s="20">
        <f t="shared" si="13"/>
        <v>0</v>
      </c>
      <c r="S19" s="10">
        <f t="shared" si="2"/>
        <v>93587.127999999997</v>
      </c>
      <c r="T19" s="1093">
        <f t="shared" si="3"/>
        <v>34712.400000000001</v>
      </c>
      <c r="U19" s="1093">
        <f t="shared" si="4"/>
        <v>11919.736000000001</v>
      </c>
      <c r="V19" s="1093">
        <f t="shared" si="5"/>
        <v>3535.12</v>
      </c>
      <c r="W19" s="1093">
        <f t="shared" si="6"/>
        <v>82.00800000000001</v>
      </c>
      <c r="X19" s="1093">
        <f t="shared" si="7"/>
        <v>39963.600000000006</v>
      </c>
      <c r="Y19" s="1093">
        <f t="shared" si="9"/>
        <v>3374.2639999999997</v>
      </c>
      <c r="Z19" s="1093" t="e">
        <f>#REF!</f>
        <v>#REF!</v>
      </c>
    </row>
    <row r="20" spans="2:26">
      <c r="B20" s="2" t="s">
        <v>102</v>
      </c>
      <c r="C20" s="20">
        <f t="shared" ref="C20:O20" si="24">C90*0.8</f>
        <v>214869.16000000003</v>
      </c>
      <c r="D20" s="20">
        <f t="shared" si="24"/>
        <v>66993.304000000004</v>
      </c>
      <c r="E20" s="20">
        <f t="shared" si="24"/>
        <v>48530.880000000005</v>
      </c>
      <c r="F20" s="20">
        <f t="shared" si="24"/>
        <v>16490.952000000001</v>
      </c>
      <c r="G20" s="20">
        <f t="shared" si="24"/>
        <v>492335.88</v>
      </c>
      <c r="H20" s="20">
        <f t="shared" si="24"/>
        <v>4858.3200000000006</v>
      </c>
      <c r="I20" s="20">
        <f t="shared" si="24"/>
        <v>11652.656000000001</v>
      </c>
      <c r="J20" s="20">
        <f t="shared" si="24"/>
        <v>914.25599999999997</v>
      </c>
      <c r="K20" s="20">
        <f t="shared" si="24"/>
        <v>7292.5600000000013</v>
      </c>
      <c r="L20" s="20">
        <f t="shared" si="24"/>
        <v>2272.44</v>
      </c>
      <c r="M20" s="20">
        <f t="shared" si="24"/>
        <v>313.44000000000005</v>
      </c>
      <c r="N20" s="20">
        <f t="shared" si="24"/>
        <v>0</v>
      </c>
      <c r="O20" s="20">
        <f t="shared" si="24"/>
        <v>45.712000000000003</v>
      </c>
      <c r="P20" s="20">
        <f t="shared" si="1"/>
        <v>0</v>
      </c>
      <c r="Q20" s="20">
        <f t="shared" si="13"/>
        <v>0</v>
      </c>
      <c r="R20" s="20">
        <f t="shared" si="13"/>
        <v>0</v>
      </c>
      <c r="S20" s="10">
        <f t="shared" si="2"/>
        <v>866569.55999999994</v>
      </c>
      <c r="T20" s="1093">
        <f t="shared" si="3"/>
        <v>214869.16000000003</v>
      </c>
      <c r="U20" s="1093">
        <f t="shared" si="4"/>
        <v>66993.304000000004</v>
      </c>
      <c r="V20" s="1093">
        <f t="shared" si="5"/>
        <v>48530.880000000005</v>
      </c>
      <c r="W20" s="1093">
        <f t="shared" si="6"/>
        <v>16490.952000000001</v>
      </c>
      <c r="X20" s="1093">
        <f t="shared" si="7"/>
        <v>492335.88</v>
      </c>
      <c r="Y20" s="1093">
        <f t="shared" si="9"/>
        <v>27349.384000000002</v>
      </c>
      <c r="Z20" s="1093" t="e">
        <f>#REF!</f>
        <v>#REF!</v>
      </c>
    </row>
    <row r="21" spans="2:26">
      <c r="B21" s="2" t="s">
        <v>103</v>
      </c>
      <c r="C21" s="20">
        <f t="shared" ref="C21:O21" si="25">C91*0.8</f>
        <v>52520.056000000011</v>
      </c>
      <c r="D21" s="20">
        <f t="shared" si="25"/>
        <v>16920</v>
      </c>
      <c r="E21" s="20">
        <f t="shared" si="25"/>
        <v>5683.5840000000007</v>
      </c>
      <c r="F21" s="20">
        <f t="shared" si="25"/>
        <v>993.84</v>
      </c>
      <c r="G21" s="20">
        <f t="shared" si="25"/>
        <v>68721.72</v>
      </c>
      <c r="H21" s="20">
        <f t="shared" si="25"/>
        <v>548.5200000000001</v>
      </c>
      <c r="I21" s="20">
        <f t="shared" si="25"/>
        <v>2890.2720000000004</v>
      </c>
      <c r="J21" s="20">
        <f t="shared" si="25"/>
        <v>454.84799999999996</v>
      </c>
      <c r="K21" s="20">
        <f t="shared" si="25"/>
        <v>2338.1200000000003</v>
      </c>
      <c r="L21" s="20">
        <f t="shared" si="25"/>
        <v>391.8</v>
      </c>
      <c r="M21" s="20">
        <f t="shared" si="25"/>
        <v>0</v>
      </c>
      <c r="N21" s="20">
        <f t="shared" si="25"/>
        <v>0</v>
      </c>
      <c r="O21" s="20">
        <f t="shared" si="25"/>
        <v>45.712000000000003</v>
      </c>
      <c r="P21" s="20">
        <f t="shared" si="1"/>
        <v>0</v>
      </c>
      <c r="Q21" s="20">
        <f t="shared" si="13"/>
        <v>0</v>
      </c>
      <c r="R21" s="20">
        <f t="shared" si="13"/>
        <v>0</v>
      </c>
      <c r="S21" s="10">
        <f t="shared" si="2"/>
        <v>151508.47199999998</v>
      </c>
      <c r="T21" s="1093">
        <f t="shared" si="3"/>
        <v>52520.056000000011</v>
      </c>
      <c r="U21" s="1093">
        <f t="shared" si="4"/>
        <v>16920</v>
      </c>
      <c r="V21" s="1093">
        <f t="shared" si="5"/>
        <v>5683.5840000000007</v>
      </c>
      <c r="W21" s="1093">
        <f t="shared" si="6"/>
        <v>993.84</v>
      </c>
      <c r="X21" s="1093">
        <f t="shared" si="7"/>
        <v>68721.72</v>
      </c>
      <c r="Y21" s="1093">
        <f t="shared" si="9"/>
        <v>6669.2720000000008</v>
      </c>
      <c r="Z21" s="1093" t="e">
        <f>#REF!</f>
        <v>#REF!</v>
      </c>
    </row>
    <row r="22" spans="2:26">
      <c r="B22" s="2" t="s">
        <v>104</v>
      </c>
      <c r="C22" s="20">
        <f t="shared" ref="C22:O22" si="26">C92*0.8</f>
        <v>14661.528000000004</v>
      </c>
      <c r="D22" s="20">
        <f t="shared" si="26"/>
        <v>2119.9919999999997</v>
      </c>
      <c r="E22" s="20">
        <f t="shared" si="26"/>
        <v>1978.7439999999999</v>
      </c>
      <c r="F22" s="20">
        <f t="shared" si="26"/>
        <v>867.35200000000009</v>
      </c>
      <c r="G22" s="20">
        <f t="shared" si="26"/>
        <v>22881.120000000003</v>
      </c>
      <c r="H22" s="20">
        <f t="shared" si="26"/>
        <v>313.44000000000005</v>
      </c>
      <c r="I22" s="20">
        <f t="shared" si="26"/>
        <v>306.01600000000002</v>
      </c>
      <c r="J22" s="20">
        <f t="shared" si="26"/>
        <v>0</v>
      </c>
      <c r="K22" s="20">
        <f t="shared" si="26"/>
        <v>408.48800000000006</v>
      </c>
      <c r="L22" s="20">
        <f t="shared" si="26"/>
        <v>0</v>
      </c>
      <c r="M22" s="20">
        <f t="shared" si="26"/>
        <v>0</v>
      </c>
      <c r="N22" s="20">
        <f t="shared" si="26"/>
        <v>0</v>
      </c>
      <c r="O22" s="20">
        <f t="shared" si="26"/>
        <v>0</v>
      </c>
      <c r="P22" s="20">
        <f t="shared" si="1"/>
        <v>0</v>
      </c>
      <c r="Q22" s="20">
        <f t="shared" si="13"/>
        <v>0</v>
      </c>
      <c r="R22" s="20">
        <f t="shared" si="13"/>
        <v>0</v>
      </c>
      <c r="S22" s="10">
        <f t="shared" si="2"/>
        <v>43536.680000000008</v>
      </c>
      <c r="T22" s="1093">
        <f t="shared" si="3"/>
        <v>14661.528000000004</v>
      </c>
      <c r="U22" s="1093">
        <f t="shared" si="4"/>
        <v>2119.9919999999997</v>
      </c>
      <c r="V22" s="1093">
        <f t="shared" si="5"/>
        <v>1978.7439999999999</v>
      </c>
      <c r="W22" s="1093">
        <f t="shared" si="6"/>
        <v>867.35200000000009</v>
      </c>
      <c r="X22" s="1093">
        <f t="shared" si="7"/>
        <v>22881.120000000003</v>
      </c>
      <c r="Y22" s="1093">
        <f t="shared" si="9"/>
        <v>1027.9440000000002</v>
      </c>
      <c r="Z22" s="1093" t="e">
        <f>#REF!</f>
        <v>#REF!</v>
      </c>
    </row>
    <row r="23" spans="2:26">
      <c r="B23" s="2" t="s">
        <v>105</v>
      </c>
      <c r="C23" s="20">
        <f t="shared" ref="C23:O23" si="27">C93*0.8</f>
        <v>233695.52800000005</v>
      </c>
      <c r="D23" s="20">
        <f t="shared" si="27"/>
        <v>63753.872000000003</v>
      </c>
      <c r="E23" s="20">
        <f t="shared" si="27"/>
        <v>34346.624000000003</v>
      </c>
      <c r="F23" s="20">
        <f t="shared" si="27"/>
        <v>6892.7520000000004</v>
      </c>
      <c r="G23" s="20">
        <f t="shared" si="27"/>
        <v>233277.72000000003</v>
      </c>
      <c r="H23" s="20">
        <f t="shared" si="27"/>
        <v>7990.1679999999997</v>
      </c>
      <c r="I23" s="20">
        <f t="shared" si="27"/>
        <v>14237.728000000001</v>
      </c>
      <c r="J23" s="20">
        <f t="shared" si="27"/>
        <v>491.59200000000004</v>
      </c>
      <c r="K23" s="20">
        <f t="shared" si="27"/>
        <v>6220.6719999999996</v>
      </c>
      <c r="L23" s="20">
        <f t="shared" si="27"/>
        <v>2272.44</v>
      </c>
      <c r="M23" s="20">
        <f t="shared" si="27"/>
        <v>0</v>
      </c>
      <c r="N23" s="20">
        <f t="shared" si="27"/>
        <v>0</v>
      </c>
      <c r="O23" s="20">
        <f t="shared" si="27"/>
        <v>114.28</v>
      </c>
      <c r="P23" s="20">
        <f t="shared" si="1"/>
        <v>0</v>
      </c>
      <c r="Q23" s="20">
        <f t="shared" si="13"/>
        <v>0</v>
      </c>
      <c r="R23" s="20">
        <f t="shared" si="13"/>
        <v>0</v>
      </c>
      <c r="S23" s="10">
        <f t="shared" si="2"/>
        <v>603293.37599999993</v>
      </c>
      <c r="T23" s="1093">
        <f t="shared" si="3"/>
        <v>233695.52800000005</v>
      </c>
      <c r="U23" s="1093">
        <f t="shared" si="4"/>
        <v>63753.872000000003</v>
      </c>
      <c r="V23" s="1093">
        <f t="shared" si="5"/>
        <v>34346.624000000003</v>
      </c>
      <c r="W23" s="1093">
        <f t="shared" si="6"/>
        <v>6892.7520000000004</v>
      </c>
      <c r="X23" s="1093">
        <f t="shared" si="7"/>
        <v>233277.72000000003</v>
      </c>
      <c r="Y23" s="1093">
        <f t="shared" si="9"/>
        <v>31326.879999999997</v>
      </c>
      <c r="Z23" s="1093" t="e">
        <f>#REF!</f>
        <v>#REF!</v>
      </c>
    </row>
    <row r="24" spans="2:26" s="1191" customFormat="1">
      <c r="B24" s="1187" t="s">
        <v>106</v>
      </c>
      <c r="C24" s="1188">
        <f t="shared" ref="C24:O24" si="28">C94*0.8</f>
        <v>30129.712</v>
      </c>
      <c r="D24" s="1188">
        <f t="shared" si="28"/>
        <v>16622.416000000001</v>
      </c>
      <c r="E24" s="1188">
        <f t="shared" si="28"/>
        <v>2247.5360000000001</v>
      </c>
      <c r="F24" s="1188">
        <f t="shared" si="28"/>
        <v>817.56000000000006</v>
      </c>
      <c r="G24" s="1188">
        <f t="shared" si="28"/>
        <v>37299.360000000001</v>
      </c>
      <c r="H24" s="1188">
        <f t="shared" si="28"/>
        <v>861.96</v>
      </c>
      <c r="I24" s="1188">
        <f t="shared" si="28"/>
        <v>2841.1040000000003</v>
      </c>
      <c r="J24" s="1188">
        <f t="shared" si="28"/>
        <v>0</v>
      </c>
      <c r="K24" s="1188">
        <f t="shared" si="28"/>
        <v>1467.2880000000002</v>
      </c>
      <c r="L24" s="1188">
        <f t="shared" si="28"/>
        <v>78.360000000000014</v>
      </c>
      <c r="M24" s="1188">
        <f t="shared" si="28"/>
        <v>0</v>
      </c>
      <c r="N24" s="1188">
        <f t="shared" si="28"/>
        <v>0</v>
      </c>
      <c r="O24" s="1188">
        <f t="shared" si="28"/>
        <v>0</v>
      </c>
      <c r="P24" s="1188">
        <f t="shared" si="1"/>
        <v>0</v>
      </c>
      <c r="Q24" s="1188">
        <f t="shared" si="13"/>
        <v>0</v>
      </c>
      <c r="R24" s="1188">
        <f t="shared" si="13"/>
        <v>0</v>
      </c>
      <c r="S24" s="1189">
        <f t="shared" si="2"/>
        <v>92365.296000000017</v>
      </c>
      <c r="T24" s="1190">
        <f t="shared" si="3"/>
        <v>30129.712</v>
      </c>
      <c r="U24" s="1190">
        <f t="shared" si="4"/>
        <v>16622.416000000001</v>
      </c>
      <c r="V24" s="1190">
        <f t="shared" si="5"/>
        <v>2247.5360000000001</v>
      </c>
      <c r="W24" s="1190">
        <f t="shared" si="6"/>
        <v>817.56000000000006</v>
      </c>
      <c r="X24" s="1190">
        <f t="shared" si="7"/>
        <v>37299.360000000001</v>
      </c>
      <c r="Y24" s="1190">
        <f t="shared" si="9"/>
        <v>5248.7120000000004</v>
      </c>
      <c r="Z24" s="1093" t="e">
        <f>#REF!</f>
        <v>#REF!</v>
      </c>
    </row>
    <row r="25" spans="2:26">
      <c r="B25" s="2" t="s">
        <v>107</v>
      </c>
      <c r="C25" s="20">
        <f t="shared" ref="C25:O25" si="29">C95*0.8</f>
        <v>256787.51200000002</v>
      </c>
      <c r="D25" s="20">
        <f t="shared" si="29"/>
        <v>58944.072</v>
      </c>
      <c r="E25" s="20">
        <f t="shared" si="29"/>
        <v>37227.167999999998</v>
      </c>
      <c r="F25" s="20">
        <f t="shared" si="29"/>
        <v>12704.704</v>
      </c>
      <c r="G25" s="20">
        <f t="shared" si="29"/>
        <v>527206.07999999996</v>
      </c>
      <c r="H25" s="20">
        <f t="shared" si="29"/>
        <v>3056.0400000000004</v>
      </c>
      <c r="I25" s="20">
        <f t="shared" si="29"/>
        <v>10074.120000000001</v>
      </c>
      <c r="J25" s="20">
        <f t="shared" si="29"/>
        <v>894.65599999999995</v>
      </c>
      <c r="K25" s="20">
        <f t="shared" si="29"/>
        <v>6084.2479999999996</v>
      </c>
      <c r="L25" s="20">
        <f t="shared" si="29"/>
        <v>1723.92</v>
      </c>
      <c r="M25" s="20">
        <f t="shared" si="29"/>
        <v>156.72000000000003</v>
      </c>
      <c r="N25" s="20">
        <f t="shared" si="29"/>
        <v>0</v>
      </c>
      <c r="O25" s="20">
        <f t="shared" si="29"/>
        <v>159.99200000000002</v>
      </c>
      <c r="P25" s="20">
        <f t="shared" si="1"/>
        <v>0</v>
      </c>
      <c r="Q25" s="20">
        <f t="shared" si="13"/>
        <v>0</v>
      </c>
      <c r="R25" s="20">
        <f t="shared" si="13"/>
        <v>0</v>
      </c>
      <c r="S25" s="10">
        <f t="shared" si="2"/>
        <v>915019.23200000008</v>
      </c>
      <c r="T25" s="1093">
        <f t="shared" si="3"/>
        <v>256787.51200000002</v>
      </c>
      <c r="U25" s="1093">
        <f t="shared" si="4"/>
        <v>58944.072</v>
      </c>
      <c r="V25" s="1093">
        <f t="shared" si="5"/>
        <v>37227.167999999998</v>
      </c>
      <c r="W25" s="1093">
        <f t="shared" si="6"/>
        <v>12704.704</v>
      </c>
      <c r="X25" s="1093">
        <f t="shared" si="7"/>
        <v>527206.07999999996</v>
      </c>
      <c r="Y25" s="1093">
        <f t="shared" si="9"/>
        <v>22149.696000000004</v>
      </c>
      <c r="Z25" s="1093" t="e">
        <f>#REF!</f>
        <v>#REF!</v>
      </c>
    </row>
    <row r="26" spans="2:26">
      <c r="B26" s="2" t="s">
        <v>108</v>
      </c>
      <c r="C26" s="20">
        <f t="shared" ref="C26:O26" si="30">C96*0.8</f>
        <v>20772.952000000005</v>
      </c>
      <c r="D26" s="20">
        <f t="shared" si="30"/>
        <v>5617.7759999999998</v>
      </c>
      <c r="E26" s="20">
        <f t="shared" si="30"/>
        <v>2765.6160000000004</v>
      </c>
      <c r="F26" s="20">
        <f t="shared" si="30"/>
        <v>952.39200000000005</v>
      </c>
      <c r="G26" s="20">
        <f t="shared" si="30"/>
        <v>66762.720000000001</v>
      </c>
      <c r="H26" s="20">
        <f t="shared" si="30"/>
        <v>1332.1200000000001</v>
      </c>
      <c r="I26" s="20">
        <f t="shared" si="30"/>
        <v>775.84</v>
      </c>
      <c r="J26" s="20">
        <f t="shared" si="30"/>
        <v>0</v>
      </c>
      <c r="K26" s="20">
        <f t="shared" si="30"/>
        <v>752.11200000000008</v>
      </c>
      <c r="L26" s="20">
        <f t="shared" si="30"/>
        <v>391.8</v>
      </c>
      <c r="M26" s="20">
        <f t="shared" si="30"/>
        <v>0</v>
      </c>
      <c r="N26" s="20">
        <f t="shared" si="30"/>
        <v>0</v>
      </c>
      <c r="O26" s="20">
        <f t="shared" si="30"/>
        <v>22.856000000000002</v>
      </c>
      <c r="P26" s="20">
        <f t="shared" si="1"/>
        <v>0</v>
      </c>
      <c r="Q26" s="20">
        <f t="shared" si="13"/>
        <v>34.072000000000003</v>
      </c>
      <c r="R26" s="20">
        <f t="shared" si="13"/>
        <v>627.63200000000006</v>
      </c>
      <c r="S26" s="10">
        <f t="shared" si="2"/>
        <v>100807.88799999999</v>
      </c>
      <c r="T26" s="1093">
        <f t="shared" si="3"/>
        <v>20772.952000000005</v>
      </c>
      <c r="U26" s="1093">
        <f t="shared" si="4"/>
        <v>5617.7759999999998</v>
      </c>
      <c r="V26" s="1093">
        <f t="shared" si="5"/>
        <v>2765.6160000000004</v>
      </c>
      <c r="W26" s="1093">
        <f t="shared" si="6"/>
        <v>952.39200000000005</v>
      </c>
      <c r="X26" s="1093">
        <f t="shared" si="7"/>
        <v>66762.720000000001</v>
      </c>
      <c r="Y26" s="1093">
        <f t="shared" si="9"/>
        <v>3936.4320000000007</v>
      </c>
      <c r="Z26" s="1093" t="e">
        <f>#REF!</f>
        <v>#REF!</v>
      </c>
    </row>
    <row r="27" spans="2:26">
      <c r="B27" s="2" t="s">
        <v>109</v>
      </c>
      <c r="C27" s="20">
        <f t="shared" ref="C27:O27" si="31">C97*0.8</f>
        <v>1123.7759999999998</v>
      </c>
      <c r="D27" s="20">
        <f t="shared" si="31"/>
        <v>400.88000000000005</v>
      </c>
      <c r="E27" s="20">
        <f t="shared" si="31"/>
        <v>91.424000000000035</v>
      </c>
      <c r="F27" s="20">
        <f t="shared" si="31"/>
        <v>265.35200000000003</v>
      </c>
      <c r="G27" s="20">
        <f t="shared" si="31"/>
        <v>5641.92</v>
      </c>
      <c r="H27" s="20">
        <f t="shared" si="31"/>
        <v>78.360000000000014</v>
      </c>
      <c r="I27" s="20">
        <f t="shared" si="31"/>
        <v>72.488000000000014</v>
      </c>
      <c r="J27" s="20">
        <f t="shared" si="31"/>
        <v>0</v>
      </c>
      <c r="K27" s="20">
        <f t="shared" si="31"/>
        <v>56.336000000000006</v>
      </c>
      <c r="L27" s="20">
        <f t="shared" si="31"/>
        <v>0</v>
      </c>
      <c r="M27" s="20">
        <f t="shared" si="31"/>
        <v>0</v>
      </c>
      <c r="N27" s="20">
        <f t="shared" si="31"/>
        <v>0</v>
      </c>
      <c r="O27" s="20">
        <f t="shared" si="31"/>
        <v>0</v>
      </c>
      <c r="P27" s="20">
        <f t="shared" si="1"/>
        <v>0</v>
      </c>
      <c r="Q27" s="20">
        <f t="shared" si="13"/>
        <v>0</v>
      </c>
      <c r="R27" s="20">
        <f t="shared" si="13"/>
        <v>0</v>
      </c>
      <c r="S27" s="10">
        <f t="shared" si="2"/>
        <v>7730.5360000000001</v>
      </c>
      <c r="T27" s="1093">
        <f t="shared" si="3"/>
        <v>1123.7759999999998</v>
      </c>
      <c r="U27" s="1093">
        <f t="shared" si="4"/>
        <v>400.88000000000005</v>
      </c>
      <c r="V27" s="1093">
        <f t="shared" si="5"/>
        <v>91.424000000000035</v>
      </c>
      <c r="W27" s="1093">
        <f t="shared" si="6"/>
        <v>265.35200000000003</v>
      </c>
      <c r="X27" s="1093">
        <f t="shared" si="7"/>
        <v>5641.92</v>
      </c>
      <c r="Y27" s="1093">
        <f t="shared" si="9"/>
        <v>207.18400000000003</v>
      </c>
      <c r="Z27" s="1093" t="e">
        <f>#REF!</f>
        <v>#REF!</v>
      </c>
    </row>
    <row r="28" spans="2:26">
      <c r="B28" s="2" t="s">
        <v>110</v>
      </c>
      <c r="C28" s="20">
        <f t="shared" ref="C28:O28" si="32">C98*0.8</f>
        <v>183298.66400000002</v>
      </c>
      <c r="D28" s="20">
        <f t="shared" si="32"/>
        <v>26316.216</v>
      </c>
      <c r="E28" s="20">
        <f t="shared" si="32"/>
        <v>28890.368000000002</v>
      </c>
      <c r="F28" s="20">
        <f t="shared" si="32"/>
        <v>4661.6400000000003</v>
      </c>
      <c r="G28" s="20">
        <f t="shared" si="32"/>
        <v>352933.44</v>
      </c>
      <c r="H28" s="20">
        <f t="shared" si="32"/>
        <v>3369.4800000000005</v>
      </c>
      <c r="I28" s="20">
        <f t="shared" si="32"/>
        <v>4041.7040000000011</v>
      </c>
      <c r="J28" s="20">
        <f t="shared" si="32"/>
        <v>2135.1200000000003</v>
      </c>
      <c r="K28" s="20">
        <f t="shared" si="32"/>
        <v>3719.5920000000001</v>
      </c>
      <c r="L28" s="20">
        <f t="shared" si="32"/>
        <v>1253.7600000000002</v>
      </c>
      <c r="M28" s="20">
        <f t="shared" si="32"/>
        <v>156.72000000000003</v>
      </c>
      <c r="N28" s="20">
        <f t="shared" si="32"/>
        <v>0</v>
      </c>
      <c r="O28" s="20">
        <f t="shared" si="32"/>
        <v>114.28</v>
      </c>
      <c r="P28" s="20">
        <f t="shared" si="1"/>
        <v>0</v>
      </c>
      <c r="Q28" s="20">
        <f t="shared" si="13"/>
        <v>0</v>
      </c>
      <c r="R28" s="20">
        <f t="shared" si="13"/>
        <v>0</v>
      </c>
      <c r="S28" s="10">
        <f t="shared" si="2"/>
        <v>610890.98399999994</v>
      </c>
      <c r="T28" s="1093">
        <f t="shared" si="3"/>
        <v>183298.66400000002</v>
      </c>
      <c r="U28" s="1093">
        <f t="shared" si="4"/>
        <v>26316.216</v>
      </c>
      <c r="V28" s="1093">
        <f t="shared" si="5"/>
        <v>28890.368000000002</v>
      </c>
      <c r="W28" s="1093">
        <f t="shared" si="6"/>
        <v>4661.6400000000003</v>
      </c>
      <c r="X28" s="1093">
        <f t="shared" si="7"/>
        <v>352933.44</v>
      </c>
      <c r="Y28" s="1093">
        <f t="shared" si="9"/>
        <v>14790.656000000003</v>
      </c>
      <c r="Z28" s="1093" t="e">
        <f>#REF!</f>
        <v>#REF!</v>
      </c>
    </row>
    <row r="29" spans="2:26">
      <c r="B29" s="2" t="s">
        <v>111</v>
      </c>
      <c r="C29" s="20">
        <f t="shared" ref="C29:O29" si="33">C99*0.8</f>
        <v>917268.54399999999</v>
      </c>
      <c r="D29" s="20">
        <f t="shared" si="33"/>
        <v>270693.24800000008</v>
      </c>
      <c r="E29" s="20">
        <f t="shared" si="33"/>
        <v>103465.944</v>
      </c>
      <c r="F29" s="20">
        <f t="shared" si="33"/>
        <v>41828.04800000001</v>
      </c>
      <c r="G29" s="20">
        <f t="shared" si="33"/>
        <v>1710833.8800000001</v>
      </c>
      <c r="H29" s="20">
        <f t="shared" si="33"/>
        <v>14261.519999999999</v>
      </c>
      <c r="I29" s="20">
        <f t="shared" si="33"/>
        <v>65828.136000000013</v>
      </c>
      <c r="J29" s="20">
        <f t="shared" si="33"/>
        <v>0</v>
      </c>
      <c r="K29" s="20">
        <f t="shared" si="33"/>
        <v>23016.351999999999</v>
      </c>
      <c r="L29" s="20">
        <f t="shared" si="33"/>
        <v>5955.3600000000006</v>
      </c>
      <c r="M29" s="20">
        <f t="shared" si="33"/>
        <v>313.44000000000005</v>
      </c>
      <c r="N29" s="20">
        <f t="shared" si="33"/>
        <v>0</v>
      </c>
      <c r="O29" s="20">
        <f t="shared" si="33"/>
        <v>685.68000000000006</v>
      </c>
      <c r="P29" s="20">
        <f t="shared" si="1"/>
        <v>0</v>
      </c>
      <c r="Q29" s="20">
        <f>Q99</f>
        <v>470.16</v>
      </c>
      <c r="R29" s="20">
        <f>R99</f>
        <v>4482.93</v>
      </c>
      <c r="S29" s="10">
        <f t="shared" si="2"/>
        <v>3159103.2420000001</v>
      </c>
      <c r="T29" s="1093">
        <f t="shared" si="3"/>
        <v>917268.54399999999</v>
      </c>
      <c r="U29" s="1093">
        <f t="shared" si="4"/>
        <v>270693.24800000008</v>
      </c>
      <c r="V29" s="1093">
        <f t="shared" si="5"/>
        <v>103465.944</v>
      </c>
      <c r="W29" s="1093">
        <f t="shared" si="6"/>
        <v>41828.04800000001</v>
      </c>
      <c r="X29" s="1093">
        <f t="shared" si="7"/>
        <v>1710833.8800000001</v>
      </c>
      <c r="Y29" s="1093">
        <f t="shared" si="9"/>
        <v>115013.57800000001</v>
      </c>
      <c r="Z29" s="1093" t="e">
        <f>#REF!</f>
        <v>#REF!</v>
      </c>
    </row>
    <row r="30" spans="2:26">
      <c r="B30" s="2" t="s">
        <v>112</v>
      </c>
      <c r="C30" s="20">
        <f t="shared" ref="C30:O30" si="34">C100*0.8</f>
        <v>24239.119999999999</v>
      </c>
      <c r="D30" s="20">
        <f t="shared" si="34"/>
        <v>10043.416000000001</v>
      </c>
      <c r="E30" s="20">
        <f t="shared" si="34"/>
        <v>1158.056</v>
      </c>
      <c r="F30" s="20">
        <f t="shared" si="34"/>
        <v>1288.1280000000002</v>
      </c>
      <c r="G30" s="20">
        <f t="shared" si="34"/>
        <v>36515.760000000002</v>
      </c>
      <c r="H30" s="20">
        <f t="shared" si="34"/>
        <v>861.96</v>
      </c>
      <c r="I30" s="20">
        <f t="shared" si="34"/>
        <v>1101.1680000000001</v>
      </c>
      <c r="J30" s="20">
        <f t="shared" si="34"/>
        <v>0</v>
      </c>
      <c r="K30" s="20">
        <f t="shared" si="34"/>
        <v>1529.3280000000002</v>
      </c>
      <c r="L30" s="20">
        <f t="shared" si="34"/>
        <v>0</v>
      </c>
      <c r="M30" s="20">
        <f t="shared" si="34"/>
        <v>0</v>
      </c>
      <c r="N30" s="20">
        <f t="shared" si="34"/>
        <v>0</v>
      </c>
      <c r="O30" s="20">
        <f t="shared" si="34"/>
        <v>0</v>
      </c>
      <c r="P30" s="20">
        <f t="shared" si="1"/>
        <v>0</v>
      </c>
      <c r="Q30" s="20">
        <f>Q100*0.8</f>
        <v>0</v>
      </c>
      <c r="R30" s="20">
        <f>R100*0.8</f>
        <v>0</v>
      </c>
      <c r="S30" s="10">
        <f t="shared" si="2"/>
        <v>76736.936000000002</v>
      </c>
      <c r="T30" s="1093">
        <f t="shared" si="3"/>
        <v>24239.119999999999</v>
      </c>
      <c r="U30" s="1093">
        <f t="shared" si="4"/>
        <v>10043.416000000001</v>
      </c>
      <c r="V30" s="1093">
        <f t="shared" si="5"/>
        <v>1158.056</v>
      </c>
      <c r="W30" s="1093">
        <f t="shared" si="6"/>
        <v>1288.1280000000002</v>
      </c>
      <c r="X30" s="1093">
        <f t="shared" si="7"/>
        <v>36515.760000000002</v>
      </c>
      <c r="Y30" s="1093">
        <f t="shared" si="9"/>
        <v>3492.4560000000001</v>
      </c>
      <c r="Z30" s="1093" t="e">
        <f>#REF!</f>
        <v>#REF!</v>
      </c>
    </row>
    <row r="31" spans="2:26">
      <c r="B31" s="2" t="s">
        <v>113</v>
      </c>
      <c r="C31" s="20">
        <f t="shared" ref="C31:O31" si="35">C101*0.8</f>
        <v>13765.832000000002</v>
      </c>
      <c r="D31" s="20">
        <f t="shared" si="35"/>
        <v>6381.8559999999998</v>
      </c>
      <c r="E31" s="20">
        <f t="shared" si="35"/>
        <v>2049.4480000000003</v>
      </c>
      <c r="F31" s="20">
        <f t="shared" si="35"/>
        <v>1653.1279999999999</v>
      </c>
      <c r="G31" s="20">
        <f t="shared" si="35"/>
        <v>28601.4</v>
      </c>
      <c r="H31" s="20">
        <f t="shared" si="35"/>
        <v>1410.48</v>
      </c>
      <c r="I31" s="20">
        <f t="shared" si="35"/>
        <v>857.57600000000002</v>
      </c>
      <c r="J31" s="20">
        <f t="shared" si="35"/>
        <v>0</v>
      </c>
      <c r="K31" s="20">
        <f t="shared" si="35"/>
        <v>706.83199999999999</v>
      </c>
      <c r="L31" s="20">
        <f t="shared" si="35"/>
        <v>470.16000000000008</v>
      </c>
      <c r="M31" s="20">
        <f t="shared" si="35"/>
        <v>0</v>
      </c>
      <c r="N31" s="20">
        <f t="shared" si="35"/>
        <v>0</v>
      </c>
      <c r="O31" s="20">
        <f t="shared" si="35"/>
        <v>22.856000000000002</v>
      </c>
      <c r="P31" s="20">
        <f t="shared" si="1"/>
        <v>0</v>
      </c>
      <c r="Q31" s="20">
        <f>Q101*0.8</f>
        <v>0</v>
      </c>
      <c r="R31" s="20">
        <f>R101*0.8</f>
        <v>0</v>
      </c>
      <c r="S31" s="10">
        <f t="shared" si="2"/>
        <v>55919.568000000014</v>
      </c>
      <c r="T31" s="1093">
        <f t="shared" si="3"/>
        <v>13765.832000000002</v>
      </c>
      <c r="U31" s="1093">
        <f t="shared" si="4"/>
        <v>6381.8559999999998</v>
      </c>
      <c r="V31" s="1093">
        <f t="shared" si="5"/>
        <v>2049.4480000000003</v>
      </c>
      <c r="W31" s="1093">
        <f t="shared" si="6"/>
        <v>1653.1279999999999</v>
      </c>
      <c r="X31" s="1093">
        <f t="shared" si="7"/>
        <v>28601.4</v>
      </c>
      <c r="Y31" s="1093">
        <f t="shared" si="9"/>
        <v>3467.904</v>
      </c>
      <c r="Z31" s="1093" t="e">
        <f>#REF!</f>
        <v>#REF!</v>
      </c>
    </row>
    <row r="32" spans="2:26">
      <c r="B32" s="5" t="s">
        <v>37</v>
      </c>
      <c r="C32" s="6">
        <f t="shared" ref="C32:T32" si="36">SUM(C5:C31)</f>
        <v>2814777.7600000002</v>
      </c>
      <c r="D32" s="6">
        <f t="shared" si="36"/>
        <v>843723.38400000019</v>
      </c>
      <c r="E32" s="6">
        <f t="shared" si="36"/>
        <v>359475.28</v>
      </c>
      <c r="F32" s="6">
        <f t="shared" si="36"/>
        <v>115959.576</v>
      </c>
      <c r="G32" s="6">
        <f t="shared" si="36"/>
        <v>4988475.96</v>
      </c>
      <c r="H32" s="6">
        <f t="shared" si="36"/>
        <v>60564.648000000001</v>
      </c>
      <c r="I32" s="6">
        <f t="shared" si="36"/>
        <v>168737.12800000003</v>
      </c>
      <c r="J32" s="6">
        <f t="shared" si="36"/>
        <v>12378.6</v>
      </c>
      <c r="K32" s="6">
        <f t="shared" si="36"/>
        <v>85145.935999999987</v>
      </c>
      <c r="L32" s="6">
        <f t="shared" si="36"/>
        <v>24213.24</v>
      </c>
      <c r="M32" s="6">
        <f t="shared" si="36"/>
        <v>1410.4800000000002</v>
      </c>
      <c r="N32" s="6">
        <f t="shared" si="36"/>
        <v>681.03199999999993</v>
      </c>
      <c r="O32" s="6">
        <f t="shared" si="36"/>
        <v>1417.0720000000001</v>
      </c>
      <c r="P32" s="6">
        <f>SUM(P5:P31)</f>
        <v>0</v>
      </c>
      <c r="Q32" s="6">
        <f t="shared" si="36"/>
        <v>527.55200000000002</v>
      </c>
      <c r="R32" s="6">
        <f t="shared" si="36"/>
        <v>5343.7820000000002</v>
      </c>
      <c r="S32" s="6">
        <f t="shared" si="36"/>
        <v>9482831.4300000016</v>
      </c>
      <c r="T32" s="1093">
        <f t="shared" si="36"/>
        <v>2814777.7600000002</v>
      </c>
      <c r="U32" s="1093">
        <f t="shared" ref="U32:Y32" si="37">SUM(U5:U31)</f>
        <v>843723.38400000019</v>
      </c>
      <c r="V32" s="1093">
        <f t="shared" si="37"/>
        <v>359475.28</v>
      </c>
      <c r="W32" s="1093">
        <f t="shared" si="37"/>
        <v>115959.576</v>
      </c>
      <c r="X32" s="1093">
        <f t="shared" si="37"/>
        <v>4988475.96</v>
      </c>
      <c r="Y32" s="1093">
        <f t="shared" si="37"/>
        <v>360419.47</v>
      </c>
      <c r="Z32" s="1093" t="e">
        <f>#REF!</f>
        <v>#REF!</v>
      </c>
    </row>
    <row r="33" spans="2:26">
      <c r="B33" s="1080" t="s">
        <v>50</v>
      </c>
      <c r="C33" s="1081"/>
      <c r="D33" s="1082"/>
      <c r="E33" s="1082"/>
      <c r="F33" s="1082"/>
      <c r="G33" s="1082"/>
      <c r="H33" s="1082"/>
      <c r="I33" s="1082"/>
      <c r="J33" s="1082"/>
      <c r="K33" s="1082"/>
      <c r="L33" s="1082"/>
      <c r="M33" s="1082"/>
      <c r="N33" s="1082"/>
      <c r="O33" s="1082"/>
      <c r="P33" s="1082"/>
      <c r="Q33" s="1082"/>
      <c r="R33" s="1082"/>
      <c r="S33" s="1081"/>
      <c r="Z33" s="1093" t="e">
        <f>#REF!</f>
        <v>#REF!</v>
      </c>
    </row>
    <row r="34" spans="2:26">
      <c r="B34" s="1094"/>
      <c r="C34" s="1094"/>
      <c r="D34" s="1095"/>
      <c r="E34" s="1095"/>
      <c r="F34" s="1095"/>
      <c r="G34" s="1095"/>
      <c r="H34" s="1095"/>
      <c r="I34" s="1095"/>
      <c r="J34" s="1095"/>
      <c r="K34" s="1095"/>
      <c r="L34" s="1095"/>
      <c r="M34" s="1095"/>
      <c r="N34" s="1095"/>
      <c r="O34" s="1095"/>
      <c r="P34" s="1095"/>
      <c r="Q34" s="1095"/>
      <c r="R34" s="1095"/>
      <c r="S34" s="1096"/>
    </row>
    <row r="35" spans="2:26">
      <c r="B35" s="1088"/>
      <c r="C35" s="1088"/>
      <c r="D35" s="1089"/>
      <c r="E35" s="1089"/>
      <c r="F35" s="1089"/>
      <c r="G35" s="1089"/>
      <c r="H35" s="1089"/>
      <c r="I35" s="1089"/>
      <c r="J35" s="1089"/>
      <c r="K35" s="1089"/>
      <c r="L35" s="1089"/>
      <c r="M35" s="1089"/>
      <c r="N35" s="1089"/>
      <c r="O35" s="1089"/>
      <c r="P35" s="1089"/>
      <c r="Q35" s="1089"/>
      <c r="R35" s="1089"/>
      <c r="S35" s="1090"/>
    </row>
    <row r="36" spans="2:26">
      <c r="B36" s="1098"/>
      <c r="C36" s="1098"/>
      <c r="D36" s="1099"/>
      <c r="E36" s="1099"/>
      <c r="F36" s="1099"/>
      <c r="G36" s="1099"/>
      <c r="H36" s="1099"/>
      <c r="I36" s="1099"/>
      <c r="J36" s="1099"/>
      <c r="K36" s="1099"/>
      <c r="L36" s="1099"/>
      <c r="M36" s="1099"/>
      <c r="N36" s="1099"/>
      <c r="O36" s="1099"/>
      <c r="P36" s="1099"/>
      <c r="Q36" s="1099"/>
      <c r="R36" s="1099"/>
      <c r="S36" s="1100"/>
    </row>
    <row r="37" spans="2:26" ht="46.5">
      <c r="B37" s="1220" t="s">
        <v>74</v>
      </c>
      <c r="C37" s="1221"/>
      <c r="D37" s="1221"/>
      <c r="E37" s="1221"/>
      <c r="F37" s="1221"/>
      <c r="G37" s="1221"/>
      <c r="H37" s="1221"/>
      <c r="I37" s="1221"/>
      <c r="J37" s="1221"/>
      <c r="K37" s="1221"/>
      <c r="L37" s="1221"/>
      <c r="M37" s="1221"/>
      <c r="N37" s="1221"/>
      <c r="O37" s="1221"/>
      <c r="P37" s="1221"/>
      <c r="Q37" s="1221"/>
      <c r="R37" s="1221"/>
      <c r="S37" s="1222"/>
    </row>
    <row r="38" spans="2:26"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6"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6">
      <c r="B40" s="2" t="s">
        <v>87</v>
      </c>
      <c r="C40" s="20">
        <f t="shared" ref="C40:R40" si="38">C75*0.2</f>
        <v>2330.0780000000004</v>
      </c>
      <c r="D40" s="20">
        <f t="shared" si="38"/>
        <v>478.77800000000002</v>
      </c>
      <c r="E40" s="20">
        <f t="shared" si="38"/>
        <v>384.74800000000005</v>
      </c>
      <c r="F40" s="20">
        <f t="shared" si="38"/>
        <v>73.874000000000009</v>
      </c>
      <c r="G40" s="20">
        <f t="shared" si="38"/>
        <v>3291.12</v>
      </c>
      <c r="H40" s="20">
        <f t="shared" si="38"/>
        <v>470.16000000000008</v>
      </c>
      <c r="I40" s="20">
        <f t="shared" si="38"/>
        <v>66.606000000000009</v>
      </c>
      <c r="J40" s="20">
        <f t="shared" si="38"/>
        <v>0</v>
      </c>
      <c r="K40" s="20">
        <f t="shared" si="38"/>
        <v>59.027999999999999</v>
      </c>
      <c r="L40" s="20">
        <f t="shared" si="38"/>
        <v>137.13</v>
      </c>
      <c r="M40" s="20">
        <f t="shared" si="38"/>
        <v>0</v>
      </c>
      <c r="N40" s="20">
        <f t="shared" si="38"/>
        <v>0</v>
      </c>
      <c r="O40" s="20">
        <f t="shared" si="38"/>
        <v>0</v>
      </c>
      <c r="P40" s="20">
        <f t="shared" ref="P40:P66" si="39">P75*0.2</f>
        <v>0</v>
      </c>
      <c r="Q40" s="20">
        <f t="shared" si="38"/>
        <v>0</v>
      </c>
      <c r="R40" s="20">
        <f t="shared" si="38"/>
        <v>0</v>
      </c>
      <c r="S40" s="10">
        <f t="shared" ref="S40:S66" si="40">SUM(C40:R40)</f>
        <v>7291.5219999999999</v>
      </c>
      <c r="T40" s="1093">
        <f t="shared" ref="T40:T66" si="41">C40</f>
        <v>2330.0780000000004</v>
      </c>
      <c r="U40" s="1093">
        <f t="shared" ref="U40:U66" si="42">D40</f>
        <v>478.77800000000002</v>
      </c>
      <c r="V40" s="1093">
        <f t="shared" ref="V40:V66" si="43">E40</f>
        <v>384.74800000000005</v>
      </c>
      <c r="W40" s="1093">
        <f t="shared" ref="W40:W66" si="44">F40</f>
        <v>73.874000000000009</v>
      </c>
      <c r="X40" s="1093">
        <f t="shared" ref="X40:X66" si="45">G40</f>
        <v>3291.12</v>
      </c>
      <c r="Y40" s="1093">
        <f>SUM(H40:R40)</f>
        <v>732.92400000000009</v>
      </c>
    </row>
    <row r="41" spans="2:26">
      <c r="B41" s="2" t="s">
        <v>88</v>
      </c>
      <c r="C41" s="20">
        <f t="shared" ref="C41:R41" si="46">C76*0.2</f>
        <v>5574.74</v>
      </c>
      <c r="D41" s="20">
        <f t="shared" si="46"/>
        <v>2748.5840000000003</v>
      </c>
      <c r="E41" s="20">
        <f t="shared" si="46"/>
        <v>45.712000000000003</v>
      </c>
      <c r="F41" s="20">
        <f t="shared" si="46"/>
        <v>74.36</v>
      </c>
      <c r="G41" s="20">
        <f t="shared" si="46"/>
        <v>8600.01</v>
      </c>
      <c r="H41" s="20">
        <f t="shared" si="46"/>
        <v>58.77000000000001</v>
      </c>
      <c r="I41" s="20">
        <f t="shared" si="46"/>
        <v>536.33400000000006</v>
      </c>
      <c r="J41" s="20">
        <f t="shared" si="46"/>
        <v>0</v>
      </c>
      <c r="K41" s="20">
        <f t="shared" si="46"/>
        <v>316.29200000000003</v>
      </c>
      <c r="L41" s="20">
        <f t="shared" si="46"/>
        <v>0</v>
      </c>
      <c r="M41" s="20">
        <f t="shared" si="46"/>
        <v>0</v>
      </c>
      <c r="N41" s="20">
        <f t="shared" si="46"/>
        <v>0</v>
      </c>
      <c r="O41" s="20">
        <f t="shared" si="46"/>
        <v>0</v>
      </c>
      <c r="P41" s="20">
        <f t="shared" si="39"/>
        <v>0</v>
      </c>
      <c r="Q41" s="20">
        <f t="shared" si="46"/>
        <v>0</v>
      </c>
      <c r="R41" s="20">
        <f t="shared" si="46"/>
        <v>0</v>
      </c>
      <c r="S41" s="10">
        <f t="shared" si="40"/>
        <v>17954.802000000003</v>
      </c>
      <c r="T41" s="1093">
        <f t="shared" si="41"/>
        <v>5574.74</v>
      </c>
      <c r="U41" s="1093">
        <f t="shared" si="42"/>
        <v>2748.5840000000003</v>
      </c>
      <c r="V41" s="1093">
        <f t="shared" si="43"/>
        <v>45.712000000000003</v>
      </c>
      <c r="W41" s="1093">
        <f t="shared" si="44"/>
        <v>74.36</v>
      </c>
      <c r="X41" s="1093">
        <f t="shared" si="45"/>
        <v>8600.01</v>
      </c>
      <c r="Y41" s="1093">
        <f t="shared" ref="Y41:Y66" si="47">SUM(H41:R41)</f>
        <v>911.39600000000007</v>
      </c>
    </row>
    <row r="42" spans="2:26">
      <c r="B42" s="2" t="s">
        <v>89</v>
      </c>
      <c r="C42" s="20">
        <f t="shared" ref="C42:R42" si="48">C77*0.2</f>
        <v>2822.5359999999996</v>
      </c>
      <c r="D42" s="20">
        <f t="shared" si="48"/>
        <v>941.05400000000009</v>
      </c>
      <c r="E42" s="20">
        <f t="shared" si="48"/>
        <v>709.20600000000002</v>
      </c>
      <c r="F42" s="20">
        <f t="shared" si="48"/>
        <v>108.908</v>
      </c>
      <c r="G42" s="20">
        <f t="shared" si="48"/>
        <v>3722.1000000000004</v>
      </c>
      <c r="H42" s="20">
        <f t="shared" si="48"/>
        <v>58.77000000000001</v>
      </c>
      <c r="I42" s="20">
        <f t="shared" si="48"/>
        <v>127.21600000000001</v>
      </c>
      <c r="J42" s="20">
        <f t="shared" si="48"/>
        <v>0</v>
      </c>
      <c r="K42" s="20">
        <f t="shared" si="48"/>
        <v>139.01200000000003</v>
      </c>
      <c r="L42" s="20">
        <f t="shared" si="48"/>
        <v>97.95</v>
      </c>
      <c r="M42" s="20">
        <f t="shared" si="48"/>
        <v>0</v>
      </c>
      <c r="N42" s="20">
        <f t="shared" si="48"/>
        <v>0</v>
      </c>
      <c r="O42" s="20">
        <f t="shared" si="48"/>
        <v>5.7140000000000004</v>
      </c>
      <c r="P42" s="20">
        <f t="shared" si="39"/>
        <v>0</v>
      </c>
      <c r="Q42" s="20">
        <f t="shared" si="48"/>
        <v>0</v>
      </c>
      <c r="R42" s="20">
        <f t="shared" si="48"/>
        <v>0</v>
      </c>
      <c r="S42" s="10">
        <f t="shared" si="40"/>
        <v>8732.4660000000022</v>
      </c>
      <c r="T42" s="1093">
        <f t="shared" si="41"/>
        <v>2822.5359999999996</v>
      </c>
      <c r="U42" s="1093">
        <f t="shared" si="42"/>
        <v>941.05400000000009</v>
      </c>
      <c r="V42" s="1093">
        <f t="shared" si="43"/>
        <v>709.20600000000002</v>
      </c>
      <c r="W42" s="1093">
        <f t="shared" si="44"/>
        <v>108.908</v>
      </c>
      <c r="X42" s="1093">
        <f t="shared" si="45"/>
        <v>3722.1000000000004</v>
      </c>
      <c r="Y42" s="1093">
        <f t="shared" si="47"/>
        <v>428.66200000000003</v>
      </c>
    </row>
    <row r="43" spans="2:26">
      <c r="B43" s="2" t="s">
        <v>90</v>
      </c>
      <c r="C43" s="20">
        <f t="shared" ref="C43:O43" si="49">C78*0.2</f>
        <v>8857.9439999999977</v>
      </c>
      <c r="D43" s="20">
        <f t="shared" si="49"/>
        <v>4731.1279999999997</v>
      </c>
      <c r="E43" s="20">
        <f t="shared" si="49"/>
        <v>674.26200000000006</v>
      </c>
      <c r="F43" s="20">
        <f t="shared" si="49"/>
        <v>0</v>
      </c>
      <c r="G43" s="20">
        <f t="shared" si="49"/>
        <v>9285.6600000000017</v>
      </c>
      <c r="H43" s="20">
        <f t="shared" si="49"/>
        <v>195.9</v>
      </c>
      <c r="I43" s="20">
        <f t="shared" si="49"/>
        <v>728.904</v>
      </c>
      <c r="J43" s="20">
        <f t="shared" si="49"/>
        <v>0</v>
      </c>
      <c r="K43" s="20">
        <f t="shared" si="49"/>
        <v>584.02800000000002</v>
      </c>
      <c r="L43" s="20">
        <f t="shared" si="49"/>
        <v>117.54000000000002</v>
      </c>
      <c r="M43" s="20">
        <f t="shared" si="49"/>
        <v>0</v>
      </c>
      <c r="N43" s="20">
        <f t="shared" si="49"/>
        <v>78.128</v>
      </c>
      <c r="O43" s="20">
        <f t="shared" si="49"/>
        <v>0</v>
      </c>
      <c r="P43" s="20">
        <f t="shared" si="39"/>
        <v>0</v>
      </c>
      <c r="Q43" s="20">
        <v>0</v>
      </c>
      <c r="R43" s="20">
        <v>0</v>
      </c>
      <c r="S43" s="10">
        <f t="shared" si="40"/>
        <v>25253.493999999999</v>
      </c>
      <c r="T43" s="1093">
        <f t="shared" si="41"/>
        <v>8857.9439999999977</v>
      </c>
      <c r="U43" s="1093">
        <f t="shared" si="42"/>
        <v>4731.1279999999997</v>
      </c>
      <c r="V43" s="1093">
        <f t="shared" si="43"/>
        <v>674.26200000000006</v>
      </c>
      <c r="W43" s="1093">
        <f t="shared" si="44"/>
        <v>0</v>
      </c>
      <c r="X43" s="1093">
        <f t="shared" si="45"/>
        <v>9285.6600000000017</v>
      </c>
      <c r="Y43" s="1093">
        <f t="shared" si="47"/>
        <v>1704.4999999999998</v>
      </c>
    </row>
    <row r="44" spans="2:26">
      <c r="B44" s="2" t="s">
        <v>91</v>
      </c>
      <c r="C44" s="20">
        <f t="shared" ref="C44:O44" si="50">C79*0.2</f>
        <v>19716.684000000001</v>
      </c>
      <c r="D44" s="20">
        <f t="shared" si="50"/>
        <v>4687.1040000000003</v>
      </c>
      <c r="E44" s="20">
        <f t="shared" si="50"/>
        <v>2775.6120000000001</v>
      </c>
      <c r="F44" s="20">
        <f t="shared" si="50"/>
        <v>362.38600000000002</v>
      </c>
      <c r="G44" s="20">
        <f t="shared" si="50"/>
        <v>22704.81</v>
      </c>
      <c r="H44" s="20">
        <f t="shared" si="50"/>
        <v>313.46000000000004</v>
      </c>
      <c r="I44" s="20">
        <f t="shared" si="50"/>
        <v>655.40200000000004</v>
      </c>
      <c r="J44" s="20">
        <f t="shared" si="50"/>
        <v>0</v>
      </c>
      <c r="K44" s="20">
        <f t="shared" si="50"/>
        <v>629.58400000000006</v>
      </c>
      <c r="L44" s="20">
        <f t="shared" si="50"/>
        <v>58.77000000000001</v>
      </c>
      <c r="M44" s="20">
        <f t="shared" si="50"/>
        <v>0</v>
      </c>
      <c r="N44" s="20">
        <f t="shared" si="50"/>
        <v>0</v>
      </c>
      <c r="O44" s="20">
        <f t="shared" si="50"/>
        <v>5.7140000000000004</v>
      </c>
      <c r="P44" s="20">
        <f t="shared" si="39"/>
        <v>0</v>
      </c>
      <c r="Q44" s="20">
        <f t="shared" ref="Q44:R63" si="51">Q79*0.2</f>
        <v>0</v>
      </c>
      <c r="R44" s="20">
        <f t="shared" si="51"/>
        <v>0</v>
      </c>
      <c r="S44" s="10">
        <f t="shared" si="40"/>
        <v>51909.526000000005</v>
      </c>
      <c r="T44" s="1093">
        <f t="shared" si="41"/>
        <v>19716.684000000001</v>
      </c>
      <c r="U44" s="1093">
        <f t="shared" si="42"/>
        <v>4687.1040000000003</v>
      </c>
      <c r="V44" s="1093">
        <f t="shared" si="43"/>
        <v>2775.6120000000001</v>
      </c>
      <c r="W44" s="1093">
        <f t="shared" si="44"/>
        <v>362.38600000000002</v>
      </c>
      <c r="X44" s="1093">
        <f t="shared" si="45"/>
        <v>22704.81</v>
      </c>
      <c r="Y44" s="1093">
        <f t="shared" si="47"/>
        <v>1662.93</v>
      </c>
    </row>
    <row r="45" spans="2:26">
      <c r="B45" s="2" t="s">
        <v>92</v>
      </c>
      <c r="C45" s="20">
        <f t="shared" ref="C45:O45" si="52">C80*0.2</f>
        <v>12856.950000000003</v>
      </c>
      <c r="D45" s="20">
        <f t="shared" si="52"/>
        <v>2102.8420000000001</v>
      </c>
      <c r="E45" s="20">
        <f t="shared" si="52"/>
        <v>819.01200000000006</v>
      </c>
      <c r="F45" s="20">
        <f t="shared" si="52"/>
        <v>169.52</v>
      </c>
      <c r="G45" s="20">
        <f t="shared" si="52"/>
        <v>17004.120000000003</v>
      </c>
      <c r="H45" s="20">
        <f t="shared" si="52"/>
        <v>646.47</v>
      </c>
      <c r="I45" s="20">
        <f t="shared" si="52"/>
        <v>316.86000000000007</v>
      </c>
      <c r="J45" s="20">
        <f t="shared" si="52"/>
        <v>1163.96</v>
      </c>
      <c r="K45" s="20">
        <f t="shared" si="52"/>
        <v>225.36199999999999</v>
      </c>
      <c r="L45" s="20">
        <f t="shared" si="52"/>
        <v>0</v>
      </c>
      <c r="M45" s="20">
        <f t="shared" si="52"/>
        <v>39.180000000000007</v>
      </c>
      <c r="N45" s="20">
        <f t="shared" si="52"/>
        <v>0</v>
      </c>
      <c r="O45" s="20">
        <f t="shared" si="52"/>
        <v>5.7140000000000004</v>
      </c>
      <c r="P45" s="20">
        <f t="shared" si="39"/>
        <v>0</v>
      </c>
      <c r="Q45" s="20">
        <f t="shared" si="51"/>
        <v>0</v>
      </c>
      <c r="R45" s="20">
        <f t="shared" si="51"/>
        <v>0</v>
      </c>
      <c r="S45" s="10">
        <f t="shared" si="40"/>
        <v>35349.990000000005</v>
      </c>
      <c r="T45" s="1093">
        <f t="shared" si="41"/>
        <v>12856.950000000003</v>
      </c>
      <c r="U45" s="1093">
        <f t="shared" si="42"/>
        <v>2102.8420000000001</v>
      </c>
      <c r="V45" s="1093">
        <f t="shared" si="43"/>
        <v>819.01200000000006</v>
      </c>
      <c r="W45" s="1093">
        <f t="shared" si="44"/>
        <v>169.52</v>
      </c>
      <c r="X45" s="1093">
        <f t="shared" si="45"/>
        <v>17004.120000000003</v>
      </c>
      <c r="Y45" s="1093">
        <f t="shared" si="47"/>
        <v>2397.5459999999998</v>
      </c>
    </row>
    <row r="46" spans="2:26">
      <c r="B46" s="2" t="s">
        <v>93</v>
      </c>
      <c r="C46" s="20">
        <f t="shared" ref="C46:O46" si="53">C81*0.2</f>
        <v>21265.644</v>
      </c>
      <c r="D46" s="20">
        <f t="shared" si="53"/>
        <v>6505.898000000001</v>
      </c>
      <c r="E46" s="20">
        <f t="shared" si="53"/>
        <v>2440.5500000000002</v>
      </c>
      <c r="F46" s="20">
        <f t="shared" si="53"/>
        <v>623.32600000000002</v>
      </c>
      <c r="G46" s="20">
        <f t="shared" si="53"/>
        <v>24761.760000000002</v>
      </c>
      <c r="H46" s="20">
        <f t="shared" si="53"/>
        <v>391.8</v>
      </c>
      <c r="I46" s="20">
        <f t="shared" si="53"/>
        <v>983.77800000000013</v>
      </c>
      <c r="J46" s="20">
        <f t="shared" si="53"/>
        <v>0</v>
      </c>
      <c r="K46" s="20">
        <f t="shared" si="53"/>
        <v>829.44600000000014</v>
      </c>
      <c r="L46" s="20">
        <f t="shared" si="53"/>
        <v>333.03000000000003</v>
      </c>
      <c r="M46" s="20">
        <f t="shared" si="53"/>
        <v>0</v>
      </c>
      <c r="N46" s="20">
        <f t="shared" si="53"/>
        <v>0</v>
      </c>
      <c r="O46" s="20">
        <f t="shared" si="53"/>
        <v>17.141999999999999</v>
      </c>
      <c r="P46" s="20">
        <f t="shared" si="39"/>
        <v>0</v>
      </c>
      <c r="Q46" s="20">
        <f t="shared" si="51"/>
        <v>0</v>
      </c>
      <c r="R46" s="20">
        <f t="shared" si="51"/>
        <v>0</v>
      </c>
      <c r="S46" s="10">
        <f t="shared" si="40"/>
        <v>58152.374000000003</v>
      </c>
      <c r="T46" s="1093">
        <f t="shared" si="41"/>
        <v>21265.644</v>
      </c>
      <c r="U46" s="1093">
        <f t="shared" si="42"/>
        <v>6505.898000000001</v>
      </c>
      <c r="V46" s="1093">
        <f t="shared" si="43"/>
        <v>2440.5500000000002</v>
      </c>
      <c r="W46" s="1093">
        <f t="shared" si="44"/>
        <v>623.32600000000002</v>
      </c>
      <c r="X46" s="1093">
        <f t="shared" si="45"/>
        <v>24761.760000000002</v>
      </c>
      <c r="Y46" s="1093">
        <f t="shared" si="47"/>
        <v>2555.1960000000004</v>
      </c>
    </row>
    <row r="47" spans="2:26">
      <c r="B47" s="2" t="s">
        <v>94</v>
      </c>
      <c r="C47" s="20">
        <f t="shared" ref="C47:O47" si="54">C82*0.2</f>
        <v>12736.548000000001</v>
      </c>
      <c r="D47" s="20">
        <f t="shared" si="54"/>
        <v>2155.0740000000001</v>
      </c>
      <c r="E47" s="20">
        <f t="shared" si="54"/>
        <v>1053.604</v>
      </c>
      <c r="F47" s="20">
        <f t="shared" si="54"/>
        <v>129.88</v>
      </c>
      <c r="G47" s="20">
        <f t="shared" si="54"/>
        <v>18865.170000000002</v>
      </c>
      <c r="H47" s="20">
        <f t="shared" si="54"/>
        <v>156.72000000000003</v>
      </c>
      <c r="I47" s="20">
        <f t="shared" si="54"/>
        <v>475.9380000000001</v>
      </c>
      <c r="J47" s="20">
        <f t="shared" si="54"/>
        <v>417.93000000000006</v>
      </c>
      <c r="K47" s="20">
        <f t="shared" si="54"/>
        <v>129.55000000000001</v>
      </c>
      <c r="L47" s="20">
        <f t="shared" si="54"/>
        <v>58.77000000000001</v>
      </c>
      <c r="M47" s="20">
        <f t="shared" si="54"/>
        <v>0</v>
      </c>
      <c r="N47" s="20">
        <f t="shared" si="54"/>
        <v>0</v>
      </c>
      <c r="O47" s="20">
        <f t="shared" si="54"/>
        <v>0</v>
      </c>
      <c r="P47" s="20">
        <f t="shared" si="39"/>
        <v>0</v>
      </c>
      <c r="Q47" s="20">
        <f t="shared" si="51"/>
        <v>0</v>
      </c>
      <c r="R47" s="20">
        <f t="shared" si="51"/>
        <v>0</v>
      </c>
      <c r="S47" s="10">
        <f t="shared" si="40"/>
        <v>36179.184000000001</v>
      </c>
      <c r="T47" s="1093">
        <f t="shared" si="41"/>
        <v>12736.548000000001</v>
      </c>
      <c r="U47" s="1093">
        <f t="shared" si="42"/>
        <v>2155.0740000000001</v>
      </c>
      <c r="V47" s="1093">
        <f t="shared" si="43"/>
        <v>1053.604</v>
      </c>
      <c r="W47" s="1093">
        <f t="shared" si="44"/>
        <v>129.88</v>
      </c>
      <c r="X47" s="1093">
        <f t="shared" si="45"/>
        <v>18865.170000000002</v>
      </c>
      <c r="Y47" s="1093">
        <f t="shared" si="47"/>
        <v>1238.9080000000001</v>
      </c>
    </row>
    <row r="48" spans="2:26">
      <c r="B48" s="2" t="s">
        <v>95</v>
      </c>
      <c r="C48" s="20">
        <f t="shared" ref="C48:O48" si="55">C83*0.2</f>
        <v>17586.66</v>
      </c>
      <c r="D48" s="20">
        <f t="shared" si="55"/>
        <v>6087.25</v>
      </c>
      <c r="E48" s="20">
        <f t="shared" si="55"/>
        <v>2203.4180000000001</v>
      </c>
      <c r="F48" s="20">
        <f t="shared" si="55"/>
        <v>453.19799999999998</v>
      </c>
      <c r="G48" s="20">
        <f t="shared" si="55"/>
        <v>46957.23</v>
      </c>
      <c r="H48" s="20">
        <f t="shared" si="55"/>
        <v>587.70000000000005</v>
      </c>
      <c r="I48" s="20">
        <f t="shared" si="55"/>
        <v>1294.2240000000002</v>
      </c>
      <c r="J48" s="20">
        <f t="shared" si="55"/>
        <v>290.142</v>
      </c>
      <c r="K48" s="20">
        <f t="shared" si="55"/>
        <v>650.31200000000001</v>
      </c>
      <c r="L48" s="20">
        <f t="shared" si="55"/>
        <v>39.180000000000007</v>
      </c>
      <c r="M48" s="20">
        <f t="shared" si="55"/>
        <v>0</v>
      </c>
      <c r="N48" s="20">
        <f t="shared" si="55"/>
        <v>0</v>
      </c>
      <c r="O48" s="20">
        <f t="shared" si="55"/>
        <v>0</v>
      </c>
      <c r="P48" s="20">
        <f t="shared" si="39"/>
        <v>0</v>
      </c>
      <c r="Q48" s="20">
        <f t="shared" si="51"/>
        <v>0</v>
      </c>
      <c r="R48" s="20">
        <f t="shared" si="51"/>
        <v>0</v>
      </c>
      <c r="S48" s="10">
        <f t="shared" si="40"/>
        <v>76149.314000000013</v>
      </c>
      <c r="T48" s="1093">
        <f t="shared" si="41"/>
        <v>17586.66</v>
      </c>
      <c r="U48" s="1093">
        <f t="shared" si="42"/>
        <v>6087.25</v>
      </c>
      <c r="V48" s="1093">
        <f t="shared" si="43"/>
        <v>2203.4180000000001</v>
      </c>
      <c r="W48" s="1093">
        <f t="shared" si="44"/>
        <v>453.19799999999998</v>
      </c>
      <c r="X48" s="1093">
        <f t="shared" si="45"/>
        <v>46957.23</v>
      </c>
      <c r="Y48" s="1093">
        <f t="shared" si="47"/>
        <v>2861.558</v>
      </c>
    </row>
    <row r="49" spans="2:25">
      <c r="B49" s="2" t="s">
        <v>96</v>
      </c>
      <c r="C49" s="20">
        <f t="shared" ref="C49:O49" si="56">C84*0.2</f>
        <v>5934.478000000001</v>
      </c>
      <c r="D49" s="20">
        <f t="shared" si="56"/>
        <v>3018.0480000000007</v>
      </c>
      <c r="E49" s="20">
        <f t="shared" si="56"/>
        <v>527.6</v>
      </c>
      <c r="F49" s="20">
        <f t="shared" si="56"/>
        <v>40.89</v>
      </c>
      <c r="G49" s="20">
        <f t="shared" si="56"/>
        <v>6778.1399999999994</v>
      </c>
      <c r="H49" s="20">
        <f t="shared" si="56"/>
        <v>97.95</v>
      </c>
      <c r="I49" s="20">
        <f t="shared" si="56"/>
        <v>526.39400000000001</v>
      </c>
      <c r="J49" s="20">
        <f t="shared" si="56"/>
        <v>0</v>
      </c>
      <c r="K49" s="20">
        <f t="shared" si="56"/>
        <v>277.94800000000004</v>
      </c>
      <c r="L49" s="20">
        <f t="shared" si="56"/>
        <v>19.590000000000003</v>
      </c>
      <c r="M49" s="20">
        <f t="shared" si="56"/>
        <v>0</v>
      </c>
      <c r="N49" s="20">
        <f t="shared" si="56"/>
        <v>0</v>
      </c>
      <c r="O49" s="20">
        <f t="shared" si="56"/>
        <v>0</v>
      </c>
      <c r="P49" s="20">
        <f t="shared" si="39"/>
        <v>0</v>
      </c>
      <c r="Q49" s="20">
        <f t="shared" si="51"/>
        <v>0</v>
      </c>
      <c r="R49" s="20">
        <f t="shared" si="51"/>
        <v>0</v>
      </c>
      <c r="S49" s="10">
        <f t="shared" si="40"/>
        <v>17221.038</v>
      </c>
      <c r="T49" s="1093">
        <f t="shared" si="41"/>
        <v>5934.478000000001</v>
      </c>
      <c r="U49" s="1093">
        <f t="shared" si="42"/>
        <v>3018.0480000000007</v>
      </c>
      <c r="V49" s="1093">
        <f t="shared" si="43"/>
        <v>527.6</v>
      </c>
      <c r="W49" s="1093">
        <f t="shared" si="44"/>
        <v>40.89</v>
      </c>
      <c r="X49" s="1093">
        <f t="shared" si="45"/>
        <v>6778.1399999999994</v>
      </c>
      <c r="Y49" s="1093">
        <f t="shared" si="47"/>
        <v>921.88200000000018</v>
      </c>
    </row>
    <row r="50" spans="2:25">
      <c r="B50" s="2" t="s">
        <v>97</v>
      </c>
      <c r="C50" s="20">
        <f t="shared" ref="C50:O50" si="57">C85*0.2</f>
        <v>14826.472000000002</v>
      </c>
      <c r="D50" s="20">
        <f t="shared" si="57"/>
        <v>8348.634</v>
      </c>
      <c r="E50" s="20">
        <f t="shared" si="57"/>
        <v>1386.6120000000001</v>
      </c>
      <c r="F50" s="20">
        <f t="shared" si="57"/>
        <v>900.67800000000011</v>
      </c>
      <c r="G50" s="20">
        <f t="shared" si="57"/>
        <v>55322.16</v>
      </c>
      <c r="H50" s="20">
        <f t="shared" si="57"/>
        <v>899.85</v>
      </c>
      <c r="I50" s="20">
        <f t="shared" si="57"/>
        <v>1299.6220000000001</v>
      </c>
      <c r="J50" s="20">
        <f t="shared" si="57"/>
        <v>0</v>
      </c>
      <c r="K50" s="20">
        <f t="shared" si="57"/>
        <v>881.03400000000011</v>
      </c>
      <c r="L50" s="20">
        <f t="shared" si="57"/>
        <v>176.31</v>
      </c>
      <c r="M50" s="20">
        <f t="shared" si="57"/>
        <v>39.180000000000007</v>
      </c>
      <c r="N50" s="20">
        <f t="shared" si="57"/>
        <v>0</v>
      </c>
      <c r="O50" s="20">
        <f t="shared" si="57"/>
        <v>0</v>
      </c>
      <c r="P50" s="20">
        <f t="shared" si="39"/>
        <v>0</v>
      </c>
      <c r="Q50" s="20">
        <f t="shared" si="51"/>
        <v>0</v>
      </c>
      <c r="R50" s="20">
        <f t="shared" si="51"/>
        <v>0</v>
      </c>
      <c r="S50" s="10">
        <f t="shared" si="40"/>
        <v>84080.552000000011</v>
      </c>
      <c r="T50" s="1093">
        <f t="shared" si="41"/>
        <v>14826.472000000002</v>
      </c>
      <c r="U50" s="1093">
        <f t="shared" si="42"/>
        <v>8348.634</v>
      </c>
      <c r="V50" s="1093">
        <f t="shared" si="43"/>
        <v>1386.6120000000001</v>
      </c>
      <c r="W50" s="1093">
        <f t="shared" si="44"/>
        <v>900.67800000000011</v>
      </c>
      <c r="X50" s="1093">
        <f t="shared" si="45"/>
        <v>55322.16</v>
      </c>
      <c r="Y50" s="1093">
        <f t="shared" si="47"/>
        <v>3295.9960000000001</v>
      </c>
    </row>
    <row r="51" spans="2:25">
      <c r="B51" s="2" t="s">
        <v>98</v>
      </c>
      <c r="C51" s="20">
        <f t="shared" ref="C51:O51" si="58">C86*0.2</f>
        <v>10597.791999999999</v>
      </c>
      <c r="D51" s="20">
        <f t="shared" si="58"/>
        <v>3956.7040000000002</v>
      </c>
      <c r="E51" s="20">
        <f t="shared" si="58"/>
        <v>1310.1120000000003</v>
      </c>
      <c r="F51" s="20">
        <f t="shared" si="58"/>
        <v>426.47</v>
      </c>
      <c r="G51" s="20">
        <f t="shared" si="58"/>
        <v>33498.9</v>
      </c>
      <c r="H51" s="20">
        <f t="shared" si="58"/>
        <v>254.67</v>
      </c>
      <c r="I51" s="20">
        <f t="shared" si="58"/>
        <v>745.68000000000006</v>
      </c>
      <c r="J51" s="20">
        <f t="shared" si="58"/>
        <v>0</v>
      </c>
      <c r="K51" s="20">
        <f t="shared" si="58"/>
        <v>373.78600000000006</v>
      </c>
      <c r="L51" s="20">
        <f t="shared" si="58"/>
        <v>156.72000000000003</v>
      </c>
      <c r="M51" s="20">
        <f t="shared" si="58"/>
        <v>0</v>
      </c>
      <c r="N51" s="20">
        <f t="shared" si="58"/>
        <v>92.13</v>
      </c>
      <c r="O51" s="20">
        <f t="shared" si="58"/>
        <v>0</v>
      </c>
      <c r="P51" s="20">
        <f t="shared" si="39"/>
        <v>0</v>
      </c>
      <c r="Q51" s="20">
        <f t="shared" si="51"/>
        <v>0</v>
      </c>
      <c r="R51" s="20">
        <f t="shared" si="51"/>
        <v>0</v>
      </c>
      <c r="S51" s="10">
        <f t="shared" si="40"/>
        <v>51412.964</v>
      </c>
      <c r="T51" s="1093">
        <f t="shared" si="41"/>
        <v>10597.791999999999</v>
      </c>
      <c r="U51" s="1093">
        <f t="shared" si="42"/>
        <v>3956.7040000000002</v>
      </c>
      <c r="V51" s="1093">
        <f t="shared" si="43"/>
        <v>1310.1120000000003</v>
      </c>
      <c r="W51" s="1093">
        <f t="shared" si="44"/>
        <v>426.47</v>
      </c>
      <c r="X51" s="1093">
        <f t="shared" si="45"/>
        <v>33498.9</v>
      </c>
      <c r="Y51" s="1093">
        <f t="shared" si="47"/>
        <v>1622.9859999999999</v>
      </c>
    </row>
    <row r="52" spans="2:25">
      <c r="B52" s="2" t="s">
        <v>99</v>
      </c>
      <c r="C52" s="20">
        <f t="shared" ref="C52:O52" si="59">C87*0.2</f>
        <v>58654.233999999997</v>
      </c>
      <c r="D52" s="20">
        <f t="shared" si="59"/>
        <v>21931.304000000004</v>
      </c>
      <c r="E52" s="20">
        <f t="shared" si="59"/>
        <v>6441.0240000000013</v>
      </c>
      <c r="F52" s="20">
        <f t="shared" si="59"/>
        <v>2964.7420000000002</v>
      </c>
      <c r="G52" s="20">
        <f t="shared" si="59"/>
        <v>79378.680000000008</v>
      </c>
      <c r="H52" s="20">
        <f t="shared" si="59"/>
        <v>1077.45</v>
      </c>
      <c r="I52" s="20">
        <f t="shared" si="59"/>
        <v>4593.6440000000002</v>
      </c>
      <c r="J52" s="20">
        <f t="shared" si="59"/>
        <v>0</v>
      </c>
      <c r="K52" s="20">
        <f t="shared" si="59"/>
        <v>2098.4119999999998</v>
      </c>
      <c r="L52" s="20">
        <f t="shared" si="59"/>
        <v>1077.45</v>
      </c>
      <c r="M52" s="20">
        <f t="shared" si="59"/>
        <v>39.180000000000007</v>
      </c>
      <c r="N52" s="20">
        <f t="shared" si="59"/>
        <v>0</v>
      </c>
      <c r="O52" s="20">
        <f t="shared" si="59"/>
        <v>0</v>
      </c>
      <c r="P52" s="20">
        <f t="shared" si="39"/>
        <v>0</v>
      </c>
      <c r="Q52" s="20">
        <f t="shared" si="51"/>
        <v>0</v>
      </c>
      <c r="R52" s="20">
        <f t="shared" si="51"/>
        <v>0</v>
      </c>
      <c r="S52" s="10">
        <f t="shared" si="40"/>
        <v>178256.12000000002</v>
      </c>
      <c r="T52" s="1093">
        <f t="shared" si="41"/>
        <v>58654.233999999997</v>
      </c>
      <c r="U52" s="1093">
        <f t="shared" si="42"/>
        <v>21931.304000000004</v>
      </c>
      <c r="V52" s="1093">
        <f t="shared" si="43"/>
        <v>6441.0240000000013</v>
      </c>
      <c r="W52" s="1093">
        <f t="shared" si="44"/>
        <v>2964.7420000000002</v>
      </c>
      <c r="X52" s="1093">
        <f t="shared" si="45"/>
        <v>79378.680000000008</v>
      </c>
      <c r="Y52" s="1093">
        <f t="shared" si="47"/>
        <v>8886.1360000000004</v>
      </c>
    </row>
    <row r="53" spans="2:25">
      <c r="B53" s="2" t="s">
        <v>100</v>
      </c>
      <c r="C53" s="20">
        <f t="shared" ref="C53:O53" si="60">C88*0.2</f>
        <v>10472.484</v>
      </c>
      <c r="D53" s="20">
        <f t="shared" si="60"/>
        <v>4056.7480000000005</v>
      </c>
      <c r="E53" s="20">
        <f t="shared" si="60"/>
        <v>1104.72</v>
      </c>
      <c r="F53" s="20">
        <f t="shared" si="60"/>
        <v>287.19800000000004</v>
      </c>
      <c r="G53" s="20">
        <f t="shared" si="60"/>
        <v>11205.480000000001</v>
      </c>
      <c r="H53" s="20">
        <f t="shared" si="60"/>
        <v>195.9</v>
      </c>
      <c r="I53" s="20">
        <f t="shared" si="60"/>
        <v>663.80600000000015</v>
      </c>
      <c r="J53" s="20">
        <f t="shared" si="60"/>
        <v>0</v>
      </c>
      <c r="K53" s="20">
        <f t="shared" si="60"/>
        <v>401.92200000000003</v>
      </c>
      <c r="L53" s="20">
        <f t="shared" si="60"/>
        <v>39.180000000000007</v>
      </c>
      <c r="M53" s="20">
        <f t="shared" si="60"/>
        <v>0</v>
      </c>
      <c r="N53" s="20">
        <f t="shared" si="60"/>
        <v>0</v>
      </c>
      <c r="O53" s="20">
        <f t="shared" si="60"/>
        <v>5.7140000000000004</v>
      </c>
      <c r="P53" s="20">
        <f t="shared" si="39"/>
        <v>0</v>
      </c>
      <c r="Q53" s="20">
        <f t="shared" si="51"/>
        <v>0</v>
      </c>
      <c r="R53" s="20">
        <f t="shared" si="51"/>
        <v>0</v>
      </c>
      <c r="S53" s="10">
        <f t="shared" si="40"/>
        <v>28433.152000000002</v>
      </c>
      <c r="T53" s="1093">
        <f t="shared" si="41"/>
        <v>10472.484</v>
      </c>
      <c r="U53" s="1093">
        <f t="shared" si="42"/>
        <v>4056.7480000000005</v>
      </c>
      <c r="V53" s="1093">
        <f t="shared" si="43"/>
        <v>1104.72</v>
      </c>
      <c r="W53" s="1093">
        <f t="shared" si="44"/>
        <v>287.19800000000004</v>
      </c>
      <c r="X53" s="1093">
        <f t="shared" si="45"/>
        <v>11205.480000000001</v>
      </c>
      <c r="Y53" s="1093">
        <f t="shared" si="47"/>
        <v>1306.5220000000002</v>
      </c>
    </row>
    <row r="54" spans="2:25">
      <c r="B54" s="2" t="s">
        <v>101</v>
      </c>
      <c r="C54" s="20">
        <f t="shared" ref="C54:O54" si="61">C89*0.2</f>
        <v>8678.1</v>
      </c>
      <c r="D54" s="20">
        <f t="shared" si="61"/>
        <v>2979.9340000000002</v>
      </c>
      <c r="E54" s="20">
        <f t="shared" si="61"/>
        <v>883.78</v>
      </c>
      <c r="F54" s="20">
        <f t="shared" si="61"/>
        <v>20.502000000000002</v>
      </c>
      <c r="G54" s="20">
        <f t="shared" si="61"/>
        <v>9990.9000000000015</v>
      </c>
      <c r="H54" s="20">
        <f t="shared" si="61"/>
        <v>0</v>
      </c>
      <c r="I54" s="20">
        <f t="shared" si="61"/>
        <v>500.17199999999997</v>
      </c>
      <c r="J54" s="20">
        <f t="shared" si="61"/>
        <v>0</v>
      </c>
      <c r="K54" s="20">
        <f t="shared" si="61"/>
        <v>292.786</v>
      </c>
      <c r="L54" s="20">
        <f t="shared" si="61"/>
        <v>39.180000000000007</v>
      </c>
      <c r="M54" s="20">
        <f t="shared" si="61"/>
        <v>0</v>
      </c>
      <c r="N54" s="20">
        <f t="shared" si="61"/>
        <v>0</v>
      </c>
      <c r="O54" s="20">
        <f t="shared" si="61"/>
        <v>11.428000000000001</v>
      </c>
      <c r="P54" s="20">
        <f t="shared" si="39"/>
        <v>0</v>
      </c>
      <c r="Q54" s="20">
        <f t="shared" si="51"/>
        <v>0</v>
      </c>
      <c r="R54" s="20">
        <f t="shared" si="51"/>
        <v>0</v>
      </c>
      <c r="S54" s="10">
        <f t="shared" si="40"/>
        <v>23396.781999999999</v>
      </c>
      <c r="T54" s="1093">
        <f t="shared" si="41"/>
        <v>8678.1</v>
      </c>
      <c r="U54" s="1093">
        <f t="shared" si="42"/>
        <v>2979.9340000000002</v>
      </c>
      <c r="V54" s="1093">
        <f t="shared" si="43"/>
        <v>883.78</v>
      </c>
      <c r="W54" s="1093">
        <f t="shared" si="44"/>
        <v>20.502000000000002</v>
      </c>
      <c r="X54" s="1093">
        <f t="shared" si="45"/>
        <v>9990.9000000000015</v>
      </c>
      <c r="Y54" s="1093">
        <f t="shared" si="47"/>
        <v>843.56599999999992</v>
      </c>
    </row>
    <row r="55" spans="2:25">
      <c r="B55" s="2" t="s">
        <v>102</v>
      </c>
      <c r="C55" s="20">
        <f t="shared" ref="C55:O55" si="62">C90*0.2</f>
        <v>53717.290000000008</v>
      </c>
      <c r="D55" s="20">
        <f t="shared" si="62"/>
        <v>16748.326000000001</v>
      </c>
      <c r="E55" s="20">
        <f t="shared" si="62"/>
        <v>12132.720000000001</v>
      </c>
      <c r="F55" s="20">
        <f t="shared" si="62"/>
        <v>4122.7380000000003</v>
      </c>
      <c r="G55" s="20">
        <f t="shared" si="62"/>
        <v>123083.97</v>
      </c>
      <c r="H55" s="20">
        <f t="shared" si="62"/>
        <v>1214.5800000000002</v>
      </c>
      <c r="I55" s="20">
        <f t="shared" si="62"/>
        <v>2913.1640000000002</v>
      </c>
      <c r="J55" s="20">
        <f t="shared" si="62"/>
        <v>228.56399999999999</v>
      </c>
      <c r="K55" s="20">
        <f t="shared" si="62"/>
        <v>1823.1400000000003</v>
      </c>
      <c r="L55" s="20">
        <f t="shared" si="62"/>
        <v>568.11</v>
      </c>
      <c r="M55" s="20">
        <f t="shared" si="62"/>
        <v>78.360000000000014</v>
      </c>
      <c r="N55" s="20">
        <f t="shared" si="62"/>
        <v>0</v>
      </c>
      <c r="O55" s="20">
        <f t="shared" si="62"/>
        <v>11.428000000000001</v>
      </c>
      <c r="P55" s="20">
        <f t="shared" si="39"/>
        <v>0</v>
      </c>
      <c r="Q55" s="20">
        <f t="shared" si="51"/>
        <v>0</v>
      </c>
      <c r="R55" s="20">
        <f t="shared" si="51"/>
        <v>0</v>
      </c>
      <c r="S55" s="10">
        <f t="shared" si="40"/>
        <v>216642.38999999998</v>
      </c>
      <c r="T55" s="1093">
        <f t="shared" si="41"/>
        <v>53717.290000000008</v>
      </c>
      <c r="U55" s="1093">
        <f t="shared" si="42"/>
        <v>16748.326000000001</v>
      </c>
      <c r="V55" s="1093">
        <f t="shared" si="43"/>
        <v>12132.720000000001</v>
      </c>
      <c r="W55" s="1093">
        <f t="shared" si="44"/>
        <v>4122.7380000000003</v>
      </c>
      <c r="X55" s="1093">
        <f t="shared" si="45"/>
        <v>123083.97</v>
      </c>
      <c r="Y55" s="1093">
        <f t="shared" si="47"/>
        <v>6837.3460000000005</v>
      </c>
    </row>
    <row r="56" spans="2:25">
      <c r="B56" s="2" t="s">
        <v>103</v>
      </c>
      <c r="C56" s="20">
        <f t="shared" ref="C56:O56" si="63">C91*0.2</f>
        <v>13130.014000000003</v>
      </c>
      <c r="D56" s="20">
        <f t="shared" si="63"/>
        <v>4230</v>
      </c>
      <c r="E56" s="20">
        <f t="shared" si="63"/>
        <v>1420.8960000000002</v>
      </c>
      <c r="F56" s="20">
        <f t="shared" si="63"/>
        <v>248.46</v>
      </c>
      <c r="G56" s="20">
        <f t="shared" si="63"/>
        <v>17180.43</v>
      </c>
      <c r="H56" s="20">
        <f t="shared" si="63"/>
        <v>137.13000000000002</v>
      </c>
      <c r="I56" s="20">
        <f t="shared" si="63"/>
        <v>722.5680000000001</v>
      </c>
      <c r="J56" s="20">
        <f t="shared" si="63"/>
        <v>113.71199999999999</v>
      </c>
      <c r="K56" s="20">
        <f t="shared" si="63"/>
        <v>584.53000000000009</v>
      </c>
      <c r="L56" s="20">
        <f t="shared" si="63"/>
        <v>97.95</v>
      </c>
      <c r="M56" s="20">
        <f t="shared" si="63"/>
        <v>0</v>
      </c>
      <c r="N56" s="20">
        <f t="shared" si="63"/>
        <v>0</v>
      </c>
      <c r="O56" s="20">
        <f t="shared" si="63"/>
        <v>11.428000000000001</v>
      </c>
      <c r="P56" s="20">
        <f t="shared" si="39"/>
        <v>0</v>
      </c>
      <c r="Q56" s="20">
        <f t="shared" si="51"/>
        <v>0</v>
      </c>
      <c r="R56" s="20">
        <f t="shared" si="51"/>
        <v>0</v>
      </c>
      <c r="S56" s="10">
        <f t="shared" si="40"/>
        <v>37877.117999999995</v>
      </c>
      <c r="T56" s="1093">
        <f t="shared" si="41"/>
        <v>13130.014000000003</v>
      </c>
      <c r="U56" s="1093">
        <f t="shared" si="42"/>
        <v>4230</v>
      </c>
      <c r="V56" s="1093">
        <f t="shared" si="43"/>
        <v>1420.8960000000002</v>
      </c>
      <c r="W56" s="1093">
        <f t="shared" si="44"/>
        <v>248.46</v>
      </c>
      <c r="X56" s="1093">
        <f t="shared" si="45"/>
        <v>17180.43</v>
      </c>
      <c r="Y56" s="1093">
        <f t="shared" si="47"/>
        <v>1667.3180000000002</v>
      </c>
    </row>
    <row r="57" spans="2:25">
      <c r="B57" s="2" t="s">
        <v>104</v>
      </c>
      <c r="C57" s="20">
        <f t="shared" ref="C57:O57" si="64">C92*0.2</f>
        <v>3665.382000000001</v>
      </c>
      <c r="D57" s="20">
        <f t="shared" si="64"/>
        <v>529.99799999999993</v>
      </c>
      <c r="E57" s="20">
        <f t="shared" si="64"/>
        <v>494.68599999999998</v>
      </c>
      <c r="F57" s="20">
        <f t="shared" si="64"/>
        <v>216.83800000000002</v>
      </c>
      <c r="G57" s="20">
        <f t="shared" si="64"/>
        <v>5720.2800000000007</v>
      </c>
      <c r="H57" s="20">
        <f t="shared" si="64"/>
        <v>78.360000000000014</v>
      </c>
      <c r="I57" s="20">
        <f t="shared" si="64"/>
        <v>76.504000000000005</v>
      </c>
      <c r="J57" s="20">
        <f t="shared" si="64"/>
        <v>0</v>
      </c>
      <c r="K57" s="20">
        <f t="shared" si="64"/>
        <v>102.12200000000001</v>
      </c>
      <c r="L57" s="20">
        <f t="shared" si="64"/>
        <v>0</v>
      </c>
      <c r="M57" s="20">
        <f t="shared" si="64"/>
        <v>0</v>
      </c>
      <c r="N57" s="20">
        <f t="shared" si="64"/>
        <v>0</v>
      </c>
      <c r="O57" s="20">
        <f t="shared" si="64"/>
        <v>0</v>
      </c>
      <c r="P57" s="20">
        <f t="shared" si="39"/>
        <v>0</v>
      </c>
      <c r="Q57" s="20">
        <f t="shared" si="51"/>
        <v>0</v>
      </c>
      <c r="R57" s="20">
        <f t="shared" si="51"/>
        <v>0</v>
      </c>
      <c r="S57" s="10">
        <f t="shared" si="40"/>
        <v>10884.170000000002</v>
      </c>
      <c r="T57" s="1093">
        <f t="shared" si="41"/>
        <v>3665.382000000001</v>
      </c>
      <c r="U57" s="1093">
        <f t="shared" si="42"/>
        <v>529.99799999999993</v>
      </c>
      <c r="V57" s="1093">
        <f t="shared" si="43"/>
        <v>494.68599999999998</v>
      </c>
      <c r="W57" s="1093">
        <f t="shared" si="44"/>
        <v>216.83800000000002</v>
      </c>
      <c r="X57" s="1093">
        <f t="shared" si="45"/>
        <v>5720.2800000000007</v>
      </c>
      <c r="Y57" s="1093">
        <f t="shared" si="47"/>
        <v>256.98600000000005</v>
      </c>
    </row>
    <row r="58" spans="2:25">
      <c r="B58" s="2" t="s">
        <v>105</v>
      </c>
      <c r="C58" s="20">
        <f t="shared" ref="C58:O58" si="65">C93*0.2</f>
        <v>58423.882000000012</v>
      </c>
      <c r="D58" s="20">
        <f t="shared" si="65"/>
        <v>15938.468000000001</v>
      </c>
      <c r="E58" s="20">
        <f t="shared" si="65"/>
        <v>8586.6560000000009</v>
      </c>
      <c r="F58" s="20">
        <f t="shared" si="65"/>
        <v>1723.1880000000001</v>
      </c>
      <c r="G58" s="20">
        <f t="shared" si="65"/>
        <v>58319.430000000008</v>
      </c>
      <c r="H58" s="20">
        <f t="shared" si="65"/>
        <v>1997.5419999999999</v>
      </c>
      <c r="I58" s="20">
        <f t="shared" si="65"/>
        <v>3559.4320000000002</v>
      </c>
      <c r="J58" s="20">
        <f t="shared" si="65"/>
        <v>122.89800000000001</v>
      </c>
      <c r="K58" s="20">
        <f t="shared" si="65"/>
        <v>1555.1679999999999</v>
      </c>
      <c r="L58" s="20">
        <f t="shared" si="65"/>
        <v>568.11</v>
      </c>
      <c r="M58" s="20">
        <f t="shared" si="65"/>
        <v>0</v>
      </c>
      <c r="N58" s="20">
        <f t="shared" si="65"/>
        <v>0</v>
      </c>
      <c r="O58" s="20">
        <f t="shared" si="65"/>
        <v>28.57</v>
      </c>
      <c r="P58" s="20">
        <f t="shared" si="39"/>
        <v>0</v>
      </c>
      <c r="Q58" s="20">
        <f t="shared" si="51"/>
        <v>0</v>
      </c>
      <c r="R58" s="20">
        <f t="shared" si="51"/>
        <v>0</v>
      </c>
      <c r="S58" s="10">
        <f t="shared" si="40"/>
        <v>150823.34399999998</v>
      </c>
      <c r="T58" s="1093">
        <f t="shared" si="41"/>
        <v>58423.882000000012</v>
      </c>
      <c r="U58" s="1093">
        <f t="shared" si="42"/>
        <v>15938.468000000001</v>
      </c>
      <c r="V58" s="1093">
        <f t="shared" si="43"/>
        <v>8586.6560000000009</v>
      </c>
      <c r="W58" s="1093">
        <f t="shared" si="44"/>
        <v>1723.1880000000001</v>
      </c>
      <c r="X58" s="1093">
        <f t="shared" si="45"/>
        <v>58319.430000000008</v>
      </c>
      <c r="Y58" s="1093">
        <f t="shared" si="47"/>
        <v>7831.7199999999993</v>
      </c>
    </row>
    <row r="59" spans="2:25">
      <c r="B59" s="2" t="s">
        <v>106</v>
      </c>
      <c r="C59" s="20">
        <f t="shared" ref="C59:O59" si="66">C94*0.2</f>
        <v>7532.4279999999999</v>
      </c>
      <c r="D59" s="20">
        <f t="shared" si="66"/>
        <v>4155.6040000000003</v>
      </c>
      <c r="E59" s="20">
        <f t="shared" si="66"/>
        <v>561.88400000000001</v>
      </c>
      <c r="F59" s="20">
        <f t="shared" si="66"/>
        <v>204.39000000000001</v>
      </c>
      <c r="G59" s="20">
        <f t="shared" si="66"/>
        <v>9324.84</v>
      </c>
      <c r="H59" s="20">
        <f t="shared" si="66"/>
        <v>215.49</v>
      </c>
      <c r="I59" s="20">
        <f t="shared" si="66"/>
        <v>710.27600000000007</v>
      </c>
      <c r="J59" s="20">
        <f t="shared" si="66"/>
        <v>0</v>
      </c>
      <c r="K59" s="20">
        <f t="shared" si="66"/>
        <v>366.82200000000006</v>
      </c>
      <c r="L59" s="20">
        <f t="shared" si="66"/>
        <v>19.590000000000003</v>
      </c>
      <c r="M59" s="20">
        <f t="shared" si="66"/>
        <v>0</v>
      </c>
      <c r="N59" s="20">
        <f t="shared" si="66"/>
        <v>0</v>
      </c>
      <c r="O59" s="20">
        <f t="shared" si="66"/>
        <v>0</v>
      </c>
      <c r="P59" s="20">
        <f t="shared" si="39"/>
        <v>0</v>
      </c>
      <c r="Q59" s="20">
        <f t="shared" si="51"/>
        <v>0</v>
      </c>
      <c r="R59" s="20">
        <f t="shared" si="51"/>
        <v>0</v>
      </c>
      <c r="S59" s="10">
        <f t="shared" si="40"/>
        <v>23091.324000000004</v>
      </c>
      <c r="T59" s="1093">
        <f t="shared" si="41"/>
        <v>7532.4279999999999</v>
      </c>
      <c r="U59" s="1093">
        <f t="shared" si="42"/>
        <v>4155.6040000000003</v>
      </c>
      <c r="V59" s="1093">
        <f t="shared" si="43"/>
        <v>561.88400000000001</v>
      </c>
      <c r="W59" s="1093">
        <f t="shared" si="44"/>
        <v>204.39000000000001</v>
      </c>
      <c r="X59" s="1093">
        <f t="shared" si="45"/>
        <v>9324.84</v>
      </c>
      <c r="Y59" s="1093">
        <f t="shared" si="47"/>
        <v>1312.1780000000001</v>
      </c>
    </row>
    <row r="60" spans="2:25">
      <c r="B60" s="2" t="s">
        <v>107</v>
      </c>
      <c r="C60" s="20">
        <f t="shared" ref="C60:O60" si="67">C95*0.2</f>
        <v>64196.878000000004</v>
      </c>
      <c r="D60" s="20">
        <f t="shared" si="67"/>
        <v>14736.018</v>
      </c>
      <c r="E60" s="20">
        <f t="shared" si="67"/>
        <v>9306.7919999999995</v>
      </c>
      <c r="F60" s="20">
        <f t="shared" si="67"/>
        <v>3176.1759999999999</v>
      </c>
      <c r="G60" s="20">
        <f t="shared" si="67"/>
        <v>131801.51999999999</v>
      </c>
      <c r="H60" s="20">
        <f t="shared" si="67"/>
        <v>764.0100000000001</v>
      </c>
      <c r="I60" s="20">
        <f t="shared" si="67"/>
        <v>2518.5300000000002</v>
      </c>
      <c r="J60" s="20">
        <f t="shared" si="67"/>
        <v>223.66399999999999</v>
      </c>
      <c r="K60" s="20">
        <f t="shared" si="67"/>
        <v>1521.0619999999999</v>
      </c>
      <c r="L60" s="20">
        <f t="shared" si="67"/>
        <v>430.98</v>
      </c>
      <c r="M60" s="20">
        <f t="shared" si="67"/>
        <v>39.180000000000007</v>
      </c>
      <c r="N60" s="20">
        <f t="shared" si="67"/>
        <v>0</v>
      </c>
      <c r="O60" s="20">
        <f t="shared" si="67"/>
        <v>39.998000000000005</v>
      </c>
      <c r="P60" s="20">
        <f t="shared" si="39"/>
        <v>0</v>
      </c>
      <c r="Q60" s="20">
        <f t="shared" si="51"/>
        <v>0</v>
      </c>
      <c r="R60" s="20">
        <f t="shared" si="51"/>
        <v>0</v>
      </c>
      <c r="S60" s="10">
        <f t="shared" si="40"/>
        <v>228754.80800000002</v>
      </c>
      <c r="T60" s="1093">
        <f t="shared" si="41"/>
        <v>64196.878000000004</v>
      </c>
      <c r="U60" s="1093">
        <f t="shared" si="42"/>
        <v>14736.018</v>
      </c>
      <c r="V60" s="1093">
        <f t="shared" si="43"/>
        <v>9306.7919999999995</v>
      </c>
      <c r="W60" s="1093">
        <f t="shared" si="44"/>
        <v>3176.1759999999999</v>
      </c>
      <c r="X60" s="1093">
        <f t="shared" si="45"/>
        <v>131801.51999999999</v>
      </c>
      <c r="Y60" s="1093">
        <f t="shared" si="47"/>
        <v>5537.4240000000009</v>
      </c>
    </row>
    <row r="61" spans="2:25">
      <c r="B61" s="2" t="s">
        <v>108</v>
      </c>
      <c r="C61" s="20">
        <f t="shared" ref="C61:O61" si="68">C96*0.2</f>
        <v>5193.2380000000012</v>
      </c>
      <c r="D61" s="20">
        <f t="shared" si="68"/>
        <v>1404.444</v>
      </c>
      <c r="E61" s="20">
        <f t="shared" si="68"/>
        <v>691.40400000000011</v>
      </c>
      <c r="F61" s="20">
        <f t="shared" si="68"/>
        <v>238.09800000000001</v>
      </c>
      <c r="G61" s="20">
        <f t="shared" si="68"/>
        <v>16690.68</v>
      </c>
      <c r="H61" s="20">
        <f t="shared" si="68"/>
        <v>333.03000000000003</v>
      </c>
      <c r="I61" s="20">
        <f t="shared" si="68"/>
        <v>193.96</v>
      </c>
      <c r="J61" s="20">
        <f t="shared" si="68"/>
        <v>0</v>
      </c>
      <c r="K61" s="20">
        <f t="shared" si="68"/>
        <v>188.02800000000002</v>
      </c>
      <c r="L61" s="20">
        <f t="shared" si="68"/>
        <v>97.95</v>
      </c>
      <c r="M61" s="20">
        <f t="shared" si="68"/>
        <v>0</v>
      </c>
      <c r="N61" s="20">
        <f t="shared" si="68"/>
        <v>0</v>
      </c>
      <c r="O61" s="20">
        <f t="shared" si="68"/>
        <v>5.7140000000000004</v>
      </c>
      <c r="P61" s="20">
        <f t="shared" si="39"/>
        <v>0</v>
      </c>
      <c r="Q61" s="20">
        <f t="shared" si="51"/>
        <v>8.5180000000000007</v>
      </c>
      <c r="R61" s="20">
        <f t="shared" si="51"/>
        <v>156.90800000000002</v>
      </c>
      <c r="S61" s="10">
        <f t="shared" si="40"/>
        <v>25201.971999999998</v>
      </c>
      <c r="T61" s="1093">
        <f t="shared" si="41"/>
        <v>5193.2380000000012</v>
      </c>
      <c r="U61" s="1093">
        <f t="shared" si="42"/>
        <v>1404.444</v>
      </c>
      <c r="V61" s="1093">
        <f t="shared" si="43"/>
        <v>691.40400000000011</v>
      </c>
      <c r="W61" s="1093">
        <f t="shared" si="44"/>
        <v>238.09800000000001</v>
      </c>
      <c r="X61" s="1093">
        <f t="shared" si="45"/>
        <v>16690.68</v>
      </c>
      <c r="Y61" s="1093">
        <f t="shared" si="47"/>
        <v>984.10800000000017</v>
      </c>
    </row>
    <row r="62" spans="2:25">
      <c r="B62" s="2" t="s">
        <v>109</v>
      </c>
      <c r="C62" s="20">
        <f t="shared" ref="C62:O62" si="69">C97*0.2</f>
        <v>280.94399999999996</v>
      </c>
      <c r="D62" s="20">
        <f t="shared" si="69"/>
        <v>100.22000000000001</v>
      </c>
      <c r="E62" s="20">
        <f t="shared" si="69"/>
        <v>22.856000000000009</v>
      </c>
      <c r="F62" s="20">
        <f t="shared" si="69"/>
        <v>66.338000000000008</v>
      </c>
      <c r="G62" s="20">
        <f t="shared" si="69"/>
        <v>1410.48</v>
      </c>
      <c r="H62" s="20">
        <f t="shared" si="69"/>
        <v>19.590000000000003</v>
      </c>
      <c r="I62" s="20">
        <f t="shared" si="69"/>
        <v>18.122000000000003</v>
      </c>
      <c r="J62" s="20">
        <f t="shared" si="69"/>
        <v>0</v>
      </c>
      <c r="K62" s="20">
        <f t="shared" si="69"/>
        <v>14.084000000000001</v>
      </c>
      <c r="L62" s="20">
        <f t="shared" si="69"/>
        <v>0</v>
      </c>
      <c r="M62" s="20">
        <f t="shared" si="69"/>
        <v>0</v>
      </c>
      <c r="N62" s="20">
        <f t="shared" si="69"/>
        <v>0</v>
      </c>
      <c r="O62" s="20">
        <f t="shared" si="69"/>
        <v>0</v>
      </c>
      <c r="P62" s="20">
        <f t="shared" si="39"/>
        <v>0</v>
      </c>
      <c r="Q62" s="20">
        <f t="shared" si="51"/>
        <v>0</v>
      </c>
      <c r="R62" s="20">
        <f t="shared" si="51"/>
        <v>0</v>
      </c>
      <c r="S62" s="10">
        <f t="shared" si="40"/>
        <v>1932.634</v>
      </c>
      <c r="T62" s="1093">
        <f t="shared" si="41"/>
        <v>280.94399999999996</v>
      </c>
      <c r="U62" s="1093">
        <f t="shared" si="42"/>
        <v>100.22000000000001</v>
      </c>
      <c r="V62" s="1093">
        <f t="shared" si="43"/>
        <v>22.856000000000009</v>
      </c>
      <c r="W62" s="1093">
        <f t="shared" si="44"/>
        <v>66.338000000000008</v>
      </c>
      <c r="X62" s="1093">
        <f t="shared" si="45"/>
        <v>1410.48</v>
      </c>
      <c r="Y62" s="1093">
        <f t="shared" si="47"/>
        <v>51.796000000000006</v>
      </c>
    </row>
    <row r="63" spans="2:25">
      <c r="B63" s="2" t="s">
        <v>110</v>
      </c>
      <c r="C63" s="20">
        <f t="shared" ref="C63:O63" si="70">C98*0.2</f>
        <v>45824.666000000005</v>
      </c>
      <c r="D63" s="20">
        <f t="shared" si="70"/>
        <v>6579.0540000000001</v>
      </c>
      <c r="E63" s="20">
        <f t="shared" si="70"/>
        <v>7222.5920000000006</v>
      </c>
      <c r="F63" s="20">
        <f t="shared" si="70"/>
        <v>1165.4100000000001</v>
      </c>
      <c r="G63" s="20">
        <f t="shared" si="70"/>
        <v>88233.36</v>
      </c>
      <c r="H63" s="20">
        <f t="shared" si="70"/>
        <v>842.37000000000012</v>
      </c>
      <c r="I63" s="20">
        <f t="shared" si="70"/>
        <v>1010.4260000000003</v>
      </c>
      <c r="J63" s="20">
        <f t="shared" si="70"/>
        <v>533.78000000000009</v>
      </c>
      <c r="K63" s="20">
        <f t="shared" si="70"/>
        <v>929.89800000000002</v>
      </c>
      <c r="L63" s="20">
        <f t="shared" si="70"/>
        <v>313.44000000000005</v>
      </c>
      <c r="M63" s="20">
        <f t="shared" si="70"/>
        <v>39.180000000000007</v>
      </c>
      <c r="N63" s="20">
        <f t="shared" si="70"/>
        <v>0</v>
      </c>
      <c r="O63" s="20">
        <f t="shared" si="70"/>
        <v>28.57</v>
      </c>
      <c r="P63" s="20">
        <f t="shared" si="39"/>
        <v>0</v>
      </c>
      <c r="Q63" s="20">
        <f t="shared" si="51"/>
        <v>0</v>
      </c>
      <c r="R63" s="20">
        <f t="shared" si="51"/>
        <v>0</v>
      </c>
      <c r="S63" s="10">
        <f t="shared" si="40"/>
        <v>152722.74599999998</v>
      </c>
      <c r="T63" s="1093">
        <f t="shared" si="41"/>
        <v>45824.666000000005</v>
      </c>
      <c r="U63" s="1093">
        <f t="shared" si="42"/>
        <v>6579.0540000000001</v>
      </c>
      <c r="V63" s="1093">
        <f t="shared" si="43"/>
        <v>7222.5920000000006</v>
      </c>
      <c r="W63" s="1093">
        <f t="shared" si="44"/>
        <v>1165.4100000000001</v>
      </c>
      <c r="X63" s="1093">
        <f t="shared" si="45"/>
        <v>88233.36</v>
      </c>
      <c r="Y63" s="1093">
        <f t="shared" si="47"/>
        <v>3697.6640000000007</v>
      </c>
    </row>
    <row r="64" spans="2:25">
      <c r="B64" s="2" t="s">
        <v>111</v>
      </c>
      <c r="C64" s="20">
        <f t="shared" ref="C64:O64" si="71">C99*0.2</f>
        <v>229317.136</v>
      </c>
      <c r="D64" s="20">
        <f t="shared" si="71"/>
        <v>67673.31200000002</v>
      </c>
      <c r="E64" s="20">
        <f t="shared" si="71"/>
        <v>25866.486000000001</v>
      </c>
      <c r="F64" s="20">
        <f t="shared" si="71"/>
        <v>10457.012000000002</v>
      </c>
      <c r="G64" s="20">
        <f t="shared" si="71"/>
        <v>427708.47000000003</v>
      </c>
      <c r="H64" s="20">
        <f t="shared" si="71"/>
        <v>3565.3799999999997</v>
      </c>
      <c r="I64" s="20">
        <f t="shared" si="71"/>
        <v>16457.034000000003</v>
      </c>
      <c r="J64" s="20">
        <f t="shared" si="71"/>
        <v>0</v>
      </c>
      <c r="K64" s="20">
        <f t="shared" si="71"/>
        <v>5754.0879999999997</v>
      </c>
      <c r="L64" s="20">
        <f t="shared" si="71"/>
        <v>1488.8400000000001</v>
      </c>
      <c r="M64" s="20">
        <f t="shared" si="71"/>
        <v>78.360000000000014</v>
      </c>
      <c r="N64" s="20">
        <f t="shared" si="71"/>
        <v>0</v>
      </c>
      <c r="O64" s="20">
        <f t="shared" si="71"/>
        <v>171.42000000000002</v>
      </c>
      <c r="P64" s="20">
        <f t="shared" si="39"/>
        <v>0</v>
      </c>
      <c r="Q64" s="20">
        <v>0</v>
      </c>
      <c r="R64" s="20">
        <v>0</v>
      </c>
      <c r="S64" s="10">
        <f t="shared" si="40"/>
        <v>788537.53799999994</v>
      </c>
      <c r="T64" s="1093">
        <f t="shared" si="41"/>
        <v>229317.136</v>
      </c>
      <c r="U64" s="1093">
        <f t="shared" si="42"/>
        <v>67673.31200000002</v>
      </c>
      <c r="V64" s="1093">
        <f t="shared" si="43"/>
        <v>25866.486000000001</v>
      </c>
      <c r="W64" s="1093">
        <f t="shared" si="44"/>
        <v>10457.012000000002</v>
      </c>
      <c r="X64" s="1093">
        <f t="shared" si="45"/>
        <v>427708.47000000003</v>
      </c>
      <c r="Y64" s="1093">
        <f t="shared" si="47"/>
        <v>27515.122000000003</v>
      </c>
    </row>
    <row r="65" spans="2:25">
      <c r="B65" s="2" t="s">
        <v>112</v>
      </c>
      <c r="C65" s="20">
        <f t="shared" ref="C65:O65" si="72">C100*0.2</f>
        <v>6059.78</v>
      </c>
      <c r="D65" s="20">
        <f t="shared" si="72"/>
        <v>2510.8540000000003</v>
      </c>
      <c r="E65" s="20">
        <f t="shared" si="72"/>
        <v>289.51400000000001</v>
      </c>
      <c r="F65" s="20">
        <f t="shared" si="72"/>
        <v>322.03200000000004</v>
      </c>
      <c r="G65" s="20">
        <f t="shared" si="72"/>
        <v>9128.94</v>
      </c>
      <c r="H65" s="20">
        <f t="shared" si="72"/>
        <v>215.49</v>
      </c>
      <c r="I65" s="20">
        <f t="shared" si="72"/>
        <v>275.29200000000003</v>
      </c>
      <c r="J65" s="20">
        <f t="shared" si="72"/>
        <v>0</v>
      </c>
      <c r="K65" s="20">
        <f t="shared" si="72"/>
        <v>382.33200000000005</v>
      </c>
      <c r="L65" s="20">
        <f t="shared" si="72"/>
        <v>0</v>
      </c>
      <c r="M65" s="20">
        <f t="shared" si="72"/>
        <v>0</v>
      </c>
      <c r="N65" s="20">
        <f t="shared" si="72"/>
        <v>0</v>
      </c>
      <c r="O65" s="20">
        <f t="shared" si="72"/>
        <v>0</v>
      </c>
      <c r="P65" s="20">
        <f t="shared" si="39"/>
        <v>0</v>
      </c>
      <c r="Q65" s="20">
        <f>Q100*0.2</f>
        <v>0</v>
      </c>
      <c r="R65" s="20">
        <f>R100*0.2</f>
        <v>0</v>
      </c>
      <c r="S65" s="10">
        <f t="shared" si="40"/>
        <v>19184.234</v>
      </c>
      <c r="T65" s="1093">
        <f t="shared" si="41"/>
        <v>6059.78</v>
      </c>
      <c r="U65" s="1093">
        <f t="shared" si="42"/>
        <v>2510.8540000000003</v>
      </c>
      <c r="V65" s="1093">
        <f t="shared" si="43"/>
        <v>289.51400000000001</v>
      </c>
      <c r="W65" s="1093">
        <f t="shared" si="44"/>
        <v>322.03200000000004</v>
      </c>
      <c r="X65" s="1093">
        <f t="shared" si="45"/>
        <v>9128.94</v>
      </c>
      <c r="Y65" s="1093">
        <f t="shared" si="47"/>
        <v>873.11400000000003</v>
      </c>
    </row>
    <row r="66" spans="2:25">
      <c r="B66" s="2" t="s">
        <v>113</v>
      </c>
      <c r="C66" s="20">
        <f t="shared" ref="C66:O66" si="73">C101*0.2</f>
        <v>3441.4580000000005</v>
      </c>
      <c r="D66" s="20">
        <f t="shared" si="73"/>
        <v>1595.4639999999999</v>
      </c>
      <c r="E66" s="20">
        <f t="shared" si="73"/>
        <v>512.36200000000008</v>
      </c>
      <c r="F66" s="20">
        <f t="shared" si="73"/>
        <v>413.28199999999998</v>
      </c>
      <c r="G66" s="20">
        <f t="shared" si="73"/>
        <v>7150.35</v>
      </c>
      <c r="H66" s="20">
        <f t="shared" si="73"/>
        <v>352.62</v>
      </c>
      <c r="I66" s="20">
        <f t="shared" si="73"/>
        <v>214.39400000000001</v>
      </c>
      <c r="J66" s="20">
        <f t="shared" si="73"/>
        <v>0</v>
      </c>
      <c r="K66" s="20">
        <f t="shared" si="73"/>
        <v>176.708</v>
      </c>
      <c r="L66" s="20">
        <f t="shared" si="73"/>
        <v>117.54000000000002</v>
      </c>
      <c r="M66" s="20">
        <f t="shared" si="73"/>
        <v>0</v>
      </c>
      <c r="N66" s="20">
        <f t="shared" si="73"/>
        <v>0</v>
      </c>
      <c r="O66" s="20">
        <f t="shared" si="73"/>
        <v>5.7140000000000004</v>
      </c>
      <c r="P66" s="20">
        <f t="shared" si="39"/>
        <v>0</v>
      </c>
      <c r="Q66" s="20">
        <f>Q101*0.2</f>
        <v>0</v>
      </c>
      <c r="R66" s="20">
        <f>R101*0.2</f>
        <v>0</v>
      </c>
      <c r="S66" s="10">
        <f t="shared" si="40"/>
        <v>13979.892000000003</v>
      </c>
      <c r="T66" s="1093">
        <f t="shared" si="41"/>
        <v>3441.4580000000005</v>
      </c>
      <c r="U66" s="1093">
        <f t="shared" si="42"/>
        <v>1595.4639999999999</v>
      </c>
      <c r="V66" s="1093">
        <f t="shared" si="43"/>
        <v>512.36200000000008</v>
      </c>
      <c r="W66" s="1093">
        <f t="shared" si="44"/>
        <v>413.28199999999998</v>
      </c>
      <c r="X66" s="1093">
        <f t="shared" si="45"/>
        <v>7150.35</v>
      </c>
      <c r="Y66" s="1093">
        <f t="shared" si="47"/>
        <v>866.976</v>
      </c>
    </row>
    <row r="67" spans="2:25">
      <c r="B67" s="7" t="s">
        <v>37</v>
      </c>
      <c r="C67" s="8">
        <f t="shared" ref="C67:T67" si="74">SUM(C40:C66)</f>
        <v>703694.44000000006</v>
      </c>
      <c r="D67" s="8">
        <f t="shared" si="74"/>
        <v>210930.84600000005</v>
      </c>
      <c r="E67" s="8">
        <f t="shared" si="74"/>
        <v>89868.82</v>
      </c>
      <c r="F67" s="8">
        <f t="shared" si="74"/>
        <v>28989.894</v>
      </c>
      <c r="G67" s="8">
        <f t="shared" si="74"/>
        <v>1247118.99</v>
      </c>
      <c r="H67" s="8">
        <f t="shared" si="74"/>
        <v>15141.162</v>
      </c>
      <c r="I67" s="8">
        <f t="shared" si="74"/>
        <v>42184.282000000007</v>
      </c>
      <c r="J67" s="8">
        <f t="shared" si="74"/>
        <v>3094.65</v>
      </c>
      <c r="K67" s="8">
        <f t="shared" si="74"/>
        <v>21286.483999999997</v>
      </c>
      <c r="L67" s="8">
        <f t="shared" si="74"/>
        <v>6053.31</v>
      </c>
      <c r="M67" s="8">
        <f t="shared" si="74"/>
        <v>352.62000000000006</v>
      </c>
      <c r="N67" s="8">
        <f t="shared" si="74"/>
        <v>170.25799999999998</v>
      </c>
      <c r="O67" s="8">
        <f t="shared" si="74"/>
        <v>354.26800000000003</v>
      </c>
      <c r="P67" s="8">
        <f t="shared" ref="P67" si="75">SUM(P40:P66)</f>
        <v>0</v>
      </c>
      <c r="Q67" s="8">
        <f t="shared" si="74"/>
        <v>8.5180000000000007</v>
      </c>
      <c r="R67" s="8">
        <f t="shared" si="74"/>
        <v>156.90800000000002</v>
      </c>
      <c r="S67" s="11">
        <f t="shared" si="74"/>
        <v>2369405.4500000002</v>
      </c>
      <c r="T67" s="1093">
        <f t="shared" si="74"/>
        <v>703694.44000000006</v>
      </c>
      <c r="U67" s="1093">
        <f t="shared" ref="U67:Y67" si="76">SUM(U40:U66)</f>
        <v>210930.84600000005</v>
      </c>
      <c r="V67" s="1093">
        <f t="shared" si="76"/>
        <v>89868.82</v>
      </c>
      <c r="W67" s="1093">
        <f t="shared" si="76"/>
        <v>28989.894</v>
      </c>
      <c r="X67" s="1093">
        <f t="shared" si="76"/>
        <v>1247118.99</v>
      </c>
      <c r="Y67" s="1093">
        <f t="shared" si="76"/>
        <v>88802.46</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11650.390000000001</v>
      </c>
      <c r="D75" s="20">
        <v>2393.89</v>
      </c>
      <c r="E75" s="20">
        <v>1923.7400000000002</v>
      </c>
      <c r="F75" s="20">
        <v>369.37</v>
      </c>
      <c r="G75" s="20">
        <v>16455.599999999999</v>
      </c>
      <c r="H75" s="20">
        <v>2350.8000000000002</v>
      </c>
      <c r="I75" s="20">
        <v>333.03000000000003</v>
      </c>
      <c r="J75" s="20">
        <v>0</v>
      </c>
      <c r="K75" s="20">
        <v>295.14</v>
      </c>
      <c r="L75" s="20">
        <v>685.65</v>
      </c>
      <c r="M75" s="20">
        <v>0</v>
      </c>
      <c r="N75" s="20">
        <v>0</v>
      </c>
      <c r="O75" s="20">
        <v>0</v>
      </c>
      <c r="P75" s="20">
        <v>0</v>
      </c>
      <c r="Q75" s="20">
        <v>0</v>
      </c>
      <c r="R75" s="20">
        <v>0</v>
      </c>
      <c r="S75" s="10">
        <f t="shared" ref="S75:S101" si="77">SUM(C75:R75)</f>
        <v>36457.61</v>
      </c>
      <c r="T75" s="1093">
        <f t="shared" ref="T75:T101" si="78">C75</f>
        <v>11650.390000000001</v>
      </c>
      <c r="U75" s="1093">
        <f t="shared" ref="U75:U101" si="79">D75</f>
        <v>2393.89</v>
      </c>
      <c r="V75" s="1093">
        <f t="shared" ref="V75:V101" si="80">E75</f>
        <v>1923.7400000000002</v>
      </c>
      <c r="W75" s="1093">
        <f t="shared" ref="W75:W101" si="81">F75</f>
        <v>369.37</v>
      </c>
      <c r="X75" s="1093">
        <f t="shared" ref="X75:X101" si="82">G75</f>
        <v>16455.599999999999</v>
      </c>
      <c r="Y75" s="1093">
        <f>SUM(H75:R75)</f>
        <v>3664.6200000000003</v>
      </c>
    </row>
    <row r="76" spans="2:25">
      <c r="B76" s="2" t="s">
        <v>88</v>
      </c>
      <c r="C76" s="20">
        <v>27873.699999999997</v>
      </c>
      <c r="D76" s="20">
        <v>13742.92</v>
      </c>
      <c r="E76" s="20">
        <v>228.56</v>
      </c>
      <c r="F76" s="20">
        <v>371.8</v>
      </c>
      <c r="G76" s="20">
        <v>43000.05</v>
      </c>
      <c r="H76" s="20">
        <v>293.85000000000002</v>
      </c>
      <c r="I76" s="20">
        <v>2681.67</v>
      </c>
      <c r="J76" s="20">
        <v>0</v>
      </c>
      <c r="K76" s="20">
        <v>1581.46</v>
      </c>
      <c r="L76" s="20">
        <v>0</v>
      </c>
      <c r="M76" s="20">
        <v>0</v>
      </c>
      <c r="N76" s="20">
        <v>0</v>
      </c>
      <c r="O76" s="20">
        <v>0</v>
      </c>
      <c r="P76" s="20">
        <v>0</v>
      </c>
      <c r="Q76" s="20">
        <v>0</v>
      </c>
      <c r="R76" s="20">
        <v>0</v>
      </c>
      <c r="S76" s="10">
        <f t="shared" si="77"/>
        <v>89774.010000000009</v>
      </c>
      <c r="T76" s="1093">
        <f t="shared" si="78"/>
        <v>27873.699999999997</v>
      </c>
      <c r="U76" s="1093">
        <f t="shared" si="79"/>
        <v>13742.92</v>
      </c>
      <c r="V76" s="1093">
        <f t="shared" si="80"/>
        <v>228.56</v>
      </c>
      <c r="W76" s="1093">
        <f t="shared" si="81"/>
        <v>371.8</v>
      </c>
      <c r="X76" s="1093">
        <f t="shared" si="82"/>
        <v>43000.05</v>
      </c>
      <c r="Y76" s="1093">
        <f t="shared" ref="Y76:Y100" si="83">SUM(H76:R76)</f>
        <v>4556.9799999999996</v>
      </c>
    </row>
    <row r="77" spans="2:25">
      <c r="B77" s="2" t="s">
        <v>89</v>
      </c>
      <c r="C77" s="20">
        <v>14112.679999999997</v>
      </c>
      <c r="D77" s="20">
        <v>4705.2700000000004</v>
      </c>
      <c r="E77" s="20">
        <v>3546.0299999999997</v>
      </c>
      <c r="F77" s="20">
        <v>544.54</v>
      </c>
      <c r="G77" s="20">
        <v>18610.5</v>
      </c>
      <c r="H77" s="20">
        <v>293.85000000000002</v>
      </c>
      <c r="I77" s="20">
        <v>636.08000000000004</v>
      </c>
      <c r="J77" s="20">
        <v>0</v>
      </c>
      <c r="K77" s="20">
        <v>695.06000000000006</v>
      </c>
      <c r="L77" s="20">
        <v>489.75</v>
      </c>
      <c r="M77" s="20">
        <v>0</v>
      </c>
      <c r="N77" s="20">
        <v>0</v>
      </c>
      <c r="O77" s="20">
        <v>28.57</v>
      </c>
      <c r="P77" s="20">
        <v>0</v>
      </c>
      <c r="Q77" s="20">
        <v>0</v>
      </c>
      <c r="R77" s="20">
        <v>0</v>
      </c>
      <c r="S77" s="10">
        <f t="shared" si="77"/>
        <v>43662.329999999994</v>
      </c>
      <c r="T77" s="1093">
        <f t="shared" si="78"/>
        <v>14112.679999999997</v>
      </c>
      <c r="U77" s="1093">
        <f t="shared" si="79"/>
        <v>4705.2700000000004</v>
      </c>
      <c r="V77" s="1093">
        <f t="shared" si="80"/>
        <v>3546.0299999999997</v>
      </c>
      <c r="W77" s="1093">
        <f t="shared" si="81"/>
        <v>544.54</v>
      </c>
      <c r="X77" s="1093">
        <f t="shared" si="82"/>
        <v>18610.5</v>
      </c>
      <c r="Y77" s="1093">
        <f t="shared" si="83"/>
        <v>2143.3100000000004</v>
      </c>
    </row>
    <row r="78" spans="2:25">
      <c r="B78" s="2" t="s">
        <v>90</v>
      </c>
      <c r="C78" s="20">
        <v>44289.719999999987</v>
      </c>
      <c r="D78" s="20">
        <v>23655.64</v>
      </c>
      <c r="E78" s="20">
        <v>3371.31</v>
      </c>
      <c r="F78" s="20">
        <v>0</v>
      </c>
      <c r="G78" s="20">
        <v>46428.3</v>
      </c>
      <c r="H78" s="20">
        <v>979.5</v>
      </c>
      <c r="I78" s="20">
        <v>3644.52</v>
      </c>
      <c r="J78" s="20">
        <v>0</v>
      </c>
      <c r="K78" s="20">
        <v>2920.14</v>
      </c>
      <c r="L78" s="20">
        <v>587.70000000000005</v>
      </c>
      <c r="M78" s="20">
        <v>0</v>
      </c>
      <c r="N78" s="20">
        <v>390.64</v>
      </c>
      <c r="O78" s="20">
        <v>0</v>
      </c>
      <c r="P78" s="20">
        <v>0</v>
      </c>
      <c r="Q78" s="20">
        <v>23.32</v>
      </c>
      <c r="R78" s="20">
        <v>233.22</v>
      </c>
      <c r="S78" s="10">
        <f t="shared" si="77"/>
        <v>126524.01</v>
      </c>
      <c r="T78" s="1093">
        <f t="shared" si="78"/>
        <v>44289.719999999987</v>
      </c>
      <c r="U78" s="1093">
        <f t="shared" si="79"/>
        <v>23655.64</v>
      </c>
      <c r="V78" s="1093">
        <f t="shared" si="80"/>
        <v>3371.31</v>
      </c>
      <c r="W78" s="1093">
        <f t="shared" si="81"/>
        <v>0</v>
      </c>
      <c r="X78" s="1093">
        <f t="shared" si="82"/>
        <v>46428.3</v>
      </c>
      <c r="Y78" s="1093">
        <f t="shared" si="83"/>
        <v>8779.0399999999991</v>
      </c>
    </row>
    <row r="79" spans="2:25">
      <c r="B79" s="2" t="s">
        <v>91</v>
      </c>
      <c r="C79" s="20">
        <v>98583.42</v>
      </c>
      <c r="D79" s="20">
        <v>23435.52</v>
      </c>
      <c r="E79" s="20">
        <v>13878.06</v>
      </c>
      <c r="F79" s="20">
        <v>1811.93</v>
      </c>
      <c r="G79" s="20">
        <v>113524.05</v>
      </c>
      <c r="H79" s="20">
        <v>1567.3</v>
      </c>
      <c r="I79" s="20">
        <v>3277.0099999999998</v>
      </c>
      <c r="J79" s="20">
        <v>0</v>
      </c>
      <c r="K79" s="20">
        <v>3147.92</v>
      </c>
      <c r="L79" s="20">
        <v>293.85000000000002</v>
      </c>
      <c r="M79" s="20">
        <v>0</v>
      </c>
      <c r="N79" s="20">
        <v>0</v>
      </c>
      <c r="O79" s="20">
        <v>28.57</v>
      </c>
      <c r="P79" s="20">
        <v>0</v>
      </c>
      <c r="Q79" s="20">
        <v>0</v>
      </c>
      <c r="R79" s="20">
        <v>0</v>
      </c>
      <c r="S79" s="10">
        <f t="shared" si="77"/>
        <v>259547.63</v>
      </c>
      <c r="T79" s="1093">
        <f t="shared" si="78"/>
        <v>98583.42</v>
      </c>
      <c r="U79" s="1093">
        <f t="shared" si="79"/>
        <v>23435.52</v>
      </c>
      <c r="V79" s="1093">
        <f t="shared" si="80"/>
        <v>13878.06</v>
      </c>
      <c r="W79" s="1093">
        <f t="shared" si="81"/>
        <v>1811.93</v>
      </c>
      <c r="X79" s="1093">
        <f t="shared" si="82"/>
        <v>113524.05</v>
      </c>
      <c r="Y79" s="1093">
        <f t="shared" si="83"/>
        <v>8314.65</v>
      </c>
    </row>
    <row r="80" spans="2:25">
      <c r="B80" s="2" t="s">
        <v>92</v>
      </c>
      <c r="C80" s="20">
        <v>64284.750000000007</v>
      </c>
      <c r="D80" s="20">
        <v>10514.210000000001</v>
      </c>
      <c r="E80" s="20">
        <v>4095.06</v>
      </c>
      <c r="F80" s="20">
        <v>847.6</v>
      </c>
      <c r="G80" s="20">
        <v>85020.6</v>
      </c>
      <c r="H80" s="20">
        <v>3232.35</v>
      </c>
      <c r="I80" s="20">
        <v>1584.3000000000002</v>
      </c>
      <c r="J80" s="20">
        <v>5819.8</v>
      </c>
      <c r="K80" s="20">
        <v>1126.81</v>
      </c>
      <c r="L80" s="20">
        <v>0</v>
      </c>
      <c r="M80" s="20">
        <v>195.9</v>
      </c>
      <c r="N80" s="20">
        <v>0</v>
      </c>
      <c r="O80" s="20">
        <v>28.57</v>
      </c>
      <c r="P80" s="20">
        <v>0</v>
      </c>
      <c r="Q80" s="20">
        <v>0</v>
      </c>
      <c r="R80" s="20">
        <v>0</v>
      </c>
      <c r="S80" s="10">
        <f t="shared" si="77"/>
        <v>176749.95</v>
      </c>
      <c r="T80" s="1093">
        <f t="shared" si="78"/>
        <v>64284.750000000007</v>
      </c>
      <c r="U80" s="1093">
        <f t="shared" si="79"/>
        <v>10514.210000000001</v>
      </c>
      <c r="V80" s="1093">
        <f t="shared" si="80"/>
        <v>4095.06</v>
      </c>
      <c r="W80" s="1093">
        <f t="shared" si="81"/>
        <v>847.6</v>
      </c>
      <c r="X80" s="1093">
        <f t="shared" si="82"/>
        <v>85020.6</v>
      </c>
      <c r="Y80" s="1093">
        <f t="shared" si="83"/>
        <v>11987.73</v>
      </c>
    </row>
    <row r="81" spans="2:25">
      <c r="B81" s="2" t="s">
        <v>93</v>
      </c>
      <c r="C81" s="20">
        <v>106328.21999999999</v>
      </c>
      <c r="D81" s="20">
        <v>32529.49</v>
      </c>
      <c r="E81" s="20">
        <v>12202.75</v>
      </c>
      <c r="F81" s="20">
        <v>3116.63</v>
      </c>
      <c r="G81" s="20">
        <v>123808.8</v>
      </c>
      <c r="H81" s="20">
        <v>1959</v>
      </c>
      <c r="I81" s="20">
        <v>4918.8900000000003</v>
      </c>
      <c r="J81" s="20">
        <v>0</v>
      </c>
      <c r="K81" s="20">
        <v>4147.2300000000005</v>
      </c>
      <c r="L81" s="20">
        <v>1665.15</v>
      </c>
      <c r="M81" s="20">
        <v>0</v>
      </c>
      <c r="N81" s="20">
        <v>0</v>
      </c>
      <c r="O81" s="20">
        <v>85.71</v>
      </c>
      <c r="P81" s="20">
        <v>0</v>
      </c>
      <c r="Q81" s="20">
        <v>0</v>
      </c>
      <c r="R81" s="20">
        <v>0</v>
      </c>
      <c r="S81" s="10">
        <f t="shared" si="77"/>
        <v>290761.87000000005</v>
      </c>
      <c r="T81" s="1093">
        <f t="shared" si="78"/>
        <v>106328.21999999999</v>
      </c>
      <c r="U81" s="1093">
        <f t="shared" si="79"/>
        <v>32529.49</v>
      </c>
      <c r="V81" s="1093">
        <f t="shared" si="80"/>
        <v>12202.75</v>
      </c>
      <c r="W81" s="1093">
        <f t="shared" si="81"/>
        <v>3116.63</v>
      </c>
      <c r="X81" s="1093">
        <f t="shared" si="82"/>
        <v>123808.8</v>
      </c>
      <c r="Y81" s="1093">
        <f t="shared" si="83"/>
        <v>12775.98</v>
      </c>
    </row>
    <row r="82" spans="2:25">
      <c r="B82" s="2" t="s">
        <v>94</v>
      </c>
      <c r="C82" s="20">
        <v>63682.74</v>
      </c>
      <c r="D82" s="20">
        <v>10775.37</v>
      </c>
      <c r="E82" s="20">
        <v>5268.02</v>
      </c>
      <c r="F82" s="20">
        <v>649.4</v>
      </c>
      <c r="G82" s="20">
        <v>94325.85</v>
      </c>
      <c r="H82" s="20">
        <v>783.6</v>
      </c>
      <c r="I82" s="20">
        <v>2379.6900000000005</v>
      </c>
      <c r="J82" s="20">
        <v>2089.65</v>
      </c>
      <c r="K82" s="20">
        <v>647.75</v>
      </c>
      <c r="L82" s="20">
        <v>293.85000000000002</v>
      </c>
      <c r="M82" s="20">
        <v>0</v>
      </c>
      <c r="N82" s="20">
        <v>0</v>
      </c>
      <c r="O82" s="20">
        <v>0</v>
      </c>
      <c r="P82" s="20">
        <v>0</v>
      </c>
      <c r="Q82" s="20">
        <v>0</v>
      </c>
      <c r="R82" s="20">
        <v>0</v>
      </c>
      <c r="S82" s="10">
        <f t="shared" si="77"/>
        <v>180895.92</v>
      </c>
      <c r="T82" s="1093">
        <f t="shared" si="78"/>
        <v>63682.74</v>
      </c>
      <c r="U82" s="1093">
        <f t="shared" si="79"/>
        <v>10775.37</v>
      </c>
      <c r="V82" s="1093">
        <f t="shared" si="80"/>
        <v>5268.02</v>
      </c>
      <c r="W82" s="1093">
        <f t="shared" si="81"/>
        <v>649.4</v>
      </c>
      <c r="X82" s="1093">
        <f t="shared" si="82"/>
        <v>94325.85</v>
      </c>
      <c r="Y82" s="1093">
        <f t="shared" si="83"/>
        <v>6194.5400000000009</v>
      </c>
    </row>
    <row r="83" spans="2:25">
      <c r="B83" s="2" t="s">
        <v>95</v>
      </c>
      <c r="C83" s="20">
        <v>87933.3</v>
      </c>
      <c r="D83" s="20">
        <v>30436.25</v>
      </c>
      <c r="E83" s="20">
        <v>11017.09</v>
      </c>
      <c r="F83" s="20">
        <v>2265.9899999999998</v>
      </c>
      <c r="G83" s="20">
        <v>234786.15</v>
      </c>
      <c r="H83" s="20">
        <v>2938.5</v>
      </c>
      <c r="I83" s="20">
        <v>6471.12</v>
      </c>
      <c r="J83" s="20">
        <v>1450.71</v>
      </c>
      <c r="K83" s="20">
        <v>3251.56</v>
      </c>
      <c r="L83" s="20">
        <v>195.9</v>
      </c>
      <c r="M83" s="20">
        <v>0</v>
      </c>
      <c r="N83" s="20">
        <v>0</v>
      </c>
      <c r="O83" s="20">
        <v>0</v>
      </c>
      <c r="P83" s="20">
        <v>0</v>
      </c>
      <c r="Q83" s="20">
        <v>0</v>
      </c>
      <c r="R83" s="20">
        <v>0</v>
      </c>
      <c r="S83" s="10">
        <f t="shared" si="77"/>
        <v>380746.57000000007</v>
      </c>
      <c r="T83" s="1093">
        <f t="shared" si="78"/>
        <v>87933.3</v>
      </c>
      <c r="U83" s="1093">
        <f t="shared" si="79"/>
        <v>30436.25</v>
      </c>
      <c r="V83" s="1093">
        <f t="shared" si="80"/>
        <v>11017.09</v>
      </c>
      <c r="W83" s="1093">
        <f t="shared" si="81"/>
        <v>2265.9899999999998</v>
      </c>
      <c r="X83" s="1093">
        <f t="shared" si="82"/>
        <v>234786.15</v>
      </c>
      <c r="Y83" s="1093">
        <f t="shared" si="83"/>
        <v>14307.789999999997</v>
      </c>
    </row>
    <row r="84" spans="2:25">
      <c r="B84" s="2" t="s">
        <v>96</v>
      </c>
      <c r="C84" s="20">
        <v>29672.390000000003</v>
      </c>
      <c r="D84" s="20">
        <v>15090.240000000002</v>
      </c>
      <c r="E84" s="20">
        <v>2638</v>
      </c>
      <c r="F84" s="20">
        <v>204.45</v>
      </c>
      <c r="G84" s="20">
        <v>33890.699999999997</v>
      </c>
      <c r="H84" s="20">
        <v>489.75</v>
      </c>
      <c r="I84" s="20">
        <v>2631.97</v>
      </c>
      <c r="J84" s="20">
        <v>0</v>
      </c>
      <c r="K84" s="20">
        <v>1389.74</v>
      </c>
      <c r="L84" s="20">
        <v>97.95</v>
      </c>
      <c r="M84" s="20">
        <v>0</v>
      </c>
      <c r="N84" s="20">
        <v>0</v>
      </c>
      <c r="O84" s="20">
        <v>0</v>
      </c>
      <c r="P84" s="20">
        <v>0</v>
      </c>
      <c r="Q84" s="20">
        <v>0</v>
      </c>
      <c r="R84" s="20">
        <v>0</v>
      </c>
      <c r="S84" s="10">
        <f t="shared" si="77"/>
        <v>86105.19</v>
      </c>
      <c r="T84" s="1093">
        <f t="shared" si="78"/>
        <v>29672.390000000003</v>
      </c>
      <c r="U84" s="1093">
        <f t="shared" si="79"/>
        <v>15090.240000000002</v>
      </c>
      <c r="V84" s="1093">
        <f t="shared" si="80"/>
        <v>2638</v>
      </c>
      <c r="W84" s="1093">
        <f t="shared" si="81"/>
        <v>204.45</v>
      </c>
      <c r="X84" s="1093">
        <f t="shared" si="82"/>
        <v>33890.699999999997</v>
      </c>
      <c r="Y84" s="1093">
        <f t="shared" si="83"/>
        <v>4609.41</v>
      </c>
    </row>
    <row r="85" spans="2:25">
      <c r="B85" s="2" t="s">
        <v>97</v>
      </c>
      <c r="C85" s="20">
        <v>74132.36</v>
      </c>
      <c r="D85" s="20">
        <v>41743.17</v>
      </c>
      <c r="E85" s="20">
        <v>6933.06</v>
      </c>
      <c r="F85" s="20">
        <v>4503.3900000000003</v>
      </c>
      <c r="G85" s="20">
        <v>276610.8</v>
      </c>
      <c r="H85" s="20">
        <v>4499.25</v>
      </c>
      <c r="I85" s="20">
        <v>6498.11</v>
      </c>
      <c r="J85" s="20">
        <v>0</v>
      </c>
      <c r="K85" s="20">
        <v>4405.17</v>
      </c>
      <c r="L85" s="20">
        <v>881.55</v>
      </c>
      <c r="M85" s="20">
        <v>195.9</v>
      </c>
      <c r="N85" s="20">
        <v>0</v>
      </c>
      <c r="O85" s="20">
        <v>0</v>
      </c>
      <c r="P85" s="20">
        <v>0</v>
      </c>
      <c r="Q85" s="20">
        <v>0</v>
      </c>
      <c r="R85" s="20">
        <v>0</v>
      </c>
      <c r="S85" s="10">
        <f t="shared" si="77"/>
        <v>420402.75999999995</v>
      </c>
      <c r="T85" s="1093">
        <f t="shared" si="78"/>
        <v>74132.36</v>
      </c>
      <c r="U85" s="1093">
        <f t="shared" si="79"/>
        <v>41743.17</v>
      </c>
      <c r="V85" s="1093">
        <f t="shared" si="80"/>
        <v>6933.06</v>
      </c>
      <c r="W85" s="1093">
        <f t="shared" si="81"/>
        <v>4503.3900000000003</v>
      </c>
      <c r="X85" s="1093">
        <f t="shared" si="82"/>
        <v>276610.8</v>
      </c>
      <c r="Y85" s="1093">
        <f t="shared" si="83"/>
        <v>16479.98</v>
      </c>
    </row>
    <row r="86" spans="2:25">
      <c r="B86" s="2" t="s">
        <v>98</v>
      </c>
      <c r="C86" s="20">
        <v>52988.959999999992</v>
      </c>
      <c r="D86" s="20">
        <v>19783.52</v>
      </c>
      <c r="E86" s="20">
        <v>6550.5600000000013</v>
      </c>
      <c r="F86" s="20">
        <v>2132.35</v>
      </c>
      <c r="G86" s="20">
        <v>167494.5</v>
      </c>
      <c r="H86" s="20">
        <v>1273.3499999999999</v>
      </c>
      <c r="I86" s="20">
        <v>3728.4</v>
      </c>
      <c r="J86" s="20">
        <v>0</v>
      </c>
      <c r="K86" s="20">
        <v>1868.93</v>
      </c>
      <c r="L86" s="20">
        <v>783.6</v>
      </c>
      <c r="M86" s="20">
        <v>0</v>
      </c>
      <c r="N86" s="20">
        <v>460.65</v>
      </c>
      <c r="O86" s="20">
        <v>0</v>
      </c>
      <c r="P86" s="20">
        <v>0</v>
      </c>
      <c r="Q86" s="20">
        <v>0</v>
      </c>
      <c r="R86" s="20">
        <v>0</v>
      </c>
      <c r="S86" s="10">
        <f t="shared" si="77"/>
        <v>257064.82</v>
      </c>
      <c r="T86" s="1093">
        <f t="shared" si="78"/>
        <v>52988.959999999992</v>
      </c>
      <c r="U86" s="1093">
        <f t="shared" si="79"/>
        <v>19783.52</v>
      </c>
      <c r="V86" s="1093">
        <f t="shared" si="80"/>
        <v>6550.5600000000013</v>
      </c>
      <c r="W86" s="1093">
        <f t="shared" si="81"/>
        <v>2132.35</v>
      </c>
      <c r="X86" s="1093">
        <f t="shared" si="82"/>
        <v>167494.5</v>
      </c>
      <c r="Y86" s="1093">
        <f t="shared" si="83"/>
        <v>8114.93</v>
      </c>
    </row>
    <row r="87" spans="2:25">
      <c r="B87" s="2" t="s">
        <v>99</v>
      </c>
      <c r="C87" s="20">
        <v>293271.17</v>
      </c>
      <c r="D87" s="20">
        <v>109656.52</v>
      </c>
      <c r="E87" s="20">
        <v>32205.120000000003</v>
      </c>
      <c r="F87" s="20">
        <v>14823.71</v>
      </c>
      <c r="G87" s="20">
        <v>396893.4</v>
      </c>
      <c r="H87" s="20">
        <v>5387.25</v>
      </c>
      <c r="I87" s="20">
        <v>22968.22</v>
      </c>
      <c r="J87" s="20">
        <v>0</v>
      </c>
      <c r="K87" s="20">
        <v>10492.06</v>
      </c>
      <c r="L87" s="20">
        <v>5387.25</v>
      </c>
      <c r="M87" s="20">
        <v>195.9</v>
      </c>
      <c r="N87" s="20">
        <v>0</v>
      </c>
      <c r="O87" s="20">
        <v>0</v>
      </c>
      <c r="P87" s="20">
        <v>0</v>
      </c>
      <c r="Q87" s="20">
        <v>0</v>
      </c>
      <c r="R87" s="20">
        <v>0</v>
      </c>
      <c r="S87" s="10">
        <f t="shared" si="77"/>
        <v>891280.60000000009</v>
      </c>
      <c r="T87" s="1093">
        <f t="shared" si="78"/>
        <v>293271.17</v>
      </c>
      <c r="U87" s="1093">
        <f t="shared" si="79"/>
        <v>109656.52</v>
      </c>
      <c r="V87" s="1093">
        <f t="shared" si="80"/>
        <v>32205.120000000003</v>
      </c>
      <c r="W87" s="1093">
        <f t="shared" si="81"/>
        <v>14823.71</v>
      </c>
      <c r="X87" s="1093">
        <f t="shared" si="82"/>
        <v>396893.4</v>
      </c>
      <c r="Y87" s="1093">
        <f t="shared" si="83"/>
        <v>44430.68</v>
      </c>
    </row>
    <row r="88" spans="2:25">
      <c r="B88" s="2" t="s">
        <v>100</v>
      </c>
      <c r="C88" s="20">
        <v>52362.42</v>
      </c>
      <c r="D88" s="20">
        <v>20283.740000000002</v>
      </c>
      <c r="E88" s="20">
        <v>5523.6</v>
      </c>
      <c r="F88" s="20">
        <v>1435.99</v>
      </c>
      <c r="G88" s="20">
        <v>56027.4</v>
      </c>
      <c r="H88" s="20">
        <v>979.5</v>
      </c>
      <c r="I88" s="20">
        <v>3319.0300000000007</v>
      </c>
      <c r="J88" s="20">
        <v>0</v>
      </c>
      <c r="K88" s="20">
        <v>2009.61</v>
      </c>
      <c r="L88" s="20">
        <v>195.9</v>
      </c>
      <c r="M88" s="20">
        <v>0</v>
      </c>
      <c r="N88" s="20">
        <v>0</v>
      </c>
      <c r="O88" s="20">
        <v>28.57</v>
      </c>
      <c r="P88" s="20">
        <v>0</v>
      </c>
      <c r="Q88" s="20">
        <v>0</v>
      </c>
      <c r="R88" s="20">
        <v>0</v>
      </c>
      <c r="S88" s="10">
        <f t="shared" si="77"/>
        <v>142165.76000000001</v>
      </c>
      <c r="T88" s="1093">
        <f t="shared" si="78"/>
        <v>52362.42</v>
      </c>
      <c r="U88" s="1093">
        <f t="shared" si="79"/>
        <v>20283.740000000002</v>
      </c>
      <c r="V88" s="1093">
        <f t="shared" si="80"/>
        <v>5523.6</v>
      </c>
      <c r="W88" s="1093">
        <f t="shared" si="81"/>
        <v>1435.99</v>
      </c>
      <c r="X88" s="1093">
        <f t="shared" si="82"/>
        <v>56027.4</v>
      </c>
      <c r="Y88" s="1093">
        <f t="shared" si="83"/>
        <v>6532.61</v>
      </c>
    </row>
    <row r="89" spans="2:25">
      <c r="B89" s="2" t="s">
        <v>101</v>
      </c>
      <c r="C89" s="20">
        <v>43390.5</v>
      </c>
      <c r="D89" s="20">
        <v>14899.67</v>
      </c>
      <c r="E89" s="20">
        <v>4418.8999999999996</v>
      </c>
      <c r="F89" s="20">
        <v>102.51</v>
      </c>
      <c r="G89" s="20">
        <v>49954.5</v>
      </c>
      <c r="H89" s="20">
        <v>0</v>
      </c>
      <c r="I89" s="20">
        <v>2500.8599999999997</v>
      </c>
      <c r="J89" s="20">
        <v>0</v>
      </c>
      <c r="K89" s="20">
        <v>1463.93</v>
      </c>
      <c r="L89" s="20">
        <v>195.9</v>
      </c>
      <c r="M89" s="20">
        <v>0</v>
      </c>
      <c r="N89" s="20">
        <v>0</v>
      </c>
      <c r="O89" s="20">
        <v>57.14</v>
      </c>
      <c r="P89" s="20">
        <v>0</v>
      </c>
      <c r="Q89" s="20">
        <v>0</v>
      </c>
      <c r="R89" s="20">
        <v>0</v>
      </c>
      <c r="S89" s="10">
        <f t="shared" si="77"/>
        <v>116983.90999999999</v>
      </c>
      <c r="T89" s="1093">
        <f t="shared" si="78"/>
        <v>43390.5</v>
      </c>
      <c r="U89" s="1093">
        <f t="shared" si="79"/>
        <v>14899.67</v>
      </c>
      <c r="V89" s="1093">
        <f t="shared" si="80"/>
        <v>4418.8999999999996</v>
      </c>
      <c r="W89" s="1093">
        <f t="shared" si="81"/>
        <v>102.51</v>
      </c>
      <c r="X89" s="1093">
        <f t="shared" si="82"/>
        <v>49954.5</v>
      </c>
      <c r="Y89" s="1093">
        <f t="shared" si="83"/>
        <v>4217.83</v>
      </c>
    </row>
    <row r="90" spans="2:25">
      <c r="B90" s="2" t="s">
        <v>102</v>
      </c>
      <c r="C90" s="20">
        <v>268586.45</v>
      </c>
      <c r="D90" s="20">
        <v>83741.63</v>
      </c>
      <c r="E90" s="20">
        <v>60663.600000000006</v>
      </c>
      <c r="F90" s="20">
        <v>20613.689999999999</v>
      </c>
      <c r="G90" s="20">
        <v>615419.85</v>
      </c>
      <c r="H90" s="20">
        <v>6072.9000000000005</v>
      </c>
      <c r="I90" s="20">
        <v>14565.82</v>
      </c>
      <c r="J90" s="20">
        <v>1142.82</v>
      </c>
      <c r="K90" s="20">
        <v>9115.7000000000007</v>
      </c>
      <c r="L90" s="20">
        <v>2840.55</v>
      </c>
      <c r="M90" s="20">
        <v>391.8</v>
      </c>
      <c r="N90" s="20">
        <v>0</v>
      </c>
      <c r="O90" s="20">
        <v>57.14</v>
      </c>
      <c r="P90" s="20">
        <v>0</v>
      </c>
      <c r="Q90" s="20">
        <v>0</v>
      </c>
      <c r="R90" s="20">
        <v>0</v>
      </c>
      <c r="S90" s="10">
        <f t="shared" si="77"/>
        <v>1083211.95</v>
      </c>
      <c r="T90" s="1093">
        <f t="shared" si="78"/>
        <v>268586.45</v>
      </c>
      <c r="U90" s="1093">
        <f t="shared" si="79"/>
        <v>83741.63</v>
      </c>
      <c r="V90" s="1093">
        <f t="shared" si="80"/>
        <v>60663.600000000006</v>
      </c>
      <c r="W90" s="1093">
        <f t="shared" si="81"/>
        <v>20613.689999999999</v>
      </c>
      <c r="X90" s="1093">
        <f t="shared" si="82"/>
        <v>615419.85</v>
      </c>
      <c r="Y90" s="1093">
        <f t="shared" si="83"/>
        <v>34186.730000000003</v>
      </c>
    </row>
    <row r="91" spans="2:25">
      <c r="B91" s="2" t="s">
        <v>103</v>
      </c>
      <c r="C91" s="20">
        <v>65650.070000000007</v>
      </c>
      <c r="D91" s="20">
        <v>21150</v>
      </c>
      <c r="E91" s="20">
        <v>7104.4800000000005</v>
      </c>
      <c r="F91" s="20">
        <v>1242.3</v>
      </c>
      <c r="G91" s="20">
        <v>85902.15</v>
      </c>
      <c r="H91" s="20">
        <v>685.65000000000009</v>
      </c>
      <c r="I91" s="20">
        <v>3612.84</v>
      </c>
      <c r="J91" s="20">
        <v>568.55999999999995</v>
      </c>
      <c r="K91" s="20">
        <v>2922.65</v>
      </c>
      <c r="L91" s="20">
        <v>489.75</v>
      </c>
      <c r="M91" s="20">
        <v>0</v>
      </c>
      <c r="N91" s="20">
        <v>0</v>
      </c>
      <c r="O91" s="20">
        <v>57.14</v>
      </c>
      <c r="P91" s="20">
        <v>0</v>
      </c>
      <c r="Q91" s="20">
        <v>0</v>
      </c>
      <c r="R91" s="20">
        <v>0</v>
      </c>
      <c r="S91" s="10">
        <f t="shared" si="77"/>
        <v>189385.59</v>
      </c>
      <c r="T91" s="1093">
        <f t="shared" si="78"/>
        <v>65650.070000000007</v>
      </c>
      <c r="U91" s="1093">
        <f t="shared" si="79"/>
        <v>21150</v>
      </c>
      <c r="V91" s="1093">
        <f t="shared" si="80"/>
        <v>7104.4800000000005</v>
      </c>
      <c r="W91" s="1093">
        <f t="shared" si="81"/>
        <v>1242.3</v>
      </c>
      <c r="X91" s="1093">
        <f t="shared" si="82"/>
        <v>85902.15</v>
      </c>
      <c r="Y91" s="1093">
        <f t="shared" si="83"/>
        <v>8336.5899999999983</v>
      </c>
    </row>
    <row r="92" spans="2:25">
      <c r="B92" s="2" t="s">
        <v>104</v>
      </c>
      <c r="C92" s="20">
        <v>18326.910000000003</v>
      </c>
      <c r="D92" s="20">
        <v>2649.99</v>
      </c>
      <c r="E92" s="20">
        <v>2473.4299999999998</v>
      </c>
      <c r="F92" s="20">
        <v>1084.19</v>
      </c>
      <c r="G92" s="20">
        <v>28601.4</v>
      </c>
      <c r="H92" s="20">
        <v>391.8</v>
      </c>
      <c r="I92" s="20">
        <v>382.52000000000004</v>
      </c>
      <c r="J92" s="20">
        <v>0</v>
      </c>
      <c r="K92" s="20">
        <v>510.61</v>
      </c>
      <c r="L92" s="20">
        <v>0</v>
      </c>
      <c r="M92" s="20">
        <v>0</v>
      </c>
      <c r="N92" s="20">
        <v>0</v>
      </c>
      <c r="O92" s="20">
        <v>0</v>
      </c>
      <c r="P92" s="20">
        <v>0</v>
      </c>
      <c r="Q92" s="20">
        <v>0</v>
      </c>
      <c r="R92" s="20">
        <v>0</v>
      </c>
      <c r="S92" s="10">
        <f t="shared" si="77"/>
        <v>54420.85</v>
      </c>
      <c r="T92" s="1093">
        <f t="shared" si="78"/>
        <v>18326.910000000003</v>
      </c>
      <c r="U92" s="1093">
        <f t="shared" si="79"/>
        <v>2649.99</v>
      </c>
      <c r="V92" s="1093">
        <f t="shared" si="80"/>
        <v>2473.4299999999998</v>
      </c>
      <c r="W92" s="1093">
        <f t="shared" si="81"/>
        <v>1084.19</v>
      </c>
      <c r="X92" s="1093">
        <f t="shared" si="82"/>
        <v>28601.4</v>
      </c>
      <c r="Y92" s="1093">
        <f t="shared" si="83"/>
        <v>1284.93</v>
      </c>
    </row>
    <row r="93" spans="2:25">
      <c r="B93" s="2" t="s">
        <v>105</v>
      </c>
      <c r="C93" s="20">
        <v>292119.41000000003</v>
      </c>
      <c r="D93" s="20">
        <v>79692.34</v>
      </c>
      <c r="E93" s="20">
        <v>42933.279999999999</v>
      </c>
      <c r="F93" s="20">
        <v>8615.94</v>
      </c>
      <c r="G93" s="20">
        <v>291597.15000000002</v>
      </c>
      <c r="H93" s="20">
        <v>9987.7099999999991</v>
      </c>
      <c r="I93" s="20">
        <v>17797.16</v>
      </c>
      <c r="J93" s="20">
        <v>614.49</v>
      </c>
      <c r="K93" s="20">
        <v>7775.8399999999992</v>
      </c>
      <c r="L93" s="20">
        <v>2840.55</v>
      </c>
      <c r="M93" s="20">
        <v>0</v>
      </c>
      <c r="N93" s="20">
        <v>0</v>
      </c>
      <c r="O93" s="20">
        <v>142.85</v>
      </c>
      <c r="P93" s="20">
        <v>0</v>
      </c>
      <c r="Q93" s="20">
        <v>0</v>
      </c>
      <c r="R93" s="20">
        <v>0</v>
      </c>
      <c r="S93" s="10">
        <f t="shared" si="77"/>
        <v>754116.72000000009</v>
      </c>
      <c r="T93" s="1093">
        <f t="shared" si="78"/>
        <v>292119.41000000003</v>
      </c>
      <c r="U93" s="1093">
        <f t="shared" si="79"/>
        <v>79692.34</v>
      </c>
      <c r="V93" s="1093">
        <f t="shared" si="80"/>
        <v>42933.279999999999</v>
      </c>
      <c r="W93" s="1093">
        <f t="shared" si="81"/>
        <v>8615.94</v>
      </c>
      <c r="X93" s="1093">
        <f t="shared" si="82"/>
        <v>291597.15000000002</v>
      </c>
      <c r="Y93" s="1093">
        <f t="shared" si="83"/>
        <v>39158.6</v>
      </c>
    </row>
    <row r="94" spans="2:25">
      <c r="B94" s="2" t="s">
        <v>106</v>
      </c>
      <c r="C94" s="20">
        <v>37662.14</v>
      </c>
      <c r="D94" s="20">
        <v>20778.02</v>
      </c>
      <c r="E94" s="20">
        <v>2809.42</v>
      </c>
      <c r="F94" s="20">
        <v>1021.95</v>
      </c>
      <c r="G94" s="20">
        <v>46624.2</v>
      </c>
      <c r="H94" s="20">
        <v>1077.45</v>
      </c>
      <c r="I94" s="20">
        <v>3551.38</v>
      </c>
      <c r="J94" s="20">
        <v>0</v>
      </c>
      <c r="K94" s="20">
        <v>1834.1100000000001</v>
      </c>
      <c r="L94" s="20">
        <v>97.95</v>
      </c>
      <c r="M94" s="20">
        <v>0</v>
      </c>
      <c r="N94" s="20">
        <v>0</v>
      </c>
      <c r="O94" s="20">
        <v>0</v>
      </c>
      <c r="P94" s="20">
        <v>0</v>
      </c>
      <c r="Q94" s="20">
        <v>0</v>
      </c>
      <c r="R94" s="20">
        <v>0</v>
      </c>
      <c r="S94" s="10">
        <f t="shared" si="77"/>
        <v>115456.62</v>
      </c>
      <c r="T94" s="1093">
        <f t="shared" si="78"/>
        <v>37662.14</v>
      </c>
      <c r="U94" s="1093">
        <f t="shared" si="79"/>
        <v>20778.02</v>
      </c>
      <c r="V94" s="1093">
        <f t="shared" si="80"/>
        <v>2809.42</v>
      </c>
      <c r="W94" s="1093">
        <f t="shared" si="81"/>
        <v>1021.95</v>
      </c>
      <c r="X94" s="1093">
        <f t="shared" si="82"/>
        <v>46624.2</v>
      </c>
      <c r="Y94" s="1093">
        <f t="shared" si="83"/>
        <v>6560.89</v>
      </c>
    </row>
    <row r="95" spans="2:25">
      <c r="B95" s="2" t="s">
        <v>107</v>
      </c>
      <c r="C95" s="20">
        <v>320984.39</v>
      </c>
      <c r="D95" s="20">
        <v>73680.09</v>
      </c>
      <c r="E95" s="20">
        <v>46533.96</v>
      </c>
      <c r="F95" s="20">
        <v>15880.88</v>
      </c>
      <c r="G95" s="20">
        <v>659007.6</v>
      </c>
      <c r="H95" s="20">
        <v>3820.05</v>
      </c>
      <c r="I95" s="20">
        <v>12592.65</v>
      </c>
      <c r="J95" s="20">
        <v>1118.32</v>
      </c>
      <c r="K95" s="20">
        <v>7605.3099999999995</v>
      </c>
      <c r="L95" s="20">
        <v>2154.9</v>
      </c>
      <c r="M95" s="20">
        <v>195.9</v>
      </c>
      <c r="N95" s="20">
        <v>0</v>
      </c>
      <c r="O95" s="20">
        <v>199.99</v>
      </c>
      <c r="P95" s="20">
        <v>0</v>
      </c>
      <c r="Q95" s="20">
        <v>0</v>
      </c>
      <c r="R95" s="20">
        <v>0</v>
      </c>
      <c r="S95" s="10">
        <f t="shared" si="77"/>
        <v>1143774.0399999998</v>
      </c>
      <c r="T95" s="1093">
        <f t="shared" si="78"/>
        <v>320984.39</v>
      </c>
      <c r="U95" s="1093">
        <f t="shared" si="79"/>
        <v>73680.09</v>
      </c>
      <c r="V95" s="1093">
        <f t="shared" si="80"/>
        <v>46533.96</v>
      </c>
      <c r="W95" s="1093">
        <f t="shared" si="81"/>
        <v>15880.88</v>
      </c>
      <c r="X95" s="1093">
        <f t="shared" si="82"/>
        <v>659007.6</v>
      </c>
      <c r="Y95" s="1093">
        <f t="shared" si="83"/>
        <v>27687.120000000006</v>
      </c>
    </row>
    <row r="96" spans="2:25">
      <c r="B96" s="2" t="s">
        <v>108</v>
      </c>
      <c r="C96" s="20">
        <v>25966.190000000002</v>
      </c>
      <c r="D96" s="20">
        <v>7022.2199999999993</v>
      </c>
      <c r="E96" s="20">
        <v>3457.0200000000004</v>
      </c>
      <c r="F96" s="20">
        <v>1190.49</v>
      </c>
      <c r="G96" s="20">
        <v>83453.399999999994</v>
      </c>
      <c r="H96" s="20">
        <v>1665.15</v>
      </c>
      <c r="I96" s="20">
        <v>969.8</v>
      </c>
      <c r="J96" s="20">
        <v>0</v>
      </c>
      <c r="K96" s="20">
        <v>940.14</v>
      </c>
      <c r="L96" s="20">
        <v>489.75</v>
      </c>
      <c r="M96" s="20">
        <v>0</v>
      </c>
      <c r="N96" s="20">
        <v>0</v>
      </c>
      <c r="O96" s="20">
        <v>28.57</v>
      </c>
      <c r="P96" s="20">
        <v>0</v>
      </c>
      <c r="Q96" s="20">
        <v>42.59</v>
      </c>
      <c r="R96" s="20">
        <v>784.54</v>
      </c>
      <c r="S96" s="10">
        <f t="shared" si="77"/>
        <v>126009.86</v>
      </c>
      <c r="T96" s="1093">
        <f t="shared" si="78"/>
        <v>25966.190000000002</v>
      </c>
      <c r="U96" s="1093">
        <f t="shared" si="79"/>
        <v>7022.2199999999993</v>
      </c>
      <c r="V96" s="1093">
        <f t="shared" si="80"/>
        <v>3457.0200000000004</v>
      </c>
      <c r="W96" s="1093">
        <f t="shared" si="81"/>
        <v>1190.49</v>
      </c>
      <c r="X96" s="1093">
        <f t="shared" si="82"/>
        <v>83453.399999999994</v>
      </c>
      <c r="Y96" s="1093">
        <f t="shared" si="83"/>
        <v>4920.54</v>
      </c>
    </row>
    <row r="97" spans="2:25">
      <c r="B97" s="2" t="s">
        <v>109</v>
      </c>
      <c r="C97" s="20">
        <v>1404.7199999999998</v>
      </c>
      <c r="D97" s="20">
        <v>501.1</v>
      </c>
      <c r="E97" s="20">
        <v>114.28000000000003</v>
      </c>
      <c r="F97" s="20">
        <v>331.69</v>
      </c>
      <c r="G97" s="20">
        <v>7052.4</v>
      </c>
      <c r="H97" s="20">
        <v>97.95</v>
      </c>
      <c r="I97" s="20">
        <v>90.610000000000014</v>
      </c>
      <c r="J97" s="20">
        <v>0</v>
      </c>
      <c r="K97" s="20">
        <v>70.42</v>
      </c>
      <c r="L97" s="20">
        <v>0</v>
      </c>
      <c r="M97" s="20">
        <v>0</v>
      </c>
      <c r="N97" s="20">
        <v>0</v>
      </c>
      <c r="O97" s="20">
        <v>0</v>
      </c>
      <c r="P97" s="20">
        <v>0</v>
      </c>
      <c r="Q97" s="20">
        <v>0</v>
      </c>
      <c r="R97" s="20">
        <v>0</v>
      </c>
      <c r="S97" s="10">
        <f t="shared" si="77"/>
        <v>9663.17</v>
      </c>
      <c r="T97" s="1093">
        <f t="shared" si="78"/>
        <v>1404.7199999999998</v>
      </c>
      <c r="U97" s="1093">
        <f t="shared" si="79"/>
        <v>501.1</v>
      </c>
      <c r="V97" s="1093">
        <f t="shared" si="80"/>
        <v>114.28000000000003</v>
      </c>
      <c r="W97" s="1093">
        <f t="shared" si="81"/>
        <v>331.69</v>
      </c>
      <c r="X97" s="1093">
        <f t="shared" si="82"/>
        <v>7052.4</v>
      </c>
      <c r="Y97" s="1093">
        <f t="shared" si="83"/>
        <v>258.98</v>
      </c>
    </row>
    <row r="98" spans="2:25">
      <c r="B98" s="2" t="s">
        <v>110</v>
      </c>
      <c r="C98" s="20">
        <v>229123.33000000002</v>
      </c>
      <c r="D98" s="20">
        <v>32895.269999999997</v>
      </c>
      <c r="E98" s="20">
        <v>36112.959999999999</v>
      </c>
      <c r="F98" s="20">
        <v>5827.05</v>
      </c>
      <c r="G98" s="20">
        <v>441166.8</v>
      </c>
      <c r="H98" s="20">
        <v>4211.8500000000004</v>
      </c>
      <c r="I98" s="20">
        <v>5052.130000000001</v>
      </c>
      <c r="J98" s="20">
        <v>2668.9</v>
      </c>
      <c r="K98" s="20">
        <v>4649.49</v>
      </c>
      <c r="L98" s="20">
        <v>1567.2</v>
      </c>
      <c r="M98" s="20">
        <v>195.9</v>
      </c>
      <c r="N98" s="20">
        <v>0</v>
      </c>
      <c r="O98" s="20">
        <v>142.85</v>
      </c>
      <c r="P98" s="20">
        <v>0</v>
      </c>
      <c r="Q98" s="20">
        <v>0</v>
      </c>
      <c r="R98" s="20">
        <v>0</v>
      </c>
      <c r="S98" s="10">
        <f t="shared" si="77"/>
        <v>763613.72999999986</v>
      </c>
      <c r="T98" s="1093">
        <f t="shared" si="78"/>
        <v>229123.33000000002</v>
      </c>
      <c r="U98" s="1093">
        <f t="shared" si="79"/>
        <v>32895.269999999997</v>
      </c>
      <c r="V98" s="1093">
        <f t="shared" si="80"/>
        <v>36112.959999999999</v>
      </c>
      <c r="W98" s="1093">
        <f t="shared" si="81"/>
        <v>5827.05</v>
      </c>
      <c r="X98" s="1093">
        <f t="shared" si="82"/>
        <v>441166.8</v>
      </c>
      <c r="Y98" s="1093">
        <f t="shared" si="83"/>
        <v>18488.320000000003</v>
      </c>
    </row>
    <row r="99" spans="2:25">
      <c r="B99" s="2" t="s">
        <v>111</v>
      </c>
      <c r="C99" s="20">
        <v>1146585.68</v>
      </c>
      <c r="D99" s="20">
        <v>338366.56000000006</v>
      </c>
      <c r="E99" s="20">
        <v>129332.43</v>
      </c>
      <c r="F99" s="20">
        <v>52285.060000000005</v>
      </c>
      <c r="G99" s="20">
        <v>2138542.35</v>
      </c>
      <c r="H99" s="20">
        <v>17826.899999999998</v>
      </c>
      <c r="I99" s="20">
        <v>82285.170000000013</v>
      </c>
      <c r="J99" s="20">
        <v>0</v>
      </c>
      <c r="K99" s="20">
        <v>28770.439999999995</v>
      </c>
      <c r="L99" s="20">
        <v>7444.2</v>
      </c>
      <c r="M99" s="20">
        <v>391.8</v>
      </c>
      <c r="N99" s="20">
        <v>0</v>
      </c>
      <c r="O99" s="20">
        <v>857.1</v>
      </c>
      <c r="P99" s="20">
        <v>0</v>
      </c>
      <c r="Q99" s="20">
        <v>470.16</v>
      </c>
      <c r="R99" s="20">
        <v>4482.93</v>
      </c>
      <c r="S99" s="10">
        <f t="shared" si="77"/>
        <v>3947640.7800000003</v>
      </c>
      <c r="T99" s="1093">
        <f t="shared" si="78"/>
        <v>1146585.68</v>
      </c>
      <c r="U99" s="1093">
        <f t="shared" si="79"/>
        <v>338366.56000000006</v>
      </c>
      <c r="V99" s="1093">
        <f t="shared" si="80"/>
        <v>129332.43</v>
      </c>
      <c r="W99" s="1093">
        <f t="shared" si="81"/>
        <v>52285.060000000005</v>
      </c>
      <c r="X99" s="1093">
        <f t="shared" si="82"/>
        <v>2138542.35</v>
      </c>
      <c r="Y99" s="1093">
        <f t="shared" si="83"/>
        <v>142528.70000000001</v>
      </c>
    </row>
    <row r="100" spans="2:25">
      <c r="B100" s="2" t="s">
        <v>112</v>
      </c>
      <c r="C100" s="20">
        <v>30298.899999999998</v>
      </c>
      <c r="D100" s="20">
        <v>12554.27</v>
      </c>
      <c r="E100" s="20">
        <v>1447.57</v>
      </c>
      <c r="F100" s="20">
        <v>1610.16</v>
      </c>
      <c r="G100" s="20">
        <v>45644.7</v>
      </c>
      <c r="H100" s="20">
        <v>1077.45</v>
      </c>
      <c r="I100" s="20">
        <v>1376.46</v>
      </c>
      <c r="J100" s="20">
        <v>0</v>
      </c>
      <c r="K100" s="20">
        <v>1911.66</v>
      </c>
      <c r="L100" s="20">
        <v>0</v>
      </c>
      <c r="M100" s="20">
        <v>0</v>
      </c>
      <c r="N100" s="20">
        <v>0</v>
      </c>
      <c r="O100" s="20">
        <v>0</v>
      </c>
      <c r="P100" s="20">
        <v>0</v>
      </c>
      <c r="Q100" s="20">
        <v>0</v>
      </c>
      <c r="R100" s="20">
        <v>0</v>
      </c>
      <c r="S100" s="10">
        <f t="shared" si="77"/>
        <v>95921.170000000013</v>
      </c>
      <c r="T100" s="1093">
        <f t="shared" si="78"/>
        <v>30298.899999999998</v>
      </c>
      <c r="U100" s="1093">
        <f t="shared" si="79"/>
        <v>12554.27</v>
      </c>
      <c r="V100" s="1093">
        <f t="shared" si="80"/>
        <v>1447.57</v>
      </c>
      <c r="W100" s="1093">
        <f t="shared" si="81"/>
        <v>1610.16</v>
      </c>
      <c r="X100" s="1093">
        <f t="shared" si="82"/>
        <v>45644.7</v>
      </c>
      <c r="Y100" s="1093">
        <f t="shared" si="83"/>
        <v>4365.57</v>
      </c>
    </row>
    <row r="101" spans="2:25">
      <c r="B101" s="2" t="s">
        <v>113</v>
      </c>
      <c r="C101" s="20">
        <v>17207.29</v>
      </c>
      <c r="D101" s="20">
        <v>7977.32</v>
      </c>
      <c r="E101" s="20">
        <v>2561.8100000000004</v>
      </c>
      <c r="F101" s="20">
        <v>2066.41</v>
      </c>
      <c r="G101" s="20">
        <v>35751.75</v>
      </c>
      <c r="H101" s="20">
        <v>1763.1</v>
      </c>
      <c r="I101" s="20">
        <v>1071.97</v>
      </c>
      <c r="J101" s="20">
        <v>0</v>
      </c>
      <c r="K101" s="20">
        <v>883.54</v>
      </c>
      <c r="L101" s="20">
        <v>587.70000000000005</v>
      </c>
      <c r="M101" s="20">
        <v>0</v>
      </c>
      <c r="N101" s="20">
        <v>0</v>
      </c>
      <c r="O101" s="20">
        <v>28.57</v>
      </c>
      <c r="P101" s="20">
        <v>0</v>
      </c>
      <c r="Q101" s="20">
        <v>0</v>
      </c>
      <c r="R101" s="20">
        <v>0</v>
      </c>
      <c r="S101" s="10">
        <f t="shared" si="77"/>
        <v>69899.460000000006</v>
      </c>
      <c r="T101" s="1093">
        <f t="shared" si="78"/>
        <v>17207.29</v>
      </c>
      <c r="U101" s="1093">
        <f t="shared" si="79"/>
        <v>7977.32</v>
      </c>
      <c r="V101" s="1093">
        <f t="shared" si="80"/>
        <v>2561.8100000000004</v>
      </c>
      <c r="W101" s="1093">
        <f t="shared" si="81"/>
        <v>2066.41</v>
      </c>
      <c r="X101" s="1093">
        <f t="shared" si="82"/>
        <v>35751.75</v>
      </c>
      <c r="Y101" s="1093">
        <f>SUM(H101:R101)</f>
        <v>4334.8799999999992</v>
      </c>
    </row>
    <row r="102" spans="2:25">
      <c r="B102" s="7" t="s">
        <v>37</v>
      </c>
      <c r="C102" s="6">
        <f t="shared" ref="C102:T102" si="84">SUM(C75:C101)</f>
        <v>3518472.1999999988</v>
      </c>
      <c r="D102" s="6">
        <f t="shared" si="84"/>
        <v>1054654.23</v>
      </c>
      <c r="E102" s="6">
        <f t="shared" si="84"/>
        <v>449344.10000000009</v>
      </c>
      <c r="F102" s="6">
        <f t="shared" si="84"/>
        <v>144949.47000000003</v>
      </c>
      <c r="G102" s="6">
        <f t="shared" si="84"/>
        <v>6235594.9500000002</v>
      </c>
      <c r="H102" s="6">
        <f t="shared" si="84"/>
        <v>75705.81</v>
      </c>
      <c r="I102" s="6">
        <f t="shared" si="84"/>
        <v>210921.41000000003</v>
      </c>
      <c r="J102" s="6">
        <f t="shared" si="84"/>
        <v>15473.249999999998</v>
      </c>
      <c r="K102" s="6">
        <f t="shared" si="84"/>
        <v>106432.42</v>
      </c>
      <c r="L102" s="6">
        <f t="shared" si="84"/>
        <v>30266.550000000003</v>
      </c>
      <c r="M102" s="6">
        <f t="shared" si="84"/>
        <v>1763.1000000000001</v>
      </c>
      <c r="N102" s="6">
        <f t="shared" si="84"/>
        <v>851.29</v>
      </c>
      <c r="O102" s="6">
        <f t="shared" si="84"/>
        <v>1771.34</v>
      </c>
      <c r="P102" s="27">
        <f>SUM(P75:P101)</f>
        <v>0</v>
      </c>
      <c r="Q102" s="6">
        <f t="shared" si="84"/>
        <v>536.07000000000005</v>
      </c>
      <c r="R102" s="6">
        <f t="shared" si="84"/>
        <v>5500.6900000000005</v>
      </c>
      <c r="S102" s="6">
        <f t="shared" si="84"/>
        <v>11852236.880000001</v>
      </c>
      <c r="T102" s="1093">
        <f t="shared" si="84"/>
        <v>3518472.1999999988</v>
      </c>
      <c r="U102" s="1093">
        <f t="shared" ref="U102:Y102" si="85">SUM(U75:U101)</f>
        <v>1054654.23</v>
      </c>
      <c r="V102" s="1093">
        <f t="shared" si="85"/>
        <v>449344.10000000009</v>
      </c>
      <c r="W102" s="1093">
        <f t="shared" si="85"/>
        <v>144949.47000000003</v>
      </c>
      <c r="X102" s="1093">
        <f t="shared" si="85"/>
        <v>6235594.9500000002</v>
      </c>
      <c r="Y102" s="1093">
        <f t="shared" si="85"/>
        <v>449221.93</v>
      </c>
    </row>
    <row r="103" spans="2:25">
      <c r="S103" s="1093"/>
    </row>
    <row r="104" spans="2:25">
      <c r="S104" s="1093"/>
    </row>
    <row r="105" spans="2:25">
      <c r="S105" s="1093"/>
    </row>
  </sheetData>
  <mergeCells count="48">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s>
  <pageMargins left="0.511811024" right="0.511811024" top="0.78740157499999996" bottom="0.78740157499999996" header="0.31496062000000002" footer="0.31496062000000002"/>
  <pageSetup paperSize="9" scale="1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2:Y105"/>
  <sheetViews>
    <sheetView topLeftCell="H1" zoomScale="70" zoomScaleNormal="7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75</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51</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14005.264000000003</v>
      </c>
      <c r="D5" s="20">
        <f t="shared" si="0"/>
        <v>1261.7439999999974</v>
      </c>
      <c r="E5" s="20">
        <f t="shared" si="0"/>
        <v>1752.328</v>
      </c>
      <c r="F5" s="20">
        <f t="shared" si="0"/>
        <v>0</v>
      </c>
      <c r="G5" s="20">
        <f t="shared" si="0"/>
        <v>17631</v>
      </c>
      <c r="H5" s="20">
        <f t="shared" si="0"/>
        <v>470.16000000000008</v>
      </c>
      <c r="I5" s="20">
        <f t="shared" si="0"/>
        <v>82.64800000000001</v>
      </c>
      <c r="J5" s="20">
        <f t="shared" si="0"/>
        <v>0</v>
      </c>
      <c r="K5" s="20">
        <f t="shared" si="0"/>
        <v>249.93600000000004</v>
      </c>
      <c r="L5" s="20">
        <f t="shared" si="0"/>
        <v>470.16000000000008</v>
      </c>
      <c r="M5" s="20">
        <f t="shared" si="0"/>
        <v>0</v>
      </c>
      <c r="N5" s="20">
        <f t="shared" si="0"/>
        <v>0</v>
      </c>
      <c r="O5" s="20">
        <f t="shared" si="0"/>
        <v>0</v>
      </c>
      <c r="P5" s="20">
        <f t="shared" ref="P5:P31" si="1">P75*0.8</f>
        <v>0</v>
      </c>
      <c r="Q5" s="20">
        <f t="shared" si="0"/>
        <v>0</v>
      </c>
      <c r="R5" s="20">
        <f t="shared" si="0"/>
        <v>0</v>
      </c>
      <c r="S5" s="10">
        <f t="shared" ref="S5:S31" si="2">SUM(C5:R5)</f>
        <v>35923.240000000005</v>
      </c>
      <c r="T5" s="1093">
        <f t="shared" ref="T5:T31" si="3">C5</f>
        <v>14005.264000000003</v>
      </c>
      <c r="U5" s="1093">
        <f t="shared" ref="U5:U31" si="4">D5</f>
        <v>1261.7439999999974</v>
      </c>
      <c r="V5" s="1093">
        <f t="shared" ref="V5:V31" si="5">E5</f>
        <v>1752.328</v>
      </c>
      <c r="W5" s="1093">
        <f t="shared" ref="W5:W31" si="6">F5</f>
        <v>0</v>
      </c>
      <c r="X5" s="1093">
        <f t="shared" ref="X5:X31" si="7">G5</f>
        <v>17631</v>
      </c>
      <c r="Y5" s="1093">
        <f>SUM(H5:R5)</f>
        <v>1272.9040000000002</v>
      </c>
    </row>
    <row r="6" spans="2:25">
      <c r="B6" s="2" t="s">
        <v>88</v>
      </c>
      <c r="C6" s="20">
        <f t="shared" ref="C6:R6" si="8">C76*0.8</f>
        <v>46785.784000000007</v>
      </c>
      <c r="D6" s="20">
        <f t="shared" si="8"/>
        <v>14140.256000000001</v>
      </c>
      <c r="E6" s="20">
        <f t="shared" si="8"/>
        <v>2392.3040000000001</v>
      </c>
      <c r="F6" s="20">
        <f t="shared" si="8"/>
        <v>254.14399999999989</v>
      </c>
      <c r="G6" s="20">
        <f t="shared" si="8"/>
        <v>43489.8</v>
      </c>
      <c r="H6" s="20">
        <f t="shared" si="8"/>
        <v>783.6</v>
      </c>
      <c r="I6" s="20">
        <f t="shared" si="8"/>
        <v>2355.52</v>
      </c>
      <c r="J6" s="20">
        <f t="shared" si="8"/>
        <v>0</v>
      </c>
      <c r="K6" s="20">
        <f t="shared" si="8"/>
        <v>1164.528</v>
      </c>
      <c r="L6" s="20">
        <f t="shared" si="8"/>
        <v>0</v>
      </c>
      <c r="M6" s="20">
        <f t="shared" si="8"/>
        <v>0</v>
      </c>
      <c r="N6" s="20">
        <f t="shared" si="8"/>
        <v>0</v>
      </c>
      <c r="O6" s="20">
        <f t="shared" si="8"/>
        <v>0</v>
      </c>
      <c r="P6" s="20">
        <f t="shared" si="1"/>
        <v>0</v>
      </c>
      <c r="Q6" s="20">
        <f t="shared" si="8"/>
        <v>0</v>
      </c>
      <c r="R6" s="20">
        <f t="shared" si="8"/>
        <v>0</v>
      </c>
      <c r="S6" s="10">
        <f t="shared" si="2"/>
        <v>111365.93600000003</v>
      </c>
      <c r="T6" s="1093">
        <f t="shared" si="3"/>
        <v>46785.784000000007</v>
      </c>
      <c r="U6" s="1093">
        <f t="shared" si="4"/>
        <v>14140.256000000001</v>
      </c>
      <c r="V6" s="1093">
        <f t="shared" si="5"/>
        <v>2392.3040000000001</v>
      </c>
      <c r="W6" s="1093">
        <f t="shared" si="6"/>
        <v>254.14399999999989</v>
      </c>
      <c r="X6" s="1093">
        <f t="shared" si="7"/>
        <v>43489.8</v>
      </c>
      <c r="Y6" s="1093">
        <f t="shared" ref="Y6:Y31" si="9">SUM(H6:R6)</f>
        <v>4303.6480000000001</v>
      </c>
    </row>
    <row r="7" spans="2:25">
      <c r="B7" s="2" t="s">
        <v>89</v>
      </c>
      <c r="C7" s="20">
        <f t="shared" ref="C7:R7" si="10">C77*0.8</f>
        <v>23954.448000000004</v>
      </c>
      <c r="D7" s="20">
        <f t="shared" si="10"/>
        <v>6781.24</v>
      </c>
      <c r="E7" s="20">
        <f t="shared" si="10"/>
        <v>4015.1120000000005</v>
      </c>
      <c r="F7" s="20">
        <f t="shared" si="10"/>
        <v>1225.992</v>
      </c>
      <c r="G7" s="20">
        <f t="shared" si="10"/>
        <v>26877.48</v>
      </c>
      <c r="H7" s="20">
        <f t="shared" si="10"/>
        <v>391.8</v>
      </c>
      <c r="I7" s="20">
        <f t="shared" si="10"/>
        <v>855.16000000000008</v>
      </c>
      <c r="J7" s="20">
        <f t="shared" si="10"/>
        <v>0</v>
      </c>
      <c r="K7" s="20">
        <f t="shared" si="10"/>
        <v>1263.0240000000001</v>
      </c>
      <c r="L7" s="20">
        <f t="shared" si="10"/>
        <v>156.72000000000003</v>
      </c>
      <c r="M7" s="20">
        <f t="shared" si="10"/>
        <v>0</v>
      </c>
      <c r="N7" s="20">
        <f t="shared" si="10"/>
        <v>0</v>
      </c>
      <c r="O7" s="20">
        <f t="shared" si="10"/>
        <v>0</v>
      </c>
      <c r="P7" s="20">
        <f t="shared" si="1"/>
        <v>0</v>
      </c>
      <c r="Q7" s="20">
        <f t="shared" si="10"/>
        <v>0</v>
      </c>
      <c r="R7" s="20">
        <f t="shared" si="10"/>
        <v>0</v>
      </c>
      <c r="S7" s="10">
        <f t="shared" si="2"/>
        <v>65520.976000000002</v>
      </c>
      <c r="T7" s="1093">
        <f t="shared" si="3"/>
        <v>23954.448000000004</v>
      </c>
      <c r="U7" s="1093">
        <f t="shared" si="4"/>
        <v>6781.24</v>
      </c>
      <c r="V7" s="1093">
        <f t="shared" si="5"/>
        <v>4015.1120000000005</v>
      </c>
      <c r="W7" s="1093">
        <f t="shared" si="6"/>
        <v>1225.992</v>
      </c>
      <c r="X7" s="1093">
        <f t="shared" si="7"/>
        <v>26877.48</v>
      </c>
      <c r="Y7" s="1093">
        <f t="shared" si="9"/>
        <v>2666.7040000000006</v>
      </c>
    </row>
    <row r="8" spans="2:25">
      <c r="B8" s="2" t="s">
        <v>90</v>
      </c>
      <c r="C8" s="20">
        <f t="shared" ref="C8:O8" si="11">C78*0.8</f>
        <v>40861.856</v>
      </c>
      <c r="D8" s="20">
        <f t="shared" si="11"/>
        <v>16617.168000000001</v>
      </c>
      <c r="E8" s="20">
        <f t="shared" si="11"/>
        <v>3146.56</v>
      </c>
      <c r="F8" s="20">
        <f t="shared" si="11"/>
        <v>1741.2720000000002</v>
      </c>
      <c r="G8" s="20">
        <f t="shared" si="11"/>
        <v>50150.400000000001</v>
      </c>
      <c r="H8" s="20">
        <f t="shared" si="11"/>
        <v>548.52</v>
      </c>
      <c r="I8" s="20">
        <f t="shared" si="11"/>
        <v>2373.8960000000002</v>
      </c>
      <c r="J8" s="20">
        <f t="shared" si="11"/>
        <v>0</v>
      </c>
      <c r="K8" s="20">
        <f t="shared" si="11"/>
        <v>1574.152</v>
      </c>
      <c r="L8" s="20">
        <f t="shared" si="11"/>
        <v>156.72000000000003</v>
      </c>
      <c r="M8" s="20">
        <f t="shared" si="11"/>
        <v>0</v>
      </c>
      <c r="N8" s="20">
        <f t="shared" si="11"/>
        <v>312.512</v>
      </c>
      <c r="O8" s="20">
        <f t="shared" si="11"/>
        <v>22.856000000000002</v>
      </c>
      <c r="P8" s="20">
        <f t="shared" si="1"/>
        <v>0</v>
      </c>
      <c r="Q8" s="20">
        <f>Q78</f>
        <v>0</v>
      </c>
      <c r="R8" s="20">
        <f>R78</f>
        <v>0</v>
      </c>
      <c r="S8" s="10">
        <f t="shared" si="2"/>
        <v>117505.912</v>
      </c>
      <c r="T8" s="1093">
        <f t="shared" si="3"/>
        <v>40861.856</v>
      </c>
      <c r="U8" s="1093">
        <f t="shared" si="4"/>
        <v>16617.168000000001</v>
      </c>
      <c r="V8" s="1093">
        <f t="shared" si="5"/>
        <v>3146.56</v>
      </c>
      <c r="W8" s="1093">
        <f t="shared" si="6"/>
        <v>1741.2720000000002</v>
      </c>
      <c r="X8" s="1093">
        <f t="shared" si="7"/>
        <v>50150.400000000001</v>
      </c>
      <c r="Y8" s="1093">
        <f t="shared" si="9"/>
        <v>4988.6559999999999</v>
      </c>
    </row>
    <row r="9" spans="2:25">
      <c r="B9" s="2" t="s">
        <v>91</v>
      </c>
      <c r="C9" s="20">
        <f t="shared" ref="C9:O9" si="12">C79*0.8</f>
        <v>144233.67199999999</v>
      </c>
      <c r="D9" s="20">
        <f t="shared" si="12"/>
        <v>26473.567999999996</v>
      </c>
      <c r="E9" s="20">
        <f t="shared" si="12"/>
        <v>17660.376</v>
      </c>
      <c r="F9" s="20">
        <f t="shared" si="12"/>
        <v>1998.8319999999978</v>
      </c>
      <c r="G9" s="20">
        <f t="shared" si="12"/>
        <v>119342.28000000001</v>
      </c>
      <c r="H9" s="20">
        <f t="shared" si="12"/>
        <v>1645.56</v>
      </c>
      <c r="I9" s="20">
        <f t="shared" si="12"/>
        <v>4918.0960000000005</v>
      </c>
      <c r="J9" s="20">
        <f t="shared" si="12"/>
        <v>0</v>
      </c>
      <c r="K9" s="20">
        <f t="shared" si="12"/>
        <v>2486.4160000000002</v>
      </c>
      <c r="L9" s="20">
        <f t="shared" si="12"/>
        <v>470.16000000000008</v>
      </c>
      <c r="M9" s="20">
        <f t="shared" si="12"/>
        <v>0</v>
      </c>
      <c r="N9" s="20">
        <f t="shared" si="12"/>
        <v>0</v>
      </c>
      <c r="O9" s="20">
        <f t="shared" si="12"/>
        <v>0</v>
      </c>
      <c r="P9" s="20">
        <f t="shared" si="1"/>
        <v>0</v>
      </c>
      <c r="Q9" s="20">
        <f t="shared" ref="Q9:R28" si="13">Q79*0.8</f>
        <v>40.840000000000003</v>
      </c>
      <c r="R9" s="20">
        <f t="shared" si="13"/>
        <v>408.42399999999998</v>
      </c>
      <c r="S9" s="10">
        <f t="shared" si="2"/>
        <v>319678.22400000005</v>
      </c>
      <c r="T9" s="1093">
        <f t="shared" si="3"/>
        <v>144233.67199999999</v>
      </c>
      <c r="U9" s="1093">
        <f t="shared" si="4"/>
        <v>26473.567999999996</v>
      </c>
      <c r="V9" s="1093">
        <f t="shared" si="5"/>
        <v>17660.376</v>
      </c>
      <c r="W9" s="1093">
        <f t="shared" si="6"/>
        <v>1998.8319999999978</v>
      </c>
      <c r="X9" s="1093">
        <f t="shared" si="7"/>
        <v>119342.28000000001</v>
      </c>
      <c r="Y9" s="1093">
        <f t="shared" si="9"/>
        <v>9969.4959999999992</v>
      </c>
    </row>
    <row r="10" spans="2:25">
      <c r="B10" s="2" t="s">
        <v>92</v>
      </c>
      <c r="C10" s="20">
        <f t="shared" ref="C10:O10" si="14">C80*0.8</f>
        <v>100681.424</v>
      </c>
      <c r="D10" s="20">
        <f t="shared" si="14"/>
        <v>13491.567999999994</v>
      </c>
      <c r="E10" s="20">
        <f t="shared" si="14"/>
        <v>7805.4240000000009</v>
      </c>
      <c r="F10" s="20">
        <f t="shared" si="14"/>
        <v>0</v>
      </c>
      <c r="G10" s="20">
        <f t="shared" si="14"/>
        <v>85020.6</v>
      </c>
      <c r="H10" s="20">
        <f t="shared" si="14"/>
        <v>1880.6400000000003</v>
      </c>
      <c r="I10" s="20">
        <f t="shared" si="14"/>
        <v>2185.9520000000002</v>
      </c>
      <c r="J10" s="20">
        <f t="shared" si="14"/>
        <v>0</v>
      </c>
      <c r="K10" s="20">
        <f t="shared" si="14"/>
        <v>1650.6080000000002</v>
      </c>
      <c r="L10" s="20">
        <f t="shared" si="14"/>
        <v>235.08000000000004</v>
      </c>
      <c r="M10" s="20">
        <f t="shared" si="14"/>
        <v>0</v>
      </c>
      <c r="N10" s="20">
        <f t="shared" si="14"/>
        <v>0</v>
      </c>
      <c r="O10" s="20">
        <f t="shared" si="14"/>
        <v>45.712000000000003</v>
      </c>
      <c r="P10" s="20">
        <f t="shared" si="1"/>
        <v>0</v>
      </c>
      <c r="Q10" s="20">
        <f t="shared" si="13"/>
        <v>0</v>
      </c>
      <c r="R10" s="20">
        <f t="shared" si="13"/>
        <v>0</v>
      </c>
      <c r="S10" s="10">
        <f t="shared" si="2"/>
        <v>212997.008</v>
      </c>
      <c r="T10" s="1093">
        <f t="shared" si="3"/>
        <v>100681.424</v>
      </c>
      <c r="U10" s="1093">
        <f t="shared" si="4"/>
        <v>13491.567999999994</v>
      </c>
      <c r="V10" s="1093">
        <f t="shared" si="5"/>
        <v>7805.4240000000009</v>
      </c>
      <c r="W10" s="1093">
        <f t="shared" si="6"/>
        <v>0</v>
      </c>
      <c r="X10" s="1093">
        <f t="shared" si="7"/>
        <v>85020.6</v>
      </c>
      <c r="Y10" s="1093">
        <f t="shared" si="9"/>
        <v>5997.9920000000011</v>
      </c>
    </row>
    <row r="11" spans="2:25">
      <c r="B11" s="2" t="s">
        <v>93</v>
      </c>
      <c r="C11" s="20">
        <f t="shared" ref="C11:O11" si="15">C81*0.8</f>
        <v>109989.77600000001</v>
      </c>
      <c r="D11" s="20">
        <f t="shared" si="15"/>
        <v>27928.295999999998</v>
      </c>
      <c r="E11" s="20">
        <f t="shared" si="15"/>
        <v>8830.1759999999995</v>
      </c>
      <c r="F11" s="20">
        <f t="shared" si="15"/>
        <v>353.79199999999986</v>
      </c>
      <c r="G11" s="20">
        <f t="shared" si="15"/>
        <v>116364.6</v>
      </c>
      <c r="H11" s="20">
        <f t="shared" si="15"/>
        <v>1645.56</v>
      </c>
      <c r="I11" s="20">
        <f t="shared" si="15"/>
        <v>5356.4720000000007</v>
      </c>
      <c r="J11" s="20">
        <f t="shared" si="15"/>
        <v>0</v>
      </c>
      <c r="K11" s="20">
        <f t="shared" si="15"/>
        <v>1887.68</v>
      </c>
      <c r="L11" s="20">
        <f t="shared" si="15"/>
        <v>705.24</v>
      </c>
      <c r="M11" s="20">
        <f t="shared" si="15"/>
        <v>0</v>
      </c>
      <c r="N11" s="20">
        <f t="shared" si="15"/>
        <v>0</v>
      </c>
      <c r="O11" s="20">
        <f t="shared" si="15"/>
        <v>68.567999999999998</v>
      </c>
      <c r="P11" s="20">
        <f t="shared" si="1"/>
        <v>0</v>
      </c>
      <c r="Q11" s="20">
        <f t="shared" si="13"/>
        <v>0</v>
      </c>
      <c r="R11" s="20">
        <f t="shared" si="13"/>
        <v>0</v>
      </c>
      <c r="S11" s="10">
        <f t="shared" si="2"/>
        <v>273130.16000000003</v>
      </c>
      <c r="T11" s="1093">
        <f t="shared" si="3"/>
        <v>109989.77600000001</v>
      </c>
      <c r="U11" s="1093">
        <f t="shared" si="4"/>
        <v>27928.295999999998</v>
      </c>
      <c r="V11" s="1093">
        <f t="shared" si="5"/>
        <v>8830.1759999999995</v>
      </c>
      <c r="W11" s="1093">
        <f t="shared" si="6"/>
        <v>353.79199999999986</v>
      </c>
      <c r="X11" s="1093">
        <f t="shared" si="7"/>
        <v>116364.6</v>
      </c>
      <c r="Y11" s="1093">
        <f t="shared" si="9"/>
        <v>9663.52</v>
      </c>
    </row>
    <row r="12" spans="2:25">
      <c r="B12" s="2" t="s">
        <v>94</v>
      </c>
      <c r="C12" s="20">
        <f t="shared" ref="C12:O12" si="16">C82*0.8</f>
        <v>97065.48000000001</v>
      </c>
      <c r="D12" s="20">
        <f t="shared" si="16"/>
        <v>7222.9359999999988</v>
      </c>
      <c r="E12" s="20">
        <f t="shared" si="16"/>
        <v>6823.92</v>
      </c>
      <c r="F12" s="20">
        <f t="shared" si="16"/>
        <v>2920.7759999999998</v>
      </c>
      <c r="G12" s="20">
        <f t="shared" si="16"/>
        <v>97009.680000000008</v>
      </c>
      <c r="H12" s="20">
        <f t="shared" si="16"/>
        <v>861.96</v>
      </c>
      <c r="I12" s="20">
        <f t="shared" si="16"/>
        <v>2601.5119999999997</v>
      </c>
      <c r="J12" s="20">
        <f t="shared" si="16"/>
        <v>743.80000000000007</v>
      </c>
      <c r="K12" s="20">
        <f t="shared" si="16"/>
        <v>475.24000000000007</v>
      </c>
      <c r="L12" s="20">
        <f t="shared" si="16"/>
        <v>235.08000000000004</v>
      </c>
      <c r="M12" s="20">
        <f t="shared" si="16"/>
        <v>0</v>
      </c>
      <c r="N12" s="20">
        <f t="shared" si="16"/>
        <v>0</v>
      </c>
      <c r="O12" s="20">
        <f t="shared" si="16"/>
        <v>45.712000000000003</v>
      </c>
      <c r="P12" s="20">
        <f t="shared" si="1"/>
        <v>0</v>
      </c>
      <c r="Q12" s="20">
        <f t="shared" si="13"/>
        <v>0</v>
      </c>
      <c r="R12" s="20">
        <f t="shared" si="13"/>
        <v>0</v>
      </c>
      <c r="S12" s="10">
        <f t="shared" si="2"/>
        <v>216006.09599999996</v>
      </c>
      <c r="T12" s="1093">
        <f t="shared" si="3"/>
        <v>97065.48000000001</v>
      </c>
      <c r="U12" s="1093">
        <f t="shared" si="4"/>
        <v>7222.9359999999988</v>
      </c>
      <c r="V12" s="1093">
        <f t="shared" si="5"/>
        <v>6823.92</v>
      </c>
      <c r="W12" s="1093">
        <f t="shared" si="6"/>
        <v>2920.7759999999998</v>
      </c>
      <c r="X12" s="1093">
        <f t="shared" si="7"/>
        <v>97009.680000000008</v>
      </c>
      <c r="Y12" s="1093">
        <f t="shared" si="9"/>
        <v>4963.3040000000001</v>
      </c>
    </row>
    <row r="13" spans="2:25">
      <c r="B13" s="2" t="s">
        <v>95</v>
      </c>
      <c r="C13" s="20">
        <f t="shared" ref="C13:O13" si="17">C83*0.8</f>
        <v>104491.17600000001</v>
      </c>
      <c r="D13" s="20">
        <f t="shared" si="17"/>
        <v>25897.552000000003</v>
      </c>
      <c r="E13" s="20">
        <f t="shared" si="17"/>
        <v>11978.008000000002</v>
      </c>
      <c r="F13" s="20">
        <f t="shared" si="17"/>
        <v>4266.9680000000008</v>
      </c>
      <c r="G13" s="20">
        <f t="shared" si="17"/>
        <v>251457.24</v>
      </c>
      <c r="H13" s="20">
        <f t="shared" si="17"/>
        <v>2115.7199999999998</v>
      </c>
      <c r="I13" s="20">
        <f t="shared" si="17"/>
        <v>5382.8320000000003</v>
      </c>
      <c r="J13" s="20">
        <f t="shared" si="17"/>
        <v>1203.2719999999999</v>
      </c>
      <c r="K13" s="20">
        <f t="shared" si="17"/>
        <v>2312.1520000000005</v>
      </c>
      <c r="L13" s="20">
        <f t="shared" si="17"/>
        <v>235.08000000000004</v>
      </c>
      <c r="M13" s="20">
        <f t="shared" si="17"/>
        <v>0</v>
      </c>
      <c r="N13" s="20">
        <f t="shared" si="17"/>
        <v>0</v>
      </c>
      <c r="O13" s="20">
        <f t="shared" si="17"/>
        <v>68.567999999999998</v>
      </c>
      <c r="P13" s="20">
        <f t="shared" si="1"/>
        <v>0</v>
      </c>
      <c r="Q13" s="20">
        <f t="shared" si="13"/>
        <v>0</v>
      </c>
      <c r="R13" s="20">
        <f t="shared" si="13"/>
        <v>0</v>
      </c>
      <c r="S13" s="10">
        <f t="shared" si="2"/>
        <v>409408.56800000003</v>
      </c>
      <c r="T13" s="1093">
        <f t="shared" si="3"/>
        <v>104491.17600000001</v>
      </c>
      <c r="U13" s="1093">
        <f t="shared" si="4"/>
        <v>25897.552000000003</v>
      </c>
      <c r="V13" s="1093">
        <f t="shared" si="5"/>
        <v>11978.008000000002</v>
      </c>
      <c r="W13" s="1093">
        <f t="shared" si="6"/>
        <v>4266.9680000000008</v>
      </c>
      <c r="X13" s="1093">
        <f t="shared" si="7"/>
        <v>251457.24</v>
      </c>
      <c r="Y13" s="1093">
        <f t="shared" si="9"/>
        <v>11317.624</v>
      </c>
    </row>
    <row r="14" spans="2:25">
      <c r="B14" s="2" t="s">
        <v>96</v>
      </c>
      <c r="C14" s="20">
        <f t="shared" ref="C14:O14" si="18">C84*0.8</f>
        <v>45941.408000000003</v>
      </c>
      <c r="D14" s="20">
        <f t="shared" si="18"/>
        <v>12548.400000000007</v>
      </c>
      <c r="E14" s="20">
        <f t="shared" si="18"/>
        <v>3039.8960000000002</v>
      </c>
      <c r="F14" s="20">
        <f t="shared" si="18"/>
        <v>1868.3120000000004</v>
      </c>
      <c r="G14" s="20">
        <f t="shared" si="18"/>
        <v>40120.320000000007</v>
      </c>
      <c r="H14" s="20">
        <f t="shared" si="18"/>
        <v>548.5200000000001</v>
      </c>
      <c r="I14" s="20">
        <f t="shared" si="18"/>
        <v>1800.4079999999999</v>
      </c>
      <c r="J14" s="20">
        <f t="shared" si="18"/>
        <v>0</v>
      </c>
      <c r="K14" s="20">
        <f t="shared" si="18"/>
        <v>1203.52</v>
      </c>
      <c r="L14" s="20">
        <f t="shared" si="18"/>
        <v>235.08000000000004</v>
      </c>
      <c r="M14" s="20">
        <f t="shared" si="18"/>
        <v>0</v>
      </c>
      <c r="N14" s="20">
        <f t="shared" si="18"/>
        <v>0</v>
      </c>
      <c r="O14" s="20">
        <f t="shared" si="18"/>
        <v>0</v>
      </c>
      <c r="P14" s="20">
        <f t="shared" si="1"/>
        <v>0</v>
      </c>
      <c r="Q14" s="20">
        <f t="shared" si="13"/>
        <v>0</v>
      </c>
      <c r="R14" s="20">
        <f t="shared" si="13"/>
        <v>0</v>
      </c>
      <c r="S14" s="10">
        <f t="shared" si="2"/>
        <v>107305.86400000002</v>
      </c>
      <c r="T14" s="1093">
        <f t="shared" si="3"/>
        <v>45941.408000000003</v>
      </c>
      <c r="U14" s="1093">
        <f t="shared" si="4"/>
        <v>12548.400000000007</v>
      </c>
      <c r="V14" s="1093">
        <f t="shared" si="5"/>
        <v>3039.8960000000002</v>
      </c>
      <c r="W14" s="1093">
        <f t="shared" si="6"/>
        <v>1868.3120000000004</v>
      </c>
      <c r="X14" s="1093">
        <f t="shared" si="7"/>
        <v>40120.320000000007</v>
      </c>
      <c r="Y14" s="1093">
        <f t="shared" si="9"/>
        <v>3787.5279999999998</v>
      </c>
    </row>
    <row r="15" spans="2:25">
      <c r="B15" s="2" t="s">
        <v>97</v>
      </c>
      <c r="C15" s="20">
        <f t="shared" ref="C15:O15" si="19">C85*0.8</f>
        <v>75994.296000000002</v>
      </c>
      <c r="D15" s="20">
        <f t="shared" si="19"/>
        <v>32080.760000000009</v>
      </c>
      <c r="E15" s="20">
        <f t="shared" si="19"/>
        <v>5109.4160000000011</v>
      </c>
      <c r="F15" s="20">
        <f t="shared" si="19"/>
        <v>1996.6240000000007</v>
      </c>
      <c r="G15" s="20">
        <f t="shared" si="19"/>
        <v>222777.47999999998</v>
      </c>
      <c r="H15" s="20">
        <f t="shared" si="19"/>
        <v>1645.56</v>
      </c>
      <c r="I15" s="20">
        <f t="shared" si="19"/>
        <v>4633.4079999999994</v>
      </c>
      <c r="J15" s="20">
        <f t="shared" si="19"/>
        <v>0</v>
      </c>
      <c r="K15" s="20">
        <f t="shared" si="19"/>
        <v>2805.384</v>
      </c>
      <c r="L15" s="20">
        <f t="shared" si="19"/>
        <v>626.88000000000011</v>
      </c>
      <c r="M15" s="20">
        <f t="shared" si="19"/>
        <v>0</v>
      </c>
      <c r="N15" s="20">
        <f t="shared" si="19"/>
        <v>0</v>
      </c>
      <c r="O15" s="20">
        <f t="shared" si="19"/>
        <v>22.856000000000002</v>
      </c>
      <c r="P15" s="20">
        <f t="shared" si="1"/>
        <v>0</v>
      </c>
      <c r="Q15" s="20">
        <f t="shared" si="13"/>
        <v>0</v>
      </c>
      <c r="R15" s="20">
        <f t="shared" si="13"/>
        <v>0</v>
      </c>
      <c r="S15" s="10">
        <f t="shared" si="2"/>
        <v>347692.66400000005</v>
      </c>
      <c r="T15" s="1093">
        <f t="shared" si="3"/>
        <v>75994.296000000002</v>
      </c>
      <c r="U15" s="1093">
        <f t="shared" si="4"/>
        <v>32080.760000000009</v>
      </c>
      <c r="V15" s="1093">
        <f t="shared" si="5"/>
        <v>5109.4160000000011</v>
      </c>
      <c r="W15" s="1093">
        <f t="shared" si="6"/>
        <v>1996.6240000000007</v>
      </c>
      <c r="X15" s="1093">
        <f t="shared" si="7"/>
        <v>222777.47999999998</v>
      </c>
      <c r="Y15" s="1093">
        <f t="shared" si="9"/>
        <v>9734.0879999999997</v>
      </c>
    </row>
    <row r="16" spans="2:25">
      <c r="B16" s="2" t="s">
        <v>98</v>
      </c>
      <c r="C16" s="20">
        <f t="shared" ref="C16:O16" si="20">C86*0.8</f>
        <v>70911.368000000002</v>
      </c>
      <c r="D16" s="20">
        <f t="shared" si="20"/>
        <v>15290.399999999989</v>
      </c>
      <c r="E16" s="20">
        <f t="shared" si="20"/>
        <v>12108.832000000002</v>
      </c>
      <c r="F16" s="20">
        <f t="shared" si="20"/>
        <v>3067.3919999999985</v>
      </c>
      <c r="G16" s="20">
        <f t="shared" si="20"/>
        <v>155543.88</v>
      </c>
      <c r="H16" s="20">
        <f t="shared" si="20"/>
        <v>861.96</v>
      </c>
      <c r="I16" s="20">
        <f t="shared" si="20"/>
        <v>3025.328</v>
      </c>
      <c r="J16" s="20">
        <f t="shared" si="20"/>
        <v>0</v>
      </c>
      <c r="K16" s="20">
        <f t="shared" si="20"/>
        <v>1718.5439999999999</v>
      </c>
      <c r="L16" s="20">
        <f t="shared" si="20"/>
        <v>391.8</v>
      </c>
      <c r="M16" s="20">
        <f t="shared" si="20"/>
        <v>0</v>
      </c>
      <c r="N16" s="20">
        <f t="shared" si="20"/>
        <v>622.32000000000005</v>
      </c>
      <c r="O16" s="20">
        <f t="shared" si="20"/>
        <v>68.567999999999998</v>
      </c>
      <c r="P16" s="20">
        <f t="shared" si="1"/>
        <v>0</v>
      </c>
      <c r="Q16" s="20">
        <f t="shared" si="13"/>
        <v>0</v>
      </c>
      <c r="R16" s="20">
        <f t="shared" si="13"/>
        <v>0</v>
      </c>
      <c r="S16" s="10">
        <f t="shared" si="2"/>
        <v>263610.39200000005</v>
      </c>
      <c r="T16" s="1093">
        <f t="shared" si="3"/>
        <v>70911.368000000002</v>
      </c>
      <c r="U16" s="1093">
        <f t="shared" si="4"/>
        <v>15290.399999999989</v>
      </c>
      <c r="V16" s="1093">
        <f t="shared" si="5"/>
        <v>12108.832000000002</v>
      </c>
      <c r="W16" s="1093">
        <f t="shared" si="6"/>
        <v>3067.3919999999985</v>
      </c>
      <c r="X16" s="1093">
        <f t="shared" si="7"/>
        <v>155543.88</v>
      </c>
      <c r="Y16" s="1093">
        <f t="shared" si="9"/>
        <v>6688.52</v>
      </c>
    </row>
    <row r="17" spans="2:25">
      <c r="B17" s="2" t="s">
        <v>99</v>
      </c>
      <c r="C17" s="20">
        <f t="shared" ref="C17:O17" si="21">C87*0.8</f>
        <v>399205.88800000004</v>
      </c>
      <c r="D17" s="20">
        <f t="shared" si="21"/>
        <v>97839.735999999946</v>
      </c>
      <c r="E17" s="20">
        <f t="shared" si="21"/>
        <v>40958.632000000005</v>
      </c>
      <c r="F17" s="20">
        <f t="shared" si="21"/>
        <v>10326.151999999996</v>
      </c>
      <c r="G17" s="20">
        <f t="shared" si="21"/>
        <v>374795.88</v>
      </c>
      <c r="H17" s="20">
        <f t="shared" si="21"/>
        <v>3056.04</v>
      </c>
      <c r="I17" s="20">
        <f t="shared" si="21"/>
        <v>19158.871999999999</v>
      </c>
      <c r="J17" s="20">
        <f t="shared" si="21"/>
        <v>0</v>
      </c>
      <c r="K17" s="20">
        <f t="shared" si="21"/>
        <v>8270.7360000000008</v>
      </c>
      <c r="L17" s="20">
        <f t="shared" si="21"/>
        <v>3604.56</v>
      </c>
      <c r="M17" s="20">
        <f t="shared" si="21"/>
        <v>0</v>
      </c>
      <c r="N17" s="20">
        <f t="shared" si="21"/>
        <v>0</v>
      </c>
      <c r="O17" s="20">
        <f t="shared" si="21"/>
        <v>251.416</v>
      </c>
      <c r="P17" s="20">
        <f t="shared" si="1"/>
        <v>0</v>
      </c>
      <c r="Q17" s="20">
        <f t="shared" si="13"/>
        <v>0</v>
      </c>
      <c r="R17" s="20">
        <f t="shared" si="13"/>
        <v>0</v>
      </c>
      <c r="S17" s="10">
        <f t="shared" si="2"/>
        <v>957467.91200000001</v>
      </c>
      <c r="T17" s="1093">
        <f t="shared" si="3"/>
        <v>399205.88800000004</v>
      </c>
      <c r="U17" s="1093">
        <f t="shared" si="4"/>
        <v>97839.735999999946</v>
      </c>
      <c r="V17" s="1093">
        <f t="shared" si="5"/>
        <v>40958.632000000005</v>
      </c>
      <c r="W17" s="1093">
        <f t="shared" si="6"/>
        <v>10326.151999999996</v>
      </c>
      <c r="X17" s="1093">
        <f t="shared" si="7"/>
        <v>374795.88</v>
      </c>
      <c r="Y17" s="1093">
        <f t="shared" si="9"/>
        <v>34341.623999999996</v>
      </c>
    </row>
    <row r="18" spans="2:25">
      <c r="B18" s="2" t="s">
        <v>100</v>
      </c>
      <c r="C18" s="20">
        <f t="shared" ref="C18:O18" si="22">C88*0.8</f>
        <v>63045.144</v>
      </c>
      <c r="D18" s="20">
        <f t="shared" si="22"/>
        <v>18482.392000000003</v>
      </c>
      <c r="E18" s="20">
        <f t="shared" si="22"/>
        <v>6186.4560000000001</v>
      </c>
      <c r="F18" s="20">
        <f t="shared" si="22"/>
        <v>1601.4639999999999</v>
      </c>
      <c r="G18" s="20">
        <f t="shared" si="22"/>
        <v>58064.76</v>
      </c>
      <c r="H18" s="20">
        <f t="shared" si="22"/>
        <v>1175.4000000000001</v>
      </c>
      <c r="I18" s="20">
        <f t="shared" si="22"/>
        <v>3438.2000000000003</v>
      </c>
      <c r="J18" s="20">
        <f t="shared" si="22"/>
        <v>0</v>
      </c>
      <c r="K18" s="20">
        <f t="shared" si="22"/>
        <v>1925.1760000000004</v>
      </c>
      <c r="L18" s="20">
        <f t="shared" si="22"/>
        <v>626.88000000000011</v>
      </c>
      <c r="M18" s="20">
        <f t="shared" si="22"/>
        <v>0</v>
      </c>
      <c r="N18" s="20">
        <f t="shared" si="22"/>
        <v>0</v>
      </c>
      <c r="O18" s="20">
        <f t="shared" si="22"/>
        <v>45.712000000000003</v>
      </c>
      <c r="P18" s="20">
        <f t="shared" si="1"/>
        <v>0</v>
      </c>
      <c r="Q18" s="20">
        <f t="shared" si="13"/>
        <v>0</v>
      </c>
      <c r="R18" s="20">
        <f t="shared" si="13"/>
        <v>0</v>
      </c>
      <c r="S18" s="10">
        <f t="shared" si="2"/>
        <v>154591.58400000003</v>
      </c>
      <c r="T18" s="1093">
        <f t="shared" si="3"/>
        <v>63045.144</v>
      </c>
      <c r="U18" s="1093">
        <f t="shared" si="4"/>
        <v>18482.392000000003</v>
      </c>
      <c r="V18" s="1093">
        <f t="shared" si="5"/>
        <v>6186.4560000000001</v>
      </c>
      <c r="W18" s="1093">
        <f t="shared" si="6"/>
        <v>1601.4639999999999</v>
      </c>
      <c r="X18" s="1093">
        <f t="shared" si="7"/>
        <v>58064.76</v>
      </c>
      <c r="Y18" s="1093">
        <f t="shared" si="9"/>
        <v>7211.3680000000013</v>
      </c>
    </row>
    <row r="19" spans="2:25">
      <c r="B19" s="2" t="s">
        <v>101</v>
      </c>
      <c r="C19" s="20">
        <f t="shared" ref="C19:O19" si="23">C89*0.8</f>
        <v>64099.216000000008</v>
      </c>
      <c r="D19" s="20">
        <f t="shared" si="23"/>
        <v>18175.511999999988</v>
      </c>
      <c r="E19" s="20">
        <f t="shared" si="23"/>
        <v>4223.3919999999998</v>
      </c>
      <c r="F19" s="20">
        <f t="shared" si="23"/>
        <v>836.2080000000002</v>
      </c>
      <c r="G19" s="20">
        <f t="shared" si="23"/>
        <v>64960.44</v>
      </c>
      <c r="H19" s="20">
        <f t="shared" si="23"/>
        <v>470.16000000000008</v>
      </c>
      <c r="I19" s="20">
        <f t="shared" si="23"/>
        <v>2643.5520000000001</v>
      </c>
      <c r="J19" s="20">
        <f t="shared" si="23"/>
        <v>0</v>
      </c>
      <c r="K19" s="20">
        <f t="shared" si="23"/>
        <v>1696.6000000000001</v>
      </c>
      <c r="L19" s="20">
        <f t="shared" si="23"/>
        <v>0</v>
      </c>
      <c r="M19" s="20">
        <f t="shared" si="23"/>
        <v>0</v>
      </c>
      <c r="N19" s="20">
        <f t="shared" si="23"/>
        <v>0</v>
      </c>
      <c r="O19" s="20">
        <f t="shared" si="23"/>
        <v>22.856000000000002</v>
      </c>
      <c r="P19" s="20">
        <f t="shared" si="1"/>
        <v>0</v>
      </c>
      <c r="Q19" s="20">
        <f t="shared" si="13"/>
        <v>0</v>
      </c>
      <c r="R19" s="20">
        <f t="shared" si="13"/>
        <v>0</v>
      </c>
      <c r="S19" s="10">
        <f t="shared" si="2"/>
        <v>157127.93599999999</v>
      </c>
      <c r="T19" s="1093">
        <f t="shared" si="3"/>
        <v>64099.216000000008</v>
      </c>
      <c r="U19" s="1093">
        <f t="shared" si="4"/>
        <v>18175.511999999988</v>
      </c>
      <c r="V19" s="1093">
        <f t="shared" si="5"/>
        <v>4223.3919999999998</v>
      </c>
      <c r="W19" s="1093">
        <f t="shared" si="6"/>
        <v>836.2080000000002</v>
      </c>
      <c r="X19" s="1093">
        <f t="shared" si="7"/>
        <v>64960.44</v>
      </c>
      <c r="Y19" s="1093">
        <f t="shared" si="9"/>
        <v>4833.1680000000006</v>
      </c>
    </row>
    <row r="20" spans="2:25">
      <c r="B20" s="2" t="s">
        <v>102</v>
      </c>
      <c r="C20" s="20">
        <f t="shared" ref="C20:O20" si="24">C90*0.8</f>
        <v>333465.31200000003</v>
      </c>
      <c r="D20" s="20">
        <f t="shared" si="24"/>
        <v>58988.439999999995</v>
      </c>
      <c r="E20" s="20">
        <f t="shared" si="24"/>
        <v>56680.959999999999</v>
      </c>
      <c r="F20" s="20">
        <f t="shared" si="24"/>
        <v>15796.040000000003</v>
      </c>
      <c r="G20" s="20">
        <f t="shared" si="24"/>
        <v>559255.32000000007</v>
      </c>
      <c r="H20" s="20">
        <f t="shared" si="24"/>
        <v>6268.8</v>
      </c>
      <c r="I20" s="20">
        <f t="shared" si="24"/>
        <v>10449.031999999999</v>
      </c>
      <c r="J20" s="20">
        <f t="shared" si="24"/>
        <v>470.16000000000008</v>
      </c>
      <c r="K20" s="20">
        <f t="shared" si="24"/>
        <v>7174.4319999999998</v>
      </c>
      <c r="L20" s="20">
        <f t="shared" si="24"/>
        <v>3134.4</v>
      </c>
      <c r="M20" s="20">
        <f t="shared" si="24"/>
        <v>156.72000000000003</v>
      </c>
      <c r="N20" s="20">
        <f t="shared" si="24"/>
        <v>0</v>
      </c>
      <c r="O20" s="20">
        <f t="shared" si="24"/>
        <v>114.28</v>
      </c>
      <c r="P20" s="20">
        <f t="shared" si="1"/>
        <v>0</v>
      </c>
      <c r="Q20" s="20">
        <f t="shared" si="13"/>
        <v>0</v>
      </c>
      <c r="R20" s="20">
        <f t="shared" si="13"/>
        <v>0</v>
      </c>
      <c r="S20" s="10">
        <f t="shared" si="2"/>
        <v>1051953.8960000002</v>
      </c>
      <c r="T20" s="1093">
        <f t="shared" si="3"/>
        <v>333465.31200000003</v>
      </c>
      <c r="U20" s="1093">
        <f t="shared" si="4"/>
        <v>58988.439999999995</v>
      </c>
      <c r="V20" s="1093">
        <f t="shared" si="5"/>
        <v>56680.959999999999</v>
      </c>
      <c r="W20" s="1093">
        <f t="shared" si="6"/>
        <v>15796.040000000003</v>
      </c>
      <c r="X20" s="1093">
        <f t="shared" si="7"/>
        <v>559255.32000000007</v>
      </c>
      <c r="Y20" s="1093">
        <f t="shared" si="9"/>
        <v>27767.824000000001</v>
      </c>
    </row>
    <row r="21" spans="2:25">
      <c r="B21" s="2" t="s">
        <v>103</v>
      </c>
      <c r="C21" s="20">
        <f t="shared" ref="C21:O21" si="25">C91*0.8</f>
        <v>107163.20800000001</v>
      </c>
      <c r="D21" s="20">
        <f t="shared" si="25"/>
        <v>26410.552000000003</v>
      </c>
      <c r="E21" s="20">
        <f t="shared" si="25"/>
        <v>7561.6320000000014</v>
      </c>
      <c r="F21" s="20">
        <f t="shared" si="25"/>
        <v>1809.12</v>
      </c>
      <c r="G21" s="20">
        <f t="shared" si="25"/>
        <v>107588.28000000001</v>
      </c>
      <c r="H21" s="20">
        <f t="shared" si="25"/>
        <v>626.88000000000011</v>
      </c>
      <c r="I21" s="20">
        <f t="shared" si="25"/>
        <v>4415.7759999999998</v>
      </c>
      <c r="J21" s="20">
        <f t="shared" si="25"/>
        <v>227.42399999999998</v>
      </c>
      <c r="K21" s="20">
        <f t="shared" si="25"/>
        <v>3466.56</v>
      </c>
      <c r="L21" s="20">
        <f t="shared" si="25"/>
        <v>1410.48</v>
      </c>
      <c r="M21" s="20">
        <f t="shared" si="25"/>
        <v>0</v>
      </c>
      <c r="N21" s="20">
        <f t="shared" si="25"/>
        <v>0</v>
      </c>
      <c r="O21" s="20">
        <f t="shared" si="25"/>
        <v>45.712000000000003</v>
      </c>
      <c r="P21" s="20">
        <f t="shared" si="1"/>
        <v>0</v>
      </c>
      <c r="Q21" s="20">
        <f t="shared" si="13"/>
        <v>0</v>
      </c>
      <c r="R21" s="20">
        <f t="shared" si="13"/>
        <v>0</v>
      </c>
      <c r="S21" s="10">
        <f t="shared" si="2"/>
        <v>260725.62400000004</v>
      </c>
      <c r="T21" s="1093">
        <f t="shared" si="3"/>
        <v>107163.20800000001</v>
      </c>
      <c r="U21" s="1093">
        <f t="shared" si="4"/>
        <v>26410.552000000003</v>
      </c>
      <c r="V21" s="1093">
        <f t="shared" si="5"/>
        <v>7561.6320000000014</v>
      </c>
      <c r="W21" s="1093">
        <f t="shared" si="6"/>
        <v>1809.12</v>
      </c>
      <c r="X21" s="1093">
        <f t="shared" si="7"/>
        <v>107588.28000000001</v>
      </c>
      <c r="Y21" s="1093">
        <f t="shared" si="9"/>
        <v>10192.831999999999</v>
      </c>
    </row>
    <row r="22" spans="2:25">
      <c r="B22" s="2" t="s">
        <v>104</v>
      </c>
      <c r="C22" s="20">
        <f t="shared" ref="C22:O22" si="26">C92*0.8</f>
        <v>30025.335999999999</v>
      </c>
      <c r="D22" s="20">
        <f t="shared" si="26"/>
        <v>2514.9840000000027</v>
      </c>
      <c r="E22" s="20">
        <f t="shared" si="26"/>
        <v>5601.0879999999997</v>
      </c>
      <c r="F22" s="20">
        <f t="shared" si="26"/>
        <v>1663.8879999999999</v>
      </c>
      <c r="G22" s="20">
        <f t="shared" si="26"/>
        <v>33929.879999999997</v>
      </c>
      <c r="H22" s="20">
        <f t="shared" si="26"/>
        <v>156.72000000000003</v>
      </c>
      <c r="I22" s="20">
        <f t="shared" si="26"/>
        <v>471.04800000000006</v>
      </c>
      <c r="J22" s="20">
        <f t="shared" si="26"/>
        <v>0</v>
      </c>
      <c r="K22" s="20">
        <f t="shared" si="26"/>
        <v>734.67200000000003</v>
      </c>
      <c r="L22" s="20">
        <f t="shared" si="26"/>
        <v>0</v>
      </c>
      <c r="M22" s="20">
        <f t="shared" si="26"/>
        <v>0</v>
      </c>
      <c r="N22" s="20">
        <f t="shared" si="26"/>
        <v>0</v>
      </c>
      <c r="O22" s="20">
        <f t="shared" si="26"/>
        <v>0</v>
      </c>
      <c r="P22" s="20">
        <f t="shared" si="1"/>
        <v>0</v>
      </c>
      <c r="Q22" s="20">
        <f t="shared" si="13"/>
        <v>0</v>
      </c>
      <c r="R22" s="20">
        <f t="shared" si="13"/>
        <v>0</v>
      </c>
      <c r="S22" s="10">
        <f t="shared" si="2"/>
        <v>75097.616000000009</v>
      </c>
      <c r="T22" s="1093">
        <f t="shared" si="3"/>
        <v>30025.335999999999</v>
      </c>
      <c r="U22" s="1093">
        <f t="shared" si="4"/>
        <v>2514.9840000000027</v>
      </c>
      <c r="V22" s="1093">
        <f t="shared" si="5"/>
        <v>5601.0879999999997</v>
      </c>
      <c r="W22" s="1093">
        <f t="shared" si="6"/>
        <v>1663.8879999999999</v>
      </c>
      <c r="X22" s="1093">
        <f t="shared" si="7"/>
        <v>33929.879999999997</v>
      </c>
      <c r="Y22" s="1093">
        <f t="shared" si="9"/>
        <v>1362.44</v>
      </c>
    </row>
    <row r="23" spans="2:25">
      <c r="B23" s="2" t="s">
        <v>105</v>
      </c>
      <c r="C23" s="20">
        <f t="shared" ref="C23:O23" si="27">C93*0.8</f>
        <v>370268.76</v>
      </c>
      <c r="D23" s="20">
        <f t="shared" si="27"/>
        <v>72585.807999999961</v>
      </c>
      <c r="E23" s="20">
        <f t="shared" si="27"/>
        <v>41122.344000000005</v>
      </c>
      <c r="F23" s="20">
        <f t="shared" si="27"/>
        <v>7149.4080000000022</v>
      </c>
      <c r="G23" s="20">
        <f t="shared" si="27"/>
        <v>324410.40000000002</v>
      </c>
      <c r="H23" s="20">
        <f t="shared" si="27"/>
        <v>7052.4000000000005</v>
      </c>
      <c r="I23" s="20">
        <f t="shared" si="27"/>
        <v>16830.399999999998</v>
      </c>
      <c r="J23" s="20">
        <f t="shared" si="27"/>
        <v>1025.152</v>
      </c>
      <c r="K23" s="20">
        <f t="shared" si="27"/>
        <v>6264.9440000000004</v>
      </c>
      <c r="L23" s="20">
        <f t="shared" si="27"/>
        <v>1410.48</v>
      </c>
      <c r="M23" s="20">
        <f t="shared" si="27"/>
        <v>156.72000000000003</v>
      </c>
      <c r="N23" s="20">
        <f t="shared" si="27"/>
        <v>0</v>
      </c>
      <c r="O23" s="20">
        <f t="shared" si="27"/>
        <v>228.56</v>
      </c>
      <c r="P23" s="20">
        <f t="shared" si="1"/>
        <v>0</v>
      </c>
      <c r="Q23" s="20">
        <f t="shared" si="13"/>
        <v>0</v>
      </c>
      <c r="R23" s="20">
        <f t="shared" si="13"/>
        <v>0</v>
      </c>
      <c r="S23" s="10">
        <f t="shared" si="2"/>
        <v>848505.37600000005</v>
      </c>
      <c r="T23" s="1093">
        <f t="shared" si="3"/>
        <v>370268.76</v>
      </c>
      <c r="U23" s="1093">
        <f t="shared" si="4"/>
        <v>72585.807999999961</v>
      </c>
      <c r="V23" s="1093">
        <f t="shared" si="5"/>
        <v>41122.344000000005</v>
      </c>
      <c r="W23" s="1093">
        <f t="shared" si="6"/>
        <v>7149.4080000000022</v>
      </c>
      <c r="X23" s="1093">
        <f t="shared" si="7"/>
        <v>324410.40000000002</v>
      </c>
      <c r="Y23" s="1093">
        <f t="shared" si="9"/>
        <v>32968.655999999995</v>
      </c>
    </row>
    <row r="24" spans="2:25">
      <c r="B24" s="2" t="s">
        <v>106</v>
      </c>
      <c r="C24" s="20">
        <f t="shared" ref="C24:O24" si="28">C94*0.8</f>
        <v>54233.8</v>
      </c>
      <c r="D24" s="20">
        <f t="shared" si="28"/>
        <v>20801.49600000001</v>
      </c>
      <c r="E24" s="20">
        <f t="shared" si="28"/>
        <v>2294.5360000000001</v>
      </c>
      <c r="F24" s="20">
        <f t="shared" si="28"/>
        <v>644.06399999999996</v>
      </c>
      <c r="G24" s="20">
        <f t="shared" si="28"/>
        <v>59318.52</v>
      </c>
      <c r="H24" s="20">
        <f t="shared" si="28"/>
        <v>78.360000000000014</v>
      </c>
      <c r="I24" s="20">
        <f t="shared" si="28"/>
        <v>3181.9760000000006</v>
      </c>
      <c r="J24" s="20">
        <f t="shared" si="28"/>
        <v>0</v>
      </c>
      <c r="K24" s="20">
        <f t="shared" si="28"/>
        <v>1307.3440000000001</v>
      </c>
      <c r="L24" s="20">
        <f t="shared" si="28"/>
        <v>78.360000000000014</v>
      </c>
      <c r="M24" s="20">
        <f t="shared" si="28"/>
        <v>0</v>
      </c>
      <c r="N24" s="20">
        <f t="shared" si="28"/>
        <v>0</v>
      </c>
      <c r="O24" s="20">
        <f t="shared" si="28"/>
        <v>22.856000000000002</v>
      </c>
      <c r="P24" s="20">
        <f t="shared" si="1"/>
        <v>0</v>
      </c>
      <c r="Q24" s="20">
        <f t="shared" si="13"/>
        <v>0</v>
      </c>
      <c r="R24" s="20">
        <f t="shared" si="13"/>
        <v>0</v>
      </c>
      <c r="S24" s="10">
        <f t="shared" si="2"/>
        <v>141961.31200000001</v>
      </c>
      <c r="T24" s="1093">
        <f t="shared" si="3"/>
        <v>54233.8</v>
      </c>
      <c r="U24" s="1093">
        <f t="shared" si="4"/>
        <v>20801.49600000001</v>
      </c>
      <c r="V24" s="1093">
        <f t="shared" si="5"/>
        <v>2294.5360000000001</v>
      </c>
      <c r="W24" s="1093">
        <f t="shared" si="6"/>
        <v>644.06399999999996</v>
      </c>
      <c r="X24" s="1093">
        <f t="shared" si="7"/>
        <v>59318.52</v>
      </c>
      <c r="Y24" s="1093">
        <f t="shared" si="9"/>
        <v>4668.8959999999997</v>
      </c>
    </row>
    <row r="25" spans="2:25">
      <c r="B25" s="2" t="s">
        <v>107</v>
      </c>
      <c r="C25" s="20">
        <f t="shared" ref="C25:O25" si="29">C95*0.8</f>
        <v>353290.50400000002</v>
      </c>
      <c r="D25" s="20">
        <f t="shared" si="29"/>
        <v>62622.031999999985</v>
      </c>
      <c r="E25" s="20">
        <f t="shared" si="29"/>
        <v>43995.936000000002</v>
      </c>
      <c r="F25" s="20">
        <f t="shared" si="29"/>
        <v>13106.088000000002</v>
      </c>
      <c r="G25" s="20">
        <f t="shared" si="29"/>
        <v>549068.52</v>
      </c>
      <c r="H25" s="20">
        <f t="shared" si="29"/>
        <v>5015.04</v>
      </c>
      <c r="I25" s="20">
        <f t="shared" si="29"/>
        <v>12550.912</v>
      </c>
      <c r="J25" s="20">
        <f t="shared" si="29"/>
        <v>228.56</v>
      </c>
      <c r="K25" s="20">
        <f t="shared" si="29"/>
        <v>7231.8</v>
      </c>
      <c r="L25" s="20">
        <f t="shared" si="29"/>
        <v>4466.5199999999995</v>
      </c>
      <c r="M25" s="20">
        <f t="shared" si="29"/>
        <v>0</v>
      </c>
      <c r="N25" s="20">
        <f t="shared" si="29"/>
        <v>0</v>
      </c>
      <c r="O25" s="20">
        <f t="shared" si="29"/>
        <v>45.712000000000003</v>
      </c>
      <c r="P25" s="20">
        <f t="shared" si="1"/>
        <v>0</v>
      </c>
      <c r="Q25" s="20">
        <f t="shared" si="13"/>
        <v>0</v>
      </c>
      <c r="R25" s="20">
        <f t="shared" si="13"/>
        <v>0</v>
      </c>
      <c r="S25" s="10">
        <f t="shared" si="2"/>
        <v>1051621.6240000003</v>
      </c>
      <c r="T25" s="1093">
        <f t="shared" si="3"/>
        <v>353290.50400000002</v>
      </c>
      <c r="U25" s="1093">
        <f t="shared" si="4"/>
        <v>62622.031999999985</v>
      </c>
      <c r="V25" s="1093">
        <f t="shared" si="5"/>
        <v>43995.936000000002</v>
      </c>
      <c r="W25" s="1093">
        <f t="shared" si="6"/>
        <v>13106.088000000002</v>
      </c>
      <c r="X25" s="1093">
        <f t="shared" si="7"/>
        <v>549068.52</v>
      </c>
      <c r="Y25" s="1093">
        <f t="shared" si="9"/>
        <v>29538.544000000002</v>
      </c>
    </row>
    <row r="26" spans="2:25">
      <c r="B26" s="2" t="s">
        <v>108</v>
      </c>
      <c r="C26" s="20">
        <f t="shared" ref="C26:O26" si="30">C96*0.8</f>
        <v>39303.864000000001</v>
      </c>
      <c r="D26" s="20">
        <f t="shared" si="30"/>
        <v>4543.4799999999987</v>
      </c>
      <c r="E26" s="20">
        <f t="shared" si="30"/>
        <v>2133.2720000000004</v>
      </c>
      <c r="F26" s="20">
        <f t="shared" si="30"/>
        <v>716.53600000000006</v>
      </c>
      <c r="G26" s="20">
        <f t="shared" si="30"/>
        <v>87214.680000000008</v>
      </c>
      <c r="H26" s="20">
        <f t="shared" si="30"/>
        <v>1332.1200000000001</v>
      </c>
      <c r="I26" s="20">
        <f t="shared" si="30"/>
        <v>479.29600000000005</v>
      </c>
      <c r="J26" s="20">
        <f t="shared" si="30"/>
        <v>0</v>
      </c>
      <c r="K26" s="20">
        <f t="shared" si="30"/>
        <v>696.904</v>
      </c>
      <c r="L26" s="20">
        <f t="shared" si="30"/>
        <v>548.52</v>
      </c>
      <c r="M26" s="20">
        <f t="shared" si="30"/>
        <v>0</v>
      </c>
      <c r="N26" s="20">
        <f t="shared" si="30"/>
        <v>0</v>
      </c>
      <c r="O26" s="20">
        <f t="shared" si="30"/>
        <v>0</v>
      </c>
      <c r="P26" s="20">
        <f t="shared" si="1"/>
        <v>0</v>
      </c>
      <c r="Q26" s="20">
        <f t="shared" si="13"/>
        <v>0</v>
      </c>
      <c r="R26" s="20">
        <f t="shared" si="13"/>
        <v>0</v>
      </c>
      <c r="S26" s="10">
        <f t="shared" si="2"/>
        <v>136968.67199999999</v>
      </c>
      <c r="T26" s="1093">
        <f t="shared" si="3"/>
        <v>39303.864000000001</v>
      </c>
      <c r="U26" s="1093">
        <f t="shared" si="4"/>
        <v>4543.4799999999987</v>
      </c>
      <c r="V26" s="1093">
        <f t="shared" si="5"/>
        <v>2133.2720000000004</v>
      </c>
      <c r="W26" s="1093">
        <f t="shared" si="6"/>
        <v>716.53600000000006</v>
      </c>
      <c r="X26" s="1093">
        <f t="shared" si="7"/>
        <v>87214.680000000008</v>
      </c>
      <c r="Y26" s="1093">
        <f t="shared" si="9"/>
        <v>3056.84</v>
      </c>
    </row>
    <row r="27" spans="2:25">
      <c r="B27" s="2" t="s">
        <v>109</v>
      </c>
      <c r="C27" s="20">
        <f t="shared" ref="C27:O27" si="31">C97*0.8</f>
        <v>4822.6959999999999</v>
      </c>
      <c r="D27" s="20">
        <f t="shared" si="31"/>
        <v>144.87200000000013</v>
      </c>
      <c r="E27" s="20">
        <f t="shared" si="31"/>
        <v>548.55200000000002</v>
      </c>
      <c r="F27" s="20">
        <f t="shared" si="31"/>
        <v>0</v>
      </c>
      <c r="G27" s="20">
        <f t="shared" si="31"/>
        <v>6503.880000000001</v>
      </c>
      <c r="H27" s="20">
        <f t="shared" si="31"/>
        <v>235.08000000000004</v>
      </c>
      <c r="I27" s="20">
        <f t="shared" si="31"/>
        <v>13.384</v>
      </c>
      <c r="J27" s="20">
        <f t="shared" si="31"/>
        <v>0</v>
      </c>
      <c r="K27" s="20">
        <f t="shared" si="31"/>
        <v>0</v>
      </c>
      <c r="L27" s="20">
        <f t="shared" si="31"/>
        <v>0</v>
      </c>
      <c r="M27" s="20">
        <f t="shared" si="31"/>
        <v>0</v>
      </c>
      <c r="N27" s="20">
        <f t="shared" si="31"/>
        <v>0</v>
      </c>
      <c r="O27" s="20">
        <f t="shared" si="31"/>
        <v>0</v>
      </c>
      <c r="P27" s="20">
        <f t="shared" si="1"/>
        <v>0</v>
      </c>
      <c r="Q27" s="20">
        <f t="shared" si="13"/>
        <v>0</v>
      </c>
      <c r="R27" s="20">
        <f t="shared" si="13"/>
        <v>0</v>
      </c>
      <c r="S27" s="10">
        <f t="shared" si="2"/>
        <v>12268.464</v>
      </c>
      <c r="T27" s="1093">
        <f t="shared" si="3"/>
        <v>4822.6959999999999</v>
      </c>
      <c r="U27" s="1093">
        <f t="shared" si="4"/>
        <v>144.87200000000013</v>
      </c>
      <c r="V27" s="1093">
        <f t="shared" si="5"/>
        <v>548.55200000000002</v>
      </c>
      <c r="W27" s="1093">
        <f t="shared" si="6"/>
        <v>0</v>
      </c>
      <c r="X27" s="1093">
        <f t="shared" si="7"/>
        <v>6503.880000000001</v>
      </c>
      <c r="Y27" s="1093">
        <f t="shared" si="9"/>
        <v>248.46400000000006</v>
      </c>
    </row>
    <row r="28" spans="2:25">
      <c r="B28" s="2" t="s">
        <v>110</v>
      </c>
      <c r="C28" s="20">
        <f t="shared" ref="C28:O28" si="32">C98*0.8</f>
        <v>241949.53599999999</v>
      </c>
      <c r="D28" s="20">
        <f t="shared" si="32"/>
        <v>36762.688000000038</v>
      </c>
      <c r="E28" s="20">
        <f t="shared" si="32"/>
        <v>27032.152000000002</v>
      </c>
      <c r="F28" s="20">
        <f t="shared" si="32"/>
        <v>3170.8079999999959</v>
      </c>
      <c r="G28" s="20">
        <f t="shared" si="32"/>
        <v>385221.76</v>
      </c>
      <c r="H28" s="20">
        <f t="shared" si="32"/>
        <v>2742.6000000000004</v>
      </c>
      <c r="I28" s="20">
        <f t="shared" si="32"/>
        <v>6539.3120000000008</v>
      </c>
      <c r="J28" s="20">
        <f t="shared" si="32"/>
        <v>0</v>
      </c>
      <c r="K28" s="20">
        <f t="shared" si="32"/>
        <v>4395.6480000000001</v>
      </c>
      <c r="L28" s="20">
        <f t="shared" si="32"/>
        <v>470.16000000000008</v>
      </c>
      <c r="M28" s="20">
        <f t="shared" si="32"/>
        <v>0</v>
      </c>
      <c r="N28" s="20">
        <f t="shared" si="32"/>
        <v>0</v>
      </c>
      <c r="O28" s="20">
        <f t="shared" si="32"/>
        <v>45.712000000000003</v>
      </c>
      <c r="P28" s="20">
        <f t="shared" si="1"/>
        <v>0</v>
      </c>
      <c r="Q28" s="20">
        <f t="shared" si="13"/>
        <v>0</v>
      </c>
      <c r="R28" s="20">
        <f t="shared" si="13"/>
        <v>0</v>
      </c>
      <c r="S28" s="10">
        <f t="shared" si="2"/>
        <v>708330.37600000028</v>
      </c>
      <c r="T28" s="1093">
        <f t="shared" si="3"/>
        <v>241949.53599999999</v>
      </c>
      <c r="U28" s="1093">
        <f t="shared" si="4"/>
        <v>36762.688000000038</v>
      </c>
      <c r="V28" s="1093">
        <f t="shared" si="5"/>
        <v>27032.152000000002</v>
      </c>
      <c r="W28" s="1093">
        <f t="shared" si="6"/>
        <v>3170.8079999999959</v>
      </c>
      <c r="X28" s="1093">
        <f t="shared" si="7"/>
        <v>385221.76</v>
      </c>
      <c r="Y28" s="1093">
        <f t="shared" si="9"/>
        <v>14193.432000000001</v>
      </c>
    </row>
    <row r="29" spans="2:25">
      <c r="B29" s="2" t="s">
        <v>111</v>
      </c>
      <c r="C29" s="20">
        <f t="shared" ref="C29:O29" si="33">C99*0.8</f>
        <v>1305496.1359999999</v>
      </c>
      <c r="D29" s="20">
        <f t="shared" si="33"/>
        <v>345558.27199999988</v>
      </c>
      <c r="E29" s="20">
        <f t="shared" si="33"/>
        <v>104462.296</v>
      </c>
      <c r="F29" s="20">
        <f t="shared" si="33"/>
        <v>55157.648000000001</v>
      </c>
      <c r="G29" s="20">
        <f t="shared" si="33"/>
        <v>2136798.84</v>
      </c>
      <c r="H29" s="20">
        <f t="shared" si="33"/>
        <v>15593.64</v>
      </c>
      <c r="I29" s="20">
        <f t="shared" si="33"/>
        <v>98618.040000000023</v>
      </c>
      <c r="J29" s="20">
        <f t="shared" si="33"/>
        <v>705.24</v>
      </c>
      <c r="K29" s="20">
        <f t="shared" si="33"/>
        <v>31448.736000000001</v>
      </c>
      <c r="L29" s="20">
        <f t="shared" si="33"/>
        <v>5955.3600000000006</v>
      </c>
      <c r="M29" s="20">
        <f t="shared" si="33"/>
        <v>470.16000000000008</v>
      </c>
      <c r="N29" s="20">
        <f t="shared" si="33"/>
        <v>0</v>
      </c>
      <c r="O29" s="20">
        <f t="shared" si="33"/>
        <v>1211.3680000000002</v>
      </c>
      <c r="P29" s="20">
        <f t="shared" si="1"/>
        <v>38.095999999999997</v>
      </c>
      <c r="Q29" s="20">
        <f>Q99</f>
        <v>1206.92</v>
      </c>
      <c r="R29" s="20">
        <f>R99</f>
        <v>12135.94</v>
      </c>
      <c r="S29" s="10">
        <f t="shared" si="2"/>
        <v>4114856.6919999998</v>
      </c>
      <c r="T29" s="1093">
        <f t="shared" si="3"/>
        <v>1305496.1359999999</v>
      </c>
      <c r="U29" s="1093">
        <f t="shared" si="4"/>
        <v>345558.27199999988</v>
      </c>
      <c r="V29" s="1093">
        <f t="shared" si="5"/>
        <v>104462.296</v>
      </c>
      <c r="W29" s="1093">
        <f t="shared" si="6"/>
        <v>55157.648000000001</v>
      </c>
      <c r="X29" s="1093">
        <f t="shared" si="7"/>
        <v>2136798.84</v>
      </c>
      <c r="Y29" s="1093">
        <f>SUM(H29:R29)</f>
        <v>167383.5</v>
      </c>
    </row>
    <row r="30" spans="2:25">
      <c r="B30" s="2" t="s">
        <v>112</v>
      </c>
      <c r="C30" s="20">
        <f t="shared" ref="C30:O30" si="34">C100*0.8</f>
        <v>47235</v>
      </c>
      <c r="D30" s="20">
        <f t="shared" si="34"/>
        <v>13197.463999999991</v>
      </c>
      <c r="E30" s="20">
        <f t="shared" si="34"/>
        <v>2377.08</v>
      </c>
      <c r="F30" s="20">
        <f t="shared" si="34"/>
        <v>343.48799999999977</v>
      </c>
      <c r="G30" s="20">
        <f t="shared" si="34"/>
        <v>44978.640000000007</v>
      </c>
      <c r="H30" s="20">
        <f t="shared" si="34"/>
        <v>235.08000000000004</v>
      </c>
      <c r="I30" s="20">
        <f t="shared" si="34"/>
        <v>1598.288</v>
      </c>
      <c r="J30" s="20">
        <f t="shared" si="34"/>
        <v>0</v>
      </c>
      <c r="K30" s="20">
        <f t="shared" si="34"/>
        <v>1858.9279999999999</v>
      </c>
      <c r="L30" s="20">
        <f t="shared" si="34"/>
        <v>548.52</v>
      </c>
      <c r="M30" s="20">
        <f t="shared" si="34"/>
        <v>0</v>
      </c>
      <c r="N30" s="20">
        <f t="shared" si="34"/>
        <v>0</v>
      </c>
      <c r="O30" s="20">
        <f t="shared" si="34"/>
        <v>22.856000000000002</v>
      </c>
      <c r="P30" s="20">
        <f t="shared" si="1"/>
        <v>0</v>
      </c>
      <c r="Q30" s="20">
        <f>Q100*0.8</f>
        <v>0</v>
      </c>
      <c r="R30" s="20">
        <f>R100*0.8</f>
        <v>0</v>
      </c>
      <c r="S30" s="10">
        <f t="shared" si="2"/>
        <v>112395.344</v>
      </c>
      <c r="T30" s="1093">
        <f t="shared" si="3"/>
        <v>47235</v>
      </c>
      <c r="U30" s="1093">
        <f t="shared" si="4"/>
        <v>13197.463999999991</v>
      </c>
      <c r="V30" s="1093">
        <f t="shared" si="5"/>
        <v>2377.08</v>
      </c>
      <c r="W30" s="1093">
        <f t="shared" si="6"/>
        <v>343.48799999999977</v>
      </c>
      <c r="X30" s="1093">
        <f t="shared" si="7"/>
        <v>44978.640000000007</v>
      </c>
      <c r="Y30" s="1093">
        <f t="shared" si="9"/>
        <v>4263.6719999999996</v>
      </c>
    </row>
    <row r="31" spans="2:25">
      <c r="B31" s="2" t="s">
        <v>113</v>
      </c>
      <c r="C31" s="20">
        <f t="shared" ref="C31:O31" si="35">C101*0.8</f>
        <v>23388.392000000003</v>
      </c>
      <c r="D31" s="20">
        <f t="shared" si="35"/>
        <v>4700.855999999997</v>
      </c>
      <c r="E31" s="20">
        <f t="shared" si="35"/>
        <v>2369.4479999999999</v>
      </c>
      <c r="F31" s="20">
        <f t="shared" si="35"/>
        <v>750.98400000000004</v>
      </c>
      <c r="G31" s="20">
        <f t="shared" si="35"/>
        <v>37064.28</v>
      </c>
      <c r="H31" s="20">
        <f t="shared" si="35"/>
        <v>783.6</v>
      </c>
      <c r="I31" s="20">
        <f t="shared" si="35"/>
        <v>578.048</v>
      </c>
      <c r="J31" s="20">
        <f t="shared" si="35"/>
        <v>0</v>
      </c>
      <c r="K31" s="20">
        <f t="shared" si="35"/>
        <v>625.77600000000007</v>
      </c>
      <c r="L31" s="20">
        <f t="shared" si="35"/>
        <v>78.360000000000014</v>
      </c>
      <c r="M31" s="20">
        <f t="shared" si="35"/>
        <v>0</v>
      </c>
      <c r="N31" s="20">
        <f t="shared" si="35"/>
        <v>0</v>
      </c>
      <c r="O31" s="20">
        <f t="shared" si="35"/>
        <v>22.856000000000002</v>
      </c>
      <c r="P31" s="20">
        <f t="shared" si="1"/>
        <v>0</v>
      </c>
      <c r="Q31" s="20">
        <f>Q101*0.8</f>
        <v>0</v>
      </c>
      <c r="R31" s="20">
        <f>R101*0.8</f>
        <v>0</v>
      </c>
      <c r="S31" s="10">
        <f t="shared" si="2"/>
        <v>70362.599999999991</v>
      </c>
      <c r="T31" s="1093">
        <f t="shared" si="3"/>
        <v>23388.392000000003</v>
      </c>
      <c r="U31" s="1093">
        <f t="shared" si="4"/>
        <v>4700.855999999997</v>
      </c>
      <c r="V31" s="1093">
        <f t="shared" si="5"/>
        <v>2369.4479999999999</v>
      </c>
      <c r="W31" s="1093">
        <f t="shared" si="6"/>
        <v>750.98400000000004</v>
      </c>
      <c r="X31" s="1093">
        <f t="shared" si="7"/>
        <v>37064.28</v>
      </c>
      <c r="Y31" s="1093">
        <f t="shared" si="9"/>
        <v>2088.6400000000003</v>
      </c>
    </row>
    <row r="32" spans="2:25">
      <c r="B32" s="5" t="s">
        <v>37</v>
      </c>
      <c r="C32" s="6">
        <f t="shared" ref="C32:T32" si="36">SUM(C5:C31)</f>
        <v>4311908.7439999999</v>
      </c>
      <c r="D32" s="6">
        <f t="shared" si="36"/>
        <v>983062.47199999983</v>
      </c>
      <c r="E32" s="6">
        <f t="shared" si="36"/>
        <v>432210.12799999997</v>
      </c>
      <c r="F32" s="6">
        <f t="shared" si="36"/>
        <v>132766</v>
      </c>
      <c r="G32" s="6">
        <f t="shared" si="36"/>
        <v>6054958.8399999999</v>
      </c>
      <c r="H32" s="6">
        <f t="shared" si="36"/>
        <v>58221.48</v>
      </c>
      <c r="I32" s="6">
        <f t="shared" si="36"/>
        <v>216537.36800000002</v>
      </c>
      <c r="J32" s="6">
        <f t="shared" si="36"/>
        <v>4603.6080000000002</v>
      </c>
      <c r="K32" s="6">
        <f t="shared" si="36"/>
        <v>95889.44</v>
      </c>
      <c r="L32" s="6">
        <f t="shared" si="36"/>
        <v>26250.600000000002</v>
      </c>
      <c r="M32" s="6">
        <f t="shared" si="36"/>
        <v>783.60000000000014</v>
      </c>
      <c r="N32" s="6">
        <f t="shared" si="36"/>
        <v>934.83200000000011</v>
      </c>
      <c r="O32" s="6">
        <f t="shared" si="36"/>
        <v>2422.7360000000008</v>
      </c>
      <c r="P32" s="6">
        <f>SUM(P5:P31)</f>
        <v>38.095999999999997</v>
      </c>
      <c r="Q32" s="6">
        <f t="shared" si="36"/>
        <v>1247.76</v>
      </c>
      <c r="R32" s="6">
        <f t="shared" si="36"/>
        <v>12544.364000000001</v>
      </c>
      <c r="S32" s="6">
        <f t="shared" si="36"/>
        <v>12334380.068000002</v>
      </c>
      <c r="T32" s="1093">
        <f t="shared" si="36"/>
        <v>4311908.7439999999</v>
      </c>
      <c r="U32" s="1093">
        <f t="shared" ref="U32:Y32" si="37">SUM(U5:U31)</f>
        <v>983062.47199999983</v>
      </c>
      <c r="V32" s="1093">
        <f t="shared" si="37"/>
        <v>432210.12799999997</v>
      </c>
      <c r="W32" s="1093">
        <f t="shared" si="37"/>
        <v>132766</v>
      </c>
      <c r="X32" s="1093">
        <f t="shared" si="37"/>
        <v>6054958.8399999999</v>
      </c>
      <c r="Y32" s="1093">
        <f t="shared" si="37"/>
        <v>419473.88400000002</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76</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51</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8">C75*0.2</f>
        <v>3501.3160000000007</v>
      </c>
      <c r="D40" s="20">
        <f t="shared" si="38"/>
        <v>315.43599999999935</v>
      </c>
      <c r="E40" s="20">
        <f t="shared" si="38"/>
        <v>438.08199999999999</v>
      </c>
      <c r="F40" s="20">
        <f t="shared" si="38"/>
        <v>0</v>
      </c>
      <c r="G40" s="20">
        <f t="shared" si="38"/>
        <v>4407.75</v>
      </c>
      <c r="H40" s="20">
        <f t="shared" si="38"/>
        <v>117.54000000000002</v>
      </c>
      <c r="I40" s="20">
        <f t="shared" si="38"/>
        <v>20.662000000000003</v>
      </c>
      <c r="J40" s="20">
        <f t="shared" si="38"/>
        <v>0</v>
      </c>
      <c r="K40" s="20">
        <f t="shared" si="38"/>
        <v>62.484000000000009</v>
      </c>
      <c r="L40" s="20">
        <f t="shared" si="38"/>
        <v>117.54000000000002</v>
      </c>
      <c r="M40" s="20">
        <f t="shared" si="38"/>
        <v>0</v>
      </c>
      <c r="N40" s="20">
        <f t="shared" si="38"/>
        <v>0</v>
      </c>
      <c r="O40" s="20">
        <f t="shared" si="38"/>
        <v>0</v>
      </c>
      <c r="P40" s="20">
        <f t="shared" ref="P40:P66" si="39">P75*0.2</f>
        <v>0</v>
      </c>
      <c r="Q40" s="20">
        <f t="shared" si="38"/>
        <v>0</v>
      </c>
      <c r="R40" s="20">
        <f t="shared" si="38"/>
        <v>0</v>
      </c>
      <c r="S40" s="10">
        <f t="shared" ref="S40:S66" si="40">SUM(C40:R40)</f>
        <v>8980.8100000000013</v>
      </c>
      <c r="T40" s="1093">
        <f t="shared" ref="T40:T66" si="41">C40</f>
        <v>3501.3160000000007</v>
      </c>
      <c r="U40" s="1093">
        <f t="shared" ref="U40:U66" si="42">D40</f>
        <v>315.43599999999935</v>
      </c>
      <c r="V40" s="1093">
        <f t="shared" ref="V40:V66" si="43">E40</f>
        <v>438.08199999999999</v>
      </c>
      <c r="W40" s="1093">
        <f t="shared" ref="W40:W66" si="44">F40</f>
        <v>0</v>
      </c>
      <c r="X40" s="1093">
        <f t="shared" ref="X40:X66" si="45">G40</f>
        <v>4407.75</v>
      </c>
      <c r="Y40" s="1093">
        <f>SUM(H40:R40)</f>
        <v>318.22600000000006</v>
      </c>
    </row>
    <row r="41" spans="2:25">
      <c r="B41" s="2" t="s">
        <v>88</v>
      </c>
      <c r="C41" s="20">
        <f t="shared" ref="C41:R41" si="46">C76*0.2</f>
        <v>11696.446000000002</v>
      </c>
      <c r="D41" s="20">
        <f t="shared" si="46"/>
        <v>3535.0640000000003</v>
      </c>
      <c r="E41" s="20">
        <f t="shared" si="46"/>
        <v>598.07600000000002</v>
      </c>
      <c r="F41" s="20">
        <f t="shared" si="46"/>
        <v>63.535999999999973</v>
      </c>
      <c r="G41" s="20">
        <f t="shared" si="46"/>
        <v>10872.45</v>
      </c>
      <c r="H41" s="20">
        <f t="shared" si="46"/>
        <v>195.9</v>
      </c>
      <c r="I41" s="20">
        <f t="shared" si="46"/>
        <v>588.88</v>
      </c>
      <c r="J41" s="20">
        <f t="shared" si="46"/>
        <v>0</v>
      </c>
      <c r="K41" s="20">
        <f t="shared" si="46"/>
        <v>291.13200000000001</v>
      </c>
      <c r="L41" s="20">
        <f t="shared" si="46"/>
        <v>0</v>
      </c>
      <c r="M41" s="20">
        <f t="shared" si="46"/>
        <v>0</v>
      </c>
      <c r="N41" s="20">
        <f t="shared" si="46"/>
        <v>0</v>
      </c>
      <c r="O41" s="20">
        <f t="shared" si="46"/>
        <v>0</v>
      </c>
      <c r="P41" s="20">
        <f t="shared" si="39"/>
        <v>0</v>
      </c>
      <c r="Q41" s="20">
        <f t="shared" si="46"/>
        <v>0</v>
      </c>
      <c r="R41" s="20">
        <f t="shared" si="46"/>
        <v>0</v>
      </c>
      <c r="S41" s="10">
        <f t="shared" si="40"/>
        <v>27841.484000000008</v>
      </c>
      <c r="T41" s="1093">
        <f t="shared" si="41"/>
        <v>11696.446000000002</v>
      </c>
      <c r="U41" s="1093">
        <f t="shared" si="42"/>
        <v>3535.0640000000003</v>
      </c>
      <c r="V41" s="1093">
        <f t="shared" si="43"/>
        <v>598.07600000000002</v>
      </c>
      <c r="W41" s="1093">
        <f t="shared" si="44"/>
        <v>63.535999999999973</v>
      </c>
      <c r="X41" s="1093">
        <f t="shared" si="45"/>
        <v>10872.45</v>
      </c>
      <c r="Y41" s="1093">
        <f t="shared" ref="Y41:Y66" si="47">SUM(H41:R41)</f>
        <v>1075.912</v>
      </c>
    </row>
    <row r="42" spans="2:25">
      <c r="B42" s="2" t="s">
        <v>89</v>
      </c>
      <c r="C42" s="20">
        <f t="shared" ref="C42:R42" si="48">C77*0.2</f>
        <v>5988.612000000001</v>
      </c>
      <c r="D42" s="20">
        <f t="shared" si="48"/>
        <v>1695.31</v>
      </c>
      <c r="E42" s="20">
        <f t="shared" si="48"/>
        <v>1003.7780000000001</v>
      </c>
      <c r="F42" s="20">
        <f t="shared" si="48"/>
        <v>306.49799999999999</v>
      </c>
      <c r="G42" s="20">
        <f t="shared" si="48"/>
        <v>6719.37</v>
      </c>
      <c r="H42" s="20">
        <f t="shared" si="48"/>
        <v>97.95</v>
      </c>
      <c r="I42" s="20">
        <f t="shared" si="48"/>
        <v>213.79000000000002</v>
      </c>
      <c r="J42" s="20">
        <f t="shared" si="48"/>
        <v>0</v>
      </c>
      <c r="K42" s="20">
        <f t="shared" si="48"/>
        <v>315.75600000000003</v>
      </c>
      <c r="L42" s="20">
        <f t="shared" si="48"/>
        <v>39.180000000000007</v>
      </c>
      <c r="M42" s="20">
        <f t="shared" si="48"/>
        <v>0</v>
      </c>
      <c r="N42" s="20">
        <f t="shared" si="48"/>
        <v>0</v>
      </c>
      <c r="O42" s="20">
        <f t="shared" si="48"/>
        <v>0</v>
      </c>
      <c r="P42" s="20">
        <f t="shared" si="39"/>
        <v>0</v>
      </c>
      <c r="Q42" s="20">
        <f t="shared" si="48"/>
        <v>0</v>
      </c>
      <c r="R42" s="20">
        <f t="shared" si="48"/>
        <v>0</v>
      </c>
      <c r="S42" s="10">
        <f t="shared" si="40"/>
        <v>16380.244000000001</v>
      </c>
      <c r="T42" s="1093">
        <f t="shared" si="41"/>
        <v>5988.612000000001</v>
      </c>
      <c r="U42" s="1093">
        <f t="shared" si="42"/>
        <v>1695.31</v>
      </c>
      <c r="V42" s="1093">
        <f t="shared" si="43"/>
        <v>1003.7780000000001</v>
      </c>
      <c r="W42" s="1093">
        <f t="shared" si="44"/>
        <v>306.49799999999999</v>
      </c>
      <c r="X42" s="1093">
        <f t="shared" si="45"/>
        <v>6719.37</v>
      </c>
      <c r="Y42" s="1093">
        <f t="shared" si="47"/>
        <v>666.67600000000016</v>
      </c>
    </row>
    <row r="43" spans="2:25">
      <c r="B43" s="2" t="s">
        <v>90</v>
      </c>
      <c r="C43" s="20">
        <f t="shared" ref="C43:O43" si="49">C78*0.2</f>
        <v>10215.464</v>
      </c>
      <c r="D43" s="20">
        <f t="shared" si="49"/>
        <v>4154.2920000000004</v>
      </c>
      <c r="E43" s="20">
        <f t="shared" si="49"/>
        <v>786.64</v>
      </c>
      <c r="F43" s="20">
        <f t="shared" si="49"/>
        <v>435.31800000000004</v>
      </c>
      <c r="G43" s="20">
        <f t="shared" si="49"/>
        <v>12537.6</v>
      </c>
      <c r="H43" s="20">
        <f t="shared" si="49"/>
        <v>137.13</v>
      </c>
      <c r="I43" s="20">
        <f t="shared" si="49"/>
        <v>593.47400000000005</v>
      </c>
      <c r="J43" s="20">
        <f t="shared" si="49"/>
        <v>0</v>
      </c>
      <c r="K43" s="20">
        <f t="shared" si="49"/>
        <v>393.53800000000001</v>
      </c>
      <c r="L43" s="20">
        <f t="shared" si="49"/>
        <v>39.180000000000007</v>
      </c>
      <c r="M43" s="20">
        <f t="shared" si="49"/>
        <v>0</v>
      </c>
      <c r="N43" s="20">
        <f t="shared" si="49"/>
        <v>78.128</v>
      </c>
      <c r="O43" s="20">
        <f t="shared" si="49"/>
        <v>5.7140000000000004</v>
      </c>
      <c r="P43" s="20">
        <f t="shared" si="39"/>
        <v>0</v>
      </c>
      <c r="Q43" s="20">
        <v>0</v>
      </c>
      <c r="R43" s="20">
        <v>0</v>
      </c>
      <c r="S43" s="10">
        <f t="shared" si="40"/>
        <v>29376.477999999999</v>
      </c>
      <c r="T43" s="1093">
        <f t="shared" si="41"/>
        <v>10215.464</v>
      </c>
      <c r="U43" s="1093">
        <f t="shared" si="42"/>
        <v>4154.2920000000004</v>
      </c>
      <c r="V43" s="1093">
        <f t="shared" si="43"/>
        <v>786.64</v>
      </c>
      <c r="W43" s="1093">
        <f t="shared" si="44"/>
        <v>435.31800000000004</v>
      </c>
      <c r="X43" s="1093">
        <f t="shared" si="45"/>
        <v>12537.6</v>
      </c>
      <c r="Y43" s="1093">
        <f t="shared" si="47"/>
        <v>1247.164</v>
      </c>
    </row>
    <row r="44" spans="2:25">
      <c r="B44" s="2" t="s">
        <v>91</v>
      </c>
      <c r="C44" s="20">
        <f t="shared" ref="C44:O44" si="50">C79*0.2</f>
        <v>36058.417999999998</v>
      </c>
      <c r="D44" s="20">
        <f t="shared" si="50"/>
        <v>6618.3919999999989</v>
      </c>
      <c r="E44" s="20">
        <f t="shared" si="50"/>
        <v>4415.0940000000001</v>
      </c>
      <c r="F44" s="20">
        <f t="shared" si="50"/>
        <v>499.70799999999946</v>
      </c>
      <c r="G44" s="20">
        <f t="shared" si="50"/>
        <v>29835.570000000003</v>
      </c>
      <c r="H44" s="20">
        <f t="shared" si="50"/>
        <v>411.39</v>
      </c>
      <c r="I44" s="20">
        <f t="shared" si="50"/>
        <v>1229.5240000000001</v>
      </c>
      <c r="J44" s="20">
        <f t="shared" si="50"/>
        <v>0</v>
      </c>
      <c r="K44" s="20">
        <f t="shared" si="50"/>
        <v>621.60400000000004</v>
      </c>
      <c r="L44" s="20">
        <f t="shared" si="50"/>
        <v>117.54000000000002</v>
      </c>
      <c r="M44" s="20">
        <f t="shared" si="50"/>
        <v>0</v>
      </c>
      <c r="N44" s="20">
        <f t="shared" si="50"/>
        <v>0</v>
      </c>
      <c r="O44" s="20">
        <f t="shared" si="50"/>
        <v>0</v>
      </c>
      <c r="P44" s="20">
        <f t="shared" si="39"/>
        <v>0</v>
      </c>
      <c r="Q44" s="20">
        <f t="shared" ref="Q44:R63" si="51">Q79*0.2</f>
        <v>10.210000000000001</v>
      </c>
      <c r="R44" s="20">
        <f t="shared" si="51"/>
        <v>102.10599999999999</v>
      </c>
      <c r="S44" s="10">
        <f t="shared" si="40"/>
        <v>79919.556000000011</v>
      </c>
      <c r="T44" s="1093">
        <f t="shared" si="41"/>
        <v>36058.417999999998</v>
      </c>
      <c r="U44" s="1093">
        <f t="shared" si="42"/>
        <v>6618.3919999999989</v>
      </c>
      <c r="V44" s="1093">
        <f t="shared" si="43"/>
        <v>4415.0940000000001</v>
      </c>
      <c r="W44" s="1093">
        <f t="shared" si="44"/>
        <v>499.70799999999946</v>
      </c>
      <c r="X44" s="1093">
        <f t="shared" si="45"/>
        <v>29835.570000000003</v>
      </c>
      <c r="Y44" s="1093">
        <f t="shared" si="47"/>
        <v>2492.3739999999998</v>
      </c>
    </row>
    <row r="45" spans="2:25">
      <c r="B45" s="2" t="s">
        <v>92</v>
      </c>
      <c r="C45" s="20">
        <f t="shared" ref="C45:O45" si="52">C80*0.2</f>
        <v>25170.356</v>
      </c>
      <c r="D45" s="20">
        <f t="shared" si="52"/>
        <v>3372.8919999999985</v>
      </c>
      <c r="E45" s="20">
        <f t="shared" si="52"/>
        <v>1951.3560000000002</v>
      </c>
      <c r="F45" s="20">
        <f t="shared" si="52"/>
        <v>0</v>
      </c>
      <c r="G45" s="20">
        <f t="shared" si="52"/>
        <v>21255.15</v>
      </c>
      <c r="H45" s="20">
        <f t="shared" si="52"/>
        <v>470.16000000000008</v>
      </c>
      <c r="I45" s="20">
        <f t="shared" si="52"/>
        <v>546.48800000000006</v>
      </c>
      <c r="J45" s="20">
        <f t="shared" si="52"/>
        <v>0</v>
      </c>
      <c r="K45" s="20">
        <f t="shared" si="52"/>
        <v>412.65200000000004</v>
      </c>
      <c r="L45" s="20">
        <f t="shared" si="52"/>
        <v>58.77000000000001</v>
      </c>
      <c r="M45" s="20">
        <f t="shared" si="52"/>
        <v>0</v>
      </c>
      <c r="N45" s="20">
        <f t="shared" si="52"/>
        <v>0</v>
      </c>
      <c r="O45" s="20">
        <f t="shared" si="52"/>
        <v>11.428000000000001</v>
      </c>
      <c r="P45" s="20">
        <f t="shared" si="39"/>
        <v>0</v>
      </c>
      <c r="Q45" s="20">
        <f t="shared" si="51"/>
        <v>0</v>
      </c>
      <c r="R45" s="20">
        <f t="shared" si="51"/>
        <v>0</v>
      </c>
      <c r="S45" s="10">
        <f t="shared" si="40"/>
        <v>53249.252</v>
      </c>
      <c r="T45" s="1093">
        <f t="shared" si="41"/>
        <v>25170.356</v>
      </c>
      <c r="U45" s="1093">
        <f t="shared" si="42"/>
        <v>3372.8919999999985</v>
      </c>
      <c r="V45" s="1093">
        <f t="shared" si="43"/>
        <v>1951.3560000000002</v>
      </c>
      <c r="W45" s="1093">
        <f t="shared" si="44"/>
        <v>0</v>
      </c>
      <c r="X45" s="1093">
        <f t="shared" si="45"/>
        <v>21255.15</v>
      </c>
      <c r="Y45" s="1093">
        <f t="shared" si="47"/>
        <v>1499.4980000000003</v>
      </c>
    </row>
    <row r="46" spans="2:25">
      <c r="B46" s="2" t="s">
        <v>93</v>
      </c>
      <c r="C46" s="20">
        <f t="shared" ref="C46:O46" si="53">C81*0.2</f>
        <v>27497.444000000003</v>
      </c>
      <c r="D46" s="20">
        <f t="shared" si="53"/>
        <v>6982.0739999999996</v>
      </c>
      <c r="E46" s="20">
        <f t="shared" si="53"/>
        <v>2207.5439999999999</v>
      </c>
      <c r="F46" s="20">
        <f t="shared" si="53"/>
        <v>88.447999999999965</v>
      </c>
      <c r="G46" s="20">
        <f t="shared" si="53"/>
        <v>29091.15</v>
      </c>
      <c r="H46" s="20">
        <f t="shared" si="53"/>
        <v>411.39</v>
      </c>
      <c r="I46" s="20">
        <f t="shared" si="53"/>
        <v>1339.1180000000002</v>
      </c>
      <c r="J46" s="20">
        <f t="shared" si="53"/>
        <v>0</v>
      </c>
      <c r="K46" s="20">
        <f t="shared" si="53"/>
        <v>471.92</v>
      </c>
      <c r="L46" s="20">
        <f t="shared" si="53"/>
        <v>176.31</v>
      </c>
      <c r="M46" s="20">
        <f t="shared" si="53"/>
        <v>0</v>
      </c>
      <c r="N46" s="20">
        <f t="shared" si="53"/>
        <v>0</v>
      </c>
      <c r="O46" s="20">
        <f t="shared" si="53"/>
        <v>17.141999999999999</v>
      </c>
      <c r="P46" s="20">
        <f t="shared" si="39"/>
        <v>0</v>
      </c>
      <c r="Q46" s="20">
        <f t="shared" si="51"/>
        <v>0</v>
      </c>
      <c r="R46" s="20">
        <f t="shared" si="51"/>
        <v>0</v>
      </c>
      <c r="S46" s="10">
        <f t="shared" si="40"/>
        <v>68282.540000000008</v>
      </c>
      <c r="T46" s="1093">
        <f t="shared" si="41"/>
        <v>27497.444000000003</v>
      </c>
      <c r="U46" s="1093">
        <f t="shared" si="42"/>
        <v>6982.0739999999996</v>
      </c>
      <c r="V46" s="1093">
        <f t="shared" si="43"/>
        <v>2207.5439999999999</v>
      </c>
      <c r="W46" s="1093">
        <f t="shared" si="44"/>
        <v>88.447999999999965</v>
      </c>
      <c r="X46" s="1093">
        <f t="shared" si="45"/>
        <v>29091.15</v>
      </c>
      <c r="Y46" s="1093">
        <f t="shared" si="47"/>
        <v>2415.88</v>
      </c>
    </row>
    <row r="47" spans="2:25">
      <c r="B47" s="2" t="s">
        <v>94</v>
      </c>
      <c r="C47" s="20">
        <f t="shared" ref="C47:O47" si="54">C82*0.2</f>
        <v>24266.370000000003</v>
      </c>
      <c r="D47" s="20">
        <f t="shared" si="54"/>
        <v>1805.7339999999997</v>
      </c>
      <c r="E47" s="20">
        <f t="shared" si="54"/>
        <v>1705.98</v>
      </c>
      <c r="F47" s="20">
        <f t="shared" si="54"/>
        <v>730.19399999999996</v>
      </c>
      <c r="G47" s="20">
        <f t="shared" si="54"/>
        <v>24252.420000000002</v>
      </c>
      <c r="H47" s="20">
        <f t="shared" si="54"/>
        <v>215.49</v>
      </c>
      <c r="I47" s="20">
        <f t="shared" si="54"/>
        <v>650.37799999999993</v>
      </c>
      <c r="J47" s="20">
        <f t="shared" si="54"/>
        <v>185.95000000000002</v>
      </c>
      <c r="K47" s="20">
        <f t="shared" si="54"/>
        <v>118.81000000000002</v>
      </c>
      <c r="L47" s="20">
        <f t="shared" si="54"/>
        <v>58.77000000000001</v>
      </c>
      <c r="M47" s="20">
        <f t="shared" si="54"/>
        <v>0</v>
      </c>
      <c r="N47" s="20">
        <f t="shared" si="54"/>
        <v>0</v>
      </c>
      <c r="O47" s="20">
        <f t="shared" si="54"/>
        <v>11.428000000000001</v>
      </c>
      <c r="P47" s="20">
        <f t="shared" si="39"/>
        <v>0</v>
      </c>
      <c r="Q47" s="20">
        <f t="shared" si="51"/>
        <v>0</v>
      </c>
      <c r="R47" s="20">
        <f t="shared" si="51"/>
        <v>0</v>
      </c>
      <c r="S47" s="10">
        <f t="shared" si="40"/>
        <v>54001.52399999999</v>
      </c>
      <c r="T47" s="1093">
        <f t="shared" si="41"/>
        <v>24266.370000000003</v>
      </c>
      <c r="U47" s="1093">
        <f t="shared" si="42"/>
        <v>1805.7339999999997</v>
      </c>
      <c r="V47" s="1093">
        <f t="shared" si="43"/>
        <v>1705.98</v>
      </c>
      <c r="W47" s="1093">
        <f t="shared" si="44"/>
        <v>730.19399999999996</v>
      </c>
      <c r="X47" s="1093">
        <f t="shared" si="45"/>
        <v>24252.420000000002</v>
      </c>
      <c r="Y47" s="1093">
        <f t="shared" si="47"/>
        <v>1240.826</v>
      </c>
    </row>
    <row r="48" spans="2:25">
      <c r="B48" s="2" t="s">
        <v>95</v>
      </c>
      <c r="C48" s="20">
        <f t="shared" ref="C48:O48" si="55">C83*0.2</f>
        <v>26122.794000000002</v>
      </c>
      <c r="D48" s="20">
        <f t="shared" si="55"/>
        <v>6474.3880000000008</v>
      </c>
      <c r="E48" s="20">
        <f t="shared" si="55"/>
        <v>2994.5020000000004</v>
      </c>
      <c r="F48" s="20">
        <f t="shared" si="55"/>
        <v>1066.7420000000002</v>
      </c>
      <c r="G48" s="20">
        <f t="shared" si="55"/>
        <v>62864.31</v>
      </c>
      <c r="H48" s="20">
        <f t="shared" si="55"/>
        <v>528.92999999999995</v>
      </c>
      <c r="I48" s="20">
        <f t="shared" si="55"/>
        <v>1345.7080000000001</v>
      </c>
      <c r="J48" s="20">
        <f t="shared" si="55"/>
        <v>300.81799999999998</v>
      </c>
      <c r="K48" s="20">
        <f t="shared" si="55"/>
        <v>578.03800000000012</v>
      </c>
      <c r="L48" s="20">
        <f t="shared" si="55"/>
        <v>58.77000000000001</v>
      </c>
      <c r="M48" s="20">
        <f t="shared" si="55"/>
        <v>0</v>
      </c>
      <c r="N48" s="20">
        <f t="shared" si="55"/>
        <v>0</v>
      </c>
      <c r="O48" s="20">
        <f t="shared" si="55"/>
        <v>17.141999999999999</v>
      </c>
      <c r="P48" s="20">
        <f t="shared" si="39"/>
        <v>0</v>
      </c>
      <c r="Q48" s="20">
        <f t="shared" si="51"/>
        <v>0</v>
      </c>
      <c r="R48" s="20">
        <f t="shared" si="51"/>
        <v>0</v>
      </c>
      <c r="S48" s="10">
        <f t="shared" si="40"/>
        <v>102352.14200000001</v>
      </c>
      <c r="T48" s="1093">
        <f t="shared" si="41"/>
        <v>26122.794000000002</v>
      </c>
      <c r="U48" s="1093">
        <f t="shared" si="42"/>
        <v>6474.3880000000008</v>
      </c>
      <c r="V48" s="1093">
        <f t="shared" si="43"/>
        <v>2994.5020000000004</v>
      </c>
      <c r="W48" s="1093">
        <f t="shared" si="44"/>
        <v>1066.7420000000002</v>
      </c>
      <c r="X48" s="1093">
        <f t="shared" si="45"/>
        <v>62864.31</v>
      </c>
      <c r="Y48" s="1093">
        <f t="shared" si="47"/>
        <v>2829.4059999999999</v>
      </c>
    </row>
    <row r="49" spans="2:25">
      <c r="B49" s="2" t="s">
        <v>96</v>
      </c>
      <c r="C49" s="20">
        <f t="shared" ref="C49:O49" si="56">C84*0.2</f>
        <v>11485.352000000001</v>
      </c>
      <c r="D49" s="20">
        <f t="shared" si="56"/>
        <v>3137.1000000000017</v>
      </c>
      <c r="E49" s="20">
        <f t="shared" si="56"/>
        <v>759.97400000000005</v>
      </c>
      <c r="F49" s="20">
        <f t="shared" si="56"/>
        <v>467.07800000000009</v>
      </c>
      <c r="G49" s="20">
        <f t="shared" si="56"/>
        <v>10030.080000000002</v>
      </c>
      <c r="H49" s="20">
        <f t="shared" si="56"/>
        <v>137.13000000000002</v>
      </c>
      <c r="I49" s="20">
        <f t="shared" si="56"/>
        <v>450.10199999999998</v>
      </c>
      <c r="J49" s="20">
        <f t="shared" si="56"/>
        <v>0</v>
      </c>
      <c r="K49" s="20">
        <f t="shared" si="56"/>
        <v>300.88</v>
      </c>
      <c r="L49" s="20">
        <f t="shared" si="56"/>
        <v>58.77000000000001</v>
      </c>
      <c r="M49" s="20">
        <f t="shared" si="56"/>
        <v>0</v>
      </c>
      <c r="N49" s="20">
        <f t="shared" si="56"/>
        <v>0</v>
      </c>
      <c r="O49" s="20">
        <f t="shared" si="56"/>
        <v>0</v>
      </c>
      <c r="P49" s="20">
        <f t="shared" si="39"/>
        <v>0</v>
      </c>
      <c r="Q49" s="20">
        <f t="shared" si="51"/>
        <v>0</v>
      </c>
      <c r="R49" s="20">
        <f t="shared" si="51"/>
        <v>0</v>
      </c>
      <c r="S49" s="10">
        <f t="shared" si="40"/>
        <v>26826.466000000004</v>
      </c>
      <c r="T49" s="1093">
        <f t="shared" si="41"/>
        <v>11485.352000000001</v>
      </c>
      <c r="U49" s="1093">
        <f t="shared" si="42"/>
        <v>3137.1000000000017</v>
      </c>
      <c r="V49" s="1093">
        <f t="shared" si="43"/>
        <v>759.97400000000005</v>
      </c>
      <c r="W49" s="1093">
        <f t="shared" si="44"/>
        <v>467.07800000000009</v>
      </c>
      <c r="X49" s="1093">
        <f t="shared" si="45"/>
        <v>10030.080000000002</v>
      </c>
      <c r="Y49" s="1093">
        <f t="shared" si="47"/>
        <v>946.88199999999995</v>
      </c>
    </row>
    <row r="50" spans="2:25">
      <c r="B50" s="2" t="s">
        <v>97</v>
      </c>
      <c r="C50" s="20">
        <f t="shared" ref="C50:O50" si="57">C85*0.2</f>
        <v>18998.574000000001</v>
      </c>
      <c r="D50" s="20">
        <f t="shared" si="57"/>
        <v>8020.1900000000023</v>
      </c>
      <c r="E50" s="20">
        <f t="shared" si="57"/>
        <v>1277.3540000000003</v>
      </c>
      <c r="F50" s="20">
        <f t="shared" si="57"/>
        <v>499.15600000000018</v>
      </c>
      <c r="G50" s="20">
        <f t="shared" si="57"/>
        <v>55694.369999999995</v>
      </c>
      <c r="H50" s="20">
        <f t="shared" si="57"/>
        <v>411.39</v>
      </c>
      <c r="I50" s="20">
        <f t="shared" si="57"/>
        <v>1158.3519999999999</v>
      </c>
      <c r="J50" s="20">
        <f t="shared" si="57"/>
        <v>0</v>
      </c>
      <c r="K50" s="20">
        <f t="shared" si="57"/>
        <v>701.346</v>
      </c>
      <c r="L50" s="20">
        <f t="shared" si="57"/>
        <v>156.72000000000003</v>
      </c>
      <c r="M50" s="20">
        <f t="shared" si="57"/>
        <v>0</v>
      </c>
      <c r="N50" s="20">
        <f t="shared" si="57"/>
        <v>0</v>
      </c>
      <c r="O50" s="20">
        <f t="shared" si="57"/>
        <v>5.7140000000000004</v>
      </c>
      <c r="P50" s="20">
        <f t="shared" si="39"/>
        <v>0</v>
      </c>
      <c r="Q50" s="20">
        <f t="shared" si="51"/>
        <v>0</v>
      </c>
      <c r="R50" s="20">
        <f t="shared" si="51"/>
        <v>0</v>
      </c>
      <c r="S50" s="10">
        <f t="shared" si="40"/>
        <v>86923.166000000012</v>
      </c>
      <c r="T50" s="1093">
        <f t="shared" si="41"/>
        <v>18998.574000000001</v>
      </c>
      <c r="U50" s="1093">
        <f t="shared" si="42"/>
        <v>8020.1900000000023</v>
      </c>
      <c r="V50" s="1093">
        <f t="shared" si="43"/>
        <v>1277.3540000000003</v>
      </c>
      <c r="W50" s="1093">
        <f t="shared" si="44"/>
        <v>499.15600000000018</v>
      </c>
      <c r="X50" s="1093">
        <f t="shared" si="45"/>
        <v>55694.369999999995</v>
      </c>
      <c r="Y50" s="1093">
        <f t="shared" si="47"/>
        <v>2433.5219999999999</v>
      </c>
    </row>
    <row r="51" spans="2:25">
      <c r="B51" s="2" t="s">
        <v>98</v>
      </c>
      <c r="C51" s="20">
        <f t="shared" ref="C51:O51" si="58">C86*0.2</f>
        <v>17727.842000000001</v>
      </c>
      <c r="D51" s="20">
        <f t="shared" si="58"/>
        <v>3822.5999999999972</v>
      </c>
      <c r="E51" s="20">
        <f t="shared" si="58"/>
        <v>3027.2080000000005</v>
      </c>
      <c r="F51" s="20">
        <f t="shared" si="58"/>
        <v>766.84799999999962</v>
      </c>
      <c r="G51" s="20">
        <f t="shared" si="58"/>
        <v>38885.97</v>
      </c>
      <c r="H51" s="20">
        <f t="shared" si="58"/>
        <v>215.49</v>
      </c>
      <c r="I51" s="20">
        <f t="shared" si="58"/>
        <v>756.33199999999999</v>
      </c>
      <c r="J51" s="20">
        <f t="shared" si="58"/>
        <v>0</v>
      </c>
      <c r="K51" s="20">
        <f t="shared" si="58"/>
        <v>429.63599999999997</v>
      </c>
      <c r="L51" s="20">
        <f t="shared" si="58"/>
        <v>97.95</v>
      </c>
      <c r="M51" s="20">
        <f t="shared" si="58"/>
        <v>0</v>
      </c>
      <c r="N51" s="20">
        <f t="shared" si="58"/>
        <v>155.58000000000001</v>
      </c>
      <c r="O51" s="20">
        <f t="shared" si="58"/>
        <v>17.141999999999999</v>
      </c>
      <c r="P51" s="20">
        <f t="shared" si="39"/>
        <v>0</v>
      </c>
      <c r="Q51" s="20">
        <f t="shared" si="51"/>
        <v>0</v>
      </c>
      <c r="R51" s="20">
        <f t="shared" si="51"/>
        <v>0</v>
      </c>
      <c r="S51" s="10">
        <f t="shared" si="40"/>
        <v>65902.598000000013</v>
      </c>
      <c r="T51" s="1093">
        <f t="shared" si="41"/>
        <v>17727.842000000001</v>
      </c>
      <c r="U51" s="1093">
        <f t="shared" si="42"/>
        <v>3822.5999999999972</v>
      </c>
      <c r="V51" s="1093">
        <f t="shared" si="43"/>
        <v>3027.2080000000005</v>
      </c>
      <c r="W51" s="1093">
        <f t="shared" si="44"/>
        <v>766.84799999999962</v>
      </c>
      <c r="X51" s="1093">
        <f t="shared" si="45"/>
        <v>38885.97</v>
      </c>
      <c r="Y51" s="1093">
        <f t="shared" si="47"/>
        <v>1672.13</v>
      </c>
    </row>
    <row r="52" spans="2:25">
      <c r="B52" s="2" t="s">
        <v>99</v>
      </c>
      <c r="C52" s="20">
        <f t="shared" ref="C52:O52" si="59">C87*0.2</f>
        <v>99801.472000000009</v>
      </c>
      <c r="D52" s="20">
        <f t="shared" si="59"/>
        <v>24459.933999999987</v>
      </c>
      <c r="E52" s="20">
        <f t="shared" si="59"/>
        <v>10239.658000000001</v>
      </c>
      <c r="F52" s="20">
        <f t="shared" si="59"/>
        <v>2581.5379999999991</v>
      </c>
      <c r="G52" s="20">
        <f t="shared" si="59"/>
        <v>93698.97</v>
      </c>
      <c r="H52" s="20">
        <f t="shared" si="59"/>
        <v>764.01</v>
      </c>
      <c r="I52" s="20">
        <f t="shared" si="59"/>
        <v>4789.7179999999998</v>
      </c>
      <c r="J52" s="20">
        <f t="shared" si="59"/>
        <v>0</v>
      </c>
      <c r="K52" s="20">
        <f t="shared" si="59"/>
        <v>2067.6840000000002</v>
      </c>
      <c r="L52" s="20">
        <f t="shared" si="59"/>
        <v>901.14</v>
      </c>
      <c r="M52" s="20">
        <f t="shared" si="59"/>
        <v>0</v>
      </c>
      <c r="N52" s="20">
        <f t="shared" si="59"/>
        <v>0</v>
      </c>
      <c r="O52" s="20">
        <f t="shared" si="59"/>
        <v>62.853999999999999</v>
      </c>
      <c r="P52" s="20">
        <f t="shared" si="39"/>
        <v>0</v>
      </c>
      <c r="Q52" s="20">
        <f t="shared" si="51"/>
        <v>0</v>
      </c>
      <c r="R52" s="20">
        <f t="shared" si="51"/>
        <v>0</v>
      </c>
      <c r="S52" s="10">
        <f t="shared" si="40"/>
        <v>239366.978</v>
      </c>
      <c r="T52" s="1093">
        <f t="shared" si="41"/>
        <v>99801.472000000009</v>
      </c>
      <c r="U52" s="1093">
        <f t="shared" si="42"/>
        <v>24459.933999999987</v>
      </c>
      <c r="V52" s="1093">
        <f t="shared" si="43"/>
        <v>10239.658000000001</v>
      </c>
      <c r="W52" s="1093">
        <f t="shared" si="44"/>
        <v>2581.5379999999991</v>
      </c>
      <c r="X52" s="1093">
        <f t="shared" si="45"/>
        <v>93698.97</v>
      </c>
      <c r="Y52" s="1093">
        <f t="shared" si="47"/>
        <v>8585.405999999999</v>
      </c>
    </row>
    <row r="53" spans="2:25">
      <c r="B53" s="2" t="s">
        <v>100</v>
      </c>
      <c r="C53" s="20">
        <f t="shared" ref="C53:O53" si="60">C88*0.2</f>
        <v>15761.286</v>
      </c>
      <c r="D53" s="20">
        <f t="shared" si="60"/>
        <v>4620.5980000000009</v>
      </c>
      <c r="E53" s="20">
        <f t="shared" si="60"/>
        <v>1546.614</v>
      </c>
      <c r="F53" s="20">
        <f t="shared" si="60"/>
        <v>400.36599999999999</v>
      </c>
      <c r="G53" s="20">
        <f t="shared" si="60"/>
        <v>14516.19</v>
      </c>
      <c r="H53" s="20">
        <f t="shared" si="60"/>
        <v>293.85000000000002</v>
      </c>
      <c r="I53" s="20">
        <f t="shared" si="60"/>
        <v>859.55000000000007</v>
      </c>
      <c r="J53" s="20">
        <f t="shared" si="60"/>
        <v>0</v>
      </c>
      <c r="K53" s="20">
        <f t="shared" si="60"/>
        <v>481.2940000000001</v>
      </c>
      <c r="L53" s="20">
        <f t="shared" si="60"/>
        <v>156.72000000000003</v>
      </c>
      <c r="M53" s="20">
        <f t="shared" si="60"/>
        <v>0</v>
      </c>
      <c r="N53" s="20">
        <f t="shared" si="60"/>
        <v>0</v>
      </c>
      <c r="O53" s="20">
        <f t="shared" si="60"/>
        <v>11.428000000000001</v>
      </c>
      <c r="P53" s="20">
        <f t="shared" si="39"/>
        <v>0</v>
      </c>
      <c r="Q53" s="20">
        <f t="shared" si="51"/>
        <v>0</v>
      </c>
      <c r="R53" s="20">
        <f t="shared" si="51"/>
        <v>0</v>
      </c>
      <c r="S53" s="10">
        <f t="shared" si="40"/>
        <v>38647.896000000008</v>
      </c>
      <c r="T53" s="1093">
        <f t="shared" si="41"/>
        <v>15761.286</v>
      </c>
      <c r="U53" s="1093">
        <f t="shared" si="42"/>
        <v>4620.5980000000009</v>
      </c>
      <c r="V53" s="1093">
        <f t="shared" si="43"/>
        <v>1546.614</v>
      </c>
      <c r="W53" s="1093">
        <f t="shared" si="44"/>
        <v>400.36599999999999</v>
      </c>
      <c r="X53" s="1093">
        <f t="shared" si="45"/>
        <v>14516.19</v>
      </c>
      <c r="Y53" s="1093">
        <f t="shared" si="47"/>
        <v>1802.8420000000003</v>
      </c>
    </row>
    <row r="54" spans="2:25">
      <c r="B54" s="2" t="s">
        <v>101</v>
      </c>
      <c r="C54" s="20">
        <f t="shared" ref="C54:O54" si="61">C89*0.2</f>
        <v>16024.804000000002</v>
      </c>
      <c r="D54" s="20">
        <f t="shared" si="61"/>
        <v>4543.877999999997</v>
      </c>
      <c r="E54" s="20">
        <f t="shared" si="61"/>
        <v>1055.848</v>
      </c>
      <c r="F54" s="20">
        <f t="shared" si="61"/>
        <v>209.05200000000005</v>
      </c>
      <c r="G54" s="20">
        <f t="shared" si="61"/>
        <v>16240.11</v>
      </c>
      <c r="H54" s="20">
        <f t="shared" si="61"/>
        <v>117.54000000000002</v>
      </c>
      <c r="I54" s="20">
        <f t="shared" si="61"/>
        <v>660.88800000000003</v>
      </c>
      <c r="J54" s="20">
        <f t="shared" si="61"/>
        <v>0</v>
      </c>
      <c r="K54" s="20">
        <f t="shared" si="61"/>
        <v>424.15000000000003</v>
      </c>
      <c r="L54" s="20">
        <f t="shared" si="61"/>
        <v>0</v>
      </c>
      <c r="M54" s="20">
        <f t="shared" si="61"/>
        <v>0</v>
      </c>
      <c r="N54" s="20">
        <f t="shared" si="61"/>
        <v>0</v>
      </c>
      <c r="O54" s="20">
        <f t="shared" si="61"/>
        <v>5.7140000000000004</v>
      </c>
      <c r="P54" s="20">
        <f t="shared" si="39"/>
        <v>0</v>
      </c>
      <c r="Q54" s="20">
        <f t="shared" si="51"/>
        <v>0</v>
      </c>
      <c r="R54" s="20">
        <f t="shared" si="51"/>
        <v>0</v>
      </c>
      <c r="S54" s="10">
        <f t="shared" si="40"/>
        <v>39281.983999999997</v>
      </c>
      <c r="T54" s="1093">
        <f t="shared" si="41"/>
        <v>16024.804000000002</v>
      </c>
      <c r="U54" s="1093">
        <f t="shared" si="42"/>
        <v>4543.877999999997</v>
      </c>
      <c r="V54" s="1093">
        <f t="shared" si="43"/>
        <v>1055.848</v>
      </c>
      <c r="W54" s="1093">
        <f t="shared" si="44"/>
        <v>209.05200000000005</v>
      </c>
      <c r="X54" s="1093">
        <f t="shared" si="45"/>
        <v>16240.11</v>
      </c>
      <c r="Y54" s="1093">
        <f t="shared" si="47"/>
        <v>1208.2920000000001</v>
      </c>
    </row>
    <row r="55" spans="2:25">
      <c r="B55" s="2" t="s">
        <v>102</v>
      </c>
      <c r="C55" s="20">
        <f t="shared" ref="C55:O55" si="62">C90*0.2</f>
        <v>83366.328000000009</v>
      </c>
      <c r="D55" s="20">
        <f t="shared" si="62"/>
        <v>14747.109999999999</v>
      </c>
      <c r="E55" s="20">
        <f t="shared" si="62"/>
        <v>14170.24</v>
      </c>
      <c r="F55" s="20">
        <f t="shared" si="62"/>
        <v>3949.0100000000007</v>
      </c>
      <c r="G55" s="20">
        <f t="shared" si="62"/>
        <v>139813.83000000002</v>
      </c>
      <c r="H55" s="20">
        <f t="shared" si="62"/>
        <v>1567.2</v>
      </c>
      <c r="I55" s="20">
        <f t="shared" si="62"/>
        <v>2612.2579999999998</v>
      </c>
      <c r="J55" s="20">
        <f t="shared" si="62"/>
        <v>117.54000000000002</v>
      </c>
      <c r="K55" s="20">
        <f t="shared" si="62"/>
        <v>1793.6079999999999</v>
      </c>
      <c r="L55" s="20">
        <f t="shared" si="62"/>
        <v>783.6</v>
      </c>
      <c r="M55" s="20">
        <f t="shared" si="62"/>
        <v>39.180000000000007</v>
      </c>
      <c r="N55" s="20">
        <f t="shared" si="62"/>
        <v>0</v>
      </c>
      <c r="O55" s="20">
        <f t="shared" si="62"/>
        <v>28.57</v>
      </c>
      <c r="P55" s="20">
        <f t="shared" si="39"/>
        <v>0</v>
      </c>
      <c r="Q55" s="20">
        <f t="shared" si="51"/>
        <v>0</v>
      </c>
      <c r="R55" s="20">
        <f t="shared" si="51"/>
        <v>0</v>
      </c>
      <c r="S55" s="10">
        <f t="shared" si="40"/>
        <v>262988.47400000005</v>
      </c>
      <c r="T55" s="1093">
        <f t="shared" si="41"/>
        <v>83366.328000000009</v>
      </c>
      <c r="U55" s="1093">
        <f t="shared" si="42"/>
        <v>14747.109999999999</v>
      </c>
      <c r="V55" s="1093">
        <f t="shared" si="43"/>
        <v>14170.24</v>
      </c>
      <c r="W55" s="1093">
        <f t="shared" si="44"/>
        <v>3949.0100000000007</v>
      </c>
      <c r="X55" s="1093">
        <f t="shared" si="45"/>
        <v>139813.83000000002</v>
      </c>
      <c r="Y55" s="1093">
        <f t="shared" si="47"/>
        <v>6941.9560000000001</v>
      </c>
    </row>
    <row r="56" spans="2:25">
      <c r="B56" s="2" t="s">
        <v>103</v>
      </c>
      <c r="C56" s="20">
        <f t="shared" ref="C56:O56" si="63">C91*0.2</f>
        <v>26790.802000000003</v>
      </c>
      <c r="D56" s="20">
        <f t="shared" si="63"/>
        <v>6602.6380000000008</v>
      </c>
      <c r="E56" s="20">
        <f t="shared" si="63"/>
        <v>1890.4080000000004</v>
      </c>
      <c r="F56" s="20">
        <f t="shared" si="63"/>
        <v>452.28</v>
      </c>
      <c r="G56" s="20">
        <f t="shared" si="63"/>
        <v>26897.070000000003</v>
      </c>
      <c r="H56" s="20">
        <f t="shared" si="63"/>
        <v>156.72000000000003</v>
      </c>
      <c r="I56" s="20">
        <f t="shared" si="63"/>
        <v>1103.944</v>
      </c>
      <c r="J56" s="20">
        <f t="shared" si="63"/>
        <v>56.855999999999995</v>
      </c>
      <c r="K56" s="20">
        <f t="shared" si="63"/>
        <v>866.64</v>
      </c>
      <c r="L56" s="20">
        <f t="shared" si="63"/>
        <v>352.62</v>
      </c>
      <c r="M56" s="20">
        <f t="shared" si="63"/>
        <v>0</v>
      </c>
      <c r="N56" s="20">
        <f t="shared" si="63"/>
        <v>0</v>
      </c>
      <c r="O56" s="20">
        <f t="shared" si="63"/>
        <v>11.428000000000001</v>
      </c>
      <c r="P56" s="20">
        <f t="shared" si="39"/>
        <v>0</v>
      </c>
      <c r="Q56" s="20">
        <f t="shared" si="51"/>
        <v>0</v>
      </c>
      <c r="R56" s="20">
        <f t="shared" si="51"/>
        <v>0</v>
      </c>
      <c r="S56" s="10">
        <f t="shared" si="40"/>
        <v>65181.40600000001</v>
      </c>
      <c r="T56" s="1093">
        <f t="shared" si="41"/>
        <v>26790.802000000003</v>
      </c>
      <c r="U56" s="1093">
        <f t="shared" si="42"/>
        <v>6602.6380000000008</v>
      </c>
      <c r="V56" s="1093">
        <f t="shared" si="43"/>
        <v>1890.4080000000004</v>
      </c>
      <c r="W56" s="1093">
        <f t="shared" si="44"/>
        <v>452.28</v>
      </c>
      <c r="X56" s="1093">
        <f t="shared" si="45"/>
        <v>26897.070000000003</v>
      </c>
      <c r="Y56" s="1093">
        <f t="shared" si="47"/>
        <v>2548.2079999999996</v>
      </c>
    </row>
    <row r="57" spans="2:25">
      <c r="B57" s="2" t="s">
        <v>104</v>
      </c>
      <c r="C57" s="20">
        <f t="shared" ref="C57:O57" si="64">C92*0.2</f>
        <v>7506.3339999999998</v>
      </c>
      <c r="D57" s="20">
        <f t="shared" si="64"/>
        <v>628.74600000000066</v>
      </c>
      <c r="E57" s="20">
        <f t="shared" si="64"/>
        <v>1400.2719999999999</v>
      </c>
      <c r="F57" s="20">
        <f t="shared" si="64"/>
        <v>415.97199999999998</v>
      </c>
      <c r="G57" s="20">
        <f t="shared" si="64"/>
        <v>8482.4699999999993</v>
      </c>
      <c r="H57" s="20">
        <f t="shared" si="64"/>
        <v>39.180000000000007</v>
      </c>
      <c r="I57" s="20">
        <f t="shared" si="64"/>
        <v>117.76200000000001</v>
      </c>
      <c r="J57" s="20">
        <f t="shared" si="64"/>
        <v>0</v>
      </c>
      <c r="K57" s="20">
        <f t="shared" si="64"/>
        <v>183.66800000000001</v>
      </c>
      <c r="L57" s="20">
        <f t="shared" si="64"/>
        <v>0</v>
      </c>
      <c r="M57" s="20">
        <f t="shared" si="64"/>
        <v>0</v>
      </c>
      <c r="N57" s="20">
        <f t="shared" si="64"/>
        <v>0</v>
      </c>
      <c r="O57" s="20">
        <f t="shared" si="64"/>
        <v>0</v>
      </c>
      <c r="P57" s="20">
        <f t="shared" si="39"/>
        <v>0</v>
      </c>
      <c r="Q57" s="20">
        <f t="shared" si="51"/>
        <v>0</v>
      </c>
      <c r="R57" s="20">
        <f t="shared" si="51"/>
        <v>0</v>
      </c>
      <c r="S57" s="10">
        <f t="shared" si="40"/>
        <v>18774.404000000002</v>
      </c>
      <c r="T57" s="1093">
        <f t="shared" si="41"/>
        <v>7506.3339999999998</v>
      </c>
      <c r="U57" s="1093">
        <f t="shared" si="42"/>
        <v>628.74600000000066</v>
      </c>
      <c r="V57" s="1093">
        <f t="shared" si="43"/>
        <v>1400.2719999999999</v>
      </c>
      <c r="W57" s="1093">
        <f t="shared" si="44"/>
        <v>415.97199999999998</v>
      </c>
      <c r="X57" s="1093">
        <f t="shared" si="45"/>
        <v>8482.4699999999993</v>
      </c>
      <c r="Y57" s="1093">
        <f t="shared" si="47"/>
        <v>340.61</v>
      </c>
    </row>
    <row r="58" spans="2:25">
      <c r="B58" s="2" t="s">
        <v>105</v>
      </c>
      <c r="C58" s="20">
        <f t="shared" ref="C58:O58" si="65">C93*0.2</f>
        <v>92567.19</v>
      </c>
      <c r="D58" s="20">
        <f t="shared" si="65"/>
        <v>18146.45199999999</v>
      </c>
      <c r="E58" s="20">
        <f t="shared" si="65"/>
        <v>10280.586000000001</v>
      </c>
      <c r="F58" s="20">
        <f t="shared" si="65"/>
        <v>1787.3520000000005</v>
      </c>
      <c r="G58" s="20">
        <f t="shared" si="65"/>
        <v>81102.600000000006</v>
      </c>
      <c r="H58" s="20">
        <f t="shared" si="65"/>
        <v>1763.1000000000001</v>
      </c>
      <c r="I58" s="20">
        <f t="shared" si="65"/>
        <v>4207.5999999999995</v>
      </c>
      <c r="J58" s="20">
        <f t="shared" si="65"/>
        <v>256.28800000000001</v>
      </c>
      <c r="K58" s="20">
        <f t="shared" si="65"/>
        <v>1566.2360000000001</v>
      </c>
      <c r="L58" s="20">
        <f t="shared" si="65"/>
        <v>352.62</v>
      </c>
      <c r="M58" s="20">
        <f t="shared" si="65"/>
        <v>39.180000000000007</v>
      </c>
      <c r="N58" s="20">
        <f t="shared" si="65"/>
        <v>0</v>
      </c>
      <c r="O58" s="20">
        <f t="shared" si="65"/>
        <v>57.14</v>
      </c>
      <c r="P58" s="20">
        <f t="shared" si="39"/>
        <v>0</v>
      </c>
      <c r="Q58" s="20">
        <f t="shared" si="51"/>
        <v>0</v>
      </c>
      <c r="R58" s="20">
        <f t="shared" si="51"/>
        <v>0</v>
      </c>
      <c r="S58" s="10">
        <f t="shared" si="40"/>
        <v>212126.34400000001</v>
      </c>
      <c r="T58" s="1093">
        <f t="shared" si="41"/>
        <v>92567.19</v>
      </c>
      <c r="U58" s="1093">
        <f t="shared" si="42"/>
        <v>18146.45199999999</v>
      </c>
      <c r="V58" s="1093">
        <f t="shared" si="43"/>
        <v>10280.586000000001</v>
      </c>
      <c r="W58" s="1093">
        <f t="shared" si="44"/>
        <v>1787.3520000000005</v>
      </c>
      <c r="X58" s="1093">
        <f t="shared" si="45"/>
        <v>81102.600000000006</v>
      </c>
      <c r="Y58" s="1093">
        <f t="shared" si="47"/>
        <v>8242.1639999999989</v>
      </c>
    </row>
    <row r="59" spans="2:25">
      <c r="B59" s="2" t="s">
        <v>106</v>
      </c>
      <c r="C59" s="20">
        <f t="shared" ref="C59:O59" si="66">C94*0.2</f>
        <v>13558.45</v>
      </c>
      <c r="D59" s="20">
        <f t="shared" si="66"/>
        <v>5200.3740000000025</v>
      </c>
      <c r="E59" s="20">
        <f t="shared" si="66"/>
        <v>573.63400000000001</v>
      </c>
      <c r="F59" s="20">
        <f t="shared" si="66"/>
        <v>161.01599999999999</v>
      </c>
      <c r="G59" s="20">
        <f t="shared" si="66"/>
        <v>14829.63</v>
      </c>
      <c r="H59" s="20">
        <f t="shared" si="66"/>
        <v>19.590000000000003</v>
      </c>
      <c r="I59" s="20">
        <f t="shared" si="66"/>
        <v>795.49400000000014</v>
      </c>
      <c r="J59" s="20">
        <f t="shared" si="66"/>
        <v>0</v>
      </c>
      <c r="K59" s="20">
        <f t="shared" si="66"/>
        <v>326.83600000000001</v>
      </c>
      <c r="L59" s="20">
        <f t="shared" si="66"/>
        <v>19.590000000000003</v>
      </c>
      <c r="M59" s="20">
        <f t="shared" si="66"/>
        <v>0</v>
      </c>
      <c r="N59" s="20">
        <f t="shared" si="66"/>
        <v>0</v>
      </c>
      <c r="O59" s="20">
        <f t="shared" si="66"/>
        <v>5.7140000000000004</v>
      </c>
      <c r="P59" s="20">
        <f t="shared" si="39"/>
        <v>0</v>
      </c>
      <c r="Q59" s="20">
        <f t="shared" si="51"/>
        <v>0</v>
      </c>
      <c r="R59" s="20">
        <f t="shared" si="51"/>
        <v>0</v>
      </c>
      <c r="S59" s="10">
        <f t="shared" si="40"/>
        <v>35490.328000000001</v>
      </c>
      <c r="T59" s="1093">
        <f t="shared" si="41"/>
        <v>13558.45</v>
      </c>
      <c r="U59" s="1093">
        <f t="shared" si="42"/>
        <v>5200.3740000000025</v>
      </c>
      <c r="V59" s="1093">
        <f t="shared" si="43"/>
        <v>573.63400000000001</v>
      </c>
      <c r="W59" s="1093">
        <f t="shared" si="44"/>
        <v>161.01599999999999</v>
      </c>
      <c r="X59" s="1093">
        <f t="shared" si="45"/>
        <v>14829.63</v>
      </c>
      <c r="Y59" s="1093">
        <f t="shared" si="47"/>
        <v>1167.2239999999999</v>
      </c>
    </row>
    <row r="60" spans="2:25">
      <c r="B60" s="2" t="s">
        <v>107</v>
      </c>
      <c r="C60" s="20">
        <f t="shared" ref="C60:O60" si="67">C95*0.2</f>
        <v>88322.626000000004</v>
      </c>
      <c r="D60" s="20">
        <f t="shared" si="67"/>
        <v>15655.507999999996</v>
      </c>
      <c r="E60" s="20">
        <f t="shared" si="67"/>
        <v>10998.984</v>
      </c>
      <c r="F60" s="20">
        <f t="shared" si="67"/>
        <v>3276.5220000000004</v>
      </c>
      <c r="G60" s="20">
        <f t="shared" si="67"/>
        <v>137267.13</v>
      </c>
      <c r="H60" s="20">
        <f t="shared" si="67"/>
        <v>1253.76</v>
      </c>
      <c r="I60" s="20">
        <f t="shared" si="67"/>
        <v>3137.7280000000001</v>
      </c>
      <c r="J60" s="20">
        <f t="shared" si="67"/>
        <v>57.14</v>
      </c>
      <c r="K60" s="20">
        <f t="shared" si="67"/>
        <v>1807.95</v>
      </c>
      <c r="L60" s="20">
        <f t="shared" si="67"/>
        <v>1116.6299999999999</v>
      </c>
      <c r="M60" s="20">
        <f t="shared" si="67"/>
        <v>0</v>
      </c>
      <c r="N60" s="20">
        <f t="shared" si="67"/>
        <v>0</v>
      </c>
      <c r="O60" s="20">
        <f t="shared" si="67"/>
        <v>11.428000000000001</v>
      </c>
      <c r="P60" s="20">
        <f t="shared" si="39"/>
        <v>0</v>
      </c>
      <c r="Q60" s="20">
        <f t="shared" si="51"/>
        <v>0</v>
      </c>
      <c r="R60" s="20">
        <f t="shared" si="51"/>
        <v>0</v>
      </c>
      <c r="S60" s="10">
        <f t="shared" si="40"/>
        <v>262905.40600000008</v>
      </c>
      <c r="T60" s="1093">
        <f t="shared" si="41"/>
        <v>88322.626000000004</v>
      </c>
      <c r="U60" s="1093">
        <f t="shared" si="42"/>
        <v>15655.507999999996</v>
      </c>
      <c r="V60" s="1093">
        <f t="shared" si="43"/>
        <v>10998.984</v>
      </c>
      <c r="W60" s="1093">
        <f t="shared" si="44"/>
        <v>3276.5220000000004</v>
      </c>
      <c r="X60" s="1093">
        <f t="shared" si="45"/>
        <v>137267.13</v>
      </c>
      <c r="Y60" s="1093">
        <f t="shared" si="47"/>
        <v>7384.6360000000004</v>
      </c>
    </row>
    <row r="61" spans="2:25">
      <c r="B61" s="2" t="s">
        <v>108</v>
      </c>
      <c r="C61" s="20">
        <f t="shared" ref="C61:O61" si="68">C96*0.2</f>
        <v>9825.9660000000003</v>
      </c>
      <c r="D61" s="20">
        <f t="shared" si="68"/>
        <v>1135.8699999999997</v>
      </c>
      <c r="E61" s="20">
        <f t="shared" si="68"/>
        <v>533.3180000000001</v>
      </c>
      <c r="F61" s="20">
        <f t="shared" si="68"/>
        <v>179.13400000000001</v>
      </c>
      <c r="G61" s="20">
        <f t="shared" si="68"/>
        <v>21803.670000000002</v>
      </c>
      <c r="H61" s="20">
        <f t="shared" si="68"/>
        <v>333.03000000000003</v>
      </c>
      <c r="I61" s="20">
        <f t="shared" si="68"/>
        <v>119.82400000000001</v>
      </c>
      <c r="J61" s="20">
        <f t="shared" si="68"/>
        <v>0</v>
      </c>
      <c r="K61" s="20">
        <f t="shared" si="68"/>
        <v>174.226</v>
      </c>
      <c r="L61" s="20">
        <f t="shared" si="68"/>
        <v>137.13</v>
      </c>
      <c r="M61" s="20">
        <f t="shared" si="68"/>
        <v>0</v>
      </c>
      <c r="N61" s="20">
        <f t="shared" si="68"/>
        <v>0</v>
      </c>
      <c r="O61" s="20">
        <f t="shared" si="68"/>
        <v>0</v>
      </c>
      <c r="P61" s="20">
        <f t="shared" si="39"/>
        <v>0</v>
      </c>
      <c r="Q61" s="20">
        <f t="shared" si="51"/>
        <v>0</v>
      </c>
      <c r="R61" s="20">
        <f t="shared" si="51"/>
        <v>0</v>
      </c>
      <c r="S61" s="10">
        <f t="shared" si="40"/>
        <v>34242.167999999998</v>
      </c>
      <c r="T61" s="1093">
        <f t="shared" si="41"/>
        <v>9825.9660000000003</v>
      </c>
      <c r="U61" s="1093">
        <f t="shared" si="42"/>
        <v>1135.8699999999997</v>
      </c>
      <c r="V61" s="1093">
        <f t="shared" si="43"/>
        <v>533.3180000000001</v>
      </c>
      <c r="W61" s="1093">
        <f t="shared" si="44"/>
        <v>179.13400000000001</v>
      </c>
      <c r="X61" s="1093">
        <f t="shared" si="45"/>
        <v>21803.670000000002</v>
      </c>
      <c r="Y61" s="1093">
        <f t="shared" si="47"/>
        <v>764.21</v>
      </c>
    </row>
    <row r="62" spans="2:25">
      <c r="B62" s="2" t="s">
        <v>109</v>
      </c>
      <c r="C62" s="20">
        <f t="shared" ref="C62:O62" si="69">C97*0.2</f>
        <v>1205.674</v>
      </c>
      <c r="D62" s="20">
        <f t="shared" si="69"/>
        <v>36.218000000000032</v>
      </c>
      <c r="E62" s="20">
        <f t="shared" si="69"/>
        <v>137.13800000000001</v>
      </c>
      <c r="F62" s="20">
        <f t="shared" si="69"/>
        <v>0</v>
      </c>
      <c r="G62" s="20">
        <f t="shared" si="69"/>
        <v>1625.9700000000003</v>
      </c>
      <c r="H62" s="20">
        <f t="shared" si="69"/>
        <v>58.77000000000001</v>
      </c>
      <c r="I62" s="20">
        <f t="shared" si="69"/>
        <v>3.3460000000000001</v>
      </c>
      <c r="J62" s="20">
        <f t="shared" si="69"/>
        <v>0</v>
      </c>
      <c r="K62" s="20">
        <f t="shared" si="69"/>
        <v>0</v>
      </c>
      <c r="L62" s="20">
        <f t="shared" si="69"/>
        <v>0</v>
      </c>
      <c r="M62" s="20">
        <f t="shared" si="69"/>
        <v>0</v>
      </c>
      <c r="N62" s="20">
        <f t="shared" si="69"/>
        <v>0</v>
      </c>
      <c r="O62" s="20">
        <f t="shared" si="69"/>
        <v>0</v>
      </c>
      <c r="P62" s="20">
        <f t="shared" si="39"/>
        <v>0</v>
      </c>
      <c r="Q62" s="20">
        <f t="shared" si="51"/>
        <v>0</v>
      </c>
      <c r="R62" s="20">
        <f t="shared" si="51"/>
        <v>0</v>
      </c>
      <c r="S62" s="10">
        <f t="shared" si="40"/>
        <v>3067.116</v>
      </c>
      <c r="T62" s="1093">
        <f t="shared" si="41"/>
        <v>1205.674</v>
      </c>
      <c r="U62" s="1093">
        <f t="shared" si="42"/>
        <v>36.218000000000032</v>
      </c>
      <c r="V62" s="1093">
        <f t="shared" si="43"/>
        <v>137.13800000000001</v>
      </c>
      <c r="W62" s="1093">
        <f t="shared" si="44"/>
        <v>0</v>
      </c>
      <c r="X62" s="1093">
        <f t="shared" si="45"/>
        <v>1625.9700000000003</v>
      </c>
      <c r="Y62" s="1093">
        <f t="shared" si="47"/>
        <v>62.116000000000014</v>
      </c>
    </row>
    <row r="63" spans="2:25">
      <c r="B63" s="2" t="s">
        <v>110</v>
      </c>
      <c r="C63" s="20">
        <f t="shared" ref="C63:O63" si="70">C98*0.2</f>
        <v>60487.383999999998</v>
      </c>
      <c r="D63" s="20">
        <f t="shared" si="70"/>
        <v>9190.6720000000096</v>
      </c>
      <c r="E63" s="20">
        <f t="shared" si="70"/>
        <v>6758.0380000000005</v>
      </c>
      <c r="F63" s="20">
        <f t="shared" si="70"/>
        <v>792.70199999999897</v>
      </c>
      <c r="G63" s="20">
        <f t="shared" si="70"/>
        <v>96305.44</v>
      </c>
      <c r="H63" s="20">
        <f t="shared" si="70"/>
        <v>685.65000000000009</v>
      </c>
      <c r="I63" s="20">
        <f t="shared" si="70"/>
        <v>1634.8280000000002</v>
      </c>
      <c r="J63" s="20">
        <f t="shared" si="70"/>
        <v>0</v>
      </c>
      <c r="K63" s="20">
        <f t="shared" si="70"/>
        <v>1098.912</v>
      </c>
      <c r="L63" s="20">
        <f t="shared" si="70"/>
        <v>117.54000000000002</v>
      </c>
      <c r="M63" s="20">
        <f t="shared" si="70"/>
        <v>0</v>
      </c>
      <c r="N63" s="20">
        <f t="shared" si="70"/>
        <v>0</v>
      </c>
      <c r="O63" s="20">
        <f t="shared" si="70"/>
        <v>11.428000000000001</v>
      </c>
      <c r="P63" s="20">
        <f t="shared" si="39"/>
        <v>0</v>
      </c>
      <c r="Q63" s="20">
        <f t="shared" si="51"/>
        <v>0</v>
      </c>
      <c r="R63" s="20">
        <f t="shared" si="51"/>
        <v>0</v>
      </c>
      <c r="S63" s="10">
        <f t="shared" si="40"/>
        <v>177082.59400000007</v>
      </c>
      <c r="T63" s="1093">
        <f t="shared" si="41"/>
        <v>60487.383999999998</v>
      </c>
      <c r="U63" s="1093">
        <f t="shared" si="42"/>
        <v>9190.6720000000096</v>
      </c>
      <c r="V63" s="1093">
        <f t="shared" si="43"/>
        <v>6758.0380000000005</v>
      </c>
      <c r="W63" s="1093">
        <f t="shared" si="44"/>
        <v>792.70199999999897</v>
      </c>
      <c r="X63" s="1093">
        <f t="shared" si="45"/>
        <v>96305.44</v>
      </c>
      <c r="Y63" s="1093">
        <f t="shared" si="47"/>
        <v>3548.3580000000002</v>
      </c>
    </row>
    <row r="64" spans="2:25">
      <c r="B64" s="2" t="s">
        <v>111</v>
      </c>
      <c r="C64" s="20">
        <f t="shared" ref="C64:O64" si="71">C99*0.2</f>
        <v>326374.03399999999</v>
      </c>
      <c r="D64" s="20">
        <f t="shared" si="71"/>
        <v>86389.56799999997</v>
      </c>
      <c r="E64" s="20">
        <f t="shared" si="71"/>
        <v>26115.574000000001</v>
      </c>
      <c r="F64" s="20">
        <f t="shared" si="71"/>
        <v>13789.412</v>
      </c>
      <c r="G64" s="20">
        <f t="shared" si="71"/>
        <v>534199.71</v>
      </c>
      <c r="H64" s="20">
        <f t="shared" si="71"/>
        <v>3898.41</v>
      </c>
      <c r="I64" s="20">
        <f t="shared" si="71"/>
        <v>24654.510000000006</v>
      </c>
      <c r="J64" s="20">
        <f t="shared" si="71"/>
        <v>176.31</v>
      </c>
      <c r="K64" s="20">
        <f t="shared" si="71"/>
        <v>7862.1840000000002</v>
      </c>
      <c r="L64" s="20">
        <f t="shared" si="71"/>
        <v>1488.8400000000001</v>
      </c>
      <c r="M64" s="20">
        <f t="shared" si="71"/>
        <v>117.54000000000002</v>
      </c>
      <c r="N64" s="20">
        <f t="shared" si="71"/>
        <v>0</v>
      </c>
      <c r="O64" s="20">
        <f t="shared" si="71"/>
        <v>302.84200000000004</v>
      </c>
      <c r="P64" s="20">
        <f t="shared" si="39"/>
        <v>9.5239999999999991</v>
      </c>
      <c r="Q64" s="20">
        <v>0</v>
      </c>
      <c r="R64" s="20">
        <v>0</v>
      </c>
      <c r="S64" s="10">
        <f t="shared" si="40"/>
        <v>1025378.458</v>
      </c>
      <c r="T64" s="1093">
        <f t="shared" si="41"/>
        <v>326374.03399999999</v>
      </c>
      <c r="U64" s="1093">
        <f t="shared" si="42"/>
        <v>86389.56799999997</v>
      </c>
      <c r="V64" s="1093">
        <f t="shared" si="43"/>
        <v>26115.574000000001</v>
      </c>
      <c r="W64" s="1093">
        <f t="shared" si="44"/>
        <v>13789.412</v>
      </c>
      <c r="X64" s="1093">
        <f t="shared" si="45"/>
        <v>534199.71</v>
      </c>
      <c r="Y64" s="1093">
        <f t="shared" si="47"/>
        <v>38510.159999999996</v>
      </c>
    </row>
    <row r="65" spans="2:25">
      <c r="B65" s="2" t="s">
        <v>112</v>
      </c>
      <c r="C65" s="20">
        <f t="shared" ref="C65:O65" si="72">C100*0.2</f>
        <v>11808.75</v>
      </c>
      <c r="D65" s="20">
        <f t="shared" si="72"/>
        <v>3299.3659999999977</v>
      </c>
      <c r="E65" s="20">
        <f t="shared" si="72"/>
        <v>594.27</v>
      </c>
      <c r="F65" s="20">
        <f t="shared" si="72"/>
        <v>85.871999999999943</v>
      </c>
      <c r="G65" s="20">
        <f t="shared" si="72"/>
        <v>11244.660000000002</v>
      </c>
      <c r="H65" s="20">
        <f t="shared" si="72"/>
        <v>58.77000000000001</v>
      </c>
      <c r="I65" s="20">
        <f t="shared" si="72"/>
        <v>399.572</v>
      </c>
      <c r="J65" s="20">
        <f t="shared" si="72"/>
        <v>0</v>
      </c>
      <c r="K65" s="20">
        <f t="shared" si="72"/>
        <v>464.73199999999997</v>
      </c>
      <c r="L65" s="20">
        <f t="shared" si="72"/>
        <v>137.13</v>
      </c>
      <c r="M65" s="20">
        <f t="shared" si="72"/>
        <v>0</v>
      </c>
      <c r="N65" s="20">
        <f t="shared" si="72"/>
        <v>0</v>
      </c>
      <c r="O65" s="20">
        <f t="shared" si="72"/>
        <v>5.7140000000000004</v>
      </c>
      <c r="P65" s="20">
        <f t="shared" si="39"/>
        <v>0</v>
      </c>
      <c r="Q65" s="20">
        <f>Q100*0.2</f>
        <v>0</v>
      </c>
      <c r="R65" s="20">
        <f>R100*0.2</f>
        <v>0</v>
      </c>
      <c r="S65" s="10">
        <f t="shared" si="40"/>
        <v>28098.835999999999</v>
      </c>
      <c r="T65" s="1093">
        <f t="shared" si="41"/>
        <v>11808.75</v>
      </c>
      <c r="U65" s="1093">
        <f t="shared" si="42"/>
        <v>3299.3659999999977</v>
      </c>
      <c r="V65" s="1093">
        <f t="shared" si="43"/>
        <v>594.27</v>
      </c>
      <c r="W65" s="1093">
        <f t="shared" si="44"/>
        <v>85.871999999999943</v>
      </c>
      <c r="X65" s="1093">
        <f t="shared" si="45"/>
        <v>11244.660000000002</v>
      </c>
      <c r="Y65" s="1093">
        <f t="shared" si="47"/>
        <v>1065.9179999999999</v>
      </c>
    </row>
    <row r="66" spans="2:25">
      <c r="B66" s="2" t="s">
        <v>113</v>
      </c>
      <c r="C66" s="20">
        <f t="shared" ref="C66:O66" si="73">C101*0.2</f>
        <v>5847.0980000000009</v>
      </c>
      <c r="D66" s="20">
        <f t="shared" si="73"/>
        <v>1175.2139999999993</v>
      </c>
      <c r="E66" s="20">
        <f t="shared" si="73"/>
        <v>592.36199999999997</v>
      </c>
      <c r="F66" s="20">
        <f t="shared" si="73"/>
        <v>187.74600000000001</v>
      </c>
      <c r="G66" s="20">
        <f t="shared" si="73"/>
        <v>9266.07</v>
      </c>
      <c r="H66" s="20">
        <f t="shared" si="73"/>
        <v>195.9</v>
      </c>
      <c r="I66" s="20">
        <f t="shared" si="73"/>
        <v>144.512</v>
      </c>
      <c r="J66" s="20">
        <f t="shared" si="73"/>
        <v>0</v>
      </c>
      <c r="K66" s="20">
        <f t="shared" si="73"/>
        <v>156.44400000000002</v>
      </c>
      <c r="L66" s="20">
        <f t="shared" si="73"/>
        <v>19.590000000000003</v>
      </c>
      <c r="M66" s="20">
        <f t="shared" si="73"/>
        <v>0</v>
      </c>
      <c r="N66" s="20">
        <f t="shared" si="73"/>
        <v>0</v>
      </c>
      <c r="O66" s="20">
        <f t="shared" si="73"/>
        <v>5.7140000000000004</v>
      </c>
      <c r="P66" s="20">
        <f t="shared" si="39"/>
        <v>0</v>
      </c>
      <c r="Q66" s="20">
        <f>Q101*0.2</f>
        <v>0</v>
      </c>
      <c r="R66" s="20">
        <f>R101*0.2</f>
        <v>0</v>
      </c>
      <c r="S66" s="10">
        <f t="shared" si="40"/>
        <v>17590.649999999998</v>
      </c>
      <c r="T66" s="1093">
        <f t="shared" si="41"/>
        <v>5847.0980000000009</v>
      </c>
      <c r="U66" s="1093">
        <f t="shared" si="42"/>
        <v>1175.2139999999993</v>
      </c>
      <c r="V66" s="1093">
        <f t="shared" si="43"/>
        <v>592.36199999999997</v>
      </c>
      <c r="W66" s="1093">
        <f t="shared" si="44"/>
        <v>187.74600000000001</v>
      </c>
      <c r="X66" s="1093">
        <f t="shared" si="45"/>
        <v>9266.07</v>
      </c>
      <c r="Y66" s="1093">
        <f t="shared" si="47"/>
        <v>522.16000000000008</v>
      </c>
    </row>
    <row r="67" spans="2:25">
      <c r="B67" s="7" t="s">
        <v>37</v>
      </c>
      <c r="C67" s="8">
        <f t="shared" ref="C67:T67" si="74">SUM(C40:C66)</f>
        <v>1077977.186</v>
      </c>
      <c r="D67" s="8">
        <f t="shared" si="74"/>
        <v>245765.61799999996</v>
      </c>
      <c r="E67" s="8">
        <f t="shared" si="74"/>
        <v>108052.53199999999</v>
      </c>
      <c r="F67" s="8">
        <f t="shared" si="74"/>
        <v>33191.5</v>
      </c>
      <c r="G67" s="8">
        <f t="shared" si="74"/>
        <v>1513739.71</v>
      </c>
      <c r="H67" s="8">
        <f t="shared" si="74"/>
        <v>14555.37</v>
      </c>
      <c r="I67" s="8">
        <f t="shared" si="74"/>
        <v>54134.342000000004</v>
      </c>
      <c r="J67" s="8">
        <f t="shared" si="74"/>
        <v>1150.902</v>
      </c>
      <c r="K67" s="8">
        <f t="shared" si="74"/>
        <v>23972.36</v>
      </c>
      <c r="L67" s="8">
        <f t="shared" si="74"/>
        <v>6562.6500000000005</v>
      </c>
      <c r="M67" s="8">
        <f t="shared" si="74"/>
        <v>195.90000000000003</v>
      </c>
      <c r="N67" s="8">
        <f t="shared" si="74"/>
        <v>233.70800000000003</v>
      </c>
      <c r="O67" s="8">
        <f t="shared" si="74"/>
        <v>605.6840000000002</v>
      </c>
      <c r="P67" s="8">
        <f t="shared" ref="P67" si="75">SUM(P40:P66)</f>
        <v>9.5239999999999991</v>
      </c>
      <c r="Q67" s="8">
        <f t="shared" si="74"/>
        <v>10.210000000000001</v>
      </c>
      <c r="R67" s="8">
        <f t="shared" si="74"/>
        <v>102.10599999999999</v>
      </c>
      <c r="S67" s="11">
        <f t="shared" si="74"/>
        <v>3080259.3020000006</v>
      </c>
      <c r="T67" s="1093">
        <f t="shared" si="74"/>
        <v>1077977.186</v>
      </c>
      <c r="U67" s="1093">
        <f t="shared" ref="U67:Y67" si="76">SUM(U40:U66)</f>
        <v>245765.61799999996</v>
      </c>
      <c r="V67" s="1093">
        <f t="shared" si="76"/>
        <v>108052.53199999999</v>
      </c>
      <c r="W67" s="1093">
        <f t="shared" si="76"/>
        <v>33191.5</v>
      </c>
      <c r="X67" s="1093">
        <f t="shared" si="76"/>
        <v>1513739.71</v>
      </c>
      <c r="Y67" s="1093">
        <f t="shared" si="76"/>
        <v>101532.75599999999</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51</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17506.580000000002</v>
      </c>
      <c r="D75" s="20">
        <v>1577.1799999999967</v>
      </c>
      <c r="E75" s="20">
        <v>2190.41</v>
      </c>
      <c r="F75" s="20">
        <v>0</v>
      </c>
      <c r="G75" s="20">
        <v>22038.75</v>
      </c>
      <c r="H75" s="20">
        <v>587.70000000000005</v>
      </c>
      <c r="I75" s="20">
        <v>103.31</v>
      </c>
      <c r="J75" s="20">
        <v>0</v>
      </c>
      <c r="K75" s="20">
        <v>312.42</v>
      </c>
      <c r="L75" s="20">
        <v>587.70000000000005</v>
      </c>
      <c r="M75" s="20">
        <v>0</v>
      </c>
      <c r="N75" s="20">
        <v>0</v>
      </c>
      <c r="O75" s="20">
        <v>0</v>
      </c>
      <c r="P75" s="20">
        <v>0</v>
      </c>
      <c r="Q75" s="20">
        <v>0</v>
      </c>
      <c r="R75" s="20">
        <v>0</v>
      </c>
      <c r="S75" s="10">
        <f t="shared" ref="S75:S101" si="77">SUM(C75:R75)</f>
        <v>44904.049999999988</v>
      </c>
      <c r="T75" s="1093">
        <f t="shared" ref="T75:T101" si="78">C75</f>
        <v>17506.580000000002</v>
      </c>
      <c r="U75" s="1093">
        <f t="shared" ref="U75:U101" si="79">D75</f>
        <v>1577.1799999999967</v>
      </c>
      <c r="V75" s="1093">
        <f t="shared" ref="V75:V101" si="80">E75</f>
        <v>2190.41</v>
      </c>
      <c r="W75" s="1093">
        <f t="shared" ref="W75:W101" si="81">F75</f>
        <v>0</v>
      </c>
      <c r="X75" s="1093">
        <f t="shared" ref="X75:X101" si="82">G75</f>
        <v>22038.75</v>
      </c>
      <c r="Y75" s="1093">
        <f>SUM(H75:R75)</f>
        <v>1591.13</v>
      </c>
    </row>
    <row r="76" spans="2:25">
      <c r="B76" s="2" t="s">
        <v>88</v>
      </c>
      <c r="C76" s="20">
        <v>58482.23</v>
      </c>
      <c r="D76" s="20">
        <v>17675.32</v>
      </c>
      <c r="E76" s="20">
        <v>2990.38</v>
      </c>
      <c r="F76" s="20">
        <v>317.67999999999984</v>
      </c>
      <c r="G76" s="20">
        <v>54362.25</v>
      </c>
      <c r="H76" s="20">
        <v>979.5</v>
      </c>
      <c r="I76" s="20">
        <v>2944.4</v>
      </c>
      <c r="J76" s="20">
        <v>0</v>
      </c>
      <c r="K76" s="20">
        <v>1455.66</v>
      </c>
      <c r="L76" s="20">
        <v>0</v>
      </c>
      <c r="M76" s="20">
        <v>0</v>
      </c>
      <c r="N76" s="20">
        <v>0</v>
      </c>
      <c r="O76" s="20">
        <v>0</v>
      </c>
      <c r="P76" s="20">
        <v>0</v>
      </c>
      <c r="Q76" s="20">
        <v>0</v>
      </c>
      <c r="R76" s="20">
        <v>0</v>
      </c>
      <c r="S76" s="10">
        <f t="shared" si="77"/>
        <v>139207.41999999998</v>
      </c>
      <c r="T76" s="1093">
        <f t="shared" si="78"/>
        <v>58482.23</v>
      </c>
      <c r="U76" s="1093">
        <f t="shared" si="79"/>
        <v>17675.32</v>
      </c>
      <c r="V76" s="1093">
        <f t="shared" si="80"/>
        <v>2990.38</v>
      </c>
      <c r="W76" s="1093">
        <f t="shared" si="81"/>
        <v>317.67999999999984</v>
      </c>
      <c r="X76" s="1093">
        <f t="shared" si="82"/>
        <v>54362.25</v>
      </c>
      <c r="Y76" s="1093">
        <f t="shared" ref="Y76:Y101" si="83">SUM(H76:R76)</f>
        <v>5379.56</v>
      </c>
    </row>
    <row r="77" spans="2:25">
      <c r="B77" s="2" t="s">
        <v>89</v>
      </c>
      <c r="C77" s="20">
        <v>29943.06</v>
      </c>
      <c r="D77" s="20">
        <v>8476.5499999999993</v>
      </c>
      <c r="E77" s="20">
        <v>5018.8900000000003</v>
      </c>
      <c r="F77" s="20">
        <v>1532.4899999999998</v>
      </c>
      <c r="G77" s="20">
        <v>33596.85</v>
      </c>
      <c r="H77" s="20">
        <v>489.75</v>
      </c>
      <c r="I77" s="20">
        <v>1068.95</v>
      </c>
      <c r="J77" s="20">
        <v>0</v>
      </c>
      <c r="K77" s="20">
        <v>1578.78</v>
      </c>
      <c r="L77" s="20">
        <v>195.9</v>
      </c>
      <c r="M77" s="20">
        <v>0</v>
      </c>
      <c r="N77" s="20">
        <v>0</v>
      </c>
      <c r="O77" s="20">
        <v>0</v>
      </c>
      <c r="P77" s="20">
        <v>0</v>
      </c>
      <c r="Q77" s="20">
        <v>0</v>
      </c>
      <c r="R77" s="20">
        <v>0</v>
      </c>
      <c r="S77" s="10">
        <f t="shared" si="77"/>
        <v>81901.219999999987</v>
      </c>
      <c r="T77" s="1093">
        <f t="shared" si="78"/>
        <v>29943.06</v>
      </c>
      <c r="U77" s="1093">
        <f t="shared" si="79"/>
        <v>8476.5499999999993</v>
      </c>
      <c r="V77" s="1093">
        <f t="shared" si="80"/>
        <v>5018.8900000000003</v>
      </c>
      <c r="W77" s="1093">
        <f t="shared" si="81"/>
        <v>1532.4899999999998</v>
      </c>
      <c r="X77" s="1093">
        <f t="shared" si="82"/>
        <v>33596.85</v>
      </c>
      <c r="Y77" s="1093">
        <f t="shared" si="83"/>
        <v>3333.38</v>
      </c>
    </row>
    <row r="78" spans="2:25">
      <c r="B78" s="2" t="s">
        <v>90</v>
      </c>
      <c r="C78" s="20">
        <v>51077.32</v>
      </c>
      <c r="D78" s="20">
        <v>20771.46</v>
      </c>
      <c r="E78" s="20">
        <v>3933.2</v>
      </c>
      <c r="F78" s="20">
        <v>2176.59</v>
      </c>
      <c r="G78" s="20">
        <v>62688</v>
      </c>
      <c r="H78" s="20">
        <v>685.65</v>
      </c>
      <c r="I78" s="20">
        <v>2967.3700000000003</v>
      </c>
      <c r="J78" s="20">
        <v>0</v>
      </c>
      <c r="K78" s="20">
        <v>1967.69</v>
      </c>
      <c r="L78" s="20">
        <v>195.9</v>
      </c>
      <c r="M78" s="20">
        <v>0</v>
      </c>
      <c r="N78" s="20">
        <v>390.64</v>
      </c>
      <c r="O78" s="20">
        <v>28.57</v>
      </c>
      <c r="P78" s="20">
        <v>0</v>
      </c>
      <c r="Q78" s="20">
        <v>0</v>
      </c>
      <c r="R78" s="20">
        <v>0</v>
      </c>
      <c r="S78" s="10">
        <f t="shared" si="77"/>
        <v>146882.39000000001</v>
      </c>
      <c r="T78" s="1093">
        <f t="shared" si="78"/>
        <v>51077.32</v>
      </c>
      <c r="U78" s="1093">
        <f t="shared" si="79"/>
        <v>20771.46</v>
      </c>
      <c r="V78" s="1093">
        <f t="shared" si="80"/>
        <v>3933.2</v>
      </c>
      <c r="W78" s="1093">
        <f t="shared" si="81"/>
        <v>2176.59</v>
      </c>
      <c r="X78" s="1093">
        <f t="shared" si="82"/>
        <v>62688</v>
      </c>
      <c r="Y78" s="1093">
        <f t="shared" si="83"/>
        <v>6235.8200000000006</v>
      </c>
    </row>
    <row r="79" spans="2:25">
      <c r="B79" s="2" t="s">
        <v>91</v>
      </c>
      <c r="C79" s="20">
        <v>180292.09</v>
      </c>
      <c r="D79" s="20">
        <v>33091.959999999992</v>
      </c>
      <c r="E79" s="20">
        <v>22075.47</v>
      </c>
      <c r="F79" s="20">
        <v>2498.5399999999972</v>
      </c>
      <c r="G79" s="20">
        <v>149177.85</v>
      </c>
      <c r="H79" s="20">
        <v>2056.9499999999998</v>
      </c>
      <c r="I79" s="20">
        <v>6147.62</v>
      </c>
      <c r="J79" s="20">
        <v>0</v>
      </c>
      <c r="K79" s="20">
        <v>3108.02</v>
      </c>
      <c r="L79" s="20">
        <v>587.70000000000005</v>
      </c>
      <c r="M79" s="20">
        <v>0</v>
      </c>
      <c r="N79" s="20">
        <v>0</v>
      </c>
      <c r="O79" s="20">
        <v>0</v>
      </c>
      <c r="P79" s="20">
        <v>0</v>
      </c>
      <c r="Q79" s="20">
        <v>51.05</v>
      </c>
      <c r="R79" s="20">
        <v>510.53</v>
      </c>
      <c r="S79" s="10">
        <f t="shared" si="77"/>
        <v>399597.78000000009</v>
      </c>
      <c r="T79" s="1093">
        <f t="shared" si="78"/>
        <v>180292.09</v>
      </c>
      <c r="U79" s="1093">
        <f t="shared" si="79"/>
        <v>33091.959999999992</v>
      </c>
      <c r="V79" s="1093">
        <f t="shared" si="80"/>
        <v>22075.47</v>
      </c>
      <c r="W79" s="1093">
        <f t="shared" si="81"/>
        <v>2498.5399999999972</v>
      </c>
      <c r="X79" s="1093">
        <f t="shared" si="82"/>
        <v>149177.85</v>
      </c>
      <c r="Y79" s="1093">
        <f t="shared" si="83"/>
        <v>12461.87</v>
      </c>
    </row>
    <row r="80" spans="2:25">
      <c r="B80" s="2" t="s">
        <v>92</v>
      </c>
      <c r="C80" s="20">
        <v>125851.78</v>
      </c>
      <c r="D80" s="20">
        <v>16864.459999999992</v>
      </c>
      <c r="E80" s="20">
        <v>9756.7800000000007</v>
      </c>
      <c r="F80" s="20">
        <v>0</v>
      </c>
      <c r="G80" s="20">
        <v>106275.75</v>
      </c>
      <c r="H80" s="20">
        <v>2350.8000000000002</v>
      </c>
      <c r="I80" s="20">
        <v>2732.44</v>
      </c>
      <c r="J80" s="20">
        <v>0</v>
      </c>
      <c r="K80" s="20">
        <v>2063.2600000000002</v>
      </c>
      <c r="L80" s="20">
        <v>293.85000000000002</v>
      </c>
      <c r="M80" s="20">
        <v>0</v>
      </c>
      <c r="N80" s="20">
        <v>0</v>
      </c>
      <c r="O80" s="20">
        <v>57.14</v>
      </c>
      <c r="P80" s="20">
        <v>0</v>
      </c>
      <c r="Q80" s="20">
        <v>0</v>
      </c>
      <c r="R80" s="20">
        <v>0</v>
      </c>
      <c r="S80" s="10">
        <f t="shared" si="77"/>
        <v>266246.25999999995</v>
      </c>
      <c r="T80" s="1093">
        <f t="shared" si="78"/>
        <v>125851.78</v>
      </c>
      <c r="U80" s="1093">
        <f t="shared" si="79"/>
        <v>16864.459999999992</v>
      </c>
      <c r="V80" s="1093">
        <f t="shared" si="80"/>
        <v>9756.7800000000007</v>
      </c>
      <c r="W80" s="1093">
        <f t="shared" si="81"/>
        <v>0</v>
      </c>
      <c r="X80" s="1093">
        <f t="shared" si="82"/>
        <v>106275.75</v>
      </c>
      <c r="Y80" s="1093">
        <f t="shared" si="83"/>
        <v>7497.4900000000007</v>
      </c>
    </row>
    <row r="81" spans="2:25">
      <c r="B81" s="2" t="s">
        <v>93</v>
      </c>
      <c r="C81" s="20">
        <v>137487.22</v>
      </c>
      <c r="D81" s="20">
        <v>34910.369999999995</v>
      </c>
      <c r="E81" s="20">
        <v>11037.72</v>
      </c>
      <c r="F81" s="20">
        <v>442.23999999999978</v>
      </c>
      <c r="G81" s="20">
        <v>145455.75</v>
      </c>
      <c r="H81" s="20">
        <v>2056.9499999999998</v>
      </c>
      <c r="I81" s="20">
        <v>6695.59</v>
      </c>
      <c r="J81" s="20">
        <v>0</v>
      </c>
      <c r="K81" s="20">
        <v>2359.6</v>
      </c>
      <c r="L81" s="20">
        <v>881.55</v>
      </c>
      <c r="M81" s="20">
        <v>0</v>
      </c>
      <c r="N81" s="20">
        <v>0</v>
      </c>
      <c r="O81" s="20">
        <v>85.71</v>
      </c>
      <c r="P81" s="20">
        <v>0</v>
      </c>
      <c r="Q81" s="20">
        <v>0</v>
      </c>
      <c r="R81" s="20">
        <v>0</v>
      </c>
      <c r="S81" s="10">
        <f t="shared" si="77"/>
        <v>341412.7</v>
      </c>
      <c r="T81" s="1093">
        <f t="shared" si="78"/>
        <v>137487.22</v>
      </c>
      <c r="U81" s="1093">
        <f t="shared" si="79"/>
        <v>34910.369999999995</v>
      </c>
      <c r="V81" s="1093">
        <f t="shared" si="80"/>
        <v>11037.72</v>
      </c>
      <c r="W81" s="1093">
        <f t="shared" si="81"/>
        <v>442.23999999999978</v>
      </c>
      <c r="X81" s="1093">
        <f t="shared" si="82"/>
        <v>145455.75</v>
      </c>
      <c r="Y81" s="1093">
        <f t="shared" si="83"/>
        <v>12079.4</v>
      </c>
    </row>
    <row r="82" spans="2:25">
      <c r="B82" s="2" t="s">
        <v>94</v>
      </c>
      <c r="C82" s="20">
        <v>121331.85</v>
      </c>
      <c r="D82" s="20">
        <v>9028.6699999999983</v>
      </c>
      <c r="E82" s="20">
        <v>8529.9</v>
      </c>
      <c r="F82" s="20">
        <v>3650.9699999999993</v>
      </c>
      <c r="G82" s="20">
        <v>121262.1</v>
      </c>
      <c r="H82" s="20">
        <v>1077.45</v>
      </c>
      <c r="I82" s="20">
        <v>3251.8899999999994</v>
      </c>
      <c r="J82" s="20">
        <v>929.75</v>
      </c>
      <c r="K82" s="20">
        <v>594.05000000000007</v>
      </c>
      <c r="L82" s="20">
        <v>293.85000000000002</v>
      </c>
      <c r="M82" s="20">
        <v>0</v>
      </c>
      <c r="N82" s="20">
        <v>0</v>
      </c>
      <c r="O82" s="20">
        <v>57.14</v>
      </c>
      <c r="P82" s="20">
        <v>0</v>
      </c>
      <c r="Q82" s="20">
        <v>0</v>
      </c>
      <c r="R82" s="20">
        <v>0</v>
      </c>
      <c r="S82" s="10">
        <f t="shared" si="77"/>
        <v>270007.62</v>
      </c>
      <c r="T82" s="1093">
        <f t="shared" si="78"/>
        <v>121331.85</v>
      </c>
      <c r="U82" s="1093">
        <f t="shared" si="79"/>
        <v>9028.6699999999983</v>
      </c>
      <c r="V82" s="1093">
        <f t="shared" si="80"/>
        <v>8529.9</v>
      </c>
      <c r="W82" s="1093">
        <f t="shared" si="81"/>
        <v>3650.9699999999993</v>
      </c>
      <c r="X82" s="1093">
        <f t="shared" si="82"/>
        <v>121262.1</v>
      </c>
      <c r="Y82" s="1093">
        <f t="shared" si="83"/>
        <v>6204.13</v>
      </c>
    </row>
    <row r="83" spans="2:25">
      <c r="B83" s="2" t="s">
        <v>95</v>
      </c>
      <c r="C83" s="20">
        <v>130613.97</v>
      </c>
      <c r="D83" s="20">
        <v>32371.940000000002</v>
      </c>
      <c r="E83" s="20">
        <v>14972.51</v>
      </c>
      <c r="F83" s="20">
        <v>5333.7100000000009</v>
      </c>
      <c r="G83" s="20">
        <v>314321.55</v>
      </c>
      <c r="H83" s="20">
        <v>2644.6499999999996</v>
      </c>
      <c r="I83" s="20">
        <v>6728.54</v>
      </c>
      <c r="J83" s="20">
        <v>1504.09</v>
      </c>
      <c r="K83" s="20">
        <v>2890.1900000000005</v>
      </c>
      <c r="L83" s="20">
        <v>293.85000000000002</v>
      </c>
      <c r="M83" s="20">
        <v>0</v>
      </c>
      <c r="N83" s="20">
        <v>0</v>
      </c>
      <c r="O83" s="20">
        <v>85.71</v>
      </c>
      <c r="P83" s="20">
        <v>0</v>
      </c>
      <c r="Q83" s="20">
        <v>0</v>
      </c>
      <c r="R83" s="20">
        <v>0</v>
      </c>
      <c r="S83" s="10">
        <f t="shared" si="77"/>
        <v>511760.71</v>
      </c>
      <c r="T83" s="1093">
        <f t="shared" si="78"/>
        <v>130613.97</v>
      </c>
      <c r="U83" s="1093">
        <f t="shared" si="79"/>
        <v>32371.940000000002</v>
      </c>
      <c r="V83" s="1093">
        <f t="shared" si="80"/>
        <v>14972.51</v>
      </c>
      <c r="W83" s="1093">
        <f t="shared" si="81"/>
        <v>5333.7100000000009</v>
      </c>
      <c r="X83" s="1093">
        <f t="shared" si="82"/>
        <v>314321.55</v>
      </c>
      <c r="Y83" s="1093">
        <f t="shared" si="83"/>
        <v>14147.029999999999</v>
      </c>
    </row>
    <row r="84" spans="2:25">
      <c r="B84" s="2" t="s">
        <v>96</v>
      </c>
      <c r="C84" s="20">
        <v>57426.76</v>
      </c>
      <c r="D84" s="20">
        <v>15685.500000000007</v>
      </c>
      <c r="E84" s="20">
        <v>3799.87</v>
      </c>
      <c r="F84" s="20">
        <v>2335.3900000000003</v>
      </c>
      <c r="G84" s="20">
        <v>50150.400000000001</v>
      </c>
      <c r="H84" s="20">
        <v>685.65000000000009</v>
      </c>
      <c r="I84" s="20">
        <v>2250.5099999999998</v>
      </c>
      <c r="J84" s="20">
        <v>0</v>
      </c>
      <c r="K84" s="20">
        <v>1504.3999999999999</v>
      </c>
      <c r="L84" s="20">
        <v>293.85000000000002</v>
      </c>
      <c r="M84" s="20">
        <v>0</v>
      </c>
      <c r="N84" s="20">
        <v>0</v>
      </c>
      <c r="O84" s="20">
        <v>0</v>
      </c>
      <c r="P84" s="20">
        <v>0</v>
      </c>
      <c r="Q84" s="20">
        <v>0</v>
      </c>
      <c r="R84" s="20">
        <v>0</v>
      </c>
      <c r="S84" s="10">
        <f t="shared" si="77"/>
        <v>134132.33000000002</v>
      </c>
      <c r="T84" s="1093">
        <f t="shared" si="78"/>
        <v>57426.76</v>
      </c>
      <c r="U84" s="1093">
        <f t="shared" si="79"/>
        <v>15685.500000000007</v>
      </c>
      <c r="V84" s="1093">
        <f t="shared" si="80"/>
        <v>3799.87</v>
      </c>
      <c r="W84" s="1093">
        <f t="shared" si="81"/>
        <v>2335.3900000000003</v>
      </c>
      <c r="X84" s="1093">
        <f t="shared" si="82"/>
        <v>50150.400000000001</v>
      </c>
      <c r="Y84" s="1093">
        <f t="shared" si="83"/>
        <v>4734.41</v>
      </c>
    </row>
    <row r="85" spans="2:25">
      <c r="B85" s="2" t="s">
        <v>97</v>
      </c>
      <c r="C85" s="20">
        <v>94992.87</v>
      </c>
      <c r="D85" s="20">
        <v>40100.950000000012</v>
      </c>
      <c r="E85" s="20">
        <v>6386.77</v>
      </c>
      <c r="F85" s="20">
        <v>2495.7800000000007</v>
      </c>
      <c r="G85" s="20">
        <v>278471.84999999998</v>
      </c>
      <c r="H85" s="20">
        <v>2056.9499999999998</v>
      </c>
      <c r="I85" s="20">
        <v>5791.7599999999993</v>
      </c>
      <c r="J85" s="20">
        <v>0</v>
      </c>
      <c r="K85" s="20">
        <v>3506.73</v>
      </c>
      <c r="L85" s="20">
        <v>783.6</v>
      </c>
      <c r="M85" s="20">
        <v>0</v>
      </c>
      <c r="N85" s="20">
        <v>0</v>
      </c>
      <c r="O85" s="20">
        <v>28.57</v>
      </c>
      <c r="P85" s="20">
        <v>0</v>
      </c>
      <c r="Q85" s="20">
        <v>0</v>
      </c>
      <c r="R85" s="20">
        <v>0</v>
      </c>
      <c r="S85" s="10">
        <f t="shared" si="77"/>
        <v>434615.82999999996</v>
      </c>
      <c r="T85" s="1093">
        <f t="shared" si="78"/>
        <v>94992.87</v>
      </c>
      <c r="U85" s="1093">
        <f t="shared" si="79"/>
        <v>40100.950000000012</v>
      </c>
      <c r="V85" s="1093">
        <f t="shared" si="80"/>
        <v>6386.77</v>
      </c>
      <c r="W85" s="1093">
        <f t="shared" si="81"/>
        <v>2495.7800000000007</v>
      </c>
      <c r="X85" s="1093">
        <f t="shared" si="82"/>
        <v>278471.84999999998</v>
      </c>
      <c r="Y85" s="1093">
        <f t="shared" si="83"/>
        <v>12167.609999999999</v>
      </c>
    </row>
    <row r="86" spans="2:25">
      <c r="B86" s="2" t="s">
        <v>98</v>
      </c>
      <c r="C86" s="20">
        <v>88639.21</v>
      </c>
      <c r="D86" s="20">
        <v>19112.999999999985</v>
      </c>
      <c r="E86" s="20">
        <v>15136.04</v>
      </c>
      <c r="F86" s="20">
        <v>3834.239999999998</v>
      </c>
      <c r="G86" s="20">
        <v>194429.85</v>
      </c>
      <c r="H86" s="20">
        <v>1077.45</v>
      </c>
      <c r="I86" s="20">
        <v>3781.66</v>
      </c>
      <c r="J86" s="20">
        <v>0</v>
      </c>
      <c r="K86" s="20">
        <v>2148.1799999999998</v>
      </c>
      <c r="L86" s="20">
        <v>489.75</v>
      </c>
      <c r="M86" s="20">
        <v>0</v>
      </c>
      <c r="N86" s="20">
        <v>777.9</v>
      </c>
      <c r="O86" s="20">
        <v>85.71</v>
      </c>
      <c r="P86" s="20">
        <v>0</v>
      </c>
      <c r="Q86" s="20">
        <v>0</v>
      </c>
      <c r="R86" s="20">
        <v>0</v>
      </c>
      <c r="S86" s="10">
        <f t="shared" si="77"/>
        <v>329512.99</v>
      </c>
      <c r="T86" s="1093">
        <f t="shared" si="78"/>
        <v>88639.21</v>
      </c>
      <c r="U86" s="1093">
        <f t="shared" si="79"/>
        <v>19112.999999999985</v>
      </c>
      <c r="V86" s="1093">
        <f t="shared" si="80"/>
        <v>15136.04</v>
      </c>
      <c r="W86" s="1093">
        <f t="shared" si="81"/>
        <v>3834.239999999998</v>
      </c>
      <c r="X86" s="1093">
        <f t="shared" si="82"/>
        <v>194429.85</v>
      </c>
      <c r="Y86" s="1093">
        <f t="shared" si="83"/>
        <v>8360.6499999999978</v>
      </c>
    </row>
    <row r="87" spans="2:25">
      <c r="B87" s="2" t="s">
        <v>99</v>
      </c>
      <c r="C87" s="20">
        <v>499007.36</v>
      </c>
      <c r="D87" s="20">
        <v>122299.66999999993</v>
      </c>
      <c r="E87" s="20">
        <v>51198.29</v>
      </c>
      <c r="F87" s="20">
        <v>12907.689999999995</v>
      </c>
      <c r="G87" s="20">
        <v>468494.85</v>
      </c>
      <c r="H87" s="20">
        <v>3820.0499999999997</v>
      </c>
      <c r="I87" s="20">
        <v>23948.59</v>
      </c>
      <c r="J87" s="20">
        <v>0</v>
      </c>
      <c r="K87" s="20">
        <v>10338.42</v>
      </c>
      <c r="L87" s="20">
        <v>4505.7</v>
      </c>
      <c r="M87" s="20">
        <v>0</v>
      </c>
      <c r="N87" s="20">
        <v>0</v>
      </c>
      <c r="O87" s="20">
        <v>314.27</v>
      </c>
      <c r="P87" s="20">
        <v>0</v>
      </c>
      <c r="Q87" s="20">
        <v>0</v>
      </c>
      <c r="R87" s="20">
        <v>0</v>
      </c>
      <c r="S87" s="10">
        <f t="shared" si="77"/>
        <v>1196834.8899999999</v>
      </c>
      <c r="T87" s="1093">
        <f t="shared" si="78"/>
        <v>499007.36</v>
      </c>
      <c r="U87" s="1093">
        <f t="shared" si="79"/>
        <v>122299.66999999993</v>
      </c>
      <c r="V87" s="1093">
        <f t="shared" si="80"/>
        <v>51198.29</v>
      </c>
      <c r="W87" s="1093">
        <f t="shared" si="81"/>
        <v>12907.689999999995</v>
      </c>
      <c r="X87" s="1093">
        <f t="shared" si="82"/>
        <v>468494.85</v>
      </c>
      <c r="Y87" s="1093">
        <f t="shared" si="83"/>
        <v>42927.029999999992</v>
      </c>
    </row>
    <row r="88" spans="2:25">
      <c r="B88" s="2" t="s">
        <v>100</v>
      </c>
      <c r="C88" s="20">
        <v>78806.429999999993</v>
      </c>
      <c r="D88" s="20">
        <v>23102.990000000005</v>
      </c>
      <c r="E88" s="20">
        <v>7733.07</v>
      </c>
      <c r="F88" s="20">
        <v>2001.83</v>
      </c>
      <c r="G88" s="20">
        <v>72580.95</v>
      </c>
      <c r="H88" s="20">
        <v>1469.25</v>
      </c>
      <c r="I88" s="20">
        <v>4297.75</v>
      </c>
      <c r="J88" s="20">
        <v>0</v>
      </c>
      <c r="K88" s="20">
        <v>2406.4700000000003</v>
      </c>
      <c r="L88" s="20">
        <v>783.6</v>
      </c>
      <c r="M88" s="20">
        <v>0</v>
      </c>
      <c r="N88" s="20">
        <v>0</v>
      </c>
      <c r="O88" s="20">
        <v>57.14</v>
      </c>
      <c r="P88" s="20">
        <v>0</v>
      </c>
      <c r="Q88" s="20">
        <v>0</v>
      </c>
      <c r="R88" s="20">
        <v>0</v>
      </c>
      <c r="S88" s="10">
        <f t="shared" si="77"/>
        <v>193239.48</v>
      </c>
      <c r="T88" s="1093">
        <f t="shared" si="78"/>
        <v>78806.429999999993</v>
      </c>
      <c r="U88" s="1093">
        <f t="shared" si="79"/>
        <v>23102.990000000005</v>
      </c>
      <c r="V88" s="1093">
        <f t="shared" si="80"/>
        <v>7733.07</v>
      </c>
      <c r="W88" s="1093">
        <f t="shared" si="81"/>
        <v>2001.83</v>
      </c>
      <c r="X88" s="1093">
        <f t="shared" si="82"/>
        <v>72580.95</v>
      </c>
      <c r="Y88" s="1093">
        <f t="shared" si="83"/>
        <v>9014.2099999999991</v>
      </c>
    </row>
    <row r="89" spans="2:25">
      <c r="B89" s="2" t="s">
        <v>101</v>
      </c>
      <c r="C89" s="20">
        <v>80124.02</v>
      </c>
      <c r="D89" s="20">
        <v>22719.389999999985</v>
      </c>
      <c r="E89" s="20">
        <v>5279.24</v>
      </c>
      <c r="F89" s="20">
        <v>1045.2600000000002</v>
      </c>
      <c r="G89" s="20">
        <v>81200.55</v>
      </c>
      <c r="H89" s="20">
        <v>587.70000000000005</v>
      </c>
      <c r="I89" s="20">
        <v>3304.44</v>
      </c>
      <c r="J89" s="20">
        <v>0</v>
      </c>
      <c r="K89" s="20">
        <v>2120.75</v>
      </c>
      <c r="L89" s="20">
        <v>0</v>
      </c>
      <c r="M89" s="20">
        <v>0</v>
      </c>
      <c r="N89" s="20">
        <v>0</v>
      </c>
      <c r="O89" s="20">
        <v>28.57</v>
      </c>
      <c r="P89" s="20">
        <v>0</v>
      </c>
      <c r="Q89" s="20">
        <v>0</v>
      </c>
      <c r="R89" s="20">
        <v>0</v>
      </c>
      <c r="S89" s="10">
        <f t="shared" si="77"/>
        <v>196409.92</v>
      </c>
      <c r="T89" s="1093">
        <f t="shared" si="78"/>
        <v>80124.02</v>
      </c>
      <c r="U89" s="1093">
        <f t="shared" si="79"/>
        <v>22719.389999999985</v>
      </c>
      <c r="V89" s="1093">
        <f t="shared" si="80"/>
        <v>5279.24</v>
      </c>
      <c r="W89" s="1093">
        <f t="shared" si="81"/>
        <v>1045.2600000000002</v>
      </c>
      <c r="X89" s="1093">
        <f t="shared" si="82"/>
        <v>81200.55</v>
      </c>
      <c r="Y89" s="1093">
        <f t="shared" si="83"/>
        <v>6041.46</v>
      </c>
    </row>
    <row r="90" spans="2:25">
      <c r="B90" s="2" t="s">
        <v>102</v>
      </c>
      <c r="C90" s="20">
        <v>416831.64</v>
      </c>
      <c r="D90" s="20">
        <v>73735.549999999988</v>
      </c>
      <c r="E90" s="20">
        <v>70851.199999999997</v>
      </c>
      <c r="F90" s="20">
        <v>19745.050000000003</v>
      </c>
      <c r="G90" s="20">
        <v>699069.15</v>
      </c>
      <c r="H90" s="20">
        <v>7836</v>
      </c>
      <c r="I90" s="20">
        <v>13061.289999999999</v>
      </c>
      <c r="J90" s="20">
        <v>587.70000000000005</v>
      </c>
      <c r="K90" s="20">
        <v>8968.0399999999991</v>
      </c>
      <c r="L90" s="20">
        <v>3918</v>
      </c>
      <c r="M90" s="20">
        <v>195.9</v>
      </c>
      <c r="N90" s="20">
        <v>0</v>
      </c>
      <c r="O90" s="20">
        <v>142.85</v>
      </c>
      <c r="P90" s="20">
        <v>0</v>
      </c>
      <c r="Q90" s="20">
        <v>0</v>
      </c>
      <c r="R90" s="20">
        <v>0</v>
      </c>
      <c r="S90" s="10">
        <f t="shared" si="77"/>
        <v>1314942.3700000001</v>
      </c>
      <c r="T90" s="1093">
        <f t="shared" si="78"/>
        <v>416831.64</v>
      </c>
      <c r="U90" s="1093">
        <f t="shared" si="79"/>
        <v>73735.549999999988</v>
      </c>
      <c r="V90" s="1093">
        <f t="shared" si="80"/>
        <v>70851.199999999997</v>
      </c>
      <c r="W90" s="1093">
        <f t="shared" si="81"/>
        <v>19745.050000000003</v>
      </c>
      <c r="X90" s="1093">
        <f t="shared" si="82"/>
        <v>699069.15</v>
      </c>
      <c r="Y90" s="1093">
        <f t="shared" si="83"/>
        <v>34709.78</v>
      </c>
    </row>
    <row r="91" spans="2:25">
      <c r="B91" s="2" t="s">
        <v>103</v>
      </c>
      <c r="C91" s="20">
        <v>133954.01</v>
      </c>
      <c r="D91" s="20">
        <v>33013.19</v>
      </c>
      <c r="E91" s="20">
        <v>9452.0400000000009</v>
      </c>
      <c r="F91" s="20">
        <v>2261.3999999999996</v>
      </c>
      <c r="G91" s="20">
        <v>134485.35</v>
      </c>
      <c r="H91" s="20">
        <v>783.6</v>
      </c>
      <c r="I91" s="20">
        <v>5519.7199999999993</v>
      </c>
      <c r="J91" s="20">
        <v>284.27999999999997</v>
      </c>
      <c r="K91" s="20">
        <v>4333.2</v>
      </c>
      <c r="L91" s="20">
        <v>1763.1</v>
      </c>
      <c r="M91" s="20">
        <v>0</v>
      </c>
      <c r="N91" s="20">
        <v>0</v>
      </c>
      <c r="O91" s="20">
        <v>57.14</v>
      </c>
      <c r="P91" s="20">
        <v>0</v>
      </c>
      <c r="Q91" s="20">
        <v>0</v>
      </c>
      <c r="R91" s="20">
        <v>0</v>
      </c>
      <c r="S91" s="10">
        <f t="shared" si="77"/>
        <v>325907.02999999997</v>
      </c>
      <c r="T91" s="1093">
        <f t="shared" si="78"/>
        <v>133954.01</v>
      </c>
      <c r="U91" s="1093">
        <f t="shared" si="79"/>
        <v>33013.19</v>
      </c>
      <c r="V91" s="1093">
        <f t="shared" si="80"/>
        <v>9452.0400000000009</v>
      </c>
      <c r="W91" s="1093">
        <f t="shared" si="81"/>
        <v>2261.3999999999996</v>
      </c>
      <c r="X91" s="1093">
        <f t="shared" si="82"/>
        <v>134485.35</v>
      </c>
      <c r="Y91" s="1093">
        <f t="shared" si="83"/>
        <v>12741.039999999999</v>
      </c>
    </row>
    <row r="92" spans="2:25">
      <c r="B92" s="2" t="s">
        <v>104</v>
      </c>
      <c r="C92" s="20">
        <v>37531.67</v>
      </c>
      <c r="D92" s="20">
        <v>3143.7300000000032</v>
      </c>
      <c r="E92" s="20">
        <v>7001.36</v>
      </c>
      <c r="F92" s="20">
        <v>2079.8599999999997</v>
      </c>
      <c r="G92" s="20">
        <v>42412.35</v>
      </c>
      <c r="H92" s="20">
        <v>195.9</v>
      </c>
      <c r="I92" s="20">
        <v>588.81000000000006</v>
      </c>
      <c r="J92" s="20">
        <v>0</v>
      </c>
      <c r="K92" s="20">
        <v>918.33999999999992</v>
      </c>
      <c r="L92" s="20">
        <v>0</v>
      </c>
      <c r="M92" s="20">
        <v>0</v>
      </c>
      <c r="N92" s="20">
        <v>0</v>
      </c>
      <c r="O92" s="20">
        <v>0</v>
      </c>
      <c r="P92" s="20">
        <v>0</v>
      </c>
      <c r="Q92" s="20">
        <v>0</v>
      </c>
      <c r="R92" s="20">
        <v>0</v>
      </c>
      <c r="S92" s="10">
        <f t="shared" si="77"/>
        <v>93872.01999999999</v>
      </c>
      <c r="T92" s="1093">
        <f t="shared" si="78"/>
        <v>37531.67</v>
      </c>
      <c r="U92" s="1093">
        <f t="shared" si="79"/>
        <v>3143.7300000000032</v>
      </c>
      <c r="V92" s="1093">
        <f t="shared" si="80"/>
        <v>7001.36</v>
      </c>
      <c r="W92" s="1093">
        <f t="shared" si="81"/>
        <v>2079.8599999999997</v>
      </c>
      <c r="X92" s="1093">
        <f t="shared" si="82"/>
        <v>42412.35</v>
      </c>
      <c r="Y92" s="1093">
        <f t="shared" si="83"/>
        <v>1703.05</v>
      </c>
    </row>
    <row r="93" spans="2:25">
      <c r="B93" s="2" t="s">
        <v>105</v>
      </c>
      <c r="C93" s="20">
        <v>462835.95</v>
      </c>
      <c r="D93" s="20">
        <v>90732.259999999951</v>
      </c>
      <c r="E93" s="20">
        <v>51402.93</v>
      </c>
      <c r="F93" s="20">
        <v>8936.760000000002</v>
      </c>
      <c r="G93" s="20">
        <v>405513</v>
      </c>
      <c r="H93" s="20">
        <v>8815.5</v>
      </c>
      <c r="I93" s="20">
        <v>21037.999999999996</v>
      </c>
      <c r="J93" s="20">
        <v>1281.44</v>
      </c>
      <c r="K93" s="20">
        <v>7831.18</v>
      </c>
      <c r="L93" s="20">
        <v>1763.1</v>
      </c>
      <c r="M93" s="20">
        <v>195.9</v>
      </c>
      <c r="N93" s="20">
        <v>0</v>
      </c>
      <c r="O93" s="20">
        <v>285.7</v>
      </c>
      <c r="P93" s="20">
        <v>0</v>
      </c>
      <c r="Q93" s="20">
        <v>0</v>
      </c>
      <c r="R93" s="20">
        <v>0</v>
      </c>
      <c r="S93" s="10">
        <f t="shared" si="77"/>
        <v>1060631.7199999997</v>
      </c>
      <c r="T93" s="1093">
        <f t="shared" si="78"/>
        <v>462835.95</v>
      </c>
      <c r="U93" s="1093">
        <f t="shared" si="79"/>
        <v>90732.259999999951</v>
      </c>
      <c r="V93" s="1093">
        <f t="shared" si="80"/>
        <v>51402.93</v>
      </c>
      <c r="W93" s="1093">
        <f t="shared" si="81"/>
        <v>8936.760000000002</v>
      </c>
      <c r="X93" s="1093">
        <f t="shared" si="82"/>
        <v>405513</v>
      </c>
      <c r="Y93" s="1093">
        <f t="shared" si="83"/>
        <v>41210.819999999992</v>
      </c>
    </row>
    <row r="94" spans="2:25">
      <c r="B94" s="2" t="s">
        <v>106</v>
      </c>
      <c r="C94" s="20">
        <v>67792.25</v>
      </c>
      <c r="D94" s="20">
        <v>26001.87000000001</v>
      </c>
      <c r="E94" s="20">
        <v>2868.17</v>
      </c>
      <c r="F94" s="20">
        <v>805.07999999999993</v>
      </c>
      <c r="G94" s="20">
        <v>74148.149999999994</v>
      </c>
      <c r="H94" s="20">
        <v>97.95</v>
      </c>
      <c r="I94" s="20">
        <v>3977.4700000000003</v>
      </c>
      <c r="J94" s="20">
        <v>0</v>
      </c>
      <c r="K94" s="20">
        <v>1634.18</v>
      </c>
      <c r="L94" s="20">
        <v>97.95</v>
      </c>
      <c r="M94" s="20">
        <v>0</v>
      </c>
      <c r="N94" s="20">
        <v>0</v>
      </c>
      <c r="O94" s="20">
        <v>28.57</v>
      </c>
      <c r="P94" s="20">
        <v>0</v>
      </c>
      <c r="Q94" s="20">
        <v>0</v>
      </c>
      <c r="R94" s="20">
        <v>0</v>
      </c>
      <c r="S94" s="10">
        <f t="shared" si="77"/>
        <v>177451.64000000004</v>
      </c>
      <c r="T94" s="1093">
        <f t="shared" si="78"/>
        <v>67792.25</v>
      </c>
      <c r="U94" s="1093">
        <f t="shared" si="79"/>
        <v>26001.87000000001</v>
      </c>
      <c r="V94" s="1093">
        <f t="shared" si="80"/>
        <v>2868.17</v>
      </c>
      <c r="W94" s="1093">
        <f t="shared" si="81"/>
        <v>805.07999999999993</v>
      </c>
      <c r="X94" s="1093">
        <f t="shared" si="82"/>
        <v>74148.149999999994</v>
      </c>
      <c r="Y94" s="1093">
        <f t="shared" si="83"/>
        <v>5836.12</v>
      </c>
    </row>
    <row r="95" spans="2:25">
      <c r="B95" s="2" t="s">
        <v>107</v>
      </c>
      <c r="C95" s="20">
        <v>441613.13</v>
      </c>
      <c r="D95" s="20">
        <v>78277.539999999979</v>
      </c>
      <c r="E95" s="20">
        <v>54994.92</v>
      </c>
      <c r="F95" s="20">
        <v>16382.61</v>
      </c>
      <c r="G95" s="20">
        <v>686335.65</v>
      </c>
      <c r="H95" s="20">
        <v>6268.7999999999993</v>
      </c>
      <c r="I95" s="20">
        <v>15688.64</v>
      </c>
      <c r="J95" s="20">
        <v>285.7</v>
      </c>
      <c r="K95" s="20">
        <v>9039.75</v>
      </c>
      <c r="L95" s="20">
        <v>5583.15</v>
      </c>
      <c r="M95" s="20">
        <v>0</v>
      </c>
      <c r="N95" s="20">
        <v>0</v>
      </c>
      <c r="O95" s="20">
        <v>57.14</v>
      </c>
      <c r="P95" s="20">
        <v>0</v>
      </c>
      <c r="Q95" s="20">
        <v>0</v>
      </c>
      <c r="R95" s="20">
        <v>0</v>
      </c>
      <c r="S95" s="10">
        <f t="shared" si="77"/>
        <v>1314527.0299999998</v>
      </c>
      <c r="T95" s="1093">
        <f t="shared" si="78"/>
        <v>441613.13</v>
      </c>
      <c r="U95" s="1093">
        <f t="shared" si="79"/>
        <v>78277.539999999979</v>
      </c>
      <c r="V95" s="1093">
        <f t="shared" si="80"/>
        <v>54994.92</v>
      </c>
      <c r="W95" s="1093">
        <f t="shared" si="81"/>
        <v>16382.61</v>
      </c>
      <c r="X95" s="1093">
        <f t="shared" si="82"/>
        <v>686335.65</v>
      </c>
      <c r="Y95" s="1093">
        <f t="shared" si="83"/>
        <v>36923.18</v>
      </c>
    </row>
    <row r="96" spans="2:25">
      <c r="B96" s="2" t="s">
        <v>108</v>
      </c>
      <c r="C96" s="20">
        <v>49129.83</v>
      </c>
      <c r="D96" s="20">
        <v>5679.3499999999985</v>
      </c>
      <c r="E96" s="20">
        <v>2666.59</v>
      </c>
      <c r="F96" s="20">
        <v>895.67000000000007</v>
      </c>
      <c r="G96" s="20">
        <v>109018.35</v>
      </c>
      <c r="H96" s="20">
        <v>1665.15</v>
      </c>
      <c r="I96" s="20">
        <v>599.12</v>
      </c>
      <c r="J96" s="20">
        <v>0</v>
      </c>
      <c r="K96" s="20">
        <v>871.13</v>
      </c>
      <c r="L96" s="20">
        <v>685.65</v>
      </c>
      <c r="M96" s="20">
        <v>0</v>
      </c>
      <c r="N96" s="20">
        <v>0</v>
      </c>
      <c r="O96" s="20">
        <v>0</v>
      </c>
      <c r="P96" s="20">
        <v>0</v>
      </c>
      <c r="Q96" s="20">
        <v>0</v>
      </c>
      <c r="R96" s="20">
        <v>0</v>
      </c>
      <c r="S96" s="10">
        <f t="shared" si="77"/>
        <v>171210.84</v>
      </c>
      <c r="T96" s="1093">
        <f t="shared" si="78"/>
        <v>49129.83</v>
      </c>
      <c r="U96" s="1093">
        <f t="shared" si="79"/>
        <v>5679.3499999999985</v>
      </c>
      <c r="V96" s="1093">
        <f t="shared" si="80"/>
        <v>2666.59</v>
      </c>
      <c r="W96" s="1093">
        <f t="shared" si="81"/>
        <v>895.67000000000007</v>
      </c>
      <c r="X96" s="1093">
        <f t="shared" si="82"/>
        <v>109018.35</v>
      </c>
      <c r="Y96" s="1093">
        <f t="shared" si="83"/>
        <v>3821.05</v>
      </c>
    </row>
    <row r="97" spans="2:25">
      <c r="B97" s="2" t="s">
        <v>109</v>
      </c>
      <c r="C97" s="20">
        <v>6028.37</v>
      </c>
      <c r="D97" s="20">
        <v>181.09000000000015</v>
      </c>
      <c r="E97" s="20">
        <v>685.69</v>
      </c>
      <c r="F97" s="20">
        <v>0</v>
      </c>
      <c r="G97" s="20">
        <v>8129.85</v>
      </c>
      <c r="H97" s="20">
        <v>293.85000000000002</v>
      </c>
      <c r="I97" s="20">
        <v>16.73</v>
      </c>
      <c r="J97" s="20">
        <v>0</v>
      </c>
      <c r="K97" s="20">
        <v>0</v>
      </c>
      <c r="L97" s="20">
        <v>0</v>
      </c>
      <c r="M97" s="20">
        <v>0</v>
      </c>
      <c r="N97" s="20">
        <v>0</v>
      </c>
      <c r="O97" s="20">
        <v>0</v>
      </c>
      <c r="P97" s="20">
        <v>0</v>
      </c>
      <c r="Q97" s="20">
        <v>0</v>
      </c>
      <c r="R97" s="20">
        <v>0</v>
      </c>
      <c r="S97" s="10">
        <f t="shared" si="77"/>
        <v>15335.58</v>
      </c>
      <c r="T97" s="1093">
        <f t="shared" si="78"/>
        <v>6028.37</v>
      </c>
      <c r="U97" s="1093">
        <f t="shared" si="79"/>
        <v>181.09000000000015</v>
      </c>
      <c r="V97" s="1093">
        <f t="shared" si="80"/>
        <v>685.69</v>
      </c>
      <c r="W97" s="1093">
        <f t="shared" si="81"/>
        <v>0</v>
      </c>
      <c r="X97" s="1093">
        <f t="shared" si="82"/>
        <v>8129.85</v>
      </c>
      <c r="Y97" s="1093">
        <f t="shared" si="83"/>
        <v>310.58000000000004</v>
      </c>
    </row>
    <row r="98" spans="2:25">
      <c r="B98" s="2" t="s">
        <v>110</v>
      </c>
      <c r="C98" s="20">
        <v>302436.92</v>
      </c>
      <c r="D98" s="20">
        <v>45953.360000000044</v>
      </c>
      <c r="E98" s="20">
        <v>33790.19</v>
      </c>
      <c r="F98" s="20">
        <v>3963.5099999999948</v>
      </c>
      <c r="G98" s="20">
        <v>481527.2</v>
      </c>
      <c r="H98" s="20">
        <v>3428.25</v>
      </c>
      <c r="I98" s="20">
        <v>8174.14</v>
      </c>
      <c r="J98" s="20">
        <v>0</v>
      </c>
      <c r="K98" s="20">
        <v>5494.5599999999995</v>
      </c>
      <c r="L98" s="20">
        <v>587.70000000000005</v>
      </c>
      <c r="M98" s="20">
        <v>0</v>
      </c>
      <c r="N98" s="20">
        <v>0</v>
      </c>
      <c r="O98" s="20">
        <v>57.14</v>
      </c>
      <c r="P98" s="20">
        <v>0</v>
      </c>
      <c r="Q98" s="20">
        <v>0</v>
      </c>
      <c r="R98" s="20">
        <v>0</v>
      </c>
      <c r="S98" s="10">
        <f t="shared" si="77"/>
        <v>885412.97000000009</v>
      </c>
      <c r="T98" s="1093">
        <f t="shared" si="78"/>
        <v>302436.92</v>
      </c>
      <c r="U98" s="1093">
        <f t="shared" si="79"/>
        <v>45953.360000000044</v>
      </c>
      <c r="V98" s="1093">
        <f t="shared" si="80"/>
        <v>33790.19</v>
      </c>
      <c r="W98" s="1093">
        <f t="shared" si="81"/>
        <v>3963.5099999999948</v>
      </c>
      <c r="X98" s="1093">
        <f t="shared" si="82"/>
        <v>481527.2</v>
      </c>
      <c r="Y98" s="1093">
        <f t="shared" si="83"/>
        <v>17741.789999999997</v>
      </c>
    </row>
    <row r="99" spans="2:25">
      <c r="B99" s="2" t="s">
        <v>111</v>
      </c>
      <c r="C99" s="20">
        <v>1631870.17</v>
      </c>
      <c r="D99" s="20">
        <v>431947.83999999985</v>
      </c>
      <c r="E99" s="20">
        <v>130577.87</v>
      </c>
      <c r="F99" s="20">
        <v>68947.06</v>
      </c>
      <c r="G99" s="20">
        <v>2670998.5499999998</v>
      </c>
      <c r="H99" s="20">
        <v>19492.05</v>
      </c>
      <c r="I99" s="20">
        <v>123272.55000000002</v>
      </c>
      <c r="J99" s="20">
        <v>881.55</v>
      </c>
      <c r="K99" s="20">
        <v>39310.92</v>
      </c>
      <c r="L99" s="20">
        <v>7444.2</v>
      </c>
      <c r="M99" s="20">
        <v>587.70000000000005</v>
      </c>
      <c r="N99" s="20">
        <v>0</v>
      </c>
      <c r="O99" s="20">
        <v>1514.21</v>
      </c>
      <c r="P99" s="20">
        <v>47.62</v>
      </c>
      <c r="Q99" s="20">
        <v>1206.92</v>
      </c>
      <c r="R99" s="20">
        <v>12135.94</v>
      </c>
      <c r="S99" s="10">
        <f>SUM(C99:R99)</f>
        <v>5140235.1500000004</v>
      </c>
      <c r="T99" s="1093">
        <f t="shared" si="78"/>
        <v>1631870.17</v>
      </c>
      <c r="U99" s="1093">
        <f t="shared" si="79"/>
        <v>431947.83999999985</v>
      </c>
      <c r="V99" s="1093">
        <f t="shared" si="80"/>
        <v>130577.87</v>
      </c>
      <c r="W99" s="1093">
        <f t="shared" si="81"/>
        <v>68947.06</v>
      </c>
      <c r="X99" s="1093">
        <f t="shared" si="82"/>
        <v>2670998.5499999998</v>
      </c>
      <c r="Y99" s="1093">
        <f t="shared" si="83"/>
        <v>205893.66000000003</v>
      </c>
    </row>
    <row r="100" spans="2:25">
      <c r="B100" s="2" t="s">
        <v>112</v>
      </c>
      <c r="C100" s="20">
        <v>59043.75</v>
      </c>
      <c r="D100" s="20">
        <v>16496.829999999987</v>
      </c>
      <c r="E100" s="20">
        <v>2971.35</v>
      </c>
      <c r="F100" s="20">
        <v>429.35999999999967</v>
      </c>
      <c r="G100" s="20">
        <v>56223.3</v>
      </c>
      <c r="H100" s="20">
        <v>293.85000000000002</v>
      </c>
      <c r="I100" s="20">
        <v>1997.86</v>
      </c>
      <c r="J100" s="20">
        <v>0</v>
      </c>
      <c r="K100" s="20">
        <v>2323.66</v>
      </c>
      <c r="L100" s="20">
        <v>685.65</v>
      </c>
      <c r="M100" s="20">
        <v>0</v>
      </c>
      <c r="N100" s="20">
        <v>0</v>
      </c>
      <c r="O100" s="20">
        <v>28.57</v>
      </c>
      <c r="P100" s="20">
        <v>0</v>
      </c>
      <c r="Q100" s="20">
        <v>0</v>
      </c>
      <c r="R100" s="20">
        <v>0</v>
      </c>
      <c r="S100" s="10">
        <f t="shared" si="77"/>
        <v>140494.18</v>
      </c>
      <c r="T100" s="1093">
        <f t="shared" si="78"/>
        <v>59043.75</v>
      </c>
      <c r="U100" s="1093">
        <f t="shared" si="79"/>
        <v>16496.829999999987</v>
      </c>
      <c r="V100" s="1093">
        <f t="shared" si="80"/>
        <v>2971.35</v>
      </c>
      <c r="W100" s="1093">
        <f t="shared" si="81"/>
        <v>429.35999999999967</v>
      </c>
      <c r="X100" s="1093">
        <f t="shared" si="82"/>
        <v>56223.3</v>
      </c>
      <c r="Y100" s="1093">
        <f t="shared" si="83"/>
        <v>5329.5899999999992</v>
      </c>
    </row>
    <row r="101" spans="2:25">
      <c r="B101" s="2" t="s">
        <v>113</v>
      </c>
      <c r="C101" s="20">
        <v>29235.49</v>
      </c>
      <c r="D101" s="20">
        <v>5876.0699999999961</v>
      </c>
      <c r="E101" s="20">
        <v>2961.81</v>
      </c>
      <c r="F101" s="20">
        <v>938.73</v>
      </c>
      <c r="G101" s="20">
        <v>46330.35</v>
      </c>
      <c r="H101" s="20">
        <v>979.5</v>
      </c>
      <c r="I101" s="20">
        <v>722.56</v>
      </c>
      <c r="J101" s="20">
        <v>0</v>
      </c>
      <c r="K101" s="20">
        <v>782.22</v>
      </c>
      <c r="L101" s="20">
        <v>97.95</v>
      </c>
      <c r="M101" s="20">
        <v>0</v>
      </c>
      <c r="N101" s="20">
        <v>0</v>
      </c>
      <c r="O101" s="20">
        <v>28.57</v>
      </c>
      <c r="P101" s="20">
        <v>0</v>
      </c>
      <c r="Q101" s="20">
        <v>0</v>
      </c>
      <c r="R101" s="20">
        <v>0</v>
      </c>
      <c r="S101" s="10">
        <f t="shared" si="77"/>
        <v>87953.25</v>
      </c>
      <c r="T101" s="1093">
        <f t="shared" si="78"/>
        <v>29235.49</v>
      </c>
      <c r="U101" s="1093">
        <f t="shared" si="79"/>
        <v>5876.0699999999961</v>
      </c>
      <c r="V101" s="1093">
        <f t="shared" si="80"/>
        <v>2961.81</v>
      </c>
      <c r="W101" s="1093">
        <f t="shared" si="81"/>
        <v>938.73</v>
      </c>
      <c r="X101" s="1093">
        <f t="shared" si="82"/>
        <v>46330.35</v>
      </c>
      <c r="Y101" s="1093">
        <f t="shared" si="83"/>
        <v>2610.7999999999997</v>
      </c>
    </row>
    <row r="102" spans="2:25">
      <c r="B102" s="7" t="s">
        <v>37</v>
      </c>
      <c r="C102" s="6">
        <f t="shared" ref="C102:T102" si="84">SUM(C75:C101)</f>
        <v>5389885.9299999997</v>
      </c>
      <c r="D102" s="6">
        <f t="shared" si="84"/>
        <v>1228828.0899999999</v>
      </c>
      <c r="E102" s="6">
        <f t="shared" si="84"/>
        <v>540262.66</v>
      </c>
      <c r="F102" s="6">
        <f t="shared" si="84"/>
        <v>165957.5</v>
      </c>
      <c r="G102" s="6">
        <f t="shared" si="84"/>
        <v>7568698.5499999989</v>
      </c>
      <c r="H102" s="6">
        <f t="shared" si="84"/>
        <v>72776.850000000006</v>
      </c>
      <c r="I102" s="6">
        <f t="shared" si="84"/>
        <v>270671.71000000002</v>
      </c>
      <c r="J102" s="6">
        <f t="shared" si="84"/>
        <v>5754.51</v>
      </c>
      <c r="K102" s="6">
        <f t="shared" si="84"/>
        <v>119861.8</v>
      </c>
      <c r="L102" s="6">
        <f t="shared" si="84"/>
        <v>32813.25</v>
      </c>
      <c r="M102" s="6">
        <f t="shared" si="84"/>
        <v>979.5</v>
      </c>
      <c r="N102" s="6">
        <f t="shared" si="84"/>
        <v>1168.54</v>
      </c>
      <c r="O102" s="6">
        <f t="shared" si="84"/>
        <v>3028.4200000000005</v>
      </c>
      <c r="P102" s="27">
        <f t="shared" ref="P102" si="85">SUM(P75:P101)</f>
        <v>47.62</v>
      </c>
      <c r="Q102" s="6">
        <f t="shared" si="84"/>
        <v>1257.97</v>
      </c>
      <c r="R102" s="6">
        <f t="shared" si="84"/>
        <v>12646.470000000001</v>
      </c>
      <c r="S102" s="6">
        <f t="shared" si="84"/>
        <v>15414639.369999999</v>
      </c>
      <c r="T102" s="1093">
        <f t="shared" si="84"/>
        <v>5389885.9299999997</v>
      </c>
      <c r="U102" s="1093">
        <f t="shared" ref="U102:Y102" si="86">SUM(U75:U101)</f>
        <v>1228828.0899999999</v>
      </c>
      <c r="V102" s="1093">
        <f t="shared" si="86"/>
        <v>540262.66</v>
      </c>
      <c r="W102" s="1093">
        <f t="shared" si="86"/>
        <v>165957.5</v>
      </c>
      <c r="X102" s="1093">
        <f t="shared" si="86"/>
        <v>7568698.5499999989</v>
      </c>
      <c r="Y102" s="1093">
        <f t="shared" si="86"/>
        <v>521006.63999999996</v>
      </c>
    </row>
    <row r="103" spans="2:25">
      <c r="S103" s="1093"/>
    </row>
    <row r="104" spans="2:25">
      <c r="S104" s="1093"/>
    </row>
    <row r="105" spans="2:25">
      <c r="S105" s="1093"/>
    </row>
  </sheetData>
  <mergeCells count="48">
    <mergeCell ref="P38:P39"/>
    <mergeCell ref="P73:P74"/>
    <mergeCell ref="S73:S74"/>
    <mergeCell ref="S3:S4"/>
    <mergeCell ref="B37:S37"/>
    <mergeCell ref="Q38:R38"/>
    <mergeCell ref="S38:S39"/>
    <mergeCell ref="B72:S72"/>
    <mergeCell ref="B73:B74"/>
    <mergeCell ref="C73:D73"/>
    <mergeCell ref="I73:I74"/>
    <mergeCell ref="J73:J74"/>
    <mergeCell ref="E73:F73"/>
    <mergeCell ref="Q73:R73"/>
    <mergeCell ref="B38:B39"/>
    <mergeCell ref="C38:D38"/>
    <mergeCell ref="E38:F38"/>
    <mergeCell ref="G38:G39"/>
    <mergeCell ref="O73:O74"/>
    <mergeCell ref="M3:M4"/>
    <mergeCell ref="N3:N4"/>
    <mergeCell ref="O3:O4"/>
    <mergeCell ref="N38:N39"/>
    <mergeCell ref="O38:O39"/>
    <mergeCell ref="M38:M39"/>
    <mergeCell ref="G73:G74"/>
    <mergeCell ref="H73:H74"/>
    <mergeCell ref="N73:N74"/>
    <mergeCell ref="I38:I39"/>
    <mergeCell ref="K73:K74"/>
    <mergeCell ref="L73:L74"/>
    <mergeCell ref="M73:M74"/>
    <mergeCell ref="H38:H39"/>
    <mergeCell ref="J38:J39"/>
    <mergeCell ref="K38:K39"/>
    <mergeCell ref="L38:L39"/>
    <mergeCell ref="B2:S2"/>
    <mergeCell ref="Q3:R3"/>
    <mergeCell ref="B3:B4"/>
    <mergeCell ref="C3:D3"/>
    <mergeCell ref="E3:F3"/>
    <mergeCell ref="G3:G4"/>
    <mergeCell ref="H3:H4"/>
    <mergeCell ref="I3:I4"/>
    <mergeCell ref="J3:J4"/>
    <mergeCell ref="K3:K4"/>
    <mergeCell ref="L3:L4"/>
    <mergeCell ref="P3:P4"/>
  </mergeCells>
  <pageMargins left="0.511811024" right="0.511811024" top="0.78740157499999996" bottom="0.78740157499999996" header="0.31496062000000002" footer="0.31496062000000002"/>
  <pageSetup paperSize="9" scale="1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2:Y105"/>
  <sheetViews>
    <sheetView topLeftCell="Q7" zoomScale="70" zoomScaleNormal="70" workbookViewId="0">
      <selection activeCell="B2" sqref="B2:S30"/>
    </sheetView>
  </sheetViews>
  <sheetFormatPr defaultRowHeight="15"/>
  <cols>
    <col min="1" max="1" width="11.5703125" style="1087" hidden="1" customWidth="1"/>
    <col min="2" max="2" width="20.85546875" style="1101" customWidth="1"/>
    <col min="3" max="13" width="20.85546875" style="1087" customWidth="1"/>
    <col min="14" max="14" width="12.7109375" style="1087" customWidth="1"/>
    <col min="15" max="15" width="18.42578125" style="1087" customWidth="1"/>
    <col min="16" max="19" width="20.85546875" style="1087" customWidth="1"/>
    <col min="20" max="25" width="15.5703125" style="1087" customWidth="1"/>
    <col min="26" max="16384" width="9.140625" style="1087"/>
  </cols>
  <sheetData>
    <row r="2" spans="2:25" ht="46.5">
      <c r="B2" s="1220" t="s">
        <v>77</v>
      </c>
      <c r="C2" s="1221"/>
      <c r="D2" s="1221"/>
      <c r="E2" s="1221"/>
      <c r="F2" s="1221"/>
      <c r="G2" s="1221"/>
      <c r="H2" s="1221"/>
      <c r="I2" s="1221"/>
      <c r="J2" s="1221"/>
      <c r="K2" s="1221"/>
      <c r="L2" s="1221"/>
      <c r="M2" s="1221"/>
      <c r="N2" s="1221"/>
      <c r="O2" s="1221"/>
      <c r="P2" s="1221"/>
      <c r="Q2" s="1221"/>
      <c r="R2" s="1221"/>
      <c r="S2" s="1222"/>
    </row>
    <row r="3" spans="2:25" s="1104" customFormat="1" ht="35.1" customHeight="1">
      <c r="B3" s="1226" t="s">
        <v>33</v>
      </c>
      <c r="C3" s="1228" t="s">
        <v>27</v>
      </c>
      <c r="D3" s="1229"/>
      <c r="E3" s="1228" t="s">
        <v>29</v>
      </c>
      <c r="F3" s="1229"/>
      <c r="G3" s="1226" t="s">
        <v>28</v>
      </c>
      <c r="H3" s="1226" t="s">
        <v>36</v>
      </c>
      <c r="I3" s="1226" t="s">
        <v>30</v>
      </c>
      <c r="J3" s="1226" t="s">
        <v>31</v>
      </c>
      <c r="K3" s="1226" t="s">
        <v>41</v>
      </c>
      <c r="L3" s="1226" t="s">
        <v>35</v>
      </c>
      <c r="M3" s="1226" t="s">
        <v>40</v>
      </c>
      <c r="N3" s="1226" t="s">
        <v>42</v>
      </c>
      <c r="O3" s="1226" t="s">
        <v>45</v>
      </c>
      <c r="P3" s="1226" t="s">
        <v>411</v>
      </c>
      <c r="Q3" s="1228" t="s">
        <v>54</v>
      </c>
      <c r="R3" s="1229"/>
      <c r="S3" s="1226" t="s">
        <v>34</v>
      </c>
    </row>
    <row r="4" spans="2:25" s="1104" customFormat="1" ht="35.1" customHeight="1">
      <c r="B4" s="1227"/>
      <c r="C4" s="1091" t="s">
        <v>43</v>
      </c>
      <c r="D4" s="1091" t="s">
        <v>44</v>
      </c>
      <c r="E4" s="1091" t="s">
        <v>43</v>
      </c>
      <c r="F4" s="1091" t="s">
        <v>44</v>
      </c>
      <c r="G4" s="1227"/>
      <c r="H4" s="1227"/>
      <c r="I4" s="1227"/>
      <c r="J4" s="1227"/>
      <c r="K4" s="1227"/>
      <c r="L4" s="1227"/>
      <c r="M4" s="1227"/>
      <c r="N4" s="1227"/>
      <c r="O4" s="1227"/>
      <c r="P4" s="1227"/>
      <c r="Q4" s="1092" t="s">
        <v>52</v>
      </c>
      <c r="R4" s="1092" t="s">
        <v>53</v>
      </c>
      <c r="S4" s="1227"/>
      <c r="T4" s="1104" t="s">
        <v>183</v>
      </c>
      <c r="U4" s="1104" t="s">
        <v>424</v>
      </c>
      <c r="V4" s="1104" t="s">
        <v>184</v>
      </c>
      <c r="W4" s="1104" t="s">
        <v>425</v>
      </c>
      <c r="X4" s="1104" t="s">
        <v>28</v>
      </c>
      <c r="Y4" s="1104" t="s">
        <v>185</v>
      </c>
    </row>
    <row r="5" spans="2:25">
      <c r="B5" s="2" t="s">
        <v>87</v>
      </c>
      <c r="C5" s="20">
        <f t="shared" ref="C5:R5" si="0">C75*0.8</f>
        <v>19565.816000000003</v>
      </c>
      <c r="D5" s="20">
        <f t="shared" si="0"/>
        <v>4474.0639999999985</v>
      </c>
      <c r="E5" s="20">
        <f t="shared" si="0"/>
        <v>3047.5439999999999</v>
      </c>
      <c r="F5" s="20">
        <f t="shared" si="0"/>
        <v>0</v>
      </c>
      <c r="G5" s="20">
        <f t="shared" si="0"/>
        <v>23508</v>
      </c>
      <c r="H5" s="20">
        <f t="shared" si="0"/>
        <v>156.72000000000003</v>
      </c>
      <c r="I5" s="20">
        <f t="shared" si="0"/>
        <v>520.42399999999998</v>
      </c>
      <c r="J5" s="20">
        <f t="shared" si="0"/>
        <v>0</v>
      </c>
      <c r="K5" s="20">
        <f t="shared" si="0"/>
        <v>981.7600000000001</v>
      </c>
      <c r="L5" s="20">
        <f t="shared" si="0"/>
        <v>548.52</v>
      </c>
      <c r="M5" s="20">
        <f t="shared" si="0"/>
        <v>0</v>
      </c>
      <c r="N5" s="20">
        <f t="shared" si="0"/>
        <v>0</v>
      </c>
      <c r="O5" s="20">
        <f t="shared" si="0"/>
        <v>22.856000000000002</v>
      </c>
      <c r="P5" s="20">
        <f t="shared" si="0"/>
        <v>0</v>
      </c>
      <c r="Q5" s="20">
        <f t="shared" si="0"/>
        <v>0</v>
      </c>
      <c r="R5" s="20">
        <f t="shared" si="0"/>
        <v>0</v>
      </c>
      <c r="S5" s="10">
        <f t="shared" ref="S5:S31" si="1">SUM(C5:R5)</f>
        <v>52825.703999999998</v>
      </c>
      <c r="T5" s="1093">
        <f>C5</f>
        <v>19565.816000000003</v>
      </c>
      <c r="U5" s="1093">
        <f>D5</f>
        <v>4474.0639999999985</v>
      </c>
      <c r="V5" s="1093">
        <f>E5</f>
        <v>3047.5439999999999</v>
      </c>
      <c r="W5" s="1093">
        <f>F5</f>
        <v>0</v>
      </c>
      <c r="X5" s="1093">
        <f>G5</f>
        <v>23508</v>
      </c>
      <c r="Y5" s="1093">
        <f>SUM(H5:R5)</f>
        <v>2230.2800000000002</v>
      </c>
    </row>
    <row r="6" spans="2:25">
      <c r="B6" s="2" t="s">
        <v>88</v>
      </c>
      <c r="C6" s="20">
        <f t="shared" ref="C6:R6" si="2">C76*0.8</f>
        <v>51631.240000000005</v>
      </c>
      <c r="D6" s="20">
        <f t="shared" si="2"/>
        <v>14468.976000000002</v>
      </c>
      <c r="E6" s="20">
        <f t="shared" si="2"/>
        <v>2173.92</v>
      </c>
      <c r="F6" s="20">
        <f t="shared" si="2"/>
        <v>64.247999999999962</v>
      </c>
      <c r="G6" s="20">
        <f t="shared" si="2"/>
        <v>50463.840000000011</v>
      </c>
      <c r="H6" s="20">
        <f t="shared" si="2"/>
        <v>861.96</v>
      </c>
      <c r="I6" s="20">
        <f t="shared" si="2"/>
        <v>2658.2559999999999</v>
      </c>
      <c r="J6" s="20">
        <f t="shared" si="2"/>
        <v>235.08000000000004</v>
      </c>
      <c r="K6" s="20">
        <f t="shared" si="2"/>
        <v>1475.864</v>
      </c>
      <c r="L6" s="20">
        <f t="shared" si="2"/>
        <v>78.360000000000014</v>
      </c>
      <c r="M6" s="20">
        <f t="shared" si="2"/>
        <v>0</v>
      </c>
      <c r="N6" s="20">
        <f t="shared" si="2"/>
        <v>0</v>
      </c>
      <c r="O6" s="20">
        <f t="shared" si="2"/>
        <v>91.424000000000007</v>
      </c>
      <c r="P6" s="20">
        <f t="shared" si="2"/>
        <v>0</v>
      </c>
      <c r="Q6" s="20">
        <f t="shared" si="2"/>
        <v>0</v>
      </c>
      <c r="R6" s="20">
        <f t="shared" si="2"/>
        <v>0</v>
      </c>
      <c r="S6" s="10">
        <f t="shared" si="1"/>
        <v>124203.16800000003</v>
      </c>
      <c r="T6" s="1093">
        <f t="shared" ref="T6:T31" si="3">C6</f>
        <v>51631.240000000005</v>
      </c>
      <c r="U6" s="1093">
        <f t="shared" ref="U6:U31" si="4">D6</f>
        <v>14468.976000000002</v>
      </c>
      <c r="V6" s="1093">
        <f t="shared" ref="V6:V31" si="5">E6</f>
        <v>2173.92</v>
      </c>
      <c r="W6" s="1093">
        <f t="shared" ref="W6:W31" si="6">F6</f>
        <v>64.247999999999962</v>
      </c>
      <c r="X6" s="1093">
        <f t="shared" ref="X6:X31" si="7">G6</f>
        <v>50463.840000000011</v>
      </c>
      <c r="Y6" s="1093">
        <f t="shared" ref="Y6:Y31" si="8">SUM(H6:R6)</f>
        <v>5400.9439999999995</v>
      </c>
    </row>
    <row r="7" spans="2:25">
      <c r="B7" s="2" t="s">
        <v>89</v>
      </c>
      <c r="C7" s="20">
        <f t="shared" ref="C7:R7" si="9">C77*0.8</f>
        <v>24375.440000000002</v>
      </c>
      <c r="D7" s="20">
        <f t="shared" si="9"/>
        <v>7456.7600000000011</v>
      </c>
      <c r="E7" s="20">
        <f t="shared" si="9"/>
        <v>5607.5040000000008</v>
      </c>
      <c r="F7" s="20">
        <f t="shared" si="9"/>
        <v>659.17599999999948</v>
      </c>
      <c r="G7" s="20">
        <f t="shared" si="9"/>
        <v>32597.759999999998</v>
      </c>
      <c r="H7" s="20">
        <f t="shared" si="9"/>
        <v>391.8</v>
      </c>
      <c r="I7" s="20">
        <f t="shared" si="9"/>
        <v>1201.6160000000002</v>
      </c>
      <c r="J7" s="20">
        <f t="shared" si="9"/>
        <v>0</v>
      </c>
      <c r="K7" s="20">
        <f t="shared" si="9"/>
        <v>1306.856</v>
      </c>
      <c r="L7" s="20">
        <f t="shared" si="9"/>
        <v>78.360000000000014</v>
      </c>
      <c r="M7" s="20">
        <f t="shared" si="9"/>
        <v>0</v>
      </c>
      <c r="N7" s="20">
        <f t="shared" si="9"/>
        <v>0</v>
      </c>
      <c r="O7" s="20">
        <f t="shared" si="9"/>
        <v>0</v>
      </c>
      <c r="P7" s="20">
        <f t="shared" si="9"/>
        <v>0</v>
      </c>
      <c r="Q7" s="20">
        <f t="shared" si="9"/>
        <v>0</v>
      </c>
      <c r="R7" s="20">
        <f t="shared" si="9"/>
        <v>0</v>
      </c>
      <c r="S7" s="10">
        <f t="shared" si="1"/>
        <v>73675.271999999997</v>
      </c>
      <c r="T7" s="1093">
        <f t="shared" si="3"/>
        <v>24375.440000000002</v>
      </c>
      <c r="U7" s="1093">
        <f t="shared" si="4"/>
        <v>7456.7600000000011</v>
      </c>
      <c r="V7" s="1093">
        <f t="shared" si="5"/>
        <v>5607.5040000000008</v>
      </c>
      <c r="W7" s="1093">
        <f t="shared" si="6"/>
        <v>659.17599999999948</v>
      </c>
      <c r="X7" s="1093">
        <f t="shared" si="7"/>
        <v>32597.759999999998</v>
      </c>
      <c r="Y7" s="1093">
        <f t="shared" si="8"/>
        <v>2978.6320000000001</v>
      </c>
    </row>
    <row r="8" spans="2:25">
      <c r="B8" s="2" t="s">
        <v>90</v>
      </c>
      <c r="C8" s="20">
        <f t="shared" ref="C8:P8" si="10">C78*0.8</f>
        <v>53688.128000000004</v>
      </c>
      <c r="D8" s="20">
        <f t="shared" si="10"/>
        <v>15477.903999999993</v>
      </c>
      <c r="E8" s="20">
        <f t="shared" si="10"/>
        <v>5288.9760000000006</v>
      </c>
      <c r="F8" s="20">
        <f t="shared" si="10"/>
        <v>412.20799999999946</v>
      </c>
      <c r="G8" s="20">
        <f t="shared" si="10"/>
        <v>55557.240000000005</v>
      </c>
      <c r="H8" s="20">
        <f t="shared" si="10"/>
        <v>705.24</v>
      </c>
      <c r="I8" s="20">
        <f t="shared" si="10"/>
        <v>3187.3360000000002</v>
      </c>
      <c r="J8" s="20">
        <f t="shared" si="10"/>
        <v>0</v>
      </c>
      <c r="K8" s="20">
        <f t="shared" si="10"/>
        <v>1951.4160000000002</v>
      </c>
      <c r="L8" s="20">
        <f t="shared" si="10"/>
        <v>861.96</v>
      </c>
      <c r="M8" s="20">
        <f t="shared" si="10"/>
        <v>0</v>
      </c>
      <c r="N8" s="20">
        <f t="shared" si="10"/>
        <v>312.512</v>
      </c>
      <c r="O8" s="20">
        <f t="shared" si="10"/>
        <v>68.567999999999998</v>
      </c>
      <c r="P8" s="20">
        <f t="shared" si="10"/>
        <v>0</v>
      </c>
      <c r="Q8" s="20">
        <f>Q78</f>
        <v>28.29</v>
      </c>
      <c r="R8" s="20">
        <f>R78</f>
        <v>282.86</v>
      </c>
      <c r="S8" s="10">
        <f t="shared" si="1"/>
        <v>137822.63799999998</v>
      </c>
      <c r="T8" s="1093">
        <f t="shared" si="3"/>
        <v>53688.128000000004</v>
      </c>
      <c r="U8" s="1093">
        <f t="shared" si="4"/>
        <v>15477.903999999993</v>
      </c>
      <c r="V8" s="1093">
        <f t="shared" si="5"/>
        <v>5288.9760000000006</v>
      </c>
      <c r="W8" s="1093">
        <f t="shared" si="6"/>
        <v>412.20799999999946</v>
      </c>
      <c r="X8" s="1093">
        <f t="shared" si="7"/>
        <v>55557.240000000005</v>
      </c>
      <c r="Y8" s="1093">
        <f t="shared" si="8"/>
        <v>7398.1819999999998</v>
      </c>
    </row>
    <row r="9" spans="2:25">
      <c r="B9" s="2" t="s">
        <v>91</v>
      </c>
      <c r="C9" s="20">
        <f t="shared" ref="C9:P9" si="11">C79*0.8</f>
        <v>164233.23200000002</v>
      </c>
      <c r="D9" s="20">
        <f t="shared" si="11"/>
        <v>20238.911999999989</v>
      </c>
      <c r="E9" s="20">
        <f t="shared" si="11"/>
        <v>18569.007999999998</v>
      </c>
      <c r="F9" s="20">
        <f t="shared" si="11"/>
        <v>4831.0880000000006</v>
      </c>
      <c r="G9" s="20">
        <f t="shared" si="11"/>
        <v>128275.32000000002</v>
      </c>
      <c r="H9" s="20">
        <f t="shared" si="11"/>
        <v>1332.1200000000001</v>
      </c>
      <c r="I9" s="20">
        <f t="shared" si="11"/>
        <v>4403.5279999999993</v>
      </c>
      <c r="J9" s="20">
        <f t="shared" si="11"/>
        <v>0</v>
      </c>
      <c r="K9" s="20">
        <f t="shared" si="11"/>
        <v>4539.4639999999999</v>
      </c>
      <c r="L9" s="20">
        <f t="shared" si="11"/>
        <v>78.360000000000014</v>
      </c>
      <c r="M9" s="20">
        <f t="shared" si="11"/>
        <v>0</v>
      </c>
      <c r="N9" s="20">
        <f t="shared" si="11"/>
        <v>0</v>
      </c>
      <c r="O9" s="20">
        <f t="shared" si="11"/>
        <v>0</v>
      </c>
      <c r="P9" s="20">
        <f t="shared" si="11"/>
        <v>0</v>
      </c>
      <c r="Q9" s="20">
        <f t="shared" ref="Q9:R21" si="12">Q79*0.8</f>
        <v>0</v>
      </c>
      <c r="R9" s="20">
        <f t="shared" si="12"/>
        <v>0</v>
      </c>
      <c r="S9" s="10">
        <f t="shared" si="1"/>
        <v>346501.03199999995</v>
      </c>
      <c r="T9" s="1093">
        <f t="shared" si="3"/>
        <v>164233.23200000002</v>
      </c>
      <c r="U9" s="1093">
        <f t="shared" si="4"/>
        <v>20238.911999999989</v>
      </c>
      <c r="V9" s="1093">
        <f t="shared" si="5"/>
        <v>18569.007999999998</v>
      </c>
      <c r="W9" s="1093">
        <f t="shared" si="6"/>
        <v>4831.0880000000006</v>
      </c>
      <c r="X9" s="1093">
        <f t="shared" si="7"/>
        <v>128275.32000000002</v>
      </c>
      <c r="Y9" s="1093">
        <f t="shared" si="8"/>
        <v>10353.472</v>
      </c>
    </row>
    <row r="10" spans="2:25">
      <c r="B10" s="2" t="s">
        <v>92</v>
      </c>
      <c r="C10" s="20">
        <f t="shared" ref="C10:P10" si="13">C80*0.8</f>
        <v>91472.576000000001</v>
      </c>
      <c r="D10" s="20">
        <f t="shared" si="13"/>
        <v>14412.303999999982</v>
      </c>
      <c r="E10" s="20">
        <f t="shared" si="13"/>
        <v>9679.7119999999995</v>
      </c>
      <c r="F10" s="20">
        <f t="shared" si="13"/>
        <v>36.688000000000464</v>
      </c>
      <c r="G10" s="20">
        <f t="shared" si="13"/>
        <v>90740.88</v>
      </c>
      <c r="H10" s="20">
        <f t="shared" si="13"/>
        <v>2272.44</v>
      </c>
      <c r="I10" s="20">
        <f t="shared" si="13"/>
        <v>2413.7920000000004</v>
      </c>
      <c r="J10" s="20">
        <f t="shared" si="13"/>
        <v>0</v>
      </c>
      <c r="K10" s="20">
        <f t="shared" si="13"/>
        <v>2581.3440000000005</v>
      </c>
      <c r="L10" s="20">
        <f t="shared" si="13"/>
        <v>626.88000000000011</v>
      </c>
      <c r="M10" s="20">
        <f t="shared" si="13"/>
        <v>156.72000000000003</v>
      </c>
      <c r="N10" s="20">
        <f t="shared" si="13"/>
        <v>0</v>
      </c>
      <c r="O10" s="20">
        <f t="shared" si="13"/>
        <v>45.712000000000003</v>
      </c>
      <c r="P10" s="20">
        <f t="shared" si="13"/>
        <v>0</v>
      </c>
      <c r="Q10" s="20">
        <f t="shared" si="12"/>
        <v>0</v>
      </c>
      <c r="R10" s="20">
        <f t="shared" si="12"/>
        <v>0</v>
      </c>
      <c r="S10" s="10">
        <f t="shared" si="1"/>
        <v>214439.04799999998</v>
      </c>
      <c r="T10" s="1093">
        <f t="shared" si="3"/>
        <v>91472.576000000001</v>
      </c>
      <c r="U10" s="1093">
        <f t="shared" si="4"/>
        <v>14412.303999999982</v>
      </c>
      <c r="V10" s="1093">
        <f t="shared" si="5"/>
        <v>9679.7119999999995</v>
      </c>
      <c r="W10" s="1093">
        <f t="shared" si="6"/>
        <v>36.688000000000464</v>
      </c>
      <c r="X10" s="1093">
        <f t="shared" si="7"/>
        <v>90740.88</v>
      </c>
      <c r="Y10" s="1093">
        <f t="shared" si="8"/>
        <v>8096.8880000000017</v>
      </c>
    </row>
    <row r="11" spans="2:25">
      <c r="B11" s="2" t="s">
        <v>93</v>
      </c>
      <c r="C11" s="20">
        <f t="shared" ref="C11:P11" si="14">C81*0.8</f>
        <v>144259.75200000001</v>
      </c>
      <c r="D11" s="20">
        <f t="shared" si="14"/>
        <v>39178.92</v>
      </c>
      <c r="E11" s="20">
        <f t="shared" si="14"/>
        <v>17371.68</v>
      </c>
      <c r="F11" s="20">
        <f t="shared" si="14"/>
        <v>4806.0960000000023</v>
      </c>
      <c r="G11" s="20">
        <f t="shared" si="14"/>
        <v>134152.32000000001</v>
      </c>
      <c r="H11" s="20">
        <f t="shared" si="14"/>
        <v>2664.2400000000002</v>
      </c>
      <c r="I11" s="20">
        <f t="shared" si="14"/>
        <v>8366.1759999999995</v>
      </c>
      <c r="J11" s="20">
        <f t="shared" si="14"/>
        <v>0</v>
      </c>
      <c r="K11" s="20">
        <f t="shared" si="14"/>
        <v>5654.72</v>
      </c>
      <c r="L11" s="20">
        <f t="shared" si="14"/>
        <v>705.24</v>
      </c>
      <c r="M11" s="20">
        <f t="shared" si="14"/>
        <v>0</v>
      </c>
      <c r="N11" s="20">
        <f t="shared" si="14"/>
        <v>0</v>
      </c>
      <c r="O11" s="20">
        <f t="shared" si="14"/>
        <v>22.856000000000002</v>
      </c>
      <c r="P11" s="20">
        <f t="shared" si="14"/>
        <v>0</v>
      </c>
      <c r="Q11" s="20">
        <f t="shared" si="12"/>
        <v>0</v>
      </c>
      <c r="R11" s="20">
        <f t="shared" si="12"/>
        <v>0</v>
      </c>
      <c r="S11" s="10">
        <f t="shared" si="1"/>
        <v>357182</v>
      </c>
      <c r="T11" s="1093">
        <f t="shared" si="3"/>
        <v>144259.75200000001</v>
      </c>
      <c r="U11" s="1093">
        <f t="shared" si="4"/>
        <v>39178.92</v>
      </c>
      <c r="V11" s="1093">
        <f t="shared" si="5"/>
        <v>17371.68</v>
      </c>
      <c r="W11" s="1093">
        <f t="shared" si="6"/>
        <v>4806.0960000000023</v>
      </c>
      <c r="X11" s="1093">
        <f t="shared" si="7"/>
        <v>134152.32000000001</v>
      </c>
      <c r="Y11" s="1093">
        <f t="shared" si="8"/>
        <v>17413.232</v>
      </c>
    </row>
    <row r="12" spans="2:25">
      <c r="B12" s="2" t="s">
        <v>94</v>
      </c>
      <c r="C12" s="20">
        <f t="shared" ref="C12:P12" si="15">C82*0.8</f>
        <v>128604.024</v>
      </c>
      <c r="D12" s="20">
        <f t="shared" si="15"/>
        <v>8568.4320000000062</v>
      </c>
      <c r="E12" s="20">
        <f t="shared" si="15"/>
        <v>12088.744000000001</v>
      </c>
      <c r="F12" s="20">
        <f t="shared" si="15"/>
        <v>2770.2320000000009</v>
      </c>
      <c r="G12" s="20">
        <f t="shared" si="15"/>
        <v>110957.76000000004</v>
      </c>
      <c r="H12" s="20">
        <f t="shared" si="15"/>
        <v>705.24000000000012</v>
      </c>
      <c r="I12" s="20">
        <f t="shared" si="15"/>
        <v>2942.6400000000003</v>
      </c>
      <c r="J12" s="20">
        <f t="shared" si="15"/>
        <v>1005.0160000000001</v>
      </c>
      <c r="K12" s="20">
        <f t="shared" si="15"/>
        <v>1767.6239999999998</v>
      </c>
      <c r="L12" s="20">
        <f t="shared" si="15"/>
        <v>235.08000000000004</v>
      </c>
      <c r="M12" s="20">
        <f t="shared" si="15"/>
        <v>0</v>
      </c>
      <c r="N12" s="20">
        <f t="shared" si="15"/>
        <v>0</v>
      </c>
      <c r="O12" s="20">
        <f t="shared" si="15"/>
        <v>0</v>
      </c>
      <c r="P12" s="20">
        <f t="shared" si="15"/>
        <v>0</v>
      </c>
      <c r="Q12" s="20">
        <f t="shared" si="12"/>
        <v>0</v>
      </c>
      <c r="R12" s="20">
        <f t="shared" si="12"/>
        <v>0</v>
      </c>
      <c r="S12" s="10">
        <f t="shared" si="1"/>
        <v>269644.79200000007</v>
      </c>
      <c r="T12" s="1093">
        <f t="shared" si="3"/>
        <v>128604.024</v>
      </c>
      <c r="U12" s="1093">
        <f t="shared" si="4"/>
        <v>8568.4320000000062</v>
      </c>
      <c r="V12" s="1093">
        <f t="shared" si="5"/>
        <v>12088.744000000001</v>
      </c>
      <c r="W12" s="1093">
        <f t="shared" si="6"/>
        <v>2770.2320000000009</v>
      </c>
      <c r="X12" s="1093">
        <f t="shared" si="7"/>
        <v>110957.76000000004</v>
      </c>
      <c r="Y12" s="1093">
        <f t="shared" si="8"/>
        <v>6655.6</v>
      </c>
    </row>
    <row r="13" spans="2:25">
      <c r="B13" s="2" t="s">
        <v>95</v>
      </c>
      <c r="C13" s="20">
        <f t="shared" ref="C13:P13" si="16">C83*0.8</f>
        <v>125827.288</v>
      </c>
      <c r="D13" s="20">
        <f t="shared" si="16"/>
        <v>27109.232000000007</v>
      </c>
      <c r="E13" s="20">
        <f t="shared" si="16"/>
        <v>18768.952000000001</v>
      </c>
      <c r="F13" s="20">
        <f t="shared" si="16"/>
        <v>1777.1200000000013</v>
      </c>
      <c r="G13" s="20">
        <f t="shared" si="16"/>
        <v>207262.20000000004</v>
      </c>
      <c r="H13" s="20">
        <f t="shared" si="16"/>
        <v>2507.5200000000004</v>
      </c>
      <c r="I13" s="20">
        <f t="shared" si="16"/>
        <v>5373.4880000000003</v>
      </c>
      <c r="J13" s="20">
        <f t="shared" si="16"/>
        <v>1459.4880000000001</v>
      </c>
      <c r="K13" s="20">
        <f t="shared" si="16"/>
        <v>4073.2480000000005</v>
      </c>
      <c r="L13" s="20">
        <f t="shared" si="16"/>
        <v>470.16000000000008</v>
      </c>
      <c r="M13" s="20">
        <f t="shared" si="16"/>
        <v>0</v>
      </c>
      <c r="N13" s="20">
        <f t="shared" si="16"/>
        <v>0</v>
      </c>
      <c r="O13" s="20">
        <f t="shared" si="16"/>
        <v>22.856000000000002</v>
      </c>
      <c r="P13" s="20">
        <f t="shared" si="16"/>
        <v>0</v>
      </c>
      <c r="Q13" s="20">
        <f t="shared" si="12"/>
        <v>0</v>
      </c>
      <c r="R13" s="20">
        <f t="shared" si="12"/>
        <v>0</v>
      </c>
      <c r="S13" s="10">
        <f t="shared" si="1"/>
        <v>394651.55200000008</v>
      </c>
      <c r="T13" s="1093">
        <f t="shared" si="3"/>
        <v>125827.288</v>
      </c>
      <c r="U13" s="1093">
        <f t="shared" si="4"/>
        <v>27109.232000000007</v>
      </c>
      <c r="V13" s="1093">
        <f t="shared" si="5"/>
        <v>18768.952000000001</v>
      </c>
      <c r="W13" s="1093">
        <f t="shared" si="6"/>
        <v>1777.1200000000013</v>
      </c>
      <c r="X13" s="1093">
        <f t="shared" si="7"/>
        <v>207262.20000000004</v>
      </c>
      <c r="Y13" s="1093">
        <f t="shared" si="8"/>
        <v>13906.760000000002</v>
      </c>
    </row>
    <row r="14" spans="2:25">
      <c r="B14" s="2" t="s">
        <v>96</v>
      </c>
      <c r="C14" s="20">
        <f t="shared" ref="C14:P14" si="17">C84*0.8</f>
        <v>39359.312000000005</v>
      </c>
      <c r="D14" s="20">
        <f t="shared" si="17"/>
        <v>11230.735999999999</v>
      </c>
      <c r="E14" s="20">
        <f t="shared" si="17"/>
        <v>4578.9360000000006</v>
      </c>
      <c r="F14" s="20">
        <f t="shared" si="17"/>
        <v>420.9839999999997</v>
      </c>
      <c r="G14" s="20">
        <f t="shared" si="17"/>
        <v>39180</v>
      </c>
      <c r="H14" s="20">
        <f t="shared" si="17"/>
        <v>940.32000000000016</v>
      </c>
      <c r="I14" s="20">
        <f t="shared" si="17"/>
        <v>1887.3040000000001</v>
      </c>
      <c r="J14" s="20">
        <f t="shared" si="17"/>
        <v>0</v>
      </c>
      <c r="K14" s="20">
        <f t="shared" si="17"/>
        <v>1230.472</v>
      </c>
      <c r="L14" s="20">
        <f t="shared" si="17"/>
        <v>156.72000000000003</v>
      </c>
      <c r="M14" s="20">
        <f t="shared" si="17"/>
        <v>156.72000000000003</v>
      </c>
      <c r="N14" s="20">
        <f t="shared" si="17"/>
        <v>0</v>
      </c>
      <c r="O14" s="20">
        <f t="shared" si="17"/>
        <v>22.856000000000002</v>
      </c>
      <c r="P14" s="20">
        <f t="shared" si="17"/>
        <v>0</v>
      </c>
      <c r="Q14" s="20">
        <f t="shared" si="12"/>
        <v>0</v>
      </c>
      <c r="R14" s="20">
        <f t="shared" si="12"/>
        <v>0</v>
      </c>
      <c r="S14" s="10">
        <f t="shared" si="1"/>
        <v>99164.36</v>
      </c>
      <c r="T14" s="1093">
        <f t="shared" si="3"/>
        <v>39359.312000000005</v>
      </c>
      <c r="U14" s="1093">
        <f t="shared" si="4"/>
        <v>11230.735999999999</v>
      </c>
      <c r="V14" s="1093">
        <f t="shared" si="5"/>
        <v>4578.9360000000006</v>
      </c>
      <c r="W14" s="1093">
        <f t="shared" si="6"/>
        <v>420.9839999999997</v>
      </c>
      <c r="X14" s="1093">
        <f t="shared" si="7"/>
        <v>39180</v>
      </c>
      <c r="Y14" s="1093">
        <f t="shared" si="8"/>
        <v>4394.3920000000007</v>
      </c>
    </row>
    <row r="15" spans="2:25">
      <c r="B15" s="2" t="s">
        <v>97</v>
      </c>
      <c r="C15" s="20">
        <f t="shared" ref="C15:P15" si="18">C85*0.8</f>
        <v>122473.848</v>
      </c>
      <c r="D15" s="20">
        <f t="shared" si="18"/>
        <v>39660.576000000001</v>
      </c>
      <c r="E15" s="20">
        <f t="shared" si="18"/>
        <v>17846.264000000003</v>
      </c>
      <c r="F15" s="20">
        <f t="shared" si="18"/>
        <v>4789.2719999999999</v>
      </c>
      <c r="G15" s="20">
        <f t="shared" si="18"/>
        <v>236020.32000000004</v>
      </c>
      <c r="H15" s="20">
        <f t="shared" si="18"/>
        <v>1802.28</v>
      </c>
      <c r="I15" s="20">
        <f t="shared" si="18"/>
        <v>7153.9920000000002</v>
      </c>
      <c r="J15" s="20">
        <f t="shared" si="18"/>
        <v>914.25599999999997</v>
      </c>
      <c r="K15" s="20">
        <f t="shared" si="18"/>
        <v>3946.768</v>
      </c>
      <c r="L15" s="20">
        <f t="shared" si="18"/>
        <v>626.88000000000011</v>
      </c>
      <c r="M15" s="20">
        <f t="shared" si="18"/>
        <v>0</v>
      </c>
      <c r="N15" s="20">
        <f t="shared" si="18"/>
        <v>0</v>
      </c>
      <c r="O15" s="20">
        <f t="shared" si="18"/>
        <v>68.567999999999998</v>
      </c>
      <c r="P15" s="20">
        <f t="shared" si="18"/>
        <v>0</v>
      </c>
      <c r="Q15" s="20">
        <f t="shared" si="12"/>
        <v>0</v>
      </c>
      <c r="R15" s="20">
        <f t="shared" si="12"/>
        <v>0</v>
      </c>
      <c r="S15" s="10">
        <f t="shared" si="1"/>
        <v>435303.02400000009</v>
      </c>
      <c r="T15" s="1093">
        <f t="shared" si="3"/>
        <v>122473.848</v>
      </c>
      <c r="U15" s="1093">
        <f t="shared" si="4"/>
        <v>39660.576000000001</v>
      </c>
      <c r="V15" s="1093">
        <f t="shared" si="5"/>
        <v>17846.264000000003</v>
      </c>
      <c r="W15" s="1093">
        <f t="shared" si="6"/>
        <v>4789.2719999999999</v>
      </c>
      <c r="X15" s="1093">
        <f t="shared" si="7"/>
        <v>236020.32000000004</v>
      </c>
      <c r="Y15" s="1093">
        <f t="shared" si="8"/>
        <v>14512.743999999999</v>
      </c>
    </row>
    <row r="16" spans="2:25">
      <c r="B16" s="2" t="s">
        <v>98</v>
      </c>
      <c r="C16" s="20">
        <f t="shared" ref="C16:P16" si="19">C86*0.8</f>
        <v>62978.559999999998</v>
      </c>
      <c r="D16" s="20">
        <f t="shared" si="19"/>
        <v>18751.935999999998</v>
      </c>
      <c r="E16" s="20">
        <f t="shared" si="19"/>
        <v>10908.256000000001</v>
      </c>
      <c r="F16" s="20">
        <f t="shared" si="19"/>
        <v>1312.440000000001</v>
      </c>
      <c r="G16" s="20">
        <f t="shared" si="19"/>
        <v>152723.63999999998</v>
      </c>
      <c r="H16" s="20">
        <f t="shared" si="19"/>
        <v>1018.68</v>
      </c>
      <c r="I16" s="20">
        <f t="shared" si="19"/>
        <v>3891.1120000000005</v>
      </c>
      <c r="J16" s="20">
        <f t="shared" si="19"/>
        <v>0</v>
      </c>
      <c r="K16" s="20">
        <f t="shared" si="19"/>
        <v>2322.328</v>
      </c>
      <c r="L16" s="20">
        <f t="shared" si="19"/>
        <v>470.16000000000008</v>
      </c>
      <c r="M16" s="20">
        <f t="shared" si="19"/>
        <v>0</v>
      </c>
      <c r="N16" s="20">
        <f t="shared" si="19"/>
        <v>622.32000000000005</v>
      </c>
      <c r="O16" s="20">
        <f t="shared" si="19"/>
        <v>45.712000000000003</v>
      </c>
      <c r="P16" s="20">
        <f t="shared" si="19"/>
        <v>0</v>
      </c>
      <c r="Q16" s="20">
        <f t="shared" si="12"/>
        <v>14.672000000000001</v>
      </c>
      <c r="R16" s="20">
        <f t="shared" si="12"/>
        <v>0</v>
      </c>
      <c r="S16" s="10">
        <f t="shared" si="1"/>
        <v>255059.81599999999</v>
      </c>
      <c r="T16" s="1093">
        <f t="shared" si="3"/>
        <v>62978.559999999998</v>
      </c>
      <c r="U16" s="1093">
        <f t="shared" si="4"/>
        <v>18751.935999999998</v>
      </c>
      <c r="V16" s="1093">
        <f t="shared" si="5"/>
        <v>10908.256000000001</v>
      </c>
      <c r="W16" s="1093">
        <f t="shared" si="6"/>
        <v>1312.440000000001</v>
      </c>
      <c r="X16" s="1093">
        <f t="shared" si="7"/>
        <v>152723.63999999998</v>
      </c>
      <c r="Y16" s="1093">
        <f t="shared" si="8"/>
        <v>8384.9840000000004</v>
      </c>
    </row>
    <row r="17" spans="2:25">
      <c r="B17" s="2" t="s">
        <v>99</v>
      </c>
      <c r="C17" s="20">
        <f t="shared" ref="C17:P17" si="20">C87*0.8</f>
        <v>403442.89600000001</v>
      </c>
      <c r="D17" s="20">
        <f t="shared" si="20"/>
        <v>87586.343999999954</v>
      </c>
      <c r="E17" s="20">
        <f t="shared" si="20"/>
        <v>42586.976000000002</v>
      </c>
      <c r="F17" s="20">
        <f t="shared" si="20"/>
        <v>11881.240000000003</v>
      </c>
      <c r="G17" s="20">
        <f t="shared" si="20"/>
        <v>390075.52</v>
      </c>
      <c r="H17" s="20">
        <f t="shared" si="20"/>
        <v>3918</v>
      </c>
      <c r="I17" s="20">
        <f t="shared" si="20"/>
        <v>19226.168000000001</v>
      </c>
      <c r="J17" s="20">
        <f t="shared" si="20"/>
        <v>0</v>
      </c>
      <c r="K17" s="20">
        <f t="shared" si="20"/>
        <v>11739.504000000001</v>
      </c>
      <c r="L17" s="20">
        <f t="shared" si="20"/>
        <v>2350.8000000000002</v>
      </c>
      <c r="M17" s="20">
        <f t="shared" si="20"/>
        <v>0</v>
      </c>
      <c r="N17" s="20">
        <f t="shared" si="20"/>
        <v>0</v>
      </c>
      <c r="O17" s="20">
        <f t="shared" si="20"/>
        <v>274.27199999999999</v>
      </c>
      <c r="P17" s="20">
        <f t="shared" si="20"/>
        <v>0</v>
      </c>
      <c r="Q17" s="20">
        <f t="shared" si="12"/>
        <v>0</v>
      </c>
      <c r="R17" s="20">
        <f t="shared" si="12"/>
        <v>0</v>
      </c>
      <c r="S17" s="10">
        <f t="shared" si="1"/>
        <v>973081.72</v>
      </c>
      <c r="T17" s="1093">
        <f t="shared" si="3"/>
        <v>403442.89600000001</v>
      </c>
      <c r="U17" s="1093">
        <f t="shared" si="4"/>
        <v>87586.343999999954</v>
      </c>
      <c r="V17" s="1093">
        <f t="shared" si="5"/>
        <v>42586.976000000002</v>
      </c>
      <c r="W17" s="1093">
        <f t="shared" si="6"/>
        <v>11881.240000000003</v>
      </c>
      <c r="X17" s="1093">
        <f t="shared" si="7"/>
        <v>390075.52</v>
      </c>
      <c r="Y17" s="1093">
        <f t="shared" si="8"/>
        <v>37508.744000000006</v>
      </c>
    </row>
    <row r="18" spans="2:25">
      <c r="B18" s="2" t="s">
        <v>100</v>
      </c>
      <c r="C18" s="20">
        <f t="shared" ref="C18:P18" si="21">C88*0.8</f>
        <v>62900.824000000001</v>
      </c>
      <c r="D18" s="20">
        <f t="shared" si="21"/>
        <v>27617.576000000001</v>
      </c>
      <c r="E18" s="20">
        <f t="shared" si="21"/>
        <v>9034.8080000000009</v>
      </c>
      <c r="F18" s="20">
        <f t="shared" si="21"/>
        <v>2402.7039999999993</v>
      </c>
      <c r="G18" s="20">
        <f t="shared" si="21"/>
        <v>71229.24000000002</v>
      </c>
      <c r="H18" s="20">
        <f t="shared" si="21"/>
        <v>940.32000000000016</v>
      </c>
      <c r="I18" s="20">
        <f t="shared" si="21"/>
        <v>5458.0560000000005</v>
      </c>
      <c r="J18" s="20">
        <f t="shared" si="21"/>
        <v>0</v>
      </c>
      <c r="K18" s="20">
        <f t="shared" si="21"/>
        <v>3634.1360000000004</v>
      </c>
      <c r="L18" s="20">
        <f t="shared" si="21"/>
        <v>313.44000000000005</v>
      </c>
      <c r="M18" s="20">
        <f t="shared" si="21"/>
        <v>0</v>
      </c>
      <c r="N18" s="20">
        <f t="shared" si="21"/>
        <v>0</v>
      </c>
      <c r="O18" s="20">
        <f t="shared" si="21"/>
        <v>22.856000000000002</v>
      </c>
      <c r="P18" s="20">
        <f t="shared" si="21"/>
        <v>0</v>
      </c>
      <c r="Q18" s="20">
        <f t="shared" si="12"/>
        <v>0</v>
      </c>
      <c r="R18" s="20">
        <f t="shared" si="12"/>
        <v>0</v>
      </c>
      <c r="S18" s="10">
        <f t="shared" si="1"/>
        <v>183553.96000000002</v>
      </c>
      <c r="T18" s="1093">
        <f t="shared" si="3"/>
        <v>62900.824000000001</v>
      </c>
      <c r="U18" s="1093">
        <f t="shared" si="4"/>
        <v>27617.576000000001</v>
      </c>
      <c r="V18" s="1093">
        <f t="shared" si="5"/>
        <v>9034.8080000000009</v>
      </c>
      <c r="W18" s="1093">
        <f t="shared" si="6"/>
        <v>2402.7039999999993</v>
      </c>
      <c r="X18" s="1093">
        <f t="shared" si="7"/>
        <v>71229.24000000002</v>
      </c>
      <c r="Y18" s="1093">
        <f t="shared" si="8"/>
        <v>10368.808000000001</v>
      </c>
    </row>
    <row r="19" spans="2:25">
      <c r="B19" s="2" t="s">
        <v>101</v>
      </c>
      <c r="C19" s="20">
        <f t="shared" ref="C19:P19" si="22">C89*0.8</f>
        <v>82877.056000000011</v>
      </c>
      <c r="D19" s="20">
        <f t="shared" si="22"/>
        <v>21334.480000000007</v>
      </c>
      <c r="E19" s="20">
        <f t="shared" si="22"/>
        <v>6205.5440000000008</v>
      </c>
      <c r="F19" s="20">
        <f t="shared" si="22"/>
        <v>1061.8319999999992</v>
      </c>
      <c r="G19" s="20">
        <f t="shared" si="22"/>
        <v>76244.280000000013</v>
      </c>
      <c r="H19" s="20">
        <f t="shared" si="22"/>
        <v>313.44000000000005</v>
      </c>
      <c r="I19" s="20">
        <f t="shared" si="22"/>
        <v>3497.752</v>
      </c>
      <c r="J19" s="20">
        <f t="shared" si="22"/>
        <v>0</v>
      </c>
      <c r="K19" s="20">
        <f t="shared" si="22"/>
        <v>2565.2400000000002</v>
      </c>
      <c r="L19" s="20">
        <f t="shared" si="22"/>
        <v>78.360000000000014</v>
      </c>
      <c r="M19" s="20">
        <f t="shared" si="22"/>
        <v>0</v>
      </c>
      <c r="N19" s="20">
        <f t="shared" si="22"/>
        <v>0</v>
      </c>
      <c r="O19" s="20">
        <f t="shared" si="22"/>
        <v>0</v>
      </c>
      <c r="P19" s="20">
        <f t="shared" si="22"/>
        <v>0</v>
      </c>
      <c r="Q19" s="20">
        <f t="shared" si="12"/>
        <v>0</v>
      </c>
      <c r="R19" s="20">
        <f t="shared" si="12"/>
        <v>0</v>
      </c>
      <c r="S19" s="10">
        <f t="shared" si="1"/>
        <v>194177.98400000003</v>
      </c>
      <c r="T19" s="1093">
        <f t="shared" si="3"/>
        <v>82877.056000000011</v>
      </c>
      <c r="U19" s="1093">
        <f t="shared" si="4"/>
        <v>21334.480000000007</v>
      </c>
      <c r="V19" s="1093">
        <f t="shared" si="5"/>
        <v>6205.5440000000008</v>
      </c>
      <c r="W19" s="1093">
        <f t="shared" si="6"/>
        <v>1061.8319999999992</v>
      </c>
      <c r="X19" s="1093">
        <f t="shared" si="7"/>
        <v>76244.280000000013</v>
      </c>
      <c r="Y19" s="1093">
        <f t="shared" si="8"/>
        <v>6454.7920000000004</v>
      </c>
    </row>
    <row r="20" spans="2:25">
      <c r="B20" s="2" t="s">
        <v>102</v>
      </c>
      <c r="C20" s="20">
        <f t="shared" ref="C20:P20" si="23">C90*0.8</f>
        <v>320284.08</v>
      </c>
      <c r="D20" s="20">
        <f t="shared" si="23"/>
        <v>64240.86400000006</v>
      </c>
      <c r="E20" s="20">
        <f t="shared" si="23"/>
        <v>60975.088000000003</v>
      </c>
      <c r="F20" s="20">
        <f t="shared" si="23"/>
        <v>10409.471999999998</v>
      </c>
      <c r="G20" s="20">
        <f t="shared" si="23"/>
        <v>558785.16</v>
      </c>
      <c r="H20" s="20">
        <f t="shared" si="23"/>
        <v>7914.3600000000006</v>
      </c>
      <c r="I20" s="20">
        <f t="shared" si="23"/>
        <v>11944.128000000001</v>
      </c>
      <c r="J20" s="20">
        <f t="shared" si="23"/>
        <v>474.24799999999999</v>
      </c>
      <c r="K20" s="20">
        <f t="shared" si="23"/>
        <v>10130.544000000002</v>
      </c>
      <c r="L20" s="20">
        <f t="shared" si="23"/>
        <v>3996.36</v>
      </c>
      <c r="M20" s="20">
        <f t="shared" si="23"/>
        <v>0</v>
      </c>
      <c r="N20" s="20">
        <f t="shared" si="23"/>
        <v>0</v>
      </c>
      <c r="O20" s="20">
        <f t="shared" si="23"/>
        <v>68.567999999999998</v>
      </c>
      <c r="P20" s="20">
        <f t="shared" si="23"/>
        <v>0</v>
      </c>
      <c r="Q20" s="20">
        <f t="shared" si="12"/>
        <v>0</v>
      </c>
      <c r="R20" s="20">
        <f t="shared" si="12"/>
        <v>0</v>
      </c>
      <c r="S20" s="10">
        <f t="shared" si="1"/>
        <v>1049222.8720000002</v>
      </c>
      <c r="T20" s="1093">
        <f t="shared" si="3"/>
        <v>320284.08</v>
      </c>
      <c r="U20" s="1093">
        <f t="shared" si="4"/>
        <v>64240.86400000006</v>
      </c>
      <c r="V20" s="1093">
        <f t="shared" si="5"/>
        <v>60975.088000000003</v>
      </c>
      <c r="W20" s="1093">
        <f t="shared" si="6"/>
        <v>10409.471999999998</v>
      </c>
      <c r="X20" s="1093">
        <f t="shared" si="7"/>
        <v>558785.16</v>
      </c>
      <c r="Y20" s="1093">
        <f t="shared" si="8"/>
        <v>34528.207999999999</v>
      </c>
    </row>
    <row r="21" spans="2:25">
      <c r="B21" s="2" t="s">
        <v>103</v>
      </c>
      <c r="C21" s="20">
        <f t="shared" ref="C21:P21" si="24">C91*0.8</f>
        <v>119480.992</v>
      </c>
      <c r="D21" s="20">
        <f t="shared" si="24"/>
        <v>24570.704000000005</v>
      </c>
      <c r="E21" s="20">
        <f t="shared" si="24"/>
        <v>14390.648000000001</v>
      </c>
      <c r="F21" s="20">
        <f t="shared" si="24"/>
        <v>1597.0639999999985</v>
      </c>
      <c r="G21" s="20">
        <f t="shared" si="24"/>
        <v>112368.23999999999</v>
      </c>
      <c r="H21" s="20">
        <f t="shared" si="24"/>
        <v>1175.4000000000001</v>
      </c>
      <c r="I21" s="20">
        <f t="shared" si="24"/>
        <v>4263.072000000001</v>
      </c>
      <c r="J21" s="20">
        <f t="shared" si="24"/>
        <v>235.08000000000004</v>
      </c>
      <c r="K21" s="20">
        <f t="shared" si="24"/>
        <v>4152.6880000000001</v>
      </c>
      <c r="L21" s="20">
        <f t="shared" si="24"/>
        <v>626.88000000000011</v>
      </c>
      <c r="M21" s="20">
        <f t="shared" si="24"/>
        <v>0</v>
      </c>
      <c r="N21" s="20">
        <f t="shared" si="24"/>
        <v>0</v>
      </c>
      <c r="O21" s="20">
        <f t="shared" si="24"/>
        <v>91.424000000000007</v>
      </c>
      <c r="P21" s="20">
        <f t="shared" si="24"/>
        <v>0</v>
      </c>
      <c r="Q21" s="20">
        <f t="shared" si="12"/>
        <v>0</v>
      </c>
      <c r="R21" s="20">
        <f t="shared" si="12"/>
        <v>0</v>
      </c>
      <c r="S21" s="10">
        <f t="shared" si="1"/>
        <v>282952.19200000004</v>
      </c>
      <c r="T21" s="1093">
        <f t="shared" si="3"/>
        <v>119480.992</v>
      </c>
      <c r="U21" s="1093">
        <f t="shared" si="4"/>
        <v>24570.704000000005</v>
      </c>
      <c r="V21" s="1093">
        <f t="shared" si="5"/>
        <v>14390.648000000001</v>
      </c>
      <c r="W21" s="1093">
        <f t="shared" si="6"/>
        <v>1597.0639999999985</v>
      </c>
      <c r="X21" s="1093">
        <f t="shared" si="7"/>
        <v>112368.23999999999</v>
      </c>
      <c r="Y21" s="1093">
        <f t="shared" si="8"/>
        <v>10544.544000000004</v>
      </c>
    </row>
    <row r="22" spans="2:25">
      <c r="B22" s="2" t="s">
        <v>104</v>
      </c>
      <c r="C22" s="20">
        <f t="shared" ref="C22:P22" si="25">C92*0.8</f>
        <v>39957.271999999997</v>
      </c>
      <c r="D22" s="20">
        <f t="shared" si="25"/>
        <v>8196.6640000000025</v>
      </c>
      <c r="E22" s="20">
        <f t="shared" si="25"/>
        <v>5675.3680000000004</v>
      </c>
      <c r="F22" s="20">
        <f t="shared" si="25"/>
        <v>241.51999999999973</v>
      </c>
      <c r="G22" s="20">
        <f t="shared" si="25"/>
        <v>37691.160000000003</v>
      </c>
      <c r="H22" s="20">
        <f t="shared" si="25"/>
        <v>1802.28</v>
      </c>
      <c r="I22" s="20">
        <f t="shared" si="25"/>
        <v>1744.8560000000002</v>
      </c>
      <c r="J22" s="20">
        <f t="shared" si="25"/>
        <v>235.08000000000004</v>
      </c>
      <c r="K22" s="20">
        <f t="shared" si="25"/>
        <v>1888.3360000000002</v>
      </c>
      <c r="L22" s="20">
        <f t="shared" si="25"/>
        <v>0</v>
      </c>
      <c r="M22" s="20">
        <f t="shared" si="25"/>
        <v>0</v>
      </c>
      <c r="N22" s="20">
        <f t="shared" si="25"/>
        <v>0</v>
      </c>
      <c r="O22" s="20">
        <f t="shared" si="25"/>
        <v>22.856000000000002</v>
      </c>
      <c r="P22" s="20">
        <f t="shared" si="25"/>
        <v>0</v>
      </c>
      <c r="Q22" s="20">
        <f>Q92</f>
        <v>0</v>
      </c>
      <c r="R22" s="20">
        <f>R92</f>
        <v>0</v>
      </c>
      <c r="S22" s="10">
        <f t="shared" si="1"/>
        <v>97455.391999999993</v>
      </c>
      <c r="T22" s="1093">
        <f t="shared" si="3"/>
        <v>39957.271999999997</v>
      </c>
      <c r="U22" s="1093">
        <f t="shared" si="4"/>
        <v>8196.6640000000025</v>
      </c>
      <c r="V22" s="1093">
        <f t="shared" si="5"/>
        <v>5675.3680000000004</v>
      </c>
      <c r="W22" s="1093">
        <f t="shared" si="6"/>
        <v>241.51999999999973</v>
      </c>
      <c r="X22" s="1093">
        <f t="shared" si="7"/>
        <v>37691.160000000003</v>
      </c>
      <c r="Y22" s="1093">
        <f t="shared" si="8"/>
        <v>5693.4080000000004</v>
      </c>
    </row>
    <row r="23" spans="2:25">
      <c r="B23" s="2" t="s">
        <v>105</v>
      </c>
      <c r="C23" s="20">
        <f t="shared" ref="C23:P23" si="26">C93*0.8</f>
        <v>389682.48800000001</v>
      </c>
      <c r="D23" s="20">
        <f t="shared" si="26"/>
        <v>69544.880000000077</v>
      </c>
      <c r="E23" s="20">
        <f t="shared" si="26"/>
        <v>57174.728000000003</v>
      </c>
      <c r="F23" s="20">
        <f t="shared" si="26"/>
        <v>5840.7599999999984</v>
      </c>
      <c r="G23" s="20">
        <f t="shared" si="26"/>
        <v>371578.01600000006</v>
      </c>
      <c r="H23" s="20">
        <f t="shared" si="26"/>
        <v>7444.2000000000007</v>
      </c>
      <c r="I23" s="20">
        <f t="shared" si="26"/>
        <v>16202.559999999998</v>
      </c>
      <c r="J23" s="20">
        <f t="shared" si="26"/>
        <v>1076.336</v>
      </c>
      <c r="K23" s="20">
        <f t="shared" si="26"/>
        <v>9806.5679999999993</v>
      </c>
      <c r="L23" s="20">
        <f t="shared" si="26"/>
        <v>1410.48</v>
      </c>
      <c r="M23" s="20">
        <f t="shared" si="26"/>
        <v>470.16000000000008</v>
      </c>
      <c r="N23" s="20">
        <f t="shared" si="26"/>
        <v>0</v>
      </c>
      <c r="O23" s="20">
        <f t="shared" si="26"/>
        <v>434.26400000000007</v>
      </c>
      <c r="P23" s="20">
        <f t="shared" si="26"/>
        <v>0</v>
      </c>
      <c r="Q23" s="20">
        <f t="shared" ref="Q23:R28" si="27">Q93*0.8</f>
        <v>0</v>
      </c>
      <c r="R23" s="20">
        <f t="shared" si="27"/>
        <v>0</v>
      </c>
      <c r="S23" s="10">
        <f t="shared" si="1"/>
        <v>930665.44000000018</v>
      </c>
      <c r="T23" s="1093">
        <f t="shared" si="3"/>
        <v>389682.48800000001</v>
      </c>
      <c r="U23" s="1093">
        <f t="shared" si="4"/>
        <v>69544.880000000077</v>
      </c>
      <c r="V23" s="1093">
        <f t="shared" si="5"/>
        <v>57174.728000000003</v>
      </c>
      <c r="W23" s="1093">
        <f t="shared" si="6"/>
        <v>5840.7599999999984</v>
      </c>
      <c r="X23" s="1093">
        <f t="shared" si="7"/>
        <v>371578.01600000006</v>
      </c>
      <c r="Y23" s="1093">
        <f t="shared" si="8"/>
        <v>36844.568000000007</v>
      </c>
    </row>
    <row r="24" spans="2:25">
      <c r="B24" s="2" t="s">
        <v>106</v>
      </c>
      <c r="C24" s="20">
        <f t="shared" ref="C24:P24" si="28">C94*0.8</f>
        <v>62992.256000000008</v>
      </c>
      <c r="D24" s="20">
        <f t="shared" si="28"/>
        <v>16950.119999999984</v>
      </c>
      <c r="E24" s="20">
        <f t="shared" si="28"/>
        <v>7312.7839999999997</v>
      </c>
      <c r="F24" s="20">
        <f t="shared" si="28"/>
        <v>1156.8400000000008</v>
      </c>
      <c r="G24" s="20">
        <f t="shared" si="28"/>
        <v>65665.680000000008</v>
      </c>
      <c r="H24" s="20">
        <f t="shared" si="28"/>
        <v>1097.04</v>
      </c>
      <c r="I24" s="20">
        <f t="shared" si="28"/>
        <v>2886.5360000000001</v>
      </c>
      <c r="J24" s="20">
        <f t="shared" si="28"/>
        <v>0</v>
      </c>
      <c r="K24" s="20">
        <f t="shared" si="28"/>
        <v>1803.2</v>
      </c>
      <c r="L24" s="20">
        <f t="shared" si="28"/>
        <v>0</v>
      </c>
      <c r="M24" s="20">
        <f t="shared" si="28"/>
        <v>0</v>
      </c>
      <c r="N24" s="20">
        <f t="shared" si="28"/>
        <v>0</v>
      </c>
      <c r="O24" s="20">
        <f t="shared" si="28"/>
        <v>22.856000000000002</v>
      </c>
      <c r="P24" s="20">
        <f t="shared" si="28"/>
        <v>0</v>
      </c>
      <c r="Q24" s="20">
        <f t="shared" si="27"/>
        <v>0</v>
      </c>
      <c r="R24" s="20">
        <f t="shared" si="27"/>
        <v>0</v>
      </c>
      <c r="S24" s="10">
        <f t="shared" si="1"/>
        <v>159887.31200000001</v>
      </c>
      <c r="T24" s="1093">
        <f t="shared" si="3"/>
        <v>62992.256000000008</v>
      </c>
      <c r="U24" s="1093">
        <f t="shared" si="4"/>
        <v>16950.119999999984</v>
      </c>
      <c r="V24" s="1093">
        <f t="shared" si="5"/>
        <v>7312.7839999999997</v>
      </c>
      <c r="W24" s="1093">
        <f t="shared" si="6"/>
        <v>1156.8400000000008</v>
      </c>
      <c r="X24" s="1093">
        <f t="shared" si="7"/>
        <v>65665.680000000008</v>
      </c>
      <c r="Y24" s="1093">
        <f t="shared" si="8"/>
        <v>5809.6319999999996</v>
      </c>
    </row>
    <row r="25" spans="2:25">
      <c r="B25" s="2" t="s">
        <v>107</v>
      </c>
      <c r="C25" s="20">
        <f t="shared" ref="C25:P25" si="29">C95*0.8</f>
        <v>412251.95200000005</v>
      </c>
      <c r="D25" s="20">
        <f t="shared" si="29"/>
        <v>70627.512000000061</v>
      </c>
      <c r="E25" s="20">
        <f t="shared" si="29"/>
        <v>66542.248000000007</v>
      </c>
      <c r="F25" s="20">
        <f t="shared" si="29"/>
        <v>12905.704000000005</v>
      </c>
      <c r="G25" s="20">
        <f t="shared" si="29"/>
        <v>633854.04000000015</v>
      </c>
      <c r="H25" s="20">
        <f t="shared" si="29"/>
        <v>4388.16</v>
      </c>
      <c r="I25" s="20">
        <f t="shared" si="29"/>
        <v>14074.472000000003</v>
      </c>
      <c r="J25" s="20">
        <f t="shared" si="29"/>
        <v>228.56</v>
      </c>
      <c r="K25" s="20">
        <f t="shared" si="29"/>
        <v>12175.567999999999</v>
      </c>
      <c r="L25" s="20">
        <f t="shared" si="29"/>
        <v>5093.4000000000005</v>
      </c>
      <c r="M25" s="20">
        <f t="shared" si="29"/>
        <v>156.72000000000003</v>
      </c>
      <c r="N25" s="20">
        <f t="shared" si="29"/>
        <v>0</v>
      </c>
      <c r="O25" s="20">
        <f t="shared" si="29"/>
        <v>205.70400000000001</v>
      </c>
      <c r="P25" s="20">
        <f t="shared" si="29"/>
        <v>0</v>
      </c>
      <c r="Q25" s="20">
        <f t="shared" si="27"/>
        <v>0</v>
      </c>
      <c r="R25" s="20">
        <f t="shared" si="27"/>
        <v>0</v>
      </c>
      <c r="S25" s="10">
        <f t="shared" si="1"/>
        <v>1232504.04</v>
      </c>
      <c r="T25" s="1093">
        <f t="shared" si="3"/>
        <v>412251.95200000005</v>
      </c>
      <c r="U25" s="1093">
        <f t="shared" si="4"/>
        <v>70627.512000000061</v>
      </c>
      <c r="V25" s="1093">
        <f t="shared" si="5"/>
        <v>66542.248000000007</v>
      </c>
      <c r="W25" s="1093">
        <f t="shared" si="6"/>
        <v>12905.704000000005</v>
      </c>
      <c r="X25" s="1093">
        <f t="shared" si="7"/>
        <v>633854.04000000015</v>
      </c>
      <c r="Y25" s="1093">
        <f t="shared" si="8"/>
        <v>36322.584000000003</v>
      </c>
    </row>
    <row r="26" spans="2:25">
      <c r="B26" s="2" t="s">
        <v>108</v>
      </c>
      <c r="C26" s="20">
        <f t="shared" ref="C26:P26" si="30">C96*0.8</f>
        <v>25069.656000000003</v>
      </c>
      <c r="D26" s="20">
        <f t="shared" si="30"/>
        <v>4806.7280000000028</v>
      </c>
      <c r="E26" s="20">
        <f t="shared" si="30"/>
        <v>3429.76</v>
      </c>
      <c r="F26" s="20">
        <f t="shared" si="30"/>
        <v>671.76000000000067</v>
      </c>
      <c r="G26" s="20">
        <f t="shared" si="30"/>
        <v>76087.56</v>
      </c>
      <c r="H26" s="20">
        <f t="shared" si="30"/>
        <v>548.52</v>
      </c>
      <c r="I26" s="20">
        <f t="shared" si="30"/>
        <v>709.00800000000004</v>
      </c>
      <c r="J26" s="20">
        <f t="shared" si="30"/>
        <v>0</v>
      </c>
      <c r="K26" s="20">
        <f t="shared" si="30"/>
        <v>970.83199999999999</v>
      </c>
      <c r="L26" s="20">
        <f t="shared" si="30"/>
        <v>235.08000000000004</v>
      </c>
      <c r="M26" s="20">
        <f t="shared" si="30"/>
        <v>0</v>
      </c>
      <c r="N26" s="20">
        <f t="shared" si="30"/>
        <v>0</v>
      </c>
      <c r="O26" s="20">
        <f t="shared" si="30"/>
        <v>0</v>
      </c>
      <c r="P26" s="20">
        <f t="shared" si="30"/>
        <v>0</v>
      </c>
      <c r="Q26" s="20">
        <f t="shared" si="27"/>
        <v>0</v>
      </c>
      <c r="R26" s="20">
        <f t="shared" si="27"/>
        <v>0</v>
      </c>
      <c r="S26" s="10">
        <f t="shared" si="1"/>
        <v>112528.90400000001</v>
      </c>
      <c r="T26" s="1093">
        <f t="shared" si="3"/>
        <v>25069.656000000003</v>
      </c>
      <c r="U26" s="1093">
        <f t="shared" si="4"/>
        <v>4806.7280000000028</v>
      </c>
      <c r="V26" s="1093">
        <f t="shared" si="5"/>
        <v>3429.76</v>
      </c>
      <c r="W26" s="1093">
        <f t="shared" si="6"/>
        <v>671.76000000000067</v>
      </c>
      <c r="X26" s="1093">
        <f t="shared" si="7"/>
        <v>76087.56</v>
      </c>
      <c r="Y26" s="1093">
        <f t="shared" si="8"/>
        <v>2463.44</v>
      </c>
    </row>
    <row r="27" spans="2:25">
      <c r="B27" s="2" t="s">
        <v>109</v>
      </c>
      <c r="C27" s="20">
        <f t="shared" ref="C27:P27" si="31">C97*0.8</f>
        <v>2845.6320000000001</v>
      </c>
      <c r="D27" s="20">
        <f t="shared" si="31"/>
        <v>568.4</v>
      </c>
      <c r="E27" s="20">
        <f t="shared" si="31"/>
        <v>182.85599999999999</v>
      </c>
      <c r="F27" s="20">
        <f t="shared" si="31"/>
        <v>73.703999999999994</v>
      </c>
      <c r="G27" s="20">
        <f t="shared" si="31"/>
        <v>9403.2000000000007</v>
      </c>
      <c r="H27" s="20">
        <f t="shared" si="31"/>
        <v>391.8</v>
      </c>
      <c r="I27" s="20">
        <f t="shared" si="31"/>
        <v>103.21599999999999</v>
      </c>
      <c r="J27" s="20">
        <f t="shared" si="31"/>
        <v>0</v>
      </c>
      <c r="K27" s="20">
        <f t="shared" si="31"/>
        <v>173.99200000000002</v>
      </c>
      <c r="L27" s="20">
        <f t="shared" si="31"/>
        <v>0</v>
      </c>
      <c r="M27" s="20">
        <f t="shared" si="31"/>
        <v>0</v>
      </c>
      <c r="N27" s="20">
        <f t="shared" si="31"/>
        <v>0</v>
      </c>
      <c r="O27" s="20">
        <f t="shared" si="31"/>
        <v>0</v>
      </c>
      <c r="P27" s="20">
        <f t="shared" si="31"/>
        <v>0</v>
      </c>
      <c r="Q27" s="20">
        <f t="shared" si="27"/>
        <v>0</v>
      </c>
      <c r="R27" s="20">
        <f t="shared" si="27"/>
        <v>0</v>
      </c>
      <c r="S27" s="10">
        <f t="shared" si="1"/>
        <v>13742.800000000001</v>
      </c>
      <c r="T27" s="1093">
        <f t="shared" si="3"/>
        <v>2845.6320000000001</v>
      </c>
      <c r="U27" s="1093">
        <f t="shared" si="4"/>
        <v>568.4</v>
      </c>
      <c r="V27" s="1093">
        <f t="shared" si="5"/>
        <v>182.85599999999999</v>
      </c>
      <c r="W27" s="1093">
        <f t="shared" si="6"/>
        <v>73.703999999999994</v>
      </c>
      <c r="X27" s="1093">
        <f t="shared" si="7"/>
        <v>9403.2000000000007</v>
      </c>
      <c r="Y27" s="1093">
        <f t="shared" si="8"/>
        <v>669.00800000000004</v>
      </c>
    </row>
    <row r="28" spans="2:25">
      <c r="B28" s="2" t="s">
        <v>110</v>
      </c>
      <c r="C28" s="20">
        <f t="shared" ref="C28:P28" si="32">C98*0.8</f>
        <v>297526.68</v>
      </c>
      <c r="D28" s="20">
        <f t="shared" si="32"/>
        <v>36805.032000000028</v>
      </c>
      <c r="E28" s="20">
        <f t="shared" si="32"/>
        <v>43838.928000000007</v>
      </c>
      <c r="F28" s="20">
        <f t="shared" si="32"/>
        <v>3901.3119999999999</v>
      </c>
      <c r="G28" s="20">
        <f t="shared" si="32"/>
        <v>424162.68</v>
      </c>
      <c r="H28" s="20">
        <f t="shared" si="32"/>
        <v>3212.76</v>
      </c>
      <c r="I28" s="20">
        <f t="shared" si="32"/>
        <v>7424.6240000000007</v>
      </c>
      <c r="J28" s="20">
        <f t="shared" si="32"/>
        <v>0</v>
      </c>
      <c r="K28" s="20">
        <f t="shared" si="32"/>
        <v>6259.8879999999999</v>
      </c>
      <c r="L28" s="20">
        <f t="shared" si="32"/>
        <v>548.52</v>
      </c>
      <c r="M28" s="20">
        <f t="shared" si="32"/>
        <v>0</v>
      </c>
      <c r="N28" s="20">
        <f t="shared" si="32"/>
        <v>0</v>
      </c>
      <c r="O28" s="20">
        <f t="shared" si="32"/>
        <v>45.712000000000003</v>
      </c>
      <c r="P28" s="20">
        <f t="shared" si="32"/>
        <v>0</v>
      </c>
      <c r="Q28" s="20">
        <f t="shared" si="27"/>
        <v>0</v>
      </c>
      <c r="R28" s="20">
        <f t="shared" si="27"/>
        <v>0</v>
      </c>
      <c r="S28" s="10">
        <f t="shared" si="1"/>
        <v>823726.13600000006</v>
      </c>
      <c r="T28" s="1093">
        <f t="shared" si="3"/>
        <v>297526.68</v>
      </c>
      <c r="U28" s="1093">
        <f t="shared" si="4"/>
        <v>36805.032000000028</v>
      </c>
      <c r="V28" s="1093">
        <f t="shared" si="5"/>
        <v>43838.928000000007</v>
      </c>
      <c r="W28" s="1093">
        <f t="shared" si="6"/>
        <v>3901.3119999999999</v>
      </c>
      <c r="X28" s="1093">
        <f t="shared" si="7"/>
        <v>424162.68</v>
      </c>
      <c r="Y28" s="1093">
        <f t="shared" si="8"/>
        <v>17491.504000000001</v>
      </c>
    </row>
    <row r="29" spans="2:25">
      <c r="B29" s="2" t="s">
        <v>111</v>
      </c>
      <c r="C29" s="20">
        <f t="shared" ref="C29:P29" si="33">C99*0.8</f>
        <v>1273103.0160000001</v>
      </c>
      <c r="D29" s="20">
        <f t="shared" si="33"/>
        <v>322951.96799999999</v>
      </c>
      <c r="E29" s="20">
        <f t="shared" si="33"/>
        <v>141136.82399999999</v>
      </c>
      <c r="F29" s="20">
        <f t="shared" si="33"/>
        <v>50839.495999999999</v>
      </c>
      <c r="G29" s="20">
        <f t="shared" si="33"/>
        <v>2246267.2000000002</v>
      </c>
      <c r="H29" s="20">
        <f t="shared" si="33"/>
        <v>17866.079999999998</v>
      </c>
      <c r="I29" s="20">
        <f t="shared" si="33"/>
        <v>91495.752000000022</v>
      </c>
      <c r="J29" s="20">
        <f t="shared" si="33"/>
        <v>0</v>
      </c>
      <c r="K29" s="20">
        <f t="shared" si="33"/>
        <v>41251.455999999998</v>
      </c>
      <c r="L29" s="20">
        <f t="shared" si="33"/>
        <v>6425.52</v>
      </c>
      <c r="M29" s="20">
        <f t="shared" si="33"/>
        <v>470.16000000000008</v>
      </c>
      <c r="N29" s="20">
        <f t="shared" si="33"/>
        <v>0</v>
      </c>
      <c r="O29" s="20">
        <f t="shared" si="33"/>
        <v>1234.2240000000002</v>
      </c>
      <c r="P29" s="20">
        <f t="shared" si="33"/>
        <v>0</v>
      </c>
      <c r="Q29" s="20">
        <f>Q99</f>
        <v>1475.5</v>
      </c>
      <c r="R29" s="20">
        <f>R99</f>
        <v>13594.27</v>
      </c>
      <c r="S29" s="10">
        <f t="shared" si="1"/>
        <v>4208111.466</v>
      </c>
      <c r="T29" s="1093">
        <f t="shared" si="3"/>
        <v>1273103.0160000001</v>
      </c>
      <c r="U29" s="1093">
        <f t="shared" si="4"/>
        <v>322951.96799999999</v>
      </c>
      <c r="V29" s="1093">
        <f t="shared" si="5"/>
        <v>141136.82399999999</v>
      </c>
      <c r="W29" s="1093">
        <f t="shared" si="6"/>
        <v>50839.495999999999</v>
      </c>
      <c r="X29" s="1093">
        <f t="shared" si="7"/>
        <v>2246267.2000000002</v>
      </c>
      <c r="Y29" s="1093">
        <f t="shared" si="8"/>
        <v>173812.962</v>
      </c>
    </row>
    <row r="30" spans="2:25">
      <c r="B30" s="2" t="s">
        <v>112</v>
      </c>
      <c r="C30" s="20">
        <f t="shared" ref="C30:P30" si="34">C100*0.8</f>
        <v>41985.216</v>
      </c>
      <c r="D30" s="20">
        <f t="shared" si="34"/>
        <v>14934.256000000001</v>
      </c>
      <c r="E30" s="20">
        <f t="shared" si="34"/>
        <v>2927.1680000000001</v>
      </c>
      <c r="F30" s="20">
        <f t="shared" si="34"/>
        <v>158.07199999999978</v>
      </c>
      <c r="G30" s="20">
        <f t="shared" si="34"/>
        <v>45292.08</v>
      </c>
      <c r="H30" s="20">
        <f t="shared" si="34"/>
        <v>783.6</v>
      </c>
      <c r="I30" s="20">
        <f t="shared" si="34"/>
        <v>2036.4560000000001</v>
      </c>
      <c r="J30" s="20">
        <f t="shared" si="34"/>
        <v>1364.5440000000001</v>
      </c>
      <c r="K30" s="20">
        <f t="shared" si="34"/>
        <v>2054.4479999999999</v>
      </c>
      <c r="L30" s="20">
        <f t="shared" si="34"/>
        <v>391.8</v>
      </c>
      <c r="M30" s="20">
        <f t="shared" si="34"/>
        <v>0</v>
      </c>
      <c r="N30" s="20">
        <f t="shared" si="34"/>
        <v>0</v>
      </c>
      <c r="O30" s="20">
        <f t="shared" si="34"/>
        <v>0</v>
      </c>
      <c r="P30" s="20">
        <f t="shared" si="34"/>
        <v>0</v>
      </c>
      <c r="Q30" s="20">
        <f>Q100*0.8</f>
        <v>0</v>
      </c>
      <c r="R30" s="20">
        <f>R100*0.8</f>
        <v>0</v>
      </c>
      <c r="S30" s="10">
        <f t="shared" si="1"/>
        <v>111927.64000000001</v>
      </c>
      <c r="T30" s="1093">
        <f t="shared" si="3"/>
        <v>41985.216</v>
      </c>
      <c r="U30" s="1093">
        <f t="shared" si="4"/>
        <v>14934.256000000001</v>
      </c>
      <c r="V30" s="1093">
        <f t="shared" si="5"/>
        <v>2927.1680000000001</v>
      </c>
      <c r="W30" s="1093">
        <f t="shared" si="6"/>
        <v>158.07199999999978</v>
      </c>
      <c r="X30" s="1093">
        <f t="shared" si="7"/>
        <v>45292.08</v>
      </c>
      <c r="Y30" s="1093">
        <f t="shared" si="8"/>
        <v>6630.8480000000009</v>
      </c>
    </row>
    <row r="31" spans="2:25">
      <c r="B31" s="2" t="s">
        <v>113</v>
      </c>
      <c r="C31" s="20">
        <f t="shared" ref="C31:P31" si="35">C101*0.8</f>
        <v>31956.304</v>
      </c>
      <c r="D31" s="20">
        <f t="shared" si="35"/>
        <v>5635.2960000000021</v>
      </c>
      <c r="E31" s="20">
        <f t="shared" si="35"/>
        <v>3923.7040000000002</v>
      </c>
      <c r="F31" s="20">
        <f t="shared" si="35"/>
        <v>628.1520000000005</v>
      </c>
      <c r="G31" s="20">
        <f t="shared" si="35"/>
        <v>38004.6</v>
      </c>
      <c r="H31" s="20">
        <f t="shared" si="35"/>
        <v>548.5200000000001</v>
      </c>
      <c r="I31" s="20">
        <f t="shared" si="35"/>
        <v>1084.9599999999998</v>
      </c>
      <c r="J31" s="20">
        <f t="shared" si="35"/>
        <v>0</v>
      </c>
      <c r="K31" s="20">
        <f t="shared" si="35"/>
        <v>1198.2639999999999</v>
      </c>
      <c r="L31" s="20">
        <f t="shared" si="35"/>
        <v>313.44000000000005</v>
      </c>
      <c r="M31" s="20">
        <f t="shared" si="35"/>
        <v>0</v>
      </c>
      <c r="N31" s="20">
        <f t="shared" si="35"/>
        <v>0</v>
      </c>
      <c r="O31" s="20">
        <f t="shared" si="35"/>
        <v>0</v>
      </c>
      <c r="P31" s="20">
        <f t="shared" si="35"/>
        <v>0</v>
      </c>
      <c r="Q31" s="20">
        <f>Q101*0.8</f>
        <v>29</v>
      </c>
      <c r="R31" s="20">
        <f>R101*0.8</f>
        <v>289.96800000000002</v>
      </c>
      <c r="S31" s="10">
        <f t="shared" si="1"/>
        <v>83612.208000000013</v>
      </c>
      <c r="T31" s="1093">
        <f t="shared" si="3"/>
        <v>31956.304</v>
      </c>
      <c r="U31" s="1093">
        <f t="shared" si="4"/>
        <v>5635.2960000000021</v>
      </c>
      <c r="V31" s="1093">
        <f t="shared" si="5"/>
        <v>3923.7040000000002</v>
      </c>
      <c r="W31" s="1093">
        <f t="shared" si="6"/>
        <v>628.1520000000005</v>
      </c>
      <c r="X31" s="1093">
        <f t="shared" si="7"/>
        <v>38004.6</v>
      </c>
      <c r="Y31" s="1093">
        <f t="shared" si="8"/>
        <v>3464.1519999999996</v>
      </c>
    </row>
    <row r="32" spans="2:25">
      <c r="B32" s="5" t="s">
        <v>37</v>
      </c>
      <c r="C32" s="6">
        <f t="shared" ref="C32:T32" si="36">SUM(C5:C31)</f>
        <v>4594825.5360000003</v>
      </c>
      <c r="D32" s="6">
        <f t="shared" si="36"/>
        <v>997399.57600000012</v>
      </c>
      <c r="E32" s="6">
        <f t="shared" si="36"/>
        <v>591266.92800000007</v>
      </c>
      <c r="F32" s="6">
        <f t="shared" si="36"/>
        <v>125649.18400000001</v>
      </c>
      <c r="G32" s="6">
        <f t="shared" si="36"/>
        <v>6418147.9360000007</v>
      </c>
      <c r="H32" s="6">
        <f t="shared" si="36"/>
        <v>67703.040000000008</v>
      </c>
      <c r="I32" s="6">
        <f t="shared" si="36"/>
        <v>226151.28</v>
      </c>
      <c r="J32" s="6">
        <f t="shared" si="36"/>
        <v>7227.6880000000001</v>
      </c>
      <c r="K32" s="6">
        <f t="shared" si="36"/>
        <v>141636.52799999999</v>
      </c>
      <c r="L32" s="6">
        <f t="shared" si="36"/>
        <v>26720.760000000002</v>
      </c>
      <c r="M32" s="6">
        <f t="shared" si="36"/>
        <v>1410.4800000000002</v>
      </c>
      <c r="N32" s="6">
        <f t="shared" si="36"/>
        <v>934.83200000000011</v>
      </c>
      <c r="O32" s="6">
        <f t="shared" si="36"/>
        <v>2834.1440000000002</v>
      </c>
      <c r="P32" s="6">
        <f t="shared" si="36"/>
        <v>0</v>
      </c>
      <c r="Q32" s="6">
        <f t="shared" si="36"/>
        <v>1547.462</v>
      </c>
      <c r="R32" s="6">
        <f t="shared" si="36"/>
        <v>14167.098000000002</v>
      </c>
      <c r="S32" s="6">
        <f t="shared" si="36"/>
        <v>13217622.472000003</v>
      </c>
      <c r="T32" s="1093">
        <f t="shared" si="36"/>
        <v>4594825.5360000003</v>
      </c>
      <c r="U32" s="1093">
        <f t="shared" ref="U32:Y32" si="37">SUM(U5:U31)</f>
        <v>997399.57600000012</v>
      </c>
      <c r="V32" s="1093">
        <f t="shared" si="37"/>
        <v>591266.92800000007</v>
      </c>
      <c r="W32" s="1093">
        <f t="shared" si="37"/>
        <v>125649.18400000001</v>
      </c>
      <c r="X32" s="1093">
        <f t="shared" si="37"/>
        <v>6418147.9360000007</v>
      </c>
      <c r="Y32" s="1093">
        <f t="shared" si="37"/>
        <v>490333.31200000003</v>
      </c>
    </row>
    <row r="33" spans="2:25">
      <c r="B33" s="1080" t="s">
        <v>50</v>
      </c>
      <c r="C33" s="1081"/>
      <c r="D33" s="1082"/>
      <c r="E33" s="1082"/>
      <c r="F33" s="1082"/>
      <c r="G33" s="1082"/>
      <c r="H33" s="1082"/>
      <c r="I33" s="1082"/>
      <c r="J33" s="1082"/>
      <c r="K33" s="1082"/>
      <c r="L33" s="1082"/>
      <c r="M33" s="1082"/>
      <c r="N33" s="1082"/>
      <c r="O33" s="1082"/>
      <c r="P33" s="1082"/>
      <c r="Q33" s="1082"/>
      <c r="R33" s="1082"/>
      <c r="S33" s="1081"/>
    </row>
    <row r="34" spans="2:25">
      <c r="B34" s="1094"/>
      <c r="C34" s="1094"/>
      <c r="D34" s="1095"/>
      <c r="E34" s="1095"/>
      <c r="F34" s="1095"/>
      <c r="G34" s="1095"/>
      <c r="H34" s="1095"/>
      <c r="I34" s="1095"/>
      <c r="J34" s="1095"/>
      <c r="K34" s="1095"/>
      <c r="L34" s="1095"/>
      <c r="M34" s="1095"/>
      <c r="N34" s="1095"/>
      <c r="O34" s="1095"/>
      <c r="P34" s="1095"/>
      <c r="Q34" s="1095"/>
      <c r="R34" s="1095"/>
      <c r="S34" s="1096"/>
    </row>
    <row r="35" spans="2:25">
      <c r="B35" s="1088"/>
      <c r="C35" s="1088"/>
      <c r="D35" s="1089"/>
      <c r="E35" s="1089"/>
      <c r="F35" s="1089"/>
      <c r="G35" s="1089"/>
      <c r="H35" s="1089"/>
      <c r="I35" s="1089"/>
      <c r="J35" s="1089"/>
      <c r="K35" s="1089"/>
      <c r="L35" s="1089"/>
      <c r="M35" s="1089"/>
      <c r="N35" s="1089"/>
      <c r="O35" s="1089"/>
      <c r="P35" s="1089"/>
      <c r="Q35" s="1089"/>
      <c r="R35" s="1089"/>
      <c r="S35" s="1090"/>
    </row>
    <row r="36" spans="2:25">
      <c r="B36" s="1098"/>
      <c r="C36" s="1098"/>
      <c r="D36" s="1099"/>
      <c r="E36" s="1099"/>
      <c r="F36" s="1099"/>
      <c r="G36" s="1099"/>
      <c r="H36" s="1099"/>
      <c r="I36" s="1099"/>
      <c r="J36" s="1099"/>
      <c r="K36" s="1099"/>
      <c r="L36" s="1099"/>
      <c r="M36" s="1099"/>
      <c r="N36" s="1099"/>
      <c r="O36" s="1099"/>
      <c r="P36" s="1099"/>
      <c r="Q36" s="1099"/>
      <c r="R36" s="1099"/>
      <c r="S36" s="1100"/>
    </row>
    <row r="37" spans="2:25" ht="46.5">
      <c r="B37" s="1220" t="s">
        <v>78</v>
      </c>
      <c r="C37" s="1221"/>
      <c r="D37" s="1221"/>
      <c r="E37" s="1221"/>
      <c r="F37" s="1221"/>
      <c r="G37" s="1221"/>
      <c r="H37" s="1221"/>
      <c r="I37" s="1221"/>
      <c r="J37" s="1221"/>
      <c r="K37" s="1221"/>
      <c r="L37" s="1221"/>
      <c r="M37" s="1221"/>
      <c r="N37" s="1221"/>
      <c r="O37" s="1221"/>
      <c r="P37" s="1221"/>
      <c r="Q37" s="1221"/>
      <c r="R37" s="1221"/>
      <c r="S37" s="1222"/>
    </row>
    <row r="38" spans="2:25" s="1104" customFormat="1" ht="35.1" customHeight="1">
      <c r="B38" s="1226" t="s">
        <v>33</v>
      </c>
      <c r="C38" s="1228" t="s">
        <v>27</v>
      </c>
      <c r="D38" s="1229"/>
      <c r="E38" s="1228" t="s">
        <v>29</v>
      </c>
      <c r="F38" s="1229"/>
      <c r="G38" s="1226" t="s">
        <v>28</v>
      </c>
      <c r="H38" s="1226" t="s">
        <v>36</v>
      </c>
      <c r="I38" s="1226" t="s">
        <v>30</v>
      </c>
      <c r="J38" s="1226" t="s">
        <v>31</v>
      </c>
      <c r="K38" s="1226" t="s">
        <v>41</v>
      </c>
      <c r="L38" s="1226" t="s">
        <v>35</v>
      </c>
      <c r="M38" s="1226" t="s">
        <v>40</v>
      </c>
      <c r="N38" s="1226" t="s">
        <v>42</v>
      </c>
      <c r="O38" s="1226" t="s">
        <v>45</v>
      </c>
      <c r="P38" s="1226" t="s">
        <v>411</v>
      </c>
      <c r="Q38" s="1228" t="s">
        <v>54</v>
      </c>
      <c r="R38" s="1229"/>
      <c r="S38" s="1226" t="s">
        <v>34</v>
      </c>
    </row>
    <row r="39" spans="2:25" s="1104" customFormat="1" ht="35.1" customHeight="1">
      <c r="B39" s="1227"/>
      <c r="C39" s="1091" t="s">
        <v>43</v>
      </c>
      <c r="D39" s="1091" t="s">
        <v>44</v>
      </c>
      <c r="E39" s="1091" t="s">
        <v>43</v>
      </c>
      <c r="F39" s="1091" t="s">
        <v>44</v>
      </c>
      <c r="G39" s="1227"/>
      <c r="H39" s="1227"/>
      <c r="I39" s="1227"/>
      <c r="J39" s="1227"/>
      <c r="K39" s="1227"/>
      <c r="L39" s="1227"/>
      <c r="M39" s="1227"/>
      <c r="N39" s="1227"/>
      <c r="O39" s="1227"/>
      <c r="P39" s="1227"/>
      <c r="Q39" s="1092" t="s">
        <v>52</v>
      </c>
      <c r="R39" s="1092" t="s">
        <v>53</v>
      </c>
      <c r="S39" s="1227"/>
      <c r="T39" s="1104" t="s">
        <v>183</v>
      </c>
      <c r="U39" s="1104" t="s">
        <v>424</v>
      </c>
      <c r="V39" s="1104" t="s">
        <v>184</v>
      </c>
      <c r="W39" s="1104" t="s">
        <v>425</v>
      </c>
      <c r="X39" s="1104" t="s">
        <v>28</v>
      </c>
      <c r="Y39" s="1104" t="s">
        <v>185</v>
      </c>
    </row>
    <row r="40" spans="2:25">
      <c r="B40" s="2" t="s">
        <v>87</v>
      </c>
      <c r="C40" s="20">
        <f t="shared" ref="C40:R40" si="38">C75*0.2</f>
        <v>4891.4540000000006</v>
      </c>
      <c r="D40" s="20">
        <f t="shared" si="38"/>
        <v>1118.5159999999996</v>
      </c>
      <c r="E40" s="20">
        <f t="shared" si="38"/>
        <v>761.88599999999997</v>
      </c>
      <c r="F40" s="20">
        <f t="shared" si="38"/>
        <v>0</v>
      </c>
      <c r="G40" s="20">
        <f t="shared" si="38"/>
        <v>5877</v>
      </c>
      <c r="H40" s="20">
        <f t="shared" si="38"/>
        <v>39.180000000000007</v>
      </c>
      <c r="I40" s="20">
        <f t="shared" si="38"/>
        <v>130.10599999999999</v>
      </c>
      <c r="J40" s="20">
        <f t="shared" si="38"/>
        <v>0</v>
      </c>
      <c r="K40" s="20">
        <f t="shared" si="38"/>
        <v>245.44000000000003</v>
      </c>
      <c r="L40" s="20">
        <f t="shared" si="38"/>
        <v>137.13</v>
      </c>
      <c r="M40" s="20">
        <f t="shared" si="38"/>
        <v>0</v>
      </c>
      <c r="N40" s="20">
        <f t="shared" si="38"/>
        <v>0</v>
      </c>
      <c r="O40" s="20">
        <f t="shared" si="38"/>
        <v>5.7140000000000004</v>
      </c>
      <c r="P40" s="20">
        <f t="shared" si="38"/>
        <v>0</v>
      </c>
      <c r="Q40" s="20">
        <f t="shared" si="38"/>
        <v>0</v>
      </c>
      <c r="R40" s="20">
        <f t="shared" si="38"/>
        <v>0</v>
      </c>
      <c r="S40" s="10">
        <f t="shared" ref="S40:S66" si="39">SUM(C40:R40)</f>
        <v>13206.425999999999</v>
      </c>
      <c r="T40" s="1093">
        <f>C40</f>
        <v>4891.4540000000006</v>
      </c>
      <c r="U40" s="1093">
        <f>D40</f>
        <v>1118.5159999999996</v>
      </c>
      <c r="V40" s="1093">
        <f>E40</f>
        <v>761.88599999999997</v>
      </c>
      <c r="W40" s="1093">
        <f>F40</f>
        <v>0</v>
      </c>
      <c r="X40" s="1093">
        <f>G40</f>
        <v>5877</v>
      </c>
      <c r="Y40" s="1093">
        <f>SUM(H40:R40)</f>
        <v>557.57000000000005</v>
      </c>
    </row>
    <row r="41" spans="2:25">
      <c r="B41" s="2" t="s">
        <v>88</v>
      </c>
      <c r="C41" s="20">
        <f t="shared" ref="C41:R41" si="40">C76*0.2</f>
        <v>12907.810000000001</v>
      </c>
      <c r="D41" s="20">
        <f t="shared" si="40"/>
        <v>3617.2440000000006</v>
      </c>
      <c r="E41" s="20">
        <f t="shared" si="40"/>
        <v>543.48</v>
      </c>
      <c r="F41" s="20">
        <f t="shared" si="40"/>
        <v>16.061999999999991</v>
      </c>
      <c r="G41" s="20">
        <f t="shared" si="40"/>
        <v>12615.960000000003</v>
      </c>
      <c r="H41" s="20">
        <f t="shared" si="40"/>
        <v>215.49</v>
      </c>
      <c r="I41" s="20">
        <f t="shared" si="40"/>
        <v>664.56399999999996</v>
      </c>
      <c r="J41" s="20">
        <f t="shared" si="40"/>
        <v>58.77000000000001</v>
      </c>
      <c r="K41" s="20">
        <f t="shared" si="40"/>
        <v>368.96600000000001</v>
      </c>
      <c r="L41" s="20">
        <f t="shared" si="40"/>
        <v>19.590000000000003</v>
      </c>
      <c r="M41" s="20">
        <f t="shared" si="40"/>
        <v>0</v>
      </c>
      <c r="N41" s="20">
        <f t="shared" si="40"/>
        <v>0</v>
      </c>
      <c r="O41" s="20">
        <f t="shared" si="40"/>
        <v>22.856000000000002</v>
      </c>
      <c r="P41" s="20">
        <f t="shared" si="40"/>
        <v>0</v>
      </c>
      <c r="Q41" s="20">
        <f t="shared" si="40"/>
        <v>0</v>
      </c>
      <c r="R41" s="20">
        <f t="shared" si="40"/>
        <v>0</v>
      </c>
      <c r="S41" s="10">
        <f t="shared" si="39"/>
        <v>31050.792000000009</v>
      </c>
      <c r="T41" s="1093">
        <f t="shared" ref="T41:T66" si="41">C41</f>
        <v>12907.810000000001</v>
      </c>
      <c r="U41" s="1093">
        <f t="shared" ref="U41:U66" si="42">D41</f>
        <v>3617.2440000000006</v>
      </c>
      <c r="V41" s="1093">
        <f t="shared" ref="V41:V66" si="43">E41</f>
        <v>543.48</v>
      </c>
      <c r="W41" s="1093">
        <f t="shared" ref="W41:W66" si="44">F41</f>
        <v>16.061999999999991</v>
      </c>
      <c r="X41" s="1093">
        <f t="shared" ref="X41:X66" si="45">G41</f>
        <v>12615.960000000003</v>
      </c>
      <c r="Y41" s="1093">
        <f t="shared" ref="Y41:Y66" si="46">SUM(H41:R41)</f>
        <v>1350.2359999999999</v>
      </c>
    </row>
    <row r="42" spans="2:25">
      <c r="B42" s="2" t="s">
        <v>89</v>
      </c>
      <c r="C42" s="20">
        <f t="shared" ref="C42:R42" si="47">C77*0.2</f>
        <v>6093.8600000000006</v>
      </c>
      <c r="D42" s="20">
        <f t="shared" si="47"/>
        <v>1864.1900000000003</v>
      </c>
      <c r="E42" s="20">
        <f t="shared" si="47"/>
        <v>1401.8760000000002</v>
      </c>
      <c r="F42" s="20">
        <f t="shared" si="47"/>
        <v>164.79399999999987</v>
      </c>
      <c r="G42" s="20">
        <f t="shared" si="47"/>
        <v>8149.44</v>
      </c>
      <c r="H42" s="20">
        <f t="shared" si="47"/>
        <v>97.95</v>
      </c>
      <c r="I42" s="20">
        <f t="shared" si="47"/>
        <v>300.40400000000005</v>
      </c>
      <c r="J42" s="20">
        <f t="shared" si="47"/>
        <v>0</v>
      </c>
      <c r="K42" s="20">
        <f t="shared" si="47"/>
        <v>326.714</v>
      </c>
      <c r="L42" s="20">
        <f t="shared" si="47"/>
        <v>19.590000000000003</v>
      </c>
      <c r="M42" s="20">
        <f t="shared" si="47"/>
        <v>0</v>
      </c>
      <c r="N42" s="20">
        <f t="shared" si="47"/>
        <v>0</v>
      </c>
      <c r="O42" s="20">
        <f t="shared" si="47"/>
        <v>0</v>
      </c>
      <c r="P42" s="20">
        <f t="shared" si="47"/>
        <v>0</v>
      </c>
      <c r="Q42" s="20">
        <f t="shared" si="47"/>
        <v>0</v>
      </c>
      <c r="R42" s="20">
        <f t="shared" si="47"/>
        <v>0</v>
      </c>
      <c r="S42" s="10">
        <f t="shared" si="39"/>
        <v>18418.817999999999</v>
      </c>
      <c r="T42" s="1093">
        <f t="shared" si="41"/>
        <v>6093.8600000000006</v>
      </c>
      <c r="U42" s="1093">
        <f t="shared" si="42"/>
        <v>1864.1900000000003</v>
      </c>
      <c r="V42" s="1093">
        <f t="shared" si="43"/>
        <v>1401.8760000000002</v>
      </c>
      <c r="W42" s="1093">
        <f t="shared" si="44"/>
        <v>164.79399999999987</v>
      </c>
      <c r="X42" s="1093">
        <f t="shared" si="45"/>
        <v>8149.44</v>
      </c>
      <c r="Y42" s="1093">
        <f t="shared" si="46"/>
        <v>744.65800000000002</v>
      </c>
    </row>
    <row r="43" spans="2:25">
      <c r="B43" s="2" t="s">
        <v>90</v>
      </c>
      <c r="C43" s="20">
        <f t="shared" ref="C43:P43" si="48">C78*0.2</f>
        <v>13422.032000000001</v>
      </c>
      <c r="D43" s="20">
        <f t="shared" si="48"/>
        <v>3869.4759999999983</v>
      </c>
      <c r="E43" s="20">
        <f t="shared" si="48"/>
        <v>1322.2440000000001</v>
      </c>
      <c r="F43" s="20">
        <f t="shared" si="48"/>
        <v>103.05199999999986</v>
      </c>
      <c r="G43" s="20">
        <f t="shared" si="48"/>
        <v>13889.310000000001</v>
      </c>
      <c r="H43" s="20">
        <f t="shared" si="48"/>
        <v>176.31</v>
      </c>
      <c r="I43" s="20">
        <f t="shared" si="48"/>
        <v>796.83400000000006</v>
      </c>
      <c r="J43" s="20">
        <f t="shared" si="48"/>
        <v>0</v>
      </c>
      <c r="K43" s="20">
        <f t="shared" si="48"/>
        <v>487.85400000000004</v>
      </c>
      <c r="L43" s="20">
        <f t="shared" si="48"/>
        <v>215.49</v>
      </c>
      <c r="M43" s="20">
        <f t="shared" si="48"/>
        <v>0</v>
      </c>
      <c r="N43" s="20">
        <f t="shared" si="48"/>
        <v>78.128</v>
      </c>
      <c r="O43" s="20">
        <f t="shared" si="48"/>
        <v>17.141999999999999</v>
      </c>
      <c r="P43" s="20">
        <f t="shared" si="48"/>
        <v>0</v>
      </c>
      <c r="Q43" s="20">
        <v>0</v>
      </c>
      <c r="R43" s="20">
        <v>0</v>
      </c>
      <c r="S43" s="10">
        <f t="shared" si="39"/>
        <v>34377.871999999996</v>
      </c>
      <c r="T43" s="1093">
        <f t="shared" si="41"/>
        <v>13422.032000000001</v>
      </c>
      <c r="U43" s="1093">
        <f t="shared" si="42"/>
        <v>3869.4759999999983</v>
      </c>
      <c r="V43" s="1093">
        <f t="shared" si="43"/>
        <v>1322.2440000000001</v>
      </c>
      <c r="W43" s="1093">
        <f t="shared" si="44"/>
        <v>103.05199999999986</v>
      </c>
      <c r="X43" s="1093">
        <f t="shared" si="45"/>
        <v>13889.310000000001</v>
      </c>
      <c r="Y43" s="1093">
        <f t="shared" si="46"/>
        <v>1771.758</v>
      </c>
    </row>
    <row r="44" spans="2:25">
      <c r="B44" s="2" t="s">
        <v>91</v>
      </c>
      <c r="C44" s="20">
        <f t="shared" ref="C44:P44" si="49">C79*0.2</f>
        <v>41058.308000000005</v>
      </c>
      <c r="D44" s="20">
        <f t="shared" si="49"/>
        <v>5059.7279999999973</v>
      </c>
      <c r="E44" s="20">
        <f t="shared" si="49"/>
        <v>4642.2519999999995</v>
      </c>
      <c r="F44" s="20">
        <f t="shared" si="49"/>
        <v>1207.7720000000002</v>
      </c>
      <c r="G44" s="20">
        <f t="shared" si="49"/>
        <v>32068.830000000005</v>
      </c>
      <c r="H44" s="20">
        <f t="shared" si="49"/>
        <v>333.03000000000003</v>
      </c>
      <c r="I44" s="20">
        <f t="shared" si="49"/>
        <v>1100.8819999999998</v>
      </c>
      <c r="J44" s="20">
        <f t="shared" si="49"/>
        <v>0</v>
      </c>
      <c r="K44" s="20">
        <f t="shared" si="49"/>
        <v>1134.866</v>
      </c>
      <c r="L44" s="20">
        <f t="shared" si="49"/>
        <v>19.590000000000003</v>
      </c>
      <c r="M44" s="20">
        <f t="shared" si="49"/>
        <v>0</v>
      </c>
      <c r="N44" s="20">
        <f t="shared" si="49"/>
        <v>0</v>
      </c>
      <c r="O44" s="20">
        <f t="shared" si="49"/>
        <v>0</v>
      </c>
      <c r="P44" s="20">
        <f t="shared" si="49"/>
        <v>0</v>
      </c>
      <c r="Q44" s="20">
        <f t="shared" ref="Q44:R56" si="50">Q79*0.2</f>
        <v>0</v>
      </c>
      <c r="R44" s="20">
        <f t="shared" si="50"/>
        <v>0</v>
      </c>
      <c r="S44" s="10">
        <f t="shared" si="39"/>
        <v>86625.257999999987</v>
      </c>
      <c r="T44" s="1093">
        <f t="shared" si="41"/>
        <v>41058.308000000005</v>
      </c>
      <c r="U44" s="1093">
        <f t="shared" si="42"/>
        <v>5059.7279999999973</v>
      </c>
      <c r="V44" s="1093">
        <f t="shared" si="43"/>
        <v>4642.2519999999995</v>
      </c>
      <c r="W44" s="1093">
        <f t="shared" si="44"/>
        <v>1207.7720000000002</v>
      </c>
      <c r="X44" s="1093">
        <f t="shared" si="45"/>
        <v>32068.830000000005</v>
      </c>
      <c r="Y44" s="1093">
        <f t="shared" si="46"/>
        <v>2588.3679999999999</v>
      </c>
    </row>
    <row r="45" spans="2:25">
      <c r="B45" s="2" t="s">
        <v>92</v>
      </c>
      <c r="C45" s="20">
        <f t="shared" ref="C45:P45" si="51">C80*0.2</f>
        <v>22868.144</v>
      </c>
      <c r="D45" s="20">
        <f t="shared" si="51"/>
        <v>3603.0759999999955</v>
      </c>
      <c r="E45" s="20">
        <f t="shared" si="51"/>
        <v>2419.9279999999999</v>
      </c>
      <c r="F45" s="20">
        <f t="shared" si="51"/>
        <v>9.1720000000001161</v>
      </c>
      <c r="G45" s="20">
        <f t="shared" si="51"/>
        <v>22685.22</v>
      </c>
      <c r="H45" s="20">
        <f t="shared" si="51"/>
        <v>568.11</v>
      </c>
      <c r="I45" s="20">
        <f t="shared" si="51"/>
        <v>603.44800000000009</v>
      </c>
      <c r="J45" s="20">
        <f t="shared" si="51"/>
        <v>0</v>
      </c>
      <c r="K45" s="20">
        <f t="shared" si="51"/>
        <v>645.33600000000013</v>
      </c>
      <c r="L45" s="20">
        <f t="shared" si="51"/>
        <v>156.72000000000003</v>
      </c>
      <c r="M45" s="20">
        <f t="shared" si="51"/>
        <v>39.180000000000007</v>
      </c>
      <c r="N45" s="20">
        <f t="shared" si="51"/>
        <v>0</v>
      </c>
      <c r="O45" s="20">
        <f t="shared" si="51"/>
        <v>11.428000000000001</v>
      </c>
      <c r="P45" s="20">
        <f t="shared" si="51"/>
        <v>0</v>
      </c>
      <c r="Q45" s="20">
        <f t="shared" si="50"/>
        <v>0</v>
      </c>
      <c r="R45" s="20">
        <f t="shared" si="50"/>
        <v>0</v>
      </c>
      <c r="S45" s="10">
        <f t="shared" si="39"/>
        <v>53609.761999999995</v>
      </c>
      <c r="T45" s="1093">
        <f t="shared" si="41"/>
        <v>22868.144</v>
      </c>
      <c r="U45" s="1093">
        <f t="shared" si="42"/>
        <v>3603.0759999999955</v>
      </c>
      <c r="V45" s="1093">
        <f t="shared" si="43"/>
        <v>2419.9279999999999</v>
      </c>
      <c r="W45" s="1093">
        <f t="shared" si="44"/>
        <v>9.1720000000001161</v>
      </c>
      <c r="X45" s="1093">
        <f t="shared" si="45"/>
        <v>22685.22</v>
      </c>
      <c r="Y45" s="1093">
        <f t="shared" si="46"/>
        <v>2024.2220000000004</v>
      </c>
    </row>
    <row r="46" spans="2:25">
      <c r="B46" s="2" t="s">
        <v>93</v>
      </c>
      <c r="C46" s="20">
        <f t="shared" ref="C46:P46" si="52">C81*0.2</f>
        <v>36064.938000000002</v>
      </c>
      <c r="D46" s="20">
        <f t="shared" si="52"/>
        <v>9794.73</v>
      </c>
      <c r="E46" s="20">
        <f t="shared" si="52"/>
        <v>4342.92</v>
      </c>
      <c r="F46" s="20">
        <f t="shared" si="52"/>
        <v>1201.5240000000006</v>
      </c>
      <c r="G46" s="20">
        <f t="shared" si="52"/>
        <v>33538.080000000002</v>
      </c>
      <c r="H46" s="20">
        <f t="shared" si="52"/>
        <v>666.06000000000006</v>
      </c>
      <c r="I46" s="20">
        <f t="shared" si="52"/>
        <v>2091.5439999999999</v>
      </c>
      <c r="J46" s="20">
        <f t="shared" si="52"/>
        <v>0</v>
      </c>
      <c r="K46" s="20">
        <f t="shared" si="52"/>
        <v>1413.68</v>
      </c>
      <c r="L46" s="20">
        <f t="shared" si="52"/>
        <v>176.31</v>
      </c>
      <c r="M46" s="20">
        <f t="shared" si="52"/>
        <v>0</v>
      </c>
      <c r="N46" s="20">
        <f t="shared" si="52"/>
        <v>0</v>
      </c>
      <c r="O46" s="20">
        <f t="shared" si="52"/>
        <v>5.7140000000000004</v>
      </c>
      <c r="P46" s="20">
        <f t="shared" si="52"/>
        <v>0</v>
      </c>
      <c r="Q46" s="20">
        <f t="shared" si="50"/>
        <v>0</v>
      </c>
      <c r="R46" s="20">
        <f t="shared" si="50"/>
        <v>0</v>
      </c>
      <c r="S46" s="10">
        <f t="shared" si="39"/>
        <v>89295.5</v>
      </c>
      <c r="T46" s="1093">
        <f t="shared" si="41"/>
        <v>36064.938000000002</v>
      </c>
      <c r="U46" s="1093">
        <f t="shared" si="42"/>
        <v>9794.73</v>
      </c>
      <c r="V46" s="1093">
        <f t="shared" si="43"/>
        <v>4342.92</v>
      </c>
      <c r="W46" s="1093">
        <f t="shared" si="44"/>
        <v>1201.5240000000006</v>
      </c>
      <c r="X46" s="1093">
        <f t="shared" si="45"/>
        <v>33538.080000000002</v>
      </c>
      <c r="Y46" s="1093">
        <f t="shared" si="46"/>
        <v>4353.308</v>
      </c>
    </row>
    <row r="47" spans="2:25">
      <c r="B47" s="2" t="s">
        <v>94</v>
      </c>
      <c r="C47" s="20">
        <f t="shared" ref="C47:P47" si="53">C82*0.2</f>
        <v>32151.006000000001</v>
      </c>
      <c r="D47" s="20">
        <f t="shared" si="53"/>
        <v>2142.1080000000015</v>
      </c>
      <c r="E47" s="20">
        <f t="shared" si="53"/>
        <v>3022.1860000000001</v>
      </c>
      <c r="F47" s="20">
        <f t="shared" si="53"/>
        <v>692.55800000000022</v>
      </c>
      <c r="G47" s="20">
        <f t="shared" si="53"/>
        <v>27739.44000000001</v>
      </c>
      <c r="H47" s="20">
        <f t="shared" si="53"/>
        <v>176.31000000000003</v>
      </c>
      <c r="I47" s="20">
        <f t="shared" si="53"/>
        <v>735.66000000000008</v>
      </c>
      <c r="J47" s="20">
        <f t="shared" si="53"/>
        <v>251.25400000000002</v>
      </c>
      <c r="K47" s="20">
        <f t="shared" si="53"/>
        <v>441.90599999999995</v>
      </c>
      <c r="L47" s="20">
        <f t="shared" si="53"/>
        <v>58.77000000000001</v>
      </c>
      <c r="M47" s="20">
        <f t="shared" si="53"/>
        <v>0</v>
      </c>
      <c r="N47" s="20">
        <f t="shared" si="53"/>
        <v>0</v>
      </c>
      <c r="O47" s="20">
        <f t="shared" si="53"/>
        <v>0</v>
      </c>
      <c r="P47" s="20">
        <f t="shared" si="53"/>
        <v>0</v>
      </c>
      <c r="Q47" s="20">
        <f t="shared" si="50"/>
        <v>0</v>
      </c>
      <c r="R47" s="20">
        <f t="shared" si="50"/>
        <v>0</v>
      </c>
      <c r="S47" s="10">
        <f t="shared" si="39"/>
        <v>67411.198000000019</v>
      </c>
      <c r="T47" s="1093">
        <f t="shared" si="41"/>
        <v>32151.006000000001</v>
      </c>
      <c r="U47" s="1093">
        <f t="shared" si="42"/>
        <v>2142.1080000000015</v>
      </c>
      <c r="V47" s="1093">
        <f t="shared" si="43"/>
        <v>3022.1860000000001</v>
      </c>
      <c r="W47" s="1093">
        <f t="shared" si="44"/>
        <v>692.55800000000022</v>
      </c>
      <c r="X47" s="1093">
        <f t="shared" si="45"/>
        <v>27739.44000000001</v>
      </c>
      <c r="Y47" s="1093">
        <f t="shared" si="46"/>
        <v>1663.9</v>
      </c>
    </row>
    <row r="48" spans="2:25">
      <c r="B48" s="2" t="s">
        <v>95</v>
      </c>
      <c r="C48" s="20">
        <f t="shared" ref="C48:P48" si="54">C83*0.2</f>
        <v>31456.822</v>
      </c>
      <c r="D48" s="20">
        <f t="shared" si="54"/>
        <v>6777.3080000000018</v>
      </c>
      <c r="E48" s="20">
        <f t="shared" si="54"/>
        <v>4692.2380000000003</v>
      </c>
      <c r="F48" s="20">
        <f t="shared" si="54"/>
        <v>444.28000000000031</v>
      </c>
      <c r="G48" s="20">
        <f t="shared" si="54"/>
        <v>51815.55000000001</v>
      </c>
      <c r="H48" s="20">
        <f t="shared" si="54"/>
        <v>626.88000000000011</v>
      </c>
      <c r="I48" s="20">
        <f t="shared" si="54"/>
        <v>1343.3720000000001</v>
      </c>
      <c r="J48" s="20">
        <f t="shared" si="54"/>
        <v>364.87200000000001</v>
      </c>
      <c r="K48" s="20">
        <f t="shared" si="54"/>
        <v>1018.3120000000001</v>
      </c>
      <c r="L48" s="20">
        <f t="shared" si="54"/>
        <v>117.54000000000002</v>
      </c>
      <c r="M48" s="20">
        <f t="shared" si="54"/>
        <v>0</v>
      </c>
      <c r="N48" s="20">
        <f t="shared" si="54"/>
        <v>0</v>
      </c>
      <c r="O48" s="20">
        <f t="shared" si="54"/>
        <v>5.7140000000000004</v>
      </c>
      <c r="P48" s="20">
        <f t="shared" si="54"/>
        <v>0</v>
      </c>
      <c r="Q48" s="20">
        <f t="shared" si="50"/>
        <v>0</v>
      </c>
      <c r="R48" s="20">
        <f t="shared" si="50"/>
        <v>0</v>
      </c>
      <c r="S48" s="10">
        <f t="shared" si="39"/>
        <v>98662.888000000021</v>
      </c>
      <c r="T48" s="1093">
        <f t="shared" si="41"/>
        <v>31456.822</v>
      </c>
      <c r="U48" s="1093">
        <f t="shared" si="42"/>
        <v>6777.3080000000018</v>
      </c>
      <c r="V48" s="1093">
        <f t="shared" si="43"/>
        <v>4692.2380000000003</v>
      </c>
      <c r="W48" s="1093">
        <f t="shared" si="44"/>
        <v>444.28000000000031</v>
      </c>
      <c r="X48" s="1093">
        <f t="shared" si="45"/>
        <v>51815.55000000001</v>
      </c>
      <c r="Y48" s="1093">
        <f t="shared" si="46"/>
        <v>3476.6900000000005</v>
      </c>
    </row>
    <row r="49" spans="2:25">
      <c r="B49" s="2" t="s">
        <v>96</v>
      </c>
      <c r="C49" s="20">
        <f t="shared" ref="C49:P49" si="55">C84*0.2</f>
        <v>9839.8280000000013</v>
      </c>
      <c r="D49" s="20">
        <f t="shared" si="55"/>
        <v>2807.6839999999997</v>
      </c>
      <c r="E49" s="20">
        <f t="shared" si="55"/>
        <v>1144.7340000000002</v>
      </c>
      <c r="F49" s="20">
        <f t="shared" si="55"/>
        <v>105.24599999999992</v>
      </c>
      <c r="G49" s="20">
        <f t="shared" si="55"/>
        <v>9795</v>
      </c>
      <c r="H49" s="20">
        <f t="shared" si="55"/>
        <v>235.08000000000004</v>
      </c>
      <c r="I49" s="20">
        <f t="shared" si="55"/>
        <v>471.82600000000002</v>
      </c>
      <c r="J49" s="20">
        <f t="shared" si="55"/>
        <v>0</v>
      </c>
      <c r="K49" s="20">
        <f t="shared" si="55"/>
        <v>307.61799999999999</v>
      </c>
      <c r="L49" s="20">
        <f t="shared" si="55"/>
        <v>39.180000000000007</v>
      </c>
      <c r="M49" s="20">
        <f t="shared" si="55"/>
        <v>39.180000000000007</v>
      </c>
      <c r="N49" s="20">
        <f t="shared" si="55"/>
        <v>0</v>
      </c>
      <c r="O49" s="20">
        <f t="shared" si="55"/>
        <v>5.7140000000000004</v>
      </c>
      <c r="P49" s="20">
        <f t="shared" si="55"/>
        <v>0</v>
      </c>
      <c r="Q49" s="20">
        <f t="shared" si="50"/>
        <v>0</v>
      </c>
      <c r="R49" s="20">
        <f t="shared" si="50"/>
        <v>0</v>
      </c>
      <c r="S49" s="10">
        <f t="shared" si="39"/>
        <v>24791.09</v>
      </c>
      <c r="T49" s="1093">
        <f t="shared" si="41"/>
        <v>9839.8280000000013</v>
      </c>
      <c r="U49" s="1093">
        <f t="shared" si="42"/>
        <v>2807.6839999999997</v>
      </c>
      <c r="V49" s="1093">
        <f t="shared" si="43"/>
        <v>1144.7340000000002</v>
      </c>
      <c r="W49" s="1093">
        <f t="shared" si="44"/>
        <v>105.24599999999992</v>
      </c>
      <c r="X49" s="1093">
        <f t="shared" si="45"/>
        <v>9795</v>
      </c>
      <c r="Y49" s="1093">
        <f t="shared" si="46"/>
        <v>1098.5980000000002</v>
      </c>
    </row>
    <row r="50" spans="2:25">
      <c r="B50" s="2" t="s">
        <v>97</v>
      </c>
      <c r="C50" s="20">
        <f t="shared" ref="C50:P50" si="56">C85*0.2</f>
        <v>30618.462</v>
      </c>
      <c r="D50" s="20">
        <f t="shared" si="56"/>
        <v>9915.1440000000002</v>
      </c>
      <c r="E50" s="20">
        <f t="shared" si="56"/>
        <v>4461.5660000000007</v>
      </c>
      <c r="F50" s="20">
        <f t="shared" si="56"/>
        <v>1197.318</v>
      </c>
      <c r="G50" s="20">
        <f t="shared" si="56"/>
        <v>59005.080000000009</v>
      </c>
      <c r="H50" s="20">
        <f t="shared" si="56"/>
        <v>450.57</v>
      </c>
      <c r="I50" s="20">
        <f t="shared" si="56"/>
        <v>1788.498</v>
      </c>
      <c r="J50" s="20">
        <f t="shared" si="56"/>
        <v>228.56399999999999</v>
      </c>
      <c r="K50" s="20">
        <f t="shared" si="56"/>
        <v>986.69200000000001</v>
      </c>
      <c r="L50" s="20">
        <f t="shared" si="56"/>
        <v>156.72000000000003</v>
      </c>
      <c r="M50" s="20">
        <f t="shared" si="56"/>
        <v>0</v>
      </c>
      <c r="N50" s="20">
        <f t="shared" si="56"/>
        <v>0</v>
      </c>
      <c r="O50" s="20">
        <f t="shared" si="56"/>
        <v>17.141999999999999</v>
      </c>
      <c r="P50" s="20">
        <f t="shared" si="56"/>
        <v>0</v>
      </c>
      <c r="Q50" s="20">
        <f t="shared" si="50"/>
        <v>0</v>
      </c>
      <c r="R50" s="20">
        <f t="shared" si="50"/>
        <v>0</v>
      </c>
      <c r="S50" s="10">
        <f t="shared" si="39"/>
        <v>108825.75600000002</v>
      </c>
      <c r="T50" s="1093">
        <f t="shared" si="41"/>
        <v>30618.462</v>
      </c>
      <c r="U50" s="1093">
        <f t="shared" si="42"/>
        <v>9915.1440000000002</v>
      </c>
      <c r="V50" s="1093">
        <f t="shared" si="43"/>
        <v>4461.5660000000007</v>
      </c>
      <c r="W50" s="1093">
        <f t="shared" si="44"/>
        <v>1197.318</v>
      </c>
      <c r="X50" s="1093">
        <f t="shared" si="45"/>
        <v>59005.080000000009</v>
      </c>
      <c r="Y50" s="1093">
        <f t="shared" si="46"/>
        <v>3628.1859999999997</v>
      </c>
    </row>
    <row r="51" spans="2:25">
      <c r="B51" s="2" t="s">
        <v>98</v>
      </c>
      <c r="C51" s="20">
        <f t="shared" ref="C51:P51" si="57">C86*0.2</f>
        <v>15744.64</v>
      </c>
      <c r="D51" s="20">
        <f t="shared" si="57"/>
        <v>4687.9839999999995</v>
      </c>
      <c r="E51" s="20">
        <f t="shared" si="57"/>
        <v>2727.0640000000003</v>
      </c>
      <c r="F51" s="20">
        <f t="shared" si="57"/>
        <v>328.11000000000024</v>
      </c>
      <c r="G51" s="20">
        <f t="shared" si="57"/>
        <v>38180.909999999996</v>
      </c>
      <c r="H51" s="20">
        <f t="shared" si="57"/>
        <v>254.67</v>
      </c>
      <c r="I51" s="20">
        <f t="shared" si="57"/>
        <v>972.77800000000013</v>
      </c>
      <c r="J51" s="20">
        <f t="shared" si="57"/>
        <v>0</v>
      </c>
      <c r="K51" s="20">
        <f t="shared" si="57"/>
        <v>580.58199999999999</v>
      </c>
      <c r="L51" s="20">
        <f t="shared" si="57"/>
        <v>117.54000000000002</v>
      </c>
      <c r="M51" s="20">
        <f t="shared" si="57"/>
        <v>0</v>
      </c>
      <c r="N51" s="20">
        <f t="shared" si="57"/>
        <v>155.58000000000001</v>
      </c>
      <c r="O51" s="20">
        <f t="shared" si="57"/>
        <v>11.428000000000001</v>
      </c>
      <c r="P51" s="20">
        <f t="shared" si="57"/>
        <v>0</v>
      </c>
      <c r="Q51" s="20">
        <f t="shared" si="50"/>
        <v>3.6680000000000001</v>
      </c>
      <c r="R51" s="20">
        <f t="shared" si="50"/>
        <v>0</v>
      </c>
      <c r="S51" s="10">
        <f t="shared" si="39"/>
        <v>63764.953999999998</v>
      </c>
      <c r="T51" s="1093">
        <f t="shared" si="41"/>
        <v>15744.64</v>
      </c>
      <c r="U51" s="1093">
        <f t="shared" si="42"/>
        <v>4687.9839999999995</v>
      </c>
      <c r="V51" s="1093">
        <f t="shared" si="43"/>
        <v>2727.0640000000003</v>
      </c>
      <c r="W51" s="1093">
        <f t="shared" si="44"/>
        <v>328.11000000000024</v>
      </c>
      <c r="X51" s="1093">
        <f t="shared" si="45"/>
        <v>38180.909999999996</v>
      </c>
      <c r="Y51" s="1093">
        <f t="shared" si="46"/>
        <v>2096.2460000000001</v>
      </c>
    </row>
    <row r="52" spans="2:25">
      <c r="B52" s="2" t="s">
        <v>99</v>
      </c>
      <c r="C52" s="20">
        <f t="shared" ref="C52:P52" si="58">C87*0.2</f>
        <v>100860.724</v>
      </c>
      <c r="D52" s="20">
        <f t="shared" si="58"/>
        <v>21896.585999999988</v>
      </c>
      <c r="E52" s="20">
        <f t="shared" si="58"/>
        <v>10646.744000000001</v>
      </c>
      <c r="F52" s="20">
        <f t="shared" si="58"/>
        <v>2970.3100000000009</v>
      </c>
      <c r="G52" s="20">
        <f t="shared" si="58"/>
        <v>97518.88</v>
      </c>
      <c r="H52" s="20">
        <f t="shared" si="58"/>
        <v>979.5</v>
      </c>
      <c r="I52" s="20">
        <f t="shared" si="58"/>
        <v>4806.5420000000004</v>
      </c>
      <c r="J52" s="20">
        <f t="shared" si="58"/>
        <v>0</v>
      </c>
      <c r="K52" s="20">
        <f t="shared" si="58"/>
        <v>2934.8760000000002</v>
      </c>
      <c r="L52" s="20">
        <f t="shared" si="58"/>
        <v>587.70000000000005</v>
      </c>
      <c r="M52" s="20">
        <f t="shared" si="58"/>
        <v>0</v>
      </c>
      <c r="N52" s="20">
        <f t="shared" si="58"/>
        <v>0</v>
      </c>
      <c r="O52" s="20">
        <f t="shared" si="58"/>
        <v>68.567999999999998</v>
      </c>
      <c r="P52" s="20">
        <f t="shared" si="58"/>
        <v>0</v>
      </c>
      <c r="Q52" s="20">
        <f t="shared" si="50"/>
        <v>0</v>
      </c>
      <c r="R52" s="20">
        <f t="shared" si="50"/>
        <v>0</v>
      </c>
      <c r="S52" s="10">
        <f t="shared" si="39"/>
        <v>243270.43</v>
      </c>
      <c r="T52" s="1093">
        <f t="shared" si="41"/>
        <v>100860.724</v>
      </c>
      <c r="U52" s="1093">
        <f t="shared" si="42"/>
        <v>21896.585999999988</v>
      </c>
      <c r="V52" s="1093">
        <f t="shared" si="43"/>
        <v>10646.744000000001</v>
      </c>
      <c r="W52" s="1093">
        <f t="shared" si="44"/>
        <v>2970.3100000000009</v>
      </c>
      <c r="X52" s="1093">
        <f t="shared" si="45"/>
        <v>97518.88</v>
      </c>
      <c r="Y52" s="1093">
        <f t="shared" si="46"/>
        <v>9377.1860000000015</v>
      </c>
    </row>
    <row r="53" spans="2:25">
      <c r="B53" s="2" t="s">
        <v>100</v>
      </c>
      <c r="C53" s="20">
        <f t="shared" ref="C53:P53" si="59">C88*0.2</f>
        <v>15725.206</v>
      </c>
      <c r="D53" s="20">
        <f t="shared" si="59"/>
        <v>6904.3940000000002</v>
      </c>
      <c r="E53" s="20">
        <f t="shared" si="59"/>
        <v>2258.7020000000002</v>
      </c>
      <c r="F53" s="20">
        <f t="shared" si="59"/>
        <v>600.67599999999982</v>
      </c>
      <c r="G53" s="20">
        <f t="shared" si="59"/>
        <v>17807.310000000005</v>
      </c>
      <c r="H53" s="20">
        <f t="shared" si="59"/>
        <v>235.08000000000004</v>
      </c>
      <c r="I53" s="20">
        <f t="shared" si="59"/>
        <v>1364.5140000000001</v>
      </c>
      <c r="J53" s="20">
        <f t="shared" si="59"/>
        <v>0</v>
      </c>
      <c r="K53" s="20">
        <f t="shared" si="59"/>
        <v>908.53400000000011</v>
      </c>
      <c r="L53" s="20">
        <f t="shared" si="59"/>
        <v>78.360000000000014</v>
      </c>
      <c r="M53" s="20">
        <f t="shared" si="59"/>
        <v>0</v>
      </c>
      <c r="N53" s="20">
        <f t="shared" si="59"/>
        <v>0</v>
      </c>
      <c r="O53" s="20">
        <f t="shared" si="59"/>
        <v>5.7140000000000004</v>
      </c>
      <c r="P53" s="20">
        <f t="shared" si="59"/>
        <v>0</v>
      </c>
      <c r="Q53" s="20">
        <f t="shared" si="50"/>
        <v>0</v>
      </c>
      <c r="R53" s="20">
        <f t="shared" si="50"/>
        <v>0</v>
      </c>
      <c r="S53" s="10">
        <f t="shared" si="39"/>
        <v>45888.490000000005</v>
      </c>
      <c r="T53" s="1093">
        <f t="shared" si="41"/>
        <v>15725.206</v>
      </c>
      <c r="U53" s="1093">
        <f t="shared" si="42"/>
        <v>6904.3940000000002</v>
      </c>
      <c r="V53" s="1093">
        <f t="shared" si="43"/>
        <v>2258.7020000000002</v>
      </c>
      <c r="W53" s="1093">
        <f t="shared" si="44"/>
        <v>600.67599999999982</v>
      </c>
      <c r="X53" s="1093">
        <f t="shared" si="45"/>
        <v>17807.310000000005</v>
      </c>
      <c r="Y53" s="1093">
        <f t="shared" si="46"/>
        <v>2592.2020000000002</v>
      </c>
    </row>
    <row r="54" spans="2:25">
      <c r="B54" s="2" t="s">
        <v>101</v>
      </c>
      <c r="C54" s="20">
        <f t="shared" ref="C54:P54" si="60">C89*0.2</f>
        <v>20719.264000000003</v>
      </c>
      <c r="D54" s="20">
        <f t="shared" si="60"/>
        <v>5333.6200000000017</v>
      </c>
      <c r="E54" s="20">
        <f t="shared" si="60"/>
        <v>1551.3860000000002</v>
      </c>
      <c r="F54" s="20">
        <f t="shared" si="60"/>
        <v>265.4579999999998</v>
      </c>
      <c r="G54" s="20">
        <f t="shared" si="60"/>
        <v>19061.070000000003</v>
      </c>
      <c r="H54" s="20">
        <f t="shared" si="60"/>
        <v>78.360000000000014</v>
      </c>
      <c r="I54" s="20">
        <f t="shared" si="60"/>
        <v>874.43799999999999</v>
      </c>
      <c r="J54" s="20">
        <f t="shared" si="60"/>
        <v>0</v>
      </c>
      <c r="K54" s="20">
        <f t="shared" si="60"/>
        <v>641.31000000000006</v>
      </c>
      <c r="L54" s="20">
        <f t="shared" si="60"/>
        <v>19.590000000000003</v>
      </c>
      <c r="M54" s="20">
        <f t="shared" si="60"/>
        <v>0</v>
      </c>
      <c r="N54" s="20">
        <f t="shared" si="60"/>
        <v>0</v>
      </c>
      <c r="O54" s="20">
        <f t="shared" si="60"/>
        <v>0</v>
      </c>
      <c r="P54" s="20">
        <f t="shared" si="60"/>
        <v>0</v>
      </c>
      <c r="Q54" s="20">
        <f t="shared" si="50"/>
        <v>0</v>
      </c>
      <c r="R54" s="20">
        <f t="shared" si="50"/>
        <v>0</v>
      </c>
      <c r="S54" s="10">
        <f t="shared" si="39"/>
        <v>48544.496000000006</v>
      </c>
      <c r="T54" s="1093">
        <f t="shared" si="41"/>
        <v>20719.264000000003</v>
      </c>
      <c r="U54" s="1093">
        <f t="shared" si="42"/>
        <v>5333.6200000000017</v>
      </c>
      <c r="V54" s="1093">
        <f t="shared" si="43"/>
        <v>1551.3860000000002</v>
      </c>
      <c r="W54" s="1093">
        <f t="shared" si="44"/>
        <v>265.4579999999998</v>
      </c>
      <c r="X54" s="1093">
        <f t="shared" si="45"/>
        <v>19061.070000000003</v>
      </c>
      <c r="Y54" s="1093">
        <f t="shared" si="46"/>
        <v>1613.6980000000001</v>
      </c>
    </row>
    <row r="55" spans="2:25">
      <c r="B55" s="2" t="s">
        <v>102</v>
      </c>
      <c r="C55" s="20">
        <f t="shared" ref="C55:P55" si="61">C90*0.2</f>
        <v>80071.02</v>
      </c>
      <c r="D55" s="20">
        <f t="shared" si="61"/>
        <v>16060.216000000015</v>
      </c>
      <c r="E55" s="20">
        <f t="shared" si="61"/>
        <v>15243.772000000001</v>
      </c>
      <c r="F55" s="20">
        <f t="shared" si="61"/>
        <v>2602.3679999999995</v>
      </c>
      <c r="G55" s="20">
        <f t="shared" si="61"/>
        <v>139696.29</v>
      </c>
      <c r="H55" s="20">
        <f t="shared" si="61"/>
        <v>1978.5900000000001</v>
      </c>
      <c r="I55" s="20">
        <f t="shared" si="61"/>
        <v>2986.0320000000002</v>
      </c>
      <c r="J55" s="20">
        <f t="shared" si="61"/>
        <v>118.562</v>
      </c>
      <c r="K55" s="20">
        <f t="shared" si="61"/>
        <v>2532.6360000000004</v>
      </c>
      <c r="L55" s="20">
        <f t="shared" si="61"/>
        <v>999.09</v>
      </c>
      <c r="M55" s="20">
        <f t="shared" si="61"/>
        <v>0</v>
      </c>
      <c r="N55" s="20">
        <f t="shared" si="61"/>
        <v>0</v>
      </c>
      <c r="O55" s="20">
        <f t="shared" si="61"/>
        <v>17.141999999999999</v>
      </c>
      <c r="P55" s="20">
        <f t="shared" si="61"/>
        <v>0</v>
      </c>
      <c r="Q55" s="20">
        <f t="shared" si="50"/>
        <v>0</v>
      </c>
      <c r="R55" s="20">
        <f t="shared" si="50"/>
        <v>0</v>
      </c>
      <c r="S55" s="10">
        <f t="shared" si="39"/>
        <v>262305.71800000005</v>
      </c>
      <c r="T55" s="1093">
        <f t="shared" si="41"/>
        <v>80071.02</v>
      </c>
      <c r="U55" s="1093">
        <f t="shared" si="42"/>
        <v>16060.216000000015</v>
      </c>
      <c r="V55" s="1093">
        <f t="shared" si="43"/>
        <v>15243.772000000001</v>
      </c>
      <c r="W55" s="1093">
        <f t="shared" si="44"/>
        <v>2602.3679999999995</v>
      </c>
      <c r="X55" s="1093">
        <f t="shared" si="45"/>
        <v>139696.29</v>
      </c>
      <c r="Y55" s="1093">
        <f t="shared" si="46"/>
        <v>8632.0519999999997</v>
      </c>
    </row>
    <row r="56" spans="2:25">
      <c r="B56" s="2" t="s">
        <v>103</v>
      </c>
      <c r="C56" s="20">
        <f t="shared" ref="C56:P56" si="62">C91*0.2</f>
        <v>29870.248</v>
      </c>
      <c r="D56" s="20">
        <f t="shared" si="62"/>
        <v>6142.6760000000013</v>
      </c>
      <c r="E56" s="20">
        <f t="shared" si="62"/>
        <v>3597.6620000000003</v>
      </c>
      <c r="F56" s="20">
        <f t="shared" si="62"/>
        <v>399.26599999999962</v>
      </c>
      <c r="G56" s="20">
        <f t="shared" si="62"/>
        <v>28092.059999999998</v>
      </c>
      <c r="H56" s="20">
        <f t="shared" si="62"/>
        <v>293.85000000000002</v>
      </c>
      <c r="I56" s="20">
        <f t="shared" si="62"/>
        <v>1065.7680000000003</v>
      </c>
      <c r="J56" s="20">
        <f t="shared" si="62"/>
        <v>58.77000000000001</v>
      </c>
      <c r="K56" s="20">
        <f t="shared" si="62"/>
        <v>1038.172</v>
      </c>
      <c r="L56" s="20">
        <f t="shared" si="62"/>
        <v>156.72000000000003</v>
      </c>
      <c r="M56" s="20">
        <f t="shared" si="62"/>
        <v>0</v>
      </c>
      <c r="N56" s="20">
        <f t="shared" si="62"/>
        <v>0</v>
      </c>
      <c r="O56" s="20">
        <f t="shared" si="62"/>
        <v>22.856000000000002</v>
      </c>
      <c r="P56" s="20">
        <f t="shared" si="62"/>
        <v>0</v>
      </c>
      <c r="Q56" s="20">
        <f t="shared" si="50"/>
        <v>0</v>
      </c>
      <c r="R56" s="20">
        <f t="shared" si="50"/>
        <v>0</v>
      </c>
      <c r="S56" s="10">
        <f t="shared" si="39"/>
        <v>70738.04800000001</v>
      </c>
      <c r="T56" s="1093">
        <f t="shared" si="41"/>
        <v>29870.248</v>
      </c>
      <c r="U56" s="1093">
        <f t="shared" si="42"/>
        <v>6142.6760000000013</v>
      </c>
      <c r="V56" s="1093">
        <f t="shared" si="43"/>
        <v>3597.6620000000003</v>
      </c>
      <c r="W56" s="1093">
        <f t="shared" si="44"/>
        <v>399.26599999999962</v>
      </c>
      <c r="X56" s="1093">
        <f t="shared" si="45"/>
        <v>28092.059999999998</v>
      </c>
      <c r="Y56" s="1093">
        <f t="shared" si="46"/>
        <v>2636.1360000000009</v>
      </c>
    </row>
    <row r="57" spans="2:25">
      <c r="B57" s="2" t="s">
        <v>104</v>
      </c>
      <c r="C57" s="20">
        <f t="shared" ref="C57:P57" si="63">C92*0.2</f>
        <v>9989.3179999999993</v>
      </c>
      <c r="D57" s="20">
        <f t="shared" si="63"/>
        <v>2049.1660000000006</v>
      </c>
      <c r="E57" s="20">
        <f t="shared" si="63"/>
        <v>1418.8420000000001</v>
      </c>
      <c r="F57" s="20">
        <f t="shared" si="63"/>
        <v>60.379999999999932</v>
      </c>
      <c r="G57" s="20">
        <f t="shared" si="63"/>
        <v>9422.7900000000009</v>
      </c>
      <c r="H57" s="20">
        <f t="shared" si="63"/>
        <v>450.57</v>
      </c>
      <c r="I57" s="20">
        <f t="shared" si="63"/>
        <v>436.21400000000006</v>
      </c>
      <c r="J57" s="20">
        <f t="shared" si="63"/>
        <v>58.77000000000001</v>
      </c>
      <c r="K57" s="20">
        <f t="shared" si="63"/>
        <v>472.08400000000006</v>
      </c>
      <c r="L57" s="20">
        <f t="shared" si="63"/>
        <v>0</v>
      </c>
      <c r="M57" s="20">
        <f t="shared" si="63"/>
        <v>0</v>
      </c>
      <c r="N57" s="20">
        <f t="shared" si="63"/>
        <v>0</v>
      </c>
      <c r="O57" s="20">
        <f t="shared" si="63"/>
        <v>5.7140000000000004</v>
      </c>
      <c r="P57" s="20">
        <f t="shared" si="63"/>
        <v>0</v>
      </c>
      <c r="Q57" s="20">
        <v>0</v>
      </c>
      <c r="R57" s="20">
        <v>0</v>
      </c>
      <c r="S57" s="10">
        <f t="shared" si="39"/>
        <v>24363.847999999998</v>
      </c>
      <c r="T57" s="1093">
        <f t="shared" si="41"/>
        <v>9989.3179999999993</v>
      </c>
      <c r="U57" s="1093">
        <f t="shared" si="42"/>
        <v>2049.1660000000006</v>
      </c>
      <c r="V57" s="1093">
        <f t="shared" si="43"/>
        <v>1418.8420000000001</v>
      </c>
      <c r="W57" s="1093">
        <f t="shared" si="44"/>
        <v>60.379999999999932</v>
      </c>
      <c r="X57" s="1093">
        <f t="shared" si="45"/>
        <v>9422.7900000000009</v>
      </c>
      <c r="Y57" s="1093">
        <f t="shared" si="46"/>
        <v>1423.3520000000001</v>
      </c>
    </row>
    <row r="58" spans="2:25">
      <c r="B58" s="2" t="s">
        <v>105</v>
      </c>
      <c r="C58" s="20">
        <f t="shared" ref="C58:P58" si="64">C93*0.2</f>
        <v>97420.622000000003</v>
      </c>
      <c r="D58" s="20">
        <f t="shared" si="64"/>
        <v>17386.220000000019</v>
      </c>
      <c r="E58" s="20">
        <f t="shared" si="64"/>
        <v>14293.682000000001</v>
      </c>
      <c r="F58" s="20">
        <f t="shared" si="64"/>
        <v>1460.1899999999996</v>
      </c>
      <c r="G58" s="20">
        <f t="shared" si="64"/>
        <v>92894.504000000015</v>
      </c>
      <c r="H58" s="20">
        <f t="shared" si="64"/>
        <v>1861.0500000000002</v>
      </c>
      <c r="I58" s="20">
        <f t="shared" si="64"/>
        <v>4050.6399999999994</v>
      </c>
      <c r="J58" s="20">
        <f t="shared" si="64"/>
        <v>269.084</v>
      </c>
      <c r="K58" s="20">
        <f t="shared" si="64"/>
        <v>2451.6419999999998</v>
      </c>
      <c r="L58" s="20">
        <f t="shared" si="64"/>
        <v>352.62</v>
      </c>
      <c r="M58" s="20">
        <f t="shared" si="64"/>
        <v>117.54000000000002</v>
      </c>
      <c r="N58" s="20">
        <f t="shared" si="64"/>
        <v>0</v>
      </c>
      <c r="O58" s="20">
        <f t="shared" si="64"/>
        <v>108.56600000000002</v>
      </c>
      <c r="P58" s="20">
        <f t="shared" si="64"/>
        <v>0</v>
      </c>
      <c r="Q58" s="20">
        <f t="shared" ref="Q58:R63" si="65">Q93*0.2</f>
        <v>0</v>
      </c>
      <c r="R58" s="20">
        <f t="shared" si="65"/>
        <v>0</v>
      </c>
      <c r="S58" s="10">
        <f t="shared" si="39"/>
        <v>232666.36000000004</v>
      </c>
      <c r="T58" s="1093">
        <f t="shared" si="41"/>
        <v>97420.622000000003</v>
      </c>
      <c r="U58" s="1093">
        <f t="shared" si="42"/>
        <v>17386.220000000019</v>
      </c>
      <c r="V58" s="1093">
        <f t="shared" si="43"/>
        <v>14293.682000000001</v>
      </c>
      <c r="W58" s="1093">
        <f t="shared" si="44"/>
        <v>1460.1899999999996</v>
      </c>
      <c r="X58" s="1093">
        <f t="shared" si="45"/>
        <v>92894.504000000015</v>
      </c>
      <c r="Y58" s="1093">
        <f t="shared" si="46"/>
        <v>9211.1420000000016</v>
      </c>
    </row>
    <row r="59" spans="2:25">
      <c r="B59" s="2" t="s">
        <v>106</v>
      </c>
      <c r="C59" s="20">
        <f t="shared" ref="C59:P59" si="66">C94*0.2</f>
        <v>15748.064000000002</v>
      </c>
      <c r="D59" s="20">
        <f t="shared" si="66"/>
        <v>4237.5299999999961</v>
      </c>
      <c r="E59" s="20">
        <f t="shared" si="66"/>
        <v>1828.1959999999999</v>
      </c>
      <c r="F59" s="20">
        <f t="shared" si="66"/>
        <v>289.21000000000021</v>
      </c>
      <c r="G59" s="20">
        <f t="shared" si="66"/>
        <v>16416.420000000002</v>
      </c>
      <c r="H59" s="20">
        <f t="shared" si="66"/>
        <v>274.26</v>
      </c>
      <c r="I59" s="20">
        <f t="shared" si="66"/>
        <v>721.63400000000001</v>
      </c>
      <c r="J59" s="20">
        <f t="shared" si="66"/>
        <v>0</v>
      </c>
      <c r="K59" s="20">
        <f t="shared" si="66"/>
        <v>450.8</v>
      </c>
      <c r="L59" s="20">
        <f t="shared" si="66"/>
        <v>0</v>
      </c>
      <c r="M59" s="20">
        <f t="shared" si="66"/>
        <v>0</v>
      </c>
      <c r="N59" s="20">
        <f t="shared" si="66"/>
        <v>0</v>
      </c>
      <c r="O59" s="20">
        <f t="shared" si="66"/>
        <v>5.7140000000000004</v>
      </c>
      <c r="P59" s="20">
        <f t="shared" si="66"/>
        <v>0</v>
      </c>
      <c r="Q59" s="20">
        <f t="shared" si="65"/>
        <v>0</v>
      </c>
      <c r="R59" s="20">
        <f t="shared" si="65"/>
        <v>0</v>
      </c>
      <c r="S59" s="10">
        <f t="shared" si="39"/>
        <v>39971.828000000001</v>
      </c>
      <c r="T59" s="1093">
        <f t="shared" si="41"/>
        <v>15748.064000000002</v>
      </c>
      <c r="U59" s="1093">
        <f t="shared" si="42"/>
        <v>4237.5299999999961</v>
      </c>
      <c r="V59" s="1093">
        <f t="shared" si="43"/>
        <v>1828.1959999999999</v>
      </c>
      <c r="W59" s="1093">
        <f t="shared" si="44"/>
        <v>289.21000000000021</v>
      </c>
      <c r="X59" s="1093">
        <f t="shared" si="45"/>
        <v>16416.420000000002</v>
      </c>
      <c r="Y59" s="1093">
        <f t="shared" si="46"/>
        <v>1452.4079999999999</v>
      </c>
    </row>
    <row r="60" spans="2:25">
      <c r="B60" s="2" t="s">
        <v>107</v>
      </c>
      <c r="C60" s="20">
        <f t="shared" ref="C60:P60" si="67">C95*0.2</f>
        <v>103062.98800000001</v>
      </c>
      <c r="D60" s="20">
        <f t="shared" si="67"/>
        <v>17656.878000000015</v>
      </c>
      <c r="E60" s="20">
        <f t="shared" si="67"/>
        <v>16635.562000000002</v>
      </c>
      <c r="F60" s="20">
        <f t="shared" si="67"/>
        <v>3226.4260000000013</v>
      </c>
      <c r="G60" s="20">
        <f t="shared" si="67"/>
        <v>158463.51000000004</v>
      </c>
      <c r="H60" s="20">
        <f t="shared" si="67"/>
        <v>1097.04</v>
      </c>
      <c r="I60" s="20">
        <f t="shared" si="67"/>
        <v>3518.6180000000008</v>
      </c>
      <c r="J60" s="20">
        <f t="shared" si="67"/>
        <v>57.14</v>
      </c>
      <c r="K60" s="20">
        <f t="shared" si="67"/>
        <v>3043.8919999999998</v>
      </c>
      <c r="L60" s="20">
        <f t="shared" si="67"/>
        <v>1273.3500000000001</v>
      </c>
      <c r="M60" s="20">
        <f t="shared" si="67"/>
        <v>39.180000000000007</v>
      </c>
      <c r="N60" s="20">
        <f t="shared" si="67"/>
        <v>0</v>
      </c>
      <c r="O60" s="20">
        <f t="shared" si="67"/>
        <v>51.426000000000002</v>
      </c>
      <c r="P60" s="20">
        <f t="shared" si="67"/>
        <v>0</v>
      </c>
      <c r="Q60" s="20">
        <f t="shared" si="65"/>
        <v>0</v>
      </c>
      <c r="R60" s="20">
        <f t="shared" si="65"/>
        <v>0</v>
      </c>
      <c r="S60" s="10">
        <f t="shared" si="39"/>
        <v>308126.01</v>
      </c>
      <c r="T60" s="1093">
        <f t="shared" si="41"/>
        <v>103062.98800000001</v>
      </c>
      <c r="U60" s="1093">
        <f t="shared" si="42"/>
        <v>17656.878000000015</v>
      </c>
      <c r="V60" s="1093">
        <f t="shared" si="43"/>
        <v>16635.562000000002</v>
      </c>
      <c r="W60" s="1093">
        <f t="shared" si="44"/>
        <v>3226.4260000000013</v>
      </c>
      <c r="X60" s="1093">
        <f t="shared" si="45"/>
        <v>158463.51000000004</v>
      </c>
      <c r="Y60" s="1093">
        <f t="shared" si="46"/>
        <v>9080.6460000000006</v>
      </c>
    </row>
    <row r="61" spans="2:25">
      <c r="B61" s="2" t="s">
        <v>108</v>
      </c>
      <c r="C61" s="20">
        <f t="shared" ref="C61:P61" si="68">C96*0.2</f>
        <v>6267.4140000000007</v>
      </c>
      <c r="D61" s="20">
        <f t="shared" si="68"/>
        <v>1201.6820000000007</v>
      </c>
      <c r="E61" s="20">
        <f t="shared" si="68"/>
        <v>857.44</v>
      </c>
      <c r="F61" s="20">
        <f t="shared" si="68"/>
        <v>167.94000000000017</v>
      </c>
      <c r="G61" s="20">
        <f t="shared" si="68"/>
        <v>19021.89</v>
      </c>
      <c r="H61" s="20">
        <f t="shared" si="68"/>
        <v>137.13</v>
      </c>
      <c r="I61" s="20">
        <f t="shared" si="68"/>
        <v>177.25200000000001</v>
      </c>
      <c r="J61" s="20">
        <f t="shared" si="68"/>
        <v>0</v>
      </c>
      <c r="K61" s="20">
        <f t="shared" si="68"/>
        <v>242.708</v>
      </c>
      <c r="L61" s="20">
        <f t="shared" si="68"/>
        <v>58.77000000000001</v>
      </c>
      <c r="M61" s="20">
        <f t="shared" si="68"/>
        <v>0</v>
      </c>
      <c r="N61" s="20">
        <f t="shared" si="68"/>
        <v>0</v>
      </c>
      <c r="O61" s="20">
        <f t="shared" si="68"/>
        <v>0</v>
      </c>
      <c r="P61" s="20">
        <f t="shared" si="68"/>
        <v>0</v>
      </c>
      <c r="Q61" s="20">
        <f t="shared" si="65"/>
        <v>0</v>
      </c>
      <c r="R61" s="20">
        <f t="shared" si="65"/>
        <v>0</v>
      </c>
      <c r="S61" s="10">
        <f t="shared" si="39"/>
        <v>28132.226000000002</v>
      </c>
      <c r="T61" s="1093">
        <f t="shared" si="41"/>
        <v>6267.4140000000007</v>
      </c>
      <c r="U61" s="1093">
        <f t="shared" si="42"/>
        <v>1201.6820000000007</v>
      </c>
      <c r="V61" s="1093">
        <f t="shared" si="43"/>
        <v>857.44</v>
      </c>
      <c r="W61" s="1093">
        <f t="shared" si="44"/>
        <v>167.94000000000017</v>
      </c>
      <c r="X61" s="1093">
        <f t="shared" si="45"/>
        <v>19021.89</v>
      </c>
      <c r="Y61" s="1093">
        <f t="shared" si="46"/>
        <v>615.86</v>
      </c>
    </row>
    <row r="62" spans="2:25">
      <c r="B62" s="2" t="s">
        <v>109</v>
      </c>
      <c r="C62" s="20">
        <f t="shared" ref="C62:P62" si="69">C97*0.2</f>
        <v>711.40800000000002</v>
      </c>
      <c r="D62" s="20">
        <f t="shared" si="69"/>
        <v>142.1</v>
      </c>
      <c r="E62" s="20">
        <f t="shared" si="69"/>
        <v>45.713999999999999</v>
      </c>
      <c r="F62" s="20">
        <f t="shared" si="69"/>
        <v>18.425999999999998</v>
      </c>
      <c r="G62" s="20">
        <f t="shared" si="69"/>
        <v>2350.8000000000002</v>
      </c>
      <c r="H62" s="20">
        <f t="shared" si="69"/>
        <v>97.95</v>
      </c>
      <c r="I62" s="20">
        <f t="shared" si="69"/>
        <v>25.803999999999998</v>
      </c>
      <c r="J62" s="20">
        <f t="shared" si="69"/>
        <v>0</v>
      </c>
      <c r="K62" s="20">
        <f t="shared" si="69"/>
        <v>43.498000000000005</v>
      </c>
      <c r="L62" s="20">
        <f t="shared" si="69"/>
        <v>0</v>
      </c>
      <c r="M62" s="20">
        <f t="shared" si="69"/>
        <v>0</v>
      </c>
      <c r="N62" s="20">
        <f t="shared" si="69"/>
        <v>0</v>
      </c>
      <c r="O62" s="20">
        <f t="shared" si="69"/>
        <v>0</v>
      </c>
      <c r="P62" s="20">
        <f t="shared" si="69"/>
        <v>0</v>
      </c>
      <c r="Q62" s="20">
        <f t="shared" si="65"/>
        <v>0</v>
      </c>
      <c r="R62" s="20">
        <f t="shared" si="65"/>
        <v>0</v>
      </c>
      <c r="S62" s="10">
        <f t="shared" si="39"/>
        <v>3435.7000000000003</v>
      </c>
      <c r="T62" s="1093">
        <f t="shared" si="41"/>
        <v>711.40800000000002</v>
      </c>
      <c r="U62" s="1093">
        <f t="shared" si="42"/>
        <v>142.1</v>
      </c>
      <c r="V62" s="1093">
        <f t="shared" si="43"/>
        <v>45.713999999999999</v>
      </c>
      <c r="W62" s="1093">
        <f t="shared" si="44"/>
        <v>18.425999999999998</v>
      </c>
      <c r="X62" s="1093">
        <f t="shared" si="45"/>
        <v>2350.8000000000002</v>
      </c>
      <c r="Y62" s="1093">
        <f t="shared" si="46"/>
        <v>167.25200000000001</v>
      </c>
    </row>
    <row r="63" spans="2:25">
      <c r="B63" s="2" t="s">
        <v>110</v>
      </c>
      <c r="C63" s="20">
        <f t="shared" ref="C63:P63" si="70">C98*0.2</f>
        <v>74381.67</v>
      </c>
      <c r="D63" s="20">
        <f t="shared" si="70"/>
        <v>9201.2580000000071</v>
      </c>
      <c r="E63" s="20">
        <f t="shared" si="70"/>
        <v>10959.732000000002</v>
      </c>
      <c r="F63" s="20">
        <f t="shared" si="70"/>
        <v>975.32799999999997</v>
      </c>
      <c r="G63" s="20">
        <f t="shared" si="70"/>
        <v>106040.67</v>
      </c>
      <c r="H63" s="20">
        <f t="shared" si="70"/>
        <v>803.19</v>
      </c>
      <c r="I63" s="20">
        <f t="shared" si="70"/>
        <v>1856.1560000000002</v>
      </c>
      <c r="J63" s="20">
        <f t="shared" si="70"/>
        <v>0</v>
      </c>
      <c r="K63" s="20">
        <f t="shared" si="70"/>
        <v>1564.972</v>
      </c>
      <c r="L63" s="20">
        <f t="shared" si="70"/>
        <v>137.13</v>
      </c>
      <c r="M63" s="20">
        <f t="shared" si="70"/>
        <v>0</v>
      </c>
      <c r="N63" s="20">
        <f t="shared" si="70"/>
        <v>0</v>
      </c>
      <c r="O63" s="20">
        <f t="shared" si="70"/>
        <v>11.428000000000001</v>
      </c>
      <c r="P63" s="20">
        <f t="shared" si="70"/>
        <v>0</v>
      </c>
      <c r="Q63" s="20">
        <f t="shared" si="65"/>
        <v>0</v>
      </c>
      <c r="R63" s="20">
        <f t="shared" si="65"/>
        <v>0</v>
      </c>
      <c r="S63" s="10">
        <f t="shared" si="39"/>
        <v>205931.53400000001</v>
      </c>
      <c r="T63" s="1093">
        <f t="shared" si="41"/>
        <v>74381.67</v>
      </c>
      <c r="U63" s="1093">
        <f t="shared" si="42"/>
        <v>9201.2580000000071</v>
      </c>
      <c r="V63" s="1093">
        <f t="shared" si="43"/>
        <v>10959.732000000002</v>
      </c>
      <c r="W63" s="1093">
        <f t="shared" si="44"/>
        <v>975.32799999999997</v>
      </c>
      <c r="X63" s="1093">
        <f t="shared" si="45"/>
        <v>106040.67</v>
      </c>
      <c r="Y63" s="1093">
        <f t="shared" si="46"/>
        <v>4372.8760000000002</v>
      </c>
    </row>
    <row r="64" spans="2:25">
      <c r="B64" s="2" t="s">
        <v>111</v>
      </c>
      <c r="C64" s="20">
        <f t="shared" ref="C64:P64" si="71">C99*0.2</f>
        <v>318275.75400000002</v>
      </c>
      <c r="D64" s="20">
        <f t="shared" si="71"/>
        <v>80737.991999999998</v>
      </c>
      <c r="E64" s="20">
        <f t="shared" si="71"/>
        <v>35284.205999999998</v>
      </c>
      <c r="F64" s="20">
        <f t="shared" si="71"/>
        <v>12709.874</v>
      </c>
      <c r="G64" s="20">
        <f t="shared" si="71"/>
        <v>561566.80000000005</v>
      </c>
      <c r="H64" s="20">
        <f t="shared" si="71"/>
        <v>4466.5199999999995</v>
      </c>
      <c r="I64" s="20">
        <f t="shared" si="71"/>
        <v>22873.938000000006</v>
      </c>
      <c r="J64" s="20">
        <f t="shared" si="71"/>
        <v>0</v>
      </c>
      <c r="K64" s="20">
        <f t="shared" si="71"/>
        <v>10312.864</v>
      </c>
      <c r="L64" s="20">
        <f t="shared" si="71"/>
        <v>1606.38</v>
      </c>
      <c r="M64" s="20">
        <f t="shared" si="71"/>
        <v>117.54000000000002</v>
      </c>
      <c r="N64" s="20">
        <f t="shared" si="71"/>
        <v>0</v>
      </c>
      <c r="O64" s="20">
        <f t="shared" si="71"/>
        <v>308.55600000000004</v>
      </c>
      <c r="P64" s="20">
        <f t="shared" si="71"/>
        <v>0</v>
      </c>
      <c r="Q64" s="20">
        <v>0</v>
      </c>
      <c r="R64" s="20">
        <v>0</v>
      </c>
      <c r="S64" s="10">
        <f t="shared" si="39"/>
        <v>1048260.4240000001</v>
      </c>
      <c r="T64" s="1093">
        <f t="shared" si="41"/>
        <v>318275.75400000002</v>
      </c>
      <c r="U64" s="1093">
        <f t="shared" si="42"/>
        <v>80737.991999999998</v>
      </c>
      <c r="V64" s="1093">
        <f t="shared" si="43"/>
        <v>35284.205999999998</v>
      </c>
      <c r="W64" s="1093">
        <f t="shared" si="44"/>
        <v>12709.874</v>
      </c>
      <c r="X64" s="1093">
        <f t="shared" si="45"/>
        <v>561566.80000000005</v>
      </c>
      <c r="Y64" s="1093">
        <f t="shared" si="46"/>
        <v>39685.798000000003</v>
      </c>
    </row>
    <row r="65" spans="2:25">
      <c r="B65" s="2" t="s">
        <v>112</v>
      </c>
      <c r="C65" s="20">
        <f t="shared" ref="C65:P65" si="72">C100*0.2</f>
        <v>10496.304</v>
      </c>
      <c r="D65" s="20">
        <f t="shared" si="72"/>
        <v>3733.5640000000003</v>
      </c>
      <c r="E65" s="20">
        <f t="shared" si="72"/>
        <v>731.79200000000003</v>
      </c>
      <c r="F65" s="20">
        <f t="shared" si="72"/>
        <v>39.517999999999944</v>
      </c>
      <c r="G65" s="20">
        <f t="shared" si="72"/>
        <v>11323.02</v>
      </c>
      <c r="H65" s="20">
        <f t="shared" si="72"/>
        <v>195.9</v>
      </c>
      <c r="I65" s="20">
        <f t="shared" si="72"/>
        <v>509.11400000000003</v>
      </c>
      <c r="J65" s="20">
        <f t="shared" si="72"/>
        <v>341.13600000000002</v>
      </c>
      <c r="K65" s="20">
        <f t="shared" si="72"/>
        <v>513.61199999999997</v>
      </c>
      <c r="L65" s="20">
        <f t="shared" si="72"/>
        <v>97.95</v>
      </c>
      <c r="M65" s="20">
        <f t="shared" si="72"/>
        <v>0</v>
      </c>
      <c r="N65" s="20">
        <f t="shared" si="72"/>
        <v>0</v>
      </c>
      <c r="O65" s="20">
        <f t="shared" si="72"/>
        <v>0</v>
      </c>
      <c r="P65" s="20">
        <f t="shared" si="72"/>
        <v>0</v>
      </c>
      <c r="Q65" s="20">
        <f>Q100*0.2</f>
        <v>0</v>
      </c>
      <c r="R65" s="20">
        <f>R100*0.2</f>
        <v>0</v>
      </c>
      <c r="S65" s="10">
        <f t="shared" si="39"/>
        <v>27981.910000000003</v>
      </c>
      <c r="T65" s="1093">
        <f t="shared" si="41"/>
        <v>10496.304</v>
      </c>
      <c r="U65" s="1093">
        <f t="shared" si="42"/>
        <v>3733.5640000000003</v>
      </c>
      <c r="V65" s="1093">
        <f t="shared" si="43"/>
        <v>731.79200000000003</v>
      </c>
      <c r="W65" s="1093">
        <f t="shared" si="44"/>
        <v>39.517999999999944</v>
      </c>
      <c r="X65" s="1093">
        <f t="shared" si="45"/>
        <v>11323.02</v>
      </c>
      <c r="Y65" s="1093">
        <f t="shared" si="46"/>
        <v>1657.7120000000002</v>
      </c>
    </row>
    <row r="66" spans="2:25">
      <c r="B66" s="2" t="s">
        <v>113</v>
      </c>
      <c r="C66" s="20">
        <f t="shared" ref="C66:P66" si="73">C101*0.2</f>
        <v>7989.076</v>
      </c>
      <c r="D66" s="20">
        <f t="shared" si="73"/>
        <v>1408.8240000000005</v>
      </c>
      <c r="E66" s="20">
        <f t="shared" si="73"/>
        <v>980.92600000000004</v>
      </c>
      <c r="F66" s="20">
        <f t="shared" si="73"/>
        <v>157.03800000000012</v>
      </c>
      <c r="G66" s="20">
        <f t="shared" si="73"/>
        <v>9501.15</v>
      </c>
      <c r="H66" s="20">
        <f t="shared" si="73"/>
        <v>137.13000000000002</v>
      </c>
      <c r="I66" s="20">
        <f t="shared" si="73"/>
        <v>271.23999999999995</v>
      </c>
      <c r="J66" s="20">
        <f t="shared" si="73"/>
        <v>0</v>
      </c>
      <c r="K66" s="20">
        <f t="shared" si="73"/>
        <v>299.56599999999997</v>
      </c>
      <c r="L66" s="20">
        <f t="shared" si="73"/>
        <v>78.360000000000014</v>
      </c>
      <c r="M66" s="20">
        <f t="shared" si="73"/>
        <v>0</v>
      </c>
      <c r="N66" s="20">
        <f t="shared" si="73"/>
        <v>0</v>
      </c>
      <c r="O66" s="20">
        <f t="shared" si="73"/>
        <v>0</v>
      </c>
      <c r="P66" s="20">
        <f t="shared" si="73"/>
        <v>0</v>
      </c>
      <c r="Q66" s="20">
        <f>Q101*0.2</f>
        <v>7.25</v>
      </c>
      <c r="R66" s="20">
        <f>R101*0.2</f>
        <v>72.492000000000004</v>
      </c>
      <c r="S66" s="10">
        <f t="shared" si="39"/>
        <v>20903.052000000003</v>
      </c>
      <c r="T66" s="1093">
        <f t="shared" si="41"/>
        <v>7989.076</v>
      </c>
      <c r="U66" s="1093">
        <f t="shared" si="42"/>
        <v>1408.8240000000005</v>
      </c>
      <c r="V66" s="1093">
        <f t="shared" si="43"/>
        <v>980.92600000000004</v>
      </c>
      <c r="W66" s="1093">
        <f t="shared" si="44"/>
        <v>157.03800000000012</v>
      </c>
      <c r="X66" s="1093">
        <f t="shared" si="45"/>
        <v>9501.15</v>
      </c>
      <c r="Y66" s="1093">
        <f t="shared" si="46"/>
        <v>866.0379999999999</v>
      </c>
    </row>
    <row r="67" spans="2:25">
      <c r="B67" s="7" t="s">
        <v>37</v>
      </c>
      <c r="C67" s="8">
        <f t="shared" ref="C67:T67" si="74">SUM(C40:C66)</f>
        <v>1148706.3840000001</v>
      </c>
      <c r="D67" s="8">
        <f t="shared" si="74"/>
        <v>249349.89400000003</v>
      </c>
      <c r="E67" s="8">
        <f t="shared" si="74"/>
        <v>147816.73200000002</v>
      </c>
      <c r="F67" s="8">
        <f t="shared" si="74"/>
        <v>31412.296000000002</v>
      </c>
      <c r="G67" s="8">
        <f t="shared" si="74"/>
        <v>1604536.9840000002</v>
      </c>
      <c r="H67" s="8">
        <f t="shared" si="74"/>
        <v>16925.760000000002</v>
      </c>
      <c r="I67" s="8">
        <f t="shared" si="74"/>
        <v>56537.82</v>
      </c>
      <c r="J67" s="8">
        <f t="shared" si="74"/>
        <v>1806.922</v>
      </c>
      <c r="K67" s="8">
        <f t="shared" si="74"/>
        <v>35409.131999999998</v>
      </c>
      <c r="L67" s="8">
        <f t="shared" si="74"/>
        <v>6680.1900000000005</v>
      </c>
      <c r="M67" s="8">
        <f t="shared" si="74"/>
        <v>352.62000000000006</v>
      </c>
      <c r="N67" s="8">
        <f t="shared" si="74"/>
        <v>233.70800000000003</v>
      </c>
      <c r="O67" s="8">
        <f t="shared" si="74"/>
        <v>708.53600000000006</v>
      </c>
      <c r="P67" s="8">
        <f t="shared" si="74"/>
        <v>0</v>
      </c>
      <c r="Q67" s="8">
        <f t="shared" si="74"/>
        <v>10.917999999999999</v>
      </c>
      <c r="R67" s="8">
        <f t="shared" si="74"/>
        <v>72.492000000000004</v>
      </c>
      <c r="S67" s="11">
        <f t="shared" si="74"/>
        <v>3300560.3880000007</v>
      </c>
      <c r="T67" s="1093">
        <f t="shared" si="74"/>
        <v>1148706.3840000001</v>
      </c>
      <c r="U67" s="1093">
        <f t="shared" ref="U67:X67" si="75">SUM(U40:U66)</f>
        <v>249349.89400000003</v>
      </c>
      <c r="V67" s="1093">
        <f t="shared" si="75"/>
        <v>147816.73200000002</v>
      </c>
      <c r="W67" s="1093">
        <f t="shared" si="75"/>
        <v>31412.296000000002</v>
      </c>
      <c r="X67" s="1093">
        <f t="shared" si="75"/>
        <v>1604536.9840000002</v>
      </c>
      <c r="Y67" s="1093">
        <f>SUM(Y40:Y66)</f>
        <v>118738.098</v>
      </c>
    </row>
    <row r="68" spans="2:25">
      <c r="B68" s="1080" t="s">
        <v>49</v>
      </c>
      <c r="C68" s="1084"/>
      <c r="D68" s="1084"/>
      <c r="E68" s="1084"/>
      <c r="F68" s="1084"/>
      <c r="G68" s="1084"/>
      <c r="H68" s="1084"/>
      <c r="I68" s="1084"/>
      <c r="J68" s="1084"/>
      <c r="K68" s="1084"/>
      <c r="L68" s="1084"/>
      <c r="M68" s="1084"/>
      <c r="N68" s="1084"/>
      <c r="O68" s="1084"/>
      <c r="P68" s="1084"/>
      <c r="Q68" s="1084"/>
      <c r="R68" s="1084"/>
      <c r="S68" s="1085"/>
    </row>
    <row r="69" spans="2:25">
      <c r="B69" s="1088"/>
      <c r="C69" s="1088"/>
      <c r="D69" s="1089"/>
      <c r="E69" s="1089"/>
      <c r="F69" s="1089"/>
      <c r="G69" s="1089"/>
      <c r="H69" s="1089"/>
      <c r="I69" s="1089"/>
      <c r="J69" s="1089"/>
      <c r="K69" s="1089"/>
      <c r="L69" s="1089"/>
      <c r="S69" s="1090"/>
    </row>
    <row r="70" spans="2:25">
      <c r="B70" s="1087"/>
      <c r="M70" s="605"/>
      <c r="N70" s="605"/>
      <c r="O70" s="605"/>
      <c r="P70" s="605"/>
      <c r="Q70" s="605"/>
      <c r="R70" s="605"/>
    </row>
    <row r="71" spans="2:25">
      <c r="B71" s="1087"/>
    </row>
    <row r="72" spans="2:25" ht="46.5">
      <c r="B72" s="1220" t="s">
        <v>47</v>
      </c>
      <c r="C72" s="1221"/>
      <c r="D72" s="1221"/>
      <c r="E72" s="1221"/>
      <c r="F72" s="1221"/>
      <c r="G72" s="1221"/>
      <c r="H72" s="1221"/>
      <c r="I72" s="1221"/>
      <c r="J72" s="1221"/>
      <c r="K72" s="1221"/>
      <c r="L72" s="1221"/>
      <c r="M72" s="1221"/>
      <c r="N72" s="1221"/>
      <c r="O72" s="1221"/>
      <c r="P72" s="1221"/>
      <c r="Q72" s="1221"/>
      <c r="R72" s="1221"/>
      <c r="S72" s="1222"/>
    </row>
    <row r="73" spans="2:25" s="1104" customFormat="1" ht="35.1" customHeight="1">
      <c r="B73" s="1226" t="s">
        <v>33</v>
      </c>
      <c r="C73" s="1228" t="s">
        <v>27</v>
      </c>
      <c r="D73" s="1229"/>
      <c r="E73" s="1228" t="s">
        <v>29</v>
      </c>
      <c r="F73" s="1229"/>
      <c r="G73" s="1226" t="s">
        <v>28</v>
      </c>
      <c r="H73" s="1226" t="s">
        <v>36</v>
      </c>
      <c r="I73" s="1226" t="s">
        <v>30</v>
      </c>
      <c r="J73" s="1226" t="s">
        <v>31</v>
      </c>
      <c r="K73" s="1226" t="s">
        <v>41</v>
      </c>
      <c r="L73" s="1226" t="s">
        <v>35</v>
      </c>
      <c r="M73" s="1226" t="s">
        <v>40</v>
      </c>
      <c r="N73" s="1226" t="s">
        <v>42</v>
      </c>
      <c r="O73" s="1226" t="s">
        <v>45</v>
      </c>
      <c r="P73" s="1226" t="s">
        <v>411</v>
      </c>
      <c r="Q73" s="1228" t="s">
        <v>54</v>
      </c>
      <c r="R73" s="1229"/>
      <c r="S73" s="1226" t="s">
        <v>34</v>
      </c>
    </row>
    <row r="74" spans="2:25" s="1104" customFormat="1" ht="35.1" customHeight="1">
      <c r="B74" s="1227"/>
      <c r="C74" s="1091" t="s">
        <v>43</v>
      </c>
      <c r="D74" s="1091" t="s">
        <v>44</v>
      </c>
      <c r="E74" s="1091" t="s">
        <v>43</v>
      </c>
      <c r="F74" s="1091" t="s">
        <v>44</v>
      </c>
      <c r="G74" s="1227"/>
      <c r="H74" s="1227"/>
      <c r="I74" s="1227"/>
      <c r="J74" s="1227"/>
      <c r="K74" s="1227"/>
      <c r="L74" s="1227"/>
      <c r="M74" s="1227"/>
      <c r="N74" s="1227"/>
      <c r="O74" s="1227"/>
      <c r="P74" s="1227"/>
      <c r="Q74" s="1092" t="s">
        <v>52</v>
      </c>
      <c r="R74" s="1092" t="s">
        <v>53</v>
      </c>
      <c r="S74" s="1227"/>
      <c r="T74" s="1104" t="s">
        <v>183</v>
      </c>
      <c r="U74" s="1104" t="s">
        <v>424</v>
      </c>
      <c r="V74" s="1104" t="s">
        <v>184</v>
      </c>
      <c r="W74" s="1104" t="s">
        <v>425</v>
      </c>
      <c r="X74" s="1104" t="s">
        <v>28</v>
      </c>
      <c r="Y74" s="1104" t="s">
        <v>185</v>
      </c>
    </row>
    <row r="75" spans="2:25">
      <c r="B75" s="2" t="s">
        <v>87</v>
      </c>
      <c r="C75" s="20">
        <v>24457.27</v>
      </c>
      <c r="D75" s="20">
        <v>5592.5799999999981</v>
      </c>
      <c r="E75" s="20">
        <v>3809.43</v>
      </c>
      <c r="F75" s="20">
        <v>0</v>
      </c>
      <c r="G75" s="20">
        <v>29385</v>
      </c>
      <c r="H75" s="20">
        <v>195.9</v>
      </c>
      <c r="I75" s="20">
        <v>650.53</v>
      </c>
      <c r="J75" s="20">
        <v>0</v>
      </c>
      <c r="K75" s="20">
        <v>1227.2</v>
      </c>
      <c r="L75" s="20">
        <v>685.65</v>
      </c>
      <c r="M75" s="20">
        <v>0</v>
      </c>
      <c r="N75" s="20">
        <v>0</v>
      </c>
      <c r="O75" s="20">
        <v>28.57</v>
      </c>
      <c r="P75" s="20">
        <v>0</v>
      </c>
      <c r="Q75" s="20">
        <v>0</v>
      </c>
      <c r="R75" s="20">
        <v>0</v>
      </c>
      <c r="S75" s="10">
        <f t="shared" ref="S75:S101" si="76">SUM(C75:R75)</f>
        <v>66032.13</v>
      </c>
      <c r="T75" s="1093">
        <f>C75</f>
        <v>24457.27</v>
      </c>
      <c r="U75" s="1093">
        <f>D75</f>
        <v>5592.5799999999981</v>
      </c>
      <c r="V75" s="1093">
        <f>E75</f>
        <v>3809.43</v>
      </c>
      <c r="W75" s="1093">
        <f>F75</f>
        <v>0</v>
      </c>
      <c r="X75" s="1093">
        <f>G75</f>
        <v>29385</v>
      </c>
      <c r="Y75" s="1093">
        <f>SUM(H75:R75)</f>
        <v>2787.8500000000004</v>
      </c>
    </row>
    <row r="76" spans="2:25">
      <c r="B76" s="2" t="s">
        <v>88</v>
      </c>
      <c r="C76" s="20">
        <v>64539.05</v>
      </c>
      <c r="D76" s="20">
        <v>18086.22</v>
      </c>
      <c r="E76" s="20">
        <v>2717.4</v>
      </c>
      <c r="F76" s="20">
        <v>80.309999999999945</v>
      </c>
      <c r="G76" s="20">
        <v>63079.80000000001</v>
      </c>
      <c r="H76" s="20">
        <v>1077.45</v>
      </c>
      <c r="I76" s="20">
        <v>3322.8199999999997</v>
      </c>
      <c r="J76" s="20">
        <v>293.85000000000002</v>
      </c>
      <c r="K76" s="20">
        <v>1844.83</v>
      </c>
      <c r="L76" s="20">
        <v>97.95</v>
      </c>
      <c r="M76" s="20">
        <v>0</v>
      </c>
      <c r="N76" s="20">
        <v>0</v>
      </c>
      <c r="O76" s="20">
        <v>114.28</v>
      </c>
      <c r="P76" s="20">
        <v>0</v>
      </c>
      <c r="Q76" s="20">
        <v>0</v>
      </c>
      <c r="R76" s="20">
        <v>0</v>
      </c>
      <c r="S76" s="10">
        <f t="shared" si="76"/>
        <v>155253.96000000002</v>
      </c>
      <c r="T76" s="1093">
        <f t="shared" ref="T76:T101" si="77">C76</f>
        <v>64539.05</v>
      </c>
      <c r="U76" s="1093">
        <f t="shared" ref="U76:U101" si="78">D76</f>
        <v>18086.22</v>
      </c>
      <c r="V76" s="1093">
        <f t="shared" ref="V76:V101" si="79">E76</f>
        <v>2717.4</v>
      </c>
      <c r="W76" s="1093">
        <f t="shared" ref="W76:W101" si="80">F76</f>
        <v>80.309999999999945</v>
      </c>
      <c r="X76" s="1093">
        <f t="shared" ref="X76:X101" si="81">G76</f>
        <v>63079.80000000001</v>
      </c>
      <c r="Y76" s="1093">
        <f t="shared" ref="Y76:Y101" si="82">SUM(H76:R76)</f>
        <v>6751.1799999999994</v>
      </c>
    </row>
    <row r="77" spans="2:25">
      <c r="B77" s="2" t="s">
        <v>89</v>
      </c>
      <c r="C77" s="20">
        <v>30469.3</v>
      </c>
      <c r="D77" s="20">
        <v>9320.9500000000007</v>
      </c>
      <c r="E77" s="20">
        <v>7009.38</v>
      </c>
      <c r="F77" s="20">
        <v>823.96999999999935</v>
      </c>
      <c r="G77" s="20">
        <v>40747.199999999997</v>
      </c>
      <c r="H77" s="20">
        <v>489.75</v>
      </c>
      <c r="I77" s="20">
        <v>1502.0200000000002</v>
      </c>
      <c r="J77" s="20">
        <v>0</v>
      </c>
      <c r="K77" s="20">
        <v>1633.57</v>
      </c>
      <c r="L77" s="20">
        <v>97.95</v>
      </c>
      <c r="M77" s="20">
        <v>0</v>
      </c>
      <c r="N77" s="20">
        <v>0</v>
      </c>
      <c r="O77" s="20">
        <v>0</v>
      </c>
      <c r="P77" s="20">
        <v>0</v>
      </c>
      <c r="Q77" s="20">
        <v>0</v>
      </c>
      <c r="R77" s="20">
        <v>0</v>
      </c>
      <c r="S77" s="10">
        <f t="shared" si="76"/>
        <v>92094.09</v>
      </c>
      <c r="T77" s="1093">
        <f t="shared" si="77"/>
        <v>30469.3</v>
      </c>
      <c r="U77" s="1093">
        <f t="shared" si="78"/>
        <v>9320.9500000000007</v>
      </c>
      <c r="V77" s="1093">
        <f t="shared" si="79"/>
        <v>7009.38</v>
      </c>
      <c r="W77" s="1093">
        <f t="shared" si="80"/>
        <v>823.96999999999935</v>
      </c>
      <c r="X77" s="1093">
        <f t="shared" si="81"/>
        <v>40747.199999999997</v>
      </c>
      <c r="Y77" s="1093">
        <f t="shared" si="82"/>
        <v>3723.29</v>
      </c>
    </row>
    <row r="78" spans="2:25">
      <c r="B78" s="2" t="s">
        <v>90</v>
      </c>
      <c r="C78" s="20">
        <v>67110.16</v>
      </c>
      <c r="D78" s="20">
        <v>19347.37999999999</v>
      </c>
      <c r="E78" s="20">
        <v>6611.22</v>
      </c>
      <c r="F78" s="20">
        <v>515.25999999999931</v>
      </c>
      <c r="G78" s="20">
        <v>69446.55</v>
      </c>
      <c r="H78" s="20">
        <v>881.55</v>
      </c>
      <c r="I78" s="20">
        <v>3984.17</v>
      </c>
      <c r="J78" s="20">
        <v>0</v>
      </c>
      <c r="K78" s="20">
        <v>2439.27</v>
      </c>
      <c r="L78" s="20">
        <v>1077.45</v>
      </c>
      <c r="M78" s="20">
        <v>0</v>
      </c>
      <c r="N78" s="20">
        <v>390.64</v>
      </c>
      <c r="O78" s="20">
        <v>85.71</v>
      </c>
      <c r="P78" s="20">
        <v>0</v>
      </c>
      <c r="Q78" s="20">
        <v>28.29</v>
      </c>
      <c r="R78" s="20">
        <v>282.86</v>
      </c>
      <c r="S78" s="10">
        <f t="shared" si="76"/>
        <v>172200.51</v>
      </c>
      <c r="T78" s="1093">
        <f t="shared" si="77"/>
        <v>67110.16</v>
      </c>
      <c r="U78" s="1093">
        <f t="shared" si="78"/>
        <v>19347.37999999999</v>
      </c>
      <c r="V78" s="1093">
        <f t="shared" si="79"/>
        <v>6611.22</v>
      </c>
      <c r="W78" s="1093">
        <f t="shared" si="80"/>
        <v>515.25999999999931</v>
      </c>
      <c r="X78" s="1093">
        <f t="shared" si="81"/>
        <v>69446.55</v>
      </c>
      <c r="Y78" s="1093">
        <f t="shared" si="82"/>
        <v>9169.94</v>
      </c>
    </row>
    <row r="79" spans="2:25">
      <c r="B79" s="2" t="s">
        <v>91</v>
      </c>
      <c r="C79" s="20">
        <v>205291.54</v>
      </c>
      <c r="D79" s="20">
        <v>25298.639999999985</v>
      </c>
      <c r="E79" s="20">
        <v>23211.26</v>
      </c>
      <c r="F79" s="20">
        <v>6038.8600000000006</v>
      </c>
      <c r="G79" s="20">
        <v>160344.15000000002</v>
      </c>
      <c r="H79" s="20">
        <v>1665.15</v>
      </c>
      <c r="I79" s="20">
        <v>5504.4099999999989</v>
      </c>
      <c r="J79" s="20">
        <v>0</v>
      </c>
      <c r="K79" s="20">
        <v>5674.33</v>
      </c>
      <c r="L79" s="20">
        <v>97.95</v>
      </c>
      <c r="M79" s="20">
        <v>0</v>
      </c>
      <c r="N79" s="20">
        <v>0</v>
      </c>
      <c r="O79" s="20">
        <v>0</v>
      </c>
      <c r="P79" s="20">
        <v>0</v>
      </c>
      <c r="Q79" s="20">
        <v>0</v>
      </c>
      <c r="R79" s="20">
        <v>0</v>
      </c>
      <c r="S79" s="10">
        <f t="shared" si="76"/>
        <v>433126.29000000004</v>
      </c>
      <c r="T79" s="1093">
        <f t="shared" si="77"/>
        <v>205291.54</v>
      </c>
      <c r="U79" s="1093">
        <f t="shared" si="78"/>
        <v>25298.639999999985</v>
      </c>
      <c r="V79" s="1093">
        <f t="shared" si="79"/>
        <v>23211.26</v>
      </c>
      <c r="W79" s="1093">
        <f t="shared" si="80"/>
        <v>6038.8600000000006</v>
      </c>
      <c r="X79" s="1093">
        <f t="shared" si="81"/>
        <v>160344.15000000002</v>
      </c>
      <c r="Y79" s="1093">
        <f t="shared" si="82"/>
        <v>12941.84</v>
      </c>
    </row>
    <row r="80" spans="2:25">
      <c r="B80" s="2" t="s">
        <v>92</v>
      </c>
      <c r="C80" s="20">
        <v>114340.72</v>
      </c>
      <c r="D80" s="20">
        <v>18015.379999999976</v>
      </c>
      <c r="E80" s="20">
        <v>12099.64</v>
      </c>
      <c r="F80" s="20">
        <v>45.860000000000582</v>
      </c>
      <c r="G80" s="20">
        <v>113426.1</v>
      </c>
      <c r="H80" s="20">
        <v>2840.55</v>
      </c>
      <c r="I80" s="20">
        <v>3017.2400000000002</v>
      </c>
      <c r="J80" s="20">
        <v>0</v>
      </c>
      <c r="K80" s="20">
        <v>3226.6800000000003</v>
      </c>
      <c r="L80" s="20">
        <v>783.6</v>
      </c>
      <c r="M80" s="20">
        <v>195.9</v>
      </c>
      <c r="N80" s="20">
        <v>0</v>
      </c>
      <c r="O80" s="20">
        <v>57.14</v>
      </c>
      <c r="P80" s="20">
        <v>0</v>
      </c>
      <c r="Q80" s="20">
        <v>0</v>
      </c>
      <c r="R80" s="20">
        <v>0</v>
      </c>
      <c r="S80" s="10">
        <f t="shared" si="76"/>
        <v>268048.81</v>
      </c>
      <c r="T80" s="1093">
        <f t="shared" si="77"/>
        <v>114340.72</v>
      </c>
      <c r="U80" s="1093">
        <f t="shared" si="78"/>
        <v>18015.379999999976</v>
      </c>
      <c r="V80" s="1093">
        <f t="shared" si="79"/>
        <v>12099.64</v>
      </c>
      <c r="W80" s="1093">
        <f t="shared" si="80"/>
        <v>45.860000000000582</v>
      </c>
      <c r="X80" s="1093">
        <f t="shared" si="81"/>
        <v>113426.1</v>
      </c>
      <c r="Y80" s="1093">
        <f t="shared" si="82"/>
        <v>10121.11</v>
      </c>
    </row>
    <row r="81" spans="2:25">
      <c r="B81" s="2" t="s">
        <v>93</v>
      </c>
      <c r="C81" s="20">
        <v>180324.69</v>
      </c>
      <c r="D81" s="20">
        <v>48973.649999999994</v>
      </c>
      <c r="E81" s="20">
        <v>21714.6</v>
      </c>
      <c r="F81" s="20">
        <v>6007.6200000000026</v>
      </c>
      <c r="G81" s="20">
        <v>167690.4</v>
      </c>
      <c r="H81" s="20">
        <v>3330.3</v>
      </c>
      <c r="I81" s="20">
        <v>10457.719999999999</v>
      </c>
      <c r="J81" s="20">
        <v>0</v>
      </c>
      <c r="K81" s="20">
        <v>7068.4</v>
      </c>
      <c r="L81" s="20">
        <v>881.55</v>
      </c>
      <c r="M81" s="20">
        <v>0</v>
      </c>
      <c r="N81" s="20">
        <v>0</v>
      </c>
      <c r="O81" s="20">
        <v>28.57</v>
      </c>
      <c r="P81" s="20">
        <v>0</v>
      </c>
      <c r="Q81" s="20">
        <v>0</v>
      </c>
      <c r="R81" s="20">
        <v>0</v>
      </c>
      <c r="S81" s="10">
        <f t="shared" si="76"/>
        <v>446477.49999999994</v>
      </c>
      <c r="T81" s="1093">
        <f t="shared" si="77"/>
        <v>180324.69</v>
      </c>
      <c r="U81" s="1093">
        <f t="shared" si="78"/>
        <v>48973.649999999994</v>
      </c>
      <c r="V81" s="1093">
        <f t="shared" si="79"/>
        <v>21714.6</v>
      </c>
      <c r="W81" s="1093">
        <f t="shared" si="80"/>
        <v>6007.6200000000026</v>
      </c>
      <c r="X81" s="1093">
        <f t="shared" si="81"/>
        <v>167690.4</v>
      </c>
      <c r="Y81" s="1093">
        <f t="shared" si="82"/>
        <v>21766.539999999997</v>
      </c>
    </row>
    <row r="82" spans="2:25">
      <c r="B82" s="2" t="s">
        <v>94</v>
      </c>
      <c r="C82" s="20">
        <v>160755.03</v>
      </c>
      <c r="D82" s="20">
        <v>10710.540000000008</v>
      </c>
      <c r="E82" s="20">
        <v>15110.93</v>
      </c>
      <c r="F82" s="20">
        <v>3462.7900000000009</v>
      </c>
      <c r="G82" s="20">
        <v>138697.20000000004</v>
      </c>
      <c r="H82" s="20">
        <v>881.55000000000007</v>
      </c>
      <c r="I82" s="20">
        <v>3678.3</v>
      </c>
      <c r="J82" s="20">
        <v>1256.27</v>
      </c>
      <c r="K82" s="20">
        <v>2209.5299999999997</v>
      </c>
      <c r="L82" s="20">
        <v>293.85000000000002</v>
      </c>
      <c r="M82" s="20">
        <v>0</v>
      </c>
      <c r="N82" s="20">
        <v>0</v>
      </c>
      <c r="O82" s="20">
        <v>0</v>
      </c>
      <c r="P82" s="20">
        <v>0</v>
      </c>
      <c r="Q82" s="20">
        <v>0</v>
      </c>
      <c r="R82" s="20">
        <v>0</v>
      </c>
      <c r="S82" s="10">
        <f t="shared" si="76"/>
        <v>337055.99000000005</v>
      </c>
      <c r="T82" s="1093">
        <f t="shared" si="77"/>
        <v>160755.03</v>
      </c>
      <c r="U82" s="1093">
        <f t="shared" si="78"/>
        <v>10710.540000000008</v>
      </c>
      <c r="V82" s="1093">
        <f t="shared" si="79"/>
        <v>15110.93</v>
      </c>
      <c r="W82" s="1093">
        <f t="shared" si="80"/>
        <v>3462.7900000000009</v>
      </c>
      <c r="X82" s="1093">
        <f t="shared" si="81"/>
        <v>138697.20000000004</v>
      </c>
      <c r="Y82" s="1093">
        <f t="shared" si="82"/>
        <v>8319.5</v>
      </c>
    </row>
    <row r="83" spans="2:25">
      <c r="B83" s="2" t="s">
        <v>95</v>
      </c>
      <c r="C83" s="20">
        <v>157284.10999999999</v>
      </c>
      <c r="D83" s="20">
        <v>33886.540000000008</v>
      </c>
      <c r="E83" s="20">
        <v>23461.19</v>
      </c>
      <c r="F83" s="20">
        <v>2221.4000000000015</v>
      </c>
      <c r="G83" s="20">
        <v>259077.75000000003</v>
      </c>
      <c r="H83" s="20">
        <v>3134.4</v>
      </c>
      <c r="I83" s="20">
        <v>6716.86</v>
      </c>
      <c r="J83" s="20">
        <v>1824.36</v>
      </c>
      <c r="K83" s="20">
        <v>5091.5600000000004</v>
      </c>
      <c r="L83" s="20">
        <v>587.70000000000005</v>
      </c>
      <c r="M83" s="20">
        <v>0</v>
      </c>
      <c r="N83" s="20">
        <v>0</v>
      </c>
      <c r="O83" s="20">
        <v>28.57</v>
      </c>
      <c r="P83" s="20">
        <v>0</v>
      </c>
      <c r="Q83" s="20">
        <v>0</v>
      </c>
      <c r="R83" s="20">
        <v>0</v>
      </c>
      <c r="S83" s="10">
        <f t="shared" si="76"/>
        <v>493314.44</v>
      </c>
      <c r="T83" s="1093">
        <f t="shared" si="77"/>
        <v>157284.10999999999</v>
      </c>
      <c r="U83" s="1093">
        <f t="shared" si="78"/>
        <v>33886.540000000008</v>
      </c>
      <c r="V83" s="1093">
        <f t="shared" si="79"/>
        <v>23461.19</v>
      </c>
      <c r="W83" s="1093">
        <f t="shared" si="80"/>
        <v>2221.4000000000015</v>
      </c>
      <c r="X83" s="1093">
        <f t="shared" si="81"/>
        <v>259077.75000000003</v>
      </c>
      <c r="Y83" s="1093">
        <f t="shared" si="82"/>
        <v>17383.45</v>
      </c>
    </row>
    <row r="84" spans="2:25">
      <c r="B84" s="2" t="s">
        <v>96</v>
      </c>
      <c r="C84" s="20">
        <v>49199.14</v>
      </c>
      <c r="D84" s="20">
        <v>14038.419999999998</v>
      </c>
      <c r="E84" s="20">
        <v>5723.67</v>
      </c>
      <c r="F84" s="20">
        <v>526.22999999999956</v>
      </c>
      <c r="G84" s="20">
        <v>48975</v>
      </c>
      <c r="H84" s="20">
        <v>1175.4000000000001</v>
      </c>
      <c r="I84" s="20">
        <v>2359.13</v>
      </c>
      <c r="J84" s="20">
        <v>0</v>
      </c>
      <c r="K84" s="20">
        <v>1538.09</v>
      </c>
      <c r="L84" s="20">
        <v>195.9</v>
      </c>
      <c r="M84" s="20">
        <v>195.9</v>
      </c>
      <c r="N84" s="20">
        <v>0</v>
      </c>
      <c r="O84" s="20">
        <v>28.57</v>
      </c>
      <c r="P84" s="20">
        <v>0</v>
      </c>
      <c r="Q84" s="20">
        <v>0</v>
      </c>
      <c r="R84" s="20">
        <v>0</v>
      </c>
      <c r="S84" s="10">
        <f t="shared" si="76"/>
        <v>123955.44999999998</v>
      </c>
      <c r="T84" s="1093">
        <f t="shared" si="77"/>
        <v>49199.14</v>
      </c>
      <c r="U84" s="1093">
        <f t="shared" si="78"/>
        <v>14038.419999999998</v>
      </c>
      <c r="V84" s="1093">
        <f t="shared" si="79"/>
        <v>5723.67</v>
      </c>
      <c r="W84" s="1093">
        <f t="shared" si="80"/>
        <v>526.22999999999956</v>
      </c>
      <c r="X84" s="1093">
        <f t="shared" si="81"/>
        <v>48975</v>
      </c>
      <c r="Y84" s="1093">
        <f t="shared" si="82"/>
        <v>5492.9899999999989</v>
      </c>
    </row>
    <row r="85" spans="2:25">
      <c r="B85" s="2" t="s">
        <v>97</v>
      </c>
      <c r="C85" s="20">
        <v>153092.31</v>
      </c>
      <c r="D85" s="20">
        <v>49575.72</v>
      </c>
      <c r="E85" s="20">
        <v>22307.83</v>
      </c>
      <c r="F85" s="20">
        <v>5986.59</v>
      </c>
      <c r="G85" s="20">
        <v>295025.40000000002</v>
      </c>
      <c r="H85" s="20">
        <v>2252.85</v>
      </c>
      <c r="I85" s="20">
        <v>8942.49</v>
      </c>
      <c r="J85" s="20">
        <v>1142.82</v>
      </c>
      <c r="K85" s="20">
        <v>4933.46</v>
      </c>
      <c r="L85" s="20">
        <v>783.6</v>
      </c>
      <c r="M85" s="20">
        <v>0</v>
      </c>
      <c r="N85" s="20">
        <v>0</v>
      </c>
      <c r="O85" s="20">
        <v>85.71</v>
      </c>
      <c r="P85" s="20">
        <v>0</v>
      </c>
      <c r="Q85" s="20">
        <v>0</v>
      </c>
      <c r="R85" s="20">
        <v>0</v>
      </c>
      <c r="S85" s="10">
        <f t="shared" si="76"/>
        <v>544128.7799999998</v>
      </c>
      <c r="T85" s="1093">
        <f t="shared" si="77"/>
        <v>153092.31</v>
      </c>
      <c r="U85" s="1093">
        <f t="shared" si="78"/>
        <v>49575.72</v>
      </c>
      <c r="V85" s="1093">
        <f t="shared" si="79"/>
        <v>22307.83</v>
      </c>
      <c r="W85" s="1093">
        <f t="shared" si="80"/>
        <v>5986.59</v>
      </c>
      <c r="X85" s="1093">
        <f t="shared" si="81"/>
        <v>295025.40000000002</v>
      </c>
      <c r="Y85" s="1093">
        <f t="shared" si="82"/>
        <v>18140.929999999997</v>
      </c>
    </row>
    <row r="86" spans="2:25">
      <c r="B86" s="2" t="s">
        <v>98</v>
      </c>
      <c r="C86" s="20">
        <v>78723.199999999997</v>
      </c>
      <c r="D86" s="20">
        <v>23439.919999999998</v>
      </c>
      <c r="E86" s="20">
        <v>13635.32</v>
      </c>
      <c r="F86" s="20">
        <v>1640.5500000000011</v>
      </c>
      <c r="G86" s="20">
        <v>190904.54999999996</v>
      </c>
      <c r="H86" s="20">
        <v>1273.3499999999999</v>
      </c>
      <c r="I86" s="20">
        <v>4863.8900000000003</v>
      </c>
      <c r="J86" s="20">
        <v>0</v>
      </c>
      <c r="K86" s="20">
        <v>2902.91</v>
      </c>
      <c r="L86" s="20">
        <v>587.70000000000005</v>
      </c>
      <c r="M86" s="20">
        <v>0</v>
      </c>
      <c r="N86" s="20">
        <v>777.9</v>
      </c>
      <c r="O86" s="20">
        <v>57.14</v>
      </c>
      <c r="P86" s="20">
        <v>0</v>
      </c>
      <c r="Q86" s="20">
        <v>18.34</v>
      </c>
      <c r="R86" s="20">
        <v>0</v>
      </c>
      <c r="S86" s="10">
        <f t="shared" si="76"/>
        <v>318824.77</v>
      </c>
      <c r="T86" s="1093">
        <f t="shared" si="77"/>
        <v>78723.199999999997</v>
      </c>
      <c r="U86" s="1093">
        <f t="shared" si="78"/>
        <v>23439.919999999998</v>
      </c>
      <c r="V86" s="1093">
        <f t="shared" si="79"/>
        <v>13635.32</v>
      </c>
      <c r="W86" s="1093">
        <f t="shared" si="80"/>
        <v>1640.5500000000011</v>
      </c>
      <c r="X86" s="1093">
        <f t="shared" si="81"/>
        <v>190904.54999999996</v>
      </c>
      <c r="Y86" s="1093">
        <f t="shared" si="82"/>
        <v>10481.23</v>
      </c>
    </row>
    <row r="87" spans="2:25">
      <c r="B87" s="2" t="s">
        <v>99</v>
      </c>
      <c r="C87" s="20">
        <v>504303.62</v>
      </c>
      <c r="D87" s="20">
        <v>109482.92999999993</v>
      </c>
      <c r="E87" s="20">
        <v>53233.72</v>
      </c>
      <c r="F87" s="20">
        <v>14851.550000000003</v>
      </c>
      <c r="G87" s="20">
        <v>487594.4</v>
      </c>
      <c r="H87" s="20">
        <v>4897.5</v>
      </c>
      <c r="I87" s="20">
        <v>24032.710000000003</v>
      </c>
      <c r="J87" s="20">
        <v>0</v>
      </c>
      <c r="K87" s="20">
        <v>14674.38</v>
      </c>
      <c r="L87" s="20">
        <v>2938.5</v>
      </c>
      <c r="M87" s="20">
        <v>0</v>
      </c>
      <c r="N87" s="20">
        <v>0</v>
      </c>
      <c r="O87" s="20">
        <v>342.84</v>
      </c>
      <c r="P87" s="20">
        <v>0</v>
      </c>
      <c r="Q87" s="20">
        <v>0</v>
      </c>
      <c r="R87" s="20">
        <v>0</v>
      </c>
      <c r="S87" s="10">
        <f t="shared" si="76"/>
        <v>1216352.1499999999</v>
      </c>
      <c r="T87" s="1093">
        <f t="shared" si="77"/>
        <v>504303.62</v>
      </c>
      <c r="U87" s="1093">
        <f t="shared" si="78"/>
        <v>109482.92999999993</v>
      </c>
      <c r="V87" s="1093">
        <f t="shared" si="79"/>
        <v>53233.72</v>
      </c>
      <c r="W87" s="1093">
        <f t="shared" si="80"/>
        <v>14851.550000000003</v>
      </c>
      <c r="X87" s="1093">
        <f t="shared" si="81"/>
        <v>487594.4</v>
      </c>
      <c r="Y87" s="1093">
        <f t="shared" si="82"/>
        <v>46885.93</v>
      </c>
    </row>
    <row r="88" spans="2:25">
      <c r="B88" s="2" t="s">
        <v>100</v>
      </c>
      <c r="C88" s="20">
        <v>78626.03</v>
      </c>
      <c r="D88" s="20">
        <v>34521.97</v>
      </c>
      <c r="E88" s="20">
        <v>11293.51</v>
      </c>
      <c r="F88" s="20">
        <v>3003.3799999999992</v>
      </c>
      <c r="G88" s="20">
        <v>89036.550000000017</v>
      </c>
      <c r="H88" s="20">
        <v>1175.4000000000001</v>
      </c>
      <c r="I88" s="20">
        <v>6822.57</v>
      </c>
      <c r="J88" s="20">
        <v>0</v>
      </c>
      <c r="K88" s="20">
        <v>4542.67</v>
      </c>
      <c r="L88" s="20">
        <v>391.8</v>
      </c>
      <c r="M88" s="20">
        <v>0</v>
      </c>
      <c r="N88" s="20">
        <v>0</v>
      </c>
      <c r="O88" s="20">
        <v>28.57</v>
      </c>
      <c r="P88" s="20">
        <v>0</v>
      </c>
      <c r="Q88" s="20">
        <v>0</v>
      </c>
      <c r="R88" s="20">
        <v>0</v>
      </c>
      <c r="S88" s="10">
        <f t="shared" si="76"/>
        <v>229442.45</v>
      </c>
      <c r="T88" s="1093">
        <f t="shared" si="77"/>
        <v>78626.03</v>
      </c>
      <c r="U88" s="1093">
        <f t="shared" si="78"/>
        <v>34521.97</v>
      </c>
      <c r="V88" s="1093">
        <f t="shared" si="79"/>
        <v>11293.51</v>
      </c>
      <c r="W88" s="1093">
        <f t="shared" si="80"/>
        <v>3003.3799999999992</v>
      </c>
      <c r="X88" s="1093">
        <f t="shared" si="81"/>
        <v>89036.550000000017</v>
      </c>
      <c r="Y88" s="1093">
        <f t="shared" si="82"/>
        <v>12961.009999999998</v>
      </c>
    </row>
    <row r="89" spans="2:25">
      <c r="B89" s="2" t="s">
        <v>101</v>
      </c>
      <c r="C89" s="20">
        <v>103596.32</v>
      </c>
      <c r="D89" s="20">
        <v>26668.100000000006</v>
      </c>
      <c r="E89" s="20">
        <v>7756.93</v>
      </c>
      <c r="F89" s="20">
        <v>1327.2899999999991</v>
      </c>
      <c r="G89" s="20">
        <v>95305.35</v>
      </c>
      <c r="H89" s="20">
        <v>391.8</v>
      </c>
      <c r="I89" s="20">
        <v>4372.1899999999996</v>
      </c>
      <c r="J89" s="20">
        <v>0</v>
      </c>
      <c r="K89" s="20">
        <v>3206.55</v>
      </c>
      <c r="L89" s="20">
        <v>97.95</v>
      </c>
      <c r="M89" s="20">
        <v>0</v>
      </c>
      <c r="N89" s="20">
        <v>0</v>
      </c>
      <c r="O89" s="20">
        <v>0</v>
      </c>
      <c r="P89" s="20">
        <v>0</v>
      </c>
      <c r="Q89" s="20">
        <v>0</v>
      </c>
      <c r="R89" s="20">
        <v>0</v>
      </c>
      <c r="S89" s="10">
        <f t="shared" si="76"/>
        <v>242722.48</v>
      </c>
      <c r="T89" s="1093">
        <f t="shared" si="77"/>
        <v>103596.32</v>
      </c>
      <c r="U89" s="1093">
        <f t="shared" si="78"/>
        <v>26668.100000000006</v>
      </c>
      <c r="V89" s="1093">
        <f t="shared" si="79"/>
        <v>7756.93</v>
      </c>
      <c r="W89" s="1093">
        <f t="shared" si="80"/>
        <v>1327.2899999999991</v>
      </c>
      <c r="X89" s="1093">
        <f t="shared" si="81"/>
        <v>95305.35</v>
      </c>
      <c r="Y89" s="1093">
        <f t="shared" si="82"/>
        <v>8068.49</v>
      </c>
    </row>
    <row r="90" spans="2:25">
      <c r="B90" s="2" t="s">
        <v>102</v>
      </c>
      <c r="C90" s="20">
        <v>400355.1</v>
      </c>
      <c r="D90" s="20">
        <v>80301.080000000075</v>
      </c>
      <c r="E90" s="20">
        <v>76218.86</v>
      </c>
      <c r="F90" s="20">
        <v>13011.839999999997</v>
      </c>
      <c r="G90" s="20">
        <v>698481.45</v>
      </c>
      <c r="H90" s="20">
        <v>9892.9500000000007</v>
      </c>
      <c r="I90" s="20">
        <v>14930.16</v>
      </c>
      <c r="J90" s="20">
        <v>592.80999999999995</v>
      </c>
      <c r="K90" s="20">
        <v>12663.18</v>
      </c>
      <c r="L90" s="20">
        <v>4995.45</v>
      </c>
      <c r="M90" s="20">
        <v>0</v>
      </c>
      <c r="N90" s="20">
        <v>0</v>
      </c>
      <c r="O90" s="20">
        <v>85.71</v>
      </c>
      <c r="P90" s="20">
        <v>0</v>
      </c>
      <c r="Q90" s="20">
        <v>0</v>
      </c>
      <c r="R90" s="20">
        <v>0</v>
      </c>
      <c r="S90" s="10">
        <f t="shared" si="76"/>
        <v>1311528.5899999999</v>
      </c>
      <c r="T90" s="1093">
        <f t="shared" si="77"/>
        <v>400355.1</v>
      </c>
      <c r="U90" s="1093">
        <f t="shared" si="78"/>
        <v>80301.080000000075</v>
      </c>
      <c r="V90" s="1093">
        <f t="shared" si="79"/>
        <v>76218.86</v>
      </c>
      <c r="W90" s="1093">
        <f t="shared" si="80"/>
        <v>13011.839999999997</v>
      </c>
      <c r="X90" s="1093">
        <f t="shared" si="81"/>
        <v>698481.45</v>
      </c>
      <c r="Y90" s="1093">
        <f t="shared" si="82"/>
        <v>43160.26</v>
      </c>
    </row>
    <row r="91" spans="2:25">
      <c r="B91" s="2" t="s">
        <v>103</v>
      </c>
      <c r="C91" s="20">
        <v>149351.24</v>
      </c>
      <c r="D91" s="20">
        <v>30713.380000000005</v>
      </c>
      <c r="E91" s="20">
        <v>17988.310000000001</v>
      </c>
      <c r="F91" s="20">
        <v>1996.3299999999981</v>
      </c>
      <c r="G91" s="20">
        <v>140460.29999999999</v>
      </c>
      <c r="H91" s="20">
        <v>1469.25</v>
      </c>
      <c r="I91" s="20">
        <v>5328.8400000000011</v>
      </c>
      <c r="J91" s="20">
        <v>293.85000000000002</v>
      </c>
      <c r="K91" s="20">
        <v>5190.8599999999997</v>
      </c>
      <c r="L91" s="20">
        <v>783.6</v>
      </c>
      <c r="M91" s="20">
        <v>0</v>
      </c>
      <c r="N91" s="20">
        <v>0</v>
      </c>
      <c r="O91" s="20">
        <v>114.28</v>
      </c>
      <c r="P91" s="20">
        <v>0</v>
      </c>
      <c r="Q91" s="20">
        <v>0</v>
      </c>
      <c r="R91" s="20">
        <v>0</v>
      </c>
      <c r="S91" s="10">
        <f t="shared" si="76"/>
        <v>353690.23999999993</v>
      </c>
      <c r="T91" s="1093">
        <f t="shared" si="77"/>
        <v>149351.24</v>
      </c>
      <c r="U91" s="1093">
        <f t="shared" si="78"/>
        <v>30713.380000000005</v>
      </c>
      <c r="V91" s="1093">
        <f t="shared" si="79"/>
        <v>17988.310000000001</v>
      </c>
      <c r="W91" s="1093">
        <f t="shared" si="80"/>
        <v>1996.3299999999981</v>
      </c>
      <c r="X91" s="1093">
        <f t="shared" si="81"/>
        <v>140460.29999999999</v>
      </c>
      <c r="Y91" s="1093">
        <f t="shared" si="82"/>
        <v>13180.680000000002</v>
      </c>
    </row>
    <row r="92" spans="2:25">
      <c r="B92" s="2" t="s">
        <v>104</v>
      </c>
      <c r="C92" s="20">
        <v>49946.59</v>
      </c>
      <c r="D92" s="20">
        <v>10245.830000000002</v>
      </c>
      <c r="E92" s="20">
        <v>7094.21</v>
      </c>
      <c r="F92" s="20">
        <v>301.89999999999964</v>
      </c>
      <c r="G92" s="20">
        <v>47113.950000000004</v>
      </c>
      <c r="H92" s="20">
        <v>2252.85</v>
      </c>
      <c r="I92" s="20">
        <v>2181.0700000000002</v>
      </c>
      <c r="J92" s="20">
        <v>293.85000000000002</v>
      </c>
      <c r="K92" s="20">
        <v>2360.42</v>
      </c>
      <c r="L92" s="20"/>
      <c r="M92" s="20">
        <v>0</v>
      </c>
      <c r="N92" s="20">
        <v>0</v>
      </c>
      <c r="O92" s="20">
        <v>28.57</v>
      </c>
      <c r="P92" s="20">
        <v>0</v>
      </c>
      <c r="Q92" s="20">
        <v>0</v>
      </c>
      <c r="R92" s="20">
        <v>0</v>
      </c>
      <c r="S92" s="10">
        <f t="shared" si="76"/>
        <v>121819.24000000003</v>
      </c>
      <c r="T92" s="1093">
        <f t="shared" si="77"/>
        <v>49946.59</v>
      </c>
      <c r="U92" s="1093">
        <f t="shared" si="78"/>
        <v>10245.830000000002</v>
      </c>
      <c r="V92" s="1093">
        <f t="shared" si="79"/>
        <v>7094.21</v>
      </c>
      <c r="W92" s="1093">
        <f t="shared" si="80"/>
        <v>301.89999999999964</v>
      </c>
      <c r="X92" s="1093">
        <f t="shared" si="81"/>
        <v>47113.950000000004</v>
      </c>
      <c r="Y92" s="1093">
        <f t="shared" si="82"/>
        <v>7116.76</v>
      </c>
    </row>
    <row r="93" spans="2:25">
      <c r="B93" s="2" t="s">
        <v>105</v>
      </c>
      <c r="C93" s="20">
        <v>487103.11</v>
      </c>
      <c r="D93" s="20">
        <v>86931.100000000093</v>
      </c>
      <c r="E93" s="20">
        <v>71468.41</v>
      </c>
      <c r="F93" s="20">
        <v>7300.9499999999971</v>
      </c>
      <c r="G93" s="20">
        <v>464472.52</v>
      </c>
      <c r="H93" s="20">
        <v>9305.25</v>
      </c>
      <c r="I93" s="20">
        <v>20253.199999999997</v>
      </c>
      <c r="J93" s="20">
        <v>1345.42</v>
      </c>
      <c r="K93" s="20">
        <v>12258.21</v>
      </c>
      <c r="L93" s="20">
        <v>1763.1</v>
      </c>
      <c r="M93" s="20">
        <v>587.70000000000005</v>
      </c>
      <c r="N93" s="20">
        <v>0</v>
      </c>
      <c r="O93" s="20">
        <v>542.83000000000004</v>
      </c>
      <c r="P93" s="20">
        <v>0</v>
      </c>
      <c r="Q93" s="20">
        <v>0</v>
      </c>
      <c r="R93" s="20">
        <v>0</v>
      </c>
      <c r="S93" s="10">
        <f t="shared" si="76"/>
        <v>1163331.8</v>
      </c>
      <c r="T93" s="1093">
        <f t="shared" si="77"/>
        <v>487103.11</v>
      </c>
      <c r="U93" s="1093">
        <f t="shared" si="78"/>
        <v>86931.100000000093</v>
      </c>
      <c r="V93" s="1093">
        <f t="shared" si="79"/>
        <v>71468.41</v>
      </c>
      <c r="W93" s="1093">
        <f t="shared" si="80"/>
        <v>7300.9499999999971</v>
      </c>
      <c r="X93" s="1093">
        <f t="shared" si="81"/>
        <v>464472.52</v>
      </c>
      <c r="Y93" s="1093">
        <f t="shared" si="82"/>
        <v>46055.709999999992</v>
      </c>
    </row>
    <row r="94" spans="2:25">
      <c r="B94" s="2" t="s">
        <v>106</v>
      </c>
      <c r="C94" s="20">
        <v>78740.320000000007</v>
      </c>
      <c r="D94" s="20">
        <v>21187.64999999998</v>
      </c>
      <c r="E94" s="20">
        <v>9140.98</v>
      </c>
      <c r="F94" s="20">
        <v>1446.0500000000011</v>
      </c>
      <c r="G94" s="20">
        <v>82082.100000000006</v>
      </c>
      <c r="H94" s="20">
        <v>1371.3</v>
      </c>
      <c r="I94" s="20">
        <v>3608.17</v>
      </c>
      <c r="J94" s="20">
        <v>0</v>
      </c>
      <c r="K94" s="20">
        <v>2254</v>
      </c>
      <c r="L94" s="20"/>
      <c r="M94" s="20"/>
      <c r="N94" s="20">
        <v>0</v>
      </c>
      <c r="O94" s="20">
        <v>28.57</v>
      </c>
      <c r="P94" s="20">
        <v>0</v>
      </c>
      <c r="Q94" s="20">
        <v>0</v>
      </c>
      <c r="R94" s="20">
        <v>0</v>
      </c>
      <c r="S94" s="10">
        <f t="shared" si="76"/>
        <v>199859.13999999998</v>
      </c>
      <c r="T94" s="1093">
        <f t="shared" si="77"/>
        <v>78740.320000000007</v>
      </c>
      <c r="U94" s="1093">
        <f t="shared" si="78"/>
        <v>21187.64999999998</v>
      </c>
      <c r="V94" s="1093">
        <f t="shared" si="79"/>
        <v>9140.98</v>
      </c>
      <c r="W94" s="1093">
        <f t="shared" si="80"/>
        <v>1446.0500000000011</v>
      </c>
      <c r="X94" s="1093">
        <f t="shared" si="81"/>
        <v>82082.100000000006</v>
      </c>
      <c r="Y94" s="1093">
        <f t="shared" si="82"/>
        <v>7262.04</v>
      </c>
    </row>
    <row r="95" spans="2:25">
      <c r="B95" s="2" t="s">
        <v>107</v>
      </c>
      <c r="C95" s="20">
        <v>515314.94</v>
      </c>
      <c r="D95" s="20">
        <v>88284.390000000072</v>
      </c>
      <c r="E95" s="20">
        <v>83177.81</v>
      </c>
      <c r="F95" s="20">
        <v>16132.130000000005</v>
      </c>
      <c r="G95" s="20">
        <v>792317.55000000016</v>
      </c>
      <c r="H95" s="20">
        <v>5485.2</v>
      </c>
      <c r="I95" s="20">
        <v>17593.090000000004</v>
      </c>
      <c r="J95" s="20">
        <v>285.7</v>
      </c>
      <c r="K95" s="20">
        <v>15219.46</v>
      </c>
      <c r="L95" s="20">
        <v>6366.75</v>
      </c>
      <c r="M95" s="20">
        <v>195.9</v>
      </c>
      <c r="N95" s="20">
        <v>0</v>
      </c>
      <c r="O95" s="20">
        <v>257.13</v>
      </c>
      <c r="P95" s="20">
        <v>0</v>
      </c>
      <c r="Q95" s="20">
        <v>0</v>
      </c>
      <c r="R95" s="20">
        <v>0</v>
      </c>
      <c r="S95" s="10">
        <f t="shared" si="76"/>
        <v>1540630.05</v>
      </c>
      <c r="T95" s="1093">
        <f t="shared" si="77"/>
        <v>515314.94</v>
      </c>
      <c r="U95" s="1093">
        <f t="shared" si="78"/>
        <v>88284.390000000072</v>
      </c>
      <c r="V95" s="1093">
        <f t="shared" si="79"/>
        <v>83177.81</v>
      </c>
      <c r="W95" s="1093">
        <f t="shared" si="80"/>
        <v>16132.130000000005</v>
      </c>
      <c r="X95" s="1093">
        <f t="shared" si="81"/>
        <v>792317.55000000016</v>
      </c>
      <c r="Y95" s="1093">
        <f t="shared" si="82"/>
        <v>45403.23</v>
      </c>
    </row>
    <row r="96" spans="2:25">
      <c r="B96" s="2" t="s">
        <v>108</v>
      </c>
      <c r="C96" s="20">
        <v>31337.07</v>
      </c>
      <c r="D96" s="20">
        <v>6008.4100000000035</v>
      </c>
      <c r="E96" s="20">
        <v>4287.2</v>
      </c>
      <c r="F96" s="20">
        <v>839.70000000000073</v>
      </c>
      <c r="G96" s="20">
        <v>95109.45</v>
      </c>
      <c r="H96" s="20">
        <v>685.65</v>
      </c>
      <c r="I96" s="20">
        <v>886.26</v>
      </c>
      <c r="J96" s="20">
        <v>0</v>
      </c>
      <c r="K96" s="20">
        <v>1213.54</v>
      </c>
      <c r="L96" s="20">
        <v>293.85000000000002</v>
      </c>
      <c r="M96" s="20">
        <v>0</v>
      </c>
      <c r="N96" s="20">
        <v>0</v>
      </c>
      <c r="O96" s="20">
        <v>0</v>
      </c>
      <c r="P96" s="20">
        <v>0</v>
      </c>
      <c r="Q96" s="20">
        <v>0</v>
      </c>
      <c r="R96" s="20">
        <v>0</v>
      </c>
      <c r="S96" s="10">
        <f t="shared" si="76"/>
        <v>140661.13000000003</v>
      </c>
      <c r="T96" s="1093">
        <f t="shared" si="77"/>
        <v>31337.07</v>
      </c>
      <c r="U96" s="1093">
        <f t="shared" si="78"/>
        <v>6008.4100000000035</v>
      </c>
      <c r="V96" s="1093">
        <f t="shared" si="79"/>
        <v>4287.2</v>
      </c>
      <c r="W96" s="1093">
        <f t="shared" si="80"/>
        <v>839.70000000000073</v>
      </c>
      <c r="X96" s="1093">
        <f t="shared" si="81"/>
        <v>95109.45</v>
      </c>
      <c r="Y96" s="1093">
        <f t="shared" si="82"/>
        <v>3079.2999999999997</v>
      </c>
    </row>
    <row r="97" spans="2:25">
      <c r="B97" s="2" t="s">
        <v>109</v>
      </c>
      <c r="C97" s="20">
        <v>3557.04</v>
      </c>
      <c r="D97" s="20">
        <v>710.5</v>
      </c>
      <c r="E97" s="20">
        <v>228.57</v>
      </c>
      <c r="F97" s="20">
        <v>92.13</v>
      </c>
      <c r="G97" s="20">
        <v>11754</v>
      </c>
      <c r="H97" s="20">
        <v>489.75</v>
      </c>
      <c r="I97" s="20">
        <v>129.01999999999998</v>
      </c>
      <c r="J97" s="20">
        <v>0</v>
      </c>
      <c r="K97" s="20">
        <v>217.49</v>
      </c>
      <c r="L97" s="20"/>
      <c r="M97" s="20">
        <v>0</v>
      </c>
      <c r="N97" s="20">
        <v>0</v>
      </c>
      <c r="O97" s="20">
        <v>0</v>
      </c>
      <c r="P97" s="20">
        <v>0</v>
      </c>
      <c r="Q97" s="20">
        <v>0</v>
      </c>
      <c r="R97" s="20">
        <v>0</v>
      </c>
      <c r="S97" s="10">
        <f t="shared" si="76"/>
        <v>17178.5</v>
      </c>
      <c r="T97" s="1093">
        <f t="shared" si="77"/>
        <v>3557.04</v>
      </c>
      <c r="U97" s="1093">
        <f t="shared" si="78"/>
        <v>710.5</v>
      </c>
      <c r="V97" s="1093">
        <f t="shared" si="79"/>
        <v>228.57</v>
      </c>
      <c r="W97" s="1093">
        <f t="shared" si="80"/>
        <v>92.13</v>
      </c>
      <c r="X97" s="1093">
        <f t="shared" si="81"/>
        <v>11754</v>
      </c>
      <c r="Y97" s="1093">
        <f t="shared" si="82"/>
        <v>836.26</v>
      </c>
    </row>
    <row r="98" spans="2:25">
      <c r="B98" s="2" t="s">
        <v>110</v>
      </c>
      <c r="C98" s="20">
        <v>371908.35</v>
      </c>
      <c r="D98" s="20">
        <v>46006.290000000037</v>
      </c>
      <c r="E98" s="20">
        <v>54798.66</v>
      </c>
      <c r="F98" s="20">
        <v>4876.6399999999994</v>
      </c>
      <c r="G98" s="20">
        <v>530203.35</v>
      </c>
      <c r="H98" s="20">
        <v>4015.95</v>
      </c>
      <c r="I98" s="20">
        <v>9280.7800000000007</v>
      </c>
      <c r="J98" s="20">
        <v>0</v>
      </c>
      <c r="K98" s="20">
        <v>7824.86</v>
      </c>
      <c r="L98" s="20">
        <v>685.65</v>
      </c>
      <c r="M98" s="20">
        <v>0</v>
      </c>
      <c r="N98" s="20">
        <v>0</v>
      </c>
      <c r="O98" s="20">
        <v>57.14</v>
      </c>
      <c r="P98" s="20">
        <v>0</v>
      </c>
      <c r="Q98" s="20">
        <v>0</v>
      </c>
      <c r="R98" s="20">
        <v>0</v>
      </c>
      <c r="S98" s="10">
        <f t="shared" si="76"/>
        <v>1029657.67</v>
      </c>
      <c r="T98" s="1093">
        <f t="shared" si="77"/>
        <v>371908.35</v>
      </c>
      <c r="U98" s="1093">
        <f t="shared" si="78"/>
        <v>46006.290000000037</v>
      </c>
      <c r="V98" s="1093">
        <f t="shared" si="79"/>
        <v>54798.66</v>
      </c>
      <c r="W98" s="1093">
        <f t="shared" si="80"/>
        <v>4876.6399999999994</v>
      </c>
      <c r="X98" s="1093">
        <f t="shared" si="81"/>
        <v>530203.35</v>
      </c>
      <c r="Y98" s="1093">
        <f t="shared" si="82"/>
        <v>21864.38</v>
      </c>
    </row>
    <row r="99" spans="2:25">
      <c r="B99" s="2" t="s">
        <v>111</v>
      </c>
      <c r="C99" s="20">
        <v>1591378.77</v>
      </c>
      <c r="D99" s="20">
        <v>403689.95999999996</v>
      </c>
      <c r="E99" s="20">
        <v>176421.03</v>
      </c>
      <c r="F99" s="20">
        <v>63549.369999999995</v>
      </c>
      <c r="G99" s="20">
        <v>2807834</v>
      </c>
      <c r="H99" s="20">
        <v>22332.6</v>
      </c>
      <c r="I99" s="20">
        <v>114369.69000000002</v>
      </c>
      <c r="J99" s="20">
        <v>0</v>
      </c>
      <c r="K99" s="20">
        <v>51564.319999999992</v>
      </c>
      <c r="L99" s="20">
        <v>8031.9</v>
      </c>
      <c r="M99" s="20">
        <v>587.70000000000005</v>
      </c>
      <c r="N99" s="20">
        <v>0</v>
      </c>
      <c r="O99" s="20">
        <v>1542.78</v>
      </c>
      <c r="P99" s="20">
        <v>0</v>
      </c>
      <c r="Q99" s="20">
        <v>1475.5</v>
      </c>
      <c r="R99" s="20">
        <v>13594.27</v>
      </c>
      <c r="S99" s="10">
        <f t="shared" si="76"/>
        <v>5256371.8900000006</v>
      </c>
      <c r="T99" s="1093">
        <f t="shared" si="77"/>
        <v>1591378.77</v>
      </c>
      <c r="U99" s="1093">
        <f t="shared" si="78"/>
        <v>403689.95999999996</v>
      </c>
      <c r="V99" s="1093">
        <f t="shared" si="79"/>
        <v>176421.03</v>
      </c>
      <c r="W99" s="1093">
        <f t="shared" si="80"/>
        <v>63549.369999999995</v>
      </c>
      <c r="X99" s="1093">
        <f t="shared" si="81"/>
        <v>2807834</v>
      </c>
      <c r="Y99" s="1093">
        <f t="shared" si="82"/>
        <v>213498.75999999998</v>
      </c>
    </row>
    <row r="100" spans="2:25">
      <c r="B100" s="2" t="s">
        <v>112</v>
      </c>
      <c r="C100" s="20">
        <v>52481.52</v>
      </c>
      <c r="D100" s="20">
        <v>18667.82</v>
      </c>
      <c r="E100" s="20">
        <v>3658.96</v>
      </c>
      <c r="F100" s="20">
        <v>197.58999999999969</v>
      </c>
      <c r="G100" s="20">
        <v>56615.1</v>
      </c>
      <c r="H100" s="20">
        <v>979.5</v>
      </c>
      <c r="I100" s="20">
        <v>2545.5700000000002</v>
      </c>
      <c r="J100" s="20">
        <v>1705.68</v>
      </c>
      <c r="K100" s="20">
        <v>2568.06</v>
      </c>
      <c r="L100" s="20">
        <v>489.75</v>
      </c>
      <c r="M100" s="20">
        <v>0</v>
      </c>
      <c r="N100" s="20">
        <v>0</v>
      </c>
      <c r="O100" s="20">
        <v>0</v>
      </c>
      <c r="P100" s="20">
        <v>0</v>
      </c>
      <c r="Q100" s="20">
        <v>0</v>
      </c>
      <c r="R100" s="20">
        <v>0</v>
      </c>
      <c r="S100" s="10">
        <f t="shared" si="76"/>
        <v>139909.54999999999</v>
      </c>
      <c r="T100" s="1093">
        <f t="shared" si="77"/>
        <v>52481.52</v>
      </c>
      <c r="U100" s="1093">
        <f t="shared" si="78"/>
        <v>18667.82</v>
      </c>
      <c r="V100" s="1093">
        <f t="shared" si="79"/>
        <v>3658.96</v>
      </c>
      <c r="W100" s="1093">
        <f t="shared" si="80"/>
        <v>197.58999999999969</v>
      </c>
      <c r="X100" s="1093">
        <f t="shared" si="81"/>
        <v>56615.1</v>
      </c>
      <c r="Y100" s="1093">
        <f t="shared" si="82"/>
        <v>8288.56</v>
      </c>
    </row>
    <row r="101" spans="2:25">
      <c r="B101" s="2" t="s">
        <v>113</v>
      </c>
      <c r="C101" s="20">
        <v>39945.379999999997</v>
      </c>
      <c r="D101" s="20">
        <v>7044.1200000000026</v>
      </c>
      <c r="E101" s="20">
        <v>4904.63</v>
      </c>
      <c r="F101" s="20">
        <v>785.19000000000051</v>
      </c>
      <c r="G101" s="20">
        <v>47505.749999999993</v>
      </c>
      <c r="H101" s="20">
        <v>685.65000000000009</v>
      </c>
      <c r="I101" s="20">
        <v>1356.1999999999998</v>
      </c>
      <c r="J101" s="20">
        <v>0</v>
      </c>
      <c r="K101" s="20">
        <v>1497.83</v>
      </c>
      <c r="L101" s="20">
        <v>391.8</v>
      </c>
      <c r="M101" s="20">
        <v>0</v>
      </c>
      <c r="N101" s="20">
        <v>0</v>
      </c>
      <c r="O101" s="20">
        <v>0</v>
      </c>
      <c r="P101" s="20">
        <v>0</v>
      </c>
      <c r="Q101" s="20">
        <v>36.25</v>
      </c>
      <c r="R101" s="20">
        <v>362.46</v>
      </c>
      <c r="S101" s="10">
        <f t="shared" si="76"/>
        <v>104515.26</v>
      </c>
      <c r="T101" s="1093">
        <f t="shared" si="77"/>
        <v>39945.379999999997</v>
      </c>
      <c r="U101" s="1093">
        <f t="shared" si="78"/>
        <v>7044.1200000000026</v>
      </c>
      <c r="V101" s="1093">
        <f t="shared" si="79"/>
        <v>4904.63</v>
      </c>
      <c r="W101" s="1093">
        <f t="shared" si="80"/>
        <v>785.19000000000051</v>
      </c>
      <c r="X101" s="1093">
        <f t="shared" si="81"/>
        <v>47505.749999999993</v>
      </c>
      <c r="Y101" s="1093">
        <f t="shared" si="82"/>
        <v>4330.1899999999996</v>
      </c>
    </row>
    <row r="102" spans="2:25">
      <c r="B102" s="7" t="s">
        <v>37</v>
      </c>
      <c r="C102" s="6">
        <f t="shared" ref="C102:T102" si="83">SUM(C75:C101)</f>
        <v>5743531.919999999</v>
      </c>
      <c r="D102" s="6">
        <f t="shared" si="83"/>
        <v>1246749.4700000004</v>
      </c>
      <c r="E102" s="6">
        <f t="shared" si="83"/>
        <v>739083.66</v>
      </c>
      <c r="F102" s="6">
        <f t="shared" si="83"/>
        <v>157061.48000000001</v>
      </c>
      <c r="G102" s="6">
        <f t="shared" si="83"/>
        <v>8022684.9199999999</v>
      </c>
      <c r="H102" s="6">
        <f t="shared" si="83"/>
        <v>84628.799999999988</v>
      </c>
      <c r="I102" s="6">
        <f t="shared" si="83"/>
        <v>282689.10000000003</v>
      </c>
      <c r="J102" s="6">
        <f t="shared" si="83"/>
        <v>9034.6099999999988</v>
      </c>
      <c r="K102" s="6">
        <f t="shared" si="83"/>
        <v>177045.65999999997</v>
      </c>
      <c r="L102" s="6">
        <f t="shared" si="83"/>
        <v>33400.950000000004</v>
      </c>
      <c r="M102" s="6">
        <f t="shared" si="83"/>
        <v>1763.1000000000001</v>
      </c>
      <c r="N102" s="6">
        <f t="shared" si="83"/>
        <v>1168.54</v>
      </c>
      <c r="O102" s="6">
        <f t="shared" si="83"/>
        <v>3542.68</v>
      </c>
      <c r="P102" s="27">
        <f t="shared" si="83"/>
        <v>0</v>
      </c>
      <c r="Q102" s="6">
        <f t="shared" si="83"/>
        <v>1558.38</v>
      </c>
      <c r="R102" s="6">
        <f t="shared" si="83"/>
        <v>14239.59</v>
      </c>
      <c r="S102" s="6">
        <f t="shared" si="83"/>
        <v>16518182.860000003</v>
      </c>
      <c r="T102" s="1093">
        <f t="shared" si="83"/>
        <v>5743531.919999999</v>
      </c>
      <c r="U102" s="1093">
        <f t="shared" ref="U102:Y102" si="84">SUM(U75:U101)</f>
        <v>1246749.4700000004</v>
      </c>
      <c r="V102" s="1093">
        <f t="shared" si="84"/>
        <v>739083.66</v>
      </c>
      <c r="W102" s="1093">
        <f t="shared" si="84"/>
        <v>157061.48000000001</v>
      </c>
      <c r="X102" s="1093">
        <f t="shared" si="84"/>
        <v>8022684.9199999999</v>
      </c>
      <c r="Y102" s="1093">
        <f t="shared" si="84"/>
        <v>609071.40999999992</v>
      </c>
    </row>
    <row r="103" spans="2:25">
      <c r="S103" s="1093"/>
    </row>
    <row r="104" spans="2:25">
      <c r="S104" s="1093"/>
    </row>
    <row r="105" spans="2:25">
      <c r="S105" s="1093"/>
    </row>
  </sheetData>
  <mergeCells count="48">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s>
  <pageMargins left="0.511811024" right="0.511811024" top="0.78740157499999996" bottom="0.78740157499999996" header="0.31496062000000002" footer="0.31496062000000002"/>
  <pageSetup paperSize="9" scale="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62</vt:i4>
      </vt:variant>
      <vt:variant>
        <vt:lpstr>Intervalos nomeados</vt:lpstr>
      </vt:variant>
      <vt:variant>
        <vt:i4>10</vt:i4>
      </vt:variant>
    </vt:vector>
  </HeadingPairs>
  <TitlesOfParts>
    <vt:vector size="72" baseType="lpstr">
      <vt:lpstr>Relatórios - SICCAU e IGEO</vt:lpstr>
      <vt:lpstr>JAN</vt:lpstr>
      <vt:lpstr>FEV</vt:lpstr>
      <vt:lpstr>MAR</vt:lpstr>
      <vt:lpstr>ABR</vt:lpstr>
      <vt:lpstr>MAI</vt:lpstr>
      <vt:lpstr>JUN</vt:lpstr>
      <vt:lpstr>JUL</vt:lpstr>
      <vt:lpstr>AGO</vt:lpstr>
      <vt:lpstr>SET</vt:lpstr>
      <vt:lpstr>OUT</vt:lpstr>
      <vt:lpstr>NOV</vt:lpstr>
      <vt:lpstr>DEZ</vt:lpstr>
      <vt:lpstr>TOTAL POR UF</vt:lpstr>
      <vt:lpstr>ARRECADAÇÃO MENSAL POR RECEITA</vt:lpstr>
      <vt:lpstr>EXERCÍCIOS ANTERIORES</vt:lpstr>
      <vt:lpstr>Médias por UF</vt:lpstr>
      <vt:lpstr>PF - Gênero</vt:lpstr>
      <vt:lpstr>Anuid PF</vt:lpstr>
      <vt:lpstr>Anuid PJ</vt:lpstr>
      <vt:lpstr>RRT</vt:lpstr>
      <vt:lpstr>TAXAS E MULTAS.</vt:lpstr>
      <vt:lpstr>ARRECAD. TOTAL</vt:lpstr>
      <vt:lpstr>Comparativo YoY</vt:lpstr>
      <vt:lpstr>ADIMPLÊNCIA PF</vt:lpstr>
      <vt:lpstr>ADIMPLÊNCIA PJ</vt:lpstr>
      <vt:lpstr>RRT POR PROFISSIONAL</vt:lpstr>
      <vt:lpstr>Evolução das Receitas</vt:lpstr>
      <vt:lpstr>Lançamentos</vt:lpstr>
      <vt:lpstr>Gráficos</vt:lpstr>
      <vt:lpstr>Dados - Receita e Qntd</vt:lpstr>
      <vt:lpstr>RRT - Subgrupo - IGEO</vt:lpstr>
      <vt:lpstr>RRT - Subgrpupo - Gênero</vt:lpstr>
      <vt:lpstr>RRT - Atividades </vt:lpstr>
      <vt:lpstr>1 - Projeto</vt:lpstr>
      <vt:lpstr>2 - Execução </vt:lpstr>
      <vt:lpstr>3 - Gestão</vt:lpstr>
      <vt:lpstr>4 - Meio Amb. e Plan. </vt:lpstr>
      <vt:lpstr>5 - Atividades Especiais</vt:lpstr>
      <vt:lpstr>6 - Ensino e Pesquisa </vt:lpstr>
      <vt:lpstr>7 - Eng. Segurança </vt:lpstr>
      <vt:lpstr>Dados - RRT</vt:lpstr>
      <vt:lpstr>Índice</vt:lpstr>
      <vt:lpstr>PF - Qntd</vt:lpstr>
      <vt:lpstr>PF - Receita</vt:lpstr>
      <vt:lpstr>PJ - Qntd</vt:lpstr>
      <vt:lpstr>PJ - Receita</vt:lpstr>
      <vt:lpstr>RRT - Qntd e Receita</vt:lpstr>
      <vt:lpstr>RRT - Subgrupos</vt:lpstr>
      <vt:lpstr>Taxas e Multas</vt:lpstr>
      <vt:lpstr>CAU UF - Receita Total 80%</vt:lpstr>
      <vt:lpstr>CAU BR - PF e PJ</vt:lpstr>
      <vt:lpstr>CAU BR - RRT e Taxas</vt:lpstr>
      <vt:lpstr>CAU BR - Receita Total 20%</vt:lpstr>
      <vt:lpstr>Gráficos - 100%</vt:lpstr>
      <vt:lpstr>Gráficos - Arrec. Total</vt:lpstr>
      <vt:lpstr>Gráficos - PF</vt:lpstr>
      <vt:lpstr>Gráficos - PF - Ex. Ant.</vt:lpstr>
      <vt:lpstr>Gráficos - PJ</vt:lpstr>
      <vt:lpstr>Gráficos - PJ - Ex. Ant.</vt:lpstr>
      <vt:lpstr>Gráficos - RRT</vt:lpstr>
      <vt:lpstr>Gráficos - Taxas</vt:lpstr>
      <vt:lpstr>'Anuid PF'!Area_de_impressao</vt:lpstr>
      <vt:lpstr>'Anuid PJ'!Area_de_impressao</vt:lpstr>
      <vt:lpstr>'ARRECAD. TOTAL'!Area_de_impressao</vt:lpstr>
      <vt:lpstr>'ARRECADAÇÃO MENSAL POR RECEITA'!Area_de_impressao</vt:lpstr>
      <vt:lpstr>'Comparativo YoY'!Area_de_impressao</vt:lpstr>
      <vt:lpstr>'Gráficos - Taxas'!Area_de_impressao</vt:lpstr>
      <vt:lpstr>RRT!Area_de_impressao</vt:lpstr>
      <vt:lpstr>'RRT POR PROFISSIONAL'!Area_de_impressao</vt:lpstr>
      <vt:lpstr>'TAXAS E MULTAS.'!Area_de_impressao</vt:lpstr>
      <vt:lpstr>'Comparativo YoY'!Titulos_de_impressao</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suporte</dc:creator>
  <cp:lastModifiedBy>user</cp:lastModifiedBy>
  <cp:lastPrinted>2019-05-08T12:04:19Z</cp:lastPrinted>
  <dcterms:created xsi:type="dcterms:W3CDTF">2014-05-13T15:18:38Z</dcterms:created>
  <dcterms:modified xsi:type="dcterms:W3CDTF">2022-01-27T20:16:32Z</dcterms:modified>
</cp:coreProperties>
</file>